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comments4.xml" ContentType="application/vnd.openxmlformats-officedocument.spreadsheetml.comments+xml"/>
  <Override PartName="/xl/drawings/drawing9.xml" ContentType="application/vnd.openxmlformats-officedocument.drawing+xml"/>
  <Override PartName="/xl/comments5.xml" ContentType="application/vnd.openxmlformats-officedocument.spreadsheetml.comments+xml"/>
  <Override PartName="/xl/drawings/drawing10.xml" ContentType="application/vnd.openxmlformats-officedocument.drawing+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drawings/drawing12.xml" ContentType="application/vnd.openxmlformats-officedocument.drawing+xml"/>
  <Override PartName="/xl/comments8.xml" ContentType="application/vnd.openxmlformats-officedocument.spreadsheetml.comments+xml"/>
  <Override PartName="/xl/drawings/drawing13.xml" ContentType="application/vnd.openxmlformats-officedocument.drawing+xml"/>
  <Override PartName="/xl/comments9.xml" ContentType="application/vnd.openxmlformats-officedocument.spreadsheetml.comments+xml"/>
  <Override PartName="/xl/drawings/drawing14.xml" ContentType="application/vnd.openxmlformats-officedocument.drawing+xml"/>
  <Override PartName="/xl/comments10.xml" ContentType="application/vnd.openxmlformats-officedocument.spreadsheetml.comments+xml"/>
  <Override PartName="/xl/drawings/drawing15.xml" ContentType="application/vnd.openxmlformats-officedocument.drawing+xml"/>
  <Override PartName="/xl/comments11.xml" ContentType="application/vnd.openxmlformats-officedocument.spreadsheetml.comments+xml"/>
  <Override PartName="/xl/drawings/drawing16.xml" ContentType="application/vnd.openxmlformats-officedocument.drawing+xml"/>
  <Override PartName="/xl/comments12.xml" ContentType="application/vnd.openxmlformats-officedocument.spreadsheetml.comments+xml"/>
  <Override PartName="/xl/drawings/drawing17.xml" ContentType="application/vnd.openxmlformats-officedocument.drawing+xml"/>
  <Override PartName="/xl/comments13.xml" ContentType="application/vnd.openxmlformats-officedocument.spreadsheetml.comments+xml"/>
  <Override PartName="/xl/drawings/drawing18.xml" ContentType="application/vnd.openxmlformats-officedocument.drawing+xml"/>
  <Override PartName="/xl/comments14.xml" ContentType="application/vnd.openxmlformats-officedocument.spreadsheetml.comments+xml"/>
  <Override PartName="/xl/drawings/drawing19.xml" ContentType="application/vnd.openxmlformats-officedocument.drawing+xml"/>
  <Override PartName="/xl/comments15.xml" ContentType="application/vnd.openxmlformats-officedocument.spreadsheetml.comments+xml"/>
  <Override PartName="/xl/drawings/drawing20.xml" ContentType="application/vnd.openxmlformats-officedocument.drawing+xml"/>
  <Override PartName="/xl/comments16.xml" ContentType="application/vnd.openxmlformats-officedocument.spreadsheetml.comments+xml"/>
  <Override PartName="/xl/drawings/drawing21.xml" ContentType="application/vnd.openxmlformats-officedocument.drawing+xml"/>
  <Override PartName="/xl/comments17.xml" ContentType="application/vnd.openxmlformats-officedocument.spreadsheetml.comments+xml"/>
  <Override PartName="/xl/drawings/drawing22.xml" ContentType="application/vnd.openxmlformats-officedocument.drawing+xml"/>
  <Override PartName="/xl/comments18.xml" ContentType="application/vnd.openxmlformats-officedocument.spreadsheetml.comments+xml"/>
  <Override PartName="/xl/drawings/drawing23.xml" ContentType="application/vnd.openxmlformats-officedocument.drawing+xml"/>
  <Override PartName="/xl/comments19.xml" ContentType="application/vnd.openxmlformats-officedocument.spreadsheetml.comments+xml"/>
  <Override PartName="/xl/drawings/drawing24.xml" ContentType="application/vnd.openxmlformats-officedocument.drawing+xml"/>
  <Override PartName="/xl/comments20.xml" ContentType="application/vnd.openxmlformats-officedocument.spreadsheetml.comments+xml"/>
  <Override PartName="/xl/drawings/drawing25.xml" ContentType="application/vnd.openxmlformats-officedocument.drawing+xml"/>
  <Override PartName="/xl/comments21.xml" ContentType="application/vnd.openxmlformats-officedocument.spreadsheetml.comments+xml"/>
  <Override PartName="/xl/drawings/drawing26.xml" ContentType="application/vnd.openxmlformats-officedocument.drawing+xml"/>
  <Override PartName="/xl/comments22.xml" ContentType="application/vnd.openxmlformats-officedocument.spreadsheetml.comments+xml"/>
  <Override PartName="/xl/drawings/drawing27.xml" ContentType="application/vnd.openxmlformats-officedocument.drawing+xml"/>
  <Override PartName="/xl/comments23.xml" ContentType="application/vnd.openxmlformats-officedocument.spreadsheetml.comments+xml"/>
  <Override PartName="/xl/drawings/drawing28.xml" ContentType="application/vnd.openxmlformats-officedocument.drawing+xml"/>
  <Override PartName="/xl/comments24.xml" ContentType="application/vnd.openxmlformats-officedocument.spreadsheetml.comments+xml"/>
  <Override PartName="/xl/drawings/drawing29.xml" ContentType="application/vnd.openxmlformats-officedocument.drawing+xml"/>
  <Override PartName="/xl/comments25.xml" ContentType="application/vnd.openxmlformats-officedocument.spreadsheetml.comments+xml"/>
  <Override PartName="/xl/drawings/drawing30.xml" ContentType="application/vnd.openxmlformats-officedocument.drawing+xml"/>
  <Override PartName="/xl/comments26.xml" ContentType="application/vnd.openxmlformats-officedocument.spreadsheetml.comments+xml"/>
  <Override PartName="/xl/drawings/drawing31.xml" ContentType="application/vnd.openxmlformats-officedocument.drawing+xml"/>
  <Override PartName="/xl/comments27.xml" ContentType="application/vnd.openxmlformats-officedocument.spreadsheetml.comments+xml"/>
  <Override PartName="/xl/drawings/drawing32.xml" ContentType="application/vnd.openxmlformats-officedocument.drawing+xml"/>
  <Override PartName="/xl/comments28.xml" ContentType="application/vnd.openxmlformats-officedocument.spreadsheetml.comments+xml"/>
  <Override PartName="/xl/drawings/drawing33.xml" ContentType="application/vnd.openxmlformats-officedocument.drawing+xml"/>
  <Override PartName="/xl/comments29.xml" ContentType="application/vnd.openxmlformats-officedocument.spreadsheetml.comments+xml"/>
  <Override PartName="/xl/drawings/drawing34.xml" ContentType="application/vnd.openxmlformats-officedocument.drawing+xml"/>
  <Override PartName="/xl/comments30.xml" ContentType="application/vnd.openxmlformats-officedocument.spreadsheetml.comments+xml"/>
  <Override PartName="/xl/drawings/drawing35.xml" ContentType="application/vnd.openxmlformats-officedocument.drawing+xml"/>
  <Override PartName="/xl/comments31.xml" ContentType="application/vnd.openxmlformats-officedocument.spreadsheetml.comments+xml"/>
  <Override PartName="/xl/drawings/drawing36.xml" ContentType="application/vnd.openxmlformats-officedocument.drawing+xml"/>
  <Override PartName="/xl/comments32.xml" ContentType="application/vnd.openxmlformats-officedocument.spreadsheetml.comments+xml"/>
  <Override PartName="/xl/drawings/drawing37.xml" ContentType="application/vnd.openxmlformats-officedocument.drawing+xml"/>
  <Override PartName="/xl/comments33.xml" ContentType="application/vnd.openxmlformats-officedocument.spreadsheetml.comments+xml"/>
  <Override PartName="/xl/drawings/drawing38.xml" ContentType="application/vnd.openxmlformats-officedocument.drawing+xml"/>
  <Override PartName="/xl/comments34.xml" ContentType="application/vnd.openxmlformats-officedocument.spreadsheetml.comments+xml"/>
  <Override PartName="/xl/drawings/drawing39.xml" ContentType="application/vnd.openxmlformats-officedocument.drawing+xml"/>
  <Override PartName="/xl/comments35.xml" ContentType="application/vnd.openxmlformats-officedocument.spreadsheetml.comments+xml"/>
  <Override PartName="/xl/drawings/drawing40.xml" ContentType="application/vnd.openxmlformats-officedocument.drawing+xml"/>
  <Override PartName="/xl/comments36.xml" ContentType="application/vnd.openxmlformats-officedocument.spreadsheetml.comments+xml"/>
  <Override PartName="/xl/drawings/drawing41.xml" ContentType="application/vnd.openxmlformats-officedocument.drawing+xml"/>
  <Override PartName="/xl/comments37.xml" ContentType="application/vnd.openxmlformats-officedocument.spreadsheetml.comments+xml"/>
  <Override PartName="/xl/drawings/drawing42.xml" ContentType="application/vnd.openxmlformats-officedocument.drawing+xml"/>
  <Override PartName="/xl/comments38.xml" ContentType="application/vnd.openxmlformats-officedocument.spreadsheetml.comments+xml"/>
  <Override PartName="/xl/drawings/drawing43.xml" ContentType="application/vnd.openxmlformats-officedocument.drawing+xml"/>
  <Override PartName="/xl/comments39.xml" ContentType="application/vnd.openxmlformats-officedocument.spreadsheetml.comments+xml"/>
  <Override PartName="/xl/drawings/drawing44.xml" ContentType="application/vnd.openxmlformats-officedocument.drawing+xml"/>
  <Override PartName="/xl/comments40.xml" ContentType="application/vnd.openxmlformats-officedocument.spreadsheetml.comments+xml"/>
  <Override PartName="/xl/drawings/drawing45.xml" ContentType="application/vnd.openxmlformats-officedocument.drawing+xml"/>
  <Override PartName="/xl/comments41.xml" ContentType="application/vnd.openxmlformats-officedocument.spreadsheetml.comments+xml"/>
  <Override PartName="/xl/drawings/drawing46.xml" ContentType="application/vnd.openxmlformats-officedocument.drawing+xml"/>
  <Override PartName="/xl/comments42.xml" ContentType="application/vnd.openxmlformats-officedocument.spreadsheetml.comments+xml"/>
  <Override PartName="/xl/drawings/drawing47.xml" ContentType="application/vnd.openxmlformats-officedocument.drawing+xml"/>
  <Override PartName="/xl/comments43.xml" ContentType="application/vnd.openxmlformats-officedocument.spreadsheetml.comments+xml"/>
  <Override PartName="/xl/drawings/drawing48.xml" ContentType="application/vnd.openxmlformats-officedocument.drawing+xml"/>
  <Override PartName="/xl/comments44.xml" ContentType="application/vnd.openxmlformats-officedocument.spreadsheetml.comments+xml"/>
  <Override PartName="/xl/drawings/drawing49.xml" ContentType="application/vnd.openxmlformats-officedocument.drawing+xml"/>
  <Override PartName="/xl/comments45.xml" ContentType="application/vnd.openxmlformats-officedocument.spreadsheetml.comments+xml"/>
  <Override PartName="/xl/drawings/drawing50.xml" ContentType="application/vnd.openxmlformats-officedocument.drawing+xml"/>
  <Override PartName="/xl/comments46.xml" ContentType="application/vnd.openxmlformats-officedocument.spreadsheetml.comments+xml"/>
  <Override PartName="/xl/drawings/drawing51.xml" ContentType="application/vnd.openxmlformats-officedocument.drawing+xml"/>
  <Override PartName="/xl/comments47.xml" ContentType="application/vnd.openxmlformats-officedocument.spreadsheetml.comments+xml"/>
  <Override PartName="/xl/drawings/drawing52.xml" ContentType="application/vnd.openxmlformats-officedocument.drawing+xml"/>
  <Override PartName="/xl/comments48.xml" ContentType="application/vnd.openxmlformats-officedocument.spreadsheetml.comments+xml"/>
  <Override PartName="/xl/drawings/drawing53.xml" ContentType="application/vnd.openxmlformats-officedocument.drawing+xml"/>
  <Override PartName="/xl/comments49.xml" ContentType="application/vnd.openxmlformats-officedocument.spreadsheetml.comments+xml"/>
  <Override PartName="/xl/drawings/drawing54.xml" ContentType="application/vnd.openxmlformats-officedocument.drawing+xml"/>
  <Override PartName="/xl/comments50.xml" ContentType="application/vnd.openxmlformats-officedocument.spreadsheetml.comments+xml"/>
  <Override PartName="/xl/drawings/drawing55.xml" ContentType="application/vnd.openxmlformats-officedocument.drawing+xml"/>
  <Override PartName="/xl/comments51.xml" ContentType="application/vnd.openxmlformats-officedocument.spreadsheetml.comments+xml"/>
  <Override PartName="/xl/drawings/drawing56.xml" ContentType="application/vnd.openxmlformats-officedocument.drawing+xml"/>
  <Override PartName="/xl/comments52.xml" ContentType="application/vnd.openxmlformats-officedocument.spreadsheetml.comments+xml"/>
  <Override PartName="/xl/drawings/drawing57.xml" ContentType="application/vnd.openxmlformats-officedocument.drawing+xml"/>
  <Override PartName="/xl/comments53.xml" ContentType="application/vnd.openxmlformats-officedocument.spreadsheetml.comments+xml"/>
  <Override PartName="/xl/drawings/drawing58.xml" ContentType="application/vnd.openxmlformats-officedocument.drawing+xml"/>
  <Override PartName="/xl/comments54.xml" ContentType="application/vnd.openxmlformats-officedocument.spreadsheetml.comments+xml"/>
  <Override PartName="/xl/drawings/drawing59.xml" ContentType="application/vnd.openxmlformats-officedocument.drawing+xml"/>
  <Override PartName="/xl/comments55.xml" ContentType="application/vnd.openxmlformats-officedocument.spreadsheetml.comments+xml"/>
  <Override PartName="/xl/drawings/drawing60.xml" ContentType="application/vnd.openxmlformats-officedocument.drawing+xml"/>
  <Override PartName="/xl/comments56.xml" ContentType="application/vnd.openxmlformats-officedocument.spreadsheetml.comments+xml"/>
  <Override PartName="/xl/drawings/drawing61.xml" ContentType="application/vnd.openxmlformats-officedocument.drawing+xml"/>
  <Override PartName="/xl/comments57.xml" ContentType="application/vnd.openxmlformats-officedocument.spreadsheetml.comments+xml"/>
  <Override PartName="/xl/drawings/drawing62.xml" ContentType="application/vnd.openxmlformats-officedocument.drawing+xml"/>
  <Override PartName="/xl/comments58.xml" ContentType="application/vnd.openxmlformats-officedocument.spreadsheetml.comments+xml"/>
  <Override PartName="/xl/drawings/drawing63.xml" ContentType="application/vnd.openxmlformats-officedocument.drawing+xml"/>
  <Override PartName="/xl/comments59.xml" ContentType="application/vnd.openxmlformats-officedocument.spreadsheetml.comments+xml"/>
  <Override PartName="/xl/drawings/drawing64.xml" ContentType="application/vnd.openxmlformats-officedocument.drawing+xml"/>
  <Override PartName="/xl/comments60.xml" ContentType="application/vnd.openxmlformats-officedocument.spreadsheetml.comments+xml"/>
  <Override PartName="/xl/drawings/drawing65.xml" ContentType="application/vnd.openxmlformats-officedocument.drawing+xml"/>
  <Override PartName="/xl/comments6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G:\My Drive\Documents\2027\Revised Pay App\"/>
    </mc:Choice>
  </mc:AlternateContent>
  <xr:revisionPtr revIDLastSave="0" documentId="13_ncr:1_{D04D3A8D-196B-4296-8F25-74DAD3F38FFA}" xr6:coauthVersionLast="47" xr6:coauthVersionMax="47" xr10:uidLastSave="{00000000-0000-0000-0000-000000000000}"/>
  <workbookProtection workbookAlgorithmName="SHA-512" workbookHashValue="NBvrRynZYEmDprt5BxfjiWxnIkOElIHJbV7aAu7X4c6Vdp1nqHQYVJ5NSkR582eoncxSrF9tj/MZ7ROJAFGZPg==" workbookSaltValue="fn1Wqge2gojcZTFDxTeuRg==" workbookSpinCount="100000" lockStructure="1"/>
  <bookViews>
    <workbookView xWindow="-57720" yWindow="-120" windowWidth="29040" windowHeight="15720" tabRatio="751" firstSheet="1" activeTab="5" xr2:uid="{00000000-000D-0000-FFFF-FFFF00000000}"/>
  </bookViews>
  <sheets>
    <sheet name="Graph Data" sheetId="115" state="hidden" r:id="rId1"/>
    <sheet name="CostPerSqFt Tracker" sheetId="237" r:id="rId2"/>
    <sheet name="GMP Tracker" sheetId="238" r:id="rId3"/>
    <sheet name="Change Order Submission Form" sheetId="174" r:id="rId4"/>
    <sheet name="PCO Log" sheetId="118" r:id="rId5"/>
    <sheet name="Summary Sheet" sheetId="5" r:id="rId6"/>
    <sheet name="Pay App 1" sheetId="22" r:id="rId7"/>
    <sheet name="Pay App 2" sheetId="176" r:id="rId8"/>
    <sheet name="Pay App 3" sheetId="177" r:id="rId9"/>
    <sheet name="Pay App 4" sheetId="180" r:id="rId10"/>
    <sheet name="Pay App 5" sheetId="181" r:id="rId11"/>
    <sheet name="Pay App 6" sheetId="182" r:id="rId12"/>
    <sheet name="Pay App 7" sheetId="183" r:id="rId13"/>
    <sheet name="Pay App 8" sheetId="184" r:id="rId14"/>
    <sheet name="Pay App 9" sheetId="185" r:id="rId15"/>
    <sheet name="Pay App 10" sheetId="186" r:id="rId16"/>
    <sheet name="Pay App 11" sheetId="187" r:id="rId17"/>
    <sheet name="Pay App 12" sheetId="188" r:id="rId18"/>
    <sheet name="Pay App 13" sheetId="189" r:id="rId19"/>
    <sheet name="Pay App 14" sheetId="190" r:id="rId20"/>
    <sheet name="Pay App 15" sheetId="191" r:id="rId21"/>
    <sheet name="Pay App 16" sheetId="192" r:id="rId22"/>
    <sheet name="Pay App 17" sheetId="193" r:id="rId23"/>
    <sheet name="Pay App 18" sheetId="194" r:id="rId24"/>
    <sheet name="Pay App 19" sheetId="195" r:id="rId25"/>
    <sheet name="Pay App 20" sheetId="196" r:id="rId26"/>
    <sheet name="Pay App 21" sheetId="197" r:id="rId27"/>
    <sheet name="Pay App 22" sheetId="198" r:id="rId28"/>
    <sheet name="Pay App 23" sheetId="199" r:id="rId29"/>
    <sheet name="Pay App 24" sheetId="200" r:id="rId30"/>
    <sheet name="Pay App 25" sheetId="201" r:id="rId31"/>
    <sheet name="Pay App 26" sheetId="202" r:id="rId32"/>
    <sheet name="Pay App 27" sheetId="203" r:id="rId33"/>
    <sheet name="Pay App 28" sheetId="204" r:id="rId34"/>
    <sheet name="Pay App 29" sheetId="205" r:id="rId35"/>
    <sheet name="Pay App 30" sheetId="206" r:id="rId36"/>
    <sheet name="Pay App 31" sheetId="207" r:id="rId37"/>
    <sheet name="Pay App 32" sheetId="208" r:id="rId38"/>
    <sheet name="Pay App 33" sheetId="209" r:id="rId39"/>
    <sheet name="Pay App 34" sheetId="210" r:id="rId40"/>
    <sheet name="Pay App 35" sheetId="211" r:id="rId41"/>
    <sheet name="Pay App 36" sheetId="212" r:id="rId42"/>
    <sheet name="Pay App 37" sheetId="213" r:id="rId43"/>
    <sheet name="Pay App 38" sheetId="214" r:id="rId44"/>
    <sheet name="Pay App 39" sheetId="215" r:id="rId45"/>
    <sheet name="Pay App 40" sheetId="216" r:id="rId46"/>
    <sheet name="Pay App 41" sheetId="217" r:id="rId47"/>
    <sheet name="Pay App 42" sheetId="218" r:id="rId48"/>
    <sheet name="Pay App 43" sheetId="219" r:id="rId49"/>
    <sheet name="Pay App 44" sheetId="220" r:id="rId50"/>
    <sheet name="Pay App 45" sheetId="221" r:id="rId51"/>
    <sheet name="Pay App 46" sheetId="222" r:id="rId52"/>
    <sheet name="Pay App 47" sheetId="223" r:id="rId53"/>
    <sheet name="Pay App 48" sheetId="224" r:id="rId54"/>
    <sheet name="Pay App 49" sheetId="225" r:id="rId55"/>
    <sheet name="Pay App 50" sheetId="226" r:id="rId56"/>
    <sheet name="Pay App 51" sheetId="227" r:id="rId57"/>
    <sheet name="Pay App 52" sheetId="228" r:id="rId58"/>
    <sheet name="Pay App 53" sheetId="229" r:id="rId59"/>
    <sheet name="Pay App 54" sheetId="230" r:id="rId60"/>
    <sheet name="Pay App 55" sheetId="231" r:id="rId61"/>
    <sheet name="Pay App 56" sheetId="232" r:id="rId62"/>
    <sheet name="Pay App 57" sheetId="233" r:id="rId63"/>
    <sheet name="Pay App 58" sheetId="234" r:id="rId64"/>
    <sheet name="Pay App 59" sheetId="235" r:id="rId65"/>
    <sheet name="Pay App 60" sheetId="236" r:id="rId66"/>
  </sheets>
  <definedNames>
    <definedName name="_xlnm.Print_Area" localSheetId="3">'Change Order Submission Form'!$B$2:$L$47</definedName>
    <definedName name="_xlnm.Print_Area" localSheetId="6">'Pay App 1'!$A$1:$N$149</definedName>
    <definedName name="_xlnm.Print_Area" localSheetId="15">'Pay App 10'!$A$1:$N$149</definedName>
    <definedName name="_xlnm.Print_Area" localSheetId="16">'Pay App 11'!$A$1:$N$149</definedName>
    <definedName name="_xlnm.Print_Area" localSheetId="17">'Pay App 12'!$A$1:$N$149</definedName>
    <definedName name="_xlnm.Print_Area" localSheetId="18">'Pay App 13'!$A$1:$N$149</definedName>
    <definedName name="_xlnm.Print_Area" localSheetId="19">'Pay App 14'!$A$1:$N$149</definedName>
    <definedName name="_xlnm.Print_Area" localSheetId="20">'Pay App 15'!$A$1:$N$149</definedName>
    <definedName name="_xlnm.Print_Area" localSheetId="21">'Pay App 16'!$A$1:$N$149</definedName>
    <definedName name="_xlnm.Print_Area" localSheetId="22">'Pay App 17'!$A$1:$N$149</definedName>
    <definedName name="_xlnm.Print_Area" localSheetId="23">'Pay App 18'!$A$1:$N$149</definedName>
    <definedName name="_xlnm.Print_Area" localSheetId="24">'Pay App 19'!$A$1:$N$149</definedName>
    <definedName name="_xlnm.Print_Area" localSheetId="7">'Pay App 2'!$A$1:$N$149</definedName>
    <definedName name="_xlnm.Print_Area" localSheetId="25">'Pay App 20'!$A$1:$N$149</definedName>
    <definedName name="_xlnm.Print_Area" localSheetId="26">'Pay App 21'!$A$1:$N$149</definedName>
    <definedName name="_xlnm.Print_Area" localSheetId="27">'Pay App 22'!$A$1:$N$149</definedName>
    <definedName name="_xlnm.Print_Area" localSheetId="28">'Pay App 23'!$A$1:$N$149</definedName>
    <definedName name="_xlnm.Print_Area" localSheetId="29">'Pay App 24'!$A$1:$N$149</definedName>
    <definedName name="_xlnm.Print_Area" localSheetId="30">'Pay App 25'!$A$1:$N$149</definedName>
    <definedName name="_xlnm.Print_Area" localSheetId="31">'Pay App 26'!$A$1:$N$149</definedName>
    <definedName name="_xlnm.Print_Area" localSheetId="32">'Pay App 27'!$A$1:$N$149</definedName>
    <definedName name="_xlnm.Print_Area" localSheetId="33">'Pay App 28'!$A$1:$N$149</definedName>
    <definedName name="_xlnm.Print_Area" localSheetId="34">'Pay App 29'!$A$1:$N$149</definedName>
    <definedName name="_xlnm.Print_Area" localSheetId="8">'Pay App 3'!$A$1:$N$149</definedName>
    <definedName name="_xlnm.Print_Area" localSheetId="35">'Pay App 30'!$A$1:$N$149</definedName>
    <definedName name="_xlnm.Print_Area" localSheetId="36">'Pay App 31'!$A$1:$N$149</definedName>
    <definedName name="_xlnm.Print_Area" localSheetId="37">'Pay App 32'!$A$1:$N$149</definedName>
    <definedName name="_xlnm.Print_Area" localSheetId="38">'Pay App 33'!$A$1:$N$149</definedName>
    <definedName name="_xlnm.Print_Area" localSheetId="39">'Pay App 34'!$A$1:$N$149</definedName>
    <definedName name="_xlnm.Print_Area" localSheetId="40">'Pay App 35'!$A$1:$N$149</definedName>
    <definedName name="_xlnm.Print_Area" localSheetId="41">'Pay App 36'!$A$1:$N$149</definedName>
    <definedName name="_xlnm.Print_Area" localSheetId="42">'Pay App 37'!$A$1:$N$149</definedName>
    <definedName name="_xlnm.Print_Area" localSheetId="43">'Pay App 38'!$A$1:$N$149</definedName>
    <definedName name="_xlnm.Print_Area" localSheetId="44">'Pay App 39'!$A$1:$N$149</definedName>
    <definedName name="_xlnm.Print_Area" localSheetId="9">'Pay App 4'!$A$1:$N$149</definedName>
    <definedName name="_xlnm.Print_Area" localSheetId="45">'Pay App 40'!$A$1:$N$149</definedName>
    <definedName name="_xlnm.Print_Area" localSheetId="46">'Pay App 41'!$A$1:$N$149</definedName>
    <definedName name="_xlnm.Print_Area" localSheetId="47">'Pay App 42'!$A$1:$N$149</definedName>
    <definedName name="_xlnm.Print_Area" localSheetId="48">'Pay App 43'!$A$1:$N$149</definedName>
    <definedName name="_xlnm.Print_Area" localSheetId="49">'Pay App 44'!$A$1:$N$149</definedName>
    <definedName name="_xlnm.Print_Area" localSheetId="50">'Pay App 45'!$A$1:$N$149</definedName>
    <definedName name="_xlnm.Print_Area" localSheetId="51">'Pay App 46'!$A$1:$N$149</definedName>
    <definedName name="_xlnm.Print_Area" localSheetId="52">'Pay App 47'!$A$1:$N$149</definedName>
    <definedName name="_xlnm.Print_Area" localSheetId="53">'Pay App 48'!$A$1:$N$149</definedName>
    <definedName name="_xlnm.Print_Area" localSheetId="54">'Pay App 49'!$A$1:$N$149</definedName>
    <definedName name="_xlnm.Print_Area" localSheetId="10">'Pay App 5'!$A$1:$N$149</definedName>
    <definedName name="_xlnm.Print_Area" localSheetId="55">'Pay App 50'!$A$1:$N$149</definedName>
    <definedName name="_xlnm.Print_Area" localSheetId="56">'Pay App 51'!$A$1:$N$149</definedName>
    <definedName name="_xlnm.Print_Area" localSheetId="57">'Pay App 52'!$A$1:$N$149</definedName>
    <definedName name="_xlnm.Print_Area" localSheetId="58">'Pay App 53'!$A$1:$N$149</definedName>
    <definedName name="_xlnm.Print_Area" localSheetId="59">'Pay App 54'!$A$1:$N$149</definedName>
    <definedName name="_xlnm.Print_Area" localSheetId="60">'Pay App 55'!$A$1:$N$149</definedName>
    <definedName name="_xlnm.Print_Area" localSheetId="61">'Pay App 56'!$A$1:$N$149</definedName>
    <definedName name="_xlnm.Print_Area" localSheetId="62">'Pay App 57'!$A$1:$N$149</definedName>
    <definedName name="_xlnm.Print_Area" localSheetId="63">'Pay App 58'!$A$1:$N$149</definedName>
    <definedName name="_xlnm.Print_Area" localSheetId="64">'Pay App 59'!$A$1:$N$149</definedName>
    <definedName name="_xlnm.Print_Area" localSheetId="11">'Pay App 6'!$A$1:$N$149</definedName>
    <definedName name="_xlnm.Print_Area" localSheetId="65">'Pay App 60'!$A$1:$N$149</definedName>
    <definedName name="_xlnm.Print_Area" localSheetId="12">'Pay App 7'!$A$1:$N$149</definedName>
    <definedName name="_xlnm.Print_Area" localSheetId="13">'Pay App 8'!$A$1:$N$149</definedName>
    <definedName name="_xlnm.Print_Area" localSheetId="14">'Pay App 9'!$A$1:$N$149</definedName>
    <definedName name="_xlnm.Print_Area" localSheetId="5">'Summary Sheet'!$A$1:$R$131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95" i="115" l="1"/>
  <c r="T96" i="115"/>
  <c r="T97" i="115"/>
  <c r="T98" i="115"/>
  <c r="T99" i="115"/>
  <c r="T100" i="115"/>
  <c r="T101" i="115"/>
  <c r="T102" i="115"/>
  <c r="T103" i="115"/>
  <c r="T104" i="115"/>
  <c r="T105" i="115"/>
  <c r="T106" i="115"/>
  <c r="T107" i="115"/>
  <c r="T108" i="115"/>
  <c r="T109" i="115"/>
  <c r="T110" i="115"/>
  <c r="T111" i="115"/>
  <c r="T112" i="115"/>
  <c r="T113" i="115"/>
  <c r="T114" i="115"/>
  <c r="T115" i="115"/>
  <c r="T116" i="115"/>
  <c r="T117" i="115"/>
  <c r="T118" i="115"/>
  <c r="T119" i="115"/>
  <c r="T120" i="115"/>
  <c r="T121" i="115"/>
  <c r="T122" i="115"/>
  <c r="T123" i="115"/>
  <c r="T124" i="115"/>
  <c r="T125" i="115"/>
  <c r="T126" i="115"/>
  <c r="T127" i="115"/>
  <c r="T128" i="115"/>
  <c r="T129" i="115"/>
  <c r="T130" i="115"/>
  <c r="T131" i="115"/>
  <c r="T132" i="115"/>
  <c r="T133" i="115"/>
  <c r="T134" i="115"/>
  <c r="T135" i="115"/>
  <c r="T136" i="115"/>
  <c r="T137" i="115"/>
  <c r="T138" i="115"/>
  <c r="T139" i="115"/>
  <c r="T140" i="115"/>
  <c r="T141" i="115"/>
  <c r="T142" i="115"/>
  <c r="T143" i="115"/>
  <c r="T144" i="115"/>
  <c r="T145" i="115"/>
  <c r="T146" i="115"/>
  <c r="T147" i="115"/>
  <c r="T148" i="115"/>
  <c r="T149" i="115"/>
  <c r="T150" i="115"/>
  <c r="T151" i="115"/>
  <c r="T152" i="115"/>
  <c r="T153" i="115"/>
  <c r="T154" i="115"/>
  <c r="T155" i="115"/>
  <c r="T156" i="115"/>
  <c r="T157" i="115"/>
  <c r="T158" i="115"/>
  <c r="T159" i="115"/>
  <c r="T160" i="115"/>
  <c r="T161" i="115"/>
  <c r="T162" i="115"/>
  <c r="T163" i="115"/>
  <c r="T164" i="115"/>
  <c r="T165" i="115"/>
  <c r="T166" i="115"/>
  <c r="T167" i="115"/>
  <c r="T168" i="115"/>
  <c r="T169" i="115"/>
  <c r="T170" i="115"/>
  <c r="T171" i="115"/>
  <c r="T172" i="115"/>
  <c r="T173" i="115"/>
  <c r="T174" i="115"/>
  <c r="T175" i="115"/>
  <c r="T176" i="115"/>
  <c r="T177" i="115"/>
  <c r="T178" i="115"/>
  <c r="T179" i="115"/>
  <c r="T180" i="115"/>
  <c r="T94" i="115"/>
  <c r="S95" i="115"/>
  <c r="S96" i="115"/>
  <c r="S97" i="115"/>
  <c r="S98" i="115"/>
  <c r="S99" i="115"/>
  <c r="S100" i="115"/>
  <c r="S101" i="115"/>
  <c r="S102" i="115"/>
  <c r="S103" i="115"/>
  <c r="S104" i="115"/>
  <c r="S105" i="115"/>
  <c r="S106" i="115"/>
  <c r="S107" i="115"/>
  <c r="S108" i="115"/>
  <c r="S109" i="115"/>
  <c r="S110" i="115"/>
  <c r="S111" i="115"/>
  <c r="S112" i="115"/>
  <c r="S113" i="115"/>
  <c r="S114" i="115"/>
  <c r="S115" i="115"/>
  <c r="S116" i="115"/>
  <c r="S117" i="115"/>
  <c r="S118" i="115"/>
  <c r="S119" i="115"/>
  <c r="S120" i="115"/>
  <c r="S121" i="115"/>
  <c r="S122" i="115"/>
  <c r="S123" i="115"/>
  <c r="S124" i="115"/>
  <c r="S125" i="115"/>
  <c r="S126" i="115"/>
  <c r="S127" i="115"/>
  <c r="S128" i="115"/>
  <c r="S129" i="115"/>
  <c r="S130" i="115"/>
  <c r="S131" i="115"/>
  <c r="S132" i="115"/>
  <c r="S133" i="115"/>
  <c r="S134" i="115"/>
  <c r="S135" i="115"/>
  <c r="S136" i="115"/>
  <c r="S137" i="115"/>
  <c r="S138" i="115"/>
  <c r="S139" i="115"/>
  <c r="S140" i="115"/>
  <c r="S141" i="115"/>
  <c r="S142" i="115"/>
  <c r="S143" i="115"/>
  <c r="S144" i="115"/>
  <c r="S145" i="115"/>
  <c r="S146" i="115"/>
  <c r="S147" i="115"/>
  <c r="S148" i="115"/>
  <c r="S149" i="115"/>
  <c r="S150" i="115"/>
  <c r="S151" i="115"/>
  <c r="S152" i="115"/>
  <c r="S153" i="115"/>
  <c r="S154" i="115"/>
  <c r="S155" i="115"/>
  <c r="S156" i="115"/>
  <c r="S157" i="115"/>
  <c r="S158" i="115"/>
  <c r="S159" i="115"/>
  <c r="S160" i="115"/>
  <c r="S161" i="115"/>
  <c r="S162" i="115"/>
  <c r="S163" i="115"/>
  <c r="S164" i="115"/>
  <c r="S165" i="115"/>
  <c r="S166" i="115"/>
  <c r="S167" i="115"/>
  <c r="S168" i="115"/>
  <c r="S169" i="115"/>
  <c r="S170" i="115"/>
  <c r="S171" i="115"/>
  <c r="S172" i="115"/>
  <c r="S173" i="115"/>
  <c r="S174" i="115"/>
  <c r="S175" i="115"/>
  <c r="S176" i="115"/>
  <c r="S177" i="115"/>
  <c r="S178" i="115"/>
  <c r="S179" i="115"/>
  <c r="S180" i="115"/>
  <c r="S94" i="115"/>
  <c r="D1" i="193"/>
  <c r="D1" i="236"/>
  <c r="D1" i="235"/>
  <c r="D1" i="234"/>
  <c r="D1" i="233"/>
  <c r="D1" i="232"/>
  <c r="D1" i="231"/>
  <c r="D1" i="230"/>
  <c r="D1" i="229"/>
  <c r="D1" i="228"/>
  <c r="D1" i="227"/>
  <c r="D1" i="226"/>
  <c r="D1" i="225"/>
  <c r="D1" i="224"/>
  <c r="D1" i="223"/>
  <c r="D1" i="222"/>
  <c r="D1" i="221"/>
  <c r="D1" i="220"/>
  <c r="D1" i="219"/>
  <c r="D1" i="218"/>
  <c r="D1" i="217"/>
  <c r="D1" i="216"/>
  <c r="D1" i="215"/>
  <c r="D1" i="214"/>
  <c r="D1" i="213"/>
  <c r="D1" i="212"/>
  <c r="D1" i="211"/>
  <c r="D1" i="210"/>
  <c r="D1" i="209"/>
  <c r="D1" i="208"/>
  <c r="D1" i="207"/>
  <c r="D1" i="206"/>
  <c r="D1" i="205"/>
  <c r="D1" i="204"/>
  <c r="D1" i="203"/>
  <c r="D1" i="202"/>
  <c r="D1" i="201"/>
  <c r="D1" i="200"/>
  <c r="D1" i="199"/>
  <c r="D1" i="198"/>
  <c r="D1" i="197"/>
  <c r="D1" i="196"/>
  <c r="D1" i="195"/>
  <c r="D1" i="194"/>
  <c r="D1" i="192"/>
  <c r="D1" i="191"/>
  <c r="D1" i="190"/>
  <c r="D1" i="189"/>
  <c r="D1" i="188"/>
  <c r="D1" i="187"/>
  <c r="D1" i="186"/>
  <c r="D1" i="185"/>
  <c r="D1" i="184"/>
  <c r="D1" i="183"/>
  <c r="D1" i="182"/>
  <c r="D1" i="181"/>
  <c r="D1" i="180"/>
  <c r="D1" i="177"/>
  <c r="D1" i="22"/>
  <c r="D1" i="176"/>
  <c r="B5" i="238"/>
  <c r="B30" i="5"/>
  <c r="U95" i="115"/>
  <c r="U96" i="115"/>
  <c r="U97" i="115"/>
  <c r="U98" i="115"/>
  <c r="U99" i="115"/>
  <c r="U100" i="115"/>
  <c r="U101" i="115"/>
  <c r="U102" i="115"/>
  <c r="U103" i="115"/>
  <c r="U104" i="115"/>
  <c r="U105" i="115"/>
  <c r="U106" i="115"/>
  <c r="U107" i="115"/>
  <c r="U108" i="115"/>
  <c r="U109" i="115"/>
  <c r="U110" i="115"/>
  <c r="U111" i="115"/>
  <c r="U112" i="115"/>
  <c r="U113" i="115"/>
  <c r="U114" i="115"/>
  <c r="U115" i="115"/>
  <c r="U116" i="115"/>
  <c r="U117" i="115"/>
  <c r="U118" i="115"/>
  <c r="U119" i="115"/>
  <c r="U120" i="115"/>
  <c r="U121" i="115"/>
  <c r="U122" i="115"/>
  <c r="U123" i="115"/>
  <c r="U124" i="115"/>
  <c r="U125" i="115"/>
  <c r="U126" i="115"/>
  <c r="U127" i="115"/>
  <c r="U128" i="115"/>
  <c r="U129" i="115"/>
  <c r="U130" i="115"/>
  <c r="U131" i="115"/>
  <c r="U132" i="115"/>
  <c r="U133" i="115"/>
  <c r="U134" i="115"/>
  <c r="U135" i="115"/>
  <c r="U136" i="115"/>
  <c r="U137" i="115"/>
  <c r="U138" i="115"/>
  <c r="U139" i="115"/>
  <c r="U140" i="115"/>
  <c r="U141" i="115"/>
  <c r="U142" i="115"/>
  <c r="U143" i="115"/>
  <c r="U144" i="115"/>
  <c r="U145" i="115"/>
  <c r="U146" i="115"/>
  <c r="U147" i="115"/>
  <c r="U148" i="115"/>
  <c r="U149" i="115"/>
  <c r="U150" i="115"/>
  <c r="U151" i="115"/>
  <c r="U152" i="115"/>
  <c r="U153" i="115"/>
  <c r="U154" i="115"/>
  <c r="U155" i="115"/>
  <c r="U156" i="115"/>
  <c r="U157" i="115"/>
  <c r="U158" i="115"/>
  <c r="U159" i="115"/>
  <c r="U160" i="115"/>
  <c r="U161" i="115"/>
  <c r="U162" i="115"/>
  <c r="U163" i="115"/>
  <c r="U164" i="115"/>
  <c r="U165" i="115"/>
  <c r="U166" i="115"/>
  <c r="U167" i="115"/>
  <c r="U168" i="115"/>
  <c r="U169" i="115"/>
  <c r="U170" i="115"/>
  <c r="U171" i="115"/>
  <c r="U172" i="115"/>
  <c r="U173" i="115"/>
  <c r="U174" i="115"/>
  <c r="U175" i="115"/>
  <c r="U176" i="115"/>
  <c r="U177" i="115"/>
  <c r="U178" i="115"/>
  <c r="U179" i="115"/>
  <c r="U180" i="115"/>
  <c r="U94" i="115"/>
  <c r="R95" i="115"/>
  <c r="R96" i="115"/>
  <c r="R97" i="115"/>
  <c r="R98" i="115"/>
  <c r="R99" i="115"/>
  <c r="R100" i="115"/>
  <c r="R101" i="115"/>
  <c r="R102" i="115"/>
  <c r="R103" i="115"/>
  <c r="R104" i="115"/>
  <c r="R105" i="115"/>
  <c r="R106" i="115"/>
  <c r="R107" i="115"/>
  <c r="R108" i="115"/>
  <c r="R109" i="115"/>
  <c r="R110" i="115"/>
  <c r="R111" i="115"/>
  <c r="R112" i="115"/>
  <c r="R113" i="115"/>
  <c r="R114" i="115"/>
  <c r="R115" i="115"/>
  <c r="R116" i="115"/>
  <c r="R117" i="115"/>
  <c r="R118" i="115"/>
  <c r="R119" i="115"/>
  <c r="R120" i="115"/>
  <c r="R121" i="115"/>
  <c r="R122" i="115"/>
  <c r="R123" i="115"/>
  <c r="R124" i="115"/>
  <c r="R125" i="115"/>
  <c r="R126" i="115"/>
  <c r="R127" i="115"/>
  <c r="R128" i="115"/>
  <c r="R129" i="115"/>
  <c r="R130" i="115"/>
  <c r="R131" i="115"/>
  <c r="R132" i="115"/>
  <c r="R133" i="115"/>
  <c r="R134" i="115"/>
  <c r="R135" i="115"/>
  <c r="R136" i="115"/>
  <c r="R137" i="115"/>
  <c r="R138" i="115"/>
  <c r="R139" i="115"/>
  <c r="R140" i="115"/>
  <c r="R141" i="115"/>
  <c r="R142" i="115"/>
  <c r="R143" i="115"/>
  <c r="R144" i="115"/>
  <c r="R145" i="115"/>
  <c r="R146" i="115"/>
  <c r="R147" i="115"/>
  <c r="R148" i="115"/>
  <c r="R149" i="115"/>
  <c r="R150" i="115"/>
  <c r="R151" i="115"/>
  <c r="R152" i="115"/>
  <c r="R153" i="115"/>
  <c r="R154" i="115"/>
  <c r="R155" i="115"/>
  <c r="R156" i="115"/>
  <c r="R157" i="115"/>
  <c r="R158" i="115"/>
  <c r="R159" i="115"/>
  <c r="R160" i="115"/>
  <c r="R161" i="115"/>
  <c r="R162" i="115"/>
  <c r="R163" i="115"/>
  <c r="R164" i="115"/>
  <c r="R165" i="115"/>
  <c r="R166" i="115"/>
  <c r="R167" i="115"/>
  <c r="R168" i="115"/>
  <c r="R169" i="115"/>
  <c r="R170" i="115"/>
  <c r="R171" i="115"/>
  <c r="R172" i="115"/>
  <c r="R173" i="115"/>
  <c r="R174" i="115"/>
  <c r="R175" i="115"/>
  <c r="R176" i="115"/>
  <c r="R177" i="115"/>
  <c r="R178" i="115"/>
  <c r="R179" i="115"/>
  <c r="R180" i="115"/>
  <c r="R94" i="115"/>
  <c r="Q95" i="115"/>
  <c r="Q96" i="115"/>
  <c r="Q97" i="115"/>
  <c r="Q98" i="115"/>
  <c r="Q99" i="115"/>
  <c r="Q100" i="115"/>
  <c r="Q101" i="115"/>
  <c r="Q102" i="115"/>
  <c r="Q103" i="115"/>
  <c r="Q104" i="115"/>
  <c r="Q105" i="115"/>
  <c r="Q106" i="115"/>
  <c r="Q107" i="115"/>
  <c r="Q108" i="115"/>
  <c r="Q109" i="115"/>
  <c r="Q110" i="115"/>
  <c r="Q111" i="115"/>
  <c r="Q112" i="115"/>
  <c r="Q113" i="115"/>
  <c r="Q114" i="115"/>
  <c r="Q115" i="115"/>
  <c r="Q116" i="115"/>
  <c r="Q117" i="115"/>
  <c r="Q118" i="115"/>
  <c r="Q119" i="115"/>
  <c r="Q120" i="115"/>
  <c r="Q121" i="115"/>
  <c r="Q122" i="115"/>
  <c r="Q123" i="115"/>
  <c r="Q124" i="115"/>
  <c r="Q125" i="115"/>
  <c r="Q126" i="115"/>
  <c r="Q127" i="115"/>
  <c r="Q128" i="115"/>
  <c r="Q129" i="115"/>
  <c r="Q130" i="115"/>
  <c r="Q131" i="115"/>
  <c r="Q132" i="115"/>
  <c r="Q133" i="115"/>
  <c r="Q134" i="115"/>
  <c r="Q135" i="115"/>
  <c r="Q136" i="115"/>
  <c r="Q137" i="115"/>
  <c r="Q138" i="115"/>
  <c r="Q139" i="115"/>
  <c r="Q140" i="115"/>
  <c r="Q141" i="115"/>
  <c r="Q142" i="115"/>
  <c r="Q143" i="115"/>
  <c r="Q144" i="115"/>
  <c r="Q145" i="115"/>
  <c r="Q146" i="115"/>
  <c r="Q147" i="115"/>
  <c r="Q148" i="115"/>
  <c r="Q149" i="115"/>
  <c r="Q150" i="115"/>
  <c r="Q151" i="115"/>
  <c r="Q152" i="115"/>
  <c r="Q153" i="115"/>
  <c r="Q154" i="115"/>
  <c r="Q155" i="115"/>
  <c r="Q156" i="115"/>
  <c r="Q157" i="115"/>
  <c r="Q158" i="115"/>
  <c r="Q159" i="115"/>
  <c r="Q160" i="115"/>
  <c r="Q161" i="115"/>
  <c r="Q162" i="115"/>
  <c r="Q163" i="115"/>
  <c r="Q164" i="115"/>
  <c r="Q165" i="115"/>
  <c r="Q166" i="115"/>
  <c r="Q167" i="115"/>
  <c r="Q168" i="115"/>
  <c r="Q169" i="115"/>
  <c r="Q170" i="115"/>
  <c r="Q171" i="115"/>
  <c r="Q172" i="115"/>
  <c r="Q173" i="115"/>
  <c r="Q174" i="115"/>
  <c r="Q175" i="115"/>
  <c r="Q176" i="115"/>
  <c r="Q177" i="115"/>
  <c r="Q178" i="115"/>
  <c r="Q179" i="115"/>
  <c r="Q180" i="115"/>
  <c r="Q94" i="115"/>
  <c r="D20" i="115" a="1"/>
  <c r="D21" i="115" a="1"/>
  <c r="D22" i="115" a="1"/>
  <c r="D23" i="115" a="1"/>
  <c r="D24" i="115" a="1"/>
  <c r="D25" i="115" a="1"/>
  <c r="D26" i="115" a="1"/>
  <c r="D27" i="115" a="1"/>
  <c r="D28" i="115" a="1"/>
  <c r="D29" i="115" a="1"/>
  <c r="D30" i="115" a="1"/>
  <c r="D31" i="115" a="1"/>
  <c r="D32" i="115" a="1"/>
  <c r="D33" i="115" a="1"/>
  <c r="D34" i="115" a="1"/>
  <c r="D35" i="115" a="1"/>
  <c r="D36" i="115" a="1"/>
  <c r="D37" i="115" a="1"/>
  <c r="D38" i="115" a="1"/>
  <c r="D39" i="115" a="1"/>
  <c r="D40" i="115" a="1"/>
  <c r="D41" i="115" a="1"/>
  <c r="D42" i="115" a="1"/>
  <c r="D43" i="115" a="1"/>
  <c r="D44" i="115" a="1"/>
  <c r="D45" i="115" a="1"/>
  <c r="D46" i="115" a="1"/>
  <c r="D47" i="115" a="1"/>
  <c r="D48" i="115" a="1"/>
  <c r="D49" i="115" a="1"/>
  <c r="D50" i="115" a="1"/>
  <c r="D51" i="115" a="1"/>
  <c r="D52" i="115" a="1"/>
  <c r="D53" i="115" a="1"/>
  <c r="D54" i="115" a="1"/>
  <c r="D55" i="115" a="1"/>
  <c r="D56" i="115" a="1"/>
  <c r="D57" i="115" a="1"/>
  <c r="D58" i="115" a="1"/>
  <c r="D59" i="115" a="1"/>
  <c r="D60" i="115" a="1"/>
  <c r="D61" i="115" a="1"/>
  <c r="D62" i="115" a="1"/>
  <c r="D63" i="115" a="1"/>
  <c r="D64" i="115" a="1"/>
  <c r="D65" i="115" a="1"/>
  <c r="D66" i="115" a="1"/>
  <c r="D67" i="115" a="1"/>
  <c r="D68" i="115" a="1"/>
  <c r="D69" i="115" a="1"/>
  <c r="D70" i="115" a="1"/>
  <c r="D71" i="115" a="1"/>
  <c r="D72" i="115" a="1"/>
  <c r="D73" i="115" a="1"/>
  <c r="D74" i="115" a="1"/>
  <c r="D75" i="115" a="1"/>
  <c r="D76" i="115" a="1"/>
  <c r="D77" i="115" a="1"/>
  <c r="D78" i="115" a="1"/>
  <c r="D79" i="115" a="1"/>
  <c r="D80" i="115" a="1"/>
  <c r="D81" i="115" a="1"/>
  <c r="D82" i="115" a="1"/>
  <c r="D83" i="115" a="1"/>
  <c r="D84" i="115" a="1"/>
  <c r="D85" i="115" a="1"/>
  <c r="D86" i="115" a="1"/>
  <c r="D87" i="115" a="1"/>
  <c r="D88" i="115" a="1"/>
  <c r="D89" i="115" a="1"/>
  <c r="D90" i="115" a="1"/>
  <c r="D91" i="115" a="1"/>
  <c r="D92" i="115" a="1"/>
  <c r="D93" i="115" a="1"/>
  <c r="D94" i="115" a="1"/>
  <c r="D95" i="115" a="1"/>
  <c r="D96" i="115" a="1"/>
  <c r="D97" i="115" a="1"/>
  <c r="D98" i="115" a="1"/>
  <c r="D99" i="115" a="1"/>
  <c r="D100" i="115" a="1"/>
  <c r="D101" i="115" a="1"/>
  <c r="D102" i="115" a="1"/>
  <c r="D103" i="115" a="1"/>
  <c r="D104" i="115" a="1"/>
  <c r="D105" i="115" a="1"/>
  <c r="D106" i="115" a="1"/>
  <c r="D107" i="115" a="1"/>
  <c r="D108" i="115" a="1"/>
  <c r="D109" i="115" a="1"/>
  <c r="D110" i="115" a="1"/>
  <c r="D111" i="115" a="1"/>
  <c r="D112" i="115" a="1"/>
  <c r="D113" i="115" a="1"/>
  <c r="D114" i="115" a="1"/>
  <c r="D115" i="115" a="1"/>
  <c r="D116" i="115" a="1"/>
  <c r="D117" i="115" a="1"/>
  <c r="D118" i="115" a="1"/>
  <c r="D119" i="115" a="1"/>
  <c r="D120" i="115" a="1"/>
  <c r="D121" i="115" a="1"/>
  <c r="D122" i="115" a="1"/>
  <c r="D123" i="115" a="1"/>
  <c r="D124" i="115" a="1"/>
  <c r="D125" i="115" a="1"/>
  <c r="D126" i="115" a="1"/>
  <c r="D127" i="115" a="1"/>
  <c r="D128" i="115" a="1"/>
  <c r="D129" i="115" a="1"/>
  <c r="D130" i="115" a="1"/>
  <c r="D131" i="115" a="1"/>
  <c r="D132" i="115" a="1"/>
  <c r="D133" i="115" a="1"/>
  <c r="D134" i="115" a="1"/>
  <c r="D135" i="115" a="1"/>
  <c r="D136" i="115" a="1"/>
  <c r="D137" i="115" a="1"/>
  <c r="D138" i="115" a="1"/>
  <c r="D139" i="115" a="1"/>
  <c r="D140" i="115" a="1"/>
  <c r="D141" i="115" a="1"/>
  <c r="D142" i="115" a="1"/>
  <c r="D143" i="115" a="1"/>
  <c r="D144" i="115" a="1"/>
  <c r="D145" i="115" a="1"/>
  <c r="D146" i="115" a="1"/>
  <c r="D147" i="115" a="1"/>
  <c r="D148" i="115" a="1"/>
  <c r="D149" i="115" a="1"/>
  <c r="D150" i="115" a="1"/>
  <c r="D151" i="115" a="1"/>
  <c r="D152" i="115" a="1"/>
  <c r="D153" i="115" a="1"/>
  <c r="D154" i="115" a="1"/>
  <c r="D155" i="115" a="1"/>
  <c r="D156" i="115" a="1"/>
  <c r="D157" i="115" a="1"/>
  <c r="D158" i="115" a="1"/>
  <c r="D159" i="115" a="1"/>
  <c r="D160" i="115" a="1"/>
  <c r="D161" i="115" a="1"/>
  <c r="D162" i="115" a="1"/>
  <c r="D163" i="115" a="1"/>
  <c r="D164" i="115" a="1"/>
  <c r="D165" i="115" a="1"/>
  <c r="D166" i="115" a="1"/>
  <c r="D167" i="115" a="1"/>
  <c r="D168" i="115" a="1"/>
  <c r="D169" i="115" a="1"/>
  <c r="D170" i="115" a="1"/>
  <c r="D171" i="115" a="1"/>
  <c r="D172" i="115" a="1"/>
  <c r="D173" i="115" a="1"/>
  <c r="D174" i="115" a="1"/>
  <c r="D175" i="115" a="1"/>
  <c r="D176" i="115" a="1"/>
  <c r="D177" i="115" a="1"/>
  <c r="D178" i="115" a="1"/>
  <c r="D179" i="115" a="1"/>
  <c r="D180" i="115" a="1"/>
  <c r="D181" i="115" a="1"/>
  <c r="D182" i="115" a="1"/>
  <c r="D183" i="115" a="1"/>
  <c r="D184" i="115" a="1"/>
  <c r="D185" i="115" a="1"/>
  <c r="D186" i="115" a="1"/>
  <c r="D187" i="115" a="1"/>
  <c r="D188" i="115" a="1"/>
  <c r="D189" i="115" a="1"/>
  <c r="D190" i="115" a="1"/>
  <c r="D191" i="115" a="1"/>
  <c r="D192" i="115" a="1"/>
  <c r="D193" i="115" a="1"/>
  <c r="D194" i="115" a="1"/>
  <c r="D195" i="115" a="1"/>
  <c r="D196" i="115" a="1"/>
  <c r="D197" i="115" a="1"/>
  <c r="D198" i="115" a="1"/>
  <c r="D199" i="115" a="1"/>
  <c r="D200" i="115" a="1"/>
  <c r="D201" i="115" a="1"/>
  <c r="D202" i="115" a="1"/>
  <c r="D203" i="115" a="1"/>
  <c r="D204" i="115" a="1"/>
  <c r="D205" i="115" a="1"/>
  <c r="D206" i="115" a="1"/>
  <c r="D207" i="115" a="1"/>
  <c r="D208" i="115" a="1"/>
  <c r="D209" i="115" a="1"/>
  <c r="D210" i="115" a="1"/>
  <c r="D211" i="115" a="1"/>
  <c r="D212" i="115" a="1"/>
  <c r="D213" i="115" a="1"/>
  <c r="D214" i="115" a="1"/>
  <c r="D215" i="115" a="1"/>
  <c r="D216" i="115" a="1"/>
  <c r="D217" i="115" a="1"/>
  <c r="D218" i="115" a="1"/>
  <c r="D219" i="115" a="1"/>
  <c r="D220" i="115" a="1"/>
  <c r="D221" i="115" a="1"/>
  <c r="D222" i="115" a="1"/>
  <c r="D223" i="115" a="1"/>
  <c r="D224" i="115" a="1"/>
  <c r="D225" i="115" a="1"/>
  <c r="D226" i="115" a="1"/>
  <c r="D227" i="115" a="1"/>
  <c r="D228" i="115" a="1"/>
  <c r="D229" i="115" a="1"/>
  <c r="D230" i="115" a="1"/>
  <c r="D231" i="115" a="1"/>
  <c r="D232" i="115" a="1"/>
  <c r="D233" i="115" a="1"/>
  <c r="D234" i="115" a="1"/>
  <c r="D235" i="115" a="1"/>
  <c r="D236" i="115" a="1"/>
  <c r="D237" i="115" a="1"/>
  <c r="D238" i="115" a="1"/>
  <c r="D239" i="115" a="1"/>
  <c r="D240" i="115" a="1"/>
  <c r="D241" i="115" a="1"/>
  <c r="D242" i="115" a="1"/>
  <c r="D243" i="115" a="1"/>
  <c r="D244" i="115" a="1"/>
  <c r="D245" i="115" a="1"/>
  <c r="D246" i="115" a="1"/>
  <c r="D247" i="115" a="1"/>
  <c r="D248" i="115" a="1"/>
  <c r="D249" i="115" a="1"/>
  <c r="D250" i="115" a="1"/>
  <c r="D251" i="115" a="1"/>
  <c r="D252" i="115" a="1"/>
  <c r="D253" i="115" a="1"/>
  <c r="D254" i="115" a="1"/>
  <c r="D255" i="115" a="1"/>
  <c r="D256" i="115" a="1"/>
  <c r="D257" i="115" a="1"/>
  <c r="D258" i="115" a="1"/>
  <c r="D259" i="115" a="1"/>
  <c r="D260" i="115" a="1"/>
  <c r="D261" i="115" a="1"/>
  <c r="D262" i="115" a="1"/>
  <c r="D263" i="115" a="1"/>
  <c r="D264" i="115" a="1"/>
  <c r="D265" i="115" a="1"/>
  <c r="D266" i="115" a="1"/>
  <c r="D267" i="115" a="1"/>
  <c r="D268" i="115" a="1"/>
  <c r="D269" i="115" a="1"/>
  <c r="D270" i="115" a="1"/>
  <c r="D271" i="115" a="1"/>
  <c r="D272" i="115" a="1"/>
  <c r="D273" i="115" a="1"/>
  <c r="D274" i="115" a="1"/>
  <c r="D275" i="115" a="1"/>
  <c r="D276" i="115" a="1"/>
  <c r="D277" i="115" a="1"/>
  <c r="D278" i="115" a="1"/>
  <c r="D279" i="115" a="1"/>
  <c r="D280" i="115" a="1"/>
  <c r="D281" i="115" a="1"/>
  <c r="D282" i="115" a="1"/>
  <c r="D283" i="115" a="1"/>
  <c r="D284" i="115" a="1"/>
  <c r="D285" i="115" a="1"/>
  <c r="D286" i="115" a="1"/>
  <c r="D287" i="115" a="1"/>
  <c r="D288" i="115" a="1"/>
  <c r="D289" i="115" a="1"/>
  <c r="D290" i="115" a="1"/>
  <c r="D291" i="115" a="1"/>
  <c r="D292" i="115" a="1"/>
  <c r="D293" i="115" a="1"/>
  <c r="D294" i="115" a="1"/>
  <c r="D295" i="115" a="1"/>
  <c r="D296" i="115" a="1"/>
  <c r="D297" i="115" a="1"/>
  <c r="D298" i="115" a="1"/>
  <c r="D299" i="115" a="1"/>
  <c r="D300" i="115" a="1"/>
  <c r="D301" i="115" a="1"/>
  <c r="D302" i="115" a="1"/>
  <c r="D303" i="115" a="1"/>
  <c r="D304" i="115" a="1"/>
  <c r="D305" i="115" a="1"/>
  <c r="D306" i="115" a="1"/>
  <c r="D307" i="115" a="1"/>
  <c r="D308" i="115" a="1"/>
  <c r="D309" i="115" a="1"/>
  <c r="D310" i="115" a="1"/>
  <c r="D311" i="115" a="1"/>
  <c r="D312" i="115" a="1"/>
  <c r="D313" i="115" a="1"/>
  <c r="D314" i="115" a="1"/>
  <c r="D315" i="115" a="1"/>
  <c r="D316" i="115" a="1"/>
  <c r="D317" i="115" a="1"/>
  <c r="D318" i="115" a="1"/>
  <c r="D319" i="115" a="1"/>
  <c r="D320" i="115" a="1"/>
  <c r="D321" i="115" a="1"/>
  <c r="D322" i="115" a="1"/>
  <c r="D323" i="115" a="1"/>
  <c r="D324" i="115" a="1"/>
  <c r="D325" i="115" a="1"/>
  <c r="D326" i="115" a="1"/>
  <c r="D327" i="115" a="1"/>
  <c r="D328" i="115" a="1"/>
  <c r="D329" i="115" a="1"/>
  <c r="D330" i="115" a="1"/>
  <c r="D331" i="115" a="1"/>
  <c r="D332" i="115" a="1"/>
  <c r="D333" i="115" a="1"/>
  <c r="D334" i="115" a="1"/>
  <c r="D335" i="115" a="1"/>
  <c r="D336" i="115" a="1"/>
  <c r="D337" i="115" a="1"/>
  <c r="D338" i="115" a="1"/>
  <c r="D339" i="115" a="1"/>
  <c r="D340" i="115" a="1"/>
  <c r="D341" i="115" a="1"/>
  <c r="D342" i="115" a="1"/>
  <c r="D343" i="115" a="1"/>
  <c r="D344" i="115" a="1"/>
  <c r="D345" i="115" a="1"/>
  <c r="D346" i="115" a="1"/>
  <c r="D347" i="115" a="1"/>
  <c r="D348" i="115" a="1"/>
  <c r="D349" i="115" a="1"/>
  <c r="D350" i="115" a="1"/>
  <c r="D351" i="115" a="1"/>
  <c r="D352" i="115" a="1"/>
  <c r="D353" i="115" a="1"/>
  <c r="D354" i="115" a="1"/>
  <c r="D355" i="115" a="1"/>
  <c r="D356" i="115" a="1"/>
  <c r="D357" i="115" a="1"/>
  <c r="D358" i="115" a="1"/>
  <c r="D359" i="115" a="1"/>
  <c r="D360" i="115" a="1"/>
  <c r="D361" i="115" a="1"/>
  <c r="D362" i="115" a="1"/>
  <c r="D363" i="115" a="1"/>
  <c r="D364" i="115" a="1"/>
  <c r="D365" i="115" a="1"/>
  <c r="D366" i="115" a="1"/>
  <c r="D367" i="115" a="1"/>
  <c r="D368" i="115" a="1"/>
  <c r="D369" i="115" a="1"/>
  <c r="D370" i="115" a="1"/>
  <c r="D371" i="115" a="1"/>
  <c r="D372" i="115" a="1"/>
  <c r="D373" i="115" a="1"/>
  <c r="D374" i="115" a="1"/>
  <c r="D375" i="115" a="1"/>
  <c r="D376" i="115" a="1"/>
  <c r="D377" i="115" a="1"/>
  <c r="D378" i="115" a="1"/>
  <c r="D379" i="115" a="1"/>
  <c r="D380" i="115" a="1"/>
  <c r="D381" i="115" a="1"/>
  <c r="D382" i="115" a="1"/>
  <c r="D383" i="115" a="1"/>
  <c r="D384" i="115" a="1"/>
  <c r="D385" i="115" a="1"/>
  <c r="D386" i="115" a="1"/>
  <c r="D387" i="115" a="1"/>
  <c r="D388" i="115" a="1"/>
  <c r="D389" i="115" a="1"/>
  <c r="D390" i="115" a="1"/>
  <c r="D391" i="115" a="1"/>
  <c r="D392" i="115" a="1"/>
  <c r="D393" i="115" a="1"/>
  <c r="D394" i="115" a="1"/>
  <c r="D395" i="115" a="1"/>
  <c r="D396" i="115" a="1"/>
  <c r="D397" i="115" a="1"/>
  <c r="D398" i="115" a="1"/>
  <c r="D399" i="115" a="1"/>
  <c r="D400" i="115" a="1"/>
  <c r="D401" i="115" a="1"/>
  <c r="D402" i="115" a="1"/>
  <c r="D403" i="115" a="1"/>
  <c r="D404" i="115" a="1"/>
  <c r="D405" i="115" a="1"/>
  <c r="D406" i="115" a="1"/>
  <c r="D407" i="115" a="1"/>
  <c r="D408" i="115" a="1"/>
  <c r="D409" i="115" a="1"/>
  <c r="D410" i="115" a="1"/>
  <c r="D411" i="115" a="1"/>
  <c r="D412" i="115" a="1"/>
  <c r="D413" i="115" a="1"/>
  <c r="D414" i="115" a="1"/>
  <c r="D415" i="115" a="1"/>
  <c r="D416" i="115" a="1"/>
  <c r="D417" i="115" a="1"/>
  <c r="D418" i="115" a="1"/>
  <c r="D419" i="115" a="1"/>
  <c r="D420" i="115" a="1"/>
  <c r="D421" i="115" a="1"/>
  <c r="D422" i="115" a="1"/>
  <c r="D423" i="115" a="1"/>
  <c r="D424" i="115" a="1"/>
  <c r="D425" i="115" a="1"/>
  <c r="D426" i="115" a="1"/>
  <c r="D427" i="115" a="1"/>
  <c r="D428" i="115" a="1"/>
  <c r="D429" i="115" a="1"/>
  <c r="D430" i="115" a="1"/>
  <c r="D431" i="115" a="1"/>
  <c r="D432" i="115" a="1"/>
  <c r="D433" i="115" a="1"/>
  <c r="D434" i="115" a="1"/>
  <c r="D435" i="115" a="1"/>
  <c r="D436" i="115" a="1"/>
  <c r="D437" i="115" a="1"/>
  <c r="D438" i="115" a="1"/>
  <c r="D439" i="115" a="1"/>
  <c r="D440" i="115" a="1"/>
  <c r="D441" i="115" a="1"/>
  <c r="D442" i="115" a="1"/>
  <c r="D443" i="115" a="1"/>
  <c r="D444" i="115" a="1"/>
  <c r="D445" i="115" a="1"/>
  <c r="D446" i="115" a="1"/>
  <c r="D447" i="115" a="1"/>
  <c r="D448" i="115" a="1"/>
  <c r="D449" i="115" a="1"/>
  <c r="D450" i="115" a="1"/>
  <c r="D451" i="115" a="1"/>
  <c r="D452" i="115" a="1"/>
  <c r="D453" i="115" a="1"/>
  <c r="D454" i="115" a="1"/>
  <c r="D455" i="115" a="1"/>
  <c r="D456" i="115" a="1"/>
  <c r="D457" i="115" a="1"/>
  <c r="D458" i="115" a="1"/>
  <c r="D459" i="115" a="1"/>
  <c r="D460" i="115" a="1"/>
  <c r="D461" i="115" a="1"/>
  <c r="D462" i="115" a="1"/>
  <c r="D463" i="115" a="1"/>
  <c r="D464" i="115" a="1"/>
  <c r="D465" i="115" a="1"/>
  <c r="D466" i="115" a="1"/>
  <c r="D467" i="115" a="1"/>
  <c r="D468" i="115" a="1"/>
  <c r="D469" i="115" a="1"/>
  <c r="D470" i="115" a="1"/>
  <c r="D471" i="115" a="1"/>
  <c r="D472" i="115" a="1"/>
  <c r="D473" i="115" a="1"/>
  <c r="D474" i="115" a="1"/>
  <c r="D475" i="115" a="1"/>
  <c r="D476" i="115" a="1"/>
  <c r="D477" i="115" a="1"/>
  <c r="D478" i="115" a="1"/>
  <c r="D479" i="115" a="1"/>
  <c r="D480" i="115" a="1"/>
  <c r="D481" i="115" a="1"/>
  <c r="D482" i="115" a="1"/>
  <c r="D483" i="115" a="1"/>
  <c r="D484" i="115" a="1"/>
  <c r="D485" i="115" a="1"/>
  <c r="D486" i="115" a="1"/>
  <c r="D487" i="115" a="1"/>
  <c r="D488" i="115" a="1"/>
  <c r="D489" i="115" a="1"/>
  <c r="D490" i="115" a="1"/>
  <c r="D491" i="115" a="1"/>
  <c r="D492" i="115" a="1"/>
  <c r="D493" i="115" a="1"/>
  <c r="D494" i="115" a="1"/>
  <c r="D495" i="115" a="1"/>
  <c r="D496" i="115" a="1"/>
  <c r="D497" i="115" a="1"/>
  <c r="D498" i="115" a="1"/>
  <c r="D499" i="115" a="1"/>
  <c r="D500" i="115" a="1"/>
  <c r="D501" i="115" a="1"/>
  <c r="D3" i="115" a="1"/>
  <c r="D4" i="115" a="1"/>
  <c r="D5" i="115" a="1"/>
  <c r="D6" i="115" a="1"/>
  <c r="D7" i="115" a="1"/>
  <c r="D8" i="115" a="1"/>
  <c r="D9" i="115" a="1"/>
  <c r="D10" i="115" a="1"/>
  <c r="D11" i="115" a="1"/>
  <c r="D12" i="115" a="1"/>
  <c r="D13" i="115" a="1"/>
  <c r="D14" i="115" a="1"/>
  <c r="D15" i="115" a="1"/>
  <c r="D16" i="115" a="1"/>
  <c r="D17" i="115" a="1"/>
  <c r="D18" i="115" a="1"/>
  <c r="D19" i="115" a="1"/>
  <c r="D2" i="115" a="1"/>
  <c r="E53" i="238"/>
  <c r="E54" i="238"/>
  <c r="E55" i="238"/>
  <c r="E56" i="238"/>
  <c r="E57" i="238"/>
  <c r="E58" i="238"/>
  <c r="E59" i="238"/>
  <c r="E60" i="238"/>
  <c r="E61" i="238"/>
  <c r="E62" i="238"/>
  <c r="E63" i="238"/>
  <c r="E64" i="238"/>
  <c r="E65" i="238"/>
  <c r="E66" i="238"/>
  <c r="E67" i="238"/>
  <c r="E68" i="238"/>
  <c r="E69" i="238"/>
  <c r="E70" i="238"/>
  <c r="E71" i="238"/>
  <c r="E72" i="238"/>
  <c r="E73" i="238"/>
  <c r="E74" i="238"/>
  <c r="E75" i="238"/>
  <c r="E76" i="238"/>
  <c r="E77" i="238"/>
  <c r="E78" i="238"/>
  <c r="E79" i="238"/>
  <c r="E80" i="238"/>
  <c r="E81" i="238"/>
  <c r="E82" i="238"/>
  <c r="E83" i="238"/>
  <c r="E84" i="238"/>
  <c r="E85" i="238"/>
  <c r="E86" i="238"/>
  <c r="E87" i="238"/>
  <c r="E88" i="238"/>
  <c r="E89" i="238"/>
  <c r="E90" i="238"/>
  <c r="E91" i="238"/>
  <c r="E92" i="238"/>
  <c r="E93" i="238"/>
  <c r="E94" i="238"/>
  <c r="E52" i="238"/>
  <c r="E9" i="238"/>
  <c r="E10" i="238"/>
  <c r="E11" i="238"/>
  <c r="E12" i="238"/>
  <c r="E13" i="238"/>
  <c r="E14" i="238"/>
  <c r="E15" i="238"/>
  <c r="E16" i="238"/>
  <c r="E17" i="238"/>
  <c r="E18" i="238"/>
  <c r="E19" i="238"/>
  <c r="E20" i="238"/>
  <c r="E21" i="238"/>
  <c r="E22" i="238"/>
  <c r="E23" i="238"/>
  <c r="E24" i="238"/>
  <c r="E25" i="238"/>
  <c r="E26" i="238"/>
  <c r="E27" i="238"/>
  <c r="E28" i="238"/>
  <c r="E29" i="238"/>
  <c r="E30" i="238"/>
  <c r="E31" i="238"/>
  <c r="E32" i="238"/>
  <c r="E33" i="238"/>
  <c r="E34" i="238"/>
  <c r="E35" i="238"/>
  <c r="E36" i="238"/>
  <c r="E37" i="238"/>
  <c r="E38" i="238"/>
  <c r="E39" i="238"/>
  <c r="E40" i="238"/>
  <c r="E41" i="238"/>
  <c r="E42" i="238"/>
  <c r="E43" i="238"/>
  <c r="E44" i="238"/>
  <c r="E45" i="238"/>
  <c r="E46" i="238"/>
  <c r="E47" i="238"/>
  <c r="E48" i="238"/>
  <c r="E49" i="238"/>
  <c r="E50" i="238"/>
  <c r="E51" i="238"/>
  <c r="E8" i="238"/>
  <c r="C94" i="238"/>
  <c r="B94" i="238"/>
  <c r="C93" i="238"/>
  <c r="B93" i="238"/>
  <c r="C92" i="238"/>
  <c r="B92" i="238"/>
  <c r="C91" i="238"/>
  <c r="B91" i="238"/>
  <c r="C90" i="238"/>
  <c r="B90" i="238"/>
  <c r="C89" i="238"/>
  <c r="B89" i="238"/>
  <c r="C88" i="238"/>
  <c r="B88" i="238"/>
  <c r="C87" i="238"/>
  <c r="B87" i="238"/>
  <c r="C86" i="238"/>
  <c r="B86" i="238"/>
  <c r="C85" i="238"/>
  <c r="B85" i="238"/>
  <c r="C84" i="238"/>
  <c r="B84" i="238"/>
  <c r="C83" i="238"/>
  <c r="B83" i="238"/>
  <c r="C82" i="238"/>
  <c r="B82" i="238"/>
  <c r="C81" i="238"/>
  <c r="B81" i="238"/>
  <c r="C80" i="238"/>
  <c r="B80" i="238"/>
  <c r="C79" i="238"/>
  <c r="B79" i="238"/>
  <c r="C78" i="238"/>
  <c r="B78" i="238"/>
  <c r="C77" i="238"/>
  <c r="B77" i="238"/>
  <c r="C76" i="238"/>
  <c r="B76" i="238"/>
  <c r="C75" i="238"/>
  <c r="B75" i="238"/>
  <c r="C74" i="238"/>
  <c r="B74" i="238"/>
  <c r="C73" i="238"/>
  <c r="B73" i="238"/>
  <c r="C72" i="238"/>
  <c r="B72" i="238"/>
  <c r="C71" i="238"/>
  <c r="B71" i="238"/>
  <c r="C70" i="238"/>
  <c r="B70" i="238"/>
  <c r="C69" i="238"/>
  <c r="B69" i="238"/>
  <c r="C68" i="238"/>
  <c r="B68" i="238"/>
  <c r="C67" i="238"/>
  <c r="B67" i="238"/>
  <c r="C66" i="238"/>
  <c r="B66" i="238"/>
  <c r="C65" i="238"/>
  <c r="B65" i="238"/>
  <c r="C64" i="238"/>
  <c r="B64" i="238"/>
  <c r="C63" i="238"/>
  <c r="B63" i="238"/>
  <c r="C62" i="238"/>
  <c r="B62" i="238"/>
  <c r="C61" i="238"/>
  <c r="B61" i="238"/>
  <c r="C60" i="238"/>
  <c r="B60" i="238"/>
  <c r="C59" i="238"/>
  <c r="B59" i="238"/>
  <c r="C58" i="238"/>
  <c r="B58" i="238"/>
  <c r="C57" i="238"/>
  <c r="B57" i="238"/>
  <c r="C56" i="238"/>
  <c r="B56" i="238"/>
  <c r="C55" i="238"/>
  <c r="B55" i="238"/>
  <c r="C54" i="238"/>
  <c r="B54" i="238"/>
  <c r="C53" i="238"/>
  <c r="B53" i="238"/>
  <c r="C52" i="238"/>
  <c r="B52" i="238"/>
  <c r="C51" i="238"/>
  <c r="B51" i="238"/>
  <c r="C50" i="238"/>
  <c r="B50" i="238"/>
  <c r="C49" i="238"/>
  <c r="B49" i="238"/>
  <c r="C48" i="238"/>
  <c r="B48" i="238"/>
  <c r="C47" i="238"/>
  <c r="B47" i="238"/>
  <c r="C46" i="238"/>
  <c r="B46" i="238"/>
  <c r="C45" i="238"/>
  <c r="B45" i="238"/>
  <c r="C44" i="238"/>
  <c r="B44" i="238"/>
  <c r="C43" i="238"/>
  <c r="B43" i="238"/>
  <c r="C42" i="238"/>
  <c r="B42" i="238"/>
  <c r="C41" i="238"/>
  <c r="B41" i="238"/>
  <c r="C40" i="238"/>
  <c r="B40" i="238"/>
  <c r="C39" i="238"/>
  <c r="B39" i="238"/>
  <c r="C38" i="238"/>
  <c r="B38" i="238"/>
  <c r="C37" i="238"/>
  <c r="B37" i="238"/>
  <c r="C36" i="238"/>
  <c r="B36" i="238"/>
  <c r="C35" i="238"/>
  <c r="B35" i="238"/>
  <c r="C34" i="238"/>
  <c r="B34" i="238"/>
  <c r="C33" i="238"/>
  <c r="B33" i="238"/>
  <c r="C32" i="238"/>
  <c r="B32" i="238"/>
  <c r="C31" i="238"/>
  <c r="B31" i="238"/>
  <c r="C30" i="238"/>
  <c r="B30" i="238"/>
  <c r="C29" i="238"/>
  <c r="B29" i="238"/>
  <c r="C28" i="238"/>
  <c r="B28" i="238"/>
  <c r="C27" i="238"/>
  <c r="B27" i="238"/>
  <c r="C26" i="238"/>
  <c r="B26" i="238"/>
  <c r="C25" i="238"/>
  <c r="B25" i="238"/>
  <c r="C24" i="238"/>
  <c r="B24" i="238"/>
  <c r="C23" i="238"/>
  <c r="B23" i="238"/>
  <c r="C22" i="238"/>
  <c r="B22" i="238"/>
  <c r="C21" i="238"/>
  <c r="B21" i="238"/>
  <c r="C20" i="238"/>
  <c r="B20" i="238"/>
  <c r="C19" i="238"/>
  <c r="B19" i="238"/>
  <c r="C18" i="238"/>
  <c r="B18" i="238"/>
  <c r="C17" i="238"/>
  <c r="B17" i="238"/>
  <c r="C16" i="238"/>
  <c r="B16" i="238"/>
  <c r="C15" i="238"/>
  <c r="B15" i="238"/>
  <c r="C14" i="238"/>
  <c r="B14" i="238"/>
  <c r="C13" i="238"/>
  <c r="B13" i="238"/>
  <c r="C12" i="238"/>
  <c r="B12" i="238"/>
  <c r="C11" i="238"/>
  <c r="B11" i="238"/>
  <c r="C10" i="238"/>
  <c r="B10" i="238"/>
  <c r="C9" i="238"/>
  <c r="B9" i="238"/>
  <c r="C8" i="238"/>
  <c r="B8" i="238"/>
  <c r="C90" i="237"/>
  <c r="B90" i="237"/>
  <c r="C89" i="237"/>
  <c r="B89" i="237"/>
  <c r="C88" i="237"/>
  <c r="B88" i="237"/>
  <c r="C87" i="237"/>
  <c r="B87" i="237"/>
  <c r="C86" i="237"/>
  <c r="B86" i="237"/>
  <c r="C85" i="237"/>
  <c r="B85" i="237"/>
  <c r="C84" i="237"/>
  <c r="B84" i="237"/>
  <c r="C83" i="237"/>
  <c r="B83" i="237"/>
  <c r="C82" i="237"/>
  <c r="B82" i="237"/>
  <c r="C81" i="237"/>
  <c r="B81" i="237"/>
  <c r="C80" i="237"/>
  <c r="B80" i="237"/>
  <c r="C79" i="237"/>
  <c r="B79" i="237"/>
  <c r="C78" i="237"/>
  <c r="B78" i="237"/>
  <c r="C77" i="237"/>
  <c r="B77" i="237"/>
  <c r="C76" i="237"/>
  <c r="B76" i="237"/>
  <c r="C75" i="237"/>
  <c r="B75" i="237"/>
  <c r="C74" i="237"/>
  <c r="B74" i="237"/>
  <c r="C73" i="237"/>
  <c r="B73" i="237"/>
  <c r="C72" i="237"/>
  <c r="B72" i="237"/>
  <c r="C71" i="237"/>
  <c r="B71" i="237"/>
  <c r="C70" i="237"/>
  <c r="B70" i="237"/>
  <c r="C69" i="237"/>
  <c r="B69" i="237"/>
  <c r="C68" i="237"/>
  <c r="B68" i="237"/>
  <c r="C67" i="237"/>
  <c r="B67" i="237"/>
  <c r="C66" i="237"/>
  <c r="B66" i="237"/>
  <c r="C65" i="237"/>
  <c r="B65" i="237"/>
  <c r="C64" i="237"/>
  <c r="B64" i="237"/>
  <c r="C63" i="237"/>
  <c r="B63" i="237"/>
  <c r="C62" i="237"/>
  <c r="B62" i="237"/>
  <c r="C61" i="237"/>
  <c r="B61" i="237"/>
  <c r="C60" i="237"/>
  <c r="B60" i="237"/>
  <c r="C59" i="237"/>
  <c r="B59" i="237"/>
  <c r="C58" i="237"/>
  <c r="B58" i="237"/>
  <c r="C57" i="237"/>
  <c r="B57" i="237"/>
  <c r="C56" i="237"/>
  <c r="B56" i="237"/>
  <c r="C55" i="237"/>
  <c r="B55" i="237"/>
  <c r="C54" i="237"/>
  <c r="B54" i="237"/>
  <c r="C53" i="237"/>
  <c r="B53" i="237"/>
  <c r="C52" i="237"/>
  <c r="B52" i="237"/>
  <c r="C51" i="237"/>
  <c r="B51" i="237"/>
  <c r="C50" i="237"/>
  <c r="B50" i="237"/>
  <c r="C49" i="237"/>
  <c r="B49" i="237"/>
  <c r="C48" i="237"/>
  <c r="B48" i="237"/>
  <c r="C47" i="237"/>
  <c r="B47" i="237"/>
  <c r="C46" i="237"/>
  <c r="B46" i="237"/>
  <c r="C45" i="237"/>
  <c r="B45" i="237"/>
  <c r="C44" i="237"/>
  <c r="B44" i="237"/>
  <c r="C43" i="237"/>
  <c r="B43" i="237"/>
  <c r="C42" i="237"/>
  <c r="B42" i="237"/>
  <c r="C41" i="237"/>
  <c r="B41" i="237"/>
  <c r="C40" i="237"/>
  <c r="B40" i="237"/>
  <c r="C39" i="237"/>
  <c r="B39" i="237"/>
  <c r="C38" i="237"/>
  <c r="B38" i="237"/>
  <c r="C37" i="237"/>
  <c r="B37" i="237"/>
  <c r="C36" i="237"/>
  <c r="B36" i="237"/>
  <c r="C35" i="237"/>
  <c r="B35" i="237"/>
  <c r="C34" i="237"/>
  <c r="B34" i="237"/>
  <c r="C33" i="237"/>
  <c r="B33" i="237"/>
  <c r="C32" i="237"/>
  <c r="B32" i="237"/>
  <c r="C31" i="237"/>
  <c r="B31" i="237"/>
  <c r="C30" i="237"/>
  <c r="B30" i="237"/>
  <c r="C29" i="237"/>
  <c r="B29" i="237"/>
  <c r="C28" i="237"/>
  <c r="B28" i="237"/>
  <c r="C27" i="237"/>
  <c r="B27" i="237"/>
  <c r="C26" i="237"/>
  <c r="B26" i="237"/>
  <c r="C25" i="237"/>
  <c r="B25" i="237"/>
  <c r="C24" i="237"/>
  <c r="B24" i="237"/>
  <c r="C23" i="237"/>
  <c r="B23" i="237"/>
  <c r="C22" i="237"/>
  <c r="B22" i="237"/>
  <c r="C21" i="237"/>
  <c r="B21" i="237"/>
  <c r="C20" i="237"/>
  <c r="B20" i="237"/>
  <c r="C19" i="237"/>
  <c r="B19" i="237"/>
  <c r="C18" i="237"/>
  <c r="B18" i="237"/>
  <c r="C17" i="237"/>
  <c r="B17" i="237"/>
  <c r="C16" i="237"/>
  <c r="B16" i="237"/>
  <c r="C15" i="237"/>
  <c r="B15" i="237"/>
  <c r="C14" i="237"/>
  <c r="B14" i="237"/>
  <c r="C13" i="237"/>
  <c r="B13" i="237"/>
  <c r="C12" i="237"/>
  <c r="B12" i="237"/>
  <c r="C11" i="237"/>
  <c r="B11" i="237"/>
  <c r="C10" i="237"/>
  <c r="B10" i="237"/>
  <c r="C9" i="237"/>
  <c r="B9" i="237"/>
  <c r="C8" i="237"/>
  <c r="B8" i="237"/>
  <c r="C7" i="237"/>
  <c r="B7" i="237"/>
  <c r="C6" i="237"/>
  <c r="B6" i="237"/>
  <c r="C5" i="237"/>
  <c r="B5" i="237"/>
  <c r="C4" i="237"/>
  <c r="B4" i="237"/>
  <c r="M108" i="115"/>
  <c r="D22" i="5" s="1"/>
  <c r="C107" i="118" a="1"/>
  <c r="B103" i="118" a="1"/>
  <c r="H5" i="174"/>
  <c r="G5" i="174"/>
  <c r="E95" i="238" l="1"/>
  <c r="G107" i="236"/>
  <c r="I107" i="236" s="1"/>
  <c r="G108" i="236"/>
  <c r="I108" i="236" s="1"/>
  <c r="G109" i="236"/>
  <c r="I109" i="236" s="1"/>
  <c r="G110" i="236"/>
  <c r="I110" i="236" s="1"/>
  <c r="G111" i="236"/>
  <c r="I111" i="236" s="1"/>
  <c r="G112" i="236"/>
  <c r="I112" i="236" s="1"/>
  <c r="G113" i="236"/>
  <c r="I113" i="236" s="1"/>
  <c r="G114" i="236"/>
  <c r="I114" i="236" s="1"/>
  <c r="G115" i="236"/>
  <c r="I115" i="236" s="1"/>
  <c r="G116" i="236"/>
  <c r="I116" i="236" s="1"/>
  <c r="G117" i="236"/>
  <c r="I117" i="236" s="1"/>
  <c r="G118" i="236"/>
  <c r="I118" i="236" s="1"/>
  <c r="G119" i="236"/>
  <c r="I119" i="236" s="1"/>
  <c r="G120" i="236"/>
  <c r="I120" i="236" s="1"/>
  <c r="G121" i="236"/>
  <c r="I121" i="236" s="1"/>
  <c r="G122" i="236"/>
  <c r="I122" i="236" s="1"/>
  <c r="G123" i="236"/>
  <c r="I123" i="236" s="1"/>
  <c r="G124" i="236"/>
  <c r="I124" i="236" s="1"/>
  <c r="G125" i="236"/>
  <c r="I125" i="236" s="1"/>
  <c r="G126" i="236"/>
  <c r="I126" i="236" s="1"/>
  <c r="G127" i="236"/>
  <c r="I127" i="236" s="1"/>
  <c r="G128" i="236"/>
  <c r="I128" i="236" s="1"/>
  <c r="G129" i="236"/>
  <c r="I129" i="236" s="1"/>
  <c r="G130" i="236"/>
  <c r="I130" i="236" s="1"/>
  <c r="G131" i="236"/>
  <c r="I131" i="236" s="1"/>
  <c r="G132" i="236"/>
  <c r="I132" i="236" s="1"/>
  <c r="G133" i="236"/>
  <c r="I133" i="236" s="1"/>
  <c r="G134" i="236"/>
  <c r="I134" i="236" s="1"/>
  <c r="G135" i="236"/>
  <c r="I135" i="236" s="1"/>
  <c r="G136" i="236"/>
  <c r="I136" i="236" s="1"/>
  <c r="G137" i="236"/>
  <c r="I137" i="236" s="1"/>
  <c r="G138" i="236"/>
  <c r="I138" i="236" s="1"/>
  <c r="G139" i="236"/>
  <c r="I139" i="236" s="1"/>
  <c r="G140" i="236"/>
  <c r="I140" i="236" s="1"/>
  <c r="G141" i="236"/>
  <c r="I141" i="236" s="1"/>
  <c r="G142" i="236"/>
  <c r="I142" i="236" s="1"/>
  <c r="G143" i="236"/>
  <c r="I143" i="236" s="1"/>
  <c r="G144" i="236"/>
  <c r="I144" i="236" s="1"/>
  <c r="G145" i="236"/>
  <c r="I145" i="236" s="1"/>
  <c r="G146" i="236"/>
  <c r="I146" i="236" s="1"/>
  <c r="G147" i="236"/>
  <c r="I147" i="236" s="1"/>
  <c r="G148" i="236"/>
  <c r="I148" i="236" s="1"/>
  <c r="G106" i="236"/>
  <c r="I106" i="236" s="1"/>
  <c r="G58" i="236"/>
  <c r="I58" i="236" s="1"/>
  <c r="G59" i="236"/>
  <c r="I59" i="236" s="1"/>
  <c r="G60" i="236"/>
  <c r="I60" i="236" s="1"/>
  <c r="G61" i="236"/>
  <c r="I61" i="236" s="1"/>
  <c r="G62" i="236"/>
  <c r="I62" i="236" s="1"/>
  <c r="G63" i="236"/>
  <c r="I63" i="236" s="1"/>
  <c r="G64" i="236"/>
  <c r="I64" i="236" s="1"/>
  <c r="G65" i="236"/>
  <c r="I65" i="236" s="1"/>
  <c r="G66" i="236"/>
  <c r="I66" i="236" s="1"/>
  <c r="G67" i="236"/>
  <c r="I67" i="236" s="1"/>
  <c r="G68" i="236"/>
  <c r="I68" i="236" s="1"/>
  <c r="G69" i="236"/>
  <c r="I69" i="236" s="1"/>
  <c r="G70" i="236"/>
  <c r="I70" i="236" s="1"/>
  <c r="G71" i="236"/>
  <c r="I71" i="236" s="1"/>
  <c r="G72" i="236"/>
  <c r="I72" i="236" s="1"/>
  <c r="G73" i="236"/>
  <c r="I73" i="236" s="1"/>
  <c r="G74" i="236"/>
  <c r="I74" i="236" s="1"/>
  <c r="G75" i="236"/>
  <c r="I75" i="236" s="1"/>
  <c r="G76" i="236"/>
  <c r="I76" i="236" s="1"/>
  <c r="G77" i="236"/>
  <c r="I77" i="236" s="1"/>
  <c r="G78" i="236"/>
  <c r="I78" i="236" s="1"/>
  <c r="G79" i="236"/>
  <c r="I79" i="236" s="1"/>
  <c r="G80" i="236"/>
  <c r="I80" i="236" s="1"/>
  <c r="G81" i="236"/>
  <c r="I81" i="236" s="1"/>
  <c r="G82" i="236"/>
  <c r="I82" i="236" s="1"/>
  <c r="G83" i="236"/>
  <c r="I83" i="236" s="1"/>
  <c r="G84" i="236"/>
  <c r="I84" i="236" s="1"/>
  <c r="G85" i="236"/>
  <c r="I85" i="236" s="1"/>
  <c r="G86" i="236"/>
  <c r="I86" i="236" s="1"/>
  <c r="G87" i="236"/>
  <c r="I87" i="236" s="1"/>
  <c r="G88" i="236"/>
  <c r="I88" i="236" s="1"/>
  <c r="G89" i="236"/>
  <c r="I89" i="236" s="1"/>
  <c r="G90" i="236"/>
  <c r="I90" i="236" s="1"/>
  <c r="G91" i="236"/>
  <c r="I91" i="236" s="1"/>
  <c r="G92" i="236"/>
  <c r="I92" i="236" s="1"/>
  <c r="G93" i="236"/>
  <c r="I93" i="236" s="1"/>
  <c r="G94" i="236"/>
  <c r="I94" i="236" s="1"/>
  <c r="G95" i="236"/>
  <c r="I95" i="236" s="1"/>
  <c r="G96" i="236"/>
  <c r="I96" i="236" s="1"/>
  <c r="G97" i="236"/>
  <c r="I97" i="236" s="1"/>
  <c r="G98" i="236"/>
  <c r="I98" i="236" s="1"/>
  <c r="G99" i="236"/>
  <c r="I99" i="236" s="1"/>
  <c r="G100" i="236"/>
  <c r="I100" i="236" s="1"/>
  <c r="G57" i="236"/>
  <c r="M149" i="236"/>
  <c r="H149" i="236"/>
  <c r="D148" i="236"/>
  <c r="C148" i="236"/>
  <c r="B148" i="236"/>
  <c r="D147" i="236"/>
  <c r="C147" i="236"/>
  <c r="B147" i="236"/>
  <c r="D146" i="236"/>
  <c r="C146" i="236"/>
  <c r="B146" i="236"/>
  <c r="D145" i="236"/>
  <c r="C145" i="236"/>
  <c r="B145" i="236"/>
  <c r="D144" i="236"/>
  <c r="C144" i="236"/>
  <c r="B144" i="236"/>
  <c r="D143" i="236"/>
  <c r="C143" i="236"/>
  <c r="B143" i="236"/>
  <c r="D142" i="236"/>
  <c r="C142" i="236"/>
  <c r="B142" i="236"/>
  <c r="D141" i="236"/>
  <c r="C141" i="236"/>
  <c r="B141" i="236"/>
  <c r="D140" i="236"/>
  <c r="C140" i="236"/>
  <c r="B140" i="236"/>
  <c r="D139" i="236"/>
  <c r="C139" i="236"/>
  <c r="B139" i="236"/>
  <c r="D138" i="236"/>
  <c r="C138" i="236"/>
  <c r="B138" i="236"/>
  <c r="D137" i="236"/>
  <c r="C137" i="236"/>
  <c r="B137" i="236"/>
  <c r="D136" i="236"/>
  <c r="C136" i="236"/>
  <c r="B136" i="236"/>
  <c r="D135" i="236"/>
  <c r="C135" i="236"/>
  <c r="B135" i="236"/>
  <c r="D134" i="236"/>
  <c r="C134" i="236"/>
  <c r="B134" i="236"/>
  <c r="D133" i="236"/>
  <c r="C133" i="236"/>
  <c r="B133" i="236"/>
  <c r="D132" i="236"/>
  <c r="C132" i="236"/>
  <c r="B132" i="236"/>
  <c r="D131" i="236"/>
  <c r="C131" i="236"/>
  <c r="B131" i="236"/>
  <c r="D130" i="236"/>
  <c r="C130" i="236"/>
  <c r="B130" i="236"/>
  <c r="D129" i="236"/>
  <c r="C129" i="236"/>
  <c r="B129" i="236"/>
  <c r="D128" i="236"/>
  <c r="C128" i="236"/>
  <c r="B128" i="236"/>
  <c r="D127" i="236"/>
  <c r="C127" i="236"/>
  <c r="B127" i="236"/>
  <c r="D126" i="236"/>
  <c r="C126" i="236"/>
  <c r="B126" i="236"/>
  <c r="D125" i="236"/>
  <c r="C125" i="236"/>
  <c r="B125" i="236"/>
  <c r="D124" i="236"/>
  <c r="C124" i="236"/>
  <c r="B124" i="236"/>
  <c r="D123" i="236"/>
  <c r="C123" i="236"/>
  <c r="B123" i="236"/>
  <c r="D122" i="236"/>
  <c r="C122" i="236"/>
  <c r="B122" i="236"/>
  <c r="D121" i="236"/>
  <c r="C121" i="236"/>
  <c r="B121" i="236"/>
  <c r="D120" i="236"/>
  <c r="C120" i="236"/>
  <c r="B120" i="236"/>
  <c r="D119" i="236"/>
  <c r="C119" i="236"/>
  <c r="B119" i="236"/>
  <c r="D118" i="236"/>
  <c r="C118" i="236"/>
  <c r="B118" i="236"/>
  <c r="D117" i="236"/>
  <c r="C117" i="236"/>
  <c r="B117" i="236"/>
  <c r="D116" i="236"/>
  <c r="C116" i="236"/>
  <c r="B116" i="236"/>
  <c r="D115" i="236"/>
  <c r="C115" i="236"/>
  <c r="B115" i="236"/>
  <c r="D114" i="236"/>
  <c r="C114" i="236"/>
  <c r="B114" i="236"/>
  <c r="D113" i="236"/>
  <c r="C113" i="236"/>
  <c r="B113" i="236"/>
  <c r="D112" i="236"/>
  <c r="C112" i="236"/>
  <c r="B112" i="236"/>
  <c r="D111" i="236"/>
  <c r="C111" i="236"/>
  <c r="B111" i="236"/>
  <c r="D110" i="236"/>
  <c r="C110" i="236"/>
  <c r="B110" i="236"/>
  <c r="D109" i="236"/>
  <c r="C109" i="236"/>
  <c r="B109" i="236"/>
  <c r="D108" i="236"/>
  <c r="C108" i="236"/>
  <c r="B108" i="236"/>
  <c r="D107" i="236"/>
  <c r="C107" i="236"/>
  <c r="B107" i="236"/>
  <c r="D106" i="236"/>
  <c r="C106" i="236"/>
  <c r="B106" i="236"/>
  <c r="A106" i="236"/>
  <c r="A107" i="236" s="1"/>
  <c r="A108" i="236" s="1"/>
  <c r="A109" i="236" s="1"/>
  <c r="A110" i="236" s="1"/>
  <c r="A111" i="236" s="1"/>
  <c r="A112" i="236" s="1"/>
  <c r="A113" i="236" s="1"/>
  <c r="A114" i="236" s="1"/>
  <c r="A115" i="236" s="1"/>
  <c r="A116" i="236" s="1"/>
  <c r="A117" i="236" s="1"/>
  <c r="A118" i="236" s="1"/>
  <c r="A119" i="236" s="1"/>
  <c r="A120" i="236" s="1"/>
  <c r="A121" i="236" s="1"/>
  <c r="A122" i="236" s="1"/>
  <c r="A123" i="236" s="1"/>
  <c r="A124" i="236" s="1"/>
  <c r="A125" i="236" s="1"/>
  <c r="A126" i="236" s="1"/>
  <c r="A127" i="236" s="1"/>
  <c r="A128" i="236" s="1"/>
  <c r="A129" i="236" s="1"/>
  <c r="A130" i="236" s="1"/>
  <c r="A131" i="236" s="1"/>
  <c r="A132" i="236" s="1"/>
  <c r="A133" i="236" s="1"/>
  <c r="A134" i="236" s="1"/>
  <c r="A135" i="236" s="1"/>
  <c r="A136" i="236" s="1"/>
  <c r="A137" i="236" s="1"/>
  <c r="A138" i="236" s="1"/>
  <c r="A139" i="236" s="1"/>
  <c r="A140" i="236" s="1"/>
  <c r="A141" i="236" s="1"/>
  <c r="A142" i="236" s="1"/>
  <c r="A143" i="236" s="1"/>
  <c r="A144" i="236" s="1"/>
  <c r="A145" i="236" s="1"/>
  <c r="A146" i="236" s="1"/>
  <c r="A147" i="236" s="1"/>
  <c r="A148" i="236" s="1"/>
  <c r="N103" i="236"/>
  <c r="J103" i="236"/>
  <c r="H103" i="236"/>
  <c r="J102" i="236"/>
  <c r="H102" i="236"/>
  <c r="J101" i="236"/>
  <c r="D100" i="236"/>
  <c r="C100" i="236"/>
  <c r="B100" i="236"/>
  <c r="D99" i="236"/>
  <c r="C99" i="236"/>
  <c r="B99" i="236"/>
  <c r="D98" i="236"/>
  <c r="C98" i="236"/>
  <c r="B98" i="236"/>
  <c r="D97" i="236"/>
  <c r="C97" i="236"/>
  <c r="B97" i="236"/>
  <c r="D96" i="236"/>
  <c r="C96" i="236"/>
  <c r="B96" i="236"/>
  <c r="D95" i="236"/>
  <c r="C95" i="236"/>
  <c r="B95" i="236"/>
  <c r="D94" i="236"/>
  <c r="C94" i="236"/>
  <c r="B94" i="236"/>
  <c r="D93" i="236"/>
  <c r="C93" i="236"/>
  <c r="B93" i="236"/>
  <c r="D92" i="236"/>
  <c r="C92" i="236"/>
  <c r="B92" i="236"/>
  <c r="D91" i="236"/>
  <c r="C91" i="236"/>
  <c r="B91" i="236"/>
  <c r="D90" i="236"/>
  <c r="C90" i="236"/>
  <c r="B90" i="236"/>
  <c r="D89" i="236"/>
  <c r="C89" i="236"/>
  <c r="B89" i="236"/>
  <c r="D88" i="236"/>
  <c r="C88" i="236"/>
  <c r="B88" i="236"/>
  <c r="D87" i="236"/>
  <c r="C87" i="236"/>
  <c r="B87" i="236"/>
  <c r="D86" i="236"/>
  <c r="C86" i="236"/>
  <c r="B86" i="236"/>
  <c r="D85" i="236"/>
  <c r="C85" i="236"/>
  <c r="B85" i="236"/>
  <c r="D84" i="236"/>
  <c r="C84" i="236"/>
  <c r="B84" i="236"/>
  <c r="D83" i="236"/>
  <c r="C83" i="236"/>
  <c r="B83" i="236"/>
  <c r="D82" i="236"/>
  <c r="C82" i="236"/>
  <c r="B82" i="236"/>
  <c r="D81" i="236"/>
  <c r="C81" i="236"/>
  <c r="B81" i="236"/>
  <c r="D80" i="236"/>
  <c r="C80" i="236"/>
  <c r="B80" i="236"/>
  <c r="D79" i="236"/>
  <c r="C79" i="236"/>
  <c r="B79" i="236"/>
  <c r="D78" i="236"/>
  <c r="C78" i="236"/>
  <c r="B78" i="236"/>
  <c r="D77" i="236"/>
  <c r="C77" i="236"/>
  <c r="B77" i="236"/>
  <c r="D76" i="236"/>
  <c r="C76" i="236"/>
  <c r="B76" i="236"/>
  <c r="D75" i="236"/>
  <c r="C75" i="236"/>
  <c r="B75" i="236"/>
  <c r="D74" i="236"/>
  <c r="C74" i="236"/>
  <c r="B74" i="236"/>
  <c r="D73" i="236"/>
  <c r="C73" i="236"/>
  <c r="B73" i="236"/>
  <c r="D72" i="236"/>
  <c r="C72" i="236"/>
  <c r="B72" i="236"/>
  <c r="D71" i="236"/>
  <c r="C71" i="236"/>
  <c r="B71" i="236"/>
  <c r="D70" i="236"/>
  <c r="C70" i="236"/>
  <c r="B70" i="236"/>
  <c r="D69" i="236"/>
  <c r="C69" i="236"/>
  <c r="B69" i="236"/>
  <c r="D68" i="236"/>
  <c r="C68" i="236"/>
  <c r="B68" i="236"/>
  <c r="D67" i="236"/>
  <c r="C67" i="236"/>
  <c r="B67" i="236"/>
  <c r="D66" i="236"/>
  <c r="C66" i="236"/>
  <c r="B66" i="236"/>
  <c r="D65" i="236"/>
  <c r="C65" i="236"/>
  <c r="B65" i="236"/>
  <c r="D64" i="236"/>
  <c r="C64" i="236"/>
  <c r="B64" i="236"/>
  <c r="D63" i="236"/>
  <c r="C63" i="236"/>
  <c r="B63" i="236"/>
  <c r="D62" i="236"/>
  <c r="C62" i="236"/>
  <c r="B62" i="236"/>
  <c r="D61" i="236"/>
  <c r="C61" i="236"/>
  <c r="B61" i="236"/>
  <c r="D60" i="236"/>
  <c r="C60" i="236"/>
  <c r="B60" i="236"/>
  <c r="D59" i="236"/>
  <c r="C59" i="236"/>
  <c r="B59" i="236"/>
  <c r="D58" i="236"/>
  <c r="C58" i="236"/>
  <c r="B58" i="236"/>
  <c r="D57" i="236"/>
  <c r="C57" i="236"/>
  <c r="B57" i="236"/>
  <c r="N54" i="236"/>
  <c r="J54" i="236"/>
  <c r="H54" i="236"/>
  <c r="J53" i="236"/>
  <c r="H53" i="236"/>
  <c r="J52" i="236"/>
  <c r="D21" i="236" a="1"/>
  <c r="D20" i="236" a="1"/>
  <c r="D19" i="236" a="1"/>
  <c r="D14" i="236" a="1"/>
  <c r="D54" i="236" s="1"/>
  <c r="D13" i="236" a="1"/>
  <c r="D12" i="236" a="1"/>
  <c r="D101" i="236" s="1"/>
  <c r="D10" i="236" a="1"/>
  <c r="D8" i="236"/>
  <c r="D7" i="236"/>
  <c r="D6" i="236"/>
  <c r="D5" i="236"/>
  <c r="N3" i="236"/>
  <c r="N1" i="236"/>
  <c r="G107" i="235"/>
  <c r="I107" i="235" s="1"/>
  <c r="G108" i="235"/>
  <c r="I108" i="235" s="1"/>
  <c r="G109" i="235"/>
  <c r="I109" i="235" s="1"/>
  <c r="G110" i="235"/>
  <c r="I110" i="235" s="1"/>
  <c r="G111" i="235"/>
  <c r="I111" i="235" s="1"/>
  <c r="G112" i="235"/>
  <c r="I112" i="235" s="1"/>
  <c r="G113" i="235"/>
  <c r="I113" i="235" s="1"/>
  <c r="G114" i="235"/>
  <c r="I114" i="235" s="1"/>
  <c r="G115" i="235"/>
  <c r="I115" i="235" s="1"/>
  <c r="G116" i="235"/>
  <c r="I116" i="235" s="1"/>
  <c r="G117" i="235"/>
  <c r="I117" i="235" s="1"/>
  <c r="G118" i="235"/>
  <c r="I118" i="235" s="1"/>
  <c r="G119" i="235"/>
  <c r="I119" i="235" s="1"/>
  <c r="G120" i="235"/>
  <c r="I120" i="235" s="1"/>
  <c r="G121" i="235"/>
  <c r="I121" i="235" s="1"/>
  <c r="G122" i="235"/>
  <c r="I122" i="235" s="1"/>
  <c r="G123" i="235"/>
  <c r="I123" i="235" s="1"/>
  <c r="G124" i="235"/>
  <c r="I124" i="235" s="1"/>
  <c r="G125" i="235"/>
  <c r="I125" i="235" s="1"/>
  <c r="G126" i="235"/>
  <c r="I126" i="235" s="1"/>
  <c r="G127" i="235"/>
  <c r="I127" i="235" s="1"/>
  <c r="G128" i="235"/>
  <c r="I128" i="235" s="1"/>
  <c r="G129" i="235"/>
  <c r="I129" i="235" s="1"/>
  <c r="G130" i="235"/>
  <c r="I130" i="235" s="1"/>
  <c r="G131" i="235"/>
  <c r="I131" i="235" s="1"/>
  <c r="G132" i="235"/>
  <c r="I132" i="235" s="1"/>
  <c r="G133" i="235"/>
  <c r="I133" i="235" s="1"/>
  <c r="G134" i="235"/>
  <c r="I134" i="235" s="1"/>
  <c r="G135" i="235"/>
  <c r="I135" i="235" s="1"/>
  <c r="G136" i="235"/>
  <c r="I136" i="235" s="1"/>
  <c r="G137" i="235"/>
  <c r="I137" i="235" s="1"/>
  <c r="G138" i="235"/>
  <c r="I138" i="235" s="1"/>
  <c r="G139" i="235"/>
  <c r="I139" i="235" s="1"/>
  <c r="G140" i="235"/>
  <c r="I140" i="235" s="1"/>
  <c r="G141" i="235"/>
  <c r="I141" i="235" s="1"/>
  <c r="G142" i="235"/>
  <c r="I142" i="235" s="1"/>
  <c r="G143" i="235"/>
  <c r="I143" i="235" s="1"/>
  <c r="G144" i="235"/>
  <c r="I144" i="235" s="1"/>
  <c r="G145" i="235"/>
  <c r="I145" i="235" s="1"/>
  <c r="G146" i="235"/>
  <c r="I146" i="235" s="1"/>
  <c r="G147" i="235"/>
  <c r="I147" i="235" s="1"/>
  <c r="G148" i="235"/>
  <c r="I148" i="235" s="1"/>
  <c r="G106" i="235"/>
  <c r="I106" i="235" s="1"/>
  <c r="G58" i="235"/>
  <c r="I58" i="235" s="1"/>
  <c r="G59" i="235"/>
  <c r="I59" i="235" s="1"/>
  <c r="G60" i="235"/>
  <c r="I60" i="235" s="1"/>
  <c r="G61" i="235"/>
  <c r="I61" i="235" s="1"/>
  <c r="G62" i="235"/>
  <c r="I62" i="235" s="1"/>
  <c r="G63" i="235"/>
  <c r="I63" i="235" s="1"/>
  <c r="G64" i="235"/>
  <c r="I64" i="235" s="1"/>
  <c r="G65" i="235"/>
  <c r="I65" i="235" s="1"/>
  <c r="G66" i="235"/>
  <c r="I66" i="235" s="1"/>
  <c r="G67" i="235"/>
  <c r="I67" i="235" s="1"/>
  <c r="G68" i="235"/>
  <c r="I68" i="235" s="1"/>
  <c r="G69" i="235"/>
  <c r="I69" i="235" s="1"/>
  <c r="G70" i="235"/>
  <c r="I70" i="235" s="1"/>
  <c r="G71" i="235"/>
  <c r="I71" i="235" s="1"/>
  <c r="G72" i="235"/>
  <c r="I72" i="235" s="1"/>
  <c r="G73" i="235"/>
  <c r="I73" i="235" s="1"/>
  <c r="G74" i="235"/>
  <c r="I74" i="235" s="1"/>
  <c r="G75" i="235"/>
  <c r="I75" i="235" s="1"/>
  <c r="G76" i="235"/>
  <c r="I76" i="235" s="1"/>
  <c r="G77" i="235"/>
  <c r="I77" i="235" s="1"/>
  <c r="G78" i="235"/>
  <c r="I78" i="235" s="1"/>
  <c r="G79" i="235"/>
  <c r="I79" i="235" s="1"/>
  <c r="G80" i="235"/>
  <c r="I80" i="235" s="1"/>
  <c r="G81" i="235"/>
  <c r="I81" i="235" s="1"/>
  <c r="G82" i="235"/>
  <c r="I82" i="235" s="1"/>
  <c r="G83" i="235"/>
  <c r="I83" i="235" s="1"/>
  <c r="G84" i="235"/>
  <c r="I84" i="235" s="1"/>
  <c r="G85" i="235"/>
  <c r="I85" i="235" s="1"/>
  <c r="G86" i="235"/>
  <c r="I86" i="235" s="1"/>
  <c r="G87" i="235"/>
  <c r="I87" i="235" s="1"/>
  <c r="G88" i="235"/>
  <c r="I88" i="235" s="1"/>
  <c r="G89" i="235"/>
  <c r="I89" i="235" s="1"/>
  <c r="G90" i="235"/>
  <c r="I90" i="235" s="1"/>
  <c r="G91" i="235"/>
  <c r="I91" i="235" s="1"/>
  <c r="G92" i="235"/>
  <c r="I92" i="235" s="1"/>
  <c r="G93" i="235"/>
  <c r="I93" i="235" s="1"/>
  <c r="G94" i="235"/>
  <c r="I94" i="235" s="1"/>
  <c r="G95" i="235"/>
  <c r="I95" i="235" s="1"/>
  <c r="G96" i="235"/>
  <c r="I96" i="235" s="1"/>
  <c r="G97" i="235"/>
  <c r="I97" i="235" s="1"/>
  <c r="G98" i="235"/>
  <c r="I98" i="235" s="1"/>
  <c r="G99" i="235"/>
  <c r="I99" i="235" s="1"/>
  <c r="G100" i="235"/>
  <c r="I100" i="235" s="1"/>
  <c r="G57" i="235"/>
  <c r="M149" i="235"/>
  <c r="H149" i="235"/>
  <c r="D148" i="235"/>
  <c r="C148" i="235"/>
  <c r="B148" i="235"/>
  <c r="D147" i="235"/>
  <c r="C147" i="235"/>
  <c r="B147" i="235"/>
  <c r="D146" i="235"/>
  <c r="C146" i="235"/>
  <c r="B146" i="235"/>
  <c r="D145" i="235"/>
  <c r="C145" i="235"/>
  <c r="B145" i="235"/>
  <c r="D144" i="235"/>
  <c r="C144" i="235"/>
  <c r="B144" i="235"/>
  <c r="D143" i="235"/>
  <c r="C143" i="235"/>
  <c r="B143" i="235"/>
  <c r="D142" i="235"/>
  <c r="C142" i="235"/>
  <c r="B142" i="235"/>
  <c r="D141" i="235"/>
  <c r="C141" i="235"/>
  <c r="B141" i="235"/>
  <c r="D140" i="235"/>
  <c r="C140" i="235"/>
  <c r="B140" i="235"/>
  <c r="D139" i="235"/>
  <c r="C139" i="235"/>
  <c r="B139" i="235"/>
  <c r="D138" i="235"/>
  <c r="C138" i="235"/>
  <c r="B138" i="235"/>
  <c r="D137" i="235"/>
  <c r="C137" i="235"/>
  <c r="B137" i="235"/>
  <c r="D136" i="235"/>
  <c r="C136" i="235"/>
  <c r="B136" i="235"/>
  <c r="D135" i="235"/>
  <c r="C135" i="235"/>
  <c r="B135" i="235"/>
  <c r="D134" i="235"/>
  <c r="C134" i="235"/>
  <c r="B134" i="235"/>
  <c r="D133" i="235"/>
  <c r="C133" i="235"/>
  <c r="B133" i="235"/>
  <c r="D132" i="235"/>
  <c r="C132" i="235"/>
  <c r="B132" i="235"/>
  <c r="D131" i="235"/>
  <c r="C131" i="235"/>
  <c r="B131" i="235"/>
  <c r="D130" i="235"/>
  <c r="C130" i="235"/>
  <c r="B130" i="235"/>
  <c r="D129" i="235"/>
  <c r="C129" i="235"/>
  <c r="B129" i="235"/>
  <c r="D128" i="235"/>
  <c r="C128" i="235"/>
  <c r="B128" i="235"/>
  <c r="D127" i="235"/>
  <c r="C127" i="235"/>
  <c r="B127" i="235"/>
  <c r="D126" i="235"/>
  <c r="C126" i="235"/>
  <c r="B126" i="235"/>
  <c r="D125" i="235"/>
  <c r="C125" i="235"/>
  <c r="B125" i="235"/>
  <c r="D124" i="235"/>
  <c r="C124" i="235"/>
  <c r="B124" i="235"/>
  <c r="D123" i="235"/>
  <c r="C123" i="235"/>
  <c r="B123" i="235"/>
  <c r="D122" i="235"/>
  <c r="C122" i="235"/>
  <c r="B122" i="235"/>
  <c r="D121" i="235"/>
  <c r="C121" i="235"/>
  <c r="B121" i="235"/>
  <c r="D120" i="235"/>
  <c r="C120" i="235"/>
  <c r="B120" i="235"/>
  <c r="D119" i="235"/>
  <c r="C119" i="235"/>
  <c r="B119" i="235"/>
  <c r="D118" i="235"/>
  <c r="C118" i="235"/>
  <c r="B118" i="235"/>
  <c r="D117" i="235"/>
  <c r="C117" i="235"/>
  <c r="B117" i="235"/>
  <c r="D116" i="235"/>
  <c r="C116" i="235"/>
  <c r="B116" i="235"/>
  <c r="D115" i="235"/>
  <c r="C115" i="235"/>
  <c r="B115" i="235"/>
  <c r="D114" i="235"/>
  <c r="C114" i="235"/>
  <c r="B114" i="235"/>
  <c r="D113" i="235"/>
  <c r="C113" i="235"/>
  <c r="B113" i="235"/>
  <c r="D112" i="235"/>
  <c r="C112" i="235"/>
  <c r="B112" i="235"/>
  <c r="D111" i="235"/>
  <c r="C111" i="235"/>
  <c r="B111" i="235"/>
  <c r="D110" i="235"/>
  <c r="C110" i="235"/>
  <c r="B110" i="235"/>
  <c r="D109" i="235"/>
  <c r="C109" i="235"/>
  <c r="B109" i="235"/>
  <c r="D108" i="235"/>
  <c r="C108" i="235"/>
  <c r="B108" i="235"/>
  <c r="D107" i="235"/>
  <c r="C107" i="235"/>
  <c r="B107" i="235"/>
  <c r="D106" i="235"/>
  <c r="C106" i="235"/>
  <c r="B106" i="235"/>
  <c r="A106" i="235"/>
  <c r="A107" i="235" s="1"/>
  <c r="A108" i="235" s="1"/>
  <c r="A109" i="235" s="1"/>
  <c r="A110" i="235" s="1"/>
  <c r="A111" i="235" s="1"/>
  <c r="A112" i="235" s="1"/>
  <c r="A113" i="235" s="1"/>
  <c r="A114" i="235" s="1"/>
  <c r="A115" i="235" s="1"/>
  <c r="A116" i="235" s="1"/>
  <c r="A117" i="235" s="1"/>
  <c r="A118" i="235" s="1"/>
  <c r="A119" i="235" s="1"/>
  <c r="A120" i="235" s="1"/>
  <c r="A121" i="235" s="1"/>
  <c r="A122" i="235" s="1"/>
  <c r="A123" i="235" s="1"/>
  <c r="A124" i="235" s="1"/>
  <c r="A125" i="235" s="1"/>
  <c r="A126" i="235" s="1"/>
  <c r="A127" i="235" s="1"/>
  <c r="A128" i="235" s="1"/>
  <c r="A129" i="235" s="1"/>
  <c r="A130" i="235" s="1"/>
  <c r="A131" i="235" s="1"/>
  <c r="A132" i="235" s="1"/>
  <c r="A133" i="235" s="1"/>
  <c r="A134" i="235" s="1"/>
  <c r="A135" i="235" s="1"/>
  <c r="A136" i="235" s="1"/>
  <c r="A137" i="235" s="1"/>
  <c r="A138" i="235" s="1"/>
  <c r="A139" i="235" s="1"/>
  <c r="A140" i="235" s="1"/>
  <c r="A141" i="235" s="1"/>
  <c r="A142" i="235" s="1"/>
  <c r="A143" i="235" s="1"/>
  <c r="A144" i="235" s="1"/>
  <c r="A145" i="235" s="1"/>
  <c r="A146" i="235" s="1"/>
  <c r="A147" i="235" s="1"/>
  <c r="A148" i="235" s="1"/>
  <c r="N103" i="235"/>
  <c r="J103" i="235"/>
  <c r="H103" i="235"/>
  <c r="J102" i="235"/>
  <c r="H102" i="235"/>
  <c r="J101" i="235"/>
  <c r="D100" i="235"/>
  <c r="C100" i="235"/>
  <c r="B100" i="235"/>
  <c r="D99" i="235"/>
  <c r="C99" i="235"/>
  <c r="B99" i="235"/>
  <c r="D98" i="235"/>
  <c r="C98" i="235"/>
  <c r="B98" i="235"/>
  <c r="D97" i="235"/>
  <c r="C97" i="235"/>
  <c r="B97" i="235"/>
  <c r="D96" i="235"/>
  <c r="C96" i="235"/>
  <c r="B96" i="235"/>
  <c r="D95" i="235"/>
  <c r="C95" i="235"/>
  <c r="B95" i="235"/>
  <c r="D94" i="235"/>
  <c r="C94" i="235"/>
  <c r="B94" i="235"/>
  <c r="D93" i="235"/>
  <c r="C93" i="235"/>
  <c r="B93" i="235"/>
  <c r="D92" i="235"/>
  <c r="C92" i="235"/>
  <c r="B92" i="235"/>
  <c r="D91" i="235"/>
  <c r="C91" i="235"/>
  <c r="B91" i="235"/>
  <c r="D90" i="235"/>
  <c r="C90" i="235"/>
  <c r="B90" i="235"/>
  <c r="D89" i="235"/>
  <c r="C89" i="235"/>
  <c r="B89" i="235"/>
  <c r="D88" i="235"/>
  <c r="C88" i="235"/>
  <c r="B88" i="235"/>
  <c r="D87" i="235"/>
  <c r="C87" i="235"/>
  <c r="B87" i="235"/>
  <c r="D86" i="235"/>
  <c r="C86" i="235"/>
  <c r="B86" i="235"/>
  <c r="D85" i="235"/>
  <c r="C85" i="235"/>
  <c r="B85" i="235"/>
  <c r="D84" i="235"/>
  <c r="C84" i="235"/>
  <c r="B84" i="235"/>
  <c r="D83" i="235"/>
  <c r="C83" i="235"/>
  <c r="B83" i="235"/>
  <c r="D82" i="235"/>
  <c r="C82" i="235"/>
  <c r="B82" i="235"/>
  <c r="D81" i="235"/>
  <c r="C81" i="235"/>
  <c r="B81" i="235"/>
  <c r="D80" i="235"/>
  <c r="C80" i="235"/>
  <c r="B80" i="235"/>
  <c r="D79" i="235"/>
  <c r="C79" i="235"/>
  <c r="B79" i="235"/>
  <c r="D78" i="235"/>
  <c r="C78" i="235"/>
  <c r="B78" i="235"/>
  <c r="D77" i="235"/>
  <c r="C77" i="235"/>
  <c r="B77" i="235"/>
  <c r="D76" i="235"/>
  <c r="C76" i="235"/>
  <c r="B76" i="235"/>
  <c r="D75" i="235"/>
  <c r="C75" i="235"/>
  <c r="B75" i="235"/>
  <c r="D74" i="235"/>
  <c r="C74" i="235"/>
  <c r="B74" i="235"/>
  <c r="D73" i="235"/>
  <c r="C73" i="235"/>
  <c r="B73" i="235"/>
  <c r="D72" i="235"/>
  <c r="C72" i="235"/>
  <c r="B72" i="235"/>
  <c r="D71" i="235"/>
  <c r="C71" i="235"/>
  <c r="B71" i="235"/>
  <c r="D70" i="235"/>
  <c r="C70" i="235"/>
  <c r="B70" i="235"/>
  <c r="D69" i="235"/>
  <c r="C69" i="235"/>
  <c r="B69" i="235"/>
  <c r="D68" i="235"/>
  <c r="C68" i="235"/>
  <c r="B68" i="235"/>
  <c r="D67" i="235"/>
  <c r="C67" i="235"/>
  <c r="B67" i="235"/>
  <c r="D66" i="235"/>
  <c r="C66" i="235"/>
  <c r="B66" i="235"/>
  <c r="D65" i="235"/>
  <c r="C65" i="235"/>
  <c r="B65" i="235"/>
  <c r="D64" i="235"/>
  <c r="C64" i="235"/>
  <c r="B64" i="235"/>
  <c r="D63" i="235"/>
  <c r="C63" i="235"/>
  <c r="B63" i="235"/>
  <c r="D62" i="235"/>
  <c r="C62" i="235"/>
  <c r="B62" i="235"/>
  <c r="D61" i="235"/>
  <c r="C61" i="235"/>
  <c r="B61" i="235"/>
  <c r="D60" i="235"/>
  <c r="C60" i="235"/>
  <c r="B60" i="235"/>
  <c r="D59" i="235"/>
  <c r="C59" i="235"/>
  <c r="B59" i="235"/>
  <c r="D58" i="235"/>
  <c r="C58" i="235"/>
  <c r="B58" i="235"/>
  <c r="D57" i="235"/>
  <c r="C57" i="235"/>
  <c r="B57" i="235"/>
  <c r="N54" i="235"/>
  <c r="J54" i="235"/>
  <c r="H54" i="235"/>
  <c r="J53" i="235"/>
  <c r="H53" i="235"/>
  <c r="J52" i="235"/>
  <c r="D21" i="235" a="1"/>
  <c r="D20" i="235" a="1"/>
  <c r="D19" i="235" a="1"/>
  <c r="D14" i="235" a="1"/>
  <c r="D54" i="235" s="1"/>
  <c r="D13" i="235" a="1"/>
  <c r="D12" i="235" a="1"/>
  <c r="D101" i="235" s="1"/>
  <c r="D10" i="235" a="1"/>
  <c r="D8" i="235"/>
  <c r="D7" i="235"/>
  <c r="D6" i="235"/>
  <c r="D5" i="235"/>
  <c r="N3" i="235"/>
  <c r="N1" i="235"/>
  <c r="G107" i="234"/>
  <c r="I107" i="234" s="1"/>
  <c r="G108" i="234"/>
  <c r="I108" i="234" s="1"/>
  <c r="G109" i="234"/>
  <c r="I109" i="234" s="1"/>
  <c r="G110" i="234"/>
  <c r="I110" i="234" s="1"/>
  <c r="G111" i="234"/>
  <c r="I111" i="234" s="1"/>
  <c r="G112" i="234"/>
  <c r="I112" i="234" s="1"/>
  <c r="G113" i="234"/>
  <c r="I113" i="234" s="1"/>
  <c r="G114" i="234"/>
  <c r="I114" i="234" s="1"/>
  <c r="G115" i="234"/>
  <c r="I115" i="234" s="1"/>
  <c r="G116" i="234"/>
  <c r="I116" i="234" s="1"/>
  <c r="G117" i="234"/>
  <c r="I117" i="234" s="1"/>
  <c r="G118" i="234"/>
  <c r="I118" i="234" s="1"/>
  <c r="G119" i="234"/>
  <c r="I119" i="234" s="1"/>
  <c r="G120" i="234"/>
  <c r="I120" i="234" s="1"/>
  <c r="G121" i="234"/>
  <c r="I121" i="234" s="1"/>
  <c r="G122" i="234"/>
  <c r="I122" i="234" s="1"/>
  <c r="G123" i="234"/>
  <c r="I123" i="234" s="1"/>
  <c r="G124" i="234"/>
  <c r="I124" i="234" s="1"/>
  <c r="G125" i="234"/>
  <c r="I125" i="234" s="1"/>
  <c r="G126" i="234"/>
  <c r="I126" i="234" s="1"/>
  <c r="G127" i="234"/>
  <c r="I127" i="234" s="1"/>
  <c r="G128" i="234"/>
  <c r="I128" i="234" s="1"/>
  <c r="G129" i="234"/>
  <c r="I129" i="234" s="1"/>
  <c r="G130" i="234"/>
  <c r="I130" i="234" s="1"/>
  <c r="G131" i="234"/>
  <c r="I131" i="234" s="1"/>
  <c r="G132" i="234"/>
  <c r="I132" i="234" s="1"/>
  <c r="G133" i="234"/>
  <c r="I133" i="234" s="1"/>
  <c r="G134" i="234"/>
  <c r="I134" i="234" s="1"/>
  <c r="G135" i="234"/>
  <c r="I135" i="234" s="1"/>
  <c r="G136" i="234"/>
  <c r="I136" i="234" s="1"/>
  <c r="G137" i="234"/>
  <c r="I137" i="234" s="1"/>
  <c r="G138" i="234"/>
  <c r="I138" i="234" s="1"/>
  <c r="G139" i="234"/>
  <c r="I139" i="234" s="1"/>
  <c r="G140" i="234"/>
  <c r="I140" i="234" s="1"/>
  <c r="G141" i="234"/>
  <c r="I141" i="234" s="1"/>
  <c r="G142" i="234"/>
  <c r="I142" i="234" s="1"/>
  <c r="G143" i="234"/>
  <c r="I143" i="234" s="1"/>
  <c r="G144" i="234"/>
  <c r="I144" i="234" s="1"/>
  <c r="G145" i="234"/>
  <c r="I145" i="234" s="1"/>
  <c r="G146" i="234"/>
  <c r="I146" i="234" s="1"/>
  <c r="G147" i="234"/>
  <c r="I147" i="234" s="1"/>
  <c r="G148" i="234"/>
  <c r="I148" i="234" s="1"/>
  <c r="G106" i="234"/>
  <c r="I106" i="234" s="1"/>
  <c r="G58" i="234"/>
  <c r="I58" i="234" s="1"/>
  <c r="G59" i="234"/>
  <c r="I59" i="234" s="1"/>
  <c r="G60" i="234"/>
  <c r="I60" i="234" s="1"/>
  <c r="G61" i="234"/>
  <c r="I61" i="234" s="1"/>
  <c r="G62" i="234"/>
  <c r="I62" i="234" s="1"/>
  <c r="G63" i="234"/>
  <c r="I63" i="234" s="1"/>
  <c r="G64" i="234"/>
  <c r="I64" i="234" s="1"/>
  <c r="G65" i="234"/>
  <c r="I65" i="234" s="1"/>
  <c r="G66" i="234"/>
  <c r="I66" i="234" s="1"/>
  <c r="G67" i="234"/>
  <c r="I67" i="234" s="1"/>
  <c r="G68" i="234"/>
  <c r="I68" i="234" s="1"/>
  <c r="G69" i="234"/>
  <c r="I69" i="234" s="1"/>
  <c r="G70" i="234"/>
  <c r="I70" i="234" s="1"/>
  <c r="G71" i="234"/>
  <c r="I71" i="234" s="1"/>
  <c r="G72" i="234"/>
  <c r="I72" i="234" s="1"/>
  <c r="G73" i="234"/>
  <c r="I73" i="234" s="1"/>
  <c r="G74" i="234"/>
  <c r="I74" i="234" s="1"/>
  <c r="G75" i="234"/>
  <c r="I75" i="234" s="1"/>
  <c r="G76" i="234"/>
  <c r="I76" i="234" s="1"/>
  <c r="G77" i="234"/>
  <c r="I77" i="234" s="1"/>
  <c r="G78" i="234"/>
  <c r="I78" i="234" s="1"/>
  <c r="G79" i="234"/>
  <c r="I79" i="234" s="1"/>
  <c r="G80" i="234"/>
  <c r="I80" i="234" s="1"/>
  <c r="G81" i="234"/>
  <c r="I81" i="234" s="1"/>
  <c r="G82" i="234"/>
  <c r="I82" i="234" s="1"/>
  <c r="G83" i="234"/>
  <c r="I83" i="234" s="1"/>
  <c r="G84" i="234"/>
  <c r="I84" i="234" s="1"/>
  <c r="G85" i="234"/>
  <c r="I85" i="234" s="1"/>
  <c r="G86" i="234"/>
  <c r="I86" i="234" s="1"/>
  <c r="G87" i="234"/>
  <c r="I87" i="234" s="1"/>
  <c r="G88" i="234"/>
  <c r="I88" i="234" s="1"/>
  <c r="G89" i="234"/>
  <c r="I89" i="234" s="1"/>
  <c r="G90" i="234"/>
  <c r="I90" i="234" s="1"/>
  <c r="G91" i="234"/>
  <c r="I91" i="234" s="1"/>
  <c r="G92" i="234"/>
  <c r="I92" i="234" s="1"/>
  <c r="G93" i="234"/>
  <c r="I93" i="234" s="1"/>
  <c r="G94" i="234"/>
  <c r="I94" i="234" s="1"/>
  <c r="G95" i="234"/>
  <c r="I95" i="234" s="1"/>
  <c r="G96" i="234"/>
  <c r="I96" i="234" s="1"/>
  <c r="G97" i="234"/>
  <c r="I97" i="234" s="1"/>
  <c r="G98" i="234"/>
  <c r="I98" i="234" s="1"/>
  <c r="G99" i="234"/>
  <c r="I99" i="234" s="1"/>
  <c r="G100" i="234"/>
  <c r="I100" i="234" s="1"/>
  <c r="G57" i="234"/>
  <c r="M149" i="234"/>
  <c r="H149" i="234"/>
  <c r="D148" i="234"/>
  <c r="C148" i="234"/>
  <c r="B148" i="234"/>
  <c r="D147" i="234"/>
  <c r="C147" i="234"/>
  <c r="B147" i="234"/>
  <c r="D146" i="234"/>
  <c r="C146" i="234"/>
  <c r="B146" i="234"/>
  <c r="D145" i="234"/>
  <c r="C145" i="234"/>
  <c r="B145" i="234"/>
  <c r="D144" i="234"/>
  <c r="C144" i="234"/>
  <c r="B144" i="234"/>
  <c r="D143" i="234"/>
  <c r="C143" i="234"/>
  <c r="B143" i="234"/>
  <c r="D142" i="234"/>
  <c r="C142" i="234"/>
  <c r="B142" i="234"/>
  <c r="D141" i="234"/>
  <c r="C141" i="234"/>
  <c r="B141" i="234"/>
  <c r="D140" i="234"/>
  <c r="C140" i="234"/>
  <c r="B140" i="234"/>
  <c r="D139" i="234"/>
  <c r="C139" i="234"/>
  <c r="B139" i="234"/>
  <c r="D138" i="234"/>
  <c r="C138" i="234"/>
  <c r="B138" i="234"/>
  <c r="D137" i="234"/>
  <c r="C137" i="234"/>
  <c r="B137" i="234"/>
  <c r="D136" i="234"/>
  <c r="C136" i="234"/>
  <c r="B136" i="234"/>
  <c r="D135" i="234"/>
  <c r="C135" i="234"/>
  <c r="B135" i="234"/>
  <c r="D134" i="234"/>
  <c r="C134" i="234"/>
  <c r="B134" i="234"/>
  <c r="D133" i="234"/>
  <c r="C133" i="234"/>
  <c r="B133" i="234"/>
  <c r="D132" i="234"/>
  <c r="C132" i="234"/>
  <c r="B132" i="234"/>
  <c r="D131" i="234"/>
  <c r="C131" i="234"/>
  <c r="B131" i="234"/>
  <c r="D130" i="234"/>
  <c r="C130" i="234"/>
  <c r="B130" i="234"/>
  <c r="D129" i="234"/>
  <c r="C129" i="234"/>
  <c r="B129" i="234"/>
  <c r="D128" i="234"/>
  <c r="C128" i="234"/>
  <c r="B128" i="234"/>
  <c r="D127" i="234"/>
  <c r="C127" i="234"/>
  <c r="B127" i="234"/>
  <c r="D126" i="234"/>
  <c r="C126" i="234"/>
  <c r="B126" i="234"/>
  <c r="D125" i="234"/>
  <c r="C125" i="234"/>
  <c r="B125" i="234"/>
  <c r="D124" i="234"/>
  <c r="C124" i="234"/>
  <c r="B124" i="234"/>
  <c r="D123" i="234"/>
  <c r="C123" i="234"/>
  <c r="B123" i="234"/>
  <c r="D122" i="234"/>
  <c r="C122" i="234"/>
  <c r="B122" i="234"/>
  <c r="D121" i="234"/>
  <c r="C121" i="234"/>
  <c r="B121" i="234"/>
  <c r="D120" i="234"/>
  <c r="C120" i="234"/>
  <c r="B120" i="234"/>
  <c r="D119" i="234"/>
  <c r="C119" i="234"/>
  <c r="B119" i="234"/>
  <c r="D118" i="234"/>
  <c r="C118" i="234"/>
  <c r="B118" i="234"/>
  <c r="D117" i="234"/>
  <c r="C117" i="234"/>
  <c r="B117" i="234"/>
  <c r="D116" i="234"/>
  <c r="C116" i="234"/>
  <c r="B116" i="234"/>
  <c r="D115" i="234"/>
  <c r="C115" i="234"/>
  <c r="B115" i="234"/>
  <c r="D114" i="234"/>
  <c r="C114" i="234"/>
  <c r="B114" i="234"/>
  <c r="D113" i="234"/>
  <c r="C113" i="234"/>
  <c r="B113" i="234"/>
  <c r="D112" i="234"/>
  <c r="C112" i="234"/>
  <c r="B112" i="234"/>
  <c r="D111" i="234"/>
  <c r="C111" i="234"/>
  <c r="B111" i="234"/>
  <c r="D110" i="234"/>
  <c r="C110" i="234"/>
  <c r="B110" i="234"/>
  <c r="D109" i="234"/>
  <c r="C109" i="234"/>
  <c r="B109" i="234"/>
  <c r="D108" i="234"/>
  <c r="C108" i="234"/>
  <c r="B108" i="234"/>
  <c r="D107" i="234"/>
  <c r="C107" i="234"/>
  <c r="B107" i="234"/>
  <c r="D106" i="234"/>
  <c r="C106" i="234"/>
  <c r="B106" i="234"/>
  <c r="A106" i="234"/>
  <c r="A107" i="234" s="1"/>
  <c r="A108" i="234" s="1"/>
  <c r="A109" i="234" s="1"/>
  <c r="A110" i="234" s="1"/>
  <c r="A111" i="234" s="1"/>
  <c r="A112" i="234" s="1"/>
  <c r="A113" i="234" s="1"/>
  <c r="A114" i="234" s="1"/>
  <c r="A115" i="234" s="1"/>
  <c r="A116" i="234" s="1"/>
  <c r="A117" i="234" s="1"/>
  <c r="A118" i="234" s="1"/>
  <c r="A119" i="234" s="1"/>
  <c r="A120" i="234" s="1"/>
  <c r="A121" i="234" s="1"/>
  <c r="A122" i="234" s="1"/>
  <c r="A123" i="234" s="1"/>
  <c r="A124" i="234" s="1"/>
  <c r="A125" i="234" s="1"/>
  <c r="A126" i="234" s="1"/>
  <c r="A127" i="234" s="1"/>
  <c r="A128" i="234" s="1"/>
  <c r="A129" i="234" s="1"/>
  <c r="A130" i="234" s="1"/>
  <c r="A131" i="234" s="1"/>
  <c r="A132" i="234" s="1"/>
  <c r="A133" i="234" s="1"/>
  <c r="A134" i="234" s="1"/>
  <c r="A135" i="234" s="1"/>
  <c r="A136" i="234" s="1"/>
  <c r="A137" i="234" s="1"/>
  <c r="A138" i="234" s="1"/>
  <c r="A139" i="234" s="1"/>
  <c r="A140" i="234" s="1"/>
  <c r="A141" i="234" s="1"/>
  <c r="A142" i="234" s="1"/>
  <c r="A143" i="234" s="1"/>
  <c r="A144" i="234" s="1"/>
  <c r="A145" i="234" s="1"/>
  <c r="A146" i="234" s="1"/>
  <c r="A147" i="234" s="1"/>
  <c r="A148" i="234" s="1"/>
  <c r="N103" i="234"/>
  <c r="J103" i="234"/>
  <c r="H103" i="234"/>
  <c r="J102" i="234"/>
  <c r="H102" i="234"/>
  <c r="J101" i="234"/>
  <c r="D100" i="234"/>
  <c r="C100" i="234"/>
  <c r="B100" i="234"/>
  <c r="D99" i="234"/>
  <c r="C99" i="234"/>
  <c r="B99" i="234"/>
  <c r="D98" i="234"/>
  <c r="C98" i="234"/>
  <c r="B98" i="234"/>
  <c r="D97" i="234"/>
  <c r="C97" i="234"/>
  <c r="B97" i="234"/>
  <c r="D96" i="234"/>
  <c r="C96" i="234"/>
  <c r="B96" i="234"/>
  <c r="D95" i="234"/>
  <c r="C95" i="234"/>
  <c r="B95" i="234"/>
  <c r="D94" i="234"/>
  <c r="C94" i="234"/>
  <c r="B94" i="234"/>
  <c r="D93" i="234"/>
  <c r="C93" i="234"/>
  <c r="B93" i="234"/>
  <c r="D92" i="234"/>
  <c r="C92" i="234"/>
  <c r="B92" i="234"/>
  <c r="D91" i="234"/>
  <c r="C91" i="234"/>
  <c r="B91" i="234"/>
  <c r="D90" i="234"/>
  <c r="C90" i="234"/>
  <c r="B90" i="234"/>
  <c r="D89" i="234"/>
  <c r="C89" i="234"/>
  <c r="B89" i="234"/>
  <c r="D88" i="234"/>
  <c r="C88" i="234"/>
  <c r="B88" i="234"/>
  <c r="D87" i="234"/>
  <c r="C87" i="234"/>
  <c r="B87" i="234"/>
  <c r="D86" i="234"/>
  <c r="C86" i="234"/>
  <c r="B86" i="234"/>
  <c r="D85" i="234"/>
  <c r="C85" i="234"/>
  <c r="B85" i="234"/>
  <c r="D84" i="234"/>
  <c r="C84" i="234"/>
  <c r="B84" i="234"/>
  <c r="D83" i="234"/>
  <c r="C83" i="234"/>
  <c r="B83" i="234"/>
  <c r="D82" i="234"/>
  <c r="C82" i="234"/>
  <c r="B82" i="234"/>
  <c r="D81" i="234"/>
  <c r="C81" i="234"/>
  <c r="B81" i="234"/>
  <c r="D80" i="234"/>
  <c r="C80" i="234"/>
  <c r="B80" i="234"/>
  <c r="D79" i="234"/>
  <c r="C79" i="234"/>
  <c r="B79" i="234"/>
  <c r="D78" i="234"/>
  <c r="C78" i="234"/>
  <c r="B78" i="234"/>
  <c r="D77" i="234"/>
  <c r="C77" i="234"/>
  <c r="B77" i="234"/>
  <c r="D76" i="234"/>
  <c r="C76" i="234"/>
  <c r="B76" i="234"/>
  <c r="D75" i="234"/>
  <c r="C75" i="234"/>
  <c r="B75" i="234"/>
  <c r="D74" i="234"/>
  <c r="C74" i="234"/>
  <c r="B74" i="234"/>
  <c r="D73" i="234"/>
  <c r="C73" i="234"/>
  <c r="B73" i="234"/>
  <c r="D72" i="234"/>
  <c r="C72" i="234"/>
  <c r="B72" i="234"/>
  <c r="D71" i="234"/>
  <c r="C71" i="234"/>
  <c r="B71" i="234"/>
  <c r="D70" i="234"/>
  <c r="C70" i="234"/>
  <c r="B70" i="234"/>
  <c r="D69" i="234"/>
  <c r="C69" i="234"/>
  <c r="B69" i="234"/>
  <c r="D68" i="234"/>
  <c r="C68" i="234"/>
  <c r="B68" i="234"/>
  <c r="D67" i="234"/>
  <c r="C67" i="234"/>
  <c r="B67" i="234"/>
  <c r="D66" i="234"/>
  <c r="C66" i="234"/>
  <c r="B66" i="234"/>
  <c r="D65" i="234"/>
  <c r="C65" i="234"/>
  <c r="B65" i="234"/>
  <c r="D64" i="234"/>
  <c r="C64" i="234"/>
  <c r="B64" i="234"/>
  <c r="D63" i="234"/>
  <c r="C63" i="234"/>
  <c r="B63" i="234"/>
  <c r="D62" i="234"/>
  <c r="C62" i="234"/>
  <c r="B62" i="234"/>
  <c r="D61" i="234"/>
  <c r="C61" i="234"/>
  <c r="B61" i="234"/>
  <c r="D60" i="234"/>
  <c r="C60" i="234"/>
  <c r="B60" i="234"/>
  <c r="D59" i="234"/>
  <c r="C59" i="234"/>
  <c r="B59" i="234"/>
  <c r="D58" i="234"/>
  <c r="C58" i="234"/>
  <c r="B58" i="234"/>
  <c r="D57" i="234"/>
  <c r="C57" i="234"/>
  <c r="B57" i="234"/>
  <c r="N54" i="234"/>
  <c r="J54" i="234"/>
  <c r="H54" i="234"/>
  <c r="J53" i="234"/>
  <c r="H53" i="234"/>
  <c r="J52" i="234"/>
  <c r="D21" i="234" a="1"/>
  <c r="D20" i="234" a="1"/>
  <c r="D19" i="234" a="1"/>
  <c r="D14" i="234" a="1"/>
  <c r="D54" i="234" s="1"/>
  <c r="D13" i="234" a="1"/>
  <c r="D12" i="234" a="1"/>
  <c r="D101" i="234" s="1"/>
  <c r="D10" i="234" a="1"/>
  <c r="D8" i="234"/>
  <c r="D7" i="234"/>
  <c r="D6" i="234"/>
  <c r="D5" i="234"/>
  <c r="N3" i="234"/>
  <c r="N1" i="234"/>
  <c r="G107" i="233"/>
  <c r="I107" i="233" s="1"/>
  <c r="G108" i="233"/>
  <c r="I108" i="233" s="1"/>
  <c r="G109" i="233"/>
  <c r="I109" i="233" s="1"/>
  <c r="G110" i="233"/>
  <c r="I110" i="233" s="1"/>
  <c r="G111" i="233"/>
  <c r="I111" i="233" s="1"/>
  <c r="G112" i="233"/>
  <c r="I112" i="233" s="1"/>
  <c r="G113" i="233"/>
  <c r="I113" i="233" s="1"/>
  <c r="G114" i="233"/>
  <c r="I114" i="233" s="1"/>
  <c r="G115" i="233"/>
  <c r="I115" i="233" s="1"/>
  <c r="G116" i="233"/>
  <c r="I116" i="233" s="1"/>
  <c r="G117" i="233"/>
  <c r="I117" i="233" s="1"/>
  <c r="G118" i="233"/>
  <c r="I118" i="233" s="1"/>
  <c r="G119" i="233"/>
  <c r="I119" i="233" s="1"/>
  <c r="G120" i="233"/>
  <c r="I120" i="233" s="1"/>
  <c r="G121" i="233"/>
  <c r="I121" i="233" s="1"/>
  <c r="G122" i="233"/>
  <c r="I122" i="233" s="1"/>
  <c r="G123" i="233"/>
  <c r="I123" i="233" s="1"/>
  <c r="G124" i="233"/>
  <c r="I124" i="233" s="1"/>
  <c r="G125" i="233"/>
  <c r="I125" i="233" s="1"/>
  <c r="G126" i="233"/>
  <c r="I126" i="233" s="1"/>
  <c r="G127" i="233"/>
  <c r="I127" i="233" s="1"/>
  <c r="G128" i="233"/>
  <c r="I128" i="233" s="1"/>
  <c r="G129" i="233"/>
  <c r="I129" i="233" s="1"/>
  <c r="G130" i="233"/>
  <c r="I130" i="233" s="1"/>
  <c r="G131" i="233"/>
  <c r="I131" i="233" s="1"/>
  <c r="G132" i="233"/>
  <c r="I132" i="233" s="1"/>
  <c r="G133" i="233"/>
  <c r="I133" i="233" s="1"/>
  <c r="G134" i="233"/>
  <c r="I134" i="233" s="1"/>
  <c r="G135" i="233"/>
  <c r="I135" i="233" s="1"/>
  <c r="G136" i="233"/>
  <c r="I136" i="233" s="1"/>
  <c r="G137" i="233"/>
  <c r="I137" i="233" s="1"/>
  <c r="G138" i="233"/>
  <c r="I138" i="233" s="1"/>
  <c r="G139" i="233"/>
  <c r="I139" i="233" s="1"/>
  <c r="G140" i="233"/>
  <c r="I140" i="233" s="1"/>
  <c r="G141" i="233"/>
  <c r="I141" i="233" s="1"/>
  <c r="G142" i="233"/>
  <c r="I142" i="233" s="1"/>
  <c r="G143" i="233"/>
  <c r="I143" i="233" s="1"/>
  <c r="G144" i="233"/>
  <c r="I144" i="233" s="1"/>
  <c r="G145" i="233"/>
  <c r="I145" i="233" s="1"/>
  <c r="G146" i="233"/>
  <c r="I146" i="233" s="1"/>
  <c r="G147" i="233"/>
  <c r="I147" i="233" s="1"/>
  <c r="G148" i="233"/>
  <c r="I148" i="233" s="1"/>
  <c r="G106" i="233"/>
  <c r="I106" i="233" s="1"/>
  <c r="G58" i="233"/>
  <c r="I58" i="233" s="1"/>
  <c r="G59" i="233"/>
  <c r="I59" i="233" s="1"/>
  <c r="G60" i="233"/>
  <c r="I60" i="233" s="1"/>
  <c r="G61" i="233"/>
  <c r="I61" i="233" s="1"/>
  <c r="G62" i="233"/>
  <c r="I62" i="233" s="1"/>
  <c r="G63" i="233"/>
  <c r="I63" i="233" s="1"/>
  <c r="G64" i="233"/>
  <c r="I64" i="233" s="1"/>
  <c r="G65" i="233"/>
  <c r="I65" i="233" s="1"/>
  <c r="G66" i="233"/>
  <c r="I66" i="233" s="1"/>
  <c r="G67" i="233"/>
  <c r="I67" i="233" s="1"/>
  <c r="G68" i="233"/>
  <c r="I68" i="233" s="1"/>
  <c r="G69" i="233"/>
  <c r="I69" i="233" s="1"/>
  <c r="G70" i="233"/>
  <c r="I70" i="233" s="1"/>
  <c r="G71" i="233"/>
  <c r="I71" i="233" s="1"/>
  <c r="G72" i="233"/>
  <c r="I72" i="233" s="1"/>
  <c r="G73" i="233"/>
  <c r="I73" i="233" s="1"/>
  <c r="G74" i="233"/>
  <c r="I74" i="233" s="1"/>
  <c r="G75" i="233"/>
  <c r="I75" i="233" s="1"/>
  <c r="G76" i="233"/>
  <c r="I76" i="233" s="1"/>
  <c r="G77" i="233"/>
  <c r="I77" i="233" s="1"/>
  <c r="G78" i="233"/>
  <c r="I78" i="233" s="1"/>
  <c r="G79" i="233"/>
  <c r="I79" i="233" s="1"/>
  <c r="G80" i="233"/>
  <c r="I80" i="233" s="1"/>
  <c r="G81" i="233"/>
  <c r="I81" i="233" s="1"/>
  <c r="G82" i="233"/>
  <c r="I82" i="233" s="1"/>
  <c r="G83" i="233"/>
  <c r="I83" i="233" s="1"/>
  <c r="G84" i="233"/>
  <c r="I84" i="233" s="1"/>
  <c r="G85" i="233"/>
  <c r="I85" i="233" s="1"/>
  <c r="G86" i="233"/>
  <c r="I86" i="233" s="1"/>
  <c r="G87" i="233"/>
  <c r="I87" i="233" s="1"/>
  <c r="G88" i="233"/>
  <c r="I88" i="233" s="1"/>
  <c r="G89" i="233"/>
  <c r="I89" i="233" s="1"/>
  <c r="G90" i="233"/>
  <c r="I90" i="233" s="1"/>
  <c r="G91" i="233"/>
  <c r="I91" i="233" s="1"/>
  <c r="G92" i="233"/>
  <c r="I92" i="233" s="1"/>
  <c r="G93" i="233"/>
  <c r="I93" i="233" s="1"/>
  <c r="G94" i="233"/>
  <c r="I94" i="233" s="1"/>
  <c r="G95" i="233"/>
  <c r="I95" i="233" s="1"/>
  <c r="G96" i="233"/>
  <c r="I96" i="233" s="1"/>
  <c r="G97" i="233"/>
  <c r="I97" i="233" s="1"/>
  <c r="G98" i="233"/>
  <c r="I98" i="233" s="1"/>
  <c r="G99" i="233"/>
  <c r="I99" i="233" s="1"/>
  <c r="G100" i="233"/>
  <c r="I100" i="233" s="1"/>
  <c r="G57" i="233"/>
  <c r="M149" i="233"/>
  <c r="H149" i="233"/>
  <c r="D148" i="233"/>
  <c r="C148" i="233"/>
  <c r="B148" i="233"/>
  <c r="D147" i="233"/>
  <c r="C147" i="233"/>
  <c r="B147" i="233"/>
  <c r="D146" i="233"/>
  <c r="C146" i="233"/>
  <c r="B146" i="233"/>
  <c r="D145" i="233"/>
  <c r="C145" i="233"/>
  <c r="B145" i="233"/>
  <c r="D144" i="233"/>
  <c r="C144" i="233"/>
  <c r="B144" i="233"/>
  <c r="D143" i="233"/>
  <c r="C143" i="233"/>
  <c r="B143" i="233"/>
  <c r="D142" i="233"/>
  <c r="C142" i="233"/>
  <c r="B142" i="233"/>
  <c r="D141" i="233"/>
  <c r="C141" i="233"/>
  <c r="B141" i="233"/>
  <c r="D140" i="233"/>
  <c r="C140" i="233"/>
  <c r="B140" i="233"/>
  <c r="D139" i="233"/>
  <c r="C139" i="233"/>
  <c r="B139" i="233"/>
  <c r="D138" i="233"/>
  <c r="C138" i="233"/>
  <c r="B138" i="233"/>
  <c r="D137" i="233"/>
  <c r="C137" i="233"/>
  <c r="B137" i="233"/>
  <c r="D136" i="233"/>
  <c r="C136" i="233"/>
  <c r="B136" i="233"/>
  <c r="D135" i="233"/>
  <c r="C135" i="233"/>
  <c r="B135" i="233"/>
  <c r="D134" i="233"/>
  <c r="C134" i="233"/>
  <c r="B134" i="233"/>
  <c r="D133" i="233"/>
  <c r="C133" i="233"/>
  <c r="B133" i="233"/>
  <c r="D132" i="233"/>
  <c r="C132" i="233"/>
  <c r="B132" i="233"/>
  <c r="D131" i="233"/>
  <c r="C131" i="233"/>
  <c r="B131" i="233"/>
  <c r="D130" i="233"/>
  <c r="C130" i="233"/>
  <c r="B130" i="233"/>
  <c r="D129" i="233"/>
  <c r="C129" i="233"/>
  <c r="B129" i="233"/>
  <c r="D128" i="233"/>
  <c r="C128" i="233"/>
  <c r="B128" i="233"/>
  <c r="D127" i="233"/>
  <c r="C127" i="233"/>
  <c r="B127" i="233"/>
  <c r="D126" i="233"/>
  <c r="C126" i="233"/>
  <c r="B126" i="233"/>
  <c r="D125" i="233"/>
  <c r="C125" i="233"/>
  <c r="B125" i="233"/>
  <c r="D124" i="233"/>
  <c r="C124" i="233"/>
  <c r="B124" i="233"/>
  <c r="D123" i="233"/>
  <c r="C123" i="233"/>
  <c r="B123" i="233"/>
  <c r="D122" i="233"/>
  <c r="C122" i="233"/>
  <c r="B122" i="233"/>
  <c r="D121" i="233"/>
  <c r="C121" i="233"/>
  <c r="B121" i="233"/>
  <c r="D120" i="233"/>
  <c r="C120" i="233"/>
  <c r="B120" i="233"/>
  <c r="D119" i="233"/>
  <c r="C119" i="233"/>
  <c r="B119" i="233"/>
  <c r="D118" i="233"/>
  <c r="C118" i="233"/>
  <c r="B118" i="233"/>
  <c r="D117" i="233"/>
  <c r="C117" i="233"/>
  <c r="B117" i="233"/>
  <c r="D116" i="233"/>
  <c r="C116" i="233"/>
  <c r="B116" i="233"/>
  <c r="D115" i="233"/>
  <c r="C115" i="233"/>
  <c r="B115" i="233"/>
  <c r="D114" i="233"/>
  <c r="C114" i="233"/>
  <c r="B114" i="233"/>
  <c r="D113" i="233"/>
  <c r="C113" i="233"/>
  <c r="B113" i="233"/>
  <c r="D112" i="233"/>
  <c r="C112" i="233"/>
  <c r="B112" i="233"/>
  <c r="D111" i="233"/>
  <c r="C111" i="233"/>
  <c r="B111" i="233"/>
  <c r="D110" i="233"/>
  <c r="C110" i="233"/>
  <c r="B110" i="233"/>
  <c r="D109" i="233"/>
  <c r="C109" i="233"/>
  <c r="B109" i="233"/>
  <c r="D108" i="233"/>
  <c r="C108" i="233"/>
  <c r="B108" i="233"/>
  <c r="D107" i="233"/>
  <c r="C107" i="233"/>
  <c r="B107" i="233"/>
  <c r="D106" i="233"/>
  <c r="C106" i="233"/>
  <c r="B106" i="233"/>
  <c r="A106" i="233"/>
  <c r="A107" i="233" s="1"/>
  <c r="A108" i="233" s="1"/>
  <c r="A109" i="233" s="1"/>
  <c r="A110" i="233" s="1"/>
  <c r="A111" i="233" s="1"/>
  <c r="A112" i="233" s="1"/>
  <c r="A113" i="233" s="1"/>
  <c r="A114" i="233" s="1"/>
  <c r="A115" i="233" s="1"/>
  <c r="A116" i="233" s="1"/>
  <c r="A117" i="233" s="1"/>
  <c r="A118" i="233" s="1"/>
  <c r="A119" i="233" s="1"/>
  <c r="A120" i="233" s="1"/>
  <c r="A121" i="233" s="1"/>
  <c r="A122" i="233" s="1"/>
  <c r="A123" i="233" s="1"/>
  <c r="A124" i="233" s="1"/>
  <c r="A125" i="233" s="1"/>
  <c r="A126" i="233" s="1"/>
  <c r="A127" i="233" s="1"/>
  <c r="A128" i="233" s="1"/>
  <c r="A129" i="233" s="1"/>
  <c r="A130" i="233" s="1"/>
  <c r="A131" i="233" s="1"/>
  <c r="A132" i="233" s="1"/>
  <c r="A133" i="233" s="1"/>
  <c r="A134" i="233" s="1"/>
  <c r="A135" i="233" s="1"/>
  <c r="A136" i="233" s="1"/>
  <c r="A137" i="233" s="1"/>
  <c r="A138" i="233" s="1"/>
  <c r="A139" i="233" s="1"/>
  <c r="A140" i="233" s="1"/>
  <c r="A141" i="233" s="1"/>
  <c r="A142" i="233" s="1"/>
  <c r="A143" i="233" s="1"/>
  <c r="A144" i="233" s="1"/>
  <c r="A145" i="233" s="1"/>
  <c r="A146" i="233" s="1"/>
  <c r="A147" i="233" s="1"/>
  <c r="A148" i="233" s="1"/>
  <c r="N103" i="233"/>
  <c r="J103" i="233"/>
  <c r="H103" i="233"/>
  <c r="J102" i="233"/>
  <c r="H102" i="233"/>
  <c r="J101" i="233"/>
  <c r="D100" i="233"/>
  <c r="C100" i="233"/>
  <c r="B100" i="233"/>
  <c r="D99" i="233"/>
  <c r="C99" i="233"/>
  <c r="B99" i="233"/>
  <c r="D98" i="233"/>
  <c r="C98" i="233"/>
  <c r="B98" i="233"/>
  <c r="D97" i="233"/>
  <c r="C97" i="233"/>
  <c r="B97" i="233"/>
  <c r="D96" i="233"/>
  <c r="C96" i="233"/>
  <c r="B96" i="233"/>
  <c r="D95" i="233"/>
  <c r="C95" i="233"/>
  <c r="B95" i="233"/>
  <c r="D94" i="233"/>
  <c r="C94" i="233"/>
  <c r="B94" i="233"/>
  <c r="D93" i="233"/>
  <c r="C93" i="233"/>
  <c r="B93" i="233"/>
  <c r="D92" i="233"/>
  <c r="C92" i="233"/>
  <c r="B92" i="233"/>
  <c r="D91" i="233"/>
  <c r="C91" i="233"/>
  <c r="B91" i="233"/>
  <c r="D90" i="233"/>
  <c r="C90" i="233"/>
  <c r="B90" i="233"/>
  <c r="D89" i="233"/>
  <c r="C89" i="233"/>
  <c r="B89" i="233"/>
  <c r="D88" i="233"/>
  <c r="C88" i="233"/>
  <c r="B88" i="233"/>
  <c r="D87" i="233"/>
  <c r="C87" i="233"/>
  <c r="B87" i="233"/>
  <c r="D86" i="233"/>
  <c r="C86" i="233"/>
  <c r="B86" i="233"/>
  <c r="D85" i="233"/>
  <c r="C85" i="233"/>
  <c r="B85" i="233"/>
  <c r="D84" i="233"/>
  <c r="C84" i="233"/>
  <c r="B84" i="233"/>
  <c r="D83" i="233"/>
  <c r="C83" i="233"/>
  <c r="B83" i="233"/>
  <c r="D82" i="233"/>
  <c r="C82" i="233"/>
  <c r="B82" i="233"/>
  <c r="D81" i="233"/>
  <c r="C81" i="233"/>
  <c r="B81" i="233"/>
  <c r="D80" i="233"/>
  <c r="C80" i="233"/>
  <c r="B80" i="233"/>
  <c r="D79" i="233"/>
  <c r="C79" i="233"/>
  <c r="B79" i="233"/>
  <c r="D78" i="233"/>
  <c r="C78" i="233"/>
  <c r="B78" i="233"/>
  <c r="D77" i="233"/>
  <c r="C77" i="233"/>
  <c r="B77" i="233"/>
  <c r="D76" i="233"/>
  <c r="C76" i="233"/>
  <c r="B76" i="233"/>
  <c r="D75" i="233"/>
  <c r="C75" i="233"/>
  <c r="B75" i="233"/>
  <c r="D74" i="233"/>
  <c r="C74" i="233"/>
  <c r="B74" i="233"/>
  <c r="D73" i="233"/>
  <c r="C73" i="233"/>
  <c r="B73" i="233"/>
  <c r="D72" i="233"/>
  <c r="C72" i="233"/>
  <c r="B72" i="233"/>
  <c r="D71" i="233"/>
  <c r="C71" i="233"/>
  <c r="B71" i="233"/>
  <c r="D70" i="233"/>
  <c r="C70" i="233"/>
  <c r="B70" i="233"/>
  <c r="D69" i="233"/>
  <c r="C69" i="233"/>
  <c r="B69" i="233"/>
  <c r="D68" i="233"/>
  <c r="C68" i="233"/>
  <c r="B68" i="233"/>
  <c r="D67" i="233"/>
  <c r="C67" i="233"/>
  <c r="B67" i="233"/>
  <c r="D66" i="233"/>
  <c r="C66" i="233"/>
  <c r="B66" i="233"/>
  <c r="D65" i="233"/>
  <c r="C65" i="233"/>
  <c r="B65" i="233"/>
  <c r="D64" i="233"/>
  <c r="C64" i="233"/>
  <c r="B64" i="233"/>
  <c r="D63" i="233"/>
  <c r="C63" i="233"/>
  <c r="B63" i="233"/>
  <c r="D62" i="233"/>
  <c r="C62" i="233"/>
  <c r="B62" i="233"/>
  <c r="D61" i="233"/>
  <c r="C61" i="233"/>
  <c r="B61" i="233"/>
  <c r="D60" i="233"/>
  <c r="C60" i="233"/>
  <c r="B60" i="233"/>
  <c r="D59" i="233"/>
  <c r="C59" i="233"/>
  <c r="B59" i="233"/>
  <c r="D58" i="233"/>
  <c r="C58" i="233"/>
  <c r="B58" i="233"/>
  <c r="D57" i="233"/>
  <c r="C57" i="233"/>
  <c r="B57" i="233"/>
  <c r="N54" i="233"/>
  <c r="J54" i="233"/>
  <c r="H54" i="233"/>
  <c r="J53" i="233"/>
  <c r="H53" i="233"/>
  <c r="J52" i="233"/>
  <c r="D21" i="233" a="1"/>
  <c r="D20" i="233" a="1"/>
  <c r="D19" i="233" a="1"/>
  <c r="D14" i="233" a="1"/>
  <c r="D54" i="233" s="1"/>
  <c r="D13" i="233" a="1"/>
  <c r="D12" i="233" a="1"/>
  <c r="D101" i="233" s="1"/>
  <c r="D10" i="233" a="1"/>
  <c r="D8" i="233"/>
  <c r="D7" i="233"/>
  <c r="D6" i="233"/>
  <c r="D5" i="233"/>
  <c r="N3" i="233"/>
  <c r="N1" i="233"/>
  <c r="G107" i="232"/>
  <c r="I107" i="232" s="1"/>
  <c r="G108" i="232"/>
  <c r="I108" i="232" s="1"/>
  <c r="G109" i="232"/>
  <c r="I109" i="232" s="1"/>
  <c r="G110" i="232"/>
  <c r="I110" i="232" s="1"/>
  <c r="G111" i="232"/>
  <c r="I111" i="232" s="1"/>
  <c r="G112" i="232"/>
  <c r="I112" i="232" s="1"/>
  <c r="G113" i="232"/>
  <c r="I113" i="232" s="1"/>
  <c r="G114" i="232"/>
  <c r="I114" i="232" s="1"/>
  <c r="G115" i="232"/>
  <c r="I115" i="232" s="1"/>
  <c r="G116" i="232"/>
  <c r="I116" i="232" s="1"/>
  <c r="G117" i="232"/>
  <c r="I117" i="232" s="1"/>
  <c r="G118" i="232"/>
  <c r="I118" i="232" s="1"/>
  <c r="G119" i="232"/>
  <c r="I119" i="232" s="1"/>
  <c r="G120" i="232"/>
  <c r="I120" i="232" s="1"/>
  <c r="G121" i="232"/>
  <c r="I121" i="232" s="1"/>
  <c r="G122" i="232"/>
  <c r="I122" i="232" s="1"/>
  <c r="G123" i="232"/>
  <c r="I123" i="232" s="1"/>
  <c r="G124" i="232"/>
  <c r="I124" i="232" s="1"/>
  <c r="G125" i="232"/>
  <c r="I125" i="232" s="1"/>
  <c r="G126" i="232"/>
  <c r="I126" i="232" s="1"/>
  <c r="G127" i="232"/>
  <c r="I127" i="232" s="1"/>
  <c r="G128" i="232"/>
  <c r="I128" i="232" s="1"/>
  <c r="G129" i="232"/>
  <c r="I129" i="232" s="1"/>
  <c r="G130" i="232"/>
  <c r="I130" i="232" s="1"/>
  <c r="G131" i="232"/>
  <c r="I131" i="232" s="1"/>
  <c r="G132" i="232"/>
  <c r="I132" i="232" s="1"/>
  <c r="G133" i="232"/>
  <c r="I133" i="232" s="1"/>
  <c r="G134" i="232"/>
  <c r="I134" i="232" s="1"/>
  <c r="G135" i="232"/>
  <c r="I135" i="232" s="1"/>
  <c r="G136" i="232"/>
  <c r="I136" i="232" s="1"/>
  <c r="G137" i="232"/>
  <c r="I137" i="232" s="1"/>
  <c r="G138" i="232"/>
  <c r="I138" i="232" s="1"/>
  <c r="G139" i="232"/>
  <c r="I139" i="232" s="1"/>
  <c r="G140" i="232"/>
  <c r="I140" i="232" s="1"/>
  <c r="G141" i="232"/>
  <c r="I141" i="232" s="1"/>
  <c r="G142" i="232"/>
  <c r="I142" i="232" s="1"/>
  <c r="G143" i="232"/>
  <c r="I143" i="232" s="1"/>
  <c r="G144" i="232"/>
  <c r="I144" i="232" s="1"/>
  <c r="G145" i="232"/>
  <c r="I145" i="232" s="1"/>
  <c r="G146" i="232"/>
  <c r="I146" i="232" s="1"/>
  <c r="G147" i="232"/>
  <c r="I147" i="232" s="1"/>
  <c r="G148" i="232"/>
  <c r="I148" i="232" s="1"/>
  <c r="G106" i="232"/>
  <c r="I106" i="232" s="1"/>
  <c r="G58" i="232"/>
  <c r="I58" i="232" s="1"/>
  <c r="G59" i="232"/>
  <c r="I59" i="232" s="1"/>
  <c r="G60" i="232"/>
  <c r="I60" i="232" s="1"/>
  <c r="G61" i="232"/>
  <c r="I61" i="232" s="1"/>
  <c r="G62" i="232"/>
  <c r="I62" i="232" s="1"/>
  <c r="G63" i="232"/>
  <c r="I63" i="232" s="1"/>
  <c r="G64" i="232"/>
  <c r="I64" i="232" s="1"/>
  <c r="G65" i="232"/>
  <c r="I65" i="232" s="1"/>
  <c r="G66" i="232"/>
  <c r="I66" i="232" s="1"/>
  <c r="G67" i="232"/>
  <c r="I67" i="232" s="1"/>
  <c r="G68" i="232"/>
  <c r="I68" i="232" s="1"/>
  <c r="G69" i="232"/>
  <c r="I69" i="232" s="1"/>
  <c r="G70" i="232"/>
  <c r="I70" i="232" s="1"/>
  <c r="G71" i="232"/>
  <c r="I71" i="232" s="1"/>
  <c r="G72" i="232"/>
  <c r="I72" i="232" s="1"/>
  <c r="G73" i="232"/>
  <c r="I73" i="232" s="1"/>
  <c r="G74" i="232"/>
  <c r="I74" i="232" s="1"/>
  <c r="G75" i="232"/>
  <c r="I75" i="232" s="1"/>
  <c r="G76" i="232"/>
  <c r="I76" i="232" s="1"/>
  <c r="G77" i="232"/>
  <c r="I77" i="232" s="1"/>
  <c r="G78" i="232"/>
  <c r="I78" i="232" s="1"/>
  <c r="G79" i="232"/>
  <c r="I79" i="232" s="1"/>
  <c r="G80" i="232"/>
  <c r="I80" i="232" s="1"/>
  <c r="G81" i="232"/>
  <c r="I81" i="232" s="1"/>
  <c r="G82" i="232"/>
  <c r="I82" i="232" s="1"/>
  <c r="G83" i="232"/>
  <c r="I83" i="232" s="1"/>
  <c r="G84" i="232"/>
  <c r="I84" i="232" s="1"/>
  <c r="G85" i="232"/>
  <c r="I85" i="232" s="1"/>
  <c r="G86" i="232"/>
  <c r="I86" i="232" s="1"/>
  <c r="G87" i="232"/>
  <c r="I87" i="232" s="1"/>
  <c r="G88" i="232"/>
  <c r="I88" i="232" s="1"/>
  <c r="G89" i="232"/>
  <c r="I89" i="232" s="1"/>
  <c r="G90" i="232"/>
  <c r="I90" i="232" s="1"/>
  <c r="G91" i="232"/>
  <c r="I91" i="232" s="1"/>
  <c r="G92" i="232"/>
  <c r="I92" i="232" s="1"/>
  <c r="G93" i="232"/>
  <c r="I93" i="232" s="1"/>
  <c r="G94" i="232"/>
  <c r="I94" i="232" s="1"/>
  <c r="G95" i="232"/>
  <c r="I95" i="232" s="1"/>
  <c r="G96" i="232"/>
  <c r="I96" i="232" s="1"/>
  <c r="G97" i="232"/>
  <c r="I97" i="232" s="1"/>
  <c r="G98" i="232"/>
  <c r="I98" i="232" s="1"/>
  <c r="G99" i="232"/>
  <c r="I99" i="232" s="1"/>
  <c r="G100" i="232"/>
  <c r="I100" i="232" s="1"/>
  <c r="G57" i="232"/>
  <c r="M149" i="232"/>
  <c r="H149" i="232"/>
  <c r="D148" i="232"/>
  <c r="C148" i="232"/>
  <c r="B148" i="232"/>
  <c r="D147" i="232"/>
  <c r="C147" i="232"/>
  <c r="B147" i="232"/>
  <c r="D146" i="232"/>
  <c r="C146" i="232"/>
  <c r="B146" i="232"/>
  <c r="D145" i="232"/>
  <c r="C145" i="232"/>
  <c r="B145" i="232"/>
  <c r="D144" i="232"/>
  <c r="C144" i="232"/>
  <c r="B144" i="232"/>
  <c r="D143" i="232"/>
  <c r="C143" i="232"/>
  <c r="B143" i="232"/>
  <c r="D142" i="232"/>
  <c r="C142" i="232"/>
  <c r="B142" i="232"/>
  <c r="D141" i="232"/>
  <c r="C141" i="232"/>
  <c r="B141" i="232"/>
  <c r="D140" i="232"/>
  <c r="C140" i="232"/>
  <c r="B140" i="232"/>
  <c r="D139" i="232"/>
  <c r="C139" i="232"/>
  <c r="B139" i="232"/>
  <c r="D138" i="232"/>
  <c r="C138" i="232"/>
  <c r="B138" i="232"/>
  <c r="D137" i="232"/>
  <c r="C137" i="232"/>
  <c r="B137" i="232"/>
  <c r="D136" i="232"/>
  <c r="C136" i="232"/>
  <c r="B136" i="232"/>
  <c r="D135" i="232"/>
  <c r="C135" i="232"/>
  <c r="B135" i="232"/>
  <c r="D134" i="232"/>
  <c r="C134" i="232"/>
  <c r="B134" i="232"/>
  <c r="D133" i="232"/>
  <c r="C133" i="232"/>
  <c r="B133" i="232"/>
  <c r="D132" i="232"/>
  <c r="C132" i="232"/>
  <c r="B132" i="232"/>
  <c r="D131" i="232"/>
  <c r="C131" i="232"/>
  <c r="B131" i="232"/>
  <c r="D130" i="232"/>
  <c r="C130" i="232"/>
  <c r="B130" i="232"/>
  <c r="D129" i="232"/>
  <c r="C129" i="232"/>
  <c r="B129" i="232"/>
  <c r="D128" i="232"/>
  <c r="C128" i="232"/>
  <c r="B128" i="232"/>
  <c r="D127" i="232"/>
  <c r="C127" i="232"/>
  <c r="B127" i="232"/>
  <c r="D126" i="232"/>
  <c r="C126" i="232"/>
  <c r="B126" i="232"/>
  <c r="D125" i="232"/>
  <c r="C125" i="232"/>
  <c r="B125" i="232"/>
  <c r="D124" i="232"/>
  <c r="C124" i="232"/>
  <c r="B124" i="232"/>
  <c r="D123" i="232"/>
  <c r="C123" i="232"/>
  <c r="B123" i="232"/>
  <c r="D122" i="232"/>
  <c r="C122" i="232"/>
  <c r="B122" i="232"/>
  <c r="D121" i="232"/>
  <c r="C121" i="232"/>
  <c r="B121" i="232"/>
  <c r="D120" i="232"/>
  <c r="C120" i="232"/>
  <c r="B120" i="232"/>
  <c r="D119" i="232"/>
  <c r="C119" i="232"/>
  <c r="B119" i="232"/>
  <c r="D118" i="232"/>
  <c r="C118" i="232"/>
  <c r="B118" i="232"/>
  <c r="D117" i="232"/>
  <c r="C117" i="232"/>
  <c r="B117" i="232"/>
  <c r="D116" i="232"/>
  <c r="C116" i="232"/>
  <c r="B116" i="232"/>
  <c r="D115" i="232"/>
  <c r="C115" i="232"/>
  <c r="B115" i="232"/>
  <c r="D114" i="232"/>
  <c r="C114" i="232"/>
  <c r="B114" i="232"/>
  <c r="D113" i="232"/>
  <c r="C113" i="232"/>
  <c r="B113" i="232"/>
  <c r="D112" i="232"/>
  <c r="C112" i="232"/>
  <c r="B112" i="232"/>
  <c r="D111" i="232"/>
  <c r="C111" i="232"/>
  <c r="B111" i="232"/>
  <c r="D110" i="232"/>
  <c r="C110" i="232"/>
  <c r="B110" i="232"/>
  <c r="D109" i="232"/>
  <c r="C109" i="232"/>
  <c r="B109" i="232"/>
  <c r="D108" i="232"/>
  <c r="C108" i="232"/>
  <c r="B108" i="232"/>
  <c r="D107" i="232"/>
  <c r="C107" i="232"/>
  <c r="B107" i="232"/>
  <c r="D106" i="232"/>
  <c r="C106" i="232"/>
  <c r="B106" i="232"/>
  <c r="A106" i="232"/>
  <c r="A107" i="232" s="1"/>
  <c r="A108" i="232" s="1"/>
  <c r="A109" i="232" s="1"/>
  <c r="A110" i="232" s="1"/>
  <c r="A111" i="232" s="1"/>
  <c r="A112" i="232" s="1"/>
  <c r="A113" i="232" s="1"/>
  <c r="A114" i="232" s="1"/>
  <c r="A115" i="232" s="1"/>
  <c r="A116" i="232" s="1"/>
  <c r="A117" i="232" s="1"/>
  <c r="A118" i="232" s="1"/>
  <c r="A119" i="232" s="1"/>
  <c r="A120" i="232" s="1"/>
  <c r="A121" i="232" s="1"/>
  <c r="A122" i="232" s="1"/>
  <c r="A123" i="232" s="1"/>
  <c r="A124" i="232" s="1"/>
  <c r="A125" i="232" s="1"/>
  <c r="A126" i="232" s="1"/>
  <c r="A127" i="232" s="1"/>
  <c r="A128" i="232" s="1"/>
  <c r="A129" i="232" s="1"/>
  <c r="A130" i="232" s="1"/>
  <c r="A131" i="232" s="1"/>
  <c r="A132" i="232" s="1"/>
  <c r="A133" i="232" s="1"/>
  <c r="A134" i="232" s="1"/>
  <c r="A135" i="232" s="1"/>
  <c r="A136" i="232" s="1"/>
  <c r="A137" i="232" s="1"/>
  <c r="A138" i="232" s="1"/>
  <c r="A139" i="232" s="1"/>
  <c r="A140" i="232" s="1"/>
  <c r="A141" i="232" s="1"/>
  <c r="A142" i="232" s="1"/>
  <c r="A143" i="232" s="1"/>
  <c r="A144" i="232" s="1"/>
  <c r="A145" i="232" s="1"/>
  <c r="A146" i="232" s="1"/>
  <c r="A147" i="232" s="1"/>
  <c r="A148" i="232" s="1"/>
  <c r="N103" i="232"/>
  <c r="J103" i="232"/>
  <c r="H103" i="232"/>
  <c r="J102" i="232"/>
  <c r="H102" i="232"/>
  <c r="J101" i="232"/>
  <c r="D100" i="232"/>
  <c r="C100" i="232"/>
  <c r="B100" i="232"/>
  <c r="D99" i="232"/>
  <c r="C99" i="232"/>
  <c r="B99" i="232"/>
  <c r="D98" i="232"/>
  <c r="C98" i="232"/>
  <c r="B98" i="232"/>
  <c r="D97" i="232"/>
  <c r="C97" i="232"/>
  <c r="B97" i="232"/>
  <c r="D96" i="232"/>
  <c r="C96" i="232"/>
  <c r="B96" i="232"/>
  <c r="D95" i="232"/>
  <c r="C95" i="232"/>
  <c r="B95" i="232"/>
  <c r="D94" i="232"/>
  <c r="C94" i="232"/>
  <c r="B94" i="232"/>
  <c r="D93" i="232"/>
  <c r="C93" i="232"/>
  <c r="B93" i="232"/>
  <c r="D92" i="232"/>
  <c r="C92" i="232"/>
  <c r="B92" i="232"/>
  <c r="D91" i="232"/>
  <c r="C91" i="232"/>
  <c r="B91" i="232"/>
  <c r="D90" i="232"/>
  <c r="C90" i="232"/>
  <c r="B90" i="232"/>
  <c r="D89" i="232"/>
  <c r="C89" i="232"/>
  <c r="B89" i="232"/>
  <c r="D88" i="232"/>
  <c r="C88" i="232"/>
  <c r="B88" i="232"/>
  <c r="D87" i="232"/>
  <c r="C87" i="232"/>
  <c r="B87" i="232"/>
  <c r="D86" i="232"/>
  <c r="C86" i="232"/>
  <c r="B86" i="232"/>
  <c r="D85" i="232"/>
  <c r="C85" i="232"/>
  <c r="B85" i="232"/>
  <c r="D84" i="232"/>
  <c r="C84" i="232"/>
  <c r="B84" i="232"/>
  <c r="D83" i="232"/>
  <c r="C83" i="232"/>
  <c r="B83" i="232"/>
  <c r="D82" i="232"/>
  <c r="C82" i="232"/>
  <c r="B82" i="232"/>
  <c r="D81" i="232"/>
  <c r="C81" i="232"/>
  <c r="B81" i="232"/>
  <c r="D80" i="232"/>
  <c r="C80" i="232"/>
  <c r="B80" i="232"/>
  <c r="D79" i="232"/>
  <c r="C79" i="232"/>
  <c r="B79" i="232"/>
  <c r="D78" i="232"/>
  <c r="C78" i="232"/>
  <c r="B78" i="232"/>
  <c r="D77" i="232"/>
  <c r="C77" i="232"/>
  <c r="B77" i="232"/>
  <c r="D76" i="232"/>
  <c r="C76" i="232"/>
  <c r="B76" i="232"/>
  <c r="D75" i="232"/>
  <c r="C75" i="232"/>
  <c r="B75" i="232"/>
  <c r="D74" i="232"/>
  <c r="C74" i="232"/>
  <c r="B74" i="232"/>
  <c r="D73" i="232"/>
  <c r="C73" i="232"/>
  <c r="B73" i="232"/>
  <c r="D72" i="232"/>
  <c r="C72" i="232"/>
  <c r="B72" i="232"/>
  <c r="D71" i="232"/>
  <c r="C71" i="232"/>
  <c r="B71" i="232"/>
  <c r="D70" i="232"/>
  <c r="C70" i="232"/>
  <c r="B70" i="232"/>
  <c r="D69" i="232"/>
  <c r="C69" i="232"/>
  <c r="B69" i="232"/>
  <c r="D68" i="232"/>
  <c r="C68" i="232"/>
  <c r="B68" i="232"/>
  <c r="D67" i="232"/>
  <c r="C67" i="232"/>
  <c r="B67" i="232"/>
  <c r="D66" i="232"/>
  <c r="C66" i="232"/>
  <c r="B66" i="232"/>
  <c r="D65" i="232"/>
  <c r="C65" i="232"/>
  <c r="B65" i="232"/>
  <c r="D64" i="232"/>
  <c r="C64" i="232"/>
  <c r="B64" i="232"/>
  <c r="D63" i="232"/>
  <c r="C63" i="232"/>
  <c r="B63" i="232"/>
  <c r="D62" i="232"/>
  <c r="C62" i="232"/>
  <c r="B62" i="232"/>
  <c r="D61" i="232"/>
  <c r="C61" i="232"/>
  <c r="B61" i="232"/>
  <c r="D60" i="232"/>
  <c r="C60" i="232"/>
  <c r="B60" i="232"/>
  <c r="D59" i="232"/>
  <c r="C59" i="232"/>
  <c r="B59" i="232"/>
  <c r="D58" i="232"/>
  <c r="C58" i="232"/>
  <c r="B58" i="232"/>
  <c r="D57" i="232"/>
  <c r="C57" i="232"/>
  <c r="B57" i="232"/>
  <c r="N54" i="232"/>
  <c r="J54" i="232"/>
  <c r="H54" i="232"/>
  <c r="J53" i="232"/>
  <c r="H53" i="232"/>
  <c r="J52" i="232"/>
  <c r="D21" i="232" a="1"/>
  <c r="D20" i="232" a="1"/>
  <c r="D19" i="232" a="1"/>
  <c r="D14" i="232" a="1"/>
  <c r="D54" i="232" s="1"/>
  <c r="D13" i="232" a="1"/>
  <c r="D12" i="232" a="1"/>
  <c r="D101" i="232" s="1"/>
  <c r="D10" i="232" a="1"/>
  <c r="D8" i="232"/>
  <c r="D7" i="232"/>
  <c r="D6" i="232"/>
  <c r="D5" i="232"/>
  <c r="N3" i="232"/>
  <c r="N1" i="232"/>
  <c r="G107" i="231"/>
  <c r="I107" i="231" s="1"/>
  <c r="G108" i="231"/>
  <c r="I108" i="231" s="1"/>
  <c r="G109" i="231"/>
  <c r="I109" i="231" s="1"/>
  <c r="G110" i="231"/>
  <c r="I110" i="231" s="1"/>
  <c r="G111" i="231"/>
  <c r="I111" i="231" s="1"/>
  <c r="G112" i="231"/>
  <c r="I112" i="231" s="1"/>
  <c r="G113" i="231"/>
  <c r="I113" i="231" s="1"/>
  <c r="G114" i="231"/>
  <c r="I114" i="231" s="1"/>
  <c r="G115" i="231"/>
  <c r="I115" i="231" s="1"/>
  <c r="G116" i="231"/>
  <c r="I116" i="231" s="1"/>
  <c r="G117" i="231"/>
  <c r="I117" i="231" s="1"/>
  <c r="G118" i="231"/>
  <c r="I118" i="231" s="1"/>
  <c r="G119" i="231"/>
  <c r="I119" i="231" s="1"/>
  <c r="G120" i="231"/>
  <c r="I120" i="231" s="1"/>
  <c r="G121" i="231"/>
  <c r="I121" i="231" s="1"/>
  <c r="G122" i="231"/>
  <c r="I122" i="231" s="1"/>
  <c r="G123" i="231"/>
  <c r="I123" i="231" s="1"/>
  <c r="G124" i="231"/>
  <c r="I124" i="231" s="1"/>
  <c r="G125" i="231"/>
  <c r="I125" i="231" s="1"/>
  <c r="G126" i="231"/>
  <c r="I126" i="231" s="1"/>
  <c r="G127" i="231"/>
  <c r="I127" i="231" s="1"/>
  <c r="G128" i="231"/>
  <c r="I128" i="231" s="1"/>
  <c r="G129" i="231"/>
  <c r="I129" i="231" s="1"/>
  <c r="G130" i="231"/>
  <c r="I130" i="231" s="1"/>
  <c r="G131" i="231"/>
  <c r="I131" i="231" s="1"/>
  <c r="G132" i="231"/>
  <c r="I132" i="231" s="1"/>
  <c r="G133" i="231"/>
  <c r="I133" i="231" s="1"/>
  <c r="G134" i="231"/>
  <c r="I134" i="231" s="1"/>
  <c r="G135" i="231"/>
  <c r="I135" i="231" s="1"/>
  <c r="G136" i="231"/>
  <c r="I136" i="231" s="1"/>
  <c r="G137" i="231"/>
  <c r="I137" i="231" s="1"/>
  <c r="G138" i="231"/>
  <c r="I138" i="231" s="1"/>
  <c r="G139" i="231"/>
  <c r="I139" i="231" s="1"/>
  <c r="G140" i="231"/>
  <c r="I140" i="231" s="1"/>
  <c r="G141" i="231"/>
  <c r="I141" i="231" s="1"/>
  <c r="G142" i="231"/>
  <c r="I142" i="231" s="1"/>
  <c r="G143" i="231"/>
  <c r="I143" i="231" s="1"/>
  <c r="G144" i="231"/>
  <c r="I144" i="231" s="1"/>
  <c r="G145" i="231"/>
  <c r="I145" i="231" s="1"/>
  <c r="G146" i="231"/>
  <c r="I146" i="231" s="1"/>
  <c r="G147" i="231"/>
  <c r="I147" i="231" s="1"/>
  <c r="G148" i="231"/>
  <c r="I148" i="231" s="1"/>
  <c r="G106" i="231"/>
  <c r="I106" i="231" s="1"/>
  <c r="G58" i="231"/>
  <c r="I58" i="231" s="1"/>
  <c r="G59" i="231"/>
  <c r="I59" i="231" s="1"/>
  <c r="G60" i="231"/>
  <c r="I60" i="231" s="1"/>
  <c r="G61" i="231"/>
  <c r="I61" i="231" s="1"/>
  <c r="G62" i="231"/>
  <c r="G63" i="231"/>
  <c r="I63" i="231" s="1"/>
  <c r="G64" i="231"/>
  <c r="I64" i="231" s="1"/>
  <c r="G65" i="231"/>
  <c r="I65" i="231" s="1"/>
  <c r="G66" i="231"/>
  <c r="I66" i="231" s="1"/>
  <c r="G67" i="231"/>
  <c r="I67" i="231" s="1"/>
  <c r="G68" i="231"/>
  <c r="I68" i="231" s="1"/>
  <c r="G69" i="231"/>
  <c r="I69" i="231" s="1"/>
  <c r="G70" i="231"/>
  <c r="I70" i="231" s="1"/>
  <c r="G71" i="231"/>
  <c r="I71" i="231" s="1"/>
  <c r="G72" i="231"/>
  <c r="I72" i="231" s="1"/>
  <c r="G73" i="231"/>
  <c r="I73" i="231" s="1"/>
  <c r="G74" i="231"/>
  <c r="I74" i="231" s="1"/>
  <c r="G75" i="231"/>
  <c r="I75" i="231" s="1"/>
  <c r="G76" i="231"/>
  <c r="I76" i="231" s="1"/>
  <c r="G77" i="231"/>
  <c r="I77" i="231" s="1"/>
  <c r="G78" i="231"/>
  <c r="I78" i="231" s="1"/>
  <c r="G79" i="231"/>
  <c r="I79" i="231" s="1"/>
  <c r="G80" i="231"/>
  <c r="I80" i="231" s="1"/>
  <c r="G81" i="231"/>
  <c r="I81" i="231" s="1"/>
  <c r="G82" i="231"/>
  <c r="I82" i="231" s="1"/>
  <c r="G83" i="231"/>
  <c r="I83" i="231" s="1"/>
  <c r="G84" i="231"/>
  <c r="I84" i="231" s="1"/>
  <c r="G85" i="231"/>
  <c r="I85" i="231" s="1"/>
  <c r="G86" i="231"/>
  <c r="I86" i="231" s="1"/>
  <c r="G87" i="231"/>
  <c r="I87" i="231" s="1"/>
  <c r="G88" i="231"/>
  <c r="I88" i="231" s="1"/>
  <c r="G89" i="231"/>
  <c r="I89" i="231" s="1"/>
  <c r="G90" i="231"/>
  <c r="I90" i="231" s="1"/>
  <c r="G91" i="231"/>
  <c r="I91" i="231" s="1"/>
  <c r="G92" i="231"/>
  <c r="I92" i="231" s="1"/>
  <c r="G93" i="231"/>
  <c r="I93" i="231" s="1"/>
  <c r="G94" i="231"/>
  <c r="I94" i="231" s="1"/>
  <c r="G95" i="231"/>
  <c r="I95" i="231" s="1"/>
  <c r="G96" i="231"/>
  <c r="I96" i="231" s="1"/>
  <c r="G97" i="231"/>
  <c r="I97" i="231" s="1"/>
  <c r="G98" i="231"/>
  <c r="I98" i="231" s="1"/>
  <c r="G99" i="231"/>
  <c r="I99" i="231" s="1"/>
  <c r="G100" i="231"/>
  <c r="I100" i="231" s="1"/>
  <c r="G57" i="231"/>
  <c r="M149" i="231"/>
  <c r="H149" i="231"/>
  <c r="D148" i="231"/>
  <c r="C148" i="231"/>
  <c r="B148" i="231"/>
  <c r="D147" i="231"/>
  <c r="C147" i="231"/>
  <c r="B147" i="231"/>
  <c r="D146" i="231"/>
  <c r="C146" i="231"/>
  <c r="B146" i="231"/>
  <c r="D145" i="231"/>
  <c r="C145" i="231"/>
  <c r="B145" i="231"/>
  <c r="D144" i="231"/>
  <c r="C144" i="231"/>
  <c r="B144" i="231"/>
  <c r="D143" i="231"/>
  <c r="C143" i="231"/>
  <c r="B143" i="231"/>
  <c r="D142" i="231"/>
  <c r="C142" i="231"/>
  <c r="B142" i="231"/>
  <c r="D141" i="231"/>
  <c r="C141" i="231"/>
  <c r="B141" i="231"/>
  <c r="D140" i="231"/>
  <c r="C140" i="231"/>
  <c r="B140" i="231"/>
  <c r="D139" i="231"/>
  <c r="C139" i="231"/>
  <c r="B139" i="231"/>
  <c r="D138" i="231"/>
  <c r="C138" i="231"/>
  <c r="B138" i="231"/>
  <c r="D137" i="231"/>
  <c r="C137" i="231"/>
  <c r="B137" i="231"/>
  <c r="D136" i="231"/>
  <c r="C136" i="231"/>
  <c r="B136" i="231"/>
  <c r="D135" i="231"/>
  <c r="C135" i="231"/>
  <c r="B135" i="231"/>
  <c r="D134" i="231"/>
  <c r="C134" i="231"/>
  <c r="B134" i="231"/>
  <c r="D133" i="231"/>
  <c r="C133" i="231"/>
  <c r="B133" i="231"/>
  <c r="D132" i="231"/>
  <c r="C132" i="231"/>
  <c r="B132" i="231"/>
  <c r="D131" i="231"/>
  <c r="C131" i="231"/>
  <c r="B131" i="231"/>
  <c r="D130" i="231"/>
  <c r="C130" i="231"/>
  <c r="B130" i="231"/>
  <c r="D129" i="231"/>
  <c r="C129" i="231"/>
  <c r="B129" i="231"/>
  <c r="D128" i="231"/>
  <c r="C128" i="231"/>
  <c r="B128" i="231"/>
  <c r="D127" i="231"/>
  <c r="C127" i="231"/>
  <c r="B127" i="231"/>
  <c r="D126" i="231"/>
  <c r="C126" i="231"/>
  <c r="B126" i="231"/>
  <c r="D125" i="231"/>
  <c r="C125" i="231"/>
  <c r="B125" i="231"/>
  <c r="D124" i="231"/>
  <c r="C124" i="231"/>
  <c r="B124" i="231"/>
  <c r="D123" i="231"/>
  <c r="C123" i="231"/>
  <c r="B123" i="231"/>
  <c r="D122" i="231"/>
  <c r="C122" i="231"/>
  <c r="B122" i="231"/>
  <c r="D121" i="231"/>
  <c r="C121" i="231"/>
  <c r="B121" i="231"/>
  <c r="D120" i="231"/>
  <c r="C120" i="231"/>
  <c r="B120" i="231"/>
  <c r="D119" i="231"/>
  <c r="C119" i="231"/>
  <c r="B119" i="231"/>
  <c r="D118" i="231"/>
  <c r="C118" i="231"/>
  <c r="B118" i="231"/>
  <c r="D117" i="231"/>
  <c r="C117" i="231"/>
  <c r="B117" i="231"/>
  <c r="D116" i="231"/>
  <c r="C116" i="231"/>
  <c r="B116" i="231"/>
  <c r="D115" i="231"/>
  <c r="C115" i="231"/>
  <c r="B115" i="231"/>
  <c r="D114" i="231"/>
  <c r="C114" i="231"/>
  <c r="B114" i="231"/>
  <c r="D113" i="231"/>
  <c r="C113" i="231"/>
  <c r="B113" i="231"/>
  <c r="D112" i="231"/>
  <c r="C112" i="231"/>
  <c r="B112" i="231"/>
  <c r="D111" i="231"/>
  <c r="C111" i="231"/>
  <c r="B111" i="231"/>
  <c r="D110" i="231"/>
  <c r="C110" i="231"/>
  <c r="B110" i="231"/>
  <c r="D109" i="231"/>
  <c r="C109" i="231"/>
  <c r="B109" i="231"/>
  <c r="D108" i="231"/>
  <c r="C108" i="231"/>
  <c r="B108" i="231"/>
  <c r="D107" i="231"/>
  <c r="C107" i="231"/>
  <c r="B107" i="231"/>
  <c r="D106" i="231"/>
  <c r="C106" i="231"/>
  <c r="B106" i="231"/>
  <c r="A106" i="231"/>
  <c r="A107" i="231" s="1"/>
  <c r="A108" i="231" s="1"/>
  <c r="A109" i="231" s="1"/>
  <c r="A110" i="231" s="1"/>
  <c r="A111" i="231" s="1"/>
  <c r="A112" i="231" s="1"/>
  <c r="A113" i="231" s="1"/>
  <c r="A114" i="231" s="1"/>
  <c r="A115" i="231" s="1"/>
  <c r="A116" i="231" s="1"/>
  <c r="A117" i="231" s="1"/>
  <c r="A118" i="231" s="1"/>
  <c r="A119" i="231" s="1"/>
  <c r="A120" i="231" s="1"/>
  <c r="A121" i="231" s="1"/>
  <c r="A122" i="231" s="1"/>
  <c r="A123" i="231" s="1"/>
  <c r="A124" i="231" s="1"/>
  <c r="A125" i="231" s="1"/>
  <c r="A126" i="231" s="1"/>
  <c r="A127" i="231" s="1"/>
  <c r="A128" i="231" s="1"/>
  <c r="A129" i="231" s="1"/>
  <c r="A130" i="231" s="1"/>
  <c r="A131" i="231" s="1"/>
  <c r="A132" i="231" s="1"/>
  <c r="A133" i="231" s="1"/>
  <c r="A134" i="231" s="1"/>
  <c r="A135" i="231" s="1"/>
  <c r="A136" i="231" s="1"/>
  <c r="A137" i="231" s="1"/>
  <c r="A138" i="231" s="1"/>
  <c r="A139" i="231" s="1"/>
  <c r="A140" i="231" s="1"/>
  <c r="A141" i="231" s="1"/>
  <c r="A142" i="231" s="1"/>
  <c r="A143" i="231" s="1"/>
  <c r="A144" i="231" s="1"/>
  <c r="A145" i="231" s="1"/>
  <c r="A146" i="231" s="1"/>
  <c r="A147" i="231" s="1"/>
  <c r="A148" i="231" s="1"/>
  <c r="N103" i="231"/>
  <c r="J103" i="231"/>
  <c r="H103" i="231"/>
  <c r="J102" i="231"/>
  <c r="H102" i="231"/>
  <c r="J101" i="231"/>
  <c r="D100" i="231"/>
  <c r="C100" i="231"/>
  <c r="B100" i="231"/>
  <c r="D99" i="231"/>
  <c r="C99" i="231"/>
  <c r="B99" i="231"/>
  <c r="D98" i="231"/>
  <c r="C98" i="231"/>
  <c r="B98" i="231"/>
  <c r="D97" i="231"/>
  <c r="C97" i="231"/>
  <c r="B97" i="231"/>
  <c r="D96" i="231"/>
  <c r="C96" i="231"/>
  <c r="B96" i="231"/>
  <c r="D95" i="231"/>
  <c r="C95" i="231"/>
  <c r="B95" i="231"/>
  <c r="D94" i="231"/>
  <c r="C94" i="231"/>
  <c r="B94" i="231"/>
  <c r="D93" i="231"/>
  <c r="C93" i="231"/>
  <c r="B93" i="231"/>
  <c r="D92" i="231"/>
  <c r="C92" i="231"/>
  <c r="B92" i="231"/>
  <c r="D91" i="231"/>
  <c r="C91" i="231"/>
  <c r="B91" i="231"/>
  <c r="D90" i="231"/>
  <c r="C90" i="231"/>
  <c r="B90" i="231"/>
  <c r="D89" i="231"/>
  <c r="C89" i="231"/>
  <c r="B89" i="231"/>
  <c r="D88" i="231"/>
  <c r="C88" i="231"/>
  <c r="B88" i="231"/>
  <c r="D87" i="231"/>
  <c r="C87" i="231"/>
  <c r="B87" i="231"/>
  <c r="D86" i="231"/>
  <c r="C86" i="231"/>
  <c r="B86" i="231"/>
  <c r="D85" i="231"/>
  <c r="C85" i="231"/>
  <c r="B85" i="231"/>
  <c r="D84" i="231"/>
  <c r="C84" i="231"/>
  <c r="B84" i="231"/>
  <c r="D83" i="231"/>
  <c r="C83" i="231"/>
  <c r="B83" i="231"/>
  <c r="D82" i="231"/>
  <c r="C82" i="231"/>
  <c r="B82" i="231"/>
  <c r="D81" i="231"/>
  <c r="C81" i="231"/>
  <c r="B81" i="231"/>
  <c r="D80" i="231"/>
  <c r="C80" i="231"/>
  <c r="B80" i="231"/>
  <c r="D79" i="231"/>
  <c r="C79" i="231"/>
  <c r="B79" i="231"/>
  <c r="D78" i="231"/>
  <c r="C78" i="231"/>
  <c r="B78" i="231"/>
  <c r="D77" i="231"/>
  <c r="C77" i="231"/>
  <c r="B77" i="231"/>
  <c r="D76" i="231"/>
  <c r="C76" i="231"/>
  <c r="B76" i="231"/>
  <c r="D75" i="231"/>
  <c r="C75" i="231"/>
  <c r="B75" i="231"/>
  <c r="D74" i="231"/>
  <c r="C74" i="231"/>
  <c r="B74" i="231"/>
  <c r="D73" i="231"/>
  <c r="C73" i="231"/>
  <c r="B73" i="231"/>
  <c r="D72" i="231"/>
  <c r="C72" i="231"/>
  <c r="B72" i="231"/>
  <c r="D71" i="231"/>
  <c r="C71" i="231"/>
  <c r="B71" i="231"/>
  <c r="D70" i="231"/>
  <c r="C70" i="231"/>
  <c r="B70" i="231"/>
  <c r="D69" i="231"/>
  <c r="C69" i="231"/>
  <c r="B69" i="231"/>
  <c r="D68" i="231"/>
  <c r="C68" i="231"/>
  <c r="B68" i="231"/>
  <c r="D67" i="231"/>
  <c r="C67" i="231"/>
  <c r="B67" i="231"/>
  <c r="D66" i="231"/>
  <c r="C66" i="231"/>
  <c r="B66" i="231"/>
  <c r="D65" i="231"/>
  <c r="C65" i="231"/>
  <c r="B65" i="231"/>
  <c r="D64" i="231"/>
  <c r="C64" i="231"/>
  <c r="B64" i="231"/>
  <c r="D63" i="231"/>
  <c r="C63" i="231"/>
  <c r="B63" i="231"/>
  <c r="D62" i="231"/>
  <c r="C62" i="231"/>
  <c r="B62" i="231"/>
  <c r="D61" i="231"/>
  <c r="C61" i="231"/>
  <c r="B61" i="231"/>
  <c r="D60" i="231"/>
  <c r="C60" i="231"/>
  <c r="B60" i="231"/>
  <c r="D59" i="231"/>
  <c r="C59" i="231"/>
  <c r="B59" i="231"/>
  <c r="D58" i="231"/>
  <c r="C58" i="231"/>
  <c r="B58" i="231"/>
  <c r="D57" i="231"/>
  <c r="C57" i="231"/>
  <c r="B57" i="231"/>
  <c r="N54" i="231"/>
  <c r="J54" i="231"/>
  <c r="H54" i="231"/>
  <c r="J53" i="231"/>
  <c r="H53" i="231"/>
  <c r="J52" i="231"/>
  <c r="D21" i="231" a="1"/>
  <c r="D20" i="231" a="1"/>
  <c r="D19" i="231" a="1"/>
  <c r="D14" i="231" a="1"/>
  <c r="D13" i="231" a="1"/>
  <c r="D12" i="231" a="1"/>
  <c r="D10" i="231" a="1"/>
  <c r="D8" i="231"/>
  <c r="D7" i="231"/>
  <c r="D6" i="231"/>
  <c r="D5" i="231"/>
  <c r="N3" i="231"/>
  <c r="N1" i="231"/>
  <c r="G107" i="230"/>
  <c r="I107" i="230" s="1"/>
  <c r="G108" i="230"/>
  <c r="I108" i="230" s="1"/>
  <c r="G109" i="230"/>
  <c r="I109" i="230" s="1"/>
  <c r="G110" i="230"/>
  <c r="I110" i="230" s="1"/>
  <c r="G111" i="230"/>
  <c r="I111" i="230" s="1"/>
  <c r="G112" i="230"/>
  <c r="I112" i="230" s="1"/>
  <c r="G113" i="230"/>
  <c r="I113" i="230" s="1"/>
  <c r="G114" i="230"/>
  <c r="I114" i="230" s="1"/>
  <c r="G115" i="230"/>
  <c r="I115" i="230" s="1"/>
  <c r="G116" i="230"/>
  <c r="I116" i="230" s="1"/>
  <c r="G117" i="230"/>
  <c r="I117" i="230" s="1"/>
  <c r="G118" i="230"/>
  <c r="I118" i="230" s="1"/>
  <c r="G119" i="230"/>
  <c r="I119" i="230" s="1"/>
  <c r="G120" i="230"/>
  <c r="I120" i="230" s="1"/>
  <c r="G121" i="230"/>
  <c r="I121" i="230" s="1"/>
  <c r="G122" i="230"/>
  <c r="I122" i="230" s="1"/>
  <c r="G123" i="230"/>
  <c r="I123" i="230" s="1"/>
  <c r="G124" i="230"/>
  <c r="I124" i="230" s="1"/>
  <c r="G125" i="230"/>
  <c r="I125" i="230" s="1"/>
  <c r="G126" i="230"/>
  <c r="I126" i="230" s="1"/>
  <c r="G127" i="230"/>
  <c r="I127" i="230" s="1"/>
  <c r="G128" i="230"/>
  <c r="I128" i="230" s="1"/>
  <c r="G129" i="230"/>
  <c r="I129" i="230" s="1"/>
  <c r="G130" i="230"/>
  <c r="I130" i="230" s="1"/>
  <c r="G131" i="230"/>
  <c r="I131" i="230" s="1"/>
  <c r="G132" i="230"/>
  <c r="I132" i="230" s="1"/>
  <c r="G133" i="230"/>
  <c r="I133" i="230" s="1"/>
  <c r="G134" i="230"/>
  <c r="I134" i="230" s="1"/>
  <c r="G135" i="230"/>
  <c r="I135" i="230" s="1"/>
  <c r="G136" i="230"/>
  <c r="I136" i="230" s="1"/>
  <c r="G137" i="230"/>
  <c r="I137" i="230" s="1"/>
  <c r="G138" i="230"/>
  <c r="I138" i="230" s="1"/>
  <c r="G139" i="230"/>
  <c r="I139" i="230" s="1"/>
  <c r="G140" i="230"/>
  <c r="I140" i="230" s="1"/>
  <c r="G141" i="230"/>
  <c r="I141" i="230" s="1"/>
  <c r="G142" i="230"/>
  <c r="I142" i="230" s="1"/>
  <c r="G143" i="230"/>
  <c r="I143" i="230" s="1"/>
  <c r="G144" i="230"/>
  <c r="I144" i="230" s="1"/>
  <c r="G145" i="230"/>
  <c r="I145" i="230" s="1"/>
  <c r="G146" i="230"/>
  <c r="I146" i="230" s="1"/>
  <c r="G147" i="230"/>
  <c r="I147" i="230" s="1"/>
  <c r="G148" i="230"/>
  <c r="I148" i="230" s="1"/>
  <c r="G106" i="230"/>
  <c r="I106" i="230" s="1"/>
  <c r="G58" i="230"/>
  <c r="I58" i="230" s="1"/>
  <c r="G59" i="230"/>
  <c r="I59" i="230" s="1"/>
  <c r="G60" i="230"/>
  <c r="I60" i="230" s="1"/>
  <c r="G61" i="230"/>
  <c r="I61" i="230" s="1"/>
  <c r="G62" i="230"/>
  <c r="I62" i="230" s="1"/>
  <c r="G63" i="230"/>
  <c r="I63" i="230" s="1"/>
  <c r="G64" i="230"/>
  <c r="I64" i="230" s="1"/>
  <c r="G65" i="230"/>
  <c r="I65" i="230" s="1"/>
  <c r="G66" i="230"/>
  <c r="I66" i="230" s="1"/>
  <c r="G67" i="230"/>
  <c r="I67" i="230" s="1"/>
  <c r="G68" i="230"/>
  <c r="I68" i="230" s="1"/>
  <c r="G69" i="230"/>
  <c r="I69" i="230" s="1"/>
  <c r="G70" i="230"/>
  <c r="I70" i="230" s="1"/>
  <c r="G71" i="230"/>
  <c r="I71" i="230" s="1"/>
  <c r="G72" i="230"/>
  <c r="I72" i="230" s="1"/>
  <c r="G73" i="230"/>
  <c r="I73" i="230" s="1"/>
  <c r="G74" i="230"/>
  <c r="I74" i="230" s="1"/>
  <c r="G75" i="230"/>
  <c r="I75" i="230" s="1"/>
  <c r="G76" i="230"/>
  <c r="I76" i="230" s="1"/>
  <c r="G77" i="230"/>
  <c r="I77" i="230" s="1"/>
  <c r="G78" i="230"/>
  <c r="I78" i="230" s="1"/>
  <c r="G79" i="230"/>
  <c r="I79" i="230" s="1"/>
  <c r="G80" i="230"/>
  <c r="I80" i="230" s="1"/>
  <c r="G81" i="230"/>
  <c r="I81" i="230" s="1"/>
  <c r="G82" i="230"/>
  <c r="I82" i="230" s="1"/>
  <c r="G83" i="230"/>
  <c r="I83" i="230" s="1"/>
  <c r="G84" i="230"/>
  <c r="I84" i="230" s="1"/>
  <c r="G85" i="230"/>
  <c r="I85" i="230" s="1"/>
  <c r="G86" i="230"/>
  <c r="I86" i="230" s="1"/>
  <c r="G87" i="230"/>
  <c r="I87" i="230" s="1"/>
  <c r="G88" i="230"/>
  <c r="I88" i="230" s="1"/>
  <c r="G89" i="230"/>
  <c r="I89" i="230" s="1"/>
  <c r="G90" i="230"/>
  <c r="I90" i="230" s="1"/>
  <c r="G91" i="230"/>
  <c r="I91" i="230" s="1"/>
  <c r="G92" i="230"/>
  <c r="I92" i="230" s="1"/>
  <c r="G93" i="230"/>
  <c r="I93" i="230" s="1"/>
  <c r="G94" i="230"/>
  <c r="I94" i="230" s="1"/>
  <c r="G95" i="230"/>
  <c r="I95" i="230" s="1"/>
  <c r="G96" i="230"/>
  <c r="I96" i="230" s="1"/>
  <c r="G97" i="230"/>
  <c r="I97" i="230" s="1"/>
  <c r="G98" i="230"/>
  <c r="I98" i="230" s="1"/>
  <c r="G99" i="230"/>
  <c r="I99" i="230" s="1"/>
  <c r="G100" i="230"/>
  <c r="I100" i="230" s="1"/>
  <c r="G57" i="230"/>
  <c r="M149" i="230"/>
  <c r="H149" i="230"/>
  <c r="D148" i="230"/>
  <c r="C148" i="230"/>
  <c r="B148" i="230"/>
  <c r="D147" i="230"/>
  <c r="C147" i="230"/>
  <c r="B147" i="230"/>
  <c r="D146" i="230"/>
  <c r="C146" i="230"/>
  <c r="B146" i="230"/>
  <c r="D145" i="230"/>
  <c r="C145" i="230"/>
  <c r="B145" i="230"/>
  <c r="D144" i="230"/>
  <c r="C144" i="230"/>
  <c r="B144" i="230"/>
  <c r="D143" i="230"/>
  <c r="C143" i="230"/>
  <c r="B143" i="230"/>
  <c r="D142" i="230"/>
  <c r="C142" i="230"/>
  <c r="B142" i="230"/>
  <c r="D141" i="230"/>
  <c r="C141" i="230"/>
  <c r="B141" i="230"/>
  <c r="D140" i="230"/>
  <c r="C140" i="230"/>
  <c r="B140" i="230"/>
  <c r="D139" i="230"/>
  <c r="C139" i="230"/>
  <c r="B139" i="230"/>
  <c r="D138" i="230"/>
  <c r="C138" i="230"/>
  <c r="B138" i="230"/>
  <c r="D137" i="230"/>
  <c r="C137" i="230"/>
  <c r="B137" i="230"/>
  <c r="D136" i="230"/>
  <c r="C136" i="230"/>
  <c r="B136" i="230"/>
  <c r="D135" i="230"/>
  <c r="C135" i="230"/>
  <c r="B135" i="230"/>
  <c r="D134" i="230"/>
  <c r="C134" i="230"/>
  <c r="B134" i="230"/>
  <c r="D133" i="230"/>
  <c r="C133" i="230"/>
  <c r="B133" i="230"/>
  <c r="D132" i="230"/>
  <c r="C132" i="230"/>
  <c r="B132" i="230"/>
  <c r="D131" i="230"/>
  <c r="C131" i="230"/>
  <c r="B131" i="230"/>
  <c r="D130" i="230"/>
  <c r="C130" i="230"/>
  <c r="B130" i="230"/>
  <c r="D129" i="230"/>
  <c r="C129" i="230"/>
  <c r="B129" i="230"/>
  <c r="D128" i="230"/>
  <c r="C128" i="230"/>
  <c r="B128" i="230"/>
  <c r="D127" i="230"/>
  <c r="C127" i="230"/>
  <c r="B127" i="230"/>
  <c r="D126" i="230"/>
  <c r="C126" i="230"/>
  <c r="B126" i="230"/>
  <c r="D125" i="230"/>
  <c r="C125" i="230"/>
  <c r="B125" i="230"/>
  <c r="D124" i="230"/>
  <c r="C124" i="230"/>
  <c r="B124" i="230"/>
  <c r="D123" i="230"/>
  <c r="C123" i="230"/>
  <c r="B123" i="230"/>
  <c r="D122" i="230"/>
  <c r="C122" i="230"/>
  <c r="B122" i="230"/>
  <c r="D121" i="230"/>
  <c r="C121" i="230"/>
  <c r="B121" i="230"/>
  <c r="D120" i="230"/>
  <c r="C120" i="230"/>
  <c r="B120" i="230"/>
  <c r="D119" i="230"/>
  <c r="C119" i="230"/>
  <c r="B119" i="230"/>
  <c r="D118" i="230"/>
  <c r="C118" i="230"/>
  <c r="B118" i="230"/>
  <c r="D117" i="230"/>
  <c r="C117" i="230"/>
  <c r="B117" i="230"/>
  <c r="D116" i="230"/>
  <c r="C116" i="230"/>
  <c r="B116" i="230"/>
  <c r="D115" i="230"/>
  <c r="C115" i="230"/>
  <c r="B115" i="230"/>
  <c r="D114" i="230"/>
  <c r="C114" i="230"/>
  <c r="B114" i="230"/>
  <c r="D113" i="230"/>
  <c r="C113" i="230"/>
  <c r="B113" i="230"/>
  <c r="D112" i="230"/>
  <c r="C112" i="230"/>
  <c r="B112" i="230"/>
  <c r="D111" i="230"/>
  <c r="C111" i="230"/>
  <c r="B111" i="230"/>
  <c r="D110" i="230"/>
  <c r="C110" i="230"/>
  <c r="B110" i="230"/>
  <c r="D109" i="230"/>
  <c r="C109" i="230"/>
  <c r="B109" i="230"/>
  <c r="D108" i="230"/>
  <c r="C108" i="230"/>
  <c r="B108" i="230"/>
  <c r="D107" i="230"/>
  <c r="C107" i="230"/>
  <c r="B107" i="230"/>
  <c r="D106" i="230"/>
  <c r="C106" i="230"/>
  <c r="B106" i="230"/>
  <c r="A106" i="230"/>
  <c r="A107" i="230" s="1"/>
  <c r="A108" i="230" s="1"/>
  <c r="A109" i="230" s="1"/>
  <c r="A110" i="230" s="1"/>
  <c r="A111" i="230" s="1"/>
  <c r="A112" i="230" s="1"/>
  <c r="A113" i="230" s="1"/>
  <c r="A114" i="230" s="1"/>
  <c r="A115" i="230" s="1"/>
  <c r="A116" i="230" s="1"/>
  <c r="A117" i="230" s="1"/>
  <c r="A118" i="230" s="1"/>
  <c r="A119" i="230" s="1"/>
  <c r="A120" i="230" s="1"/>
  <c r="A121" i="230" s="1"/>
  <c r="A122" i="230" s="1"/>
  <c r="A123" i="230" s="1"/>
  <c r="A124" i="230" s="1"/>
  <c r="A125" i="230" s="1"/>
  <c r="A126" i="230" s="1"/>
  <c r="A127" i="230" s="1"/>
  <c r="A128" i="230" s="1"/>
  <c r="A129" i="230" s="1"/>
  <c r="A130" i="230" s="1"/>
  <c r="A131" i="230" s="1"/>
  <c r="A132" i="230" s="1"/>
  <c r="A133" i="230" s="1"/>
  <c r="A134" i="230" s="1"/>
  <c r="A135" i="230" s="1"/>
  <c r="A136" i="230" s="1"/>
  <c r="A137" i="230" s="1"/>
  <c r="A138" i="230" s="1"/>
  <c r="A139" i="230" s="1"/>
  <c r="A140" i="230" s="1"/>
  <c r="A141" i="230" s="1"/>
  <c r="A142" i="230" s="1"/>
  <c r="A143" i="230" s="1"/>
  <c r="A144" i="230" s="1"/>
  <c r="A145" i="230" s="1"/>
  <c r="A146" i="230" s="1"/>
  <c r="A147" i="230" s="1"/>
  <c r="A148" i="230" s="1"/>
  <c r="N103" i="230"/>
  <c r="J103" i="230"/>
  <c r="H103" i="230"/>
  <c r="J102" i="230"/>
  <c r="H102" i="230"/>
  <c r="J101" i="230"/>
  <c r="D100" i="230"/>
  <c r="C100" i="230"/>
  <c r="B100" i="230"/>
  <c r="D99" i="230"/>
  <c r="C99" i="230"/>
  <c r="B99" i="230"/>
  <c r="D98" i="230"/>
  <c r="C98" i="230"/>
  <c r="B98" i="230"/>
  <c r="D97" i="230"/>
  <c r="C97" i="230"/>
  <c r="B97" i="230"/>
  <c r="D96" i="230"/>
  <c r="C96" i="230"/>
  <c r="B96" i="230"/>
  <c r="D95" i="230"/>
  <c r="C95" i="230"/>
  <c r="B95" i="230"/>
  <c r="D94" i="230"/>
  <c r="C94" i="230"/>
  <c r="B94" i="230"/>
  <c r="D93" i="230"/>
  <c r="C93" i="230"/>
  <c r="B93" i="230"/>
  <c r="D92" i="230"/>
  <c r="C92" i="230"/>
  <c r="B92" i="230"/>
  <c r="D91" i="230"/>
  <c r="C91" i="230"/>
  <c r="B91" i="230"/>
  <c r="D90" i="230"/>
  <c r="C90" i="230"/>
  <c r="B90" i="230"/>
  <c r="D89" i="230"/>
  <c r="C89" i="230"/>
  <c r="B89" i="230"/>
  <c r="D88" i="230"/>
  <c r="C88" i="230"/>
  <c r="B88" i="230"/>
  <c r="D87" i="230"/>
  <c r="C87" i="230"/>
  <c r="B87" i="230"/>
  <c r="D86" i="230"/>
  <c r="C86" i="230"/>
  <c r="B86" i="230"/>
  <c r="D85" i="230"/>
  <c r="C85" i="230"/>
  <c r="B85" i="230"/>
  <c r="D84" i="230"/>
  <c r="C84" i="230"/>
  <c r="B84" i="230"/>
  <c r="D83" i="230"/>
  <c r="C83" i="230"/>
  <c r="B83" i="230"/>
  <c r="D82" i="230"/>
  <c r="C82" i="230"/>
  <c r="B82" i="230"/>
  <c r="D81" i="230"/>
  <c r="C81" i="230"/>
  <c r="B81" i="230"/>
  <c r="D80" i="230"/>
  <c r="C80" i="230"/>
  <c r="B80" i="230"/>
  <c r="D79" i="230"/>
  <c r="C79" i="230"/>
  <c r="B79" i="230"/>
  <c r="D78" i="230"/>
  <c r="C78" i="230"/>
  <c r="B78" i="230"/>
  <c r="D77" i="230"/>
  <c r="C77" i="230"/>
  <c r="B77" i="230"/>
  <c r="D76" i="230"/>
  <c r="C76" i="230"/>
  <c r="B76" i="230"/>
  <c r="D75" i="230"/>
  <c r="C75" i="230"/>
  <c r="B75" i="230"/>
  <c r="D74" i="230"/>
  <c r="C74" i="230"/>
  <c r="B74" i="230"/>
  <c r="D73" i="230"/>
  <c r="C73" i="230"/>
  <c r="B73" i="230"/>
  <c r="D72" i="230"/>
  <c r="C72" i="230"/>
  <c r="B72" i="230"/>
  <c r="D71" i="230"/>
  <c r="C71" i="230"/>
  <c r="B71" i="230"/>
  <c r="D70" i="230"/>
  <c r="C70" i="230"/>
  <c r="B70" i="230"/>
  <c r="D69" i="230"/>
  <c r="C69" i="230"/>
  <c r="B69" i="230"/>
  <c r="D68" i="230"/>
  <c r="C68" i="230"/>
  <c r="B68" i="230"/>
  <c r="D67" i="230"/>
  <c r="C67" i="230"/>
  <c r="B67" i="230"/>
  <c r="D66" i="230"/>
  <c r="C66" i="230"/>
  <c r="B66" i="230"/>
  <c r="D65" i="230"/>
  <c r="C65" i="230"/>
  <c r="B65" i="230"/>
  <c r="D64" i="230"/>
  <c r="C64" i="230"/>
  <c r="B64" i="230"/>
  <c r="D63" i="230"/>
  <c r="C63" i="230"/>
  <c r="B63" i="230"/>
  <c r="D62" i="230"/>
  <c r="C62" i="230"/>
  <c r="B62" i="230"/>
  <c r="D61" i="230"/>
  <c r="C61" i="230"/>
  <c r="B61" i="230"/>
  <c r="D60" i="230"/>
  <c r="C60" i="230"/>
  <c r="B60" i="230"/>
  <c r="D59" i="230"/>
  <c r="C59" i="230"/>
  <c r="B59" i="230"/>
  <c r="D58" i="230"/>
  <c r="C58" i="230"/>
  <c r="B58" i="230"/>
  <c r="D57" i="230"/>
  <c r="C57" i="230"/>
  <c r="B57" i="230"/>
  <c r="N54" i="230"/>
  <c r="J54" i="230"/>
  <c r="H54" i="230"/>
  <c r="J53" i="230"/>
  <c r="H53" i="230"/>
  <c r="J52" i="230"/>
  <c r="D21" i="230" a="1"/>
  <c r="D20" i="230" a="1"/>
  <c r="D19" i="230" a="1"/>
  <c r="D14" i="230" a="1"/>
  <c r="D54" i="230" s="1"/>
  <c r="D13" i="230" a="1"/>
  <c r="D12" i="230" a="1"/>
  <c r="D101" i="230" s="1"/>
  <c r="D10" i="230" a="1"/>
  <c r="D8" i="230"/>
  <c r="D7" i="230"/>
  <c r="D6" i="230"/>
  <c r="D5" i="230"/>
  <c r="N3" i="230"/>
  <c r="N1" i="230"/>
  <c r="G107" i="229"/>
  <c r="I107" i="229" s="1"/>
  <c r="G108" i="229"/>
  <c r="I108" i="229" s="1"/>
  <c r="G109" i="229"/>
  <c r="I109" i="229" s="1"/>
  <c r="G110" i="229"/>
  <c r="I110" i="229" s="1"/>
  <c r="G111" i="229"/>
  <c r="I111" i="229" s="1"/>
  <c r="G112" i="229"/>
  <c r="I112" i="229" s="1"/>
  <c r="G113" i="229"/>
  <c r="I113" i="229" s="1"/>
  <c r="G114" i="229"/>
  <c r="I114" i="229" s="1"/>
  <c r="G115" i="229"/>
  <c r="I115" i="229" s="1"/>
  <c r="G116" i="229"/>
  <c r="I116" i="229" s="1"/>
  <c r="G117" i="229"/>
  <c r="I117" i="229" s="1"/>
  <c r="G118" i="229"/>
  <c r="I118" i="229" s="1"/>
  <c r="G119" i="229"/>
  <c r="I119" i="229" s="1"/>
  <c r="G120" i="229"/>
  <c r="I120" i="229" s="1"/>
  <c r="G121" i="229"/>
  <c r="I121" i="229" s="1"/>
  <c r="G122" i="229"/>
  <c r="I122" i="229" s="1"/>
  <c r="G123" i="229"/>
  <c r="I123" i="229" s="1"/>
  <c r="G124" i="229"/>
  <c r="I124" i="229" s="1"/>
  <c r="G125" i="229"/>
  <c r="I125" i="229" s="1"/>
  <c r="G126" i="229"/>
  <c r="I126" i="229" s="1"/>
  <c r="G127" i="229"/>
  <c r="I127" i="229" s="1"/>
  <c r="G128" i="229"/>
  <c r="I128" i="229" s="1"/>
  <c r="G129" i="229"/>
  <c r="I129" i="229" s="1"/>
  <c r="G130" i="229"/>
  <c r="I130" i="229" s="1"/>
  <c r="G131" i="229"/>
  <c r="I131" i="229" s="1"/>
  <c r="G132" i="229"/>
  <c r="I132" i="229" s="1"/>
  <c r="G133" i="229"/>
  <c r="I133" i="229" s="1"/>
  <c r="G134" i="229"/>
  <c r="I134" i="229" s="1"/>
  <c r="G135" i="229"/>
  <c r="I135" i="229" s="1"/>
  <c r="G136" i="229"/>
  <c r="I136" i="229" s="1"/>
  <c r="G137" i="229"/>
  <c r="I137" i="229" s="1"/>
  <c r="G138" i="229"/>
  <c r="I138" i="229" s="1"/>
  <c r="G139" i="229"/>
  <c r="I139" i="229" s="1"/>
  <c r="G140" i="229"/>
  <c r="I140" i="229" s="1"/>
  <c r="G141" i="229"/>
  <c r="I141" i="229" s="1"/>
  <c r="G142" i="229"/>
  <c r="I142" i="229" s="1"/>
  <c r="G143" i="229"/>
  <c r="I143" i="229" s="1"/>
  <c r="G144" i="229"/>
  <c r="I144" i="229" s="1"/>
  <c r="G145" i="229"/>
  <c r="I145" i="229" s="1"/>
  <c r="G146" i="229"/>
  <c r="I146" i="229" s="1"/>
  <c r="G147" i="229"/>
  <c r="I147" i="229" s="1"/>
  <c r="G148" i="229"/>
  <c r="I148" i="229" s="1"/>
  <c r="G106" i="229"/>
  <c r="I106" i="229" s="1"/>
  <c r="G80" i="229"/>
  <c r="I80" i="229" s="1"/>
  <c r="G81" i="229"/>
  <c r="I81" i="229" s="1"/>
  <c r="G82" i="229"/>
  <c r="I82" i="229" s="1"/>
  <c r="G83" i="229"/>
  <c r="I83" i="229" s="1"/>
  <c r="G84" i="229"/>
  <c r="I84" i="229" s="1"/>
  <c r="G85" i="229"/>
  <c r="I85" i="229" s="1"/>
  <c r="G86" i="229"/>
  <c r="I86" i="229" s="1"/>
  <c r="G87" i="229"/>
  <c r="I87" i="229" s="1"/>
  <c r="G88" i="229"/>
  <c r="I88" i="229" s="1"/>
  <c r="G89" i="229"/>
  <c r="I89" i="229" s="1"/>
  <c r="G90" i="229"/>
  <c r="I90" i="229" s="1"/>
  <c r="G91" i="229"/>
  <c r="I91" i="229" s="1"/>
  <c r="G92" i="229"/>
  <c r="I92" i="229" s="1"/>
  <c r="G93" i="229"/>
  <c r="I93" i="229" s="1"/>
  <c r="G94" i="229"/>
  <c r="I94" i="229" s="1"/>
  <c r="G95" i="229"/>
  <c r="I95" i="229" s="1"/>
  <c r="G96" i="229"/>
  <c r="I96" i="229" s="1"/>
  <c r="G97" i="229"/>
  <c r="I97" i="229" s="1"/>
  <c r="G98" i="229"/>
  <c r="I98" i="229" s="1"/>
  <c r="G99" i="229"/>
  <c r="I99" i="229" s="1"/>
  <c r="G100" i="229"/>
  <c r="I100" i="229" s="1"/>
  <c r="G58" i="229"/>
  <c r="I58" i="229" s="1"/>
  <c r="G59" i="229"/>
  <c r="I59" i="229" s="1"/>
  <c r="G60" i="229"/>
  <c r="I60" i="229" s="1"/>
  <c r="G61" i="229"/>
  <c r="I61" i="229" s="1"/>
  <c r="G62" i="229"/>
  <c r="I62" i="229" s="1"/>
  <c r="G63" i="229"/>
  <c r="I63" i="229" s="1"/>
  <c r="G64" i="229"/>
  <c r="I64" i="229" s="1"/>
  <c r="G65" i="229"/>
  <c r="I65" i="229" s="1"/>
  <c r="G66" i="229"/>
  <c r="I66" i="229" s="1"/>
  <c r="G67" i="229"/>
  <c r="I67" i="229" s="1"/>
  <c r="G68" i="229"/>
  <c r="I68" i="229" s="1"/>
  <c r="G69" i="229"/>
  <c r="I69" i="229" s="1"/>
  <c r="G70" i="229"/>
  <c r="I70" i="229" s="1"/>
  <c r="G71" i="229"/>
  <c r="I71" i="229" s="1"/>
  <c r="G72" i="229"/>
  <c r="I72" i="229" s="1"/>
  <c r="G73" i="229"/>
  <c r="I73" i="229" s="1"/>
  <c r="G74" i="229"/>
  <c r="I74" i="229" s="1"/>
  <c r="G75" i="229"/>
  <c r="I75" i="229" s="1"/>
  <c r="G76" i="229"/>
  <c r="I76" i="229" s="1"/>
  <c r="G77" i="229"/>
  <c r="I77" i="229" s="1"/>
  <c r="G78" i="229"/>
  <c r="I78" i="229" s="1"/>
  <c r="G79" i="229"/>
  <c r="I79" i="229" s="1"/>
  <c r="G57" i="229"/>
  <c r="M149" i="229"/>
  <c r="H149" i="229"/>
  <c r="D148" i="229"/>
  <c r="C148" i="229"/>
  <c r="B148" i="229"/>
  <c r="D147" i="229"/>
  <c r="C147" i="229"/>
  <c r="B147" i="229"/>
  <c r="D146" i="229"/>
  <c r="C146" i="229"/>
  <c r="B146" i="229"/>
  <c r="D145" i="229"/>
  <c r="C145" i="229"/>
  <c r="B145" i="229"/>
  <c r="D144" i="229"/>
  <c r="C144" i="229"/>
  <c r="B144" i="229"/>
  <c r="D143" i="229"/>
  <c r="C143" i="229"/>
  <c r="B143" i="229"/>
  <c r="D142" i="229"/>
  <c r="C142" i="229"/>
  <c r="B142" i="229"/>
  <c r="D141" i="229"/>
  <c r="C141" i="229"/>
  <c r="B141" i="229"/>
  <c r="D140" i="229"/>
  <c r="C140" i="229"/>
  <c r="B140" i="229"/>
  <c r="D139" i="229"/>
  <c r="C139" i="229"/>
  <c r="B139" i="229"/>
  <c r="D138" i="229"/>
  <c r="C138" i="229"/>
  <c r="B138" i="229"/>
  <c r="D137" i="229"/>
  <c r="C137" i="229"/>
  <c r="B137" i="229"/>
  <c r="D136" i="229"/>
  <c r="C136" i="229"/>
  <c r="B136" i="229"/>
  <c r="D135" i="229"/>
  <c r="C135" i="229"/>
  <c r="B135" i="229"/>
  <c r="D134" i="229"/>
  <c r="C134" i="229"/>
  <c r="B134" i="229"/>
  <c r="D133" i="229"/>
  <c r="C133" i="229"/>
  <c r="B133" i="229"/>
  <c r="D132" i="229"/>
  <c r="C132" i="229"/>
  <c r="B132" i="229"/>
  <c r="D131" i="229"/>
  <c r="C131" i="229"/>
  <c r="B131" i="229"/>
  <c r="D130" i="229"/>
  <c r="C130" i="229"/>
  <c r="B130" i="229"/>
  <c r="D129" i="229"/>
  <c r="C129" i="229"/>
  <c r="B129" i="229"/>
  <c r="D128" i="229"/>
  <c r="C128" i="229"/>
  <c r="B128" i="229"/>
  <c r="D127" i="229"/>
  <c r="C127" i="229"/>
  <c r="B127" i="229"/>
  <c r="D126" i="229"/>
  <c r="C126" i="229"/>
  <c r="B126" i="229"/>
  <c r="D125" i="229"/>
  <c r="C125" i="229"/>
  <c r="B125" i="229"/>
  <c r="D124" i="229"/>
  <c r="C124" i="229"/>
  <c r="B124" i="229"/>
  <c r="D123" i="229"/>
  <c r="C123" i="229"/>
  <c r="B123" i="229"/>
  <c r="D122" i="229"/>
  <c r="C122" i="229"/>
  <c r="B122" i="229"/>
  <c r="D121" i="229"/>
  <c r="C121" i="229"/>
  <c r="B121" i="229"/>
  <c r="D120" i="229"/>
  <c r="C120" i="229"/>
  <c r="B120" i="229"/>
  <c r="D119" i="229"/>
  <c r="C119" i="229"/>
  <c r="B119" i="229"/>
  <c r="D118" i="229"/>
  <c r="C118" i="229"/>
  <c r="B118" i="229"/>
  <c r="D117" i="229"/>
  <c r="C117" i="229"/>
  <c r="B117" i="229"/>
  <c r="D116" i="229"/>
  <c r="C116" i="229"/>
  <c r="B116" i="229"/>
  <c r="D115" i="229"/>
  <c r="C115" i="229"/>
  <c r="B115" i="229"/>
  <c r="D114" i="229"/>
  <c r="C114" i="229"/>
  <c r="B114" i="229"/>
  <c r="D113" i="229"/>
  <c r="C113" i="229"/>
  <c r="B113" i="229"/>
  <c r="D112" i="229"/>
  <c r="C112" i="229"/>
  <c r="B112" i="229"/>
  <c r="D111" i="229"/>
  <c r="C111" i="229"/>
  <c r="B111" i="229"/>
  <c r="D110" i="229"/>
  <c r="C110" i="229"/>
  <c r="B110" i="229"/>
  <c r="D109" i="229"/>
  <c r="C109" i="229"/>
  <c r="B109" i="229"/>
  <c r="D108" i="229"/>
  <c r="C108" i="229"/>
  <c r="B108" i="229"/>
  <c r="D107" i="229"/>
  <c r="C107" i="229"/>
  <c r="B107" i="229"/>
  <c r="D106" i="229"/>
  <c r="C106" i="229"/>
  <c r="B106" i="229"/>
  <c r="A106" i="229"/>
  <c r="A107" i="229" s="1"/>
  <c r="A108" i="229" s="1"/>
  <c r="A109" i="229" s="1"/>
  <c r="A110" i="229" s="1"/>
  <c r="A111" i="229" s="1"/>
  <c r="A112" i="229" s="1"/>
  <c r="A113" i="229" s="1"/>
  <c r="A114" i="229" s="1"/>
  <c r="A115" i="229" s="1"/>
  <c r="A116" i="229" s="1"/>
  <c r="A117" i="229" s="1"/>
  <c r="A118" i="229" s="1"/>
  <c r="A119" i="229" s="1"/>
  <c r="A120" i="229" s="1"/>
  <c r="A121" i="229" s="1"/>
  <c r="A122" i="229" s="1"/>
  <c r="A123" i="229" s="1"/>
  <c r="A124" i="229" s="1"/>
  <c r="A125" i="229" s="1"/>
  <c r="A126" i="229" s="1"/>
  <c r="A127" i="229" s="1"/>
  <c r="A128" i="229" s="1"/>
  <c r="A129" i="229" s="1"/>
  <c r="A130" i="229" s="1"/>
  <c r="A131" i="229" s="1"/>
  <c r="A132" i="229" s="1"/>
  <c r="A133" i="229" s="1"/>
  <c r="A134" i="229" s="1"/>
  <c r="A135" i="229" s="1"/>
  <c r="A136" i="229" s="1"/>
  <c r="A137" i="229" s="1"/>
  <c r="A138" i="229" s="1"/>
  <c r="A139" i="229" s="1"/>
  <c r="A140" i="229" s="1"/>
  <c r="A141" i="229" s="1"/>
  <c r="A142" i="229" s="1"/>
  <c r="A143" i="229" s="1"/>
  <c r="A144" i="229" s="1"/>
  <c r="A145" i="229" s="1"/>
  <c r="A146" i="229" s="1"/>
  <c r="A147" i="229" s="1"/>
  <c r="A148" i="229" s="1"/>
  <c r="N103" i="229"/>
  <c r="J103" i="229"/>
  <c r="H103" i="229"/>
  <c r="J102" i="229"/>
  <c r="H102" i="229"/>
  <c r="J101" i="229"/>
  <c r="D100" i="229"/>
  <c r="C100" i="229"/>
  <c r="B100" i="229"/>
  <c r="D99" i="229"/>
  <c r="C99" i="229"/>
  <c r="B99" i="229"/>
  <c r="D98" i="229"/>
  <c r="C98" i="229"/>
  <c r="B98" i="229"/>
  <c r="D97" i="229"/>
  <c r="C97" i="229"/>
  <c r="B97" i="229"/>
  <c r="D96" i="229"/>
  <c r="C96" i="229"/>
  <c r="B96" i="229"/>
  <c r="D95" i="229"/>
  <c r="C95" i="229"/>
  <c r="B95" i="229"/>
  <c r="D94" i="229"/>
  <c r="C94" i="229"/>
  <c r="B94" i="229"/>
  <c r="D93" i="229"/>
  <c r="C93" i="229"/>
  <c r="B93" i="229"/>
  <c r="D92" i="229"/>
  <c r="C92" i="229"/>
  <c r="B92" i="229"/>
  <c r="D91" i="229"/>
  <c r="C91" i="229"/>
  <c r="B91" i="229"/>
  <c r="D90" i="229"/>
  <c r="C90" i="229"/>
  <c r="B90" i="229"/>
  <c r="D89" i="229"/>
  <c r="C89" i="229"/>
  <c r="B89" i="229"/>
  <c r="D88" i="229"/>
  <c r="C88" i="229"/>
  <c r="B88" i="229"/>
  <c r="D87" i="229"/>
  <c r="C87" i="229"/>
  <c r="B87" i="229"/>
  <c r="D86" i="229"/>
  <c r="C86" i="229"/>
  <c r="B86" i="229"/>
  <c r="D85" i="229"/>
  <c r="C85" i="229"/>
  <c r="B85" i="229"/>
  <c r="D84" i="229"/>
  <c r="C84" i="229"/>
  <c r="B84" i="229"/>
  <c r="D83" i="229"/>
  <c r="C83" i="229"/>
  <c r="B83" i="229"/>
  <c r="D82" i="229"/>
  <c r="C82" i="229"/>
  <c r="B82" i="229"/>
  <c r="D81" i="229"/>
  <c r="C81" i="229"/>
  <c r="B81" i="229"/>
  <c r="D80" i="229"/>
  <c r="C80" i="229"/>
  <c r="B80" i="229"/>
  <c r="D79" i="229"/>
  <c r="C79" i="229"/>
  <c r="B79" i="229"/>
  <c r="D78" i="229"/>
  <c r="C78" i="229"/>
  <c r="B78" i="229"/>
  <c r="D77" i="229"/>
  <c r="C77" i="229"/>
  <c r="B77" i="229"/>
  <c r="D76" i="229"/>
  <c r="C76" i="229"/>
  <c r="B76" i="229"/>
  <c r="D75" i="229"/>
  <c r="C75" i="229"/>
  <c r="B75" i="229"/>
  <c r="D74" i="229"/>
  <c r="C74" i="229"/>
  <c r="B74" i="229"/>
  <c r="D73" i="229"/>
  <c r="C73" i="229"/>
  <c r="B73" i="229"/>
  <c r="D72" i="229"/>
  <c r="C72" i="229"/>
  <c r="B72" i="229"/>
  <c r="D71" i="229"/>
  <c r="C71" i="229"/>
  <c r="B71" i="229"/>
  <c r="D70" i="229"/>
  <c r="C70" i="229"/>
  <c r="B70" i="229"/>
  <c r="D69" i="229"/>
  <c r="C69" i="229"/>
  <c r="B69" i="229"/>
  <c r="D68" i="229"/>
  <c r="C68" i="229"/>
  <c r="B68" i="229"/>
  <c r="D67" i="229"/>
  <c r="C67" i="229"/>
  <c r="B67" i="229"/>
  <c r="D66" i="229"/>
  <c r="C66" i="229"/>
  <c r="B66" i="229"/>
  <c r="D65" i="229"/>
  <c r="C65" i="229"/>
  <c r="B65" i="229"/>
  <c r="D64" i="229"/>
  <c r="C64" i="229"/>
  <c r="B64" i="229"/>
  <c r="D63" i="229"/>
  <c r="C63" i="229"/>
  <c r="B63" i="229"/>
  <c r="D62" i="229"/>
  <c r="C62" i="229"/>
  <c r="B62" i="229"/>
  <c r="D61" i="229"/>
  <c r="C61" i="229"/>
  <c r="B61" i="229"/>
  <c r="D60" i="229"/>
  <c r="C60" i="229"/>
  <c r="B60" i="229"/>
  <c r="D59" i="229"/>
  <c r="C59" i="229"/>
  <c r="B59" i="229"/>
  <c r="D58" i="229"/>
  <c r="C58" i="229"/>
  <c r="B58" i="229"/>
  <c r="D57" i="229"/>
  <c r="C57" i="229"/>
  <c r="B57" i="229"/>
  <c r="N54" i="229"/>
  <c r="J54" i="229"/>
  <c r="H54" i="229"/>
  <c r="J53" i="229"/>
  <c r="H53" i="229"/>
  <c r="J52" i="229"/>
  <c r="D21" i="229" a="1"/>
  <c r="D20" i="229" a="1"/>
  <c r="D19" i="229" a="1"/>
  <c r="D14" i="229" a="1"/>
  <c r="D54" i="229" s="1"/>
  <c r="D13" i="229" a="1"/>
  <c r="D12" i="229" a="1"/>
  <c r="D101" i="229" s="1"/>
  <c r="D10" i="229" a="1"/>
  <c r="D8" i="229"/>
  <c r="D7" i="229"/>
  <c r="D6" i="229"/>
  <c r="D5" i="229"/>
  <c r="N3" i="229"/>
  <c r="N1" i="229"/>
  <c r="G107" i="228"/>
  <c r="I107" i="228" s="1"/>
  <c r="G108" i="228"/>
  <c r="I108" i="228" s="1"/>
  <c r="G109" i="228"/>
  <c r="I109" i="228" s="1"/>
  <c r="G110" i="228"/>
  <c r="I110" i="228" s="1"/>
  <c r="G111" i="228"/>
  <c r="I111" i="228" s="1"/>
  <c r="G112" i="228"/>
  <c r="I112" i="228" s="1"/>
  <c r="G113" i="228"/>
  <c r="I113" i="228" s="1"/>
  <c r="G114" i="228"/>
  <c r="I114" i="228" s="1"/>
  <c r="G115" i="228"/>
  <c r="I115" i="228" s="1"/>
  <c r="G116" i="228"/>
  <c r="I116" i="228" s="1"/>
  <c r="G117" i="228"/>
  <c r="I117" i="228" s="1"/>
  <c r="G118" i="228"/>
  <c r="I118" i="228" s="1"/>
  <c r="G119" i="228"/>
  <c r="I119" i="228" s="1"/>
  <c r="G120" i="228"/>
  <c r="I120" i="228" s="1"/>
  <c r="G121" i="228"/>
  <c r="I121" i="228" s="1"/>
  <c r="G122" i="228"/>
  <c r="I122" i="228" s="1"/>
  <c r="G123" i="228"/>
  <c r="I123" i="228" s="1"/>
  <c r="G124" i="228"/>
  <c r="I124" i="228" s="1"/>
  <c r="G125" i="228"/>
  <c r="I125" i="228" s="1"/>
  <c r="G126" i="228"/>
  <c r="I126" i="228" s="1"/>
  <c r="G127" i="228"/>
  <c r="I127" i="228" s="1"/>
  <c r="G128" i="228"/>
  <c r="I128" i="228" s="1"/>
  <c r="G129" i="228"/>
  <c r="I129" i="228" s="1"/>
  <c r="G130" i="228"/>
  <c r="I130" i="228" s="1"/>
  <c r="G131" i="228"/>
  <c r="I131" i="228" s="1"/>
  <c r="G132" i="228"/>
  <c r="I132" i="228" s="1"/>
  <c r="G133" i="228"/>
  <c r="I133" i="228" s="1"/>
  <c r="G134" i="228"/>
  <c r="I134" i="228" s="1"/>
  <c r="G135" i="228"/>
  <c r="I135" i="228" s="1"/>
  <c r="G136" i="228"/>
  <c r="I136" i="228" s="1"/>
  <c r="G137" i="228"/>
  <c r="I137" i="228" s="1"/>
  <c r="G138" i="228"/>
  <c r="I138" i="228" s="1"/>
  <c r="G139" i="228"/>
  <c r="I139" i="228" s="1"/>
  <c r="G140" i="228"/>
  <c r="I140" i="228" s="1"/>
  <c r="G141" i="228"/>
  <c r="I141" i="228" s="1"/>
  <c r="G142" i="228"/>
  <c r="I142" i="228" s="1"/>
  <c r="G143" i="228"/>
  <c r="I143" i="228" s="1"/>
  <c r="G144" i="228"/>
  <c r="I144" i="228" s="1"/>
  <c r="G145" i="228"/>
  <c r="I145" i="228" s="1"/>
  <c r="G146" i="228"/>
  <c r="I146" i="228" s="1"/>
  <c r="G147" i="228"/>
  <c r="I147" i="228" s="1"/>
  <c r="G148" i="228"/>
  <c r="I148" i="228" s="1"/>
  <c r="G106" i="228"/>
  <c r="I106" i="228" s="1"/>
  <c r="G80" i="228"/>
  <c r="I80" i="228" s="1"/>
  <c r="G81" i="228"/>
  <c r="I81" i="228" s="1"/>
  <c r="G82" i="228"/>
  <c r="I82" i="228" s="1"/>
  <c r="G83" i="228"/>
  <c r="I83" i="228" s="1"/>
  <c r="G84" i="228"/>
  <c r="I84" i="228" s="1"/>
  <c r="G85" i="228"/>
  <c r="I85" i="228" s="1"/>
  <c r="G86" i="228"/>
  <c r="I86" i="228" s="1"/>
  <c r="G87" i="228"/>
  <c r="I87" i="228" s="1"/>
  <c r="G88" i="228"/>
  <c r="I88" i="228" s="1"/>
  <c r="G89" i="228"/>
  <c r="I89" i="228" s="1"/>
  <c r="G90" i="228"/>
  <c r="I90" i="228" s="1"/>
  <c r="G91" i="228"/>
  <c r="I91" i="228" s="1"/>
  <c r="G92" i="228"/>
  <c r="I92" i="228" s="1"/>
  <c r="G93" i="228"/>
  <c r="I93" i="228" s="1"/>
  <c r="G94" i="228"/>
  <c r="I94" i="228" s="1"/>
  <c r="G95" i="228"/>
  <c r="I95" i="228" s="1"/>
  <c r="G96" i="228"/>
  <c r="I96" i="228" s="1"/>
  <c r="G97" i="228"/>
  <c r="I97" i="228" s="1"/>
  <c r="G98" i="228"/>
  <c r="I98" i="228" s="1"/>
  <c r="G99" i="228"/>
  <c r="I99" i="228" s="1"/>
  <c r="G100" i="228"/>
  <c r="I100" i="228" s="1"/>
  <c r="G58" i="228"/>
  <c r="I58" i="228" s="1"/>
  <c r="G59" i="228"/>
  <c r="I59" i="228" s="1"/>
  <c r="G60" i="228"/>
  <c r="I60" i="228" s="1"/>
  <c r="G61" i="228"/>
  <c r="I61" i="228" s="1"/>
  <c r="G62" i="228"/>
  <c r="I62" i="228" s="1"/>
  <c r="G63" i="228"/>
  <c r="I63" i="228" s="1"/>
  <c r="G64" i="228"/>
  <c r="I64" i="228" s="1"/>
  <c r="G65" i="228"/>
  <c r="I65" i="228" s="1"/>
  <c r="G66" i="228"/>
  <c r="I66" i="228" s="1"/>
  <c r="G67" i="228"/>
  <c r="I67" i="228" s="1"/>
  <c r="G68" i="228"/>
  <c r="I68" i="228" s="1"/>
  <c r="G69" i="228"/>
  <c r="I69" i="228" s="1"/>
  <c r="G70" i="228"/>
  <c r="I70" i="228" s="1"/>
  <c r="G71" i="228"/>
  <c r="I71" i="228" s="1"/>
  <c r="G72" i="228"/>
  <c r="I72" i="228" s="1"/>
  <c r="G73" i="228"/>
  <c r="I73" i="228" s="1"/>
  <c r="G74" i="228"/>
  <c r="I74" i="228" s="1"/>
  <c r="G75" i="228"/>
  <c r="I75" i="228" s="1"/>
  <c r="G76" i="228"/>
  <c r="I76" i="228" s="1"/>
  <c r="G77" i="228"/>
  <c r="I77" i="228" s="1"/>
  <c r="G78" i="228"/>
  <c r="I78" i="228" s="1"/>
  <c r="G79" i="228"/>
  <c r="I79" i="228" s="1"/>
  <c r="G57" i="228"/>
  <c r="M149" i="228"/>
  <c r="H149" i="228"/>
  <c r="D148" i="228"/>
  <c r="C148" i="228"/>
  <c r="B148" i="228"/>
  <c r="D147" i="228"/>
  <c r="C147" i="228"/>
  <c r="B147" i="228"/>
  <c r="D146" i="228"/>
  <c r="C146" i="228"/>
  <c r="B146" i="228"/>
  <c r="D145" i="228"/>
  <c r="C145" i="228"/>
  <c r="B145" i="228"/>
  <c r="D144" i="228"/>
  <c r="C144" i="228"/>
  <c r="B144" i="228"/>
  <c r="D143" i="228"/>
  <c r="C143" i="228"/>
  <c r="B143" i="228"/>
  <c r="D142" i="228"/>
  <c r="C142" i="228"/>
  <c r="B142" i="228"/>
  <c r="D141" i="228"/>
  <c r="C141" i="228"/>
  <c r="B141" i="228"/>
  <c r="D140" i="228"/>
  <c r="C140" i="228"/>
  <c r="B140" i="228"/>
  <c r="D139" i="228"/>
  <c r="C139" i="228"/>
  <c r="B139" i="228"/>
  <c r="D138" i="228"/>
  <c r="C138" i="228"/>
  <c r="B138" i="228"/>
  <c r="D137" i="228"/>
  <c r="C137" i="228"/>
  <c r="B137" i="228"/>
  <c r="D136" i="228"/>
  <c r="C136" i="228"/>
  <c r="B136" i="228"/>
  <c r="D135" i="228"/>
  <c r="C135" i="228"/>
  <c r="B135" i="228"/>
  <c r="D134" i="228"/>
  <c r="C134" i="228"/>
  <c r="B134" i="228"/>
  <c r="D133" i="228"/>
  <c r="C133" i="228"/>
  <c r="B133" i="228"/>
  <c r="D132" i="228"/>
  <c r="C132" i="228"/>
  <c r="B132" i="228"/>
  <c r="D131" i="228"/>
  <c r="C131" i="228"/>
  <c r="B131" i="228"/>
  <c r="D130" i="228"/>
  <c r="C130" i="228"/>
  <c r="B130" i="228"/>
  <c r="D129" i="228"/>
  <c r="C129" i="228"/>
  <c r="B129" i="228"/>
  <c r="D128" i="228"/>
  <c r="C128" i="228"/>
  <c r="B128" i="228"/>
  <c r="D127" i="228"/>
  <c r="C127" i="228"/>
  <c r="B127" i="228"/>
  <c r="D126" i="228"/>
  <c r="C126" i="228"/>
  <c r="B126" i="228"/>
  <c r="D125" i="228"/>
  <c r="C125" i="228"/>
  <c r="B125" i="228"/>
  <c r="D124" i="228"/>
  <c r="C124" i="228"/>
  <c r="B124" i="228"/>
  <c r="D123" i="228"/>
  <c r="C123" i="228"/>
  <c r="B123" i="228"/>
  <c r="D122" i="228"/>
  <c r="C122" i="228"/>
  <c r="B122" i="228"/>
  <c r="D121" i="228"/>
  <c r="C121" i="228"/>
  <c r="B121" i="228"/>
  <c r="D120" i="228"/>
  <c r="C120" i="228"/>
  <c r="B120" i="228"/>
  <c r="D119" i="228"/>
  <c r="C119" i="228"/>
  <c r="B119" i="228"/>
  <c r="D118" i="228"/>
  <c r="C118" i="228"/>
  <c r="B118" i="228"/>
  <c r="D117" i="228"/>
  <c r="C117" i="228"/>
  <c r="B117" i="228"/>
  <c r="D116" i="228"/>
  <c r="C116" i="228"/>
  <c r="B116" i="228"/>
  <c r="D115" i="228"/>
  <c r="C115" i="228"/>
  <c r="B115" i="228"/>
  <c r="D114" i="228"/>
  <c r="C114" i="228"/>
  <c r="B114" i="228"/>
  <c r="D113" i="228"/>
  <c r="C113" i="228"/>
  <c r="B113" i="228"/>
  <c r="D112" i="228"/>
  <c r="C112" i="228"/>
  <c r="B112" i="228"/>
  <c r="D111" i="228"/>
  <c r="C111" i="228"/>
  <c r="B111" i="228"/>
  <c r="D110" i="228"/>
  <c r="C110" i="228"/>
  <c r="B110" i="228"/>
  <c r="D109" i="228"/>
  <c r="C109" i="228"/>
  <c r="B109" i="228"/>
  <c r="D108" i="228"/>
  <c r="C108" i="228"/>
  <c r="B108" i="228"/>
  <c r="D107" i="228"/>
  <c r="C107" i="228"/>
  <c r="B107" i="228"/>
  <c r="D106" i="228"/>
  <c r="C106" i="228"/>
  <c r="B106" i="228"/>
  <c r="A106" i="228"/>
  <c r="A107" i="228" s="1"/>
  <c r="A108" i="228" s="1"/>
  <c r="A109" i="228" s="1"/>
  <c r="A110" i="228" s="1"/>
  <c r="A111" i="228" s="1"/>
  <c r="A112" i="228" s="1"/>
  <c r="A113" i="228" s="1"/>
  <c r="A114" i="228" s="1"/>
  <c r="A115" i="228" s="1"/>
  <c r="A116" i="228" s="1"/>
  <c r="A117" i="228" s="1"/>
  <c r="A118" i="228" s="1"/>
  <c r="A119" i="228" s="1"/>
  <c r="A120" i="228" s="1"/>
  <c r="A121" i="228" s="1"/>
  <c r="A122" i="228" s="1"/>
  <c r="A123" i="228" s="1"/>
  <c r="A124" i="228" s="1"/>
  <c r="A125" i="228" s="1"/>
  <c r="A126" i="228" s="1"/>
  <c r="A127" i="228" s="1"/>
  <c r="A128" i="228" s="1"/>
  <c r="A129" i="228" s="1"/>
  <c r="A130" i="228" s="1"/>
  <c r="A131" i="228" s="1"/>
  <c r="A132" i="228" s="1"/>
  <c r="A133" i="228" s="1"/>
  <c r="A134" i="228" s="1"/>
  <c r="A135" i="228" s="1"/>
  <c r="A136" i="228" s="1"/>
  <c r="A137" i="228" s="1"/>
  <c r="A138" i="228" s="1"/>
  <c r="A139" i="228" s="1"/>
  <c r="A140" i="228" s="1"/>
  <c r="A141" i="228" s="1"/>
  <c r="A142" i="228" s="1"/>
  <c r="A143" i="228" s="1"/>
  <c r="A144" i="228" s="1"/>
  <c r="A145" i="228" s="1"/>
  <c r="A146" i="228" s="1"/>
  <c r="A147" i="228" s="1"/>
  <c r="A148" i="228" s="1"/>
  <c r="N103" i="228"/>
  <c r="J103" i="228"/>
  <c r="H103" i="228"/>
  <c r="J102" i="228"/>
  <c r="H102" i="228"/>
  <c r="J101" i="228"/>
  <c r="D100" i="228"/>
  <c r="C100" i="228"/>
  <c r="B100" i="228"/>
  <c r="D99" i="228"/>
  <c r="C99" i="228"/>
  <c r="B99" i="228"/>
  <c r="D98" i="228"/>
  <c r="C98" i="228"/>
  <c r="B98" i="228"/>
  <c r="D97" i="228"/>
  <c r="C97" i="228"/>
  <c r="B97" i="228"/>
  <c r="D96" i="228"/>
  <c r="C96" i="228"/>
  <c r="B96" i="228"/>
  <c r="D95" i="228"/>
  <c r="C95" i="228"/>
  <c r="B95" i="228"/>
  <c r="D94" i="228"/>
  <c r="C94" i="228"/>
  <c r="B94" i="228"/>
  <c r="D93" i="228"/>
  <c r="C93" i="228"/>
  <c r="B93" i="228"/>
  <c r="D92" i="228"/>
  <c r="C92" i="228"/>
  <c r="B92" i="228"/>
  <c r="D91" i="228"/>
  <c r="C91" i="228"/>
  <c r="B91" i="228"/>
  <c r="D90" i="228"/>
  <c r="C90" i="228"/>
  <c r="B90" i="228"/>
  <c r="D89" i="228"/>
  <c r="C89" i="228"/>
  <c r="B89" i="228"/>
  <c r="D88" i="228"/>
  <c r="C88" i="228"/>
  <c r="B88" i="228"/>
  <c r="D87" i="228"/>
  <c r="C87" i="228"/>
  <c r="B87" i="228"/>
  <c r="D86" i="228"/>
  <c r="C86" i="228"/>
  <c r="B86" i="228"/>
  <c r="D85" i="228"/>
  <c r="C85" i="228"/>
  <c r="B85" i="228"/>
  <c r="D84" i="228"/>
  <c r="C84" i="228"/>
  <c r="B84" i="228"/>
  <c r="D83" i="228"/>
  <c r="C83" i="228"/>
  <c r="B83" i="228"/>
  <c r="D82" i="228"/>
  <c r="C82" i="228"/>
  <c r="B82" i="228"/>
  <c r="D81" i="228"/>
  <c r="C81" i="228"/>
  <c r="B81" i="228"/>
  <c r="D80" i="228"/>
  <c r="C80" i="228"/>
  <c r="B80" i="228"/>
  <c r="D79" i="228"/>
  <c r="C79" i="228"/>
  <c r="B79" i="228"/>
  <c r="D78" i="228"/>
  <c r="C78" i="228"/>
  <c r="B78" i="228"/>
  <c r="D77" i="228"/>
  <c r="C77" i="228"/>
  <c r="B77" i="228"/>
  <c r="D76" i="228"/>
  <c r="C76" i="228"/>
  <c r="B76" i="228"/>
  <c r="D75" i="228"/>
  <c r="C75" i="228"/>
  <c r="B75" i="228"/>
  <c r="D74" i="228"/>
  <c r="C74" i="228"/>
  <c r="B74" i="228"/>
  <c r="D73" i="228"/>
  <c r="C73" i="228"/>
  <c r="B73" i="228"/>
  <c r="D72" i="228"/>
  <c r="C72" i="228"/>
  <c r="B72" i="228"/>
  <c r="D71" i="228"/>
  <c r="C71" i="228"/>
  <c r="B71" i="228"/>
  <c r="D70" i="228"/>
  <c r="C70" i="228"/>
  <c r="B70" i="228"/>
  <c r="D69" i="228"/>
  <c r="C69" i="228"/>
  <c r="B69" i="228"/>
  <c r="D68" i="228"/>
  <c r="C68" i="228"/>
  <c r="B68" i="228"/>
  <c r="D67" i="228"/>
  <c r="C67" i="228"/>
  <c r="B67" i="228"/>
  <c r="D66" i="228"/>
  <c r="C66" i="228"/>
  <c r="B66" i="228"/>
  <c r="D65" i="228"/>
  <c r="C65" i="228"/>
  <c r="B65" i="228"/>
  <c r="D64" i="228"/>
  <c r="C64" i="228"/>
  <c r="B64" i="228"/>
  <c r="D63" i="228"/>
  <c r="C63" i="228"/>
  <c r="B63" i="228"/>
  <c r="D62" i="228"/>
  <c r="C62" i="228"/>
  <c r="B62" i="228"/>
  <c r="D61" i="228"/>
  <c r="C61" i="228"/>
  <c r="B61" i="228"/>
  <c r="D60" i="228"/>
  <c r="C60" i="228"/>
  <c r="B60" i="228"/>
  <c r="D59" i="228"/>
  <c r="C59" i="228"/>
  <c r="B59" i="228"/>
  <c r="D58" i="228"/>
  <c r="C58" i="228"/>
  <c r="B58" i="228"/>
  <c r="D57" i="228"/>
  <c r="C57" i="228"/>
  <c r="B57" i="228"/>
  <c r="N54" i="228"/>
  <c r="J54" i="228"/>
  <c r="H54" i="228"/>
  <c r="J53" i="228"/>
  <c r="H53" i="228"/>
  <c r="J52" i="228"/>
  <c r="D21" i="228" a="1"/>
  <c r="D20" i="228" a="1"/>
  <c r="D19" i="228" a="1"/>
  <c r="D14" i="228" a="1"/>
  <c r="D54" i="228" s="1"/>
  <c r="D13" i="228" a="1"/>
  <c r="D12" i="228" a="1"/>
  <c r="D101" i="228" s="1"/>
  <c r="D10" i="228" a="1"/>
  <c r="D8" i="228"/>
  <c r="D7" i="228"/>
  <c r="D6" i="228"/>
  <c r="D5" i="228"/>
  <c r="N3" i="228"/>
  <c r="N1" i="228"/>
  <c r="G107" i="227"/>
  <c r="I107" i="227" s="1"/>
  <c r="G108" i="227"/>
  <c r="I108" i="227" s="1"/>
  <c r="G109" i="227"/>
  <c r="I109" i="227" s="1"/>
  <c r="G110" i="227"/>
  <c r="I110" i="227" s="1"/>
  <c r="G111" i="227"/>
  <c r="I111" i="227" s="1"/>
  <c r="G112" i="227"/>
  <c r="I112" i="227" s="1"/>
  <c r="G113" i="227"/>
  <c r="I113" i="227" s="1"/>
  <c r="G114" i="227"/>
  <c r="I114" i="227" s="1"/>
  <c r="G115" i="227"/>
  <c r="I115" i="227" s="1"/>
  <c r="G116" i="227"/>
  <c r="I116" i="227" s="1"/>
  <c r="G117" i="227"/>
  <c r="I117" i="227" s="1"/>
  <c r="G118" i="227"/>
  <c r="I118" i="227" s="1"/>
  <c r="G119" i="227"/>
  <c r="I119" i="227" s="1"/>
  <c r="G120" i="227"/>
  <c r="I120" i="227" s="1"/>
  <c r="G121" i="227"/>
  <c r="I121" i="227" s="1"/>
  <c r="G122" i="227"/>
  <c r="I122" i="227" s="1"/>
  <c r="G123" i="227"/>
  <c r="I123" i="227" s="1"/>
  <c r="G124" i="227"/>
  <c r="I124" i="227" s="1"/>
  <c r="G125" i="227"/>
  <c r="I125" i="227" s="1"/>
  <c r="G126" i="227"/>
  <c r="I126" i="227" s="1"/>
  <c r="G127" i="227"/>
  <c r="I127" i="227" s="1"/>
  <c r="G128" i="227"/>
  <c r="I128" i="227" s="1"/>
  <c r="G129" i="227"/>
  <c r="I129" i="227" s="1"/>
  <c r="G130" i="227"/>
  <c r="I130" i="227" s="1"/>
  <c r="G131" i="227"/>
  <c r="I131" i="227" s="1"/>
  <c r="G132" i="227"/>
  <c r="I132" i="227" s="1"/>
  <c r="G133" i="227"/>
  <c r="I133" i="227" s="1"/>
  <c r="G134" i="227"/>
  <c r="I134" i="227" s="1"/>
  <c r="G135" i="227"/>
  <c r="I135" i="227" s="1"/>
  <c r="G136" i="227"/>
  <c r="I136" i="227" s="1"/>
  <c r="G137" i="227"/>
  <c r="I137" i="227" s="1"/>
  <c r="G138" i="227"/>
  <c r="I138" i="227" s="1"/>
  <c r="G139" i="227"/>
  <c r="I139" i="227" s="1"/>
  <c r="G140" i="227"/>
  <c r="I140" i="227" s="1"/>
  <c r="G141" i="227"/>
  <c r="I141" i="227" s="1"/>
  <c r="G142" i="227"/>
  <c r="I142" i="227" s="1"/>
  <c r="G143" i="227"/>
  <c r="I143" i="227" s="1"/>
  <c r="G144" i="227"/>
  <c r="I144" i="227" s="1"/>
  <c r="G145" i="227"/>
  <c r="I145" i="227" s="1"/>
  <c r="G146" i="227"/>
  <c r="I146" i="227" s="1"/>
  <c r="G147" i="227"/>
  <c r="I147" i="227" s="1"/>
  <c r="G148" i="227"/>
  <c r="I148" i="227" s="1"/>
  <c r="G106" i="227"/>
  <c r="I106" i="227" s="1"/>
  <c r="G58" i="227"/>
  <c r="I58" i="227" s="1"/>
  <c r="G59" i="227"/>
  <c r="I59" i="227" s="1"/>
  <c r="G60" i="227"/>
  <c r="I60" i="227" s="1"/>
  <c r="G61" i="227"/>
  <c r="I61" i="227" s="1"/>
  <c r="G62" i="227"/>
  <c r="G63" i="227"/>
  <c r="I63" i="227" s="1"/>
  <c r="G64" i="227"/>
  <c r="I64" i="227" s="1"/>
  <c r="G65" i="227"/>
  <c r="I65" i="227" s="1"/>
  <c r="G66" i="227"/>
  <c r="I66" i="227" s="1"/>
  <c r="G67" i="227"/>
  <c r="I67" i="227" s="1"/>
  <c r="G68" i="227"/>
  <c r="I68" i="227" s="1"/>
  <c r="G69" i="227"/>
  <c r="I69" i="227" s="1"/>
  <c r="G70" i="227"/>
  <c r="I70" i="227" s="1"/>
  <c r="G71" i="227"/>
  <c r="I71" i="227" s="1"/>
  <c r="G72" i="227"/>
  <c r="I72" i="227" s="1"/>
  <c r="G73" i="227"/>
  <c r="I73" i="227" s="1"/>
  <c r="G74" i="227"/>
  <c r="I74" i="227" s="1"/>
  <c r="G75" i="227"/>
  <c r="I75" i="227" s="1"/>
  <c r="G76" i="227"/>
  <c r="I76" i="227" s="1"/>
  <c r="G77" i="227"/>
  <c r="I77" i="227" s="1"/>
  <c r="G78" i="227"/>
  <c r="I78" i="227" s="1"/>
  <c r="G79" i="227"/>
  <c r="I79" i="227" s="1"/>
  <c r="G80" i="227"/>
  <c r="I80" i="227" s="1"/>
  <c r="G81" i="227"/>
  <c r="I81" i="227" s="1"/>
  <c r="G82" i="227"/>
  <c r="I82" i="227" s="1"/>
  <c r="G83" i="227"/>
  <c r="I83" i="227" s="1"/>
  <c r="G84" i="227"/>
  <c r="I84" i="227" s="1"/>
  <c r="G85" i="227"/>
  <c r="I85" i="227" s="1"/>
  <c r="G86" i="227"/>
  <c r="I86" i="227" s="1"/>
  <c r="G87" i="227"/>
  <c r="I87" i="227" s="1"/>
  <c r="G88" i="227"/>
  <c r="I88" i="227" s="1"/>
  <c r="G89" i="227"/>
  <c r="I89" i="227" s="1"/>
  <c r="G90" i="227"/>
  <c r="I90" i="227" s="1"/>
  <c r="G91" i="227"/>
  <c r="I91" i="227" s="1"/>
  <c r="G92" i="227"/>
  <c r="I92" i="227" s="1"/>
  <c r="G93" i="227"/>
  <c r="I93" i="227" s="1"/>
  <c r="G94" i="227"/>
  <c r="I94" i="227" s="1"/>
  <c r="G95" i="227"/>
  <c r="I95" i="227" s="1"/>
  <c r="G96" i="227"/>
  <c r="I96" i="227" s="1"/>
  <c r="G97" i="227"/>
  <c r="I97" i="227" s="1"/>
  <c r="G98" i="227"/>
  <c r="I98" i="227" s="1"/>
  <c r="G99" i="227"/>
  <c r="I99" i="227" s="1"/>
  <c r="G100" i="227"/>
  <c r="I100" i="227" s="1"/>
  <c r="G57" i="227"/>
  <c r="M149" i="227"/>
  <c r="H149" i="227"/>
  <c r="D148" i="227"/>
  <c r="C148" i="227"/>
  <c r="B148" i="227"/>
  <c r="D147" i="227"/>
  <c r="C147" i="227"/>
  <c r="B147" i="227"/>
  <c r="D146" i="227"/>
  <c r="C146" i="227"/>
  <c r="B146" i="227"/>
  <c r="D145" i="227"/>
  <c r="C145" i="227"/>
  <c r="B145" i="227"/>
  <c r="D144" i="227"/>
  <c r="C144" i="227"/>
  <c r="B144" i="227"/>
  <c r="D143" i="227"/>
  <c r="C143" i="227"/>
  <c r="B143" i="227"/>
  <c r="D142" i="227"/>
  <c r="C142" i="227"/>
  <c r="B142" i="227"/>
  <c r="D141" i="227"/>
  <c r="C141" i="227"/>
  <c r="B141" i="227"/>
  <c r="D140" i="227"/>
  <c r="C140" i="227"/>
  <c r="B140" i="227"/>
  <c r="D139" i="227"/>
  <c r="C139" i="227"/>
  <c r="B139" i="227"/>
  <c r="D138" i="227"/>
  <c r="C138" i="227"/>
  <c r="B138" i="227"/>
  <c r="D137" i="227"/>
  <c r="C137" i="227"/>
  <c r="B137" i="227"/>
  <c r="D136" i="227"/>
  <c r="C136" i="227"/>
  <c r="B136" i="227"/>
  <c r="D135" i="227"/>
  <c r="C135" i="227"/>
  <c r="B135" i="227"/>
  <c r="D134" i="227"/>
  <c r="C134" i="227"/>
  <c r="B134" i="227"/>
  <c r="D133" i="227"/>
  <c r="C133" i="227"/>
  <c r="B133" i="227"/>
  <c r="D132" i="227"/>
  <c r="C132" i="227"/>
  <c r="B132" i="227"/>
  <c r="D131" i="227"/>
  <c r="C131" i="227"/>
  <c r="B131" i="227"/>
  <c r="D130" i="227"/>
  <c r="C130" i="227"/>
  <c r="B130" i="227"/>
  <c r="D129" i="227"/>
  <c r="C129" i="227"/>
  <c r="B129" i="227"/>
  <c r="D128" i="227"/>
  <c r="C128" i="227"/>
  <c r="B128" i="227"/>
  <c r="D127" i="227"/>
  <c r="C127" i="227"/>
  <c r="B127" i="227"/>
  <c r="D126" i="227"/>
  <c r="C126" i="227"/>
  <c r="B126" i="227"/>
  <c r="D125" i="227"/>
  <c r="C125" i="227"/>
  <c r="B125" i="227"/>
  <c r="D124" i="227"/>
  <c r="C124" i="227"/>
  <c r="B124" i="227"/>
  <c r="D123" i="227"/>
  <c r="C123" i="227"/>
  <c r="B123" i="227"/>
  <c r="D122" i="227"/>
  <c r="C122" i="227"/>
  <c r="B122" i="227"/>
  <c r="D121" i="227"/>
  <c r="C121" i="227"/>
  <c r="B121" i="227"/>
  <c r="D120" i="227"/>
  <c r="C120" i="227"/>
  <c r="B120" i="227"/>
  <c r="D119" i="227"/>
  <c r="C119" i="227"/>
  <c r="B119" i="227"/>
  <c r="D118" i="227"/>
  <c r="C118" i="227"/>
  <c r="B118" i="227"/>
  <c r="D117" i="227"/>
  <c r="C117" i="227"/>
  <c r="B117" i="227"/>
  <c r="D116" i="227"/>
  <c r="C116" i="227"/>
  <c r="B116" i="227"/>
  <c r="D115" i="227"/>
  <c r="C115" i="227"/>
  <c r="B115" i="227"/>
  <c r="D114" i="227"/>
  <c r="C114" i="227"/>
  <c r="B114" i="227"/>
  <c r="D113" i="227"/>
  <c r="C113" i="227"/>
  <c r="B113" i="227"/>
  <c r="D112" i="227"/>
  <c r="C112" i="227"/>
  <c r="B112" i="227"/>
  <c r="D111" i="227"/>
  <c r="C111" i="227"/>
  <c r="B111" i="227"/>
  <c r="D110" i="227"/>
  <c r="C110" i="227"/>
  <c r="B110" i="227"/>
  <c r="D109" i="227"/>
  <c r="C109" i="227"/>
  <c r="B109" i="227"/>
  <c r="D108" i="227"/>
  <c r="C108" i="227"/>
  <c r="B108" i="227"/>
  <c r="D107" i="227"/>
  <c r="C107" i="227"/>
  <c r="B107" i="227"/>
  <c r="D106" i="227"/>
  <c r="C106" i="227"/>
  <c r="B106" i="227"/>
  <c r="A106" i="227"/>
  <c r="A107" i="227" s="1"/>
  <c r="A108" i="227" s="1"/>
  <c r="A109" i="227" s="1"/>
  <c r="A110" i="227" s="1"/>
  <c r="A111" i="227" s="1"/>
  <c r="A112" i="227" s="1"/>
  <c r="A113" i="227" s="1"/>
  <c r="A114" i="227" s="1"/>
  <c r="A115" i="227" s="1"/>
  <c r="A116" i="227" s="1"/>
  <c r="A117" i="227" s="1"/>
  <c r="A118" i="227" s="1"/>
  <c r="A119" i="227" s="1"/>
  <c r="A120" i="227" s="1"/>
  <c r="A121" i="227" s="1"/>
  <c r="A122" i="227" s="1"/>
  <c r="A123" i="227" s="1"/>
  <c r="A124" i="227" s="1"/>
  <c r="A125" i="227" s="1"/>
  <c r="A126" i="227" s="1"/>
  <c r="A127" i="227" s="1"/>
  <c r="A128" i="227" s="1"/>
  <c r="A129" i="227" s="1"/>
  <c r="A130" i="227" s="1"/>
  <c r="A131" i="227" s="1"/>
  <c r="A132" i="227" s="1"/>
  <c r="A133" i="227" s="1"/>
  <c r="A134" i="227" s="1"/>
  <c r="A135" i="227" s="1"/>
  <c r="A136" i="227" s="1"/>
  <c r="A137" i="227" s="1"/>
  <c r="A138" i="227" s="1"/>
  <c r="A139" i="227" s="1"/>
  <c r="A140" i="227" s="1"/>
  <c r="A141" i="227" s="1"/>
  <c r="A142" i="227" s="1"/>
  <c r="A143" i="227" s="1"/>
  <c r="A144" i="227" s="1"/>
  <c r="A145" i="227" s="1"/>
  <c r="A146" i="227" s="1"/>
  <c r="A147" i="227" s="1"/>
  <c r="A148" i="227" s="1"/>
  <c r="N103" i="227"/>
  <c r="J103" i="227"/>
  <c r="H103" i="227"/>
  <c r="J102" i="227"/>
  <c r="H102" i="227"/>
  <c r="J101" i="227"/>
  <c r="D100" i="227"/>
  <c r="C100" i="227"/>
  <c r="B100" i="227"/>
  <c r="D99" i="227"/>
  <c r="C99" i="227"/>
  <c r="B99" i="227"/>
  <c r="D98" i="227"/>
  <c r="C98" i="227"/>
  <c r="B98" i="227"/>
  <c r="D97" i="227"/>
  <c r="C97" i="227"/>
  <c r="B97" i="227"/>
  <c r="D96" i="227"/>
  <c r="C96" i="227"/>
  <c r="B96" i="227"/>
  <c r="D95" i="227"/>
  <c r="C95" i="227"/>
  <c r="B95" i="227"/>
  <c r="D94" i="227"/>
  <c r="C94" i="227"/>
  <c r="B94" i="227"/>
  <c r="D93" i="227"/>
  <c r="C93" i="227"/>
  <c r="B93" i="227"/>
  <c r="D92" i="227"/>
  <c r="C92" i="227"/>
  <c r="B92" i="227"/>
  <c r="D91" i="227"/>
  <c r="C91" i="227"/>
  <c r="B91" i="227"/>
  <c r="D90" i="227"/>
  <c r="C90" i="227"/>
  <c r="B90" i="227"/>
  <c r="D89" i="227"/>
  <c r="C89" i="227"/>
  <c r="B89" i="227"/>
  <c r="D88" i="227"/>
  <c r="C88" i="227"/>
  <c r="B88" i="227"/>
  <c r="D87" i="227"/>
  <c r="C87" i="227"/>
  <c r="B87" i="227"/>
  <c r="D86" i="227"/>
  <c r="C86" i="227"/>
  <c r="B86" i="227"/>
  <c r="D85" i="227"/>
  <c r="C85" i="227"/>
  <c r="B85" i="227"/>
  <c r="D84" i="227"/>
  <c r="C84" i="227"/>
  <c r="B84" i="227"/>
  <c r="D83" i="227"/>
  <c r="C83" i="227"/>
  <c r="B83" i="227"/>
  <c r="D82" i="227"/>
  <c r="C82" i="227"/>
  <c r="B82" i="227"/>
  <c r="D81" i="227"/>
  <c r="C81" i="227"/>
  <c r="B81" i="227"/>
  <c r="D80" i="227"/>
  <c r="C80" i="227"/>
  <c r="B80" i="227"/>
  <c r="D79" i="227"/>
  <c r="C79" i="227"/>
  <c r="B79" i="227"/>
  <c r="D78" i="227"/>
  <c r="C78" i="227"/>
  <c r="B78" i="227"/>
  <c r="D77" i="227"/>
  <c r="C77" i="227"/>
  <c r="B77" i="227"/>
  <c r="D76" i="227"/>
  <c r="C76" i="227"/>
  <c r="B76" i="227"/>
  <c r="D75" i="227"/>
  <c r="C75" i="227"/>
  <c r="B75" i="227"/>
  <c r="D74" i="227"/>
  <c r="C74" i="227"/>
  <c r="B74" i="227"/>
  <c r="D73" i="227"/>
  <c r="C73" i="227"/>
  <c r="B73" i="227"/>
  <c r="D72" i="227"/>
  <c r="C72" i="227"/>
  <c r="B72" i="227"/>
  <c r="D71" i="227"/>
  <c r="C71" i="227"/>
  <c r="B71" i="227"/>
  <c r="D70" i="227"/>
  <c r="C70" i="227"/>
  <c r="B70" i="227"/>
  <c r="D69" i="227"/>
  <c r="C69" i="227"/>
  <c r="B69" i="227"/>
  <c r="D68" i="227"/>
  <c r="C68" i="227"/>
  <c r="B68" i="227"/>
  <c r="D67" i="227"/>
  <c r="C67" i="227"/>
  <c r="B67" i="227"/>
  <c r="D66" i="227"/>
  <c r="C66" i="227"/>
  <c r="B66" i="227"/>
  <c r="D65" i="227"/>
  <c r="C65" i="227"/>
  <c r="B65" i="227"/>
  <c r="D64" i="227"/>
  <c r="C64" i="227"/>
  <c r="B64" i="227"/>
  <c r="D63" i="227"/>
  <c r="C63" i="227"/>
  <c r="B63" i="227"/>
  <c r="D62" i="227"/>
  <c r="C62" i="227"/>
  <c r="B62" i="227"/>
  <c r="D61" i="227"/>
  <c r="C61" i="227"/>
  <c r="B61" i="227"/>
  <c r="D60" i="227"/>
  <c r="C60" i="227"/>
  <c r="B60" i="227"/>
  <c r="D59" i="227"/>
  <c r="C59" i="227"/>
  <c r="B59" i="227"/>
  <c r="D58" i="227"/>
  <c r="C58" i="227"/>
  <c r="B58" i="227"/>
  <c r="D57" i="227"/>
  <c r="C57" i="227"/>
  <c r="B57" i="227"/>
  <c r="N54" i="227"/>
  <c r="J54" i="227"/>
  <c r="H54" i="227"/>
  <c r="J53" i="227"/>
  <c r="H53" i="227"/>
  <c r="J52" i="227"/>
  <c r="D21" i="227" a="1"/>
  <c r="D20" i="227" a="1"/>
  <c r="D19" i="227" a="1"/>
  <c r="D14" i="227" a="1"/>
  <c r="D54" i="227" s="1"/>
  <c r="D13" i="227" a="1"/>
  <c r="D12" i="227" a="1"/>
  <c r="D101" i="227" s="1"/>
  <c r="D10" i="227" a="1"/>
  <c r="D8" i="227"/>
  <c r="D7" i="227"/>
  <c r="D6" i="227"/>
  <c r="D5" i="227"/>
  <c r="N3" i="227"/>
  <c r="N1" i="227"/>
  <c r="G129" i="226"/>
  <c r="I129" i="226" s="1"/>
  <c r="G130" i="226"/>
  <c r="I130" i="226" s="1"/>
  <c r="G131" i="226"/>
  <c r="I131" i="226" s="1"/>
  <c r="G132" i="226"/>
  <c r="I132" i="226" s="1"/>
  <c r="G133" i="226"/>
  <c r="I133" i="226" s="1"/>
  <c r="G134" i="226"/>
  <c r="I134" i="226" s="1"/>
  <c r="G135" i="226"/>
  <c r="I135" i="226" s="1"/>
  <c r="G136" i="226"/>
  <c r="I136" i="226" s="1"/>
  <c r="G137" i="226"/>
  <c r="I137" i="226" s="1"/>
  <c r="G138" i="226"/>
  <c r="I138" i="226" s="1"/>
  <c r="G139" i="226"/>
  <c r="I139" i="226" s="1"/>
  <c r="G140" i="226"/>
  <c r="I140" i="226" s="1"/>
  <c r="G141" i="226"/>
  <c r="I141" i="226" s="1"/>
  <c r="G142" i="226"/>
  <c r="I142" i="226" s="1"/>
  <c r="G143" i="226"/>
  <c r="I143" i="226" s="1"/>
  <c r="G144" i="226"/>
  <c r="I144" i="226" s="1"/>
  <c r="G145" i="226"/>
  <c r="I145" i="226" s="1"/>
  <c r="G146" i="226"/>
  <c r="I146" i="226" s="1"/>
  <c r="G147" i="226"/>
  <c r="I147" i="226" s="1"/>
  <c r="G148" i="226"/>
  <c r="I148" i="226" s="1"/>
  <c r="G107" i="226"/>
  <c r="I107" i="226" s="1"/>
  <c r="G108" i="226"/>
  <c r="I108" i="226" s="1"/>
  <c r="G109" i="226"/>
  <c r="I109" i="226" s="1"/>
  <c r="G110" i="226"/>
  <c r="I110" i="226" s="1"/>
  <c r="G111" i="226"/>
  <c r="I111" i="226" s="1"/>
  <c r="G112" i="226"/>
  <c r="I112" i="226" s="1"/>
  <c r="G113" i="226"/>
  <c r="I113" i="226" s="1"/>
  <c r="G114" i="226"/>
  <c r="I114" i="226" s="1"/>
  <c r="G115" i="226"/>
  <c r="I115" i="226" s="1"/>
  <c r="G116" i="226"/>
  <c r="I116" i="226" s="1"/>
  <c r="G117" i="226"/>
  <c r="I117" i="226" s="1"/>
  <c r="G118" i="226"/>
  <c r="I118" i="226" s="1"/>
  <c r="G119" i="226"/>
  <c r="I119" i="226" s="1"/>
  <c r="G120" i="226"/>
  <c r="I120" i="226" s="1"/>
  <c r="G121" i="226"/>
  <c r="I121" i="226" s="1"/>
  <c r="G122" i="226"/>
  <c r="I122" i="226" s="1"/>
  <c r="G123" i="226"/>
  <c r="I123" i="226" s="1"/>
  <c r="G124" i="226"/>
  <c r="I124" i="226" s="1"/>
  <c r="G125" i="226"/>
  <c r="I125" i="226" s="1"/>
  <c r="G126" i="226"/>
  <c r="I126" i="226" s="1"/>
  <c r="G127" i="226"/>
  <c r="I127" i="226" s="1"/>
  <c r="G128" i="226"/>
  <c r="I128" i="226" s="1"/>
  <c r="G106" i="226"/>
  <c r="I106" i="226" s="1"/>
  <c r="G82" i="226"/>
  <c r="I82" i="226" s="1"/>
  <c r="G83" i="226"/>
  <c r="I83" i="226" s="1"/>
  <c r="G84" i="226"/>
  <c r="I84" i="226" s="1"/>
  <c r="G85" i="226"/>
  <c r="I85" i="226" s="1"/>
  <c r="G86" i="226"/>
  <c r="I86" i="226" s="1"/>
  <c r="G87" i="226"/>
  <c r="I87" i="226" s="1"/>
  <c r="G88" i="226"/>
  <c r="I88" i="226" s="1"/>
  <c r="G89" i="226"/>
  <c r="I89" i="226" s="1"/>
  <c r="G90" i="226"/>
  <c r="I90" i="226" s="1"/>
  <c r="G91" i="226"/>
  <c r="I91" i="226" s="1"/>
  <c r="G92" i="226"/>
  <c r="I92" i="226" s="1"/>
  <c r="G93" i="226"/>
  <c r="I93" i="226" s="1"/>
  <c r="G94" i="226"/>
  <c r="I94" i="226" s="1"/>
  <c r="G95" i="226"/>
  <c r="I95" i="226" s="1"/>
  <c r="G96" i="226"/>
  <c r="I96" i="226" s="1"/>
  <c r="G97" i="226"/>
  <c r="I97" i="226" s="1"/>
  <c r="G98" i="226"/>
  <c r="I98" i="226" s="1"/>
  <c r="G99" i="226"/>
  <c r="I99" i="226" s="1"/>
  <c r="G100" i="226"/>
  <c r="I100" i="226" s="1"/>
  <c r="G58" i="226"/>
  <c r="I58" i="226" s="1"/>
  <c r="G59" i="226"/>
  <c r="I59" i="226" s="1"/>
  <c r="G60" i="226"/>
  <c r="I60" i="226" s="1"/>
  <c r="G61" i="226"/>
  <c r="I61" i="226" s="1"/>
  <c r="G62" i="226"/>
  <c r="I62" i="226" s="1"/>
  <c r="G63" i="226"/>
  <c r="I63" i="226" s="1"/>
  <c r="G64" i="226"/>
  <c r="I64" i="226" s="1"/>
  <c r="G65" i="226"/>
  <c r="I65" i="226" s="1"/>
  <c r="G66" i="226"/>
  <c r="I66" i="226" s="1"/>
  <c r="G67" i="226"/>
  <c r="I67" i="226" s="1"/>
  <c r="G68" i="226"/>
  <c r="I68" i="226" s="1"/>
  <c r="G69" i="226"/>
  <c r="I69" i="226" s="1"/>
  <c r="G70" i="226"/>
  <c r="I70" i="226" s="1"/>
  <c r="G71" i="226"/>
  <c r="I71" i="226" s="1"/>
  <c r="G72" i="226"/>
  <c r="I72" i="226" s="1"/>
  <c r="G73" i="226"/>
  <c r="I73" i="226" s="1"/>
  <c r="G74" i="226"/>
  <c r="I74" i="226" s="1"/>
  <c r="G75" i="226"/>
  <c r="I75" i="226" s="1"/>
  <c r="G76" i="226"/>
  <c r="I76" i="226" s="1"/>
  <c r="G77" i="226"/>
  <c r="I77" i="226" s="1"/>
  <c r="G78" i="226"/>
  <c r="I78" i="226" s="1"/>
  <c r="G79" i="226"/>
  <c r="I79" i="226" s="1"/>
  <c r="G80" i="226"/>
  <c r="I80" i="226" s="1"/>
  <c r="G81" i="226"/>
  <c r="I81" i="226" s="1"/>
  <c r="G57" i="226"/>
  <c r="M149" i="226"/>
  <c r="H149" i="226"/>
  <c r="D148" i="226"/>
  <c r="C148" i="226"/>
  <c r="B148" i="226"/>
  <c r="D147" i="226"/>
  <c r="C147" i="226"/>
  <c r="B147" i="226"/>
  <c r="D146" i="226"/>
  <c r="C146" i="226"/>
  <c r="B146" i="226"/>
  <c r="D145" i="226"/>
  <c r="C145" i="226"/>
  <c r="B145" i="226"/>
  <c r="D144" i="226"/>
  <c r="C144" i="226"/>
  <c r="B144" i="226"/>
  <c r="D143" i="226"/>
  <c r="C143" i="226"/>
  <c r="B143" i="226"/>
  <c r="D142" i="226"/>
  <c r="C142" i="226"/>
  <c r="B142" i="226"/>
  <c r="D141" i="226"/>
  <c r="C141" i="226"/>
  <c r="B141" i="226"/>
  <c r="D140" i="226"/>
  <c r="C140" i="226"/>
  <c r="B140" i="226"/>
  <c r="D139" i="226"/>
  <c r="C139" i="226"/>
  <c r="B139" i="226"/>
  <c r="D138" i="226"/>
  <c r="C138" i="226"/>
  <c r="B138" i="226"/>
  <c r="D137" i="226"/>
  <c r="C137" i="226"/>
  <c r="B137" i="226"/>
  <c r="D136" i="226"/>
  <c r="C136" i="226"/>
  <c r="B136" i="226"/>
  <c r="D135" i="226"/>
  <c r="C135" i="226"/>
  <c r="B135" i="226"/>
  <c r="D134" i="226"/>
  <c r="C134" i="226"/>
  <c r="B134" i="226"/>
  <c r="D133" i="226"/>
  <c r="C133" i="226"/>
  <c r="B133" i="226"/>
  <c r="D132" i="226"/>
  <c r="C132" i="226"/>
  <c r="B132" i="226"/>
  <c r="D131" i="226"/>
  <c r="C131" i="226"/>
  <c r="B131" i="226"/>
  <c r="D130" i="226"/>
  <c r="C130" i="226"/>
  <c r="B130" i="226"/>
  <c r="D129" i="226"/>
  <c r="C129" i="226"/>
  <c r="B129" i="226"/>
  <c r="D128" i="226"/>
  <c r="C128" i="226"/>
  <c r="B128" i="226"/>
  <c r="D127" i="226"/>
  <c r="C127" i="226"/>
  <c r="B127" i="226"/>
  <c r="D126" i="226"/>
  <c r="C126" i="226"/>
  <c r="B126" i="226"/>
  <c r="D125" i="226"/>
  <c r="C125" i="226"/>
  <c r="B125" i="226"/>
  <c r="D124" i="226"/>
  <c r="C124" i="226"/>
  <c r="B124" i="226"/>
  <c r="D123" i="226"/>
  <c r="C123" i="226"/>
  <c r="B123" i="226"/>
  <c r="D122" i="226"/>
  <c r="C122" i="226"/>
  <c r="B122" i="226"/>
  <c r="D121" i="226"/>
  <c r="C121" i="226"/>
  <c r="B121" i="226"/>
  <c r="D120" i="226"/>
  <c r="C120" i="226"/>
  <c r="B120" i="226"/>
  <c r="D119" i="226"/>
  <c r="C119" i="226"/>
  <c r="B119" i="226"/>
  <c r="D118" i="226"/>
  <c r="C118" i="226"/>
  <c r="B118" i="226"/>
  <c r="D117" i="226"/>
  <c r="C117" i="226"/>
  <c r="B117" i="226"/>
  <c r="D116" i="226"/>
  <c r="C116" i="226"/>
  <c r="B116" i="226"/>
  <c r="D115" i="226"/>
  <c r="C115" i="226"/>
  <c r="B115" i="226"/>
  <c r="D114" i="226"/>
  <c r="C114" i="226"/>
  <c r="B114" i="226"/>
  <c r="D113" i="226"/>
  <c r="C113" i="226"/>
  <c r="B113" i="226"/>
  <c r="D112" i="226"/>
  <c r="C112" i="226"/>
  <c r="B112" i="226"/>
  <c r="D111" i="226"/>
  <c r="C111" i="226"/>
  <c r="B111" i="226"/>
  <c r="D110" i="226"/>
  <c r="C110" i="226"/>
  <c r="B110" i="226"/>
  <c r="D109" i="226"/>
  <c r="C109" i="226"/>
  <c r="B109" i="226"/>
  <c r="D108" i="226"/>
  <c r="C108" i="226"/>
  <c r="B108" i="226"/>
  <c r="D107" i="226"/>
  <c r="C107" i="226"/>
  <c r="B107" i="226"/>
  <c r="D106" i="226"/>
  <c r="C106" i="226"/>
  <c r="B106" i="226"/>
  <c r="A106" i="226"/>
  <c r="A107" i="226" s="1"/>
  <c r="A108" i="226" s="1"/>
  <c r="A109" i="226" s="1"/>
  <c r="A110" i="226" s="1"/>
  <c r="A111" i="226" s="1"/>
  <c r="A112" i="226" s="1"/>
  <c r="A113" i="226" s="1"/>
  <c r="A114" i="226" s="1"/>
  <c r="A115" i="226" s="1"/>
  <c r="A116" i="226" s="1"/>
  <c r="A117" i="226" s="1"/>
  <c r="A118" i="226" s="1"/>
  <c r="A119" i="226" s="1"/>
  <c r="A120" i="226" s="1"/>
  <c r="A121" i="226" s="1"/>
  <c r="A122" i="226" s="1"/>
  <c r="A123" i="226" s="1"/>
  <c r="A124" i="226" s="1"/>
  <c r="A125" i="226" s="1"/>
  <c r="A126" i="226" s="1"/>
  <c r="A127" i="226" s="1"/>
  <c r="A128" i="226" s="1"/>
  <c r="A129" i="226" s="1"/>
  <c r="A130" i="226" s="1"/>
  <c r="A131" i="226" s="1"/>
  <c r="A132" i="226" s="1"/>
  <c r="A133" i="226" s="1"/>
  <c r="A134" i="226" s="1"/>
  <c r="A135" i="226" s="1"/>
  <c r="A136" i="226" s="1"/>
  <c r="A137" i="226" s="1"/>
  <c r="A138" i="226" s="1"/>
  <c r="A139" i="226" s="1"/>
  <c r="A140" i="226" s="1"/>
  <c r="A141" i="226" s="1"/>
  <c r="A142" i="226" s="1"/>
  <c r="A143" i="226" s="1"/>
  <c r="A144" i="226" s="1"/>
  <c r="A145" i="226" s="1"/>
  <c r="A146" i="226" s="1"/>
  <c r="A147" i="226" s="1"/>
  <c r="A148" i="226" s="1"/>
  <c r="N103" i="226"/>
  <c r="J103" i="226"/>
  <c r="H103" i="226"/>
  <c r="J102" i="226"/>
  <c r="H102" i="226"/>
  <c r="J101" i="226"/>
  <c r="D100" i="226"/>
  <c r="C100" i="226"/>
  <c r="B100" i="226"/>
  <c r="D99" i="226"/>
  <c r="C99" i="226"/>
  <c r="B99" i="226"/>
  <c r="D98" i="226"/>
  <c r="C98" i="226"/>
  <c r="B98" i="226"/>
  <c r="D97" i="226"/>
  <c r="C97" i="226"/>
  <c r="B97" i="226"/>
  <c r="D96" i="226"/>
  <c r="C96" i="226"/>
  <c r="B96" i="226"/>
  <c r="D95" i="226"/>
  <c r="C95" i="226"/>
  <c r="B95" i="226"/>
  <c r="D94" i="226"/>
  <c r="C94" i="226"/>
  <c r="B94" i="226"/>
  <c r="D93" i="226"/>
  <c r="C93" i="226"/>
  <c r="B93" i="226"/>
  <c r="D92" i="226"/>
  <c r="C92" i="226"/>
  <c r="B92" i="226"/>
  <c r="D91" i="226"/>
  <c r="C91" i="226"/>
  <c r="B91" i="226"/>
  <c r="D90" i="226"/>
  <c r="C90" i="226"/>
  <c r="B90" i="226"/>
  <c r="D89" i="226"/>
  <c r="C89" i="226"/>
  <c r="B89" i="226"/>
  <c r="D88" i="226"/>
  <c r="C88" i="226"/>
  <c r="B88" i="226"/>
  <c r="D87" i="226"/>
  <c r="C87" i="226"/>
  <c r="B87" i="226"/>
  <c r="D86" i="226"/>
  <c r="C86" i="226"/>
  <c r="B86" i="226"/>
  <c r="D85" i="226"/>
  <c r="C85" i="226"/>
  <c r="B85" i="226"/>
  <c r="D84" i="226"/>
  <c r="C84" i="226"/>
  <c r="B84" i="226"/>
  <c r="D83" i="226"/>
  <c r="C83" i="226"/>
  <c r="B83" i="226"/>
  <c r="D82" i="226"/>
  <c r="C82" i="226"/>
  <c r="B82" i="226"/>
  <c r="D81" i="226"/>
  <c r="C81" i="226"/>
  <c r="B81" i="226"/>
  <c r="D80" i="226"/>
  <c r="C80" i="226"/>
  <c r="B80" i="226"/>
  <c r="D79" i="226"/>
  <c r="C79" i="226"/>
  <c r="B79" i="226"/>
  <c r="D78" i="226"/>
  <c r="C78" i="226"/>
  <c r="B78" i="226"/>
  <c r="D77" i="226"/>
  <c r="C77" i="226"/>
  <c r="B77" i="226"/>
  <c r="D76" i="226"/>
  <c r="C76" i="226"/>
  <c r="B76" i="226"/>
  <c r="D75" i="226"/>
  <c r="C75" i="226"/>
  <c r="B75" i="226"/>
  <c r="D74" i="226"/>
  <c r="C74" i="226"/>
  <c r="B74" i="226"/>
  <c r="D73" i="226"/>
  <c r="C73" i="226"/>
  <c r="B73" i="226"/>
  <c r="D72" i="226"/>
  <c r="C72" i="226"/>
  <c r="B72" i="226"/>
  <c r="D71" i="226"/>
  <c r="C71" i="226"/>
  <c r="B71" i="226"/>
  <c r="D70" i="226"/>
  <c r="C70" i="226"/>
  <c r="B70" i="226"/>
  <c r="D69" i="226"/>
  <c r="C69" i="226"/>
  <c r="B69" i="226"/>
  <c r="D68" i="226"/>
  <c r="C68" i="226"/>
  <c r="B68" i="226"/>
  <c r="D67" i="226"/>
  <c r="C67" i="226"/>
  <c r="B67" i="226"/>
  <c r="D66" i="226"/>
  <c r="C66" i="226"/>
  <c r="B66" i="226"/>
  <c r="D65" i="226"/>
  <c r="C65" i="226"/>
  <c r="B65" i="226"/>
  <c r="D64" i="226"/>
  <c r="C64" i="226"/>
  <c r="B64" i="226"/>
  <c r="D63" i="226"/>
  <c r="C63" i="226"/>
  <c r="B63" i="226"/>
  <c r="D62" i="226"/>
  <c r="C62" i="226"/>
  <c r="B62" i="226"/>
  <c r="D61" i="226"/>
  <c r="C61" i="226"/>
  <c r="B61" i="226"/>
  <c r="D60" i="226"/>
  <c r="C60" i="226"/>
  <c r="B60" i="226"/>
  <c r="D59" i="226"/>
  <c r="C59" i="226"/>
  <c r="B59" i="226"/>
  <c r="D58" i="226"/>
  <c r="C58" i="226"/>
  <c r="B58" i="226"/>
  <c r="D57" i="226"/>
  <c r="C57" i="226"/>
  <c r="B57" i="226"/>
  <c r="N54" i="226"/>
  <c r="J54" i="226"/>
  <c r="H54" i="226"/>
  <c r="J53" i="226"/>
  <c r="H53" i="226"/>
  <c r="J52" i="226"/>
  <c r="D21" i="226" a="1"/>
  <c r="D20" i="226" a="1"/>
  <c r="D19" i="226" a="1"/>
  <c r="D14" i="226" a="1"/>
  <c r="D103" i="226" s="1"/>
  <c r="D13" i="226" a="1"/>
  <c r="D12" i="226" a="1"/>
  <c r="D10" i="226" a="1"/>
  <c r="D8" i="226"/>
  <c r="D7" i="226"/>
  <c r="D6" i="226"/>
  <c r="D5" i="226"/>
  <c r="N3" i="226"/>
  <c r="N1" i="226"/>
  <c r="G107" i="225"/>
  <c r="I107" i="225" s="1"/>
  <c r="G108" i="225"/>
  <c r="I108" i="225" s="1"/>
  <c r="G109" i="225"/>
  <c r="I109" i="225" s="1"/>
  <c r="G110" i="225"/>
  <c r="I110" i="225" s="1"/>
  <c r="G111" i="225"/>
  <c r="I111" i="225" s="1"/>
  <c r="G112" i="225"/>
  <c r="I112" i="225" s="1"/>
  <c r="G113" i="225"/>
  <c r="I113" i="225" s="1"/>
  <c r="G114" i="225"/>
  <c r="I114" i="225" s="1"/>
  <c r="G115" i="225"/>
  <c r="I115" i="225" s="1"/>
  <c r="G116" i="225"/>
  <c r="I116" i="225" s="1"/>
  <c r="G117" i="225"/>
  <c r="I117" i="225" s="1"/>
  <c r="G118" i="225"/>
  <c r="I118" i="225" s="1"/>
  <c r="G119" i="225"/>
  <c r="I119" i="225" s="1"/>
  <c r="G120" i="225"/>
  <c r="I120" i="225" s="1"/>
  <c r="G121" i="225"/>
  <c r="I121" i="225" s="1"/>
  <c r="G122" i="225"/>
  <c r="I122" i="225" s="1"/>
  <c r="G123" i="225"/>
  <c r="I123" i="225" s="1"/>
  <c r="G124" i="225"/>
  <c r="I124" i="225" s="1"/>
  <c r="G125" i="225"/>
  <c r="I125" i="225" s="1"/>
  <c r="G126" i="225"/>
  <c r="I126" i="225" s="1"/>
  <c r="G127" i="225"/>
  <c r="I127" i="225" s="1"/>
  <c r="G128" i="225"/>
  <c r="I128" i="225" s="1"/>
  <c r="G129" i="225"/>
  <c r="I129" i="225" s="1"/>
  <c r="G130" i="225"/>
  <c r="I130" i="225" s="1"/>
  <c r="G131" i="225"/>
  <c r="I131" i="225" s="1"/>
  <c r="G132" i="225"/>
  <c r="I132" i="225" s="1"/>
  <c r="G133" i="225"/>
  <c r="I133" i="225" s="1"/>
  <c r="G134" i="225"/>
  <c r="I134" i="225" s="1"/>
  <c r="G135" i="225"/>
  <c r="I135" i="225" s="1"/>
  <c r="G136" i="225"/>
  <c r="I136" i="225" s="1"/>
  <c r="G137" i="225"/>
  <c r="I137" i="225" s="1"/>
  <c r="G138" i="225"/>
  <c r="I138" i="225" s="1"/>
  <c r="G139" i="225"/>
  <c r="I139" i="225" s="1"/>
  <c r="G140" i="225"/>
  <c r="I140" i="225" s="1"/>
  <c r="G141" i="225"/>
  <c r="I141" i="225" s="1"/>
  <c r="G142" i="225"/>
  <c r="I142" i="225" s="1"/>
  <c r="G143" i="225"/>
  <c r="I143" i="225" s="1"/>
  <c r="G144" i="225"/>
  <c r="I144" i="225" s="1"/>
  <c r="G145" i="225"/>
  <c r="I145" i="225" s="1"/>
  <c r="G146" i="225"/>
  <c r="I146" i="225" s="1"/>
  <c r="G147" i="225"/>
  <c r="I147" i="225" s="1"/>
  <c r="G148" i="225"/>
  <c r="I148" i="225" s="1"/>
  <c r="G106" i="225"/>
  <c r="I106" i="225" s="1"/>
  <c r="G58" i="225"/>
  <c r="I58" i="225" s="1"/>
  <c r="G59" i="225"/>
  <c r="I59" i="225" s="1"/>
  <c r="G60" i="225"/>
  <c r="I60" i="225" s="1"/>
  <c r="G61" i="225"/>
  <c r="I61" i="225" s="1"/>
  <c r="G62" i="225"/>
  <c r="G63" i="225"/>
  <c r="I63" i="225" s="1"/>
  <c r="G64" i="225"/>
  <c r="I64" i="225" s="1"/>
  <c r="G65" i="225"/>
  <c r="I65" i="225" s="1"/>
  <c r="G66" i="225"/>
  <c r="I66" i="225" s="1"/>
  <c r="G67" i="225"/>
  <c r="I67" i="225" s="1"/>
  <c r="G68" i="225"/>
  <c r="I68" i="225" s="1"/>
  <c r="G69" i="225"/>
  <c r="I69" i="225" s="1"/>
  <c r="G70" i="225"/>
  <c r="I70" i="225" s="1"/>
  <c r="G71" i="225"/>
  <c r="I71" i="225" s="1"/>
  <c r="G72" i="225"/>
  <c r="I72" i="225" s="1"/>
  <c r="G73" i="225"/>
  <c r="I73" i="225" s="1"/>
  <c r="G74" i="225"/>
  <c r="I74" i="225" s="1"/>
  <c r="G75" i="225"/>
  <c r="I75" i="225" s="1"/>
  <c r="G76" i="225"/>
  <c r="I76" i="225" s="1"/>
  <c r="G77" i="225"/>
  <c r="I77" i="225" s="1"/>
  <c r="G78" i="225"/>
  <c r="I78" i="225" s="1"/>
  <c r="G79" i="225"/>
  <c r="I79" i="225" s="1"/>
  <c r="G80" i="225"/>
  <c r="I80" i="225" s="1"/>
  <c r="G81" i="225"/>
  <c r="I81" i="225" s="1"/>
  <c r="G82" i="225"/>
  <c r="I82" i="225" s="1"/>
  <c r="G83" i="225"/>
  <c r="I83" i="225" s="1"/>
  <c r="G84" i="225"/>
  <c r="I84" i="225" s="1"/>
  <c r="G85" i="225"/>
  <c r="I85" i="225" s="1"/>
  <c r="G86" i="225"/>
  <c r="I86" i="225" s="1"/>
  <c r="G87" i="225"/>
  <c r="I87" i="225" s="1"/>
  <c r="G88" i="225"/>
  <c r="I88" i="225" s="1"/>
  <c r="G89" i="225"/>
  <c r="I89" i="225" s="1"/>
  <c r="G90" i="225"/>
  <c r="I90" i="225" s="1"/>
  <c r="G91" i="225"/>
  <c r="I91" i="225" s="1"/>
  <c r="G92" i="225"/>
  <c r="I92" i="225" s="1"/>
  <c r="G93" i="225"/>
  <c r="I93" i="225" s="1"/>
  <c r="G94" i="225"/>
  <c r="I94" i="225" s="1"/>
  <c r="G95" i="225"/>
  <c r="I95" i="225" s="1"/>
  <c r="G96" i="225"/>
  <c r="I96" i="225" s="1"/>
  <c r="G97" i="225"/>
  <c r="I97" i="225" s="1"/>
  <c r="G98" i="225"/>
  <c r="I98" i="225" s="1"/>
  <c r="G99" i="225"/>
  <c r="I99" i="225" s="1"/>
  <c r="G100" i="225"/>
  <c r="I100" i="225" s="1"/>
  <c r="G57" i="225"/>
  <c r="M149" i="225"/>
  <c r="H149" i="225"/>
  <c r="D148" i="225"/>
  <c r="C148" i="225"/>
  <c r="B148" i="225"/>
  <c r="D147" i="225"/>
  <c r="C147" i="225"/>
  <c r="B147" i="225"/>
  <c r="D146" i="225"/>
  <c r="C146" i="225"/>
  <c r="B146" i="225"/>
  <c r="D145" i="225"/>
  <c r="C145" i="225"/>
  <c r="B145" i="225"/>
  <c r="D144" i="225"/>
  <c r="C144" i="225"/>
  <c r="B144" i="225"/>
  <c r="D143" i="225"/>
  <c r="C143" i="225"/>
  <c r="B143" i="225"/>
  <c r="D142" i="225"/>
  <c r="C142" i="225"/>
  <c r="B142" i="225"/>
  <c r="D141" i="225"/>
  <c r="C141" i="225"/>
  <c r="B141" i="225"/>
  <c r="D140" i="225"/>
  <c r="C140" i="225"/>
  <c r="B140" i="225"/>
  <c r="D139" i="225"/>
  <c r="C139" i="225"/>
  <c r="B139" i="225"/>
  <c r="D138" i="225"/>
  <c r="C138" i="225"/>
  <c r="B138" i="225"/>
  <c r="D137" i="225"/>
  <c r="C137" i="225"/>
  <c r="B137" i="225"/>
  <c r="D136" i="225"/>
  <c r="C136" i="225"/>
  <c r="B136" i="225"/>
  <c r="D135" i="225"/>
  <c r="C135" i="225"/>
  <c r="B135" i="225"/>
  <c r="D134" i="225"/>
  <c r="C134" i="225"/>
  <c r="B134" i="225"/>
  <c r="D133" i="225"/>
  <c r="C133" i="225"/>
  <c r="B133" i="225"/>
  <c r="D132" i="225"/>
  <c r="C132" i="225"/>
  <c r="B132" i="225"/>
  <c r="D131" i="225"/>
  <c r="C131" i="225"/>
  <c r="B131" i="225"/>
  <c r="D130" i="225"/>
  <c r="C130" i="225"/>
  <c r="B130" i="225"/>
  <c r="D129" i="225"/>
  <c r="C129" i="225"/>
  <c r="B129" i="225"/>
  <c r="D128" i="225"/>
  <c r="C128" i="225"/>
  <c r="B128" i="225"/>
  <c r="D127" i="225"/>
  <c r="C127" i="225"/>
  <c r="B127" i="225"/>
  <c r="D126" i="225"/>
  <c r="C126" i="225"/>
  <c r="B126" i="225"/>
  <c r="D125" i="225"/>
  <c r="C125" i="225"/>
  <c r="B125" i="225"/>
  <c r="D124" i="225"/>
  <c r="C124" i="225"/>
  <c r="B124" i="225"/>
  <c r="D123" i="225"/>
  <c r="C123" i="225"/>
  <c r="B123" i="225"/>
  <c r="D122" i="225"/>
  <c r="C122" i="225"/>
  <c r="B122" i="225"/>
  <c r="D121" i="225"/>
  <c r="C121" i="225"/>
  <c r="B121" i="225"/>
  <c r="D120" i="225"/>
  <c r="C120" i="225"/>
  <c r="B120" i="225"/>
  <c r="D119" i="225"/>
  <c r="C119" i="225"/>
  <c r="B119" i="225"/>
  <c r="D118" i="225"/>
  <c r="C118" i="225"/>
  <c r="B118" i="225"/>
  <c r="D117" i="225"/>
  <c r="C117" i="225"/>
  <c r="B117" i="225"/>
  <c r="D116" i="225"/>
  <c r="C116" i="225"/>
  <c r="B116" i="225"/>
  <c r="D115" i="225"/>
  <c r="C115" i="225"/>
  <c r="B115" i="225"/>
  <c r="D114" i="225"/>
  <c r="C114" i="225"/>
  <c r="B114" i="225"/>
  <c r="D113" i="225"/>
  <c r="C113" i="225"/>
  <c r="B113" i="225"/>
  <c r="D112" i="225"/>
  <c r="C112" i="225"/>
  <c r="B112" i="225"/>
  <c r="D111" i="225"/>
  <c r="C111" i="225"/>
  <c r="B111" i="225"/>
  <c r="D110" i="225"/>
  <c r="C110" i="225"/>
  <c r="B110" i="225"/>
  <c r="D109" i="225"/>
  <c r="C109" i="225"/>
  <c r="B109" i="225"/>
  <c r="D108" i="225"/>
  <c r="C108" i="225"/>
  <c r="B108" i="225"/>
  <c r="D107" i="225"/>
  <c r="C107" i="225"/>
  <c r="B107" i="225"/>
  <c r="D106" i="225"/>
  <c r="C106" i="225"/>
  <c r="B106" i="225"/>
  <c r="A106" i="225"/>
  <c r="A107" i="225" s="1"/>
  <c r="A108" i="225" s="1"/>
  <c r="A109" i="225" s="1"/>
  <c r="A110" i="225" s="1"/>
  <c r="A111" i="225" s="1"/>
  <c r="A112" i="225" s="1"/>
  <c r="A113" i="225" s="1"/>
  <c r="A114" i="225" s="1"/>
  <c r="A115" i="225" s="1"/>
  <c r="A116" i="225" s="1"/>
  <c r="A117" i="225" s="1"/>
  <c r="A118" i="225" s="1"/>
  <c r="A119" i="225" s="1"/>
  <c r="A120" i="225" s="1"/>
  <c r="A121" i="225" s="1"/>
  <c r="A122" i="225" s="1"/>
  <c r="A123" i="225" s="1"/>
  <c r="A124" i="225" s="1"/>
  <c r="A125" i="225" s="1"/>
  <c r="A126" i="225" s="1"/>
  <c r="A127" i="225" s="1"/>
  <c r="A128" i="225" s="1"/>
  <c r="A129" i="225" s="1"/>
  <c r="A130" i="225" s="1"/>
  <c r="A131" i="225" s="1"/>
  <c r="A132" i="225" s="1"/>
  <c r="A133" i="225" s="1"/>
  <c r="A134" i="225" s="1"/>
  <c r="A135" i="225" s="1"/>
  <c r="A136" i="225" s="1"/>
  <c r="A137" i="225" s="1"/>
  <c r="A138" i="225" s="1"/>
  <c r="A139" i="225" s="1"/>
  <c r="A140" i="225" s="1"/>
  <c r="A141" i="225" s="1"/>
  <c r="A142" i="225" s="1"/>
  <c r="A143" i="225" s="1"/>
  <c r="A144" i="225" s="1"/>
  <c r="A145" i="225" s="1"/>
  <c r="A146" i="225" s="1"/>
  <c r="A147" i="225" s="1"/>
  <c r="A148" i="225" s="1"/>
  <c r="N103" i="225"/>
  <c r="J103" i="225"/>
  <c r="H103" i="225"/>
  <c r="J102" i="225"/>
  <c r="H102" i="225"/>
  <c r="J101" i="225"/>
  <c r="D100" i="225"/>
  <c r="C100" i="225"/>
  <c r="B100" i="225"/>
  <c r="D99" i="225"/>
  <c r="C99" i="225"/>
  <c r="B99" i="225"/>
  <c r="D98" i="225"/>
  <c r="C98" i="225"/>
  <c r="B98" i="225"/>
  <c r="D97" i="225"/>
  <c r="C97" i="225"/>
  <c r="B97" i="225"/>
  <c r="D96" i="225"/>
  <c r="C96" i="225"/>
  <c r="B96" i="225"/>
  <c r="D95" i="225"/>
  <c r="C95" i="225"/>
  <c r="B95" i="225"/>
  <c r="D94" i="225"/>
  <c r="C94" i="225"/>
  <c r="B94" i="225"/>
  <c r="D93" i="225"/>
  <c r="C93" i="225"/>
  <c r="B93" i="225"/>
  <c r="D92" i="225"/>
  <c r="C92" i="225"/>
  <c r="B92" i="225"/>
  <c r="D91" i="225"/>
  <c r="C91" i="225"/>
  <c r="B91" i="225"/>
  <c r="D90" i="225"/>
  <c r="C90" i="225"/>
  <c r="B90" i="225"/>
  <c r="D89" i="225"/>
  <c r="C89" i="225"/>
  <c r="B89" i="225"/>
  <c r="D88" i="225"/>
  <c r="C88" i="225"/>
  <c r="B88" i="225"/>
  <c r="D87" i="225"/>
  <c r="C87" i="225"/>
  <c r="B87" i="225"/>
  <c r="D86" i="225"/>
  <c r="C86" i="225"/>
  <c r="B86" i="225"/>
  <c r="D85" i="225"/>
  <c r="C85" i="225"/>
  <c r="B85" i="225"/>
  <c r="D84" i="225"/>
  <c r="C84" i="225"/>
  <c r="B84" i="225"/>
  <c r="D83" i="225"/>
  <c r="C83" i="225"/>
  <c r="B83" i="225"/>
  <c r="D82" i="225"/>
  <c r="C82" i="225"/>
  <c r="B82" i="225"/>
  <c r="D81" i="225"/>
  <c r="C81" i="225"/>
  <c r="B81" i="225"/>
  <c r="D80" i="225"/>
  <c r="C80" i="225"/>
  <c r="B80" i="225"/>
  <c r="D79" i="225"/>
  <c r="C79" i="225"/>
  <c r="B79" i="225"/>
  <c r="D78" i="225"/>
  <c r="C78" i="225"/>
  <c r="B78" i="225"/>
  <c r="D77" i="225"/>
  <c r="C77" i="225"/>
  <c r="B77" i="225"/>
  <c r="D76" i="225"/>
  <c r="C76" i="225"/>
  <c r="B76" i="225"/>
  <c r="D75" i="225"/>
  <c r="C75" i="225"/>
  <c r="B75" i="225"/>
  <c r="D74" i="225"/>
  <c r="C74" i="225"/>
  <c r="B74" i="225"/>
  <c r="D73" i="225"/>
  <c r="C73" i="225"/>
  <c r="B73" i="225"/>
  <c r="D72" i="225"/>
  <c r="C72" i="225"/>
  <c r="B72" i="225"/>
  <c r="D71" i="225"/>
  <c r="C71" i="225"/>
  <c r="B71" i="225"/>
  <c r="D70" i="225"/>
  <c r="C70" i="225"/>
  <c r="B70" i="225"/>
  <c r="D69" i="225"/>
  <c r="C69" i="225"/>
  <c r="B69" i="225"/>
  <c r="D68" i="225"/>
  <c r="C68" i="225"/>
  <c r="B68" i="225"/>
  <c r="D67" i="225"/>
  <c r="C67" i="225"/>
  <c r="B67" i="225"/>
  <c r="D66" i="225"/>
  <c r="C66" i="225"/>
  <c r="B66" i="225"/>
  <c r="D65" i="225"/>
  <c r="C65" i="225"/>
  <c r="B65" i="225"/>
  <c r="D64" i="225"/>
  <c r="C64" i="225"/>
  <c r="B64" i="225"/>
  <c r="D63" i="225"/>
  <c r="C63" i="225"/>
  <c r="B63" i="225"/>
  <c r="D62" i="225"/>
  <c r="C62" i="225"/>
  <c r="B62" i="225"/>
  <c r="D61" i="225"/>
  <c r="C61" i="225"/>
  <c r="B61" i="225"/>
  <c r="D60" i="225"/>
  <c r="C60" i="225"/>
  <c r="B60" i="225"/>
  <c r="D59" i="225"/>
  <c r="C59" i="225"/>
  <c r="B59" i="225"/>
  <c r="D58" i="225"/>
  <c r="C58" i="225"/>
  <c r="B58" i="225"/>
  <c r="D57" i="225"/>
  <c r="C57" i="225"/>
  <c r="B57" i="225"/>
  <c r="N54" i="225"/>
  <c r="J54" i="225"/>
  <c r="H54" i="225"/>
  <c r="J53" i="225"/>
  <c r="H53" i="225"/>
  <c r="J52" i="225"/>
  <c r="D21" i="225" a="1"/>
  <c r="D20" i="225" a="1"/>
  <c r="D19" i="225" a="1"/>
  <c r="D14" i="225" a="1"/>
  <c r="D54" i="225" s="1"/>
  <c r="D13" i="225" a="1"/>
  <c r="D12" i="225" a="1"/>
  <c r="D101" i="225" s="1"/>
  <c r="D10" i="225" a="1"/>
  <c r="D8" i="225"/>
  <c r="D7" i="225"/>
  <c r="D6" i="225"/>
  <c r="D5" i="225"/>
  <c r="N3" i="225"/>
  <c r="N1" i="225"/>
  <c r="G107" i="224"/>
  <c r="I107" i="224" s="1"/>
  <c r="G108" i="224"/>
  <c r="I108" i="224" s="1"/>
  <c r="G109" i="224"/>
  <c r="I109" i="224" s="1"/>
  <c r="G110" i="224"/>
  <c r="I110" i="224" s="1"/>
  <c r="G111" i="224"/>
  <c r="I111" i="224" s="1"/>
  <c r="G112" i="224"/>
  <c r="I112" i="224" s="1"/>
  <c r="G113" i="224"/>
  <c r="I113" i="224" s="1"/>
  <c r="G114" i="224"/>
  <c r="I114" i="224" s="1"/>
  <c r="G115" i="224"/>
  <c r="I115" i="224" s="1"/>
  <c r="G116" i="224"/>
  <c r="I116" i="224" s="1"/>
  <c r="G117" i="224"/>
  <c r="I117" i="224" s="1"/>
  <c r="G118" i="224"/>
  <c r="I118" i="224" s="1"/>
  <c r="G119" i="224"/>
  <c r="I119" i="224" s="1"/>
  <c r="G120" i="224"/>
  <c r="I120" i="224" s="1"/>
  <c r="G121" i="224"/>
  <c r="I121" i="224" s="1"/>
  <c r="G122" i="224"/>
  <c r="I122" i="224" s="1"/>
  <c r="G123" i="224"/>
  <c r="I123" i="224" s="1"/>
  <c r="G124" i="224"/>
  <c r="I124" i="224" s="1"/>
  <c r="G125" i="224"/>
  <c r="I125" i="224" s="1"/>
  <c r="G126" i="224"/>
  <c r="I126" i="224" s="1"/>
  <c r="G127" i="224"/>
  <c r="I127" i="224" s="1"/>
  <c r="G128" i="224"/>
  <c r="I128" i="224" s="1"/>
  <c r="G129" i="224"/>
  <c r="I129" i="224" s="1"/>
  <c r="G130" i="224"/>
  <c r="I130" i="224" s="1"/>
  <c r="G131" i="224"/>
  <c r="I131" i="224" s="1"/>
  <c r="G132" i="224"/>
  <c r="I132" i="224" s="1"/>
  <c r="G133" i="224"/>
  <c r="I133" i="224" s="1"/>
  <c r="G134" i="224"/>
  <c r="I134" i="224" s="1"/>
  <c r="G135" i="224"/>
  <c r="I135" i="224" s="1"/>
  <c r="G136" i="224"/>
  <c r="I136" i="224" s="1"/>
  <c r="G137" i="224"/>
  <c r="I137" i="224" s="1"/>
  <c r="G138" i="224"/>
  <c r="I138" i="224" s="1"/>
  <c r="G139" i="224"/>
  <c r="I139" i="224" s="1"/>
  <c r="G140" i="224"/>
  <c r="I140" i="224" s="1"/>
  <c r="G141" i="224"/>
  <c r="I141" i="224" s="1"/>
  <c r="G142" i="224"/>
  <c r="I142" i="224" s="1"/>
  <c r="G143" i="224"/>
  <c r="I143" i="224" s="1"/>
  <c r="G144" i="224"/>
  <c r="I144" i="224" s="1"/>
  <c r="G145" i="224"/>
  <c r="I145" i="224" s="1"/>
  <c r="G146" i="224"/>
  <c r="I146" i="224" s="1"/>
  <c r="G147" i="224"/>
  <c r="I147" i="224" s="1"/>
  <c r="G148" i="224"/>
  <c r="I148" i="224" s="1"/>
  <c r="G106" i="224"/>
  <c r="I106" i="224" s="1"/>
  <c r="G58" i="224"/>
  <c r="I58" i="224" s="1"/>
  <c r="G59" i="224"/>
  <c r="I59" i="224" s="1"/>
  <c r="G60" i="224"/>
  <c r="I60" i="224" s="1"/>
  <c r="G61" i="224"/>
  <c r="I61" i="224" s="1"/>
  <c r="G62" i="224"/>
  <c r="I62" i="224" s="1"/>
  <c r="G63" i="224"/>
  <c r="I63" i="224" s="1"/>
  <c r="G64" i="224"/>
  <c r="I64" i="224" s="1"/>
  <c r="G65" i="224"/>
  <c r="I65" i="224" s="1"/>
  <c r="G66" i="224"/>
  <c r="I66" i="224" s="1"/>
  <c r="G67" i="224"/>
  <c r="I67" i="224" s="1"/>
  <c r="G68" i="224"/>
  <c r="I68" i="224" s="1"/>
  <c r="G69" i="224"/>
  <c r="I69" i="224" s="1"/>
  <c r="G70" i="224"/>
  <c r="I70" i="224" s="1"/>
  <c r="G71" i="224"/>
  <c r="I71" i="224" s="1"/>
  <c r="G72" i="224"/>
  <c r="I72" i="224" s="1"/>
  <c r="G73" i="224"/>
  <c r="I73" i="224" s="1"/>
  <c r="G74" i="224"/>
  <c r="I74" i="224" s="1"/>
  <c r="G75" i="224"/>
  <c r="I75" i="224" s="1"/>
  <c r="G76" i="224"/>
  <c r="I76" i="224" s="1"/>
  <c r="G77" i="224"/>
  <c r="I77" i="224" s="1"/>
  <c r="G78" i="224"/>
  <c r="I78" i="224" s="1"/>
  <c r="G79" i="224"/>
  <c r="I79" i="224" s="1"/>
  <c r="G80" i="224"/>
  <c r="I80" i="224" s="1"/>
  <c r="G81" i="224"/>
  <c r="I81" i="224" s="1"/>
  <c r="G82" i="224"/>
  <c r="I82" i="224" s="1"/>
  <c r="G83" i="224"/>
  <c r="I83" i="224" s="1"/>
  <c r="G84" i="224"/>
  <c r="I84" i="224" s="1"/>
  <c r="G85" i="224"/>
  <c r="I85" i="224" s="1"/>
  <c r="G86" i="224"/>
  <c r="I86" i="224" s="1"/>
  <c r="G87" i="224"/>
  <c r="I87" i="224" s="1"/>
  <c r="G88" i="224"/>
  <c r="I88" i="224" s="1"/>
  <c r="G89" i="224"/>
  <c r="I89" i="224" s="1"/>
  <c r="G90" i="224"/>
  <c r="I90" i="224" s="1"/>
  <c r="G91" i="224"/>
  <c r="I91" i="224" s="1"/>
  <c r="G92" i="224"/>
  <c r="I92" i="224" s="1"/>
  <c r="G93" i="224"/>
  <c r="I93" i="224" s="1"/>
  <c r="G94" i="224"/>
  <c r="I94" i="224" s="1"/>
  <c r="G95" i="224"/>
  <c r="I95" i="224" s="1"/>
  <c r="G96" i="224"/>
  <c r="I96" i="224" s="1"/>
  <c r="G97" i="224"/>
  <c r="I97" i="224" s="1"/>
  <c r="G98" i="224"/>
  <c r="I98" i="224" s="1"/>
  <c r="G99" i="224"/>
  <c r="I99" i="224" s="1"/>
  <c r="G100" i="224"/>
  <c r="I100" i="224" s="1"/>
  <c r="G57" i="224"/>
  <c r="M149" i="224"/>
  <c r="H149" i="224"/>
  <c r="D148" i="224"/>
  <c r="C148" i="224"/>
  <c r="B148" i="224"/>
  <c r="D147" i="224"/>
  <c r="C147" i="224"/>
  <c r="B147" i="224"/>
  <c r="D146" i="224"/>
  <c r="C146" i="224"/>
  <c r="B146" i="224"/>
  <c r="D145" i="224"/>
  <c r="C145" i="224"/>
  <c r="B145" i="224"/>
  <c r="D144" i="224"/>
  <c r="C144" i="224"/>
  <c r="B144" i="224"/>
  <c r="D143" i="224"/>
  <c r="C143" i="224"/>
  <c r="B143" i="224"/>
  <c r="D142" i="224"/>
  <c r="C142" i="224"/>
  <c r="B142" i="224"/>
  <c r="D141" i="224"/>
  <c r="C141" i="224"/>
  <c r="B141" i="224"/>
  <c r="D140" i="224"/>
  <c r="C140" i="224"/>
  <c r="B140" i="224"/>
  <c r="D139" i="224"/>
  <c r="C139" i="224"/>
  <c r="B139" i="224"/>
  <c r="D138" i="224"/>
  <c r="C138" i="224"/>
  <c r="B138" i="224"/>
  <c r="D137" i="224"/>
  <c r="C137" i="224"/>
  <c r="B137" i="224"/>
  <c r="D136" i="224"/>
  <c r="C136" i="224"/>
  <c r="B136" i="224"/>
  <c r="D135" i="224"/>
  <c r="C135" i="224"/>
  <c r="B135" i="224"/>
  <c r="D134" i="224"/>
  <c r="C134" i="224"/>
  <c r="B134" i="224"/>
  <c r="D133" i="224"/>
  <c r="C133" i="224"/>
  <c r="B133" i="224"/>
  <c r="D132" i="224"/>
  <c r="C132" i="224"/>
  <c r="B132" i="224"/>
  <c r="D131" i="224"/>
  <c r="C131" i="224"/>
  <c r="B131" i="224"/>
  <c r="D130" i="224"/>
  <c r="C130" i="224"/>
  <c r="B130" i="224"/>
  <c r="D129" i="224"/>
  <c r="C129" i="224"/>
  <c r="B129" i="224"/>
  <c r="D128" i="224"/>
  <c r="C128" i="224"/>
  <c r="B128" i="224"/>
  <c r="D127" i="224"/>
  <c r="C127" i="224"/>
  <c r="B127" i="224"/>
  <c r="D126" i="224"/>
  <c r="C126" i="224"/>
  <c r="B126" i="224"/>
  <c r="D125" i="224"/>
  <c r="C125" i="224"/>
  <c r="B125" i="224"/>
  <c r="D124" i="224"/>
  <c r="C124" i="224"/>
  <c r="B124" i="224"/>
  <c r="D123" i="224"/>
  <c r="C123" i="224"/>
  <c r="B123" i="224"/>
  <c r="D122" i="224"/>
  <c r="C122" i="224"/>
  <c r="B122" i="224"/>
  <c r="D121" i="224"/>
  <c r="C121" i="224"/>
  <c r="B121" i="224"/>
  <c r="D120" i="224"/>
  <c r="C120" i="224"/>
  <c r="B120" i="224"/>
  <c r="D119" i="224"/>
  <c r="C119" i="224"/>
  <c r="B119" i="224"/>
  <c r="D118" i="224"/>
  <c r="C118" i="224"/>
  <c r="B118" i="224"/>
  <c r="D117" i="224"/>
  <c r="C117" i="224"/>
  <c r="B117" i="224"/>
  <c r="D116" i="224"/>
  <c r="C116" i="224"/>
  <c r="B116" i="224"/>
  <c r="D115" i="224"/>
  <c r="C115" i="224"/>
  <c r="B115" i="224"/>
  <c r="D114" i="224"/>
  <c r="C114" i="224"/>
  <c r="B114" i="224"/>
  <c r="D113" i="224"/>
  <c r="C113" i="224"/>
  <c r="B113" i="224"/>
  <c r="D112" i="224"/>
  <c r="C112" i="224"/>
  <c r="B112" i="224"/>
  <c r="D111" i="224"/>
  <c r="C111" i="224"/>
  <c r="B111" i="224"/>
  <c r="D110" i="224"/>
  <c r="C110" i="224"/>
  <c r="B110" i="224"/>
  <c r="D109" i="224"/>
  <c r="C109" i="224"/>
  <c r="B109" i="224"/>
  <c r="D108" i="224"/>
  <c r="C108" i="224"/>
  <c r="B108" i="224"/>
  <c r="D107" i="224"/>
  <c r="C107" i="224"/>
  <c r="B107" i="224"/>
  <c r="D106" i="224"/>
  <c r="C106" i="224"/>
  <c r="B106" i="224"/>
  <c r="A106" i="224"/>
  <c r="A107" i="224" s="1"/>
  <c r="A108" i="224" s="1"/>
  <c r="A109" i="224" s="1"/>
  <c r="A110" i="224" s="1"/>
  <c r="A111" i="224" s="1"/>
  <c r="A112" i="224" s="1"/>
  <c r="A113" i="224" s="1"/>
  <c r="A114" i="224" s="1"/>
  <c r="A115" i="224" s="1"/>
  <c r="A116" i="224" s="1"/>
  <c r="A117" i="224" s="1"/>
  <c r="A118" i="224" s="1"/>
  <c r="A119" i="224" s="1"/>
  <c r="A120" i="224" s="1"/>
  <c r="A121" i="224" s="1"/>
  <c r="A122" i="224" s="1"/>
  <c r="A123" i="224" s="1"/>
  <c r="A124" i="224" s="1"/>
  <c r="A125" i="224" s="1"/>
  <c r="A126" i="224" s="1"/>
  <c r="A127" i="224" s="1"/>
  <c r="A128" i="224" s="1"/>
  <c r="A129" i="224" s="1"/>
  <c r="A130" i="224" s="1"/>
  <c r="A131" i="224" s="1"/>
  <c r="A132" i="224" s="1"/>
  <c r="A133" i="224" s="1"/>
  <c r="A134" i="224" s="1"/>
  <c r="A135" i="224" s="1"/>
  <c r="A136" i="224" s="1"/>
  <c r="A137" i="224" s="1"/>
  <c r="A138" i="224" s="1"/>
  <c r="A139" i="224" s="1"/>
  <c r="A140" i="224" s="1"/>
  <c r="A141" i="224" s="1"/>
  <c r="A142" i="224" s="1"/>
  <c r="A143" i="224" s="1"/>
  <c r="A144" i="224" s="1"/>
  <c r="A145" i="224" s="1"/>
  <c r="A146" i="224" s="1"/>
  <c r="A147" i="224" s="1"/>
  <c r="A148" i="224" s="1"/>
  <c r="N103" i="224"/>
  <c r="J103" i="224"/>
  <c r="H103" i="224"/>
  <c r="J102" i="224"/>
  <c r="H102" i="224"/>
  <c r="J101" i="224"/>
  <c r="D100" i="224"/>
  <c r="C100" i="224"/>
  <c r="B100" i="224"/>
  <c r="D99" i="224"/>
  <c r="C99" i="224"/>
  <c r="B99" i="224"/>
  <c r="D98" i="224"/>
  <c r="C98" i="224"/>
  <c r="B98" i="224"/>
  <c r="D97" i="224"/>
  <c r="C97" i="224"/>
  <c r="B97" i="224"/>
  <c r="D96" i="224"/>
  <c r="C96" i="224"/>
  <c r="B96" i="224"/>
  <c r="D95" i="224"/>
  <c r="C95" i="224"/>
  <c r="B95" i="224"/>
  <c r="D94" i="224"/>
  <c r="C94" i="224"/>
  <c r="B94" i="224"/>
  <c r="D93" i="224"/>
  <c r="C93" i="224"/>
  <c r="B93" i="224"/>
  <c r="D92" i="224"/>
  <c r="C92" i="224"/>
  <c r="B92" i="224"/>
  <c r="D91" i="224"/>
  <c r="C91" i="224"/>
  <c r="B91" i="224"/>
  <c r="D90" i="224"/>
  <c r="C90" i="224"/>
  <c r="B90" i="224"/>
  <c r="D89" i="224"/>
  <c r="C89" i="224"/>
  <c r="B89" i="224"/>
  <c r="D88" i="224"/>
  <c r="C88" i="224"/>
  <c r="B88" i="224"/>
  <c r="D87" i="224"/>
  <c r="C87" i="224"/>
  <c r="B87" i="224"/>
  <c r="D86" i="224"/>
  <c r="C86" i="224"/>
  <c r="B86" i="224"/>
  <c r="D85" i="224"/>
  <c r="C85" i="224"/>
  <c r="B85" i="224"/>
  <c r="D84" i="224"/>
  <c r="C84" i="224"/>
  <c r="B84" i="224"/>
  <c r="D83" i="224"/>
  <c r="C83" i="224"/>
  <c r="B83" i="224"/>
  <c r="D82" i="224"/>
  <c r="C82" i="224"/>
  <c r="B82" i="224"/>
  <c r="D81" i="224"/>
  <c r="C81" i="224"/>
  <c r="B81" i="224"/>
  <c r="D80" i="224"/>
  <c r="C80" i="224"/>
  <c r="B80" i="224"/>
  <c r="D79" i="224"/>
  <c r="C79" i="224"/>
  <c r="B79" i="224"/>
  <c r="D78" i="224"/>
  <c r="C78" i="224"/>
  <c r="B78" i="224"/>
  <c r="D77" i="224"/>
  <c r="C77" i="224"/>
  <c r="B77" i="224"/>
  <c r="D76" i="224"/>
  <c r="C76" i="224"/>
  <c r="B76" i="224"/>
  <c r="D75" i="224"/>
  <c r="C75" i="224"/>
  <c r="B75" i="224"/>
  <c r="D74" i="224"/>
  <c r="C74" i="224"/>
  <c r="B74" i="224"/>
  <c r="D73" i="224"/>
  <c r="C73" i="224"/>
  <c r="B73" i="224"/>
  <c r="D72" i="224"/>
  <c r="C72" i="224"/>
  <c r="B72" i="224"/>
  <c r="D71" i="224"/>
  <c r="C71" i="224"/>
  <c r="B71" i="224"/>
  <c r="D70" i="224"/>
  <c r="C70" i="224"/>
  <c r="B70" i="224"/>
  <c r="D69" i="224"/>
  <c r="C69" i="224"/>
  <c r="B69" i="224"/>
  <c r="D68" i="224"/>
  <c r="C68" i="224"/>
  <c r="B68" i="224"/>
  <c r="D67" i="224"/>
  <c r="C67" i="224"/>
  <c r="B67" i="224"/>
  <c r="D66" i="224"/>
  <c r="C66" i="224"/>
  <c r="B66" i="224"/>
  <c r="D65" i="224"/>
  <c r="C65" i="224"/>
  <c r="B65" i="224"/>
  <c r="D64" i="224"/>
  <c r="C64" i="224"/>
  <c r="B64" i="224"/>
  <c r="D63" i="224"/>
  <c r="C63" i="224"/>
  <c r="B63" i="224"/>
  <c r="D62" i="224"/>
  <c r="C62" i="224"/>
  <c r="B62" i="224"/>
  <c r="D61" i="224"/>
  <c r="C61" i="224"/>
  <c r="B61" i="224"/>
  <c r="D60" i="224"/>
  <c r="C60" i="224"/>
  <c r="B60" i="224"/>
  <c r="D59" i="224"/>
  <c r="C59" i="224"/>
  <c r="B59" i="224"/>
  <c r="D58" i="224"/>
  <c r="C58" i="224"/>
  <c r="B58" i="224"/>
  <c r="D57" i="224"/>
  <c r="C57" i="224"/>
  <c r="B57" i="224"/>
  <c r="N54" i="224"/>
  <c r="J54" i="224"/>
  <c r="H54" i="224"/>
  <c r="J53" i="224"/>
  <c r="H53" i="224"/>
  <c r="J52" i="224"/>
  <c r="D21" i="224" a="1"/>
  <c r="D20" i="224" a="1"/>
  <c r="D19" i="224" a="1"/>
  <c r="D14" i="224" a="1"/>
  <c r="D54" i="224" s="1"/>
  <c r="D13" i="224" a="1"/>
  <c r="D12" i="224" a="1"/>
  <c r="D10" i="224" a="1"/>
  <c r="D8" i="224"/>
  <c r="D7" i="224"/>
  <c r="D6" i="224"/>
  <c r="D5" i="224"/>
  <c r="N3" i="224"/>
  <c r="N1" i="224"/>
  <c r="G107" i="223"/>
  <c r="I107" i="223" s="1"/>
  <c r="G108" i="223"/>
  <c r="I108" i="223" s="1"/>
  <c r="G109" i="223"/>
  <c r="I109" i="223" s="1"/>
  <c r="G110" i="223"/>
  <c r="I110" i="223" s="1"/>
  <c r="G111" i="223"/>
  <c r="I111" i="223" s="1"/>
  <c r="G112" i="223"/>
  <c r="I112" i="223" s="1"/>
  <c r="G113" i="223"/>
  <c r="I113" i="223" s="1"/>
  <c r="G114" i="223"/>
  <c r="I114" i="223" s="1"/>
  <c r="G115" i="223"/>
  <c r="I115" i="223" s="1"/>
  <c r="G116" i="223"/>
  <c r="I116" i="223" s="1"/>
  <c r="G117" i="223"/>
  <c r="I117" i="223" s="1"/>
  <c r="G118" i="223"/>
  <c r="I118" i="223" s="1"/>
  <c r="G119" i="223"/>
  <c r="I119" i="223" s="1"/>
  <c r="G120" i="223"/>
  <c r="I120" i="223" s="1"/>
  <c r="G121" i="223"/>
  <c r="I121" i="223" s="1"/>
  <c r="G122" i="223"/>
  <c r="I122" i="223" s="1"/>
  <c r="G123" i="223"/>
  <c r="I123" i="223" s="1"/>
  <c r="G124" i="223"/>
  <c r="I124" i="223" s="1"/>
  <c r="G125" i="223"/>
  <c r="I125" i="223" s="1"/>
  <c r="G126" i="223"/>
  <c r="I126" i="223" s="1"/>
  <c r="G127" i="223"/>
  <c r="I127" i="223" s="1"/>
  <c r="G128" i="223"/>
  <c r="I128" i="223" s="1"/>
  <c r="G129" i="223"/>
  <c r="I129" i="223" s="1"/>
  <c r="G130" i="223"/>
  <c r="I130" i="223" s="1"/>
  <c r="G131" i="223"/>
  <c r="I131" i="223" s="1"/>
  <c r="G132" i="223"/>
  <c r="I132" i="223" s="1"/>
  <c r="G133" i="223"/>
  <c r="I133" i="223" s="1"/>
  <c r="G134" i="223"/>
  <c r="I134" i="223" s="1"/>
  <c r="G135" i="223"/>
  <c r="I135" i="223" s="1"/>
  <c r="G136" i="223"/>
  <c r="I136" i="223" s="1"/>
  <c r="G137" i="223"/>
  <c r="I137" i="223" s="1"/>
  <c r="G138" i="223"/>
  <c r="I138" i="223" s="1"/>
  <c r="G139" i="223"/>
  <c r="I139" i="223" s="1"/>
  <c r="G140" i="223"/>
  <c r="I140" i="223" s="1"/>
  <c r="G141" i="223"/>
  <c r="I141" i="223" s="1"/>
  <c r="G142" i="223"/>
  <c r="I142" i="223" s="1"/>
  <c r="G143" i="223"/>
  <c r="I143" i="223" s="1"/>
  <c r="G144" i="223"/>
  <c r="I144" i="223" s="1"/>
  <c r="G145" i="223"/>
  <c r="I145" i="223" s="1"/>
  <c r="G146" i="223"/>
  <c r="I146" i="223" s="1"/>
  <c r="G147" i="223"/>
  <c r="I147" i="223" s="1"/>
  <c r="G148" i="223"/>
  <c r="I148" i="223" s="1"/>
  <c r="G106" i="223"/>
  <c r="I106" i="223" s="1"/>
  <c r="G58" i="223"/>
  <c r="I58" i="223" s="1"/>
  <c r="G59" i="223"/>
  <c r="I59" i="223" s="1"/>
  <c r="G60" i="223"/>
  <c r="I60" i="223" s="1"/>
  <c r="G61" i="223"/>
  <c r="I61" i="223" s="1"/>
  <c r="G62" i="223"/>
  <c r="G63" i="223"/>
  <c r="I63" i="223" s="1"/>
  <c r="G64" i="223"/>
  <c r="I64" i="223" s="1"/>
  <c r="G65" i="223"/>
  <c r="I65" i="223" s="1"/>
  <c r="G66" i="223"/>
  <c r="I66" i="223" s="1"/>
  <c r="G67" i="223"/>
  <c r="I67" i="223" s="1"/>
  <c r="G68" i="223"/>
  <c r="I68" i="223" s="1"/>
  <c r="G69" i="223"/>
  <c r="I69" i="223" s="1"/>
  <c r="G70" i="223"/>
  <c r="I70" i="223" s="1"/>
  <c r="G71" i="223"/>
  <c r="I71" i="223" s="1"/>
  <c r="G72" i="223"/>
  <c r="I72" i="223" s="1"/>
  <c r="G73" i="223"/>
  <c r="I73" i="223" s="1"/>
  <c r="G74" i="223"/>
  <c r="I74" i="223" s="1"/>
  <c r="G75" i="223"/>
  <c r="I75" i="223" s="1"/>
  <c r="G76" i="223"/>
  <c r="I76" i="223" s="1"/>
  <c r="G77" i="223"/>
  <c r="I77" i="223" s="1"/>
  <c r="G78" i="223"/>
  <c r="I78" i="223" s="1"/>
  <c r="G79" i="223"/>
  <c r="I79" i="223" s="1"/>
  <c r="G80" i="223"/>
  <c r="I80" i="223" s="1"/>
  <c r="G81" i="223"/>
  <c r="I81" i="223" s="1"/>
  <c r="G82" i="223"/>
  <c r="I82" i="223" s="1"/>
  <c r="G83" i="223"/>
  <c r="I83" i="223" s="1"/>
  <c r="G84" i="223"/>
  <c r="I84" i="223" s="1"/>
  <c r="G85" i="223"/>
  <c r="I85" i="223" s="1"/>
  <c r="G86" i="223"/>
  <c r="I86" i="223" s="1"/>
  <c r="G87" i="223"/>
  <c r="I87" i="223" s="1"/>
  <c r="G88" i="223"/>
  <c r="I88" i="223" s="1"/>
  <c r="G89" i="223"/>
  <c r="I89" i="223" s="1"/>
  <c r="G90" i="223"/>
  <c r="I90" i="223" s="1"/>
  <c r="G91" i="223"/>
  <c r="I91" i="223" s="1"/>
  <c r="G92" i="223"/>
  <c r="I92" i="223" s="1"/>
  <c r="G93" i="223"/>
  <c r="I93" i="223" s="1"/>
  <c r="G94" i="223"/>
  <c r="I94" i="223" s="1"/>
  <c r="G95" i="223"/>
  <c r="I95" i="223" s="1"/>
  <c r="G96" i="223"/>
  <c r="I96" i="223" s="1"/>
  <c r="G97" i="223"/>
  <c r="I97" i="223" s="1"/>
  <c r="G98" i="223"/>
  <c r="I98" i="223" s="1"/>
  <c r="G99" i="223"/>
  <c r="I99" i="223" s="1"/>
  <c r="G100" i="223"/>
  <c r="I100" i="223" s="1"/>
  <c r="G57" i="223"/>
  <c r="M149" i="223"/>
  <c r="H149" i="223"/>
  <c r="D148" i="223"/>
  <c r="C148" i="223"/>
  <c r="B148" i="223"/>
  <c r="D147" i="223"/>
  <c r="C147" i="223"/>
  <c r="B147" i="223"/>
  <c r="D146" i="223"/>
  <c r="C146" i="223"/>
  <c r="B146" i="223"/>
  <c r="D145" i="223"/>
  <c r="C145" i="223"/>
  <c r="B145" i="223"/>
  <c r="D144" i="223"/>
  <c r="C144" i="223"/>
  <c r="B144" i="223"/>
  <c r="D143" i="223"/>
  <c r="C143" i="223"/>
  <c r="B143" i="223"/>
  <c r="D142" i="223"/>
  <c r="C142" i="223"/>
  <c r="B142" i="223"/>
  <c r="D141" i="223"/>
  <c r="C141" i="223"/>
  <c r="B141" i="223"/>
  <c r="D140" i="223"/>
  <c r="C140" i="223"/>
  <c r="B140" i="223"/>
  <c r="D139" i="223"/>
  <c r="C139" i="223"/>
  <c r="B139" i="223"/>
  <c r="D138" i="223"/>
  <c r="C138" i="223"/>
  <c r="B138" i="223"/>
  <c r="D137" i="223"/>
  <c r="C137" i="223"/>
  <c r="B137" i="223"/>
  <c r="D136" i="223"/>
  <c r="C136" i="223"/>
  <c r="B136" i="223"/>
  <c r="D135" i="223"/>
  <c r="C135" i="223"/>
  <c r="B135" i="223"/>
  <c r="D134" i="223"/>
  <c r="C134" i="223"/>
  <c r="B134" i="223"/>
  <c r="D133" i="223"/>
  <c r="C133" i="223"/>
  <c r="B133" i="223"/>
  <c r="D132" i="223"/>
  <c r="C132" i="223"/>
  <c r="B132" i="223"/>
  <c r="D131" i="223"/>
  <c r="C131" i="223"/>
  <c r="B131" i="223"/>
  <c r="D130" i="223"/>
  <c r="C130" i="223"/>
  <c r="B130" i="223"/>
  <c r="D129" i="223"/>
  <c r="C129" i="223"/>
  <c r="B129" i="223"/>
  <c r="D128" i="223"/>
  <c r="C128" i="223"/>
  <c r="B128" i="223"/>
  <c r="D127" i="223"/>
  <c r="C127" i="223"/>
  <c r="B127" i="223"/>
  <c r="D126" i="223"/>
  <c r="C126" i="223"/>
  <c r="B126" i="223"/>
  <c r="D125" i="223"/>
  <c r="C125" i="223"/>
  <c r="B125" i="223"/>
  <c r="D124" i="223"/>
  <c r="C124" i="223"/>
  <c r="B124" i="223"/>
  <c r="D123" i="223"/>
  <c r="C123" i="223"/>
  <c r="B123" i="223"/>
  <c r="D122" i="223"/>
  <c r="C122" i="223"/>
  <c r="B122" i="223"/>
  <c r="D121" i="223"/>
  <c r="C121" i="223"/>
  <c r="B121" i="223"/>
  <c r="D120" i="223"/>
  <c r="C120" i="223"/>
  <c r="B120" i="223"/>
  <c r="D119" i="223"/>
  <c r="C119" i="223"/>
  <c r="B119" i="223"/>
  <c r="D118" i="223"/>
  <c r="C118" i="223"/>
  <c r="B118" i="223"/>
  <c r="D117" i="223"/>
  <c r="C117" i="223"/>
  <c r="B117" i="223"/>
  <c r="D116" i="223"/>
  <c r="C116" i="223"/>
  <c r="B116" i="223"/>
  <c r="D115" i="223"/>
  <c r="C115" i="223"/>
  <c r="B115" i="223"/>
  <c r="D114" i="223"/>
  <c r="C114" i="223"/>
  <c r="B114" i="223"/>
  <c r="D113" i="223"/>
  <c r="C113" i="223"/>
  <c r="B113" i="223"/>
  <c r="D112" i="223"/>
  <c r="C112" i="223"/>
  <c r="B112" i="223"/>
  <c r="D111" i="223"/>
  <c r="C111" i="223"/>
  <c r="B111" i="223"/>
  <c r="D110" i="223"/>
  <c r="C110" i="223"/>
  <c r="B110" i="223"/>
  <c r="D109" i="223"/>
  <c r="C109" i="223"/>
  <c r="B109" i="223"/>
  <c r="D108" i="223"/>
  <c r="C108" i="223"/>
  <c r="B108" i="223"/>
  <c r="D107" i="223"/>
  <c r="C107" i="223"/>
  <c r="B107" i="223"/>
  <c r="D106" i="223"/>
  <c r="C106" i="223"/>
  <c r="B106" i="223"/>
  <c r="A106" i="223"/>
  <c r="A107" i="223" s="1"/>
  <c r="A108" i="223" s="1"/>
  <c r="A109" i="223" s="1"/>
  <c r="A110" i="223" s="1"/>
  <c r="A111" i="223" s="1"/>
  <c r="A112" i="223" s="1"/>
  <c r="A113" i="223" s="1"/>
  <c r="A114" i="223" s="1"/>
  <c r="A115" i="223" s="1"/>
  <c r="A116" i="223" s="1"/>
  <c r="A117" i="223" s="1"/>
  <c r="A118" i="223" s="1"/>
  <c r="A119" i="223" s="1"/>
  <c r="A120" i="223" s="1"/>
  <c r="A121" i="223" s="1"/>
  <c r="A122" i="223" s="1"/>
  <c r="A123" i="223" s="1"/>
  <c r="A124" i="223" s="1"/>
  <c r="A125" i="223" s="1"/>
  <c r="A126" i="223" s="1"/>
  <c r="A127" i="223" s="1"/>
  <c r="A128" i="223" s="1"/>
  <c r="A129" i="223" s="1"/>
  <c r="A130" i="223" s="1"/>
  <c r="A131" i="223" s="1"/>
  <c r="A132" i="223" s="1"/>
  <c r="A133" i="223" s="1"/>
  <c r="A134" i="223" s="1"/>
  <c r="A135" i="223" s="1"/>
  <c r="A136" i="223" s="1"/>
  <c r="A137" i="223" s="1"/>
  <c r="A138" i="223" s="1"/>
  <c r="A139" i="223" s="1"/>
  <c r="A140" i="223" s="1"/>
  <c r="A141" i="223" s="1"/>
  <c r="A142" i="223" s="1"/>
  <c r="A143" i="223" s="1"/>
  <c r="A144" i="223" s="1"/>
  <c r="A145" i="223" s="1"/>
  <c r="A146" i="223" s="1"/>
  <c r="A147" i="223" s="1"/>
  <c r="A148" i="223" s="1"/>
  <c r="N103" i="223"/>
  <c r="J103" i="223"/>
  <c r="H103" i="223"/>
  <c r="J102" i="223"/>
  <c r="H102" i="223"/>
  <c r="J101" i="223"/>
  <c r="D100" i="223"/>
  <c r="C100" i="223"/>
  <c r="B100" i="223"/>
  <c r="D99" i="223"/>
  <c r="C99" i="223"/>
  <c r="B99" i="223"/>
  <c r="D98" i="223"/>
  <c r="C98" i="223"/>
  <c r="B98" i="223"/>
  <c r="D97" i="223"/>
  <c r="C97" i="223"/>
  <c r="B97" i="223"/>
  <c r="D96" i="223"/>
  <c r="C96" i="223"/>
  <c r="B96" i="223"/>
  <c r="D95" i="223"/>
  <c r="C95" i="223"/>
  <c r="B95" i="223"/>
  <c r="D94" i="223"/>
  <c r="C94" i="223"/>
  <c r="B94" i="223"/>
  <c r="D93" i="223"/>
  <c r="C93" i="223"/>
  <c r="B93" i="223"/>
  <c r="D92" i="223"/>
  <c r="C92" i="223"/>
  <c r="B92" i="223"/>
  <c r="D91" i="223"/>
  <c r="C91" i="223"/>
  <c r="B91" i="223"/>
  <c r="D90" i="223"/>
  <c r="C90" i="223"/>
  <c r="B90" i="223"/>
  <c r="D89" i="223"/>
  <c r="C89" i="223"/>
  <c r="B89" i="223"/>
  <c r="D88" i="223"/>
  <c r="C88" i="223"/>
  <c r="B88" i="223"/>
  <c r="D87" i="223"/>
  <c r="C87" i="223"/>
  <c r="B87" i="223"/>
  <c r="D86" i="223"/>
  <c r="C86" i="223"/>
  <c r="B86" i="223"/>
  <c r="D85" i="223"/>
  <c r="C85" i="223"/>
  <c r="B85" i="223"/>
  <c r="D84" i="223"/>
  <c r="C84" i="223"/>
  <c r="B84" i="223"/>
  <c r="D83" i="223"/>
  <c r="C83" i="223"/>
  <c r="B83" i="223"/>
  <c r="D82" i="223"/>
  <c r="C82" i="223"/>
  <c r="B82" i="223"/>
  <c r="D81" i="223"/>
  <c r="C81" i="223"/>
  <c r="B81" i="223"/>
  <c r="D80" i="223"/>
  <c r="C80" i="223"/>
  <c r="B80" i="223"/>
  <c r="D79" i="223"/>
  <c r="C79" i="223"/>
  <c r="B79" i="223"/>
  <c r="D78" i="223"/>
  <c r="C78" i="223"/>
  <c r="B78" i="223"/>
  <c r="D77" i="223"/>
  <c r="C77" i="223"/>
  <c r="B77" i="223"/>
  <c r="D76" i="223"/>
  <c r="C76" i="223"/>
  <c r="B76" i="223"/>
  <c r="D75" i="223"/>
  <c r="C75" i="223"/>
  <c r="B75" i="223"/>
  <c r="D74" i="223"/>
  <c r="C74" i="223"/>
  <c r="B74" i="223"/>
  <c r="D73" i="223"/>
  <c r="C73" i="223"/>
  <c r="B73" i="223"/>
  <c r="D72" i="223"/>
  <c r="C72" i="223"/>
  <c r="B72" i="223"/>
  <c r="D71" i="223"/>
  <c r="C71" i="223"/>
  <c r="B71" i="223"/>
  <c r="D70" i="223"/>
  <c r="C70" i="223"/>
  <c r="B70" i="223"/>
  <c r="D69" i="223"/>
  <c r="C69" i="223"/>
  <c r="B69" i="223"/>
  <c r="D68" i="223"/>
  <c r="C68" i="223"/>
  <c r="B68" i="223"/>
  <c r="D67" i="223"/>
  <c r="C67" i="223"/>
  <c r="B67" i="223"/>
  <c r="D66" i="223"/>
  <c r="C66" i="223"/>
  <c r="B66" i="223"/>
  <c r="D65" i="223"/>
  <c r="C65" i="223"/>
  <c r="B65" i="223"/>
  <c r="D64" i="223"/>
  <c r="C64" i="223"/>
  <c r="B64" i="223"/>
  <c r="D63" i="223"/>
  <c r="C63" i="223"/>
  <c r="B63" i="223"/>
  <c r="D62" i="223"/>
  <c r="C62" i="223"/>
  <c r="B62" i="223"/>
  <c r="D61" i="223"/>
  <c r="C61" i="223"/>
  <c r="B61" i="223"/>
  <c r="D60" i="223"/>
  <c r="C60" i="223"/>
  <c r="B60" i="223"/>
  <c r="D59" i="223"/>
  <c r="C59" i="223"/>
  <c r="B59" i="223"/>
  <c r="D58" i="223"/>
  <c r="C58" i="223"/>
  <c r="B58" i="223"/>
  <c r="D57" i="223"/>
  <c r="C57" i="223"/>
  <c r="B57" i="223"/>
  <c r="N54" i="223"/>
  <c r="J54" i="223"/>
  <c r="H54" i="223"/>
  <c r="J53" i="223"/>
  <c r="H53" i="223"/>
  <c r="J52" i="223"/>
  <c r="D21" i="223" a="1"/>
  <c r="D20" i="223" a="1"/>
  <c r="D19" i="223" a="1"/>
  <c r="D14" i="223" a="1"/>
  <c r="D54" i="223" s="1"/>
  <c r="D13" i="223" a="1"/>
  <c r="D12" i="223" a="1"/>
  <c r="D10" i="223" a="1"/>
  <c r="D8" i="223"/>
  <c r="D7" i="223"/>
  <c r="D6" i="223"/>
  <c r="D5" i="223"/>
  <c r="N3" i="223"/>
  <c r="N1" i="223"/>
  <c r="G107" i="222"/>
  <c r="I107" i="222" s="1"/>
  <c r="G108" i="222"/>
  <c r="I108" i="222" s="1"/>
  <c r="G109" i="222"/>
  <c r="I109" i="222" s="1"/>
  <c r="G110" i="222"/>
  <c r="I110" i="222" s="1"/>
  <c r="G111" i="222"/>
  <c r="I111" i="222" s="1"/>
  <c r="G112" i="222"/>
  <c r="I112" i="222" s="1"/>
  <c r="G113" i="222"/>
  <c r="I113" i="222" s="1"/>
  <c r="G114" i="222"/>
  <c r="I114" i="222" s="1"/>
  <c r="G115" i="222"/>
  <c r="I115" i="222" s="1"/>
  <c r="G116" i="222"/>
  <c r="I116" i="222" s="1"/>
  <c r="G117" i="222"/>
  <c r="I117" i="222" s="1"/>
  <c r="G118" i="222"/>
  <c r="I118" i="222" s="1"/>
  <c r="G119" i="222"/>
  <c r="I119" i="222" s="1"/>
  <c r="G120" i="222"/>
  <c r="I120" i="222" s="1"/>
  <c r="G121" i="222"/>
  <c r="I121" i="222" s="1"/>
  <c r="G122" i="222"/>
  <c r="I122" i="222" s="1"/>
  <c r="G123" i="222"/>
  <c r="I123" i="222" s="1"/>
  <c r="G124" i="222"/>
  <c r="I124" i="222" s="1"/>
  <c r="G125" i="222"/>
  <c r="I125" i="222" s="1"/>
  <c r="G126" i="222"/>
  <c r="I126" i="222" s="1"/>
  <c r="G127" i="222"/>
  <c r="I127" i="222" s="1"/>
  <c r="G128" i="222"/>
  <c r="I128" i="222" s="1"/>
  <c r="G129" i="222"/>
  <c r="I129" i="222" s="1"/>
  <c r="G130" i="222"/>
  <c r="I130" i="222" s="1"/>
  <c r="G131" i="222"/>
  <c r="I131" i="222" s="1"/>
  <c r="G132" i="222"/>
  <c r="I132" i="222" s="1"/>
  <c r="G133" i="222"/>
  <c r="I133" i="222" s="1"/>
  <c r="G134" i="222"/>
  <c r="I134" i="222" s="1"/>
  <c r="G135" i="222"/>
  <c r="I135" i="222" s="1"/>
  <c r="G136" i="222"/>
  <c r="I136" i="222" s="1"/>
  <c r="G137" i="222"/>
  <c r="I137" i="222" s="1"/>
  <c r="G138" i="222"/>
  <c r="I138" i="222" s="1"/>
  <c r="G139" i="222"/>
  <c r="I139" i="222" s="1"/>
  <c r="G140" i="222"/>
  <c r="I140" i="222" s="1"/>
  <c r="G141" i="222"/>
  <c r="I141" i="222" s="1"/>
  <c r="G142" i="222"/>
  <c r="I142" i="222" s="1"/>
  <c r="G143" i="222"/>
  <c r="I143" i="222" s="1"/>
  <c r="G144" i="222"/>
  <c r="I144" i="222" s="1"/>
  <c r="G145" i="222"/>
  <c r="I145" i="222" s="1"/>
  <c r="G146" i="222"/>
  <c r="I146" i="222" s="1"/>
  <c r="G147" i="222"/>
  <c r="I147" i="222" s="1"/>
  <c r="G148" i="222"/>
  <c r="I148" i="222" s="1"/>
  <c r="G106" i="222"/>
  <c r="I106" i="222" s="1"/>
  <c r="G58" i="222"/>
  <c r="I58" i="222" s="1"/>
  <c r="G59" i="222"/>
  <c r="I59" i="222" s="1"/>
  <c r="G60" i="222"/>
  <c r="I60" i="222" s="1"/>
  <c r="G61" i="222"/>
  <c r="I61" i="222" s="1"/>
  <c r="G62" i="222"/>
  <c r="I62" i="222" s="1"/>
  <c r="G63" i="222"/>
  <c r="I63" i="222" s="1"/>
  <c r="G64" i="222"/>
  <c r="I64" i="222" s="1"/>
  <c r="G65" i="222"/>
  <c r="I65" i="222" s="1"/>
  <c r="G66" i="222"/>
  <c r="I66" i="222" s="1"/>
  <c r="G67" i="222"/>
  <c r="I67" i="222" s="1"/>
  <c r="G68" i="222"/>
  <c r="I68" i="222" s="1"/>
  <c r="G69" i="222"/>
  <c r="I69" i="222" s="1"/>
  <c r="G70" i="222"/>
  <c r="I70" i="222" s="1"/>
  <c r="G71" i="222"/>
  <c r="I71" i="222" s="1"/>
  <c r="G72" i="222"/>
  <c r="I72" i="222" s="1"/>
  <c r="G73" i="222"/>
  <c r="G74" i="222"/>
  <c r="I74" i="222" s="1"/>
  <c r="G75" i="222"/>
  <c r="I75" i="222" s="1"/>
  <c r="G76" i="222"/>
  <c r="I76" i="222" s="1"/>
  <c r="G77" i="222"/>
  <c r="I77" i="222" s="1"/>
  <c r="G78" i="222"/>
  <c r="I78" i="222" s="1"/>
  <c r="G79" i="222"/>
  <c r="I79" i="222" s="1"/>
  <c r="G80" i="222"/>
  <c r="I80" i="222" s="1"/>
  <c r="G81" i="222"/>
  <c r="I81" i="222" s="1"/>
  <c r="G82" i="222"/>
  <c r="I82" i="222" s="1"/>
  <c r="G83" i="222"/>
  <c r="I83" i="222" s="1"/>
  <c r="G84" i="222"/>
  <c r="I84" i="222" s="1"/>
  <c r="G85" i="222"/>
  <c r="I85" i="222" s="1"/>
  <c r="G86" i="222"/>
  <c r="I86" i="222" s="1"/>
  <c r="G87" i="222"/>
  <c r="I87" i="222" s="1"/>
  <c r="G88" i="222"/>
  <c r="I88" i="222" s="1"/>
  <c r="G89" i="222"/>
  <c r="I89" i="222" s="1"/>
  <c r="G90" i="222"/>
  <c r="I90" i="222" s="1"/>
  <c r="G91" i="222"/>
  <c r="I91" i="222" s="1"/>
  <c r="G92" i="222"/>
  <c r="I92" i="222" s="1"/>
  <c r="G93" i="222"/>
  <c r="I93" i="222" s="1"/>
  <c r="G94" i="222"/>
  <c r="I94" i="222" s="1"/>
  <c r="G95" i="222"/>
  <c r="I95" i="222" s="1"/>
  <c r="G96" i="222"/>
  <c r="I96" i="222" s="1"/>
  <c r="G97" i="222"/>
  <c r="I97" i="222" s="1"/>
  <c r="G98" i="222"/>
  <c r="I98" i="222" s="1"/>
  <c r="G99" i="222"/>
  <c r="I99" i="222" s="1"/>
  <c r="G100" i="222"/>
  <c r="I100" i="222" s="1"/>
  <c r="G57" i="222"/>
  <c r="M149" i="222"/>
  <c r="H149" i="222"/>
  <c r="D148" i="222"/>
  <c r="C148" i="222"/>
  <c r="B148" i="222"/>
  <c r="D147" i="222"/>
  <c r="C147" i="222"/>
  <c r="B147" i="222"/>
  <c r="D146" i="222"/>
  <c r="C146" i="222"/>
  <c r="B146" i="222"/>
  <c r="D145" i="222"/>
  <c r="C145" i="222"/>
  <c r="B145" i="222"/>
  <c r="D144" i="222"/>
  <c r="C144" i="222"/>
  <c r="B144" i="222"/>
  <c r="D143" i="222"/>
  <c r="C143" i="222"/>
  <c r="B143" i="222"/>
  <c r="D142" i="222"/>
  <c r="C142" i="222"/>
  <c r="B142" i="222"/>
  <c r="D141" i="222"/>
  <c r="C141" i="222"/>
  <c r="B141" i="222"/>
  <c r="D140" i="222"/>
  <c r="C140" i="222"/>
  <c r="B140" i="222"/>
  <c r="D139" i="222"/>
  <c r="C139" i="222"/>
  <c r="B139" i="222"/>
  <c r="D138" i="222"/>
  <c r="C138" i="222"/>
  <c r="B138" i="222"/>
  <c r="D137" i="222"/>
  <c r="C137" i="222"/>
  <c r="B137" i="222"/>
  <c r="D136" i="222"/>
  <c r="C136" i="222"/>
  <c r="B136" i="222"/>
  <c r="D135" i="222"/>
  <c r="C135" i="222"/>
  <c r="B135" i="222"/>
  <c r="D134" i="222"/>
  <c r="C134" i="222"/>
  <c r="B134" i="222"/>
  <c r="D133" i="222"/>
  <c r="C133" i="222"/>
  <c r="B133" i="222"/>
  <c r="D132" i="222"/>
  <c r="C132" i="222"/>
  <c r="B132" i="222"/>
  <c r="D131" i="222"/>
  <c r="C131" i="222"/>
  <c r="B131" i="222"/>
  <c r="D130" i="222"/>
  <c r="C130" i="222"/>
  <c r="B130" i="222"/>
  <c r="D129" i="222"/>
  <c r="C129" i="222"/>
  <c r="B129" i="222"/>
  <c r="D128" i="222"/>
  <c r="C128" i="222"/>
  <c r="B128" i="222"/>
  <c r="D127" i="222"/>
  <c r="C127" i="222"/>
  <c r="B127" i="222"/>
  <c r="D126" i="222"/>
  <c r="C126" i="222"/>
  <c r="B126" i="222"/>
  <c r="D125" i="222"/>
  <c r="C125" i="222"/>
  <c r="B125" i="222"/>
  <c r="D124" i="222"/>
  <c r="C124" i="222"/>
  <c r="B124" i="222"/>
  <c r="D123" i="222"/>
  <c r="C123" i="222"/>
  <c r="B123" i="222"/>
  <c r="D122" i="222"/>
  <c r="C122" i="222"/>
  <c r="B122" i="222"/>
  <c r="D121" i="222"/>
  <c r="C121" i="222"/>
  <c r="B121" i="222"/>
  <c r="D120" i="222"/>
  <c r="C120" i="222"/>
  <c r="B120" i="222"/>
  <c r="D119" i="222"/>
  <c r="C119" i="222"/>
  <c r="B119" i="222"/>
  <c r="D118" i="222"/>
  <c r="C118" i="222"/>
  <c r="B118" i="222"/>
  <c r="D117" i="222"/>
  <c r="C117" i="222"/>
  <c r="B117" i="222"/>
  <c r="D116" i="222"/>
  <c r="C116" i="222"/>
  <c r="B116" i="222"/>
  <c r="D115" i="222"/>
  <c r="C115" i="222"/>
  <c r="B115" i="222"/>
  <c r="D114" i="222"/>
  <c r="C114" i="222"/>
  <c r="B114" i="222"/>
  <c r="D113" i="222"/>
  <c r="C113" i="222"/>
  <c r="B113" i="222"/>
  <c r="D112" i="222"/>
  <c r="C112" i="222"/>
  <c r="B112" i="222"/>
  <c r="D111" i="222"/>
  <c r="C111" i="222"/>
  <c r="B111" i="222"/>
  <c r="D110" i="222"/>
  <c r="C110" i="222"/>
  <c r="B110" i="222"/>
  <c r="D109" i="222"/>
  <c r="C109" i="222"/>
  <c r="B109" i="222"/>
  <c r="D108" i="222"/>
  <c r="C108" i="222"/>
  <c r="B108" i="222"/>
  <c r="D107" i="222"/>
  <c r="C107" i="222"/>
  <c r="B107" i="222"/>
  <c r="D106" i="222"/>
  <c r="C106" i="222"/>
  <c r="B106" i="222"/>
  <c r="A106" i="222"/>
  <c r="A107" i="222" s="1"/>
  <c r="A108" i="222" s="1"/>
  <c r="A109" i="222" s="1"/>
  <c r="A110" i="222" s="1"/>
  <c r="A111" i="222" s="1"/>
  <c r="A112" i="222" s="1"/>
  <c r="A113" i="222" s="1"/>
  <c r="A114" i="222" s="1"/>
  <c r="A115" i="222" s="1"/>
  <c r="A116" i="222" s="1"/>
  <c r="A117" i="222" s="1"/>
  <c r="A118" i="222" s="1"/>
  <c r="A119" i="222" s="1"/>
  <c r="A120" i="222" s="1"/>
  <c r="A121" i="222" s="1"/>
  <c r="A122" i="222" s="1"/>
  <c r="A123" i="222" s="1"/>
  <c r="A124" i="222" s="1"/>
  <c r="A125" i="222" s="1"/>
  <c r="A126" i="222" s="1"/>
  <c r="A127" i="222" s="1"/>
  <c r="A128" i="222" s="1"/>
  <c r="A129" i="222" s="1"/>
  <c r="A130" i="222" s="1"/>
  <c r="A131" i="222" s="1"/>
  <c r="A132" i="222" s="1"/>
  <c r="A133" i="222" s="1"/>
  <c r="A134" i="222" s="1"/>
  <c r="A135" i="222" s="1"/>
  <c r="A136" i="222" s="1"/>
  <c r="A137" i="222" s="1"/>
  <c r="A138" i="222" s="1"/>
  <c r="A139" i="222" s="1"/>
  <c r="A140" i="222" s="1"/>
  <c r="A141" i="222" s="1"/>
  <c r="A142" i="222" s="1"/>
  <c r="A143" i="222" s="1"/>
  <c r="A144" i="222" s="1"/>
  <c r="A145" i="222" s="1"/>
  <c r="A146" i="222" s="1"/>
  <c r="A147" i="222" s="1"/>
  <c r="A148" i="222" s="1"/>
  <c r="N103" i="222"/>
  <c r="J103" i="222"/>
  <c r="H103" i="222"/>
  <c r="J102" i="222"/>
  <c r="H102" i="222"/>
  <c r="J101" i="222"/>
  <c r="D100" i="222"/>
  <c r="C100" i="222"/>
  <c r="B100" i="222"/>
  <c r="D99" i="222"/>
  <c r="C99" i="222"/>
  <c r="B99" i="222"/>
  <c r="D98" i="222"/>
  <c r="C98" i="222"/>
  <c r="B98" i="222"/>
  <c r="D97" i="222"/>
  <c r="C97" i="222"/>
  <c r="B97" i="222"/>
  <c r="D96" i="222"/>
  <c r="C96" i="222"/>
  <c r="B96" i="222"/>
  <c r="D95" i="222"/>
  <c r="C95" i="222"/>
  <c r="B95" i="222"/>
  <c r="D94" i="222"/>
  <c r="C94" i="222"/>
  <c r="B94" i="222"/>
  <c r="D93" i="222"/>
  <c r="C93" i="222"/>
  <c r="B93" i="222"/>
  <c r="D92" i="222"/>
  <c r="C92" i="222"/>
  <c r="B92" i="222"/>
  <c r="D91" i="222"/>
  <c r="C91" i="222"/>
  <c r="B91" i="222"/>
  <c r="D90" i="222"/>
  <c r="C90" i="222"/>
  <c r="B90" i="222"/>
  <c r="D89" i="222"/>
  <c r="C89" i="222"/>
  <c r="B89" i="222"/>
  <c r="D88" i="222"/>
  <c r="C88" i="222"/>
  <c r="B88" i="222"/>
  <c r="D87" i="222"/>
  <c r="C87" i="222"/>
  <c r="B87" i="222"/>
  <c r="D86" i="222"/>
  <c r="C86" i="222"/>
  <c r="B86" i="222"/>
  <c r="D85" i="222"/>
  <c r="C85" i="222"/>
  <c r="B85" i="222"/>
  <c r="D84" i="222"/>
  <c r="C84" i="222"/>
  <c r="B84" i="222"/>
  <c r="D83" i="222"/>
  <c r="C83" i="222"/>
  <c r="B83" i="222"/>
  <c r="D82" i="222"/>
  <c r="C82" i="222"/>
  <c r="B82" i="222"/>
  <c r="D81" i="222"/>
  <c r="C81" i="222"/>
  <c r="B81" i="222"/>
  <c r="D80" i="222"/>
  <c r="C80" i="222"/>
  <c r="B80" i="222"/>
  <c r="D79" i="222"/>
  <c r="C79" i="222"/>
  <c r="B79" i="222"/>
  <c r="D78" i="222"/>
  <c r="C78" i="222"/>
  <c r="B78" i="222"/>
  <c r="D77" i="222"/>
  <c r="C77" i="222"/>
  <c r="B77" i="222"/>
  <c r="D76" i="222"/>
  <c r="C76" i="222"/>
  <c r="B76" i="222"/>
  <c r="D75" i="222"/>
  <c r="C75" i="222"/>
  <c r="B75" i="222"/>
  <c r="D74" i="222"/>
  <c r="C74" i="222"/>
  <c r="B74" i="222"/>
  <c r="D73" i="222"/>
  <c r="C73" i="222"/>
  <c r="B73" i="222"/>
  <c r="D72" i="222"/>
  <c r="C72" i="222"/>
  <c r="B72" i="222"/>
  <c r="D71" i="222"/>
  <c r="C71" i="222"/>
  <c r="B71" i="222"/>
  <c r="D70" i="222"/>
  <c r="C70" i="222"/>
  <c r="B70" i="222"/>
  <c r="D69" i="222"/>
  <c r="C69" i="222"/>
  <c r="B69" i="222"/>
  <c r="D68" i="222"/>
  <c r="C68" i="222"/>
  <c r="B68" i="222"/>
  <c r="D67" i="222"/>
  <c r="C67" i="222"/>
  <c r="B67" i="222"/>
  <c r="D66" i="222"/>
  <c r="C66" i="222"/>
  <c r="B66" i="222"/>
  <c r="D65" i="222"/>
  <c r="C65" i="222"/>
  <c r="B65" i="222"/>
  <c r="D64" i="222"/>
  <c r="C64" i="222"/>
  <c r="B64" i="222"/>
  <c r="D63" i="222"/>
  <c r="C63" i="222"/>
  <c r="B63" i="222"/>
  <c r="D62" i="222"/>
  <c r="C62" i="222"/>
  <c r="B62" i="222"/>
  <c r="D61" i="222"/>
  <c r="C61" i="222"/>
  <c r="B61" i="222"/>
  <c r="D60" i="222"/>
  <c r="C60" i="222"/>
  <c r="B60" i="222"/>
  <c r="D59" i="222"/>
  <c r="C59" i="222"/>
  <c r="B59" i="222"/>
  <c r="D58" i="222"/>
  <c r="C58" i="222"/>
  <c r="B58" i="222"/>
  <c r="D57" i="222"/>
  <c r="C57" i="222"/>
  <c r="B57" i="222"/>
  <c r="N54" i="222"/>
  <c r="J54" i="222"/>
  <c r="H54" i="222"/>
  <c r="J53" i="222"/>
  <c r="H53" i="222"/>
  <c r="J52" i="222"/>
  <c r="D21" i="222" a="1"/>
  <c r="D20" i="222" a="1"/>
  <c r="D19" i="222" a="1"/>
  <c r="D14" i="222" a="1"/>
  <c r="D103" i="222" s="1"/>
  <c r="D13" i="222" a="1"/>
  <c r="D12" i="222" a="1"/>
  <c r="D101" i="222" s="1"/>
  <c r="D10" i="222" a="1"/>
  <c r="D8" i="222"/>
  <c r="D7" i="222"/>
  <c r="D6" i="222"/>
  <c r="D5" i="222"/>
  <c r="N3" i="222"/>
  <c r="N1" i="222"/>
  <c r="G107" i="221"/>
  <c r="I107" i="221" s="1"/>
  <c r="G108" i="221"/>
  <c r="I108" i="221" s="1"/>
  <c r="G109" i="221"/>
  <c r="I109" i="221" s="1"/>
  <c r="G110" i="221"/>
  <c r="I110" i="221" s="1"/>
  <c r="G111" i="221"/>
  <c r="I111" i="221" s="1"/>
  <c r="G112" i="221"/>
  <c r="I112" i="221" s="1"/>
  <c r="G113" i="221"/>
  <c r="I113" i="221" s="1"/>
  <c r="G114" i="221"/>
  <c r="I114" i="221" s="1"/>
  <c r="G115" i="221"/>
  <c r="I115" i="221" s="1"/>
  <c r="G116" i="221"/>
  <c r="I116" i="221" s="1"/>
  <c r="G117" i="221"/>
  <c r="I117" i="221" s="1"/>
  <c r="G118" i="221"/>
  <c r="I118" i="221" s="1"/>
  <c r="G119" i="221"/>
  <c r="I119" i="221" s="1"/>
  <c r="G120" i="221"/>
  <c r="I120" i="221" s="1"/>
  <c r="G121" i="221"/>
  <c r="I121" i="221" s="1"/>
  <c r="G122" i="221"/>
  <c r="I122" i="221" s="1"/>
  <c r="G123" i="221"/>
  <c r="I123" i="221" s="1"/>
  <c r="G124" i="221"/>
  <c r="I124" i="221" s="1"/>
  <c r="G125" i="221"/>
  <c r="I125" i="221" s="1"/>
  <c r="G126" i="221"/>
  <c r="I126" i="221" s="1"/>
  <c r="G127" i="221"/>
  <c r="I127" i="221" s="1"/>
  <c r="G128" i="221"/>
  <c r="I128" i="221" s="1"/>
  <c r="G129" i="221"/>
  <c r="I129" i="221" s="1"/>
  <c r="G130" i="221"/>
  <c r="I130" i="221" s="1"/>
  <c r="G131" i="221"/>
  <c r="I131" i="221" s="1"/>
  <c r="G132" i="221"/>
  <c r="I132" i="221" s="1"/>
  <c r="G133" i="221"/>
  <c r="I133" i="221" s="1"/>
  <c r="G134" i="221"/>
  <c r="I134" i="221" s="1"/>
  <c r="G135" i="221"/>
  <c r="I135" i="221" s="1"/>
  <c r="G136" i="221"/>
  <c r="I136" i="221" s="1"/>
  <c r="G137" i="221"/>
  <c r="I137" i="221" s="1"/>
  <c r="G138" i="221"/>
  <c r="I138" i="221" s="1"/>
  <c r="G139" i="221"/>
  <c r="I139" i="221" s="1"/>
  <c r="G140" i="221"/>
  <c r="I140" i="221" s="1"/>
  <c r="G141" i="221"/>
  <c r="I141" i="221" s="1"/>
  <c r="G142" i="221"/>
  <c r="I142" i="221" s="1"/>
  <c r="G143" i="221"/>
  <c r="I143" i="221" s="1"/>
  <c r="G144" i="221"/>
  <c r="I144" i="221" s="1"/>
  <c r="G145" i="221"/>
  <c r="I145" i="221" s="1"/>
  <c r="G146" i="221"/>
  <c r="I146" i="221" s="1"/>
  <c r="G147" i="221"/>
  <c r="I147" i="221" s="1"/>
  <c r="G148" i="221"/>
  <c r="I148" i="221" s="1"/>
  <c r="G106" i="221"/>
  <c r="I106" i="221" s="1"/>
  <c r="G80" i="221"/>
  <c r="I80" i="221" s="1"/>
  <c r="G81" i="221"/>
  <c r="I81" i="221" s="1"/>
  <c r="G82" i="221"/>
  <c r="I82" i="221" s="1"/>
  <c r="G83" i="221"/>
  <c r="I83" i="221" s="1"/>
  <c r="G84" i="221"/>
  <c r="I84" i="221" s="1"/>
  <c r="G85" i="221"/>
  <c r="I85" i="221" s="1"/>
  <c r="G86" i="221"/>
  <c r="I86" i="221" s="1"/>
  <c r="G87" i="221"/>
  <c r="I87" i="221" s="1"/>
  <c r="G88" i="221"/>
  <c r="I88" i="221" s="1"/>
  <c r="G89" i="221"/>
  <c r="I89" i="221" s="1"/>
  <c r="G90" i="221"/>
  <c r="I90" i="221" s="1"/>
  <c r="G91" i="221"/>
  <c r="I91" i="221" s="1"/>
  <c r="G92" i="221"/>
  <c r="I92" i="221" s="1"/>
  <c r="G93" i="221"/>
  <c r="I93" i="221" s="1"/>
  <c r="G94" i="221"/>
  <c r="I94" i="221" s="1"/>
  <c r="G95" i="221"/>
  <c r="I95" i="221" s="1"/>
  <c r="G96" i="221"/>
  <c r="I96" i="221" s="1"/>
  <c r="G97" i="221"/>
  <c r="I97" i="221" s="1"/>
  <c r="G98" i="221"/>
  <c r="I98" i="221" s="1"/>
  <c r="G99" i="221"/>
  <c r="I99" i="221" s="1"/>
  <c r="G100" i="221"/>
  <c r="I100" i="221" s="1"/>
  <c r="G58" i="221"/>
  <c r="I58" i="221" s="1"/>
  <c r="G59" i="221"/>
  <c r="I59" i="221" s="1"/>
  <c r="G60" i="221"/>
  <c r="I60" i="221" s="1"/>
  <c r="G61" i="221"/>
  <c r="I61" i="221" s="1"/>
  <c r="G62" i="221"/>
  <c r="I62" i="221" s="1"/>
  <c r="G63" i="221"/>
  <c r="I63" i="221" s="1"/>
  <c r="G64" i="221"/>
  <c r="I64" i="221" s="1"/>
  <c r="G65" i="221"/>
  <c r="I65" i="221" s="1"/>
  <c r="G66" i="221"/>
  <c r="I66" i="221" s="1"/>
  <c r="G67" i="221"/>
  <c r="I67" i="221" s="1"/>
  <c r="G68" i="221"/>
  <c r="I68" i="221" s="1"/>
  <c r="G69" i="221"/>
  <c r="I69" i="221" s="1"/>
  <c r="G70" i="221"/>
  <c r="I70" i="221" s="1"/>
  <c r="G71" i="221"/>
  <c r="I71" i="221" s="1"/>
  <c r="G72" i="221"/>
  <c r="I72" i="221" s="1"/>
  <c r="G73" i="221"/>
  <c r="I73" i="221" s="1"/>
  <c r="G74" i="221"/>
  <c r="I74" i="221" s="1"/>
  <c r="G75" i="221"/>
  <c r="I75" i="221" s="1"/>
  <c r="G76" i="221"/>
  <c r="I76" i="221" s="1"/>
  <c r="G77" i="221"/>
  <c r="I77" i="221" s="1"/>
  <c r="G78" i="221"/>
  <c r="I78" i="221" s="1"/>
  <c r="G79" i="221"/>
  <c r="I79" i="221" s="1"/>
  <c r="G57" i="221"/>
  <c r="M149" i="221"/>
  <c r="H149" i="221"/>
  <c r="D148" i="221"/>
  <c r="C148" i="221"/>
  <c r="B148" i="221"/>
  <c r="D147" i="221"/>
  <c r="C147" i="221"/>
  <c r="B147" i="221"/>
  <c r="D146" i="221"/>
  <c r="C146" i="221"/>
  <c r="B146" i="221"/>
  <c r="D145" i="221"/>
  <c r="C145" i="221"/>
  <c r="B145" i="221"/>
  <c r="D144" i="221"/>
  <c r="C144" i="221"/>
  <c r="B144" i="221"/>
  <c r="D143" i="221"/>
  <c r="C143" i="221"/>
  <c r="B143" i="221"/>
  <c r="D142" i="221"/>
  <c r="C142" i="221"/>
  <c r="B142" i="221"/>
  <c r="D141" i="221"/>
  <c r="C141" i="221"/>
  <c r="B141" i="221"/>
  <c r="D140" i="221"/>
  <c r="C140" i="221"/>
  <c r="B140" i="221"/>
  <c r="D139" i="221"/>
  <c r="C139" i="221"/>
  <c r="B139" i="221"/>
  <c r="D138" i="221"/>
  <c r="C138" i="221"/>
  <c r="B138" i="221"/>
  <c r="D137" i="221"/>
  <c r="C137" i="221"/>
  <c r="B137" i="221"/>
  <c r="D136" i="221"/>
  <c r="C136" i="221"/>
  <c r="B136" i="221"/>
  <c r="D135" i="221"/>
  <c r="C135" i="221"/>
  <c r="B135" i="221"/>
  <c r="D134" i="221"/>
  <c r="C134" i="221"/>
  <c r="B134" i="221"/>
  <c r="D133" i="221"/>
  <c r="C133" i="221"/>
  <c r="B133" i="221"/>
  <c r="D132" i="221"/>
  <c r="C132" i="221"/>
  <c r="B132" i="221"/>
  <c r="D131" i="221"/>
  <c r="C131" i="221"/>
  <c r="B131" i="221"/>
  <c r="D130" i="221"/>
  <c r="C130" i="221"/>
  <c r="B130" i="221"/>
  <c r="D129" i="221"/>
  <c r="C129" i="221"/>
  <c r="B129" i="221"/>
  <c r="D128" i="221"/>
  <c r="C128" i="221"/>
  <c r="B128" i="221"/>
  <c r="D127" i="221"/>
  <c r="C127" i="221"/>
  <c r="B127" i="221"/>
  <c r="D126" i="221"/>
  <c r="C126" i="221"/>
  <c r="B126" i="221"/>
  <c r="D125" i="221"/>
  <c r="C125" i="221"/>
  <c r="B125" i="221"/>
  <c r="D124" i="221"/>
  <c r="C124" i="221"/>
  <c r="B124" i="221"/>
  <c r="D123" i="221"/>
  <c r="C123" i="221"/>
  <c r="B123" i="221"/>
  <c r="D122" i="221"/>
  <c r="C122" i="221"/>
  <c r="B122" i="221"/>
  <c r="D121" i="221"/>
  <c r="C121" i="221"/>
  <c r="B121" i="221"/>
  <c r="D120" i="221"/>
  <c r="C120" i="221"/>
  <c r="B120" i="221"/>
  <c r="D119" i="221"/>
  <c r="C119" i="221"/>
  <c r="B119" i="221"/>
  <c r="D118" i="221"/>
  <c r="C118" i="221"/>
  <c r="B118" i="221"/>
  <c r="D117" i="221"/>
  <c r="C117" i="221"/>
  <c r="B117" i="221"/>
  <c r="D116" i="221"/>
  <c r="C116" i="221"/>
  <c r="B116" i="221"/>
  <c r="D115" i="221"/>
  <c r="C115" i="221"/>
  <c r="B115" i="221"/>
  <c r="D114" i="221"/>
  <c r="C114" i="221"/>
  <c r="B114" i="221"/>
  <c r="D113" i="221"/>
  <c r="C113" i="221"/>
  <c r="B113" i="221"/>
  <c r="D112" i="221"/>
  <c r="C112" i="221"/>
  <c r="B112" i="221"/>
  <c r="D111" i="221"/>
  <c r="C111" i="221"/>
  <c r="B111" i="221"/>
  <c r="D110" i="221"/>
  <c r="C110" i="221"/>
  <c r="B110" i="221"/>
  <c r="D109" i="221"/>
  <c r="C109" i="221"/>
  <c r="B109" i="221"/>
  <c r="D108" i="221"/>
  <c r="C108" i="221"/>
  <c r="B108" i="221"/>
  <c r="D107" i="221"/>
  <c r="C107" i="221"/>
  <c r="B107" i="221"/>
  <c r="D106" i="221"/>
  <c r="C106" i="221"/>
  <c r="B106" i="221"/>
  <c r="A106" i="221"/>
  <c r="A107" i="221" s="1"/>
  <c r="A108" i="221" s="1"/>
  <c r="A109" i="221" s="1"/>
  <c r="A110" i="221" s="1"/>
  <c r="A111" i="221" s="1"/>
  <c r="A112" i="221" s="1"/>
  <c r="A113" i="221" s="1"/>
  <c r="A114" i="221" s="1"/>
  <c r="A115" i="221" s="1"/>
  <c r="A116" i="221" s="1"/>
  <c r="A117" i="221" s="1"/>
  <c r="A118" i="221" s="1"/>
  <c r="A119" i="221" s="1"/>
  <c r="A120" i="221" s="1"/>
  <c r="A121" i="221" s="1"/>
  <c r="A122" i="221" s="1"/>
  <c r="A123" i="221" s="1"/>
  <c r="A124" i="221" s="1"/>
  <c r="A125" i="221" s="1"/>
  <c r="A126" i="221" s="1"/>
  <c r="A127" i="221" s="1"/>
  <c r="A128" i="221" s="1"/>
  <c r="A129" i="221" s="1"/>
  <c r="A130" i="221" s="1"/>
  <c r="A131" i="221" s="1"/>
  <c r="A132" i="221" s="1"/>
  <c r="A133" i="221" s="1"/>
  <c r="A134" i="221" s="1"/>
  <c r="A135" i="221" s="1"/>
  <c r="A136" i="221" s="1"/>
  <c r="A137" i="221" s="1"/>
  <c r="A138" i="221" s="1"/>
  <c r="A139" i="221" s="1"/>
  <c r="A140" i="221" s="1"/>
  <c r="A141" i="221" s="1"/>
  <c r="A142" i="221" s="1"/>
  <c r="A143" i="221" s="1"/>
  <c r="A144" i="221" s="1"/>
  <c r="A145" i="221" s="1"/>
  <c r="A146" i="221" s="1"/>
  <c r="A147" i="221" s="1"/>
  <c r="A148" i="221" s="1"/>
  <c r="N103" i="221"/>
  <c r="J103" i="221"/>
  <c r="H103" i="221"/>
  <c r="J102" i="221"/>
  <c r="H102" i="221"/>
  <c r="J101" i="221"/>
  <c r="D100" i="221"/>
  <c r="C100" i="221"/>
  <c r="B100" i="221"/>
  <c r="D99" i="221"/>
  <c r="C99" i="221"/>
  <c r="B99" i="221"/>
  <c r="D98" i="221"/>
  <c r="C98" i="221"/>
  <c r="B98" i="221"/>
  <c r="D97" i="221"/>
  <c r="C97" i="221"/>
  <c r="B97" i="221"/>
  <c r="D96" i="221"/>
  <c r="C96" i="221"/>
  <c r="B96" i="221"/>
  <c r="D95" i="221"/>
  <c r="C95" i="221"/>
  <c r="B95" i="221"/>
  <c r="D94" i="221"/>
  <c r="C94" i="221"/>
  <c r="B94" i="221"/>
  <c r="D93" i="221"/>
  <c r="C93" i="221"/>
  <c r="B93" i="221"/>
  <c r="D92" i="221"/>
  <c r="C92" i="221"/>
  <c r="B92" i="221"/>
  <c r="D91" i="221"/>
  <c r="C91" i="221"/>
  <c r="B91" i="221"/>
  <c r="D90" i="221"/>
  <c r="C90" i="221"/>
  <c r="B90" i="221"/>
  <c r="D89" i="221"/>
  <c r="C89" i="221"/>
  <c r="B89" i="221"/>
  <c r="D88" i="221"/>
  <c r="C88" i="221"/>
  <c r="B88" i="221"/>
  <c r="D87" i="221"/>
  <c r="C87" i="221"/>
  <c r="B87" i="221"/>
  <c r="D86" i="221"/>
  <c r="C86" i="221"/>
  <c r="B86" i="221"/>
  <c r="D85" i="221"/>
  <c r="C85" i="221"/>
  <c r="B85" i="221"/>
  <c r="D84" i="221"/>
  <c r="C84" i="221"/>
  <c r="B84" i="221"/>
  <c r="D83" i="221"/>
  <c r="C83" i="221"/>
  <c r="B83" i="221"/>
  <c r="D82" i="221"/>
  <c r="C82" i="221"/>
  <c r="B82" i="221"/>
  <c r="D81" i="221"/>
  <c r="C81" i="221"/>
  <c r="B81" i="221"/>
  <c r="D80" i="221"/>
  <c r="C80" i="221"/>
  <c r="B80" i="221"/>
  <c r="D79" i="221"/>
  <c r="C79" i="221"/>
  <c r="B79" i="221"/>
  <c r="D78" i="221"/>
  <c r="C78" i="221"/>
  <c r="B78" i="221"/>
  <c r="D77" i="221"/>
  <c r="C77" i="221"/>
  <c r="B77" i="221"/>
  <c r="D76" i="221"/>
  <c r="C76" i="221"/>
  <c r="B76" i="221"/>
  <c r="D75" i="221"/>
  <c r="C75" i="221"/>
  <c r="B75" i="221"/>
  <c r="D74" i="221"/>
  <c r="C74" i="221"/>
  <c r="B74" i="221"/>
  <c r="D73" i="221"/>
  <c r="C73" i="221"/>
  <c r="B73" i="221"/>
  <c r="D72" i="221"/>
  <c r="C72" i="221"/>
  <c r="B72" i="221"/>
  <c r="D71" i="221"/>
  <c r="C71" i="221"/>
  <c r="B71" i="221"/>
  <c r="D70" i="221"/>
  <c r="C70" i="221"/>
  <c r="B70" i="221"/>
  <c r="D69" i="221"/>
  <c r="C69" i="221"/>
  <c r="B69" i="221"/>
  <c r="D68" i="221"/>
  <c r="C68" i="221"/>
  <c r="B68" i="221"/>
  <c r="D67" i="221"/>
  <c r="C67" i="221"/>
  <c r="B67" i="221"/>
  <c r="D66" i="221"/>
  <c r="C66" i="221"/>
  <c r="B66" i="221"/>
  <c r="D65" i="221"/>
  <c r="C65" i="221"/>
  <c r="B65" i="221"/>
  <c r="D64" i="221"/>
  <c r="C64" i="221"/>
  <c r="B64" i="221"/>
  <c r="D63" i="221"/>
  <c r="C63" i="221"/>
  <c r="B63" i="221"/>
  <c r="D62" i="221"/>
  <c r="C62" i="221"/>
  <c r="B62" i="221"/>
  <c r="D61" i="221"/>
  <c r="C61" i="221"/>
  <c r="B61" i="221"/>
  <c r="D60" i="221"/>
  <c r="C60" i="221"/>
  <c r="B60" i="221"/>
  <c r="D59" i="221"/>
  <c r="C59" i="221"/>
  <c r="B59" i="221"/>
  <c r="D58" i="221"/>
  <c r="C58" i="221"/>
  <c r="B58" i="221"/>
  <c r="D57" i="221"/>
  <c r="C57" i="221"/>
  <c r="B57" i="221"/>
  <c r="N54" i="221"/>
  <c r="J54" i="221"/>
  <c r="H54" i="221"/>
  <c r="J53" i="221"/>
  <c r="H53" i="221"/>
  <c r="J52" i="221"/>
  <c r="D21" i="221" a="1"/>
  <c r="D20" i="221" a="1"/>
  <c r="D19" i="221" a="1"/>
  <c r="D14" i="221" a="1"/>
  <c r="D54" i="221" s="1"/>
  <c r="D13" i="221" a="1"/>
  <c r="D12" i="221" a="1"/>
  <c r="D10" i="221" a="1"/>
  <c r="D8" i="221"/>
  <c r="D7" i="221"/>
  <c r="D6" i="221"/>
  <c r="D5" i="221"/>
  <c r="N3" i="221"/>
  <c r="N1" i="221"/>
  <c r="G107" i="220"/>
  <c r="I107" i="220" s="1"/>
  <c r="G108" i="220"/>
  <c r="I108" i="220" s="1"/>
  <c r="G109" i="220"/>
  <c r="I109" i="220" s="1"/>
  <c r="G110" i="220"/>
  <c r="I110" i="220" s="1"/>
  <c r="G111" i="220"/>
  <c r="I111" i="220" s="1"/>
  <c r="G112" i="220"/>
  <c r="I112" i="220" s="1"/>
  <c r="G113" i="220"/>
  <c r="I113" i="220" s="1"/>
  <c r="G114" i="220"/>
  <c r="I114" i="220" s="1"/>
  <c r="G115" i="220"/>
  <c r="I115" i="220" s="1"/>
  <c r="G116" i="220"/>
  <c r="I116" i="220" s="1"/>
  <c r="G117" i="220"/>
  <c r="I117" i="220" s="1"/>
  <c r="G118" i="220"/>
  <c r="I118" i="220" s="1"/>
  <c r="G119" i="220"/>
  <c r="I119" i="220" s="1"/>
  <c r="G120" i="220"/>
  <c r="I120" i="220" s="1"/>
  <c r="G121" i="220"/>
  <c r="I121" i="220" s="1"/>
  <c r="G122" i="220"/>
  <c r="I122" i="220" s="1"/>
  <c r="G123" i="220"/>
  <c r="I123" i="220" s="1"/>
  <c r="G124" i="220"/>
  <c r="I124" i="220" s="1"/>
  <c r="G125" i="220"/>
  <c r="I125" i="220" s="1"/>
  <c r="G126" i="220"/>
  <c r="I126" i="220" s="1"/>
  <c r="G127" i="220"/>
  <c r="I127" i="220" s="1"/>
  <c r="G128" i="220"/>
  <c r="I128" i="220" s="1"/>
  <c r="G129" i="220"/>
  <c r="I129" i="220" s="1"/>
  <c r="G130" i="220"/>
  <c r="I130" i="220" s="1"/>
  <c r="G131" i="220"/>
  <c r="I131" i="220" s="1"/>
  <c r="G132" i="220"/>
  <c r="I132" i="220" s="1"/>
  <c r="G133" i="220"/>
  <c r="I133" i="220" s="1"/>
  <c r="G134" i="220"/>
  <c r="I134" i="220" s="1"/>
  <c r="G135" i="220"/>
  <c r="I135" i="220" s="1"/>
  <c r="G136" i="220"/>
  <c r="I136" i="220" s="1"/>
  <c r="G137" i="220"/>
  <c r="I137" i="220" s="1"/>
  <c r="G138" i="220"/>
  <c r="I138" i="220" s="1"/>
  <c r="G139" i="220"/>
  <c r="I139" i="220" s="1"/>
  <c r="G140" i="220"/>
  <c r="I140" i="220" s="1"/>
  <c r="G141" i="220"/>
  <c r="I141" i="220" s="1"/>
  <c r="G142" i="220"/>
  <c r="I142" i="220" s="1"/>
  <c r="G143" i="220"/>
  <c r="I143" i="220" s="1"/>
  <c r="G144" i="220"/>
  <c r="I144" i="220" s="1"/>
  <c r="G145" i="220"/>
  <c r="I145" i="220" s="1"/>
  <c r="G146" i="220"/>
  <c r="I146" i="220" s="1"/>
  <c r="G147" i="220"/>
  <c r="I147" i="220" s="1"/>
  <c r="G148" i="220"/>
  <c r="I148" i="220" s="1"/>
  <c r="G106" i="220"/>
  <c r="I106" i="220" s="1"/>
  <c r="G58" i="220"/>
  <c r="I58" i="220" s="1"/>
  <c r="G59" i="220"/>
  <c r="I59" i="220" s="1"/>
  <c r="G60" i="220"/>
  <c r="I60" i="220" s="1"/>
  <c r="G61" i="220"/>
  <c r="I61" i="220" s="1"/>
  <c r="G62" i="220"/>
  <c r="I62" i="220" s="1"/>
  <c r="G63" i="220"/>
  <c r="I63" i="220" s="1"/>
  <c r="G64" i="220"/>
  <c r="I64" i="220" s="1"/>
  <c r="G65" i="220"/>
  <c r="I65" i="220" s="1"/>
  <c r="G66" i="220"/>
  <c r="I66" i="220" s="1"/>
  <c r="G67" i="220"/>
  <c r="I67" i="220" s="1"/>
  <c r="G68" i="220"/>
  <c r="I68" i="220" s="1"/>
  <c r="G69" i="220"/>
  <c r="I69" i="220" s="1"/>
  <c r="G70" i="220"/>
  <c r="I70" i="220" s="1"/>
  <c r="G71" i="220"/>
  <c r="I71" i="220" s="1"/>
  <c r="G72" i="220"/>
  <c r="I72" i="220" s="1"/>
  <c r="G73" i="220"/>
  <c r="I73" i="220" s="1"/>
  <c r="G74" i="220"/>
  <c r="I74" i="220" s="1"/>
  <c r="G75" i="220"/>
  <c r="I75" i="220" s="1"/>
  <c r="G76" i="220"/>
  <c r="I76" i="220" s="1"/>
  <c r="G77" i="220"/>
  <c r="I77" i="220" s="1"/>
  <c r="G78" i="220"/>
  <c r="I78" i="220" s="1"/>
  <c r="G79" i="220"/>
  <c r="I79" i="220" s="1"/>
  <c r="G80" i="220"/>
  <c r="I80" i="220" s="1"/>
  <c r="G81" i="220"/>
  <c r="I81" i="220" s="1"/>
  <c r="G82" i="220"/>
  <c r="I82" i="220" s="1"/>
  <c r="G83" i="220"/>
  <c r="I83" i="220" s="1"/>
  <c r="G84" i="220"/>
  <c r="I84" i="220" s="1"/>
  <c r="G85" i="220"/>
  <c r="I85" i="220" s="1"/>
  <c r="G86" i="220"/>
  <c r="I86" i="220" s="1"/>
  <c r="G87" i="220"/>
  <c r="I87" i="220" s="1"/>
  <c r="G88" i="220"/>
  <c r="I88" i="220" s="1"/>
  <c r="G89" i="220"/>
  <c r="I89" i="220" s="1"/>
  <c r="G90" i="220"/>
  <c r="I90" i="220" s="1"/>
  <c r="G91" i="220"/>
  <c r="I91" i="220" s="1"/>
  <c r="G92" i="220"/>
  <c r="I92" i="220" s="1"/>
  <c r="G93" i="220"/>
  <c r="I93" i="220" s="1"/>
  <c r="G94" i="220"/>
  <c r="I94" i="220" s="1"/>
  <c r="G95" i="220"/>
  <c r="I95" i="220" s="1"/>
  <c r="G96" i="220"/>
  <c r="I96" i="220" s="1"/>
  <c r="G97" i="220"/>
  <c r="I97" i="220" s="1"/>
  <c r="G98" i="220"/>
  <c r="I98" i="220" s="1"/>
  <c r="G99" i="220"/>
  <c r="I99" i="220" s="1"/>
  <c r="G100" i="220"/>
  <c r="I100" i="220" s="1"/>
  <c r="G57" i="220"/>
  <c r="M149" i="220"/>
  <c r="H149" i="220"/>
  <c r="D148" i="220"/>
  <c r="C148" i="220"/>
  <c r="B148" i="220"/>
  <c r="D147" i="220"/>
  <c r="C147" i="220"/>
  <c r="B147" i="220"/>
  <c r="D146" i="220"/>
  <c r="C146" i="220"/>
  <c r="B146" i="220"/>
  <c r="D145" i="220"/>
  <c r="C145" i="220"/>
  <c r="B145" i="220"/>
  <c r="D144" i="220"/>
  <c r="C144" i="220"/>
  <c r="B144" i="220"/>
  <c r="D143" i="220"/>
  <c r="C143" i="220"/>
  <c r="B143" i="220"/>
  <c r="D142" i="220"/>
  <c r="C142" i="220"/>
  <c r="B142" i="220"/>
  <c r="D141" i="220"/>
  <c r="C141" i="220"/>
  <c r="B141" i="220"/>
  <c r="D140" i="220"/>
  <c r="C140" i="220"/>
  <c r="B140" i="220"/>
  <c r="D139" i="220"/>
  <c r="C139" i="220"/>
  <c r="B139" i="220"/>
  <c r="D138" i="220"/>
  <c r="C138" i="220"/>
  <c r="B138" i="220"/>
  <c r="D137" i="220"/>
  <c r="C137" i="220"/>
  <c r="B137" i="220"/>
  <c r="D136" i="220"/>
  <c r="C136" i="220"/>
  <c r="B136" i="220"/>
  <c r="D135" i="220"/>
  <c r="C135" i="220"/>
  <c r="B135" i="220"/>
  <c r="D134" i="220"/>
  <c r="C134" i="220"/>
  <c r="B134" i="220"/>
  <c r="D133" i="220"/>
  <c r="C133" i="220"/>
  <c r="B133" i="220"/>
  <c r="D132" i="220"/>
  <c r="C132" i="220"/>
  <c r="B132" i="220"/>
  <c r="D131" i="220"/>
  <c r="C131" i="220"/>
  <c r="B131" i="220"/>
  <c r="D130" i="220"/>
  <c r="C130" i="220"/>
  <c r="B130" i="220"/>
  <c r="D129" i="220"/>
  <c r="C129" i="220"/>
  <c r="B129" i="220"/>
  <c r="D128" i="220"/>
  <c r="C128" i="220"/>
  <c r="B128" i="220"/>
  <c r="D127" i="220"/>
  <c r="C127" i="220"/>
  <c r="B127" i="220"/>
  <c r="D126" i="220"/>
  <c r="C126" i="220"/>
  <c r="B126" i="220"/>
  <c r="D125" i="220"/>
  <c r="C125" i="220"/>
  <c r="B125" i="220"/>
  <c r="D124" i="220"/>
  <c r="C124" i="220"/>
  <c r="B124" i="220"/>
  <c r="D123" i="220"/>
  <c r="C123" i="220"/>
  <c r="B123" i="220"/>
  <c r="D122" i="220"/>
  <c r="C122" i="220"/>
  <c r="B122" i="220"/>
  <c r="D121" i="220"/>
  <c r="C121" i="220"/>
  <c r="B121" i="220"/>
  <c r="D120" i="220"/>
  <c r="C120" i="220"/>
  <c r="B120" i="220"/>
  <c r="D119" i="220"/>
  <c r="C119" i="220"/>
  <c r="B119" i="220"/>
  <c r="D118" i="220"/>
  <c r="C118" i="220"/>
  <c r="B118" i="220"/>
  <c r="D117" i="220"/>
  <c r="C117" i="220"/>
  <c r="B117" i="220"/>
  <c r="D116" i="220"/>
  <c r="C116" i="220"/>
  <c r="B116" i="220"/>
  <c r="D115" i="220"/>
  <c r="C115" i="220"/>
  <c r="B115" i="220"/>
  <c r="D114" i="220"/>
  <c r="C114" i="220"/>
  <c r="B114" i="220"/>
  <c r="D113" i="220"/>
  <c r="C113" i="220"/>
  <c r="B113" i="220"/>
  <c r="D112" i="220"/>
  <c r="C112" i="220"/>
  <c r="B112" i="220"/>
  <c r="D111" i="220"/>
  <c r="C111" i="220"/>
  <c r="B111" i="220"/>
  <c r="D110" i="220"/>
  <c r="C110" i="220"/>
  <c r="B110" i="220"/>
  <c r="D109" i="220"/>
  <c r="C109" i="220"/>
  <c r="B109" i="220"/>
  <c r="D108" i="220"/>
  <c r="C108" i="220"/>
  <c r="B108" i="220"/>
  <c r="D107" i="220"/>
  <c r="C107" i="220"/>
  <c r="B107" i="220"/>
  <c r="D106" i="220"/>
  <c r="C106" i="220"/>
  <c r="B106" i="220"/>
  <c r="A106" i="220"/>
  <c r="A107" i="220" s="1"/>
  <c r="A108" i="220" s="1"/>
  <c r="A109" i="220" s="1"/>
  <c r="A110" i="220" s="1"/>
  <c r="A111" i="220" s="1"/>
  <c r="A112" i="220" s="1"/>
  <c r="A113" i="220" s="1"/>
  <c r="A114" i="220" s="1"/>
  <c r="A115" i="220" s="1"/>
  <c r="A116" i="220" s="1"/>
  <c r="A117" i="220" s="1"/>
  <c r="A118" i="220" s="1"/>
  <c r="A119" i="220" s="1"/>
  <c r="A120" i="220" s="1"/>
  <c r="A121" i="220" s="1"/>
  <c r="A122" i="220" s="1"/>
  <c r="A123" i="220" s="1"/>
  <c r="A124" i="220" s="1"/>
  <c r="A125" i="220" s="1"/>
  <c r="A126" i="220" s="1"/>
  <c r="A127" i="220" s="1"/>
  <c r="A128" i="220" s="1"/>
  <c r="A129" i="220" s="1"/>
  <c r="A130" i="220" s="1"/>
  <c r="A131" i="220" s="1"/>
  <c r="A132" i="220" s="1"/>
  <c r="A133" i="220" s="1"/>
  <c r="A134" i="220" s="1"/>
  <c r="A135" i="220" s="1"/>
  <c r="A136" i="220" s="1"/>
  <c r="A137" i="220" s="1"/>
  <c r="A138" i="220" s="1"/>
  <c r="A139" i="220" s="1"/>
  <c r="A140" i="220" s="1"/>
  <c r="A141" i="220" s="1"/>
  <c r="A142" i="220" s="1"/>
  <c r="A143" i="220" s="1"/>
  <c r="A144" i="220" s="1"/>
  <c r="A145" i="220" s="1"/>
  <c r="A146" i="220" s="1"/>
  <c r="A147" i="220" s="1"/>
  <c r="A148" i="220" s="1"/>
  <c r="N103" i="220"/>
  <c r="J103" i="220"/>
  <c r="H103" i="220"/>
  <c r="J102" i="220"/>
  <c r="H102" i="220"/>
  <c r="J101" i="220"/>
  <c r="D100" i="220"/>
  <c r="C100" i="220"/>
  <c r="B100" i="220"/>
  <c r="D99" i="220"/>
  <c r="C99" i="220"/>
  <c r="B99" i="220"/>
  <c r="D98" i="220"/>
  <c r="C98" i="220"/>
  <c r="B98" i="220"/>
  <c r="D97" i="220"/>
  <c r="C97" i="220"/>
  <c r="B97" i="220"/>
  <c r="D96" i="220"/>
  <c r="C96" i="220"/>
  <c r="B96" i="220"/>
  <c r="D95" i="220"/>
  <c r="C95" i="220"/>
  <c r="B95" i="220"/>
  <c r="D94" i="220"/>
  <c r="C94" i="220"/>
  <c r="B94" i="220"/>
  <c r="D93" i="220"/>
  <c r="C93" i="220"/>
  <c r="B93" i="220"/>
  <c r="D92" i="220"/>
  <c r="C92" i="220"/>
  <c r="B92" i="220"/>
  <c r="D91" i="220"/>
  <c r="C91" i="220"/>
  <c r="B91" i="220"/>
  <c r="D90" i="220"/>
  <c r="C90" i="220"/>
  <c r="B90" i="220"/>
  <c r="D89" i="220"/>
  <c r="C89" i="220"/>
  <c r="B89" i="220"/>
  <c r="D88" i="220"/>
  <c r="C88" i="220"/>
  <c r="B88" i="220"/>
  <c r="D87" i="220"/>
  <c r="C87" i="220"/>
  <c r="B87" i="220"/>
  <c r="D86" i="220"/>
  <c r="C86" i="220"/>
  <c r="B86" i="220"/>
  <c r="D85" i="220"/>
  <c r="C85" i="220"/>
  <c r="B85" i="220"/>
  <c r="D84" i="220"/>
  <c r="C84" i="220"/>
  <c r="B84" i="220"/>
  <c r="D83" i="220"/>
  <c r="C83" i="220"/>
  <c r="B83" i="220"/>
  <c r="D82" i="220"/>
  <c r="C82" i="220"/>
  <c r="B82" i="220"/>
  <c r="D81" i="220"/>
  <c r="C81" i="220"/>
  <c r="B81" i="220"/>
  <c r="D80" i="220"/>
  <c r="C80" i="220"/>
  <c r="B80" i="220"/>
  <c r="D79" i="220"/>
  <c r="C79" i="220"/>
  <c r="B79" i="220"/>
  <c r="D78" i="220"/>
  <c r="C78" i="220"/>
  <c r="B78" i="220"/>
  <c r="D77" i="220"/>
  <c r="C77" i="220"/>
  <c r="B77" i="220"/>
  <c r="D76" i="220"/>
  <c r="C76" i="220"/>
  <c r="B76" i="220"/>
  <c r="D75" i="220"/>
  <c r="C75" i="220"/>
  <c r="B75" i="220"/>
  <c r="D74" i="220"/>
  <c r="C74" i="220"/>
  <c r="B74" i="220"/>
  <c r="D73" i="220"/>
  <c r="C73" i="220"/>
  <c r="B73" i="220"/>
  <c r="D72" i="220"/>
  <c r="C72" i="220"/>
  <c r="B72" i="220"/>
  <c r="D71" i="220"/>
  <c r="C71" i="220"/>
  <c r="B71" i="220"/>
  <c r="D70" i="220"/>
  <c r="C70" i="220"/>
  <c r="B70" i="220"/>
  <c r="D69" i="220"/>
  <c r="C69" i="220"/>
  <c r="B69" i="220"/>
  <c r="D68" i="220"/>
  <c r="C68" i="220"/>
  <c r="B68" i="220"/>
  <c r="D67" i="220"/>
  <c r="C67" i="220"/>
  <c r="B67" i="220"/>
  <c r="D66" i="220"/>
  <c r="C66" i="220"/>
  <c r="B66" i="220"/>
  <c r="D65" i="220"/>
  <c r="C65" i="220"/>
  <c r="B65" i="220"/>
  <c r="D64" i="220"/>
  <c r="C64" i="220"/>
  <c r="B64" i="220"/>
  <c r="D63" i="220"/>
  <c r="C63" i="220"/>
  <c r="B63" i="220"/>
  <c r="D62" i="220"/>
  <c r="C62" i="220"/>
  <c r="B62" i="220"/>
  <c r="D61" i="220"/>
  <c r="C61" i="220"/>
  <c r="B61" i="220"/>
  <c r="D60" i="220"/>
  <c r="C60" i="220"/>
  <c r="B60" i="220"/>
  <c r="D59" i="220"/>
  <c r="C59" i="220"/>
  <c r="B59" i="220"/>
  <c r="D58" i="220"/>
  <c r="C58" i="220"/>
  <c r="B58" i="220"/>
  <c r="D57" i="220"/>
  <c r="C57" i="220"/>
  <c r="B57" i="220"/>
  <c r="N54" i="220"/>
  <c r="J54" i="220"/>
  <c r="H54" i="220"/>
  <c r="J53" i="220"/>
  <c r="H53" i="220"/>
  <c r="J52" i="220"/>
  <c r="D21" i="220" a="1"/>
  <c r="D20" i="220" a="1"/>
  <c r="D19" i="220" a="1"/>
  <c r="D14" i="220" a="1"/>
  <c r="D54" i="220" s="1"/>
  <c r="D13" i="220" a="1"/>
  <c r="D12" i="220" a="1"/>
  <c r="D101" i="220" s="1"/>
  <c r="D10" i="220" a="1"/>
  <c r="D8" i="220"/>
  <c r="D7" i="220"/>
  <c r="D6" i="220"/>
  <c r="D5" i="220"/>
  <c r="N3" i="220"/>
  <c r="N1" i="220"/>
  <c r="G107" i="219"/>
  <c r="I107" i="219" s="1"/>
  <c r="G108" i="219"/>
  <c r="I108" i="219" s="1"/>
  <c r="G109" i="219"/>
  <c r="I109" i="219" s="1"/>
  <c r="G110" i="219"/>
  <c r="I110" i="219" s="1"/>
  <c r="G111" i="219"/>
  <c r="I111" i="219" s="1"/>
  <c r="G112" i="219"/>
  <c r="I112" i="219" s="1"/>
  <c r="G113" i="219"/>
  <c r="I113" i="219" s="1"/>
  <c r="G114" i="219"/>
  <c r="I114" i="219" s="1"/>
  <c r="G115" i="219"/>
  <c r="I115" i="219" s="1"/>
  <c r="G116" i="219"/>
  <c r="I116" i="219" s="1"/>
  <c r="G117" i="219"/>
  <c r="I117" i="219" s="1"/>
  <c r="G118" i="219"/>
  <c r="I118" i="219" s="1"/>
  <c r="G119" i="219"/>
  <c r="I119" i="219" s="1"/>
  <c r="G120" i="219"/>
  <c r="I120" i="219" s="1"/>
  <c r="G121" i="219"/>
  <c r="I121" i="219" s="1"/>
  <c r="G122" i="219"/>
  <c r="I122" i="219" s="1"/>
  <c r="G123" i="219"/>
  <c r="I123" i="219" s="1"/>
  <c r="G124" i="219"/>
  <c r="I124" i="219" s="1"/>
  <c r="G125" i="219"/>
  <c r="I125" i="219" s="1"/>
  <c r="G126" i="219"/>
  <c r="I126" i="219" s="1"/>
  <c r="G127" i="219"/>
  <c r="I127" i="219" s="1"/>
  <c r="G128" i="219"/>
  <c r="I128" i="219" s="1"/>
  <c r="G129" i="219"/>
  <c r="I129" i="219" s="1"/>
  <c r="G130" i="219"/>
  <c r="I130" i="219" s="1"/>
  <c r="G131" i="219"/>
  <c r="I131" i="219" s="1"/>
  <c r="G132" i="219"/>
  <c r="I132" i="219" s="1"/>
  <c r="G133" i="219"/>
  <c r="I133" i="219" s="1"/>
  <c r="G134" i="219"/>
  <c r="I134" i="219" s="1"/>
  <c r="G135" i="219"/>
  <c r="I135" i="219" s="1"/>
  <c r="G136" i="219"/>
  <c r="I136" i="219" s="1"/>
  <c r="G137" i="219"/>
  <c r="I137" i="219" s="1"/>
  <c r="G138" i="219"/>
  <c r="I138" i="219" s="1"/>
  <c r="G139" i="219"/>
  <c r="I139" i="219" s="1"/>
  <c r="G140" i="219"/>
  <c r="I140" i="219" s="1"/>
  <c r="G141" i="219"/>
  <c r="I141" i="219" s="1"/>
  <c r="G142" i="219"/>
  <c r="I142" i="219" s="1"/>
  <c r="G143" i="219"/>
  <c r="I143" i="219" s="1"/>
  <c r="G144" i="219"/>
  <c r="I144" i="219" s="1"/>
  <c r="G145" i="219"/>
  <c r="I145" i="219" s="1"/>
  <c r="G146" i="219"/>
  <c r="I146" i="219" s="1"/>
  <c r="G147" i="219"/>
  <c r="I147" i="219" s="1"/>
  <c r="G148" i="219"/>
  <c r="I148" i="219" s="1"/>
  <c r="G106" i="219"/>
  <c r="I106" i="219" s="1"/>
  <c r="G58" i="219"/>
  <c r="I58" i="219" s="1"/>
  <c r="G59" i="219"/>
  <c r="I59" i="219" s="1"/>
  <c r="G60" i="219"/>
  <c r="I60" i="219" s="1"/>
  <c r="G61" i="219"/>
  <c r="I61" i="219" s="1"/>
  <c r="G62" i="219"/>
  <c r="I62" i="219" s="1"/>
  <c r="G63" i="219"/>
  <c r="I63" i="219" s="1"/>
  <c r="G64" i="219"/>
  <c r="I64" i="219" s="1"/>
  <c r="G65" i="219"/>
  <c r="I65" i="219" s="1"/>
  <c r="G66" i="219"/>
  <c r="I66" i="219" s="1"/>
  <c r="G67" i="219"/>
  <c r="I67" i="219" s="1"/>
  <c r="G68" i="219"/>
  <c r="I68" i="219" s="1"/>
  <c r="G69" i="219"/>
  <c r="I69" i="219" s="1"/>
  <c r="G70" i="219"/>
  <c r="I70" i="219" s="1"/>
  <c r="G71" i="219"/>
  <c r="I71" i="219" s="1"/>
  <c r="G72" i="219"/>
  <c r="I72" i="219" s="1"/>
  <c r="G73" i="219"/>
  <c r="I73" i="219" s="1"/>
  <c r="G74" i="219"/>
  <c r="I74" i="219" s="1"/>
  <c r="G75" i="219"/>
  <c r="I75" i="219" s="1"/>
  <c r="G76" i="219"/>
  <c r="I76" i="219" s="1"/>
  <c r="G77" i="219"/>
  <c r="I77" i="219" s="1"/>
  <c r="G78" i="219"/>
  <c r="I78" i="219" s="1"/>
  <c r="G79" i="219"/>
  <c r="I79" i="219" s="1"/>
  <c r="G80" i="219"/>
  <c r="I80" i="219" s="1"/>
  <c r="G81" i="219"/>
  <c r="I81" i="219" s="1"/>
  <c r="G82" i="219"/>
  <c r="I82" i="219" s="1"/>
  <c r="G83" i="219"/>
  <c r="I83" i="219" s="1"/>
  <c r="G84" i="219"/>
  <c r="I84" i="219" s="1"/>
  <c r="G85" i="219"/>
  <c r="I85" i="219" s="1"/>
  <c r="G86" i="219"/>
  <c r="I86" i="219" s="1"/>
  <c r="G87" i="219"/>
  <c r="I87" i="219" s="1"/>
  <c r="G88" i="219"/>
  <c r="I88" i="219" s="1"/>
  <c r="G89" i="219"/>
  <c r="I89" i="219" s="1"/>
  <c r="G90" i="219"/>
  <c r="I90" i="219" s="1"/>
  <c r="G91" i="219"/>
  <c r="I91" i="219" s="1"/>
  <c r="G92" i="219"/>
  <c r="I92" i="219" s="1"/>
  <c r="G93" i="219"/>
  <c r="I93" i="219" s="1"/>
  <c r="G94" i="219"/>
  <c r="I94" i="219" s="1"/>
  <c r="G95" i="219"/>
  <c r="I95" i="219" s="1"/>
  <c r="G96" i="219"/>
  <c r="I96" i="219" s="1"/>
  <c r="G97" i="219"/>
  <c r="I97" i="219" s="1"/>
  <c r="G98" i="219"/>
  <c r="I98" i="219" s="1"/>
  <c r="G99" i="219"/>
  <c r="I99" i="219" s="1"/>
  <c r="G100" i="219"/>
  <c r="I100" i="219" s="1"/>
  <c r="G57" i="219"/>
  <c r="M149" i="219"/>
  <c r="H149" i="219"/>
  <c r="D148" i="219"/>
  <c r="C148" i="219"/>
  <c r="B148" i="219"/>
  <c r="D147" i="219"/>
  <c r="C147" i="219"/>
  <c r="B147" i="219"/>
  <c r="D146" i="219"/>
  <c r="C146" i="219"/>
  <c r="B146" i="219"/>
  <c r="D145" i="219"/>
  <c r="C145" i="219"/>
  <c r="B145" i="219"/>
  <c r="D144" i="219"/>
  <c r="C144" i="219"/>
  <c r="B144" i="219"/>
  <c r="D143" i="219"/>
  <c r="C143" i="219"/>
  <c r="B143" i="219"/>
  <c r="D142" i="219"/>
  <c r="C142" i="219"/>
  <c r="B142" i="219"/>
  <c r="D141" i="219"/>
  <c r="C141" i="219"/>
  <c r="B141" i="219"/>
  <c r="D140" i="219"/>
  <c r="C140" i="219"/>
  <c r="B140" i="219"/>
  <c r="D139" i="219"/>
  <c r="C139" i="219"/>
  <c r="B139" i="219"/>
  <c r="D138" i="219"/>
  <c r="C138" i="219"/>
  <c r="B138" i="219"/>
  <c r="D137" i="219"/>
  <c r="C137" i="219"/>
  <c r="B137" i="219"/>
  <c r="D136" i="219"/>
  <c r="C136" i="219"/>
  <c r="B136" i="219"/>
  <c r="D135" i="219"/>
  <c r="C135" i="219"/>
  <c r="B135" i="219"/>
  <c r="D134" i="219"/>
  <c r="C134" i="219"/>
  <c r="B134" i="219"/>
  <c r="D133" i="219"/>
  <c r="C133" i="219"/>
  <c r="B133" i="219"/>
  <c r="D132" i="219"/>
  <c r="C132" i="219"/>
  <c r="B132" i="219"/>
  <c r="D131" i="219"/>
  <c r="C131" i="219"/>
  <c r="B131" i="219"/>
  <c r="D130" i="219"/>
  <c r="C130" i="219"/>
  <c r="B130" i="219"/>
  <c r="D129" i="219"/>
  <c r="C129" i="219"/>
  <c r="B129" i="219"/>
  <c r="D128" i="219"/>
  <c r="C128" i="219"/>
  <c r="B128" i="219"/>
  <c r="D127" i="219"/>
  <c r="C127" i="219"/>
  <c r="B127" i="219"/>
  <c r="D126" i="219"/>
  <c r="C126" i="219"/>
  <c r="B126" i="219"/>
  <c r="D125" i="219"/>
  <c r="C125" i="219"/>
  <c r="B125" i="219"/>
  <c r="D124" i="219"/>
  <c r="C124" i="219"/>
  <c r="B124" i="219"/>
  <c r="D123" i="219"/>
  <c r="C123" i="219"/>
  <c r="B123" i="219"/>
  <c r="D122" i="219"/>
  <c r="C122" i="219"/>
  <c r="B122" i="219"/>
  <c r="D121" i="219"/>
  <c r="C121" i="219"/>
  <c r="B121" i="219"/>
  <c r="D120" i="219"/>
  <c r="C120" i="219"/>
  <c r="B120" i="219"/>
  <c r="D119" i="219"/>
  <c r="C119" i="219"/>
  <c r="B119" i="219"/>
  <c r="D118" i="219"/>
  <c r="C118" i="219"/>
  <c r="B118" i="219"/>
  <c r="D117" i="219"/>
  <c r="C117" i="219"/>
  <c r="B117" i="219"/>
  <c r="D116" i="219"/>
  <c r="C116" i="219"/>
  <c r="B116" i="219"/>
  <c r="D115" i="219"/>
  <c r="C115" i="219"/>
  <c r="B115" i="219"/>
  <c r="D114" i="219"/>
  <c r="C114" i="219"/>
  <c r="B114" i="219"/>
  <c r="D113" i="219"/>
  <c r="C113" i="219"/>
  <c r="B113" i="219"/>
  <c r="D112" i="219"/>
  <c r="C112" i="219"/>
  <c r="B112" i="219"/>
  <c r="D111" i="219"/>
  <c r="C111" i="219"/>
  <c r="B111" i="219"/>
  <c r="D110" i="219"/>
  <c r="C110" i="219"/>
  <c r="B110" i="219"/>
  <c r="D109" i="219"/>
  <c r="C109" i="219"/>
  <c r="B109" i="219"/>
  <c r="D108" i="219"/>
  <c r="C108" i="219"/>
  <c r="B108" i="219"/>
  <c r="D107" i="219"/>
  <c r="C107" i="219"/>
  <c r="B107" i="219"/>
  <c r="D106" i="219"/>
  <c r="C106" i="219"/>
  <c r="B106" i="219"/>
  <c r="A106" i="219"/>
  <c r="A107" i="219" s="1"/>
  <c r="A108" i="219" s="1"/>
  <c r="A109" i="219" s="1"/>
  <c r="A110" i="219" s="1"/>
  <c r="A111" i="219" s="1"/>
  <c r="A112" i="219" s="1"/>
  <c r="A113" i="219" s="1"/>
  <c r="A114" i="219" s="1"/>
  <c r="A115" i="219" s="1"/>
  <c r="A116" i="219" s="1"/>
  <c r="A117" i="219" s="1"/>
  <c r="A118" i="219" s="1"/>
  <c r="A119" i="219" s="1"/>
  <c r="A120" i="219" s="1"/>
  <c r="A121" i="219" s="1"/>
  <c r="A122" i="219" s="1"/>
  <c r="A123" i="219" s="1"/>
  <c r="A124" i="219" s="1"/>
  <c r="A125" i="219" s="1"/>
  <c r="A126" i="219" s="1"/>
  <c r="A127" i="219" s="1"/>
  <c r="A128" i="219" s="1"/>
  <c r="A129" i="219" s="1"/>
  <c r="A130" i="219" s="1"/>
  <c r="A131" i="219" s="1"/>
  <c r="A132" i="219" s="1"/>
  <c r="A133" i="219" s="1"/>
  <c r="A134" i="219" s="1"/>
  <c r="A135" i="219" s="1"/>
  <c r="A136" i="219" s="1"/>
  <c r="A137" i="219" s="1"/>
  <c r="A138" i="219" s="1"/>
  <c r="A139" i="219" s="1"/>
  <c r="A140" i="219" s="1"/>
  <c r="A141" i="219" s="1"/>
  <c r="A142" i="219" s="1"/>
  <c r="A143" i="219" s="1"/>
  <c r="A144" i="219" s="1"/>
  <c r="A145" i="219" s="1"/>
  <c r="A146" i="219" s="1"/>
  <c r="A147" i="219" s="1"/>
  <c r="A148" i="219" s="1"/>
  <c r="N103" i="219"/>
  <c r="J103" i="219"/>
  <c r="H103" i="219"/>
  <c r="J102" i="219"/>
  <c r="H102" i="219"/>
  <c r="J101" i="219"/>
  <c r="D100" i="219"/>
  <c r="C100" i="219"/>
  <c r="B100" i="219"/>
  <c r="D99" i="219"/>
  <c r="C99" i="219"/>
  <c r="B99" i="219"/>
  <c r="D98" i="219"/>
  <c r="C98" i="219"/>
  <c r="B98" i="219"/>
  <c r="D97" i="219"/>
  <c r="C97" i="219"/>
  <c r="B97" i="219"/>
  <c r="D96" i="219"/>
  <c r="C96" i="219"/>
  <c r="B96" i="219"/>
  <c r="D95" i="219"/>
  <c r="C95" i="219"/>
  <c r="B95" i="219"/>
  <c r="D94" i="219"/>
  <c r="C94" i="219"/>
  <c r="B94" i="219"/>
  <c r="D93" i="219"/>
  <c r="C93" i="219"/>
  <c r="B93" i="219"/>
  <c r="D92" i="219"/>
  <c r="C92" i="219"/>
  <c r="B92" i="219"/>
  <c r="D91" i="219"/>
  <c r="C91" i="219"/>
  <c r="B91" i="219"/>
  <c r="D90" i="219"/>
  <c r="C90" i="219"/>
  <c r="B90" i="219"/>
  <c r="D89" i="219"/>
  <c r="C89" i="219"/>
  <c r="B89" i="219"/>
  <c r="D88" i="219"/>
  <c r="C88" i="219"/>
  <c r="B88" i="219"/>
  <c r="D87" i="219"/>
  <c r="C87" i="219"/>
  <c r="B87" i="219"/>
  <c r="D86" i="219"/>
  <c r="C86" i="219"/>
  <c r="B86" i="219"/>
  <c r="D85" i="219"/>
  <c r="C85" i="219"/>
  <c r="B85" i="219"/>
  <c r="D84" i="219"/>
  <c r="C84" i="219"/>
  <c r="B84" i="219"/>
  <c r="D83" i="219"/>
  <c r="C83" i="219"/>
  <c r="B83" i="219"/>
  <c r="D82" i="219"/>
  <c r="C82" i="219"/>
  <c r="B82" i="219"/>
  <c r="D81" i="219"/>
  <c r="C81" i="219"/>
  <c r="B81" i="219"/>
  <c r="D80" i="219"/>
  <c r="C80" i="219"/>
  <c r="B80" i="219"/>
  <c r="D79" i="219"/>
  <c r="C79" i="219"/>
  <c r="B79" i="219"/>
  <c r="D78" i="219"/>
  <c r="C78" i="219"/>
  <c r="B78" i="219"/>
  <c r="D77" i="219"/>
  <c r="C77" i="219"/>
  <c r="B77" i="219"/>
  <c r="D76" i="219"/>
  <c r="C76" i="219"/>
  <c r="B76" i="219"/>
  <c r="D75" i="219"/>
  <c r="C75" i="219"/>
  <c r="B75" i="219"/>
  <c r="D74" i="219"/>
  <c r="C74" i="219"/>
  <c r="B74" i="219"/>
  <c r="D73" i="219"/>
  <c r="C73" i="219"/>
  <c r="B73" i="219"/>
  <c r="D72" i="219"/>
  <c r="C72" i="219"/>
  <c r="B72" i="219"/>
  <c r="D71" i="219"/>
  <c r="C71" i="219"/>
  <c r="B71" i="219"/>
  <c r="D70" i="219"/>
  <c r="C70" i="219"/>
  <c r="B70" i="219"/>
  <c r="D69" i="219"/>
  <c r="C69" i="219"/>
  <c r="B69" i="219"/>
  <c r="D68" i="219"/>
  <c r="C68" i="219"/>
  <c r="B68" i="219"/>
  <c r="D67" i="219"/>
  <c r="C67" i="219"/>
  <c r="B67" i="219"/>
  <c r="D66" i="219"/>
  <c r="C66" i="219"/>
  <c r="B66" i="219"/>
  <c r="D65" i="219"/>
  <c r="C65" i="219"/>
  <c r="B65" i="219"/>
  <c r="D64" i="219"/>
  <c r="C64" i="219"/>
  <c r="B64" i="219"/>
  <c r="D63" i="219"/>
  <c r="C63" i="219"/>
  <c r="B63" i="219"/>
  <c r="D62" i="219"/>
  <c r="C62" i="219"/>
  <c r="B62" i="219"/>
  <c r="D61" i="219"/>
  <c r="C61" i="219"/>
  <c r="B61" i="219"/>
  <c r="D60" i="219"/>
  <c r="C60" i="219"/>
  <c r="B60" i="219"/>
  <c r="D59" i="219"/>
  <c r="C59" i="219"/>
  <c r="B59" i="219"/>
  <c r="D58" i="219"/>
  <c r="C58" i="219"/>
  <c r="B58" i="219"/>
  <c r="D57" i="219"/>
  <c r="C57" i="219"/>
  <c r="B57" i="219"/>
  <c r="N54" i="219"/>
  <c r="J54" i="219"/>
  <c r="H54" i="219"/>
  <c r="J53" i="219"/>
  <c r="H53" i="219"/>
  <c r="J52" i="219"/>
  <c r="D21" i="219" a="1"/>
  <c r="D20" i="219" a="1"/>
  <c r="D19" i="219" a="1"/>
  <c r="D14" i="219" a="1"/>
  <c r="D103" i="219" s="1"/>
  <c r="D13" i="219" a="1"/>
  <c r="D12" i="219" a="1"/>
  <c r="D101" i="219" s="1"/>
  <c r="D10" i="219" a="1"/>
  <c r="D8" i="219"/>
  <c r="D7" i="219"/>
  <c r="D6" i="219"/>
  <c r="D5" i="219"/>
  <c r="N3" i="219"/>
  <c r="N1" i="219"/>
  <c r="G107" i="218"/>
  <c r="I107" i="218" s="1"/>
  <c r="G108" i="218"/>
  <c r="I108" i="218" s="1"/>
  <c r="G109" i="218"/>
  <c r="I109" i="218" s="1"/>
  <c r="G110" i="218"/>
  <c r="I110" i="218" s="1"/>
  <c r="G111" i="218"/>
  <c r="I111" i="218" s="1"/>
  <c r="G112" i="218"/>
  <c r="I112" i="218" s="1"/>
  <c r="G113" i="218"/>
  <c r="I113" i="218" s="1"/>
  <c r="G114" i="218"/>
  <c r="I114" i="218" s="1"/>
  <c r="G115" i="218"/>
  <c r="I115" i="218" s="1"/>
  <c r="G116" i="218"/>
  <c r="I116" i="218" s="1"/>
  <c r="G117" i="218"/>
  <c r="I117" i="218" s="1"/>
  <c r="G118" i="218"/>
  <c r="I118" i="218" s="1"/>
  <c r="G119" i="218"/>
  <c r="I119" i="218" s="1"/>
  <c r="G120" i="218"/>
  <c r="I120" i="218" s="1"/>
  <c r="G121" i="218"/>
  <c r="I121" i="218" s="1"/>
  <c r="G122" i="218"/>
  <c r="I122" i="218" s="1"/>
  <c r="G123" i="218"/>
  <c r="I123" i="218" s="1"/>
  <c r="G124" i="218"/>
  <c r="I124" i="218" s="1"/>
  <c r="G125" i="218"/>
  <c r="I125" i="218" s="1"/>
  <c r="G126" i="218"/>
  <c r="I126" i="218" s="1"/>
  <c r="G127" i="218"/>
  <c r="I127" i="218" s="1"/>
  <c r="G128" i="218"/>
  <c r="I128" i="218" s="1"/>
  <c r="G129" i="218"/>
  <c r="I129" i="218" s="1"/>
  <c r="G130" i="218"/>
  <c r="I130" i="218" s="1"/>
  <c r="G131" i="218"/>
  <c r="I131" i="218" s="1"/>
  <c r="G132" i="218"/>
  <c r="I132" i="218" s="1"/>
  <c r="G133" i="218"/>
  <c r="I133" i="218" s="1"/>
  <c r="G134" i="218"/>
  <c r="I134" i="218" s="1"/>
  <c r="G135" i="218"/>
  <c r="I135" i="218" s="1"/>
  <c r="G136" i="218"/>
  <c r="I136" i="218" s="1"/>
  <c r="G137" i="218"/>
  <c r="I137" i="218" s="1"/>
  <c r="G138" i="218"/>
  <c r="I138" i="218" s="1"/>
  <c r="G139" i="218"/>
  <c r="I139" i="218" s="1"/>
  <c r="G140" i="218"/>
  <c r="I140" i="218" s="1"/>
  <c r="G141" i="218"/>
  <c r="I141" i="218" s="1"/>
  <c r="G142" i="218"/>
  <c r="I142" i="218" s="1"/>
  <c r="G143" i="218"/>
  <c r="I143" i="218" s="1"/>
  <c r="G144" i="218"/>
  <c r="I144" i="218" s="1"/>
  <c r="G145" i="218"/>
  <c r="I145" i="218" s="1"/>
  <c r="G146" i="218"/>
  <c r="I146" i="218" s="1"/>
  <c r="G147" i="218"/>
  <c r="I147" i="218" s="1"/>
  <c r="G148" i="218"/>
  <c r="I148" i="218" s="1"/>
  <c r="G106" i="218"/>
  <c r="I106" i="218" s="1"/>
  <c r="G58" i="218"/>
  <c r="I58" i="218" s="1"/>
  <c r="G59" i="218"/>
  <c r="I59" i="218" s="1"/>
  <c r="G60" i="218"/>
  <c r="I60" i="218" s="1"/>
  <c r="G61" i="218"/>
  <c r="I61" i="218" s="1"/>
  <c r="G62" i="218"/>
  <c r="I62" i="218" s="1"/>
  <c r="G63" i="218"/>
  <c r="I63" i="218" s="1"/>
  <c r="G64" i="218"/>
  <c r="I64" i="218" s="1"/>
  <c r="G65" i="218"/>
  <c r="I65" i="218" s="1"/>
  <c r="G66" i="218"/>
  <c r="I66" i="218" s="1"/>
  <c r="G67" i="218"/>
  <c r="I67" i="218" s="1"/>
  <c r="G68" i="218"/>
  <c r="I68" i="218" s="1"/>
  <c r="G69" i="218"/>
  <c r="I69" i="218" s="1"/>
  <c r="G70" i="218"/>
  <c r="I70" i="218" s="1"/>
  <c r="G71" i="218"/>
  <c r="I71" i="218" s="1"/>
  <c r="G72" i="218"/>
  <c r="I72" i="218" s="1"/>
  <c r="G73" i="218"/>
  <c r="I73" i="218" s="1"/>
  <c r="G74" i="218"/>
  <c r="I74" i="218" s="1"/>
  <c r="G75" i="218"/>
  <c r="I75" i="218" s="1"/>
  <c r="G76" i="218"/>
  <c r="I76" i="218" s="1"/>
  <c r="G77" i="218"/>
  <c r="I77" i="218" s="1"/>
  <c r="G78" i="218"/>
  <c r="I78" i="218" s="1"/>
  <c r="G79" i="218"/>
  <c r="I79" i="218" s="1"/>
  <c r="G80" i="218"/>
  <c r="I80" i="218" s="1"/>
  <c r="G81" i="218"/>
  <c r="I81" i="218" s="1"/>
  <c r="G82" i="218"/>
  <c r="I82" i="218" s="1"/>
  <c r="G83" i="218"/>
  <c r="I83" i="218" s="1"/>
  <c r="G84" i="218"/>
  <c r="I84" i="218" s="1"/>
  <c r="G85" i="218"/>
  <c r="I85" i="218" s="1"/>
  <c r="G86" i="218"/>
  <c r="I86" i="218" s="1"/>
  <c r="G87" i="218"/>
  <c r="I87" i="218" s="1"/>
  <c r="G88" i="218"/>
  <c r="I88" i="218" s="1"/>
  <c r="G89" i="218"/>
  <c r="I89" i="218" s="1"/>
  <c r="G90" i="218"/>
  <c r="I90" i="218" s="1"/>
  <c r="G91" i="218"/>
  <c r="I91" i="218" s="1"/>
  <c r="G92" i="218"/>
  <c r="I92" i="218" s="1"/>
  <c r="G93" i="218"/>
  <c r="I93" i="218" s="1"/>
  <c r="G94" i="218"/>
  <c r="I94" i="218" s="1"/>
  <c r="G95" i="218"/>
  <c r="I95" i="218" s="1"/>
  <c r="G96" i="218"/>
  <c r="I96" i="218" s="1"/>
  <c r="G97" i="218"/>
  <c r="I97" i="218" s="1"/>
  <c r="G98" i="218"/>
  <c r="I98" i="218" s="1"/>
  <c r="G99" i="218"/>
  <c r="I99" i="218" s="1"/>
  <c r="G100" i="218"/>
  <c r="I100" i="218" s="1"/>
  <c r="G57" i="218"/>
  <c r="M149" i="218"/>
  <c r="H149" i="218"/>
  <c r="D148" i="218"/>
  <c r="C148" i="218"/>
  <c r="B148" i="218"/>
  <c r="D147" i="218"/>
  <c r="C147" i="218"/>
  <c r="B147" i="218"/>
  <c r="D146" i="218"/>
  <c r="C146" i="218"/>
  <c r="B146" i="218"/>
  <c r="D145" i="218"/>
  <c r="C145" i="218"/>
  <c r="B145" i="218"/>
  <c r="D144" i="218"/>
  <c r="C144" i="218"/>
  <c r="B144" i="218"/>
  <c r="D143" i="218"/>
  <c r="C143" i="218"/>
  <c r="B143" i="218"/>
  <c r="D142" i="218"/>
  <c r="C142" i="218"/>
  <c r="B142" i="218"/>
  <c r="D141" i="218"/>
  <c r="C141" i="218"/>
  <c r="B141" i="218"/>
  <c r="D140" i="218"/>
  <c r="C140" i="218"/>
  <c r="B140" i="218"/>
  <c r="D139" i="218"/>
  <c r="C139" i="218"/>
  <c r="B139" i="218"/>
  <c r="D138" i="218"/>
  <c r="C138" i="218"/>
  <c r="B138" i="218"/>
  <c r="D137" i="218"/>
  <c r="C137" i="218"/>
  <c r="B137" i="218"/>
  <c r="D136" i="218"/>
  <c r="C136" i="218"/>
  <c r="B136" i="218"/>
  <c r="D135" i="218"/>
  <c r="C135" i="218"/>
  <c r="B135" i="218"/>
  <c r="D134" i="218"/>
  <c r="C134" i="218"/>
  <c r="B134" i="218"/>
  <c r="D133" i="218"/>
  <c r="C133" i="218"/>
  <c r="B133" i="218"/>
  <c r="D132" i="218"/>
  <c r="C132" i="218"/>
  <c r="B132" i="218"/>
  <c r="D131" i="218"/>
  <c r="C131" i="218"/>
  <c r="B131" i="218"/>
  <c r="D130" i="218"/>
  <c r="C130" i="218"/>
  <c r="B130" i="218"/>
  <c r="D129" i="218"/>
  <c r="C129" i="218"/>
  <c r="B129" i="218"/>
  <c r="D128" i="218"/>
  <c r="C128" i="218"/>
  <c r="B128" i="218"/>
  <c r="D127" i="218"/>
  <c r="C127" i="218"/>
  <c r="B127" i="218"/>
  <c r="D126" i="218"/>
  <c r="C126" i="218"/>
  <c r="B126" i="218"/>
  <c r="D125" i="218"/>
  <c r="C125" i="218"/>
  <c r="B125" i="218"/>
  <c r="D124" i="218"/>
  <c r="C124" i="218"/>
  <c r="B124" i="218"/>
  <c r="D123" i="218"/>
  <c r="C123" i="218"/>
  <c r="B123" i="218"/>
  <c r="D122" i="218"/>
  <c r="C122" i="218"/>
  <c r="B122" i="218"/>
  <c r="D121" i="218"/>
  <c r="C121" i="218"/>
  <c r="B121" i="218"/>
  <c r="D120" i="218"/>
  <c r="C120" i="218"/>
  <c r="B120" i="218"/>
  <c r="D119" i="218"/>
  <c r="C119" i="218"/>
  <c r="B119" i="218"/>
  <c r="D118" i="218"/>
  <c r="C118" i="218"/>
  <c r="B118" i="218"/>
  <c r="D117" i="218"/>
  <c r="C117" i="218"/>
  <c r="B117" i="218"/>
  <c r="D116" i="218"/>
  <c r="C116" i="218"/>
  <c r="B116" i="218"/>
  <c r="D115" i="218"/>
  <c r="C115" i="218"/>
  <c r="B115" i="218"/>
  <c r="D114" i="218"/>
  <c r="C114" i="218"/>
  <c r="B114" i="218"/>
  <c r="D113" i="218"/>
  <c r="C113" i="218"/>
  <c r="B113" i="218"/>
  <c r="D112" i="218"/>
  <c r="C112" i="218"/>
  <c r="B112" i="218"/>
  <c r="D111" i="218"/>
  <c r="C111" i="218"/>
  <c r="B111" i="218"/>
  <c r="D110" i="218"/>
  <c r="C110" i="218"/>
  <c r="B110" i="218"/>
  <c r="D109" i="218"/>
  <c r="C109" i="218"/>
  <c r="B109" i="218"/>
  <c r="D108" i="218"/>
  <c r="C108" i="218"/>
  <c r="B108" i="218"/>
  <c r="D107" i="218"/>
  <c r="C107" i="218"/>
  <c r="B107" i="218"/>
  <c r="D106" i="218"/>
  <c r="C106" i="218"/>
  <c r="B106" i="218"/>
  <c r="A106" i="218"/>
  <c r="A107" i="218" s="1"/>
  <c r="A108" i="218" s="1"/>
  <c r="A109" i="218" s="1"/>
  <c r="A110" i="218" s="1"/>
  <c r="A111" i="218" s="1"/>
  <c r="A112" i="218" s="1"/>
  <c r="A113" i="218" s="1"/>
  <c r="A114" i="218" s="1"/>
  <c r="A115" i="218" s="1"/>
  <c r="A116" i="218" s="1"/>
  <c r="A117" i="218" s="1"/>
  <c r="A118" i="218" s="1"/>
  <c r="A119" i="218" s="1"/>
  <c r="A120" i="218" s="1"/>
  <c r="A121" i="218" s="1"/>
  <c r="A122" i="218" s="1"/>
  <c r="A123" i="218" s="1"/>
  <c r="A124" i="218" s="1"/>
  <c r="A125" i="218" s="1"/>
  <c r="A126" i="218" s="1"/>
  <c r="A127" i="218" s="1"/>
  <c r="A128" i="218" s="1"/>
  <c r="A129" i="218" s="1"/>
  <c r="A130" i="218" s="1"/>
  <c r="A131" i="218" s="1"/>
  <c r="A132" i="218" s="1"/>
  <c r="A133" i="218" s="1"/>
  <c r="A134" i="218" s="1"/>
  <c r="A135" i="218" s="1"/>
  <c r="A136" i="218" s="1"/>
  <c r="A137" i="218" s="1"/>
  <c r="A138" i="218" s="1"/>
  <c r="A139" i="218" s="1"/>
  <c r="A140" i="218" s="1"/>
  <c r="A141" i="218" s="1"/>
  <c r="A142" i="218" s="1"/>
  <c r="A143" i="218" s="1"/>
  <c r="A144" i="218" s="1"/>
  <c r="A145" i="218" s="1"/>
  <c r="A146" i="218" s="1"/>
  <c r="A147" i="218" s="1"/>
  <c r="A148" i="218" s="1"/>
  <c r="N103" i="218"/>
  <c r="J103" i="218"/>
  <c r="H103" i="218"/>
  <c r="J102" i="218"/>
  <c r="H102" i="218"/>
  <c r="J101" i="218"/>
  <c r="D100" i="218"/>
  <c r="C100" i="218"/>
  <c r="B100" i="218"/>
  <c r="D99" i="218"/>
  <c r="C99" i="218"/>
  <c r="B99" i="218"/>
  <c r="D98" i="218"/>
  <c r="C98" i="218"/>
  <c r="B98" i="218"/>
  <c r="D97" i="218"/>
  <c r="C97" i="218"/>
  <c r="B97" i="218"/>
  <c r="D96" i="218"/>
  <c r="C96" i="218"/>
  <c r="B96" i="218"/>
  <c r="D95" i="218"/>
  <c r="C95" i="218"/>
  <c r="B95" i="218"/>
  <c r="D94" i="218"/>
  <c r="C94" i="218"/>
  <c r="B94" i="218"/>
  <c r="D93" i="218"/>
  <c r="C93" i="218"/>
  <c r="B93" i="218"/>
  <c r="D92" i="218"/>
  <c r="C92" i="218"/>
  <c r="B92" i="218"/>
  <c r="D91" i="218"/>
  <c r="C91" i="218"/>
  <c r="B91" i="218"/>
  <c r="D90" i="218"/>
  <c r="C90" i="218"/>
  <c r="B90" i="218"/>
  <c r="D89" i="218"/>
  <c r="C89" i="218"/>
  <c r="B89" i="218"/>
  <c r="D88" i="218"/>
  <c r="C88" i="218"/>
  <c r="B88" i="218"/>
  <c r="D87" i="218"/>
  <c r="C87" i="218"/>
  <c r="B87" i="218"/>
  <c r="D86" i="218"/>
  <c r="C86" i="218"/>
  <c r="B86" i="218"/>
  <c r="D85" i="218"/>
  <c r="C85" i="218"/>
  <c r="B85" i="218"/>
  <c r="D84" i="218"/>
  <c r="C84" i="218"/>
  <c r="B84" i="218"/>
  <c r="D83" i="218"/>
  <c r="C83" i="218"/>
  <c r="B83" i="218"/>
  <c r="D82" i="218"/>
  <c r="C82" i="218"/>
  <c r="B82" i="218"/>
  <c r="D81" i="218"/>
  <c r="C81" i="218"/>
  <c r="B81" i="218"/>
  <c r="D80" i="218"/>
  <c r="C80" i="218"/>
  <c r="B80" i="218"/>
  <c r="D79" i="218"/>
  <c r="C79" i="218"/>
  <c r="B79" i="218"/>
  <c r="D78" i="218"/>
  <c r="C78" i="218"/>
  <c r="B78" i="218"/>
  <c r="D77" i="218"/>
  <c r="C77" i="218"/>
  <c r="B77" i="218"/>
  <c r="D76" i="218"/>
  <c r="C76" i="218"/>
  <c r="B76" i="218"/>
  <c r="D75" i="218"/>
  <c r="C75" i="218"/>
  <c r="B75" i="218"/>
  <c r="D74" i="218"/>
  <c r="C74" i="218"/>
  <c r="B74" i="218"/>
  <c r="D73" i="218"/>
  <c r="C73" i="218"/>
  <c r="B73" i="218"/>
  <c r="D72" i="218"/>
  <c r="C72" i="218"/>
  <c r="B72" i="218"/>
  <c r="D71" i="218"/>
  <c r="C71" i="218"/>
  <c r="B71" i="218"/>
  <c r="D70" i="218"/>
  <c r="C70" i="218"/>
  <c r="B70" i="218"/>
  <c r="D69" i="218"/>
  <c r="C69" i="218"/>
  <c r="B69" i="218"/>
  <c r="D68" i="218"/>
  <c r="C68" i="218"/>
  <c r="B68" i="218"/>
  <c r="D67" i="218"/>
  <c r="C67" i="218"/>
  <c r="B67" i="218"/>
  <c r="D66" i="218"/>
  <c r="C66" i="218"/>
  <c r="B66" i="218"/>
  <c r="D65" i="218"/>
  <c r="C65" i="218"/>
  <c r="B65" i="218"/>
  <c r="D64" i="218"/>
  <c r="C64" i="218"/>
  <c r="B64" i="218"/>
  <c r="D63" i="218"/>
  <c r="C63" i="218"/>
  <c r="B63" i="218"/>
  <c r="D62" i="218"/>
  <c r="C62" i="218"/>
  <c r="B62" i="218"/>
  <c r="D61" i="218"/>
  <c r="C61" i="218"/>
  <c r="B61" i="218"/>
  <c r="D60" i="218"/>
  <c r="C60" i="218"/>
  <c r="B60" i="218"/>
  <c r="D59" i="218"/>
  <c r="C59" i="218"/>
  <c r="B59" i="218"/>
  <c r="D58" i="218"/>
  <c r="C58" i="218"/>
  <c r="B58" i="218"/>
  <c r="D57" i="218"/>
  <c r="C57" i="218"/>
  <c r="B57" i="218"/>
  <c r="N54" i="218"/>
  <c r="J54" i="218"/>
  <c r="H54" i="218"/>
  <c r="J53" i="218"/>
  <c r="H53" i="218"/>
  <c r="J52" i="218"/>
  <c r="D21" i="218" a="1"/>
  <c r="D20" i="218" a="1"/>
  <c r="D19" i="218" a="1"/>
  <c r="D14" i="218" a="1"/>
  <c r="D54" i="218" s="1"/>
  <c r="D13" i="218" a="1"/>
  <c r="D12" i="218" a="1"/>
  <c r="D10" i="218" a="1"/>
  <c r="D8" i="218"/>
  <c r="D7" i="218"/>
  <c r="D6" i="218"/>
  <c r="D5" i="218"/>
  <c r="N3" i="218"/>
  <c r="N1" i="218"/>
  <c r="G107" i="217"/>
  <c r="I107" i="217" s="1"/>
  <c r="G108" i="217"/>
  <c r="I108" i="217" s="1"/>
  <c r="G109" i="217"/>
  <c r="I109" i="217" s="1"/>
  <c r="G110" i="217"/>
  <c r="I110" i="217" s="1"/>
  <c r="G111" i="217"/>
  <c r="I111" i="217" s="1"/>
  <c r="G112" i="217"/>
  <c r="I112" i="217" s="1"/>
  <c r="G113" i="217"/>
  <c r="I113" i="217" s="1"/>
  <c r="G114" i="217"/>
  <c r="I114" i="217" s="1"/>
  <c r="G115" i="217"/>
  <c r="I115" i="217" s="1"/>
  <c r="G116" i="217"/>
  <c r="I116" i="217" s="1"/>
  <c r="G117" i="217"/>
  <c r="I117" i="217" s="1"/>
  <c r="G118" i="217"/>
  <c r="I118" i="217" s="1"/>
  <c r="G119" i="217"/>
  <c r="I119" i="217" s="1"/>
  <c r="G120" i="217"/>
  <c r="I120" i="217" s="1"/>
  <c r="G121" i="217"/>
  <c r="I121" i="217" s="1"/>
  <c r="G122" i="217"/>
  <c r="I122" i="217" s="1"/>
  <c r="G123" i="217"/>
  <c r="I123" i="217" s="1"/>
  <c r="G124" i="217"/>
  <c r="I124" i="217" s="1"/>
  <c r="G125" i="217"/>
  <c r="I125" i="217" s="1"/>
  <c r="G126" i="217"/>
  <c r="I126" i="217" s="1"/>
  <c r="G127" i="217"/>
  <c r="I127" i="217" s="1"/>
  <c r="G128" i="217"/>
  <c r="I128" i="217" s="1"/>
  <c r="G129" i="217"/>
  <c r="I129" i="217" s="1"/>
  <c r="G130" i="217"/>
  <c r="I130" i="217" s="1"/>
  <c r="G131" i="217"/>
  <c r="I131" i="217" s="1"/>
  <c r="G132" i="217"/>
  <c r="I132" i="217" s="1"/>
  <c r="G133" i="217"/>
  <c r="I133" i="217" s="1"/>
  <c r="G134" i="217"/>
  <c r="I134" i="217" s="1"/>
  <c r="G135" i="217"/>
  <c r="I135" i="217" s="1"/>
  <c r="G136" i="217"/>
  <c r="I136" i="217" s="1"/>
  <c r="G137" i="217"/>
  <c r="I137" i="217" s="1"/>
  <c r="G138" i="217"/>
  <c r="I138" i="217" s="1"/>
  <c r="G139" i="217"/>
  <c r="I139" i="217" s="1"/>
  <c r="G140" i="217"/>
  <c r="I140" i="217" s="1"/>
  <c r="G141" i="217"/>
  <c r="I141" i="217" s="1"/>
  <c r="G142" i="217"/>
  <c r="I142" i="217" s="1"/>
  <c r="G143" i="217"/>
  <c r="I143" i="217" s="1"/>
  <c r="G144" i="217"/>
  <c r="I144" i="217" s="1"/>
  <c r="G145" i="217"/>
  <c r="I145" i="217" s="1"/>
  <c r="G146" i="217"/>
  <c r="I146" i="217" s="1"/>
  <c r="G147" i="217"/>
  <c r="I147" i="217" s="1"/>
  <c r="G148" i="217"/>
  <c r="I148" i="217" s="1"/>
  <c r="G106" i="217"/>
  <c r="I106" i="217" s="1"/>
  <c r="G58" i="217"/>
  <c r="I58" i="217" s="1"/>
  <c r="G59" i="217"/>
  <c r="I59" i="217" s="1"/>
  <c r="G60" i="217"/>
  <c r="I60" i="217" s="1"/>
  <c r="G61" i="217"/>
  <c r="I61" i="217" s="1"/>
  <c r="G62" i="217"/>
  <c r="I62" i="217" s="1"/>
  <c r="G63" i="217"/>
  <c r="I63" i="217" s="1"/>
  <c r="G64" i="217"/>
  <c r="I64" i="217" s="1"/>
  <c r="G65" i="217"/>
  <c r="I65" i="217" s="1"/>
  <c r="G66" i="217"/>
  <c r="I66" i="217" s="1"/>
  <c r="G67" i="217"/>
  <c r="I67" i="217" s="1"/>
  <c r="G68" i="217"/>
  <c r="I68" i="217" s="1"/>
  <c r="G69" i="217"/>
  <c r="I69" i="217" s="1"/>
  <c r="G70" i="217"/>
  <c r="I70" i="217" s="1"/>
  <c r="G71" i="217"/>
  <c r="I71" i="217" s="1"/>
  <c r="G72" i="217"/>
  <c r="I72" i="217" s="1"/>
  <c r="G73" i="217"/>
  <c r="I73" i="217" s="1"/>
  <c r="G74" i="217"/>
  <c r="I74" i="217" s="1"/>
  <c r="G75" i="217"/>
  <c r="I75" i="217" s="1"/>
  <c r="G76" i="217"/>
  <c r="I76" i="217" s="1"/>
  <c r="G77" i="217"/>
  <c r="I77" i="217" s="1"/>
  <c r="G78" i="217"/>
  <c r="I78" i="217" s="1"/>
  <c r="G79" i="217"/>
  <c r="I79" i="217" s="1"/>
  <c r="G80" i="217"/>
  <c r="I80" i="217" s="1"/>
  <c r="G81" i="217"/>
  <c r="I81" i="217" s="1"/>
  <c r="G82" i="217"/>
  <c r="I82" i="217" s="1"/>
  <c r="G83" i="217"/>
  <c r="I83" i="217" s="1"/>
  <c r="G84" i="217"/>
  <c r="I84" i="217" s="1"/>
  <c r="G85" i="217"/>
  <c r="I85" i="217" s="1"/>
  <c r="G86" i="217"/>
  <c r="I86" i="217" s="1"/>
  <c r="G87" i="217"/>
  <c r="I87" i="217" s="1"/>
  <c r="G88" i="217"/>
  <c r="I88" i="217" s="1"/>
  <c r="G89" i="217"/>
  <c r="I89" i="217" s="1"/>
  <c r="G90" i="217"/>
  <c r="I90" i="217" s="1"/>
  <c r="G91" i="217"/>
  <c r="I91" i="217" s="1"/>
  <c r="G92" i="217"/>
  <c r="I92" i="217" s="1"/>
  <c r="G93" i="217"/>
  <c r="I93" i="217" s="1"/>
  <c r="G94" i="217"/>
  <c r="I94" i="217" s="1"/>
  <c r="G95" i="217"/>
  <c r="I95" i="217" s="1"/>
  <c r="G96" i="217"/>
  <c r="I96" i="217" s="1"/>
  <c r="G97" i="217"/>
  <c r="I97" i="217" s="1"/>
  <c r="G98" i="217"/>
  <c r="I98" i="217" s="1"/>
  <c r="G99" i="217"/>
  <c r="I99" i="217" s="1"/>
  <c r="G100" i="217"/>
  <c r="I100" i="217" s="1"/>
  <c r="G57" i="217"/>
  <c r="M149" i="217"/>
  <c r="H149" i="217"/>
  <c r="D148" i="217"/>
  <c r="C148" i="217"/>
  <c r="B148" i="217"/>
  <c r="D147" i="217"/>
  <c r="C147" i="217"/>
  <c r="B147" i="217"/>
  <c r="D146" i="217"/>
  <c r="C146" i="217"/>
  <c r="B146" i="217"/>
  <c r="D145" i="217"/>
  <c r="C145" i="217"/>
  <c r="B145" i="217"/>
  <c r="D144" i="217"/>
  <c r="C144" i="217"/>
  <c r="B144" i="217"/>
  <c r="D143" i="217"/>
  <c r="C143" i="217"/>
  <c r="B143" i="217"/>
  <c r="D142" i="217"/>
  <c r="C142" i="217"/>
  <c r="B142" i="217"/>
  <c r="D141" i="217"/>
  <c r="C141" i="217"/>
  <c r="B141" i="217"/>
  <c r="D140" i="217"/>
  <c r="C140" i="217"/>
  <c r="B140" i="217"/>
  <c r="D139" i="217"/>
  <c r="C139" i="217"/>
  <c r="B139" i="217"/>
  <c r="D138" i="217"/>
  <c r="C138" i="217"/>
  <c r="B138" i="217"/>
  <c r="D137" i="217"/>
  <c r="C137" i="217"/>
  <c r="B137" i="217"/>
  <c r="D136" i="217"/>
  <c r="C136" i="217"/>
  <c r="B136" i="217"/>
  <c r="D135" i="217"/>
  <c r="C135" i="217"/>
  <c r="B135" i="217"/>
  <c r="D134" i="217"/>
  <c r="C134" i="217"/>
  <c r="B134" i="217"/>
  <c r="D133" i="217"/>
  <c r="C133" i="217"/>
  <c r="B133" i="217"/>
  <c r="D132" i="217"/>
  <c r="C132" i="217"/>
  <c r="B132" i="217"/>
  <c r="D131" i="217"/>
  <c r="C131" i="217"/>
  <c r="B131" i="217"/>
  <c r="D130" i="217"/>
  <c r="C130" i="217"/>
  <c r="B130" i="217"/>
  <c r="D129" i="217"/>
  <c r="C129" i="217"/>
  <c r="B129" i="217"/>
  <c r="D128" i="217"/>
  <c r="C128" i="217"/>
  <c r="B128" i="217"/>
  <c r="D127" i="217"/>
  <c r="C127" i="217"/>
  <c r="B127" i="217"/>
  <c r="D126" i="217"/>
  <c r="C126" i="217"/>
  <c r="B126" i="217"/>
  <c r="D125" i="217"/>
  <c r="C125" i="217"/>
  <c r="B125" i="217"/>
  <c r="D124" i="217"/>
  <c r="C124" i="217"/>
  <c r="B124" i="217"/>
  <c r="D123" i="217"/>
  <c r="C123" i="217"/>
  <c r="B123" i="217"/>
  <c r="D122" i="217"/>
  <c r="C122" i="217"/>
  <c r="B122" i="217"/>
  <c r="D121" i="217"/>
  <c r="C121" i="217"/>
  <c r="B121" i="217"/>
  <c r="D120" i="217"/>
  <c r="C120" i="217"/>
  <c r="B120" i="217"/>
  <c r="D119" i="217"/>
  <c r="C119" i="217"/>
  <c r="B119" i="217"/>
  <c r="D118" i="217"/>
  <c r="C118" i="217"/>
  <c r="B118" i="217"/>
  <c r="D117" i="217"/>
  <c r="C117" i="217"/>
  <c r="B117" i="217"/>
  <c r="D116" i="217"/>
  <c r="C116" i="217"/>
  <c r="B116" i="217"/>
  <c r="D115" i="217"/>
  <c r="C115" i="217"/>
  <c r="B115" i="217"/>
  <c r="D114" i="217"/>
  <c r="C114" i="217"/>
  <c r="B114" i="217"/>
  <c r="D113" i="217"/>
  <c r="C113" i="217"/>
  <c r="B113" i="217"/>
  <c r="D112" i="217"/>
  <c r="C112" i="217"/>
  <c r="B112" i="217"/>
  <c r="D111" i="217"/>
  <c r="C111" i="217"/>
  <c r="B111" i="217"/>
  <c r="D110" i="217"/>
  <c r="C110" i="217"/>
  <c r="B110" i="217"/>
  <c r="D109" i="217"/>
  <c r="C109" i="217"/>
  <c r="B109" i="217"/>
  <c r="D108" i="217"/>
  <c r="C108" i="217"/>
  <c r="B108" i="217"/>
  <c r="D107" i="217"/>
  <c r="C107" i="217"/>
  <c r="B107" i="217"/>
  <c r="D106" i="217"/>
  <c r="C106" i="217"/>
  <c r="B106" i="217"/>
  <c r="A106" i="217"/>
  <c r="A107" i="217" s="1"/>
  <c r="A108" i="217" s="1"/>
  <c r="A109" i="217" s="1"/>
  <c r="A110" i="217" s="1"/>
  <c r="A111" i="217" s="1"/>
  <c r="A112" i="217" s="1"/>
  <c r="A113" i="217" s="1"/>
  <c r="A114" i="217" s="1"/>
  <c r="A115" i="217" s="1"/>
  <c r="A116" i="217" s="1"/>
  <c r="A117" i="217" s="1"/>
  <c r="A118" i="217" s="1"/>
  <c r="A119" i="217" s="1"/>
  <c r="A120" i="217" s="1"/>
  <c r="A121" i="217" s="1"/>
  <c r="A122" i="217" s="1"/>
  <c r="A123" i="217" s="1"/>
  <c r="A124" i="217" s="1"/>
  <c r="A125" i="217" s="1"/>
  <c r="A126" i="217" s="1"/>
  <c r="A127" i="217" s="1"/>
  <c r="A128" i="217" s="1"/>
  <c r="A129" i="217" s="1"/>
  <c r="A130" i="217" s="1"/>
  <c r="A131" i="217" s="1"/>
  <c r="A132" i="217" s="1"/>
  <c r="A133" i="217" s="1"/>
  <c r="A134" i="217" s="1"/>
  <c r="A135" i="217" s="1"/>
  <c r="A136" i="217" s="1"/>
  <c r="A137" i="217" s="1"/>
  <c r="A138" i="217" s="1"/>
  <c r="A139" i="217" s="1"/>
  <c r="A140" i="217" s="1"/>
  <c r="A141" i="217" s="1"/>
  <c r="A142" i="217" s="1"/>
  <c r="A143" i="217" s="1"/>
  <c r="A144" i="217" s="1"/>
  <c r="A145" i="217" s="1"/>
  <c r="A146" i="217" s="1"/>
  <c r="A147" i="217" s="1"/>
  <c r="A148" i="217" s="1"/>
  <c r="N103" i="217"/>
  <c r="J103" i="217"/>
  <c r="H103" i="217"/>
  <c r="J102" i="217"/>
  <c r="H102" i="217"/>
  <c r="J101" i="217"/>
  <c r="D100" i="217"/>
  <c r="C100" i="217"/>
  <c r="B100" i="217"/>
  <c r="D99" i="217"/>
  <c r="C99" i="217"/>
  <c r="B99" i="217"/>
  <c r="D98" i="217"/>
  <c r="C98" i="217"/>
  <c r="B98" i="217"/>
  <c r="D97" i="217"/>
  <c r="C97" i="217"/>
  <c r="B97" i="217"/>
  <c r="D96" i="217"/>
  <c r="C96" i="217"/>
  <c r="B96" i="217"/>
  <c r="D95" i="217"/>
  <c r="C95" i="217"/>
  <c r="B95" i="217"/>
  <c r="D94" i="217"/>
  <c r="C94" i="217"/>
  <c r="B94" i="217"/>
  <c r="D93" i="217"/>
  <c r="C93" i="217"/>
  <c r="B93" i="217"/>
  <c r="D92" i="217"/>
  <c r="C92" i="217"/>
  <c r="B92" i="217"/>
  <c r="D91" i="217"/>
  <c r="C91" i="217"/>
  <c r="B91" i="217"/>
  <c r="D90" i="217"/>
  <c r="C90" i="217"/>
  <c r="B90" i="217"/>
  <c r="D89" i="217"/>
  <c r="C89" i="217"/>
  <c r="B89" i="217"/>
  <c r="D88" i="217"/>
  <c r="C88" i="217"/>
  <c r="B88" i="217"/>
  <c r="D87" i="217"/>
  <c r="C87" i="217"/>
  <c r="B87" i="217"/>
  <c r="D86" i="217"/>
  <c r="C86" i="217"/>
  <c r="B86" i="217"/>
  <c r="D85" i="217"/>
  <c r="C85" i="217"/>
  <c r="B85" i="217"/>
  <c r="D84" i="217"/>
  <c r="C84" i="217"/>
  <c r="B84" i="217"/>
  <c r="D83" i="217"/>
  <c r="C83" i="217"/>
  <c r="B83" i="217"/>
  <c r="D82" i="217"/>
  <c r="C82" i="217"/>
  <c r="B82" i="217"/>
  <c r="D81" i="217"/>
  <c r="C81" i="217"/>
  <c r="B81" i="217"/>
  <c r="D80" i="217"/>
  <c r="C80" i="217"/>
  <c r="B80" i="217"/>
  <c r="D79" i="217"/>
  <c r="C79" i="217"/>
  <c r="B79" i="217"/>
  <c r="D78" i="217"/>
  <c r="C78" i="217"/>
  <c r="B78" i="217"/>
  <c r="D77" i="217"/>
  <c r="C77" i="217"/>
  <c r="B77" i="217"/>
  <c r="D76" i="217"/>
  <c r="C76" i="217"/>
  <c r="B76" i="217"/>
  <c r="D75" i="217"/>
  <c r="C75" i="217"/>
  <c r="B75" i="217"/>
  <c r="D74" i="217"/>
  <c r="C74" i="217"/>
  <c r="B74" i="217"/>
  <c r="D73" i="217"/>
  <c r="C73" i="217"/>
  <c r="B73" i="217"/>
  <c r="D72" i="217"/>
  <c r="C72" i="217"/>
  <c r="B72" i="217"/>
  <c r="D71" i="217"/>
  <c r="C71" i="217"/>
  <c r="B71" i="217"/>
  <c r="D70" i="217"/>
  <c r="C70" i="217"/>
  <c r="B70" i="217"/>
  <c r="D69" i="217"/>
  <c r="C69" i="217"/>
  <c r="B69" i="217"/>
  <c r="D68" i="217"/>
  <c r="C68" i="217"/>
  <c r="B68" i="217"/>
  <c r="D67" i="217"/>
  <c r="C67" i="217"/>
  <c r="B67" i="217"/>
  <c r="D66" i="217"/>
  <c r="C66" i="217"/>
  <c r="B66" i="217"/>
  <c r="D65" i="217"/>
  <c r="C65" i="217"/>
  <c r="B65" i="217"/>
  <c r="D64" i="217"/>
  <c r="C64" i="217"/>
  <c r="B64" i="217"/>
  <c r="D63" i="217"/>
  <c r="C63" i="217"/>
  <c r="B63" i="217"/>
  <c r="D62" i="217"/>
  <c r="C62" i="217"/>
  <c r="B62" i="217"/>
  <c r="D61" i="217"/>
  <c r="C61" i="217"/>
  <c r="B61" i="217"/>
  <c r="D60" i="217"/>
  <c r="C60" i="217"/>
  <c r="B60" i="217"/>
  <c r="D59" i="217"/>
  <c r="C59" i="217"/>
  <c r="B59" i="217"/>
  <c r="D58" i="217"/>
  <c r="C58" i="217"/>
  <c r="B58" i="217"/>
  <c r="D57" i="217"/>
  <c r="C57" i="217"/>
  <c r="B57" i="217"/>
  <c r="N54" i="217"/>
  <c r="J54" i="217"/>
  <c r="H54" i="217"/>
  <c r="J53" i="217"/>
  <c r="H53" i="217"/>
  <c r="J52" i="217"/>
  <c r="D21" i="217" a="1"/>
  <c r="D20" i="217" a="1"/>
  <c r="D19" i="217" a="1"/>
  <c r="D14" i="217" a="1"/>
  <c r="D54" i="217" s="1"/>
  <c r="D13" i="217" a="1"/>
  <c r="D12" i="217" a="1"/>
  <c r="D10" i="217" a="1"/>
  <c r="D8" i="217"/>
  <c r="D7" i="217"/>
  <c r="D6" i="217"/>
  <c r="D5" i="217"/>
  <c r="N3" i="217"/>
  <c r="N1" i="217"/>
  <c r="G107" i="216"/>
  <c r="I107" i="216" s="1"/>
  <c r="G108" i="216"/>
  <c r="I108" i="216" s="1"/>
  <c r="G109" i="216"/>
  <c r="I109" i="216" s="1"/>
  <c r="G110" i="216"/>
  <c r="I110" i="216" s="1"/>
  <c r="G111" i="216"/>
  <c r="I111" i="216" s="1"/>
  <c r="G112" i="216"/>
  <c r="I112" i="216" s="1"/>
  <c r="G113" i="216"/>
  <c r="I113" i="216" s="1"/>
  <c r="G114" i="216"/>
  <c r="I114" i="216" s="1"/>
  <c r="G115" i="216"/>
  <c r="I115" i="216" s="1"/>
  <c r="G116" i="216"/>
  <c r="I116" i="216" s="1"/>
  <c r="G117" i="216"/>
  <c r="I117" i="216" s="1"/>
  <c r="G118" i="216"/>
  <c r="I118" i="216" s="1"/>
  <c r="G119" i="216"/>
  <c r="I119" i="216" s="1"/>
  <c r="G120" i="216"/>
  <c r="I120" i="216" s="1"/>
  <c r="G121" i="216"/>
  <c r="I121" i="216" s="1"/>
  <c r="G122" i="216"/>
  <c r="I122" i="216" s="1"/>
  <c r="G123" i="216"/>
  <c r="I123" i="216" s="1"/>
  <c r="G124" i="216"/>
  <c r="I124" i="216" s="1"/>
  <c r="G125" i="216"/>
  <c r="I125" i="216" s="1"/>
  <c r="G126" i="216"/>
  <c r="I126" i="216" s="1"/>
  <c r="G127" i="216"/>
  <c r="I127" i="216" s="1"/>
  <c r="G128" i="216"/>
  <c r="I128" i="216" s="1"/>
  <c r="G129" i="216"/>
  <c r="I129" i="216" s="1"/>
  <c r="G130" i="216"/>
  <c r="I130" i="216" s="1"/>
  <c r="G131" i="216"/>
  <c r="I131" i="216" s="1"/>
  <c r="G132" i="216"/>
  <c r="I132" i="216" s="1"/>
  <c r="G133" i="216"/>
  <c r="I133" i="216" s="1"/>
  <c r="G134" i="216"/>
  <c r="I134" i="216" s="1"/>
  <c r="G135" i="216"/>
  <c r="I135" i="216" s="1"/>
  <c r="G136" i="216"/>
  <c r="I136" i="216" s="1"/>
  <c r="G137" i="216"/>
  <c r="I137" i="216" s="1"/>
  <c r="G138" i="216"/>
  <c r="I138" i="216" s="1"/>
  <c r="G139" i="216"/>
  <c r="I139" i="216" s="1"/>
  <c r="G140" i="216"/>
  <c r="I140" i="216" s="1"/>
  <c r="G141" i="216"/>
  <c r="I141" i="216" s="1"/>
  <c r="G142" i="216"/>
  <c r="I142" i="216" s="1"/>
  <c r="G143" i="216"/>
  <c r="I143" i="216" s="1"/>
  <c r="G144" i="216"/>
  <c r="I144" i="216" s="1"/>
  <c r="G145" i="216"/>
  <c r="I145" i="216" s="1"/>
  <c r="G146" i="216"/>
  <c r="I146" i="216" s="1"/>
  <c r="G147" i="216"/>
  <c r="I147" i="216" s="1"/>
  <c r="G148" i="216"/>
  <c r="I148" i="216" s="1"/>
  <c r="G106" i="216"/>
  <c r="I106" i="216" s="1"/>
  <c r="G83" i="216"/>
  <c r="I83" i="216" s="1"/>
  <c r="G84" i="216"/>
  <c r="I84" i="216" s="1"/>
  <c r="G85" i="216"/>
  <c r="I85" i="216" s="1"/>
  <c r="G86" i="216"/>
  <c r="I86" i="216" s="1"/>
  <c r="G87" i="216"/>
  <c r="I87" i="216" s="1"/>
  <c r="G88" i="216"/>
  <c r="I88" i="216" s="1"/>
  <c r="G89" i="216"/>
  <c r="I89" i="216" s="1"/>
  <c r="G90" i="216"/>
  <c r="I90" i="216" s="1"/>
  <c r="G91" i="216"/>
  <c r="I91" i="216" s="1"/>
  <c r="G92" i="216"/>
  <c r="I92" i="216" s="1"/>
  <c r="G93" i="216"/>
  <c r="I93" i="216" s="1"/>
  <c r="G94" i="216"/>
  <c r="I94" i="216" s="1"/>
  <c r="G95" i="216"/>
  <c r="I95" i="216" s="1"/>
  <c r="G96" i="216"/>
  <c r="I96" i="216" s="1"/>
  <c r="G97" i="216"/>
  <c r="I97" i="216" s="1"/>
  <c r="G98" i="216"/>
  <c r="I98" i="216" s="1"/>
  <c r="G99" i="216"/>
  <c r="I99" i="216" s="1"/>
  <c r="G100" i="216"/>
  <c r="I100" i="216" s="1"/>
  <c r="G58" i="216"/>
  <c r="I58" i="216" s="1"/>
  <c r="G59" i="216"/>
  <c r="I59" i="216" s="1"/>
  <c r="G60" i="216"/>
  <c r="I60" i="216" s="1"/>
  <c r="G61" i="216"/>
  <c r="I61" i="216" s="1"/>
  <c r="G62" i="216"/>
  <c r="I62" i="216" s="1"/>
  <c r="G63" i="216"/>
  <c r="I63" i="216" s="1"/>
  <c r="G64" i="216"/>
  <c r="I64" i="216" s="1"/>
  <c r="G65" i="216"/>
  <c r="I65" i="216" s="1"/>
  <c r="G66" i="216"/>
  <c r="I66" i="216" s="1"/>
  <c r="G67" i="216"/>
  <c r="I67" i="216" s="1"/>
  <c r="G68" i="216"/>
  <c r="I68" i="216" s="1"/>
  <c r="G69" i="216"/>
  <c r="I69" i="216" s="1"/>
  <c r="G70" i="216"/>
  <c r="I70" i="216" s="1"/>
  <c r="G71" i="216"/>
  <c r="I71" i="216" s="1"/>
  <c r="G72" i="216"/>
  <c r="I72" i="216" s="1"/>
  <c r="G73" i="216"/>
  <c r="I73" i="216" s="1"/>
  <c r="G74" i="216"/>
  <c r="I74" i="216" s="1"/>
  <c r="G75" i="216"/>
  <c r="I75" i="216" s="1"/>
  <c r="G76" i="216"/>
  <c r="I76" i="216" s="1"/>
  <c r="G77" i="216"/>
  <c r="I77" i="216" s="1"/>
  <c r="G78" i="216"/>
  <c r="I78" i="216" s="1"/>
  <c r="G79" i="216"/>
  <c r="I79" i="216" s="1"/>
  <c r="G80" i="216"/>
  <c r="I80" i="216" s="1"/>
  <c r="G81" i="216"/>
  <c r="I81" i="216" s="1"/>
  <c r="G82" i="216"/>
  <c r="I82" i="216" s="1"/>
  <c r="G57" i="216"/>
  <c r="M149" i="216"/>
  <c r="H149" i="216"/>
  <c r="D148" i="216"/>
  <c r="C148" i="216"/>
  <c r="B148" i="216"/>
  <c r="D147" i="216"/>
  <c r="C147" i="216"/>
  <c r="B147" i="216"/>
  <c r="D146" i="216"/>
  <c r="C146" i="216"/>
  <c r="B146" i="216"/>
  <c r="D145" i="216"/>
  <c r="C145" i="216"/>
  <c r="B145" i="216"/>
  <c r="D144" i="216"/>
  <c r="C144" i="216"/>
  <c r="B144" i="216"/>
  <c r="D143" i="216"/>
  <c r="C143" i="216"/>
  <c r="B143" i="216"/>
  <c r="D142" i="216"/>
  <c r="C142" i="216"/>
  <c r="B142" i="216"/>
  <c r="D141" i="216"/>
  <c r="C141" i="216"/>
  <c r="B141" i="216"/>
  <c r="D140" i="216"/>
  <c r="C140" i="216"/>
  <c r="B140" i="216"/>
  <c r="D139" i="216"/>
  <c r="C139" i="216"/>
  <c r="B139" i="216"/>
  <c r="D138" i="216"/>
  <c r="C138" i="216"/>
  <c r="B138" i="216"/>
  <c r="D137" i="216"/>
  <c r="C137" i="216"/>
  <c r="B137" i="216"/>
  <c r="D136" i="216"/>
  <c r="C136" i="216"/>
  <c r="B136" i="216"/>
  <c r="D135" i="216"/>
  <c r="C135" i="216"/>
  <c r="B135" i="216"/>
  <c r="D134" i="216"/>
  <c r="C134" i="216"/>
  <c r="B134" i="216"/>
  <c r="D133" i="216"/>
  <c r="C133" i="216"/>
  <c r="B133" i="216"/>
  <c r="D132" i="216"/>
  <c r="C132" i="216"/>
  <c r="B132" i="216"/>
  <c r="D131" i="216"/>
  <c r="C131" i="216"/>
  <c r="B131" i="216"/>
  <c r="D130" i="216"/>
  <c r="C130" i="216"/>
  <c r="B130" i="216"/>
  <c r="D129" i="216"/>
  <c r="C129" i="216"/>
  <c r="B129" i="216"/>
  <c r="D128" i="216"/>
  <c r="C128" i="216"/>
  <c r="B128" i="216"/>
  <c r="D127" i="216"/>
  <c r="C127" i="216"/>
  <c r="B127" i="216"/>
  <c r="D126" i="216"/>
  <c r="C126" i="216"/>
  <c r="B126" i="216"/>
  <c r="D125" i="216"/>
  <c r="C125" i="216"/>
  <c r="B125" i="216"/>
  <c r="D124" i="216"/>
  <c r="C124" i="216"/>
  <c r="B124" i="216"/>
  <c r="D123" i="216"/>
  <c r="C123" i="216"/>
  <c r="B123" i="216"/>
  <c r="D122" i="216"/>
  <c r="C122" i="216"/>
  <c r="B122" i="216"/>
  <c r="D121" i="216"/>
  <c r="C121" i="216"/>
  <c r="B121" i="216"/>
  <c r="D120" i="216"/>
  <c r="C120" i="216"/>
  <c r="B120" i="216"/>
  <c r="D119" i="216"/>
  <c r="C119" i="216"/>
  <c r="B119" i="216"/>
  <c r="D118" i="216"/>
  <c r="C118" i="216"/>
  <c r="B118" i="216"/>
  <c r="D117" i="216"/>
  <c r="C117" i="216"/>
  <c r="B117" i="216"/>
  <c r="D116" i="216"/>
  <c r="C116" i="216"/>
  <c r="B116" i="216"/>
  <c r="D115" i="216"/>
  <c r="C115" i="216"/>
  <c r="B115" i="216"/>
  <c r="D114" i="216"/>
  <c r="C114" i="216"/>
  <c r="B114" i="216"/>
  <c r="D113" i="216"/>
  <c r="C113" i="216"/>
  <c r="B113" i="216"/>
  <c r="D112" i="216"/>
  <c r="C112" i="216"/>
  <c r="B112" i="216"/>
  <c r="D111" i="216"/>
  <c r="C111" i="216"/>
  <c r="B111" i="216"/>
  <c r="D110" i="216"/>
  <c r="C110" i="216"/>
  <c r="B110" i="216"/>
  <c r="D109" i="216"/>
  <c r="C109" i="216"/>
  <c r="B109" i="216"/>
  <c r="D108" i="216"/>
  <c r="C108" i="216"/>
  <c r="B108" i="216"/>
  <c r="D107" i="216"/>
  <c r="C107" i="216"/>
  <c r="B107" i="216"/>
  <c r="D106" i="216"/>
  <c r="C106" i="216"/>
  <c r="B106" i="216"/>
  <c r="A106" i="216"/>
  <c r="A107" i="216" s="1"/>
  <c r="A108" i="216" s="1"/>
  <c r="A109" i="216" s="1"/>
  <c r="A110" i="216" s="1"/>
  <c r="A111" i="216" s="1"/>
  <c r="A112" i="216" s="1"/>
  <c r="A113" i="216" s="1"/>
  <c r="A114" i="216" s="1"/>
  <c r="A115" i="216" s="1"/>
  <c r="A116" i="216" s="1"/>
  <c r="A117" i="216" s="1"/>
  <c r="A118" i="216" s="1"/>
  <c r="A119" i="216" s="1"/>
  <c r="A120" i="216" s="1"/>
  <c r="A121" i="216" s="1"/>
  <c r="A122" i="216" s="1"/>
  <c r="A123" i="216" s="1"/>
  <c r="A124" i="216" s="1"/>
  <c r="A125" i="216" s="1"/>
  <c r="A126" i="216" s="1"/>
  <c r="A127" i="216" s="1"/>
  <c r="A128" i="216" s="1"/>
  <c r="A129" i="216" s="1"/>
  <c r="A130" i="216" s="1"/>
  <c r="A131" i="216" s="1"/>
  <c r="A132" i="216" s="1"/>
  <c r="A133" i="216" s="1"/>
  <c r="A134" i="216" s="1"/>
  <c r="A135" i="216" s="1"/>
  <c r="A136" i="216" s="1"/>
  <c r="A137" i="216" s="1"/>
  <c r="A138" i="216" s="1"/>
  <c r="A139" i="216" s="1"/>
  <c r="A140" i="216" s="1"/>
  <c r="A141" i="216" s="1"/>
  <c r="A142" i="216" s="1"/>
  <c r="A143" i="216" s="1"/>
  <c r="A144" i="216" s="1"/>
  <c r="A145" i="216" s="1"/>
  <c r="A146" i="216" s="1"/>
  <c r="A147" i="216" s="1"/>
  <c r="A148" i="216" s="1"/>
  <c r="N103" i="216"/>
  <c r="J103" i="216"/>
  <c r="H103" i="216"/>
  <c r="J102" i="216"/>
  <c r="H102" i="216"/>
  <c r="J101" i="216"/>
  <c r="D100" i="216"/>
  <c r="C100" i="216"/>
  <c r="B100" i="216"/>
  <c r="D99" i="216"/>
  <c r="C99" i="216"/>
  <c r="B99" i="216"/>
  <c r="D98" i="216"/>
  <c r="C98" i="216"/>
  <c r="B98" i="216"/>
  <c r="D97" i="216"/>
  <c r="C97" i="216"/>
  <c r="B97" i="216"/>
  <c r="D96" i="216"/>
  <c r="C96" i="216"/>
  <c r="B96" i="216"/>
  <c r="D95" i="216"/>
  <c r="C95" i="216"/>
  <c r="B95" i="216"/>
  <c r="D94" i="216"/>
  <c r="C94" i="216"/>
  <c r="B94" i="216"/>
  <c r="D93" i="216"/>
  <c r="C93" i="216"/>
  <c r="B93" i="216"/>
  <c r="D92" i="216"/>
  <c r="C92" i="216"/>
  <c r="B92" i="216"/>
  <c r="D91" i="216"/>
  <c r="C91" i="216"/>
  <c r="B91" i="216"/>
  <c r="D90" i="216"/>
  <c r="C90" i="216"/>
  <c r="B90" i="216"/>
  <c r="D89" i="216"/>
  <c r="C89" i="216"/>
  <c r="B89" i="216"/>
  <c r="D88" i="216"/>
  <c r="C88" i="216"/>
  <c r="B88" i="216"/>
  <c r="D87" i="216"/>
  <c r="C87" i="216"/>
  <c r="B87" i="216"/>
  <c r="D86" i="216"/>
  <c r="C86" i="216"/>
  <c r="B86" i="216"/>
  <c r="D85" i="216"/>
  <c r="C85" i="216"/>
  <c r="B85" i="216"/>
  <c r="D84" i="216"/>
  <c r="C84" i="216"/>
  <c r="B84" i="216"/>
  <c r="D83" i="216"/>
  <c r="C83" i="216"/>
  <c r="B83" i="216"/>
  <c r="D82" i="216"/>
  <c r="C82" i="216"/>
  <c r="B82" i="216"/>
  <c r="D81" i="216"/>
  <c r="C81" i="216"/>
  <c r="B81" i="216"/>
  <c r="D80" i="216"/>
  <c r="C80" i="216"/>
  <c r="B80" i="216"/>
  <c r="D79" i="216"/>
  <c r="C79" i="216"/>
  <c r="B79" i="216"/>
  <c r="D78" i="216"/>
  <c r="C78" i="216"/>
  <c r="B78" i="216"/>
  <c r="D77" i="216"/>
  <c r="C77" i="216"/>
  <c r="B77" i="216"/>
  <c r="D76" i="216"/>
  <c r="C76" i="216"/>
  <c r="B76" i="216"/>
  <c r="D75" i="216"/>
  <c r="C75" i="216"/>
  <c r="B75" i="216"/>
  <c r="D74" i="216"/>
  <c r="C74" i="216"/>
  <c r="B74" i="216"/>
  <c r="D73" i="216"/>
  <c r="C73" i="216"/>
  <c r="B73" i="216"/>
  <c r="D72" i="216"/>
  <c r="C72" i="216"/>
  <c r="B72" i="216"/>
  <c r="D71" i="216"/>
  <c r="C71" i="216"/>
  <c r="B71" i="216"/>
  <c r="D70" i="216"/>
  <c r="C70" i="216"/>
  <c r="B70" i="216"/>
  <c r="D69" i="216"/>
  <c r="C69" i="216"/>
  <c r="B69" i="216"/>
  <c r="D68" i="216"/>
  <c r="C68" i="216"/>
  <c r="B68" i="216"/>
  <c r="D67" i="216"/>
  <c r="C67" i="216"/>
  <c r="B67" i="216"/>
  <c r="D66" i="216"/>
  <c r="C66" i="216"/>
  <c r="B66" i="216"/>
  <c r="D65" i="216"/>
  <c r="C65" i="216"/>
  <c r="B65" i="216"/>
  <c r="D64" i="216"/>
  <c r="C64" i="216"/>
  <c r="B64" i="216"/>
  <c r="D63" i="216"/>
  <c r="C63" i="216"/>
  <c r="B63" i="216"/>
  <c r="D62" i="216"/>
  <c r="C62" i="216"/>
  <c r="B62" i="216"/>
  <c r="D61" i="216"/>
  <c r="C61" i="216"/>
  <c r="B61" i="216"/>
  <c r="D60" i="216"/>
  <c r="C60" i="216"/>
  <c r="B60" i="216"/>
  <c r="D59" i="216"/>
  <c r="C59" i="216"/>
  <c r="B59" i="216"/>
  <c r="D58" i="216"/>
  <c r="C58" i="216"/>
  <c r="B58" i="216"/>
  <c r="D57" i="216"/>
  <c r="C57" i="216"/>
  <c r="B57" i="216"/>
  <c r="N54" i="216"/>
  <c r="J54" i="216"/>
  <c r="H54" i="216"/>
  <c r="J53" i="216"/>
  <c r="H53" i="216"/>
  <c r="J52" i="216"/>
  <c r="D21" i="216" a="1"/>
  <c r="D20" i="216" a="1"/>
  <c r="D19" i="216" a="1"/>
  <c r="D14" i="216" a="1"/>
  <c r="D54" i="216" s="1"/>
  <c r="D13" i="216" a="1"/>
  <c r="D12" i="216" a="1"/>
  <c r="D101" i="216" s="1"/>
  <c r="D10" i="216" a="1"/>
  <c r="D8" i="216"/>
  <c r="D7" i="216"/>
  <c r="D6" i="216"/>
  <c r="D5" i="216"/>
  <c r="N3" i="216"/>
  <c r="N1" i="216"/>
  <c r="G107" i="215"/>
  <c r="I107" i="215" s="1"/>
  <c r="G108" i="215"/>
  <c r="I108" i="215" s="1"/>
  <c r="G109" i="215"/>
  <c r="I109" i="215" s="1"/>
  <c r="G110" i="215"/>
  <c r="I110" i="215" s="1"/>
  <c r="G111" i="215"/>
  <c r="I111" i="215" s="1"/>
  <c r="G112" i="215"/>
  <c r="I112" i="215" s="1"/>
  <c r="G113" i="215"/>
  <c r="I113" i="215" s="1"/>
  <c r="G114" i="215"/>
  <c r="I114" i="215" s="1"/>
  <c r="G115" i="215"/>
  <c r="I115" i="215" s="1"/>
  <c r="G116" i="215"/>
  <c r="I116" i="215" s="1"/>
  <c r="G117" i="215"/>
  <c r="I117" i="215" s="1"/>
  <c r="G118" i="215"/>
  <c r="I118" i="215" s="1"/>
  <c r="G119" i="215"/>
  <c r="I119" i="215" s="1"/>
  <c r="G120" i="215"/>
  <c r="I120" i="215" s="1"/>
  <c r="G121" i="215"/>
  <c r="I121" i="215" s="1"/>
  <c r="G122" i="215"/>
  <c r="I122" i="215" s="1"/>
  <c r="G123" i="215"/>
  <c r="I123" i="215" s="1"/>
  <c r="G124" i="215"/>
  <c r="I124" i="215" s="1"/>
  <c r="G125" i="215"/>
  <c r="I125" i="215" s="1"/>
  <c r="G126" i="215"/>
  <c r="I126" i="215" s="1"/>
  <c r="G127" i="215"/>
  <c r="I127" i="215" s="1"/>
  <c r="G128" i="215"/>
  <c r="I128" i="215" s="1"/>
  <c r="G129" i="215"/>
  <c r="I129" i="215" s="1"/>
  <c r="G130" i="215"/>
  <c r="I130" i="215" s="1"/>
  <c r="G131" i="215"/>
  <c r="I131" i="215" s="1"/>
  <c r="G132" i="215"/>
  <c r="I132" i="215" s="1"/>
  <c r="G133" i="215"/>
  <c r="I133" i="215" s="1"/>
  <c r="G134" i="215"/>
  <c r="I134" i="215" s="1"/>
  <c r="G135" i="215"/>
  <c r="I135" i="215" s="1"/>
  <c r="G136" i="215"/>
  <c r="I136" i="215" s="1"/>
  <c r="G137" i="215"/>
  <c r="I137" i="215" s="1"/>
  <c r="G138" i="215"/>
  <c r="I138" i="215" s="1"/>
  <c r="G139" i="215"/>
  <c r="I139" i="215" s="1"/>
  <c r="G140" i="215"/>
  <c r="I140" i="215" s="1"/>
  <c r="G141" i="215"/>
  <c r="I141" i="215" s="1"/>
  <c r="G142" i="215"/>
  <c r="I142" i="215" s="1"/>
  <c r="G143" i="215"/>
  <c r="I143" i="215" s="1"/>
  <c r="G144" i="215"/>
  <c r="I144" i="215" s="1"/>
  <c r="G145" i="215"/>
  <c r="I145" i="215" s="1"/>
  <c r="G146" i="215"/>
  <c r="I146" i="215" s="1"/>
  <c r="G147" i="215"/>
  <c r="I147" i="215" s="1"/>
  <c r="G148" i="215"/>
  <c r="I148" i="215" s="1"/>
  <c r="G106" i="215"/>
  <c r="I106" i="215" s="1"/>
  <c r="G58" i="215"/>
  <c r="I58" i="215" s="1"/>
  <c r="G59" i="215"/>
  <c r="I59" i="215" s="1"/>
  <c r="G60" i="215"/>
  <c r="I60" i="215" s="1"/>
  <c r="G61" i="215"/>
  <c r="I61" i="215" s="1"/>
  <c r="G62" i="215"/>
  <c r="G63" i="215"/>
  <c r="I63" i="215" s="1"/>
  <c r="G64" i="215"/>
  <c r="I64" i="215" s="1"/>
  <c r="G65" i="215"/>
  <c r="I65" i="215" s="1"/>
  <c r="G66" i="215"/>
  <c r="I66" i="215" s="1"/>
  <c r="G67" i="215"/>
  <c r="I67" i="215" s="1"/>
  <c r="G68" i="215"/>
  <c r="I68" i="215" s="1"/>
  <c r="G69" i="215"/>
  <c r="I69" i="215" s="1"/>
  <c r="G70" i="215"/>
  <c r="I70" i="215" s="1"/>
  <c r="G71" i="215"/>
  <c r="I71" i="215" s="1"/>
  <c r="G72" i="215"/>
  <c r="I72" i="215" s="1"/>
  <c r="G73" i="215"/>
  <c r="I73" i="215" s="1"/>
  <c r="G74" i="215"/>
  <c r="I74" i="215" s="1"/>
  <c r="G75" i="215"/>
  <c r="I75" i="215" s="1"/>
  <c r="G76" i="215"/>
  <c r="I76" i="215" s="1"/>
  <c r="G77" i="215"/>
  <c r="I77" i="215" s="1"/>
  <c r="G78" i="215"/>
  <c r="I78" i="215" s="1"/>
  <c r="G79" i="215"/>
  <c r="I79" i="215" s="1"/>
  <c r="G80" i="215"/>
  <c r="I80" i="215" s="1"/>
  <c r="G81" i="215"/>
  <c r="I81" i="215" s="1"/>
  <c r="G82" i="215"/>
  <c r="I82" i="215" s="1"/>
  <c r="G83" i="215"/>
  <c r="I83" i="215" s="1"/>
  <c r="G84" i="215"/>
  <c r="I84" i="215" s="1"/>
  <c r="G85" i="215"/>
  <c r="I85" i="215" s="1"/>
  <c r="G86" i="215"/>
  <c r="I86" i="215" s="1"/>
  <c r="G87" i="215"/>
  <c r="I87" i="215" s="1"/>
  <c r="G88" i="215"/>
  <c r="I88" i="215" s="1"/>
  <c r="G89" i="215"/>
  <c r="I89" i="215" s="1"/>
  <c r="G90" i="215"/>
  <c r="I90" i="215" s="1"/>
  <c r="G91" i="215"/>
  <c r="I91" i="215" s="1"/>
  <c r="G92" i="215"/>
  <c r="I92" i="215" s="1"/>
  <c r="G93" i="215"/>
  <c r="I93" i="215" s="1"/>
  <c r="G94" i="215"/>
  <c r="I94" i="215" s="1"/>
  <c r="G95" i="215"/>
  <c r="I95" i="215" s="1"/>
  <c r="G96" i="215"/>
  <c r="I96" i="215" s="1"/>
  <c r="G97" i="215"/>
  <c r="I97" i="215" s="1"/>
  <c r="G98" i="215"/>
  <c r="I98" i="215" s="1"/>
  <c r="G99" i="215"/>
  <c r="I99" i="215" s="1"/>
  <c r="G100" i="215"/>
  <c r="I100" i="215" s="1"/>
  <c r="G57" i="215"/>
  <c r="M149" i="215"/>
  <c r="H149" i="215"/>
  <c r="D148" i="215"/>
  <c r="C148" i="215"/>
  <c r="B148" i="215"/>
  <c r="D147" i="215"/>
  <c r="C147" i="215"/>
  <c r="B147" i="215"/>
  <c r="D146" i="215"/>
  <c r="C146" i="215"/>
  <c r="B146" i="215"/>
  <c r="D145" i="215"/>
  <c r="C145" i="215"/>
  <c r="B145" i="215"/>
  <c r="D144" i="215"/>
  <c r="C144" i="215"/>
  <c r="B144" i="215"/>
  <c r="D143" i="215"/>
  <c r="C143" i="215"/>
  <c r="B143" i="215"/>
  <c r="D142" i="215"/>
  <c r="C142" i="215"/>
  <c r="B142" i="215"/>
  <c r="D141" i="215"/>
  <c r="C141" i="215"/>
  <c r="B141" i="215"/>
  <c r="D140" i="215"/>
  <c r="C140" i="215"/>
  <c r="B140" i="215"/>
  <c r="D139" i="215"/>
  <c r="C139" i="215"/>
  <c r="B139" i="215"/>
  <c r="D138" i="215"/>
  <c r="C138" i="215"/>
  <c r="B138" i="215"/>
  <c r="D137" i="215"/>
  <c r="C137" i="215"/>
  <c r="B137" i="215"/>
  <c r="D136" i="215"/>
  <c r="C136" i="215"/>
  <c r="B136" i="215"/>
  <c r="D135" i="215"/>
  <c r="C135" i="215"/>
  <c r="B135" i="215"/>
  <c r="D134" i="215"/>
  <c r="C134" i="215"/>
  <c r="B134" i="215"/>
  <c r="D133" i="215"/>
  <c r="C133" i="215"/>
  <c r="B133" i="215"/>
  <c r="D132" i="215"/>
  <c r="C132" i="215"/>
  <c r="B132" i="215"/>
  <c r="D131" i="215"/>
  <c r="C131" i="215"/>
  <c r="B131" i="215"/>
  <c r="D130" i="215"/>
  <c r="C130" i="215"/>
  <c r="B130" i="215"/>
  <c r="D129" i="215"/>
  <c r="C129" i="215"/>
  <c r="B129" i="215"/>
  <c r="D128" i="215"/>
  <c r="C128" i="215"/>
  <c r="B128" i="215"/>
  <c r="D127" i="215"/>
  <c r="C127" i="215"/>
  <c r="B127" i="215"/>
  <c r="D126" i="215"/>
  <c r="C126" i="215"/>
  <c r="B126" i="215"/>
  <c r="D125" i="215"/>
  <c r="C125" i="215"/>
  <c r="B125" i="215"/>
  <c r="D124" i="215"/>
  <c r="C124" i="215"/>
  <c r="B124" i="215"/>
  <c r="D123" i="215"/>
  <c r="C123" i="215"/>
  <c r="B123" i="215"/>
  <c r="D122" i="215"/>
  <c r="C122" i="215"/>
  <c r="B122" i="215"/>
  <c r="D121" i="215"/>
  <c r="C121" i="215"/>
  <c r="B121" i="215"/>
  <c r="D120" i="215"/>
  <c r="C120" i="215"/>
  <c r="B120" i="215"/>
  <c r="D119" i="215"/>
  <c r="C119" i="215"/>
  <c r="B119" i="215"/>
  <c r="D118" i="215"/>
  <c r="C118" i="215"/>
  <c r="B118" i="215"/>
  <c r="D117" i="215"/>
  <c r="C117" i="215"/>
  <c r="B117" i="215"/>
  <c r="D116" i="215"/>
  <c r="C116" i="215"/>
  <c r="B116" i="215"/>
  <c r="D115" i="215"/>
  <c r="C115" i="215"/>
  <c r="B115" i="215"/>
  <c r="D114" i="215"/>
  <c r="C114" i="215"/>
  <c r="B114" i="215"/>
  <c r="D113" i="215"/>
  <c r="C113" i="215"/>
  <c r="B113" i="215"/>
  <c r="D112" i="215"/>
  <c r="C112" i="215"/>
  <c r="B112" i="215"/>
  <c r="D111" i="215"/>
  <c r="C111" i="215"/>
  <c r="B111" i="215"/>
  <c r="D110" i="215"/>
  <c r="C110" i="215"/>
  <c r="B110" i="215"/>
  <c r="D109" i="215"/>
  <c r="C109" i="215"/>
  <c r="B109" i="215"/>
  <c r="D108" i="215"/>
  <c r="C108" i="215"/>
  <c r="B108" i="215"/>
  <c r="D107" i="215"/>
  <c r="C107" i="215"/>
  <c r="B107" i="215"/>
  <c r="D106" i="215"/>
  <c r="C106" i="215"/>
  <c r="B106" i="215"/>
  <c r="A106" i="215"/>
  <c r="A107" i="215" s="1"/>
  <c r="A108" i="215" s="1"/>
  <c r="A109" i="215" s="1"/>
  <c r="A110" i="215" s="1"/>
  <c r="A111" i="215" s="1"/>
  <c r="A112" i="215" s="1"/>
  <c r="A113" i="215" s="1"/>
  <c r="A114" i="215" s="1"/>
  <c r="A115" i="215" s="1"/>
  <c r="A116" i="215" s="1"/>
  <c r="A117" i="215" s="1"/>
  <c r="A118" i="215" s="1"/>
  <c r="A119" i="215" s="1"/>
  <c r="A120" i="215" s="1"/>
  <c r="A121" i="215" s="1"/>
  <c r="A122" i="215" s="1"/>
  <c r="A123" i="215" s="1"/>
  <c r="A124" i="215" s="1"/>
  <c r="A125" i="215" s="1"/>
  <c r="A126" i="215" s="1"/>
  <c r="A127" i="215" s="1"/>
  <c r="A128" i="215" s="1"/>
  <c r="A129" i="215" s="1"/>
  <c r="A130" i="215" s="1"/>
  <c r="A131" i="215" s="1"/>
  <c r="A132" i="215" s="1"/>
  <c r="A133" i="215" s="1"/>
  <c r="A134" i="215" s="1"/>
  <c r="A135" i="215" s="1"/>
  <c r="A136" i="215" s="1"/>
  <c r="A137" i="215" s="1"/>
  <c r="A138" i="215" s="1"/>
  <c r="A139" i="215" s="1"/>
  <c r="A140" i="215" s="1"/>
  <c r="A141" i="215" s="1"/>
  <c r="A142" i="215" s="1"/>
  <c r="A143" i="215" s="1"/>
  <c r="A144" i="215" s="1"/>
  <c r="A145" i="215" s="1"/>
  <c r="A146" i="215" s="1"/>
  <c r="A147" i="215" s="1"/>
  <c r="A148" i="215" s="1"/>
  <c r="N103" i="215"/>
  <c r="J103" i="215"/>
  <c r="H103" i="215"/>
  <c r="J102" i="215"/>
  <c r="H102" i="215"/>
  <c r="J101" i="215"/>
  <c r="D100" i="215"/>
  <c r="C100" i="215"/>
  <c r="B100" i="215"/>
  <c r="D99" i="215"/>
  <c r="C99" i="215"/>
  <c r="B99" i="215"/>
  <c r="D98" i="215"/>
  <c r="C98" i="215"/>
  <c r="B98" i="215"/>
  <c r="D97" i="215"/>
  <c r="C97" i="215"/>
  <c r="B97" i="215"/>
  <c r="D96" i="215"/>
  <c r="C96" i="215"/>
  <c r="B96" i="215"/>
  <c r="D95" i="215"/>
  <c r="C95" i="215"/>
  <c r="B95" i="215"/>
  <c r="D94" i="215"/>
  <c r="C94" i="215"/>
  <c r="B94" i="215"/>
  <c r="D93" i="215"/>
  <c r="C93" i="215"/>
  <c r="B93" i="215"/>
  <c r="D92" i="215"/>
  <c r="C92" i="215"/>
  <c r="B92" i="215"/>
  <c r="D91" i="215"/>
  <c r="C91" i="215"/>
  <c r="B91" i="215"/>
  <c r="D90" i="215"/>
  <c r="C90" i="215"/>
  <c r="B90" i="215"/>
  <c r="D89" i="215"/>
  <c r="C89" i="215"/>
  <c r="B89" i="215"/>
  <c r="D88" i="215"/>
  <c r="C88" i="215"/>
  <c r="B88" i="215"/>
  <c r="D87" i="215"/>
  <c r="C87" i="215"/>
  <c r="B87" i="215"/>
  <c r="D86" i="215"/>
  <c r="C86" i="215"/>
  <c r="B86" i="215"/>
  <c r="D85" i="215"/>
  <c r="C85" i="215"/>
  <c r="B85" i="215"/>
  <c r="D84" i="215"/>
  <c r="C84" i="215"/>
  <c r="B84" i="215"/>
  <c r="D83" i="215"/>
  <c r="C83" i="215"/>
  <c r="B83" i="215"/>
  <c r="D82" i="215"/>
  <c r="C82" i="215"/>
  <c r="B82" i="215"/>
  <c r="D81" i="215"/>
  <c r="C81" i="215"/>
  <c r="B81" i="215"/>
  <c r="D80" i="215"/>
  <c r="C80" i="215"/>
  <c r="B80" i="215"/>
  <c r="D79" i="215"/>
  <c r="C79" i="215"/>
  <c r="B79" i="215"/>
  <c r="D78" i="215"/>
  <c r="C78" i="215"/>
  <c r="B78" i="215"/>
  <c r="D77" i="215"/>
  <c r="C77" i="215"/>
  <c r="B77" i="215"/>
  <c r="D76" i="215"/>
  <c r="C76" i="215"/>
  <c r="B76" i="215"/>
  <c r="D75" i="215"/>
  <c r="C75" i="215"/>
  <c r="B75" i="215"/>
  <c r="D74" i="215"/>
  <c r="C74" i="215"/>
  <c r="B74" i="215"/>
  <c r="D73" i="215"/>
  <c r="C73" i="215"/>
  <c r="B73" i="215"/>
  <c r="D72" i="215"/>
  <c r="C72" i="215"/>
  <c r="B72" i="215"/>
  <c r="D71" i="215"/>
  <c r="C71" i="215"/>
  <c r="B71" i="215"/>
  <c r="D70" i="215"/>
  <c r="C70" i="215"/>
  <c r="B70" i="215"/>
  <c r="D69" i="215"/>
  <c r="C69" i="215"/>
  <c r="B69" i="215"/>
  <c r="D68" i="215"/>
  <c r="C68" i="215"/>
  <c r="B68" i="215"/>
  <c r="D67" i="215"/>
  <c r="C67" i="215"/>
  <c r="B67" i="215"/>
  <c r="D66" i="215"/>
  <c r="C66" i="215"/>
  <c r="B66" i="215"/>
  <c r="D65" i="215"/>
  <c r="C65" i="215"/>
  <c r="B65" i="215"/>
  <c r="D64" i="215"/>
  <c r="C64" i="215"/>
  <c r="B64" i="215"/>
  <c r="D63" i="215"/>
  <c r="C63" i="215"/>
  <c r="B63" i="215"/>
  <c r="D62" i="215"/>
  <c r="C62" i="215"/>
  <c r="B62" i="215"/>
  <c r="D61" i="215"/>
  <c r="C61" i="215"/>
  <c r="B61" i="215"/>
  <c r="D60" i="215"/>
  <c r="C60" i="215"/>
  <c r="B60" i="215"/>
  <c r="D59" i="215"/>
  <c r="C59" i="215"/>
  <c r="B59" i="215"/>
  <c r="D58" i="215"/>
  <c r="C58" i="215"/>
  <c r="B58" i="215"/>
  <c r="D57" i="215"/>
  <c r="C57" i="215"/>
  <c r="B57" i="215"/>
  <c r="N54" i="215"/>
  <c r="J54" i="215"/>
  <c r="H54" i="215"/>
  <c r="J53" i="215"/>
  <c r="H53" i="215"/>
  <c r="J52" i="215"/>
  <c r="D21" i="215" a="1"/>
  <c r="D20" i="215" a="1"/>
  <c r="D19" i="215" a="1"/>
  <c r="D14" i="215" a="1"/>
  <c r="D54" i="215" s="1"/>
  <c r="D13" i="215" a="1"/>
  <c r="D12" i="215" a="1"/>
  <c r="D10" i="215" a="1"/>
  <c r="D8" i="215"/>
  <c r="D7" i="215"/>
  <c r="D6" i="215"/>
  <c r="D5" i="215"/>
  <c r="N3" i="215"/>
  <c r="N1" i="215"/>
  <c r="G107" i="214"/>
  <c r="I107" i="214" s="1"/>
  <c r="G108" i="214"/>
  <c r="I108" i="214" s="1"/>
  <c r="G109" i="214"/>
  <c r="I109" i="214" s="1"/>
  <c r="G110" i="214"/>
  <c r="I110" i="214" s="1"/>
  <c r="G111" i="214"/>
  <c r="I111" i="214" s="1"/>
  <c r="G112" i="214"/>
  <c r="I112" i="214" s="1"/>
  <c r="G113" i="214"/>
  <c r="I113" i="214" s="1"/>
  <c r="G114" i="214"/>
  <c r="I114" i="214" s="1"/>
  <c r="G115" i="214"/>
  <c r="I115" i="214" s="1"/>
  <c r="G116" i="214"/>
  <c r="I116" i="214" s="1"/>
  <c r="G117" i="214"/>
  <c r="I117" i="214" s="1"/>
  <c r="G118" i="214"/>
  <c r="I118" i="214" s="1"/>
  <c r="G119" i="214"/>
  <c r="I119" i="214" s="1"/>
  <c r="G120" i="214"/>
  <c r="I120" i="214" s="1"/>
  <c r="G121" i="214"/>
  <c r="I121" i="214" s="1"/>
  <c r="G122" i="214"/>
  <c r="I122" i="214" s="1"/>
  <c r="G123" i="214"/>
  <c r="I123" i="214" s="1"/>
  <c r="G124" i="214"/>
  <c r="I124" i="214" s="1"/>
  <c r="G125" i="214"/>
  <c r="I125" i="214" s="1"/>
  <c r="G126" i="214"/>
  <c r="I126" i="214" s="1"/>
  <c r="G127" i="214"/>
  <c r="I127" i="214" s="1"/>
  <c r="G128" i="214"/>
  <c r="I128" i="214" s="1"/>
  <c r="G129" i="214"/>
  <c r="I129" i="214" s="1"/>
  <c r="G130" i="214"/>
  <c r="I130" i="214" s="1"/>
  <c r="G131" i="214"/>
  <c r="I131" i="214" s="1"/>
  <c r="G132" i="214"/>
  <c r="I132" i="214" s="1"/>
  <c r="G133" i="214"/>
  <c r="I133" i="214" s="1"/>
  <c r="G134" i="214"/>
  <c r="I134" i="214" s="1"/>
  <c r="G135" i="214"/>
  <c r="I135" i="214" s="1"/>
  <c r="G136" i="214"/>
  <c r="I136" i="214" s="1"/>
  <c r="G137" i="214"/>
  <c r="I137" i="214" s="1"/>
  <c r="G138" i="214"/>
  <c r="I138" i="214" s="1"/>
  <c r="G139" i="214"/>
  <c r="I139" i="214" s="1"/>
  <c r="G140" i="214"/>
  <c r="I140" i="214" s="1"/>
  <c r="G141" i="214"/>
  <c r="I141" i="214" s="1"/>
  <c r="G142" i="214"/>
  <c r="I142" i="214" s="1"/>
  <c r="G143" i="214"/>
  <c r="I143" i="214" s="1"/>
  <c r="G144" i="214"/>
  <c r="I144" i="214" s="1"/>
  <c r="G145" i="214"/>
  <c r="I145" i="214" s="1"/>
  <c r="G146" i="214"/>
  <c r="I146" i="214" s="1"/>
  <c r="G147" i="214"/>
  <c r="I147" i="214" s="1"/>
  <c r="G148" i="214"/>
  <c r="I148" i="214" s="1"/>
  <c r="G106" i="214"/>
  <c r="I106" i="214" s="1"/>
  <c r="G81" i="214"/>
  <c r="I81" i="214" s="1"/>
  <c r="G82" i="214"/>
  <c r="I82" i="214" s="1"/>
  <c r="G83" i="214"/>
  <c r="I83" i="214" s="1"/>
  <c r="G84" i="214"/>
  <c r="I84" i="214" s="1"/>
  <c r="G85" i="214"/>
  <c r="I85" i="214" s="1"/>
  <c r="G86" i="214"/>
  <c r="I86" i="214" s="1"/>
  <c r="G87" i="214"/>
  <c r="I87" i="214" s="1"/>
  <c r="G88" i="214"/>
  <c r="I88" i="214" s="1"/>
  <c r="G89" i="214"/>
  <c r="I89" i="214" s="1"/>
  <c r="G90" i="214"/>
  <c r="I90" i="214" s="1"/>
  <c r="G91" i="214"/>
  <c r="I91" i="214" s="1"/>
  <c r="G92" i="214"/>
  <c r="I92" i="214" s="1"/>
  <c r="G93" i="214"/>
  <c r="I93" i="214" s="1"/>
  <c r="G94" i="214"/>
  <c r="I94" i="214" s="1"/>
  <c r="G95" i="214"/>
  <c r="I95" i="214" s="1"/>
  <c r="G96" i="214"/>
  <c r="I96" i="214" s="1"/>
  <c r="G97" i="214"/>
  <c r="I97" i="214" s="1"/>
  <c r="G98" i="214"/>
  <c r="I98" i="214" s="1"/>
  <c r="G99" i="214"/>
  <c r="I99" i="214" s="1"/>
  <c r="G100" i="214"/>
  <c r="I100" i="214" s="1"/>
  <c r="G58" i="214"/>
  <c r="I58" i="214" s="1"/>
  <c r="G59" i="214"/>
  <c r="I59" i="214" s="1"/>
  <c r="G60" i="214"/>
  <c r="I60" i="214" s="1"/>
  <c r="G61" i="214"/>
  <c r="I61" i="214" s="1"/>
  <c r="G62" i="214"/>
  <c r="I62" i="214" s="1"/>
  <c r="G63" i="214"/>
  <c r="I63" i="214" s="1"/>
  <c r="G64" i="214"/>
  <c r="I64" i="214" s="1"/>
  <c r="G65" i="214"/>
  <c r="I65" i="214" s="1"/>
  <c r="G66" i="214"/>
  <c r="I66" i="214" s="1"/>
  <c r="G67" i="214"/>
  <c r="I67" i="214" s="1"/>
  <c r="G68" i="214"/>
  <c r="I68" i="214" s="1"/>
  <c r="G69" i="214"/>
  <c r="I69" i="214" s="1"/>
  <c r="G70" i="214"/>
  <c r="I70" i="214" s="1"/>
  <c r="G71" i="214"/>
  <c r="I71" i="214" s="1"/>
  <c r="G72" i="214"/>
  <c r="I72" i="214" s="1"/>
  <c r="G73" i="214"/>
  <c r="I73" i="214" s="1"/>
  <c r="G74" i="214"/>
  <c r="I74" i="214" s="1"/>
  <c r="G75" i="214"/>
  <c r="I75" i="214" s="1"/>
  <c r="G76" i="214"/>
  <c r="I76" i="214" s="1"/>
  <c r="G77" i="214"/>
  <c r="I77" i="214" s="1"/>
  <c r="G78" i="214"/>
  <c r="I78" i="214" s="1"/>
  <c r="G79" i="214"/>
  <c r="I79" i="214" s="1"/>
  <c r="G80" i="214"/>
  <c r="I80" i="214" s="1"/>
  <c r="G57" i="214"/>
  <c r="M149" i="214"/>
  <c r="H149" i="214"/>
  <c r="D148" i="214"/>
  <c r="C148" i="214"/>
  <c r="B148" i="214"/>
  <c r="D147" i="214"/>
  <c r="C147" i="214"/>
  <c r="B147" i="214"/>
  <c r="D146" i="214"/>
  <c r="C146" i="214"/>
  <c r="B146" i="214"/>
  <c r="D145" i="214"/>
  <c r="C145" i="214"/>
  <c r="B145" i="214"/>
  <c r="D144" i="214"/>
  <c r="C144" i="214"/>
  <c r="B144" i="214"/>
  <c r="D143" i="214"/>
  <c r="C143" i="214"/>
  <c r="B143" i="214"/>
  <c r="D142" i="214"/>
  <c r="C142" i="214"/>
  <c r="B142" i="214"/>
  <c r="D141" i="214"/>
  <c r="C141" i="214"/>
  <c r="B141" i="214"/>
  <c r="D140" i="214"/>
  <c r="C140" i="214"/>
  <c r="B140" i="214"/>
  <c r="D139" i="214"/>
  <c r="C139" i="214"/>
  <c r="B139" i="214"/>
  <c r="D138" i="214"/>
  <c r="C138" i="214"/>
  <c r="B138" i="214"/>
  <c r="D137" i="214"/>
  <c r="C137" i="214"/>
  <c r="B137" i="214"/>
  <c r="D136" i="214"/>
  <c r="C136" i="214"/>
  <c r="B136" i="214"/>
  <c r="D135" i="214"/>
  <c r="C135" i="214"/>
  <c r="B135" i="214"/>
  <c r="D134" i="214"/>
  <c r="C134" i="214"/>
  <c r="B134" i="214"/>
  <c r="D133" i="214"/>
  <c r="C133" i="214"/>
  <c r="B133" i="214"/>
  <c r="D132" i="214"/>
  <c r="C132" i="214"/>
  <c r="B132" i="214"/>
  <c r="D131" i="214"/>
  <c r="C131" i="214"/>
  <c r="B131" i="214"/>
  <c r="D130" i="214"/>
  <c r="C130" i="214"/>
  <c r="B130" i="214"/>
  <c r="D129" i="214"/>
  <c r="C129" i="214"/>
  <c r="B129" i="214"/>
  <c r="D128" i="214"/>
  <c r="C128" i="214"/>
  <c r="B128" i="214"/>
  <c r="D127" i="214"/>
  <c r="C127" i="214"/>
  <c r="B127" i="214"/>
  <c r="D126" i="214"/>
  <c r="C126" i="214"/>
  <c r="B126" i="214"/>
  <c r="D125" i="214"/>
  <c r="C125" i="214"/>
  <c r="B125" i="214"/>
  <c r="D124" i="214"/>
  <c r="C124" i="214"/>
  <c r="B124" i="214"/>
  <c r="D123" i="214"/>
  <c r="C123" i="214"/>
  <c r="B123" i="214"/>
  <c r="D122" i="214"/>
  <c r="C122" i="214"/>
  <c r="B122" i="214"/>
  <c r="D121" i="214"/>
  <c r="C121" i="214"/>
  <c r="B121" i="214"/>
  <c r="D120" i="214"/>
  <c r="C120" i="214"/>
  <c r="B120" i="214"/>
  <c r="D119" i="214"/>
  <c r="C119" i="214"/>
  <c r="B119" i="214"/>
  <c r="D118" i="214"/>
  <c r="C118" i="214"/>
  <c r="B118" i="214"/>
  <c r="D117" i="214"/>
  <c r="C117" i="214"/>
  <c r="B117" i="214"/>
  <c r="D116" i="214"/>
  <c r="C116" i="214"/>
  <c r="B116" i="214"/>
  <c r="D115" i="214"/>
  <c r="C115" i="214"/>
  <c r="B115" i="214"/>
  <c r="D114" i="214"/>
  <c r="C114" i="214"/>
  <c r="B114" i="214"/>
  <c r="D113" i="214"/>
  <c r="C113" i="214"/>
  <c r="B113" i="214"/>
  <c r="D112" i="214"/>
  <c r="C112" i="214"/>
  <c r="B112" i="214"/>
  <c r="D111" i="214"/>
  <c r="C111" i="214"/>
  <c r="B111" i="214"/>
  <c r="D110" i="214"/>
  <c r="C110" i="214"/>
  <c r="B110" i="214"/>
  <c r="D109" i="214"/>
  <c r="C109" i="214"/>
  <c r="B109" i="214"/>
  <c r="D108" i="214"/>
  <c r="C108" i="214"/>
  <c r="B108" i="214"/>
  <c r="D107" i="214"/>
  <c r="C107" i="214"/>
  <c r="B107" i="214"/>
  <c r="D106" i="214"/>
  <c r="C106" i="214"/>
  <c r="B106" i="214"/>
  <c r="A106" i="214"/>
  <c r="A107" i="214" s="1"/>
  <c r="A108" i="214" s="1"/>
  <c r="A109" i="214" s="1"/>
  <c r="A110" i="214" s="1"/>
  <c r="A111" i="214" s="1"/>
  <c r="A112" i="214" s="1"/>
  <c r="A113" i="214" s="1"/>
  <c r="A114" i="214" s="1"/>
  <c r="A115" i="214" s="1"/>
  <c r="A116" i="214" s="1"/>
  <c r="A117" i="214" s="1"/>
  <c r="A118" i="214" s="1"/>
  <c r="A119" i="214" s="1"/>
  <c r="A120" i="214" s="1"/>
  <c r="A121" i="214" s="1"/>
  <c r="A122" i="214" s="1"/>
  <c r="A123" i="214" s="1"/>
  <c r="A124" i="214" s="1"/>
  <c r="A125" i="214" s="1"/>
  <c r="A126" i="214" s="1"/>
  <c r="A127" i="214" s="1"/>
  <c r="A128" i="214" s="1"/>
  <c r="A129" i="214" s="1"/>
  <c r="A130" i="214" s="1"/>
  <c r="A131" i="214" s="1"/>
  <c r="A132" i="214" s="1"/>
  <c r="A133" i="214" s="1"/>
  <c r="A134" i="214" s="1"/>
  <c r="A135" i="214" s="1"/>
  <c r="A136" i="214" s="1"/>
  <c r="A137" i="214" s="1"/>
  <c r="A138" i="214" s="1"/>
  <c r="A139" i="214" s="1"/>
  <c r="A140" i="214" s="1"/>
  <c r="A141" i="214" s="1"/>
  <c r="A142" i="214" s="1"/>
  <c r="A143" i="214" s="1"/>
  <c r="A144" i="214" s="1"/>
  <c r="A145" i="214" s="1"/>
  <c r="A146" i="214" s="1"/>
  <c r="A147" i="214" s="1"/>
  <c r="A148" i="214" s="1"/>
  <c r="N103" i="214"/>
  <c r="J103" i="214"/>
  <c r="H103" i="214"/>
  <c r="J102" i="214"/>
  <c r="H102" i="214"/>
  <c r="J101" i="214"/>
  <c r="D100" i="214"/>
  <c r="C100" i="214"/>
  <c r="B100" i="214"/>
  <c r="D99" i="214"/>
  <c r="C99" i="214"/>
  <c r="B99" i="214"/>
  <c r="D98" i="214"/>
  <c r="C98" i="214"/>
  <c r="B98" i="214"/>
  <c r="D97" i="214"/>
  <c r="C97" i="214"/>
  <c r="B97" i="214"/>
  <c r="D96" i="214"/>
  <c r="C96" i="214"/>
  <c r="B96" i="214"/>
  <c r="D95" i="214"/>
  <c r="C95" i="214"/>
  <c r="B95" i="214"/>
  <c r="D94" i="214"/>
  <c r="C94" i="214"/>
  <c r="B94" i="214"/>
  <c r="D93" i="214"/>
  <c r="C93" i="214"/>
  <c r="B93" i="214"/>
  <c r="D92" i="214"/>
  <c r="C92" i="214"/>
  <c r="B92" i="214"/>
  <c r="D91" i="214"/>
  <c r="C91" i="214"/>
  <c r="B91" i="214"/>
  <c r="D90" i="214"/>
  <c r="C90" i="214"/>
  <c r="B90" i="214"/>
  <c r="D89" i="214"/>
  <c r="C89" i="214"/>
  <c r="B89" i="214"/>
  <c r="D88" i="214"/>
  <c r="C88" i="214"/>
  <c r="B88" i="214"/>
  <c r="D87" i="214"/>
  <c r="C87" i="214"/>
  <c r="B87" i="214"/>
  <c r="D86" i="214"/>
  <c r="C86" i="214"/>
  <c r="B86" i="214"/>
  <c r="D85" i="214"/>
  <c r="C85" i="214"/>
  <c r="B85" i="214"/>
  <c r="D84" i="214"/>
  <c r="C84" i="214"/>
  <c r="B84" i="214"/>
  <c r="D83" i="214"/>
  <c r="C83" i="214"/>
  <c r="B83" i="214"/>
  <c r="D82" i="214"/>
  <c r="C82" i="214"/>
  <c r="B82" i="214"/>
  <c r="D81" i="214"/>
  <c r="C81" i="214"/>
  <c r="B81" i="214"/>
  <c r="D80" i="214"/>
  <c r="C80" i="214"/>
  <c r="B80" i="214"/>
  <c r="D79" i="214"/>
  <c r="C79" i="214"/>
  <c r="B79" i="214"/>
  <c r="D78" i="214"/>
  <c r="C78" i="214"/>
  <c r="B78" i="214"/>
  <c r="D77" i="214"/>
  <c r="C77" i="214"/>
  <c r="B77" i="214"/>
  <c r="D76" i="214"/>
  <c r="C76" i="214"/>
  <c r="B76" i="214"/>
  <c r="D75" i="214"/>
  <c r="C75" i="214"/>
  <c r="B75" i="214"/>
  <c r="D74" i="214"/>
  <c r="C74" i="214"/>
  <c r="B74" i="214"/>
  <c r="D73" i="214"/>
  <c r="C73" i="214"/>
  <c r="B73" i="214"/>
  <c r="D72" i="214"/>
  <c r="C72" i="214"/>
  <c r="B72" i="214"/>
  <c r="D71" i="214"/>
  <c r="C71" i="214"/>
  <c r="B71" i="214"/>
  <c r="D70" i="214"/>
  <c r="C70" i="214"/>
  <c r="B70" i="214"/>
  <c r="D69" i="214"/>
  <c r="C69" i="214"/>
  <c r="B69" i="214"/>
  <c r="D68" i="214"/>
  <c r="C68" i="214"/>
  <c r="B68" i="214"/>
  <c r="D67" i="214"/>
  <c r="C67" i="214"/>
  <c r="B67" i="214"/>
  <c r="D66" i="214"/>
  <c r="C66" i="214"/>
  <c r="B66" i="214"/>
  <c r="D65" i="214"/>
  <c r="C65" i="214"/>
  <c r="B65" i="214"/>
  <c r="D64" i="214"/>
  <c r="C64" i="214"/>
  <c r="B64" i="214"/>
  <c r="D63" i="214"/>
  <c r="C63" i="214"/>
  <c r="B63" i="214"/>
  <c r="D62" i="214"/>
  <c r="C62" i="214"/>
  <c r="B62" i="214"/>
  <c r="D61" i="214"/>
  <c r="C61" i="214"/>
  <c r="B61" i="214"/>
  <c r="D60" i="214"/>
  <c r="C60" i="214"/>
  <c r="B60" i="214"/>
  <c r="D59" i="214"/>
  <c r="C59" i="214"/>
  <c r="B59" i="214"/>
  <c r="D58" i="214"/>
  <c r="C58" i="214"/>
  <c r="B58" i="214"/>
  <c r="D57" i="214"/>
  <c r="C57" i="214"/>
  <c r="B57" i="214"/>
  <c r="N54" i="214"/>
  <c r="J54" i="214"/>
  <c r="H54" i="214"/>
  <c r="J53" i="214"/>
  <c r="H53" i="214"/>
  <c r="J52" i="214"/>
  <c r="D21" i="214" a="1"/>
  <c r="D20" i="214" a="1"/>
  <c r="D19" i="214" a="1"/>
  <c r="D14" i="214" a="1"/>
  <c r="D103" i="214" s="1"/>
  <c r="D13" i="214" a="1"/>
  <c r="D12" i="214" a="1"/>
  <c r="D101" i="214" s="1"/>
  <c r="D10" i="214" a="1"/>
  <c r="D8" i="214"/>
  <c r="D7" i="214"/>
  <c r="D6" i="214"/>
  <c r="D5" i="214"/>
  <c r="N3" i="214"/>
  <c r="N1" i="214"/>
  <c r="G107" i="213"/>
  <c r="I107" i="213" s="1"/>
  <c r="G108" i="213"/>
  <c r="I108" i="213" s="1"/>
  <c r="G109" i="213"/>
  <c r="I109" i="213" s="1"/>
  <c r="G110" i="213"/>
  <c r="I110" i="213" s="1"/>
  <c r="G111" i="213"/>
  <c r="I111" i="213" s="1"/>
  <c r="G112" i="213"/>
  <c r="I112" i="213" s="1"/>
  <c r="G113" i="213"/>
  <c r="I113" i="213" s="1"/>
  <c r="G114" i="213"/>
  <c r="I114" i="213" s="1"/>
  <c r="G115" i="213"/>
  <c r="I115" i="213" s="1"/>
  <c r="G116" i="213"/>
  <c r="I116" i="213" s="1"/>
  <c r="G117" i="213"/>
  <c r="I117" i="213" s="1"/>
  <c r="G118" i="213"/>
  <c r="I118" i="213" s="1"/>
  <c r="G119" i="213"/>
  <c r="I119" i="213" s="1"/>
  <c r="G120" i="213"/>
  <c r="I120" i="213" s="1"/>
  <c r="G121" i="213"/>
  <c r="I121" i="213" s="1"/>
  <c r="G122" i="213"/>
  <c r="I122" i="213" s="1"/>
  <c r="G123" i="213"/>
  <c r="I123" i="213" s="1"/>
  <c r="G124" i="213"/>
  <c r="I124" i="213" s="1"/>
  <c r="G125" i="213"/>
  <c r="I125" i="213" s="1"/>
  <c r="G126" i="213"/>
  <c r="I126" i="213" s="1"/>
  <c r="G127" i="213"/>
  <c r="I127" i="213" s="1"/>
  <c r="G128" i="213"/>
  <c r="I128" i="213" s="1"/>
  <c r="G129" i="213"/>
  <c r="I129" i="213" s="1"/>
  <c r="G130" i="213"/>
  <c r="I130" i="213" s="1"/>
  <c r="G131" i="213"/>
  <c r="I131" i="213" s="1"/>
  <c r="G132" i="213"/>
  <c r="I132" i="213" s="1"/>
  <c r="G133" i="213"/>
  <c r="I133" i="213" s="1"/>
  <c r="G134" i="213"/>
  <c r="I134" i="213" s="1"/>
  <c r="G135" i="213"/>
  <c r="I135" i="213" s="1"/>
  <c r="G136" i="213"/>
  <c r="I136" i="213" s="1"/>
  <c r="G137" i="213"/>
  <c r="I137" i="213" s="1"/>
  <c r="G138" i="213"/>
  <c r="I138" i="213" s="1"/>
  <c r="G139" i="213"/>
  <c r="I139" i="213" s="1"/>
  <c r="G140" i="213"/>
  <c r="I140" i="213" s="1"/>
  <c r="G141" i="213"/>
  <c r="I141" i="213" s="1"/>
  <c r="G142" i="213"/>
  <c r="I142" i="213" s="1"/>
  <c r="G143" i="213"/>
  <c r="I143" i="213" s="1"/>
  <c r="G144" i="213"/>
  <c r="I144" i="213" s="1"/>
  <c r="G145" i="213"/>
  <c r="I145" i="213" s="1"/>
  <c r="G146" i="213"/>
  <c r="I146" i="213" s="1"/>
  <c r="G147" i="213"/>
  <c r="I147" i="213" s="1"/>
  <c r="G148" i="213"/>
  <c r="I148" i="213" s="1"/>
  <c r="G106" i="213"/>
  <c r="I106" i="213" s="1"/>
  <c r="G58" i="213"/>
  <c r="I58" i="213" s="1"/>
  <c r="G59" i="213"/>
  <c r="I59" i="213" s="1"/>
  <c r="G60" i="213"/>
  <c r="I60" i="213" s="1"/>
  <c r="G61" i="213"/>
  <c r="I61" i="213" s="1"/>
  <c r="G62" i="213"/>
  <c r="I62" i="213" s="1"/>
  <c r="G63" i="213"/>
  <c r="I63" i="213" s="1"/>
  <c r="G64" i="213"/>
  <c r="I64" i="213" s="1"/>
  <c r="G65" i="213"/>
  <c r="I65" i="213" s="1"/>
  <c r="G66" i="213"/>
  <c r="I66" i="213" s="1"/>
  <c r="G67" i="213"/>
  <c r="I67" i="213" s="1"/>
  <c r="G68" i="213"/>
  <c r="I68" i="213" s="1"/>
  <c r="G69" i="213"/>
  <c r="I69" i="213" s="1"/>
  <c r="G70" i="213"/>
  <c r="I70" i="213" s="1"/>
  <c r="G71" i="213"/>
  <c r="I71" i="213" s="1"/>
  <c r="G72" i="213"/>
  <c r="I72" i="213" s="1"/>
  <c r="G73" i="213"/>
  <c r="I73" i="213" s="1"/>
  <c r="G74" i="213"/>
  <c r="I74" i="213" s="1"/>
  <c r="G75" i="213"/>
  <c r="I75" i="213" s="1"/>
  <c r="G76" i="213"/>
  <c r="I76" i="213" s="1"/>
  <c r="G77" i="213"/>
  <c r="I77" i="213" s="1"/>
  <c r="G78" i="213"/>
  <c r="I78" i="213" s="1"/>
  <c r="G79" i="213"/>
  <c r="I79" i="213" s="1"/>
  <c r="G80" i="213"/>
  <c r="I80" i="213" s="1"/>
  <c r="G81" i="213"/>
  <c r="I81" i="213" s="1"/>
  <c r="G82" i="213"/>
  <c r="I82" i="213" s="1"/>
  <c r="G83" i="213"/>
  <c r="I83" i="213" s="1"/>
  <c r="G84" i="213"/>
  <c r="I84" i="213" s="1"/>
  <c r="G85" i="213"/>
  <c r="I85" i="213" s="1"/>
  <c r="G86" i="213"/>
  <c r="I86" i="213" s="1"/>
  <c r="G87" i="213"/>
  <c r="I87" i="213" s="1"/>
  <c r="G88" i="213"/>
  <c r="I88" i="213" s="1"/>
  <c r="G89" i="213"/>
  <c r="I89" i="213" s="1"/>
  <c r="G90" i="213"/>
  <c r="I90" i="213" s="1"/>
  <c r="G91" i="213"/>
  <c r="I91" i="213" s="1"/>
  <c r="G92" i="213"/>
  <c r="I92" i="213" s="1"/>
  <c r="G93" i="213"/>
  <c r="I93" i="213" s="1"/>
  <c r="G94" i="213"/>
  <c r="I94" i="213" s="1"/>
  <c r="G95" i="213"/>
  <c r="I95" i="213" s="1"/>
  <c r="G96" i="213"/>
  <c r="I96" i="213" s="1"/>
  <c r="G97" i="213"/>
  <c r="I97" i="213" s="1"/>
  <c r="G98" i="213"/>
  <c r="I98" i="213" s="1"/>
  <c r="G99" i="213"/>
  <c r="I99" i="213" s="1"/>
  <c r="G100" i="213"/>
  <c r="I100" i="213" s="1"/>
  <c r="G57" i="213"/>
  <c r="M149" i="213"/>
  <c r="H149" i="213"/>
  <c r="D148" i="213"/>
  <c r="C148" i="213"/>
  <c r="B148" i="213"/>
  <c r="D147" i="213"/>
  <c r="C147" i="213"/>
  <c r="B147" i="213"/>
  <c r="D146" i="213"/>
  <c r="C146" i="213"/>
  <c r="B146" i="213"/>
  <c r="D145" i="213"/>
  <c r="C145" i="213"/>
  <c r="B145" i="213"/>
  <c r="D144" i="213"/>
  <c r="C144" i="213"/>
  <c r="B144" i="213"/>
  <c r="D143" i="213"/>
  <c r="C143" i="213"/>
  <c r="B143" i="213"/>
  <c r="D142" i="213"/>
  <c r="C142" i="213"/>
  <c r="B142" i="213"/>
  <c r="D141" i="213"/>
  <c r="C141" i="213"/>
  <c r="B141" i="213"/>
  <c r="D140" i="213"/>
  <c r="C140" i="213"/>
  <c r="B140" i="213"/>
  <c r="D139" i="213"/>
  <c r="C139" i="213"/>
  <c r="B139" i="213"/>
  <c r="D138" i="213"/>
  <c r="C138" i="213"/>
  <c r="B138" i="213"/>
  <c r="D137" i="213"/>
  <c r="C137" i="213"/>
  <c r="B137" i="213"/>
  <c r="D136" i="213"/>
  <c r="C136" i="213"/>
  <c r="B136" i="213"/>
  <c r="D135" i="213"/>
  <c r="C135" i="213"/>
  <c r="B135" i="213"/>
  <c r="D134" i="213"/>
  <c r="C134" i="213"/>
  <c r="B134" i="213"/>
  <c r="D133" i="213"/>
  <c r="C133" i="213"/>
  <c r="B133" i="213"/>
  <c r="D132" i="213"/>
  <c r="C132" i="213"/>
  <c r="B132" i="213"/>
  <c r="D131" i="213"/>
  <c r="C131" i="213"/>
  <c r="B131" i="213"/>
  <c r="D130" i="213"/>
  <c r="C130" i="213"/>
  <c r="B130" i="213"/>
  <c r="D129" i="213"/>
  <c r="C129" i="213"/>
  <c r="B129" i="213"/>
  <c r="D128" i="213"/>
  <c r="C128" i="213"/>
  <c r="B128" i="213"/>
  <c r="D127" i="213"/>
  <c r="C127" i="213"/>
  <c r="B127" i="213"/>
  <c r="D126" i="213"/>
  <c r="C126" i="213"/>
  <c r="B126" i="213"/>
  <c r="D125" i="213"/>
  <c r="C125" i="213"/>
  <c r="B125" i="213"/>
  <c r="D124" i="213"/>
  <c r="C124" i="213"/>
  <c r="B124" i="213"/>
  <c r="D123" i="213"/>
  <c r="C123" i="213"/>
  <c r="B123" i="213"/>
  <c r="D122" i="213"/>
  <c r="C122" i="213"/>
  <c r="B122" i="213"/>
  <c r="D121" i="213"/>
  <c r="C121" i="213"/>
  <c r="B121" i="213"/>
  <c r="D120" i="213"/>
  <c r="C120" i="213"/>
  <c r="B120" i="213"/>
  <c r="D119" i="213"/>
  <c r="C119" i="213"/>
  <c r="B119" i="213"/>
  <c r="D118" i="213"/>
  <c r="C118" i="213"/>
  <c r="B118" i="213"/>
  <c r="D117" i="213"/>
  <c r="C117" i="213"/>
  <c r="B117" i="213"/>
  <c r="D116" i="213"/>
  <c r="C116" i="213"/>
  <c r="B116" i="213"/>
  <c r="D115" i="213"/>
  <c r="C115" i="213"/>
  <c r="B115" i="213"/>
  <c r="D114" i="213"/>
  <c r="C114" i="213"/>
  <c r="B114" i="213"/>
  <c r="D113" i="213"/>
  <c r="C113" i="213"/>
  <c r="B113" i="213"/>
  <c r="D112" i="213"/>
  <c r="C112" i="213"/>
  <c r="B112" i="213"/>
  <c r="D111" i="213"/>
  <c r="C111" i="213"/>
  <c r="B111" i="213"/>
  <c r="D110" i="213"/>
  <c r="C110" i="213"/>
  <c r="B110" i="213"/>
  <c r="D109" i="213"/>
  <c r="C109" i="213"/>
  <c r="B109" i="213"/>
  <c r="D108" i="213"/>
  <c r="C108" i="213"/>
  <c r="B108" i="213"/>
  <c r="D107" i="213"/>
  <c r="C107" i="213"/>
  <c r="B107" i="213"/>
  <c r="D106" i="213"/>
  <c r="C106" i="213"/>
  <c r="B106" i="213"/>
  <c r="A106" i="213"/>
  <c r="A107" i="213" s="1"/>
  <c r="A108" i="213" s="1"/>
  <c r="A109" i="213" s="1"/>
  <c r="A110" i="213" s="1"/>
  <c r="A111" i="213" s="1"/>
  <c r="A112" i="213" s="1"/>
  <c r="A113" i="213" s="1"/>
  <c r="A114" i="213" s="1"/>
  <c r="A115" i="213" s="1"/>
  <c r="A116" i="213" s="1"/>
  <c r="A117" i="213" s="1"/>
  <c r="A118" i="213" s="1"/>
  <c r="A119" i="213" s="1"/>
  <c r="A120" i="213" s="1"/>
  <c r="A121" i="213" s="1"/>
  <c r="A122" i="213" s="1"/>
  <c r="A123" i="213" s="1"/>
  <c r="A124" i="213" s="1"/>
  <c r="A125" i="213" s="1"/>
  <c r="A126" i="213" s="1"/>
  <c r="A127" i="213" s="1"/>
  <c r="A128" i="213" s="1"/>
  <c r="A129" i="213" s="1"/>
  <c r="A130" i="213" s="1"/>
  <c r="A131" i="213" s="1"/>
  <c r="A132" i="213" s="1"/>
  <c r="A133" i="213" s="1"/>
  <c r="A134" i="213" s="1"/>
  <c r="A135" i="213" s="1"/>
  <c r="A136" i="213" s="1"/>
  <c r="A137" i="213" s="1"/>
  <c r="A138" i="213" s="1"/>
  <c r="A139" i="213" s="1"/>
  <c r="A140" i="213" s="1"/>
  <c r="A141" i="213" s="1"/>
  <c r="A142" i="213" s="1"/>
  <c r="A143" i="213" s="1"/>
  <c r="A144" i="213" s="1"/>
  <c r="A145" i="213" s="1"/>
  <c r="A146" i="213" s="1"/>
  <c r="A147" i="213" s="1"/>
  <c r="A148" i="213" s="1"/>
  <c r="N103" i="213"/>
  <c r="J103" i="213"/>
  <c r="H103" i="213"/>
  <c r="J102" i="213"/>
  <c r="H102" i="213"/>
  <c r="J101" i="213"/>
  <c r="D100" i="213"/>
  <c r="C100" i="213"/>
  <c r="B100" i="213"/>
  <c r="D99" i="213"/>
  <c r="C99" i="213"/>
  <c r="B99" i="213"/>
  <c r="D98" i="213"/>
  <c r="C98" i="213"/>
  <c r="B98" i="213"/>
  <c r="D97" i="213"/>
  <c r="C97" i="213"/>
  <c r="B97" i="213"/>
  <c r="D96" i="213"/>
  <c r="C96" i="213"/>
  <c r="B96" i="213"/>
  <c r="D95" i="213"/>
  <c r="C95" i="213"/>
  <c r="B95" i="213"/>
  <c r="D94" i="213"/>
  <c r="C94" i="213"/>
  <c r="B94" i="213"/>
  <c r="D93" i="213"/>
  <c r="C93" i="213"/>
  <c r="B93" i="213"/>
  <c r="D92" i="213"/>
  <c r="C92" i="213"/>
  <c r="B92" i="213"/>
  <c r="D91" i="213"/>
  <c r="C91" i="213"/>
  <c r="B91" i="213"/>
  <c r="D90" i="213"/>
  <c r="C90" i="213"/>
  <c r="B90" i="213"/>
  <c r="D89" i="213"/>
  <c r="C89" i="213"/>
  <c r="B89" i="213"/>
  <c r="D88" i="213"/>
  <c r="C88" i="213"/>
  <c r="B88" i="213"/>
  <c r="D87" i="213"/>
  <c r="C87" i="213"/>
  <c r="B87" i="213"/>
  <c r="D86" i="213"/>
  <c r="C86" i="213"/>
  <c r="B86" i="213"/>
  <c r="D85" i="213"/>
  <c r="C85" i="213"/>
  <c r="B85" i="213"/>
  <c r="D84" i="213"/>
  <c r="C84" i="213"/>
  <c r="B84" i="213"/>
  <c r="D83" i="213"/>
  <c r="C83" i="213"/>
  <c r="B83" i="213"/>
  <c r="D82" i="213"/>
  <c r="C82" i="213"/>
  <c r="B82" i="213"/>
  <c r="D81" i="213"/>
  <c r="C81" i="213"/>
  <c r="B81" i="213"/>
  <c r="D80" i="213"/>
  <c r="C80" i="213"/>
  <c r="B80" i="213"/>
  <c r="D79" i="213"/>
  <c r="C79" i="213"/>
  <c r="B79" i="213"/>
  <c r="D78" i="213"/>
  <c r="C78" i="213"/>
  <c r="B78" i="213"/>
  <c r="D77" i="213"/>
  <c r="C77" i="213"/>
  <c r="B77" i="213"/>
  <c r="D76" i="213"/>
  <c r="C76" i="213"/>
  <c r="B76" i="213"/>
  <c r="D75" i="213"/>
  <c r="C75" i="213"/>
  <c r="B75" i="213"/>
  <c r="D74" i="213"/>
  <c r="C74" i="213"/>
  <c r="B74" i="213"/>
  <c r="D73" i="213"/>
  <c r="C73" i="213"/>
  <c r="B73" i="213"/>
  <c r="D72" i="213"/>
  <c r="C72" i="213"/>
  <c r="B72" i="213"/>
  <c r="D71" i="213"/>
  <c r="C71" i="213"/>
  <c r="B71" i="213"/>
  <c r="D70" i="213"/>
  <c r="C70" i="213"/>
  <c r="B70" i="213"/>
  <c r="D69" i="213"/>
  <c r="C69" i="213"/>
  <c r="B69" i="213"/>
  <c r="D68" i="213"/>
  <c r="C68" i="213"/>
  <c r="B68" i="213"/>
  <c r="D67" i="213"/>
  <c r="C67" i="213"/>
  <c r="B67" i="213"/>
  <c r="D66" i="213"/>
  <c r="C66" i="213"/>
  <c r="B66" i="213"/>
  <c r="D65" i="213"/>
  <c r="C65" i="213"/>
  <c r="B65" i="213"/>
  <c r="D64" i="213"/>
  <c r="C64" i="213"/>
  <c r="B64" i="213"/>
  <c r="D63" i="213"/>
  <c r="C63" i="213"/>
  <c r="B63" i="213"/>
  <c r="D62" i="213"/>
  <c r="C62" i="213"/>
  <c r="B62" i="213"/>
  <c r="D61" i="213"/>
  <c r="C61" i="213"/>
  <c r="B61" i="213"/>
  <c r="D60" i="213"/>
  <c r="C60" i="213"/>
  <c r="B60" i="213"/>
  <c r="D59" i="213"/>
  <c r="C59" i="213"/>
  <c r="B59" i="213"/>
  <c r="D58" i="213"/>
  <c r="C58" i="213"/>
  <c r="B58" i="213"/>
  <c r="D57" i="213"/>
  <c r="C57" i="213"/>
  <c r="B57" i="213"/>
  <c r="N54" i="213"/>
  <c r="J54" i="213"/>
  <c r="H54" i="213"/>
  <c r="J53" i="213"/>
  <c r="H53" i="213"/>
  <c r="J52" i="213"/>
  <c r="D21" i="213" a="1"/>
  <c r="D20" i="213" a="1"/>
  <c r="D19" i="213" a="1"/>
  <c r="D14" i="213" a="1"/>
  <c r="D54" i="213" s="1"/>
  <c r="D13" i="213" a="1"/>
  <c r="D12" i="213" a="1"/>
  <c r="D10" i="213" a="1"/>
  <c r="D8" i="213"/>
  <c r="D7" i="213"/>
  <c r="D6" i="213"/>
  <c r="D5" i="213"/>
  <c r="N3" i="213"/>
  <c r="N1" i="213"/>
  <c r="G107" i="212"/>
  <c r="I107" i="212" s="1"/>
  <c r="G108" i="212"/>
  <c r="I108" i="212" s="1"/>
  <c r="G109" i="212"/>
  <c r="I109" i="212" s="1"/>
  <c r="G110" i="212"/>
  <c r="I110" i="212" s="1"/>
  <c r="G111" i="212"/>
  <c r="I111" i="212" s="1"/>
  <c r="G112" i="212"/>
  <c r="I112" i="212" s="1"/>
  <c r="G113" i="212"/>
  <c r="I113" i="212" s="1"/>
  <c r="G114" i="212"/>
  <c r="I114" i="212" s="1"/>
  <c r="G115" i="212"/>
  <c r="I115" i="212" s="1"/>
  <c r="G116" i="212"/>
  <c r="I116" i="212" s="1"/>
  <c r="G117" i="212"/>
  <c r="I117" i="212" s="1"/>
  <c r="G118" i="212"/>
  <c r="I118" i="212" s="1"/>
  <c r="G119" i="212"/>
  <c r="I119" i="212" s="1"/>
  <c r="G120" i="212"/>
  <c r="I120" i="212" s="1"/>
  <c r="G121" i="212"/>
  <c r="I121" i="212" s="1"/>
  <c r="G122" i="212"/>
  <c r="I122" i="212" s="1"/>
  <c r="G123" i="212"/>
  <c r="I123" i="212" s="1"/>
  <c r="G124" i="212"/>
  <c r="I124" i="212" s="1"/>
  <c r="G125" i="212"/>
  <c r="I125" i="212" s="1"/>
  <c r="G126" i="212"/>
  <c r="I126" i="212" s="1"/>
  <c r="G127" i="212"/>
  <c r="I127" i="212" s="1"/>
  <c r="G128" i="212"/>
  <c r="I128" i="212" s="1"/>
  <c r="G129" i="212"/>
  <c r="I129" i="212" s="1"/>
  <c r="G130" i="212"/>
  <c r="I130" i="212" s="1"/>
  <c r="G131" i="212"/>
  <c r="I131" i="212" s="1"/>
  <c r="G132" i="212"/>
  <c r="I132" i="212" s="1"/>
  <c r="G133" i="212"/>
  <c r="I133" i="212" s="1"/>
  <c r="G134" i="212"/>
  <c r="I134" i="212" s="1"/>
  <c r="G135" i="212"/>
  <c r="I135" i="212" s="1"/>
  <c r="G136" i="212"/>
  <c r="I136" i="212" s="1"/>
  <c r="G137" i="212"/>
  <c r="I137" i="212" s="1"/>
  <c r="G138" i="212"/>
  <c r="I138" i="212" s="1"/>
  <c r="G139" i="212"/>
  <c r="I139" i="212" s="1"/>
  <c r="G140" i="212"/>
  <c r="I140" i="212" s="1"/>
  <c r="G141" i="212"/>
  <c r="I141" i="212" s="1"/>
  <c r="G142" i="212"/>
  <c r="I142" i="212" s="1"/>
  <c r="G143" i="212"/>
  <c r="I143" i="212" s="1"/>
  <c r="G144" i="212"/>
  <c r="I144" i="212" s="1"/>
  <c r="G145" i="212"/>
  <c r="I145" i="212" s="1"/>
  <c r="G146" i="212"/>
  <c r="I146" i="212" s="1"/>
  <c r="G147" i="212"/>
  <c r="I147" i="212" s="1"/>
  <c r="G148" i="212"/>
  <c r="I148" i="212" s="1"/>
  <c r="G106" i="212"/>
  <c r="I106" i="212" s="1"/>
  <c r="G58" i="212"/>
  <c r="I58" i="212" s="1"/>
  <c r="G59" i="212"/>
  <c r="I59" i="212" s="1"/>
  <c r="G60" i="212"/>
  <c r="I60" i="212" s="1"/>
  <c r="G61" i="212"/>
  <c r="I61" i="212" s="1"/>
  <c r="G62" i="212"/>
  <c r="I62" i="212" s="1"/>
  <c r="G63" i="212"/>
  <c r="I63" i="212" s="1"/>
  <c r="G64" i="212"/>
  <c r="I64" i="212" s="1"/>
  <c r="G65" i="212"/>
  <c r="I65" i="212" s="1"/>
  <c r="G66" i="212"/>
  <c r="I66" i="212" s="1"/>
  <c r="G67" i="212"/>
  <c r="I67" i="212" s="1"/>
  <c r="G68" i="212"/>
  <c r="I68" i="212" s="1"/>
  <c r="G69" i="212"/>
  <c r="I69" i="212" s="1"/>
  <c r="G70" i="212"/>
  <c r="I70" i="212" s="1"/>
  <c r="G71" i="212"/>
  <c r="I71" i="212" s="1"/>
  <c r="G72" i="212"/>
  <c r="I72" i="212" s="1"/>
  <c r="G73" i="212"/>
  <c r="I73" i="212" s="1"/>
  <c r="G74" i="212"/>
  <c r="I74" i="212" s="1"/>
  <c r="G75" i="212"/>
  <c r="I75" i="212" s="1"/>
  <c r="G76" i="212"/>
  <c r="I76" i="212" s="1"/>
  <c r="G77" i="212"/>
  <c r="I77" i="212" s="1"/>
  <c r="G78" i="212"/>
  <c r="I78" i="212" s="1"/>
  <c r="G79" i="212"/>
  <c r="I79" i="212" s="1"/>
  <c r="G80" i="212"/>
  <c r="I80" i="212" s="1"/>
  <c r="G81" i="212"/>
  <c r="I81" i="212" s="1"/>
  <c r="G82" i="212"/>
  <c r="I82" i="212" s="1"/>
  <c r="G83" i="212"/>
  <c r="I83" i="212" s="1"/>
  <c r="G84" i="212"/>
  <c r="I84" i="212" s="1"/>
  <c r="G85" i="212"/>
  <c r="I85" i="212" s="1"/>
  <c r="G86" i="212"/>
  <c r="I86" i="212" s="1"/>
  <c r="G87" i="212"/>
  <c r="I87" i="212" s="1"/>
  <c r="G88" i="212"/>
  <c r="I88" i="212" s="1"/>
  <c r="G89" i="212"/>
  <c r="I89" i="212" s="1"/>
  <c r="G90" i="212"/>
  <c r="I90" i="212" s="1"/>
  <c r="G91" i="212"/>
  <c r="I91" i="212" s="1"/>
  <c r="G92" i="212"/>
  <c r="I92" i="212" s="1"/>
  <c r="G93" i="212"/>
  <c r="I93" i="212" s="1"/>
  <c r="G94" i="212"/>
  <c r="I94" i="212" s="1"/>
  <c r="G95" i="212"/>
  <c r="I95" i="212" s="1"/>
  <c r="G96" i="212"/>
  <c r="I96" i="212" s="1"/>
  <c r="G97" i="212"/>
  <c r="I97" i="212" s="1"/>
  <c r="G98" i="212"/>
  <c r="I98" i="212" s="1"/>
  <c r="G99" i="212"/>
  <c r="I99" i="212" s="1"/>
  <c r="G100" i="212"/>
  <c r="I100" i="212" s="1"/>
  <c r="G57" i="212"/>
  <c r="M149" i="212"/>
  <c r="H149" i="212"/>
  <c r="D148" i="212"/>
  <c r="C148" i="212"/>
  <c r="B148" i="212"/>
  <c r="D147" i="212"/>
  <c r="C147" i="212"/>
  <c r="B147" i="212"/>
  <c r="D146" i="212"/>
  <c r="C146" i="212"/>
  <c r="B146" i="212"/>
  <c r="D145" i="212"/>
  <c r="C145" i="212"/>
  <c r="B145" i="212"/>
  <c r="D144" i="212"/>
  <c r="C144" i="212"/>
  <c r="B144" i="212"/>
  <c r="D143" i="212"/>
  <c r="C143" i="212"/>
  <c r="B143" i="212"/>
  <c r="D142" i="212"/>
  <c r="C142" i="212"/>
  <c r="B142" i="212"/>
  <c r="D141" i="212"/>
  <c r="C141" i="212"/>
  <c r="B141" i="212"/>
  <c r="D140" i="212"/>
  <c r="C140" i="212"/>
  <c r="B140" i="212"/>
  <c r="D139" i="212"/>
  <c r="C139" i="212"/>
  <c r="B139" i="212"/>
  <c r="D138" i="212"/>
  <c r="C138" i="212"/>
  <c r="B138" i="212"/>
  <c r="D137" i="212"/>
  <c r="C137" i="212"/>
  <c r="B137" i="212"/>
  <c r="D136" i="212"/>
  <c r="C136" i="212"/>
  <c r="B136" i="212"/>
  <c r="D135" i="212"/>
  <c r="C135" i="212"/>
  <c r="B135" i="212"/>
  <c r="D134" i="212"/>
  <c r="C134" i="212"/>
  <c r="B134" i="212"/>
  <c r="D133" i="212"/>
  <c r="C133" i="212"/>
  <c r="B133" i="212"/>
  <c r="D132" i="212"/>
  <c r="C132" i="212"/>
  <c r="B132" i="212"/>
  <c r="D131" i="212"/>
  <c r="C131" i="212"/>
  <c r="B131" i="212"/>
  <c r="D130" i="212"/>
  <c r="C130" i="212"/>
  <c r="B130" i="212"/>
  <c r="D129" i="212"/>
  <c r="C129" i="212"/>
  <c r="B129" i="212"/>
  <c r="D128" i="212"/>
  <c r="C128" i="212"/>
  <c r="B128" i="212"/>
  <c r="D127" i="212"/>
  <c r="C127" i="212"/>
  <c r="B127" i="212"/>
  <c r="D126" i="212"/>
  <c r="C126" i="212"/>
  <c r="B126" i="212"/>
  <c r="D125" i="212"/>
  <c r="C125" i="212"/>
  <c r="B125" i="212"/>
  <c r="D124" i="212"/>
  <c r="C124" i="212"/>
  <c r="B124" i="212"/>
  <c r="D123" i="212"/>
  <c r="C123" i="212"/>
  <c r="B123" i="212"/>
  <c r="D122" i="212"/>
  <c r="C122" i="212"/>
  <c r="B122" i="212"/>
  <c r="D121" i="212"/>
  <c r="C121" i="212"/>
  <c r="B121" i="212"/>
  <c r="D120" i="212"/>
  <c r="C120" i="212"/>
  <c r="B120" i="212"/>
  <c r="D119" i="212"/>
  <c r="C119" i="212"/>
  <c r="B119" i="212"/>
  <c r="D118" i="212"/>
  <c r="C118" i="212"/>
  <c r="B118" i="212"/>
  <c r="D117" i="212"/>
  <c r="C117" i="212"/>
  <c r="B117" i="212"/>
  <c r="D116" i="212"/>
  <c r="C116" i="212"/>
  <c r="B116" i="212"/>
  <c r="D115" i="212"/>
  <c r="C115" i="212"/>
  <c r="B115" i="212"/>
  <c r="D114" i="212"/>
  <c r="C114" i="212"/>
  <c r="B114" i="212"/>
  <c r="D113" i="212"/>
  <c r="C113" i="212"/>
  <c r="B113" i="212"/>
  <c r="D112" i="212"/>
  <c r="C112" i="212"/>
  <c r="B112" i="212"/>
  <c r="D111" i="212"/>
  <c r="C111" i="212"/>
  <c r="B111" i="212"/>
  <c r="D110" i="212"/>
  <c r="C110" i="212"/>
  <c r="B110" i="212"/>
  <c r="D109" i="212"/>
  <c r="C109" i="212"/>
  <c r="B109" i="212"/>
  <c r="D108" i="212"/>
  <c r="C108" i="212"/>
  <c r="B108" i="212"/>
  <c r="D107" i="212"/>
  <c r="C107" i="212"/>
  <c r="B107" i="212"/>
  <c r="D106" i="212"/>
  <c r="C106" i="212"/>
  <c r="B106" i="212"/>
  <c r="A106" i="212"/>
  <c r="A107" i="212" s="1"/>
  <c r="A108" i="212" s="1"/>
  <c r="A109" i="212" s="1"/>
  <c r="A110" i="212" s="1"/>
  <c r="A111" i="212" s="1"/>
  <c r="A112" i="212" s="1"/>
  <c r="A113" i="212" s="1"/>
  <c r="A114" i="212" s="1"/>
  <c r="A115" i="212" s="1"/>
  <c r="A116" i="212" s="1"/>
  <c r="A117" i="212" s="1"/>
  <c r="A118" i="212" s="1"/>
  <c r="A119" i="212" s="1"/>
  <c r="A120" i="212" s="1"/>
  <c r="A121" i="212" s="1"/>
  <c r="A122" i="212" s="1"/>
  <c r="A123" i="212" s="1"/>
  <c r="A124" i="212" s="1"/>
  <c r="A125" i="212" s="1"/>
  <c r="A126" i="212" s="1"/>
  <c r="A127" i="212" s="1"/>
  <c r="A128" i="212" s="1"/>
  <c r="A129" i="212" s="1"/>
  <c r="A130" i="212" s="1"/>
  <c r="A131" i="212" s="1"/>
  <c r="A132" i="212" s="1"/>
  <c r="A133" i="212" s="1"/>
  <c r="A134" i="212" s="1"/>
  <c r="A135" i="212" s="1"/>
  <c r="A136" i="212" s="1"/>
  <c r="A137" i="212" s="1"/>
  <c r="A138" i="212" s="1"/>
  <c r="A139" i="212" s="1"/>
  <c r="A140" i="212" s="1"/>
  <c r="A141" i="212" s="1"/>
  <c r="A142" i="212" s="1"/>
  <c r="A143" i="212" s="1"/>
  <c r="A144" i="212" s="1"/>
  <c r="A145" i="212" s="1"/>
  <c r="A146" i="212" s="1"/>
  <c r="A147" i="212" s="1"/>
  <c r="A148" i="212" s="1"/>
  <c r="N103" i="212"/>
  <c r="J103" i="212"/>
  <c r="H103" i="212"/>
  <c r="J102" i="212"/>
  <c r="H102" i="212"/>
  <c r="J101" i="212"/>
  <c r="D100" i="212"/>
  <c r="C100" i="212"/>
  <c r="B100" i="212"/>
  <c r="D99" i="212"/>
  <c r="C99" i="212"/>
  <c r="B99" i="212"/>
  <c r="D98" i="212"/>
  <c r="C98" i="212"/>
  <c r="B98" i="212"/>
  <c r="D97" i="212"/>
  <c r="C97" i="212"/>
  <c r="B97" i="212"/>
  <c r="D96" i="212"/>
  <c r="C96" i="212"/>
  <c r="B96" i="212"/>
  <c r="D95" i="212"/>
  <c r="C95" i="212"/>
  <c r="B95" i="212"/>
  <c r="D94" i="212"/>
  <c r="C94" i="212"/>
  <c r="B94" i="212"/>
  <c r="D93" i="212"/>
  <c r="C93" i="212"/>
  <c r="B93" i="212"/>
  <c r="D92" i="212"/>
  <c r="C92" i="212"/>
  <c r="B92" i="212"/>
  <c r="D91" i="212"/>
  <c r="C91" i="212"/>
  <c r="B91" i="212"/>
  <c r="D90" i="212"/>
  <c r="C90" i="212"/>
  <c r="B90" i="212"/>
  <c r="D89" i="212"/>
  <c r="C89" i="212"/>
  <c r="B89" i="212"/>
  <c r="D88" i="212"/>
  <c r="C88" i="212"/>
  <c r="B88" i="212"/>
  <c r="D87" i="212"/>
  <c r="C87" i="212"/>
  <c r="B87" i="212"/>
  <c r="D86" i="212"/>
  <c r="C86" i="212"/>
  <c r="B86" i="212"/>
  <c r="D85" i="212"/>
  <c r="C85" i="212"/>
  <c r="B85" i="212"/>
  <c r="D84" i="212"/>
  <c r="C84" i="212"/>
  <c r="B84" i="212"/>
  <c r="D83" i="212"/>
  <c r="C83" i="212"/>
  <c r="B83" i="212"/>
  <c r="D82" i="212"/>
  <c r="C82" i="212"/>
  <c r="B82" i="212"/>
  <c r="D81" i="212"/>
  <c r="C81" i="212"/>
  <c r="B81" i="212"/>
  <c r="D80" i="212"/>
  <c r="C80" i="212"/>
  <c r="B80" i="212"/>
  <c r="D79" i="212"/>
  <c r="C79" i="212"/>
  <c r="B79" i="212"/>
  <c r="D78" i="212"/>
  <c r="C78" i="212"/>
  <c r="B78" i="212"/>
  <c r="D77" i="212"/>
  <c r="C77" i="212"/>
  <c r="B77" i="212"/>
  <c r="D76" i="212"/>
  <c r="C76" i="212"/>
  <c r="B76" i="212"/>
  <c r="D75" i="212"/>
  <c r="C75" i="212"/>
  <c r="B75" i="212"/>
  <c r="D74" i="212"/>
  <c r="C74" i="212"/>
  <c r="B74" i="212"/>
  <c r="D73" i="212"/>
  <c r="C73" i="212"/>
  <c r="B73" i="212"/>
  <c r="D72" i="212"/>
  <c r="C72" i="212"/>
  <c r="B72" i="212"/>
  <c r="D71" i="212"/>
  <c r="C71" i="212"/>
  <c r="B71" i="212"/>
  <c r="D70" i="212"/>
  <c r="C70" i="212"/>
  <c r="B70" i="212"/>
  <c r="D69" i="212"/>
  <c r="C69" i="212"/>
  <c r="B69" i="212"/>
  <c r="D68" i="212"/>
  <c r="C68" i="212"/>
  <c r="B68" i="212"/>
  <c r="D67" i="212"/>
  <c r="C67" i="212"/>
  <c r="B67" i="212"/>
  <c r="D66" i="212"/>
  <c r="C66" i="212"/>
  <c r="B66" i="212"/>
  <c r="D65" i="212"/>
  <c r="C65" i="212"/>
  <c r="B65" i="212"/>
  <c r="D64" i="212"/>
  <c r="C64" i="212"/>
  <c r="B64" i="212"/>
  <c r="D63" i="212"/>
  <c r="C63" i="212"/>
  <c r="B63" i="212"/>
  <c r="D62" i="212"/>
  <c r="C62" i="212"/>
  <c r="B62" i="212"/>
  <c r="D61" i="212"/>
  <c r="C61" i="212"/>
  <c r="B61" i="212"/>
  <c r="D60" i="212"/>
  <c r="C60" i="212"/>
  <c r="B60" i="212"/>
  <c r="D59" i="212"/>
  <c r="C59" i="212"/>
  <c r="B59" i="212"/>
  <c r="D58" i="212"/>
  <c r="C58" i="212"/>
  <c r="B58" i="212"/>
  <c r="D57" i="212"/>
  <c r="C57" i="212"/>
  <c r="B57" i="212"/>
  <c r="N54" i="212"/>
  <c r="J54" i="212"/>
  <c r="H54" i="212"/>
  <c r="J53" i="212"/>
  <c r="H53" i="212"/>
  <c r="J52" i="212"/>
  <c r="D21" i="212" a="1"/>
  <c r="D20" i="212" a="1"/>
  <c r="D19" i="212" a="1"/>
  <c r="D14" i="212" a="1"/>
  <c r="D54" i="212" s="1"/>
  <c r="D13" i="212" a="1"/>
  <c r="D12" i="212" a="1"/>
  <c r="D10" i="212" a="1"/>
  <c r="D8" i="212"/>
  <c r="D7" i="212"/>
  <c r="D6" i="212"/>
  <c r="D5" i="212"/>
  <c r="N3" i="212"/>
  <c r="N1" i="212"/>
  <c r="G107" i="211"/>
  <c r="I107" i="211" s="1"/>
  <c r="G108" i="211"/>
  <c r="I108" i="211" s="1"/>
  <c r="G109" i="211"/>
  <c r="I109" i="211" s="1"/>
  <c r="G110" i="211"/>
  <c r="I110" i="211" s="1"/>
  <c r="G111" i="211"/>
  <c r="I111" i="211" s="1"/>
  <c r="G112" i="211"/>
  <c r="I112" i="211" s="1"/>
  <c r="G113" i="211"/>
  <c r="I113" i="211" s="1"/>
  <c r="G114" i="211"/>
  <c r="I114" i="211" s="1"/>
  <c r="G115" i="211"/>
  <c r="I115" i="211" s="1"/>
  <c r="G116" i="211"/>
  <c r="I116" i="211" s="1"/>
  <c r="G117" i="211"/>
  <c r="I117" i="211" s="1"/>
  <c r="G118" i="211"/>
  <c r="I118" i="211" s="1"/>
  <c r="G119" i="211"/>
  <c r="I119" i="211" s="1"/>
  <c r="G120" i="211"/>
  <c r="I120" i="211" s="1"/>
  <c r="G121" i="211"/>
  <c r="I121" i="211" s="1"/>
  <c r="G122" i="211"/>
  <c r="I122" i="211" s="1"/>
  <c r="G123" i="211"/>
  <c r="I123" i="211" s="1"/>
  <c r="G124" i="211"/>
  <c r="I124" i="211" s="1"/>
  <c r="G125" i="211"/>
  <c r="I125" i="211" s="1"/>
  <c r="G126" i="211"/>
  <c r="I126" i="211" s="1"/>
  <c r="G127" i="211"/>
  <c r="I127" i="211" s="1"/>
  <c r="G128" i="211"/>
  <c r="I128" i="211" s="1"/>
  <c r="G129" i="211"/>
  <c r="I129" i="211" s="1"/>
  <c r="G130" i="211"/>
  <c r="I130" i="211" s="1"/>
  <c r="G131" i="211"/>
  <c r="I131" i="211" s="1"/>
  <c r="G132" i="211"/>
  <c r="I132" i="211" s="1"/>
  <c r="G133" i="211"/>
  <c r="I133" i="211" s="1"/>
  <c r="G134" i="211"/>
  <c r="I134" i="211" s="1"/>
  <c r="G135" i="211"/>
  <c r="I135" i="211" s="1"/>
  <c r="G136" i="211"/>
  <c r="I136" i="211" s="1"/>
  <c r="G137" i="211"/>
  <c r="I137" i="211" s="1"/>
  <c r="G138" i="211"/>
  <c r="I138" i="211" s="1"/>
  <c r="G139" i="211"/>
  <c r="I139" i="211" s="1"/>
  <c r="G140" i="211"/>
  <c r="I140" i="211" s="1"/>
  <c r="G141" i="211"/>
  <c r="I141" i="211" s="1"/>
  <c r="G142" i="211"/>
  <c r="I142" i="211" s="1"/>
  <c r="G143" i="211"/>
  <c r="I143" i="211" s="1"/>
  <c r="G144" i="211"/>
  <c r="I144" i="211" s="1"/>
  <c r="G145" i="211"/>
  <c r="I145" i="211" s="1"/>
  <c r="G146" i="211"/>
  <c r="I146" i="211" s="1"/>
  <c r="G147" i="211"/>
  <c r="I147" i="211" s="1"/>
  <c r="G148" i="211"/>
  <c r="I148" i="211" s="1"/>
  <c r="G106" i="211"/>
  <c r="I106" i="211" s="1"/>
  <c r="G58" i="211"/>
  <c r="I58" i="211" s="1"/>
  <c r="G59" i="211"/>
  <c r="I59" i="211" s="1"/>
  <c r="G60" i="211"/>
  <c r="I60" i="211" s="1"/>
  <c r="G61" i="211"/>
  <c r="I61" i="211" s="1"/>
  <c r="G62" i="211"/>
  <c r="I62" i="211" s="1"/>
  <c r="G63" i="211"/>
  <c r="I63" i="211" s="1"/>
  <c r="G64" i="211"/>
  <c r="I64" i="211" s="1"/>
  <c r="G65" i="211"/>
  <c r="I65" i="211" s="1"/>
  <c r="G66" i="211"/>
  <c r="I66" i="211" s="1"/>
  <c r="G67" i="211"/>
  <c r="I67" i="211" s="1"/>
  <c r="G68" i="211"/>
  <c r="I68" i="211" s="1"/>
  <c r="G69" i="211"/>
  <c r="I69" i="211" s="1"/>
  <c r="G70" i="211"/>
  <c r="I70" i="211" s="1"/>
  <c r="G71" i="211"/>
  <c r="I71" i="211" s="1"/>
  <c r="G72" i="211"/>
  <c r="I72" i="211" s="1"/>
  <c r="G73" i="211"/>
  <c r="I73" i="211" s="1"/>
  <c r="G74" i="211"/>
  <c r="I74" i="211" s="1"/>
  <c r="G75" i="211"/>
  <c r="I75" i="211" s="1"/>
  <c r="G76" i="211"/>
  <c r="I76" i="211" s="1"/>
  <c r="G77" i="211"/>
  <c r="I77" i="211" s="1"/>
  <c r="G78" i="211"/>
  <c r="I78" i="211" s="1"/>
  <c r="G79" i="211"/>
  <c r="I79" i="211" s="1"/>
  <c r="G80" i="211"/>
  <c r="I80" i="211" s="1"/>
  <c r="G81" i="211"/>
  <c r="I81" i="211" s="1"/>
  <c r="G82" i="211"/>
  <c r="I82" i="211" s="1"/>
  <c r="G83" i="211"/>
  <c r="I83" i="211" s="1"/>
  <c r="G84" i="211"/>
  <c r="I84" i="211" s="1"/>
  <c r="G85" i="211"/>
  <c r="I85" i="211" s="1"/>
  <c r="G86" i="211"/>
  <c r="I86" i="211" s="1"/>
  <c r="G87" i="211"/>
  <c r="I87" i="211" s="1"/>
  <c r="G88" i="211"/>
  <c r="I88" i="211" s="1"/>
  <c r="G89" i="211"/>
  <c r="I89" i="211" s="1"/>
  <c r="G90" i="211"/>
  <c r="I90" i="211" s="1"/>
  <c r="G91" i="211"/>
  <c r="I91" i="211" s="1"/>
  <c r="G92" i="211"/>
  <c r="I92" i="211" s="1"/>
  <c r="G93" i="211"/>
  <c r="I93" i="211" s="1"/>
  <c r="G94" i="211"/>
  <c r="I94" i="211" s="1"/>
  <c r="G95" i="211"/>
  <c r="I95" i="211" s="1"/>
  <c r="G96" i="211"/>
  <c r="I96" i="211" s="1"/>
  <c r="G97" i="211"/>
  <c r="I97" i="211" s="1"/>
  <c r="G98" i="211"/>
  <c r="I98" i="211" s="1"/>
  <c r="G99" i="211"/>
  <c r="I99" i="211" s="1"/>
  <c r="G100" i="211"/>
  <c r="I100" i="211" s="1"/>
  <c r="G57" i="211"/>
  <c r="I57" i="211" s="1"/>
  <c r="M149" i="211"/>
  <c r="H149" i="211"/>
  <c r="D148" i="211"/>
  <c r="C148" i="211"/>
  <c r="B148" i="211"/>
  <c r="D147" i="211"/>
  <c r="C147" i="211"/>
  <c r="B147" i="211"/>
  <c r="D146" i="211"/>
  <c r="C146" i="211"/>
  <c r="B146" i="211"/>
  <c r="D145" i="211"/>
  <c r="C145" i="211"/>
  <c r="B145" i="211"/>
  <c r="D144" i="211"/>
  <c r="C144" i="211"/>
  <c r="B144" i="211"/>
  <c r="D143" i="211"/>
  <c r="C143" i="211"/>
  <c r="B143" i="211"/>
  <c r="D142" i="211"/>
  <c r="C142" i="211"/>
  <c r="B142" i="211"/>
  <c r="D141" i="211"/>
  <c r="C141" i="211"/>
  <c r="B141" i="211"/>
  <c r="D140" i="211"/>
  <c r="C140" i="211"/>
  <c r="B140" i="211"/>
  <c r="D139" i="211"/>
  <c r="C139" i="211"/>
  <c r="B139" i="211"/>
  <c r="D138" i="211"/>
  <c r="C138" i="211"/>
  <c r="B138" i="211"/>
  <c r="D137" i="211"/>
  <c r="C137" i="211"/>
  <c r="B137" i="211"/>
  <c r="D136" i="211"/>
  <c r="C136" i="211"/>
  <c r="B136" i="211"/>
  <c r="D135" i="211"/>
  <c r="C135" i="211"/>
  <c r="B135" i="211"/>
  <c r="D134" i="211"/>
  <c r="C134" i="211"/>
  <c r="B134" i="211"/>
  <c r="D133" i="211"/>
  <c r="C133" i="211"/>
  <c r="B133" i="211"/>
  <c r="D132" i="211"/>
  <c r="C132" i="211"/>
  <c r="B132" i="211"/>
  <c r="D131" i="211"/>
  <c r="C131" i="211"/>
  <c r="B131" i="211"/>
  <c r="D130" i="211"/>
  <c r="C130" i="211"/>
  <c r="B130" i="211"/>
  <c r="D129" i="211"/>
  <c r="C129" i="211"/>
  <c r="B129" i="211"/>
  <c r="D128" i="211"/>
  <c r="C128" i="211"/>
  <c r="B128" i="211"/>
  <c r="D127" i="211"/>
  <c r="C127" i="211"/>
  <c r="B127" i="211"/>
  <c r="D126" i="211"/>
  <c r="C126" i="211"/>
  <c r="B126" i="211"/>
  <c r="D125" i="211"/>
  <c r="C125" i="211"/>
  <c r="B125" i="211"/>
  <c r="D124" i="211"/>
  <c r="C124" i="211"/>
  <c r="B124" i="211"/>
  <c r="D123" i="211"/>
  <c r="C123" i="211"/>
  <c r="B123" i="211"/>
  <c r="D122" i="211"/>
  <c r="C122" i="211"/>
  <c r="B122" i="211"/>
  <c r="D121" i="211"/>
  <c r="C121" i="211"/>
  <c r="B121" i="211"/>
  <c r="D120" i="211"/>
  <c r="C120" i="211"/>
  <c r="B120" i="211"/>
  <c r="D119" i="211"/>
  <c r="C119" i="211"/>
  <c r="B119" i="211"/>
  <c r="D118" i="211"/>
  <c r="C118" i="211"/>
  <c r="B118" i="211"/>
  <c r="D117" i="211"/>
  <c r="C117" i="211"/>
  <c r="B117" i="211"/>
  <c r="D116" i="211"/>
  <c r="C116" i="211"/>
  <c r="B116" i="211"/>
  <c r="D115" i="211"/>
  <c r="C115" i="211"/>
  <c r="B115" i="211"/>
  <c r="D114" i="211"/>
  <c r="C114" i="211"/>
  <c r="B114" i="211"/>
  <c r="D113" i="211"/>
  <c r="C113" i="211"/>
  <c r="B113" i="211"/>
  <c r="D112" i="211"/>
  <c r="C112" i="211"/>
  <c r="B112" i="211"/>
  <c r="D111" i="211"/>
  <c r="C111" i="211"/>
  <c r="B111" i="211"/>
  <c r="D110" i="211"/>
  <c r="C110" i="211"/>
  <c r="B110" i="211"/>
  <c r="D109" i="211"/>
  <c r="C109" i="211"/>
  <c r="B109" i="211"/>
  <c r="D108" i="211"/>
  <c r="C108" i="211"/>
  <c r="B108" i="211"/>
  <c r="D107" i="211"/>
  <c r="C107" i="211"/>
  <c r="B107" i="211"/>
  <c r="D106" i="211"/>
  <c r="C106" i="211"/>
  <c r="B106" i="211"/>
  <c r="A106" i="211"/>
  <c r="A107" i="211" s="1"/>
  <c r="A108" i="211" s="1"/>
  <c r="A109" i="211" s="1"/>
  <c r="A110" i="211" s="1"/>
  <c r="A111" i="211" s="1"/>
  <c r="A112" i="211" s="1"/>
  <c r="A113" i="211" s="1"/>
  <c r="A114" i="211" s="1"/>
  <c r="A115" i="211" s="1"/>
  <c r="A116" i="211" s="1"/>
  <c r="A117" i="211" s="1"/>
  <c r="A118" i="211" s="1"/>
  <c r="A119" i="211" s="1"/>
  <c r="A120" i="211" s="1"/>
  <c r="A121" i="211" s="1"/>
  <c r="A122" i="211" s="1"/>
  <c r="A123" i="211" s="1"/>
  <c r="A124" i="211" s="1"/>
  <c r="A125" i="211" s="1"/>
  <c r="A126" i="211" s="1"/>
  <c r="A127" i="211" s="1"/>
  <c r="A128" i="211" s="1"/>
  <c r="A129" i="211" s="1"/>
  <c r="A130" i="211" s="1"/>
  <c r="A131" i="211" s="1"/>
  <c r="A132" i="211" s="1"/>
  <c r="A133" i="211" s="1"/>
  <c r="A134" i="211" s="1"/>
  <c r="A135" i="211" s="1"/>
  <c r="A136" i="211" s="1"/>
  <c r="A137" i="211" s="1"/>
  <c r="A138" i="211" s="1"/>
  <c r="A139" i="211" s="1"/>
  <c r="A140" i="211" s="1"/>
  <c r="A141" i="211" s="1"/>
  <c r="A142" i="211" s="1"/>
  <c r="A143" i="211" s="1"/>
  <c r="A144" i="211" s="1"/>
  <c r="A145" i="211" s="1"/>
  <c r="A146" i="211" s="1"/>
  <c r="A147" i="211" s="1"/>
  <c r="A148" i="211" s="1"/>
  <c r="N103" i="211"/>
  <c r="J103" i="211"/>
  <c r="H103" i="211"/>
  <c r="J102" i="211"/>
  <c r="H102" i="211"/>
  <c r="J101" i="211"/>
  <c r="D100" i="211"/>
  <c r="C100" i="211"/>
  <c r="B100" i="211"/>
  <c r="D99" i="211"/>
  <c r="C99" i="211"/>
  <c r="B99" i="211"/>
  <c r="D98" i="211"/>
  <c r="C98" i="211"/>
  <c r="B98" i="211"/>
  <c r="D97" i="211"/>
  <c r="C97" i="211"/>
  <c r="B97" i="211"/>
  <c r="D96" i="211"/>
  <c r="C96" i="211"/>
  <c r="B96" i="211"/>
  <c r="D95" i="211"/>
  <c r="C95" i="211"/>
  <c r="B95" i="211"/>
  <c r="D94" i="211"/>
  <c r="C94" i="211"/>
  <c r="B94" i="211"/>
  <c r="D93" i="211"/>
  <c r="C93" i="211"/>
  <c r="B93" i="211"/>
  <c r="D92" i="211"/>
  <c r="C92" i="211"/>
  <c r="B92" i="211"/>
  <c r="D91" i="211"/>
  <c r="C91" i="211"/>
  <c r="B91" i="211"/>
  <c r="D90" i="211"/>
  <c r="C90" i="211"/>
  <c r="B90" i="211"/>
  <c r="D89" i="211"/>
  <c r="C89" i="211"/>
  <c r="B89" i="211"/>
  <c r="D88" i="211"/>
  <c r="C88" i="211"/>
  <c r="B88" i="211"/>
  <c r="D87" i="211"/>
  <c r="C87" i="211"/>
  <c r="B87" i="211"/>
  <c r="D86" i="211"/>
  <c r="C86" i="211"/>
  <c r="B86" i="211"/>
  <c r="D85" i="211"/>
  <c r="C85" i="211"/>
  <c r="B85" i="211"/>
  <c r="D84" i="211"/>
  <c r="C84" i="211"/>
  <c r="B84" i="211"/>
  <c r="D83" i="211"/>
  <c r="C83" i="211"/>
  <c r="B83" i="211"/>
  <c r="D82" i="211"/>
  <c r="C82" i="211"/>
  <c r="B82" i="211"/>
  <c r="D81" i="211"/>
  <c r="C81" i="211"/>
  <c r="B81" i="211"/>
  <c r="D80" i="211"/>
  <c r="C80" i="211"/>
  <c r="B80" i="211"/>
  <c r="D79" i="211"/>
  <c r="C79" i="211"/>
  <c r="B79" i="211"/>
  <c r="D78" i="211"/>
  <c r="C78" i="211"/>
  <c r="B78" i="211"/>
  <c r="D77" i="211"/>
  <c r="C77" i="211"/>
  <c r="B77" i="211"/>
  <c r="D76" i="211"/>
  <c r="C76" i="211"/>
  <c r="B76" i="211"/>
  <c r="D75" i="211"/>
  <c r="C75" i="211"/>
  <c r="B75" i="211"/>
  <c r="D74" i="211"/>
  <c r="C74" i="211"/>
  <c r="B74" i="211"/>
  <c r="D73" i="211"/>
  <c r="C73" i="211"/>
  <c r="B73" i="211"/>
  <c r="D72" i="211"/>
  <c r="C72" i="211"/>
  <c r="B72" i="211"/>
  <c r="D71" i="211"/>
  <c r="C71" i="211"/>
  <c r="B71" i="211"/>
  <c r="D70" i="211"/>
  <c r="C70" i="211"/>
  <c r="B70" i="211"/>
  <c r="D69" i="211"/>
  <c r="C69" i="211"/>
  <c r="B69" i="211"/>
  <c r="D68" i="211"/>
  <c r="C68" i="211"/>
  <c r="B68" i="211"/>
  <c r="D67" i="211"/>
  <c r="C67" i="211"/>
  <c r="B67" i="211"/>
  <c r="D66" i="211"/>
  <c r="C66" i="211"/>
  <c r="B66" i="211"/>
  <c r="D65" i="211"/>
  <c r="C65" i="211"/>
  <c r="B65" i="211"/>
  <c r="D64" i="211"/>
  <c r="C64" i="211"/>
  <c r="B64" i="211"/>
  <c r="D63" i="211"/>
  <c r="C63" i="211"/>
  <c r="B63" i="211"/>
  <c r="D62" i="211"/>
  <c r="C62" i="211"/>
  <c r="B62" i="211"/>
  <c r="D61" i="211"/>
  <c r="C61" i="211"/>
  <c r="B61" i="211"/>
  <c r="D60" i="211"/>
  <c r="C60" i="211"/>
  <c r="B60" i="211"/>
  <c r="D59" i="211"/>
  <c r="C59" i="211"/>
  <c r="B59" i="211"/>
  <c r="D58" i="211"/>
  <c r="C58" i="211"/>
  <c r="B58" i="211"/>
  <c r="D57" i="211"/>
  <c r="C57" i="211"/>
  <c r="B57" i="211"/>
  <c r="N54" i="211"/>
  <c r="J54" i="211"/>
  <c r="H54" i="211"/>
  <c r="J53" i="211"/>
  <c r="H53" i="211"/>
  <c r="J52" i="211"/>
  <c r="D21" i="211" a="1"/>
  <c r="D20" i="211" a="1"/>
  <c r="D19" i="211" a="1"/>
  <c r="D14" i="211" a="1"/>
  <c r="D54" i="211" s="1"/>
  <c r="D13" i="211" a="1"/>
  <c r="D12" i="211" a="1"/>
  <c r="D10" i="211" a="1"/>
  <c r="D8" i="211"/>
  <c r="D7" i="211"/>
  <c r="D6" i="211"/>
  <c r="D5" i="211"/>
  <c r="N3" i="211"/>
  <c r="N1" i="211"/>
  <c r="G107" i="210"/>
  <c r="I107" i="210" s="1"/>
  <c r="G108" i="210"/>
  <c r="I108" i="210" s="1"/>
  <c r="G109" i="210"/>
  <c r="I109" i="210" s="1"/>
  <c r="G110" i="210"/>
  <c r="I110" i="210" s="1"/>
  <c r="G111" i="210"/>
  <c r="I111" i="210" s="1"/>
  <c r="G112" i="210"/>
  <c r="I112" i="210" s="1"/>
  <c r="G113" i="210"/>
  <c r="I113" i="210" s="1"/>
  <c r="G114" i="210"/>
  <c r="I114" i="210" s="1"/>
  <c r="G115" i="210"/>
  <c r="I115" i="210" s="1"/>
  <c r="G116" i="210"/>
  <c r="I116" i="210" s="1"/>
  <c r="G117" i="210"/>
  <c r="I117" i="210" s="1"/>
  <c r="G118" i="210"/>
  <c r="I118" i="210" s="1"/>
  <c r="G119" i="210"/>
  <c r="I119" i="210" s="1"/>
  <c r="G120" i="210"/>
  <c r="I120" i="210" s="1"/>
  <c r="G121" i="210"/>
  <c r="I121" i="210" s="1"/>
  <c r="G122" i="210"/>
  <c r="I122" i="210" s="1"/>
  <c r="G123" i="210"/>
  <c r="I123" i="210" s="1"/>
  <c r="G124" i="210"/>
  <c r="I124" i="210" s="1"/>
  <c r="G125" i="210"/>
  <c r="I125" i="210" s="1"/>
  <c r="G126" i="210"/>
  <c r="I126" i="210" s="1"/>
  <c r="G127" i="210"/>
  <c r="I127" i="210" s="1"/>
  <c r="G128" i="210"/>
  <c r="I128" i="210" s="1"/>
  <c r="G129" i="210"/>
  <c r="I129" i="210" s="1"/>
  <c r="G130" i="210"/>
  <c r="I130" i="210" s="1"/>
  <c r="G131" i="210"/>
  <c r="I131" i="210" s="1"/>
  <c r="G132" i="210"/>
  <c r="I132" i="210" s="1"/>
  <c r="G133" i="210"/>
  <c r="I133" i="210" s="1"/>
  <c r="G134" i="210"/>
  <c r="I134" i="210" s="1"/>
  <c r="G135" i="210"/>
  <c r="I135" i="210" s="1"/>
  <c r="G136" i="210"/>
  <c r="I136" i="210" s="1"/>
  <c r="G137" i="210"/>
  <c r="I137" i="210" s="1"/>
  <c r="G138" i="210"/>
  <c r="I138" i="210" s="1"/>
  <c r="G139" i="210"/>
  <c r="I139" i="210" s="1"/>
  <c r="G140" i="210"/>
  <c r="I140" i="210" s="1"/>
  <c r="G141" i="210"/>
  <c r="I141" i="210" s="1"/>
  <c r="G142" i="210"/>
  <c r="I142" i="210" s="1"/>
  <c r="G143" i="210"/>
  <c r="I143" i="210" s="1"/>
  <c r="G144" i="210"/>
  <c r="I144" i="210" s="1"/>
  <c r="G145" i="210"/>
  <c r="I145" i="210" s="1"/>
  <c r="G146" i="210"/>
  <c r="I146" i="210" s="1"/>
  <c r="G147" i="210"/>
  <c r="I147" i="210" s="1"/>
  <c r="G148" i="210"/>
  <c r="I148" i="210" s="1"/>
  <c r="G106" i="210"/>
  <c r="I106" i="210" s="1"/>
  <c r="G58" i="210"/>
  <c r="I58" i="210" s="1"/>
  <c r="G59" i="210"/>
  <c r="I59" i="210" s="1"/>
  <c r="G60" i="210"/>
  <c r="I60" i="210" s="1"/>
  <c r="G61" i="210"/>
  <c r="I61" i="210" s="1"/>
  <c r="G62" i="210"/>
  <c r="I62" i="210" s="1"/>
  <c r="G63" i="210"/>
  <c r="I63" i="210" s="1"/>
  <c r="G64" i="210"/>
  <c r="I64" i="210" s="1"/>
  <c r="G65" i="210"/>
  <c r="I65" i="210" s="1"/>
  <c r="G66" i="210"/>
  <c r="I66" i="210" s="1"/>
  <c r="G67" i="210"/>
  <c r="I67" i="210" s="1"/>
  <c r="G68" i="210"/>
  <c r="I68" i="210" s="1"/>
  <c r="G69" i="210"/>
  <c r="I69" i="210" s="1"/>
  <c r="G70" i="210"/>
  <c r="I70" i="210" s="1"/>
  <c r="G71" i="210"/>
  <c r="I71" i="210" s="1"/>
  <c r="G72" i="210"/>
  <c r="I72" i="210" s="1"/>
  <c r="G73" i="210"/>
  <c r="I73" i="210" s="1"/>
  <c r="G74" i="210"/>
  <c r="I74" i="210" s="1"/>
  <c r="G75" i="210"/>
  <c r="I75" i="210" s="1"/>
  <c r="G76" i="210"/>
  <c r="I76" i="210" s="1"/>
  <c r="G77" i="210"/>
  <c r="I77" i="210" s="1"/>
  <c r="G78" i="210"/>
  <c r="I78" i="210" s="1"/>
  <c r="G79" i="210"/>
  <c r="I79" i="210" s="1"/>
  <c r="G80" i="210"/>
  <c r="I80" i="210" s="1"/>
  <c r="G81" i="210"/>
  <c r="I81" i="210" s="1"/>
  <c r="G82" i="210"/>
  <c r="I82" i="210" s="1"/>
  <c r="G83" i="210"/>
  <c r="I83" i="210" s="1"/>
  <c r="G84" i="210"/>
  <c r="I84" i="210" s="1"/>
  <c r="G85" i="210"/>
  <c r="I85" i="210" s="1"/>
  <c r="G86" i="210"/>
  <c r="I86" i="210" s="1"/>
  <c r="G87" i="210"/>
  <c r="I87" i="210" s="1"/>
  <c r="G88" i="210"/>
  <c r="I88" i="210" s="1"/>
  <c r="G89" i="210"/>
  <c r="I89" i="210" s="1"/>
  <c r="G90" i="210"/>
  <c r="I90" i="210" s="1"/>
  <c r="G91" i="210"/>
  <c r="I91" i="210" s="1"/>
  <c r="G92" i="210"/>
  <c r="I92" i="210" s="1"/>
  <c r="G93" i="210"/>
  <c r="I93" i="210" s="1"/>
  <c r="G94" i="210"/>
  <c r="I94" i="210" s="1"/>
  <c r="G95" i="210"/>
  <c r="I95" i="210" s="1"/>
  <c r="G96" i="210"/>
  <c r="I96" i="210" s="1"/>
  <c r="G97" i="210"/>
  <c r="I97" i="210" s="1"/>
  <c r="G98" i="210"/>
  <c r="I98" i="210" s="1"/>
  <c r="G99" i="210"/>
  <c r="I99" i="210" s="1"/>
  <c r="G100" i="210"/>
  <c r="I100" i="210" s="1"/>
  <c r="G57" i="210"/>
  <c r="M149" i="210"/>
  <c r="H149" i="210"/>
  <c r="D148" i="210"/>
  <c r="C148" i="210"/>
  <c r="B148" i="210"/>
  <c r="D147" i="210"/>
  <c r="C147" i="210"/>
  <c r="B147" i="210"/>
  <c r="D146" i="210"/>
  <c r="C146" i="210"/>
  <c r="B146" i="210"/>
  <c r="D145" i="210"/>
  <c r="C145" i="210"/>
  <c r="B145" i="210"/>
  <c r="D144" i="210"/>
  <c r="C144" i="210"/>
  <c r="B144" i="210"/>
  <c r="D143" i="210"/>
  <c r="C143" i="210"/>
  <c r="B143" i="210"/>
  <c r="D142" i="210"/>
  <c r="C142" i="210"/>
  <c r="B142" i="210"/>
  <c r="D141" i="210"/>
  <c r="C141" i="210"/>
  <c r="B141" i="210"/>
  <c r="D140" i="210"/>
  <c r="C140" i="210"/>
  <c r="B140" i="210"/>
  <c r="D139" i="210"/>
  <c r="C139" i="210"/>
  <c r="B139" i="210"/>
  <c r="D138" i="210"/>
  <c r="C138" i="210"/>
  <c r="B138" i="210"/>
  <c r="D137" i="210"/>
  <c r="C137" i="210"/>
  <c r="B137" i="210"/>
  <c r="D136" i="210"/>
  <c r="C136" i="210"/>
  <c r="B136" i="210"/>
  <c r="D135" i="210"/>
  <c r="C135" i="210"/>
  <c r="B135" i="210"/>
  <c r="D134" i="210"/>
  <c r="C134" i="210"/>
  <c r="B134" i="210"/>
  <c r="D133" i="210"/>
  <c r="C133" i="210"/>
  <c r="B133" i="210"/>
  <c r="D132" i="210"/>
  <c r="C132" i="210"/>
  <c r="B132" i="210"/>
  <c r="D131" i="210"/>
  <c r="C131" i="210"/>
  <c r="B131" i="210"/>
  <c r="D130" i="210"/>
  <c r="C130" i="210"/>
  <c r="B130" i="210"/>
  <c r="D129" i="210"/>
  <c r="C129" i="210"/>
  <c r="B129" i="210"/>
  <c r="D128" i="210"/>
  <c r="C128" i="210"/>
  <c r="B128" i="210"/>
  <c r="D127" i="210"/>
  <c r="C127" i="210"/>
  <c r="B127" i="210"/>
  <c r="D126" i="210"/>
  <c r="C126" i="210"/>
  <c r="B126" i="210"/>
  <c r="D125" i="210"/>
  <c r="C125" i="210"/>
  <c r="B125" i="210"/>
  <c r="D124" i="210"/>
  <c r="C124" i="210"/>
  <c r="B124" i="210"/>
  <c r="D123" i="210"/>
  <c r="C123" i="210"/>
  <c r="B123" i="210"/>
  <c r="D122" i="210"/>
  <c r="C122" i="210"/>
  <c r="B122" i="210"/>
  <c r="D121" i="210"/>
  <c r="C121" i="210"/>
  <c r="B121" i="210"/>
  <c r="D120" i="210"/>
  <c r="C120" i="210"/>
  <c r="B120" i="210"/>
  <c r="D119" i="210"/>
  <c r="C119" i="210"/>
  <c r="B119" i="210"/>
  <c r="D118" i="210"/>
  <c r="C118" i="210"/>
  <c r="B118" i="210"/>
  <c r="D117" i="210"/>
  <c r="C117" i="210"/>
  <c r="B117" i="210"/>
  <c r="D116" i="210"/>
  <c r="C116" i="210"/>
  <c r="B116" i="210"/>
  <c r="D115" i="210"/>
  <c r="C115" i="210"/>
  <c r="B115" i="210"/>
  <c r="D114" i="210"/>
  <c r="C114" i="210"/>
  <c r="B114" i="210"/>
  <c r="D113" i="210"/>
  <c r="C113" i="210"/>
  <c r="B113" i="210"/>
  <c r="D112" i="210"/>
  <c r="C112" i="210"/>
  <c r="B112" i="210"/>
  <c r="D111" i="210"/>
  <c r="C111" i="210"/>
  <c r="B111" i="210"/>
  <c r="D110" i="210"/>
  <c r="C110" i="210"/>
  <c r="B110" i="210"/>
  <c r="D109" i="210"/>
  <c r="C109" i="210"/>
  <c r="B109" i="210"/>
  <c r="D108" i="210"/>
  <c r="C108" i="210"/>
  <c r="B108" i="210"/>
  <c r="D107" i="210"/>
  <c r="C107" i="210"/>
  <c r="B107" i="210"/>
  <c r="D106" i="210"/>
  <c r="C106" i="210"/>
  <c r="B106" i="210"/>
  <c r="A106" i="210"/>
  <c r="A107" i="210" s="1"/>
  <c r="A108" i="210" s="1"/>
  <c r="A109" i="210" s="1"/>
  <c r="A110" i="210" s="1"/>
  <c r="A111" i="210" s="1"/>
  <c r="A112" i="210" s="1"/>
  <c r="A113" i="210" s="1"/>
  <c r="A114" i="210" s="1"/>
  <c r="A115" i="210" s="1"/>
  <c r="A116" i="210" s="1"/>
  <c r="A117" i="210" s="1"/>
  <c r="A118" i="210" s="1"/>
  <c r="A119" i="210" s="1"/>
  <c r="A120" i="210" s="1"/>
  <c r="A121" i="210" s="1"/>
  <c r="A122" i="210" s="1"/>
  <c r="A123" i="210" s="1"/>
  <c r="A124" i="210" s="1"/>
  <c r="A125" i="210" s="1"/>
  <c r="A126" i="210" s="1"/>
  <c r="A127" i="210" s="1"/>
  <c r="A128" i="210" s="1"/>
  <c r="A129" i="210" s="1"/>
  <c r="A130" i="210" s="1"/>
  <c r="A131" i="210" s="1"/>
  <c r="A132" i="210" s="1"/>
  <c r="A133" i="210" s="1"/>
  <c r="A134" i="210" s="1"/>
  <c r="A135" i="210" s="1"/>
  <c r="A136" i="210" s="1"/>
  <c r="A137" i="210" s="1"/>
  <c r="A138" i="210" s="1"/>
  <c r="A139" i="210" s="1"/>
  <c r="A140" i="210" s="1"/>
  <c r="A141" i="210" s="1"/>
  <c r="A142" i="210" s="1"/>
  <c r="A143" i="210" s="1"/>
  <c r="A144" i="210" s="1"/>
  <c r="A145" i="210" s="1"/>
  <c r="A146" i="210" s="1"/>
  <c r="A147" i="210" s="1"/>
  <c r="A148" i="210" s="1"/>
  <c r="N103" i="210"/>
  <c r="J103" i="210"/>
  <c r="H103" i="210"/>
  <c r="J102" i="210"/>
  <c r="H102" i="210"/>
  <c r="J101" i="210"/>
  <c r="D100" i="210"/>
  <c r="C100" i="210"/>
  <c r="B100" i="210"/>
  <c r="D99" i="210"/>
  <c r="C99" i="210"/>
  <c r="B99" i="210"/>
  <c r="D98" i="210"/>
  <c r="C98" i="210"/>
  <c r="B98" i="210"/>
  <c r="D97" i="210"/>
  <c r="C97" i="210"/>
  <c r="B97" i="210"/>
  <c r="D96" i="210"/>
  <c r="C96" i="210"/>
  <c r="B96" i="210"/>
  <c r="D95" i="210"/>
  <c r="C95" i="210"/>
  <c r="B95" i="210"/>
  <c r="D94" i="210"/>
  <c r="C94" i="210"/>
  <c r="B94" i="210"/>
  <c r="D93" i="210"/>
  <c r="C93" i="210"/>
  <c r="B93" i="210"/>
  <c r="D92" i="210"/>
  <c r="C92" i="210"/>
  <c r="B92" i="210"/>
  <c r="D91" i="210"/>
  <c r="C91" i="210"/>
  <c r="B91" i="210"/>
  <c r="D90" i="210"/>
  <c r="C90" i="210"/>
  <c r="B90" i="210"/>
  <c r="D89" i="210"/>
  <c r="C89" i="210"/>
  <c r="B89" i="210"/>
  <c r="D88" i="210"/>
  <c r="C88" i="210"/>
  <c r="B88" i="210"/>
  <c r="D87" i="210"/>
  <c r="C87" i="210"/>
  <c r="B87" i="210"/>
  <c r="D86" i="210"/>
  <c r="C86" i="210"/>
  <c r="B86" i="210"/>
  <c r="D85" i="210"/>
  <c r="C85" i="210"/>
  <c r="B85" i="210"/>
  <c r="D84" i="210"/>
  <c r="C84" i="210"/>
  <c r="B84" i="210"/>
  <c r="D83" i="210"/>
  <c r="C83" i="210"/>
  <c r="B83" i="210"/>
  <c r="D82" i="210"/>
  <c r="C82" i="210"/>
  <c r="B82" i="210"/>
  <c r="D81" i="210"/>
  <c r="C81" i="210"/>
  <c r="B81" i="210"/>
  <c r="D80" i="210"/>
  <c r="C80" i="210"/>
  <c r="B80" i="210"/>
  <c r="D79" i="210"/>
  <c r="C79" i="210"/>
  <c r="B79" i="210"/>
  <c r="D78" i="210"/>
  <c r="C78" i="210"/>
  <c r="B78" i="210"/>
  <c r="D77" i="210"/>
  <c r="C77" i="210"/>
  <c r="B77" i="210"/>
  <c r="D76" i="210"/>
  <c r="C76" i="210"/>
  <c r="B76" i="210"/>
  <c r="D75" i="210"/>
  <c r="C75" i="210"/>
  <c r="B75" i="210"/>
  <c r="D74" i="210"/>
  <c r="C74" i="210"/>
  <c r="B74" i="210"/>
  <c r="D73" i="210"/>
  <c r="C73" i="210"/>
  <c r="B73" i="210"/>
  <c r="D72" i="210"/>
  <c r="C72" i="210"/>
  <c r="B72" i="210"/>
  <c r="D71" i="210"/>
  <c r="C71" i="210"/>
  <c r="B71" i="210"/>
  <c r="D70" i="210"/>
  <c r="C70" i="210"/>
  <c r="B70" i="210"/>
  <c r="D69" i="210"/>
  <c r="C69" i="210"/>
  <c r="B69" i="210"/>
  <c r="D68" i="210"/>
  <c r="C68" i="210"/>
  <c r="B68" i="210"/>
  <c r="D67" i="210"/>
  <c r="C67" i="210"/>
  <c r="B67" i="210"/>
  <c r="D66" i="210"/>
  <c r="C66" i="210"/>
  <c r="B66" i="210"/>
  <c r="D65" i="210"/>
  <c r="C65" i="210"/>
  <c r="B65" i="210"/>
  <c r="D64" i="210"/>
  <c r="C64" i="210"/>
  <c r="B64" i="210"/>
  <c r="D63" i="210"/>
  <c r="C63" i="210"/>
  <c r="B63" i="210"/>
  <c r="D62" i="210"/>
  <c r="C62" i="210"/>
  <c r="B62" i="210"/>
  <c r="D61" i="210"/>
  <c r="C61" i="210"/>
  <c r="B61" i="210"/>
  <c r="D60" i="210"/>
  <c r="C60" i="210"/>
  <c r="B60" i="210"/>
  <c r="D59" i="210"/>
  <c r="C59" i="210"/>
  <c r="B59" i="210"/>
  <c r="D58" i="210"/>
  <c r="C58" i="210"/>
  <c r="B58" i="210"/>
  <c r="D57" i="210"/>
  <c r="C57" i="210"/>
  <c r="B57" i="210"/>
  <c r="N54" i="210"/>
  <c r="J54" i="210"/>
  <c r="H54" i="210"/>
  <c r="J53" i="210"/>
  <c r="H53" i="210"/>
  <c r="J52" i="210"/>
  <c r="D21" i="210" a="1"/>
  <c r="D20" i="210" a="1"/>
  <c r="D19" i="210" a="1"/>
  <c r="D14" i="210" a="1"/>
  <c r="D54" i="210" s="1"/>
  <c r="D13" i="210" a="1"/>
  <c r="D12" i="210" a="1"/>
  <c r="D10" i="210" a="1"/>
  <c r="D8" i="210"/>
  <c r="D7" i="210"/>
  <c r="D6" i="210"/>
  <c r="D5" i="210"/>
  <c r="N3" i="210"/>
  <c r="N1" i="210"/>
  <c r="G107" i="209"/>
  <c r="I107" i="209" s="1"/>
  <c r="G108" i="209"/>
  <c r="I108" i="209" s="1"/>
  <c r="G109" i="209"/>
  <c r="I109" i="209" s="1"/>
  <c r="G110" i="209"/>
  <c r="I110" i="209" s="1"/>
  <c r="G111" i="209"/>
  <c r="I111" i="209" s="1"/>
  <c r="G112" i="209"/>
  <c r="I112" i="209" s="1"/>
  <c r="G113" i="209"/>
  <c r="I113" i="209" s="1"/>
  <c r="G114" i="209"/>
  <c r="I114" i="209" s="1"/>
  <c r="G115" i="209"/>
  <c r="I115" i="209" s="1"/>
  <c r="G116" i="209"/>
  <c r="I116" i="209" s="1"/>
  <c r="G117" i="209"/>
  <c r="I117" i="209" s="1"/>
  <c r="G118" i="209"/>
  <c r="I118" i="209" s="1"/>
  <c r="G119" i="209"/>
  <c r="I119" i="209" s="1"/>
  <c r="G120" i="209"/>
  <c r="I120" i="209" s="1"/>
  <c r="G121" i="209"/>
  <c r="I121" i="209" s="1"/>
  <c r="G122" i="209"/>
  <c r="I122" i="209" s="1"/>
  <c r="G123" i="209"/>
  <c r="I123" i="209" s="1"/>
  <c r="G124" i="209"/>
  <c r="I124" i="209" s="1"/>
  <c r="G125" i="209"/>
  <c r="I125" i="209" s="1"/>
  <c r="G126" i="209"/>
  <c r="I126" i="209" s="1"/>
  <c r="G127" i="209"/>
  <c r="I127" i="209" s="1"/>
  <c r="G128" i="209"/>
  <c r="I128" i="209" s="1"/>
  <c r="G129" i="209"/>
  <c r="I129" i="209" s="1"/>
  <c r="G130" i="209"/>
  <c r="I130" i="209" s="1"/>
  <c r="G131" i="209"/>
  <c r="I131" i="209" s="1"/>
  <c r="G132" i="209"/>
  <c r="I132" i="209" s="1"/>
  <c r="G133" i="209"/>
  <c r="I133" i="209" s="1"/>
  <c r="G134" i="209"/>
  <c r="I134" i="209" s="1"/>
  <c r="G135" i="209"/>
  <c r="I135" i="209" s="1"/>
  <c r="G136" i="209"/>
  <c r="I136" i="209" s="1"/>
  <c r="G137" i="209"/>
  <c r="I137" i="209" s="1"/>
  <c r="G138" i="209"/>
  <c r="I138" i="209" s="1"/>
  <c r="G139" i="209"/>
  <c r="I139" i="209" s="1"/>
  <c r="G140" i="209"/>
  <c r="I140" i="209" s="1"/>
  <c r="G141" i="209"/>
  <c r="I141" i="209" s="1"/>
  <c r="G142" i="209"/>
  <c r="I142" i="209" s="1"/>
  <c r="G143" i="209"/>
  <c r="I143" i="209" s="1"/>
  <c r="G144" i="209"/>
  <c r="I144" i="209" s="1"/>
  <c r="G145" i="209"/>
  <c r="I145" i="209" s="1"/>
  <c r="G146" i="209"/>
  <c r="I146" i="209" s="1"/>
  <c r="G147" i="209"/>
  <c r="I147" i="209" s="1"/>
  <c r="G148" i="209"/>
  <c r="I148" i="209" s="1"/>
  <c r="G106" i="209"/>
  <c r="I106" i="209" s="1"/>
  <c r="G58" i="209"/>
  <c r="I58" i="209" s="1"/>
  <c r="G59" i="209"/>
  <c r="I59" i="209" s="1"/>
  <c r="G60" i="209"/>
  <c r="I60" i="209" s="1"/>
  <c r="G61" i="209"/>
  <c r="I61" i="209" s="1"/>
  <c r="G62" i="209"/>
  <c r="I62" i="209" s="1"/>
  <c r="G63" i="209"/>
  <c r="I63" i="209" s="1"/>
  <c r="G64" i="209"/>
  <c r="I64" i="209" s="1"/>
  <c r="G65" i="209"/>
  <c r="I65" i="209" s="1"/>
  <c r="G66" i="209"/>
  <c r="I66" i="209" s="1"/>
  <c r="G67" i="209"/>
  <c r="I67" i="209" s="1"/>
  <c r="G68" i="209"/>
  <c r="I68" i="209" s="1"/>
  <c r="G69" i="209"/>
  <c r="I69" i="209" s="1"/>
  <c r="G70" i="209"/>
  <c r="I70" i="209" s="1"/>
  <c r="G71" i="209"/>
  <c r="I71" i="209" s="1"/>
  <c r="G72" i="209"/>
  <c r="I72" i="209" s="1"/>
  <c r="G73" i="209"/>
  <c r="G74" i="209"/>
  <c r="I74" i="209" s="1"/>
  <c r="G75" i="209"/>
  <c r="I75" i="209" s="1"/>
  <c r="G76" i="209"/>
  <c r="I76" i="209" s="1"/>
  <c r="G77" i="209"/>
  <c r="I77" i="209" s="1"/>
  <c r="G78" i="209"/>
  <c r="I78" i="209" s="1"/>
  <c r="G79" i="209"/>
  <c r="I79" i="209" s="1"/>
  <c r="G80" i="209"/>
  <c r="I80" i="209" s="1"/>
  <c r="G81" i="209"/>
  <c r="I81" i="209" s="1"/>
  <c r="G82" i="209"/>
  <c r="I82" i="209" s="1"/>
  <c r="G83" i="209"/>
  <c r="I83" i="209" s="1"/>
  <c r="G84" i="209"/>
  <c r="I84" i="209" s="1"/>
  <c r="G85" i="209"/>
  <c r="I85" i="209" s="1"/>
  <c r="G86" i="209"/>
  <c r="I86" i="209" s="1"/>
  <c r="G87" i="209"/>
  <c r="I87" i="209" s="1"/>
  <c r="G88" i="209"/>
  <c r="I88" i="209" s="1"/>
  <c r="G89" i="209"/>
  <c r="I89" i="209" s="1"/>
  <c r="G90" i="209"/>
  <c r="I90" i="209" s="1"/>
  <c r="G91" i="209"/>
  <c r="I91" i="209" s="1"/>
  <c r="G92" i="209"/>
  <c r="I92" i="209" s="1"/>
  <c r="G93" i="209"/>
  <c r="I93" i="209" s="1"/>
  <c r="G94" i="209"/>
  <c r="I94" i="209" s="1"/>
  <c r="G95" i="209"/>
  <c r="I95" i="209" s="1"/>
  <c r="G96" i="209"/>
  <c r="I96" i="209" s="1"/>
  <c r="G97" i="209"/>
  <c r="I97" i="209" s="1"/>
  <c r="G98" i="209"/>
  <c r="I98" i="209" s="1"/>
  <c r="G99" i="209"/>
  <c r="I99" i="209" s="1"/>
  <c r="G100" i="209"/>
  <c r="I100" i="209" s="1"/>
  <c r="G57" i="209"/>
  <c r="M149" i="209"/>
  <c r="H149" i="209"/>
  <c r="D148" i="209"/>
  <c r="C148" i="209"/>
  <c r="B148" i="209"/>
  <c r="D147" i="209"/>
  <c r="C147" i="209"/>
  <c r="B147" i="209"/>
  <c r="D146" i="209"/>
  <c r="C146" i="209"/>
  <c r="B146" i="209"/>
  <c r="D145" i="209"/>
  <c r="C145" i="209"/>
  <c r="B145" i="209"/>
  <c r="D144" i="209"/>
  <c r="C144" i="209"/>
  <c r="B144" i="209"/>
  <c r="D143" i="209"/>
  <c r="C143" i="209"/>
  <c r="B143" i="209"/>
  <c r="D142" i="209"/>
  <c r="C142" i="209"/>
  <c r="B142" i="209"/>
  <c r="D141" i="209"/>
  <c r="C141" i="209"/>
  <c r="B141" i="209"/>
  <c r="D140" i="209"/>
  <c r="C140" i="209"/>
  <c r="B140" i="209"/>
  <c r="D139" i="209"/>
  <c r="C139" i="209"/>
  <c r="B139" i="209"/>
  <c r="D138" i="209"/>
  <c r="C138" i="209"/>
  <c r="B138" i="209"/>
  <c r="D137" i="209"/>
  <c r="C137" i="209"/>
  <c r="B137" i="209"/>
  <c r="D136" i="209"/>
  <c r="C136" i="209"/>
  <c r="B136" i="209"/>
  <c r="D135" i="209"/>
  <c r="C135" i="209"/>
  <c r="B135" i="209"/>
  <c r="D134" i="209"/>
  <c r="C134" i="209"/>
  <c r="B134" i="209"/>
  <c r="D133" i="209"/>
  <c r="C133" i="209"/>
  <c r="B133" i="209"/>
  <c r="D132" i="209"/>
  <c r="C132" i="209"/>
  <c r="B132" i="209"/>
  <c r="D131" i="209"/>
  <c r="C131" i="209"/>
  <c r="B131" i="209"/>
  <c r="D130" i="209"/>
  <c r="C130" i="209"/>
  <c r="B130" i="209"/>
  <c r="D129" i="209"/>
  <c r="C129" i="209"/>
  <c r="B129" i="209"/>
  <c r="D128" i="209"/>
  <c r="C128" i="209"/>
  <c r="B128" i="209"/>
  <c r="D127" i="209"/>
  <c r="C127" i="209"/>
  <c r="B127" i="209"/>
  <c r="D126" i="209"/>
  <c r="C126" i="209"/>
  <c r="B126" i="209"/>
  <c r="D125" i="209"/>
  <c r="C125" i="209"/>
  <c r="B125" i="209"/>
  <c r="D124" i="209"/>
  <c r="C124" i="209"/>
  <c r="B124" i="209"/>
  <c r="D123" i="209"/>
  <c r="C123" i="209"/>
  <c r="B123" i="209"/>
  <c r="D122" i="209"/>
  <c r="C122" i="209"/>
  <c r="B122" i="209"/>
  <c r="D121" i="209"/>
  <c r="C121" i="209"/>
  <c r="B121" i="209"/>
  <c r="D120" i="209"/>
  <c r="C120" i="209"/>
  <c r="B120" i="209"/>
  <c r="D119" i="209"/>
  <c r="C119" i="209"/>
  <c r="B119" i="209"/>
  <c r="D118" i="209"/>
  <c r="C118" i="209"/>
  <c r="B118" i="209"/>
  <c r="D117" i="209"/>
  <c r="C117" i="209"/>
  <c r="B117" i="209"/>
  <c r="D116" i="209"/>
  <c r="C116" i="209"/>
  <c r="B116" i="209"/>
  <c r="D115" i="209"/>
  <c r="C115" i="209"/>
  <c r="B115" i="209"/>
  <c r="D114" i="209"/>
  <c r="C114" i="209"/>
  <c r="B114" i="209"/>
  <c r="D113" i="209"/>
  <c r="C113" i="209"/>
  <c r="B113" i="209"/>
  <c r="D112" i="209"/>
  <c r="C112" i="209"/>
  <c r="B112" i="209"/>
  <c r="D111" i="209"/>
  <c r="C111" i="209"/>
  <c r="B111" i="209"/>
  <c r="D110" i="209"/>
  <c r="C110" i="209"/>
  <c r="B110" i="209"/>
  <c r="D109" i="209"/>
  <c r="C109" i="209"/>
  <c r="B109" i="209"/>
  <c r="D108" i="209"/>
  <c r="C108" i="209"/>
  <c r="B108" i="209"/>
  <c r="D107" i="209"/>
  <c r="C107" i="209"/>
  <c r="B107" i="209"/>
  <c r="D106" i="209"/>
  <c r="C106" i="209"/>
  <c r="B106" i="209"/>
  <c r="A106" i="209"/>
  <c r="A107" i="209" s="1"/>
  <c r="A108" i="209" s="1"/>
  <c r="A109" i="209" s="1"/>
  <c r="A110" i="209" s="1"/>
  <c r="A111" i="209" s="1"/>
  <c r="A112" i="209" s="1"/>
  <c r="A113" i="209" s="1"/>
  <c r="A114" i="209" s="1"/>
  <c r="A115" i="209" s="1"/>
  <c r="A116" i="209" s="1"/>
  <c r="A117" i="209" s="1"/>
  <c r="A118" i="209" s="1"/>
  <c r="A119" i="209" s="1"/>
  <c r="A120" i="209" s="1"/>
  <c r="A121" i="209" s="1"/>
  <c r="A122" i="209" s="1"/>
  <c r="A123" i="209" s="1"/>
  <c r="A124" i="209" s="1"/>
  <c r="A125" i="209" s="1"/>
  <c r="A126" i="209" s="1"/>
  <c r="A127" i="209" s="1"/>
  <c r="A128" i="209" s="1"/>
  <c r="A129" i="209" s="1"/>
  <c r="A130" i="209" s="1"/>
  <c r="A131" i="209" s="1"/>
  <c r="A132" i="209" s="1"/>
  <c r="A133" i="209" s="1"/>
  <c r="A134" i="209" s="1"/>
  <c r="A135" i="209" s="1"/>
  <c r="A136" i="209" s="1"/>
  <c r="A137" i="209" s="1"/>
  <c r="A138" i="209" s="1"/>
  <c r="A139" i="209" s="1"/>
  <c r="A140" i="209" s="1"/>
  <c r="A141" i="209" s="1"/>
  <c r="A142" i="209" s="1"/>
  <c r="A143" i="209" s="1"/>
  <c r="A144" i="209" s="1"/>
  <c r="A145" i="209" s="1"/>
  <c r="A146" i="209" s="1"/>
  <c r="A147" i="209" s="1"/>
  <c r="A148" i="209" s="1"/>
  <c r="N103" i="209"/>
  <c r="J103" i="209"/>
  <c r="H103" i="209"/>
  <c r="J102" i="209"/>
  <c r="H102" i="209"/>
  <c r="J101" i="209"/>
  <c r="D100" i="209"/>
  <c r="C100" i="209"/>
  <c r="B100" i="209"/>
  <c r="D99" i="209"/>
  <c r="C99" i="209"/>
  <c r="B99" i="209"/>
  <c r="D98" i="209"/>
  <c r="C98" i="209"/>
  <c r="B98" i="209"/>
  <c r="D97" i="209"/>
  <c r="C97" i="209"/>
  <c r="B97" i="209"/>
  <c r="D96" i="209"/>
  <c r="C96" i="209"/>
  <c r="B96" i="209"/>
  <c r="D95" i="209"/>
  <c r="C95" i="209"/>
  <c r="B95" i="209"/>
  <c r="D94" i="209"/>
  <c r="C94" i="209"/>
  <c r="B94" i="209"/>
  <c r="D93" i="209"/>
  <c r="C93" i="209"/>
  <c r="B93" i="209"/>
  <c r="D92" i="209"/>
  <c r="C92" i="209"/>
  <c r="B92" i="209"/>
  <c r="D91" i="209"/>
  <c r="C91" i="209"/>
  <c r="B91" i="209"/>
  <c r="D90" i="209"/>
  <c r="C90" i="209"/>
  <c r="B90" i="209"/>
  <c r="D89" i="209"/>
  <c r="C89" i="209"/>
  <c r="B89" i="209"/>
  <c r="D88" i="209"/>
  <c r="C88" i="209"/>
  <c r="B88" i="209"/>
  <c r="D87" i="209"/>
  <c r="C87" i="209"/>
  <c r="B87" i="209"/>
  <c r="D86" i="209"/>
  <c r="C86" i="209"/>
  <c r="B86" i="209"/>
  <c r="D85" i="209"/>
  <c r="C85" i="209"/>
  <c r="B85" i="209"/>
  <c r="D84" i="209"/>
  <c r="C84" i="209"/>
  <c r="B84" i="209"/>
  <c r="D83" i="209"/>
  <c r="C83" i="209"/>
  <c r="B83" i="209"/>
  <c r="D82" i="209"/>
  <c r="C82" i="209"/>
  <c r="B82" i="209"/>
  <c r="D81" i="209"/>
  <c r="C81" i="209"/>
  <c r="B81" i="209"/>
  <c r="D80" i="209"/>
  <c r="C80" i="209"/>
  <c r="B80" i="209"/>
  <c r="D79" i="209"/>
  <c r="C79" i="209"/>
  <c r="B79" i="209"/>
  <c r="D78" i="209"/>
  <c r="C78" i="209"/>
  <c r="B78" i="209"/>
  <c r="D77" i="209"/>
  <c r="C77" i="209"/>
  <c r="B77" i="209"/>
  <c r="D76" i="209"/>
  <c r="C76" i="209"/>
  <c r="B76" i="209"/>
  <c r="D75" i="209"/>
  <c r="C75" i="209"/>
  <c r="B75" i="209"/>
  <c r="D74" i="209"/>
  <c r="C74" i="209"/>
  <c r="B74" i="209"/>
  <c r="D73" i="209"/>
  <c r="C73" i="209"/>
  <c r="B73" i="209"/>
  <c r="D72" i="209"/>
  <c r="C72" i="209"/>
  <c r="B72" i="209"/>
  <c r="D71" i="209"/>
  <c r="C71" i="209"/>
  <c r="B71" i="209"/>
  <c r="D70" i="209"/>
  <c r="C70" i="209"/>
  <c r="B70" i="209"/>
  <c r="D69" i="209"/>
  <c r="C69" i="209"/>
  <c r="B69" i="209"/>
  <c r="D68" i="209"/>
  <c r="C68" i="209"/>
  <c r="B68" i="209"/>
  <c r="D67" i="209"/>
  <c r="C67" i="209"/>
  <c r="B67" i="209"/>
  <c r="D66" i="209"/>
  <c r="C66" i="209"/>
  <c r="B66" i="209"/>
  <c r="D65" i="209"/>
  <c r="C65" i="209"/>
  <c r="B65" i="209"/>
  <c r="D64" i="209"/>
  <c r="C64" i="209"/>
  <c r="B64" i="209"/>
  <c r="D63" i="209"/>
  <c r="C63" i="209"/>
  <c r="B63" i="209"/>
  <c r="D62" i="209"/>
  <c r="C62" i="209"/>
  <c r="B62" i="209"/>
  <c r="D61" i="209"/>
  <c r="C61" i="209"/>
  <c r="B61" i="209"/>
  <c r="D60" i="209"/>
  <c r="C60" i="209"/>
  <c r="B60" i="209"/>
  <c r="D59" i="209"/>
  <c r="C59" i="209"/>
  <c r="B59" i="209"/>
  <c r="D58" i="209"/>
  <c r="C58" i="209"/>
  <c r="B58" i="209"/>
  <c r="D57" i="209"/>
  <c r="C57" i="209"/>
  <c r="B57" i="209"/>
  <c r="N54" i="209"/>
  <c r="J54" i="209"/>
  <c r="H54" i="209"/>
  <c r="J53" i="209"/>
  <c r="H53" i="209"/>
  <c r="J52" i="209"/>
  <c r="D21" i="209" a="1"/>
  <c r="D20" i="209" a="1"/>
  <c r="D19" i="209" a="1"/>
  <c r="D14" i="209" a="1"/>
  <c r="D54" i="209" s="1"/>
  <c r="D13" i="209" a="1"/>
  <c r="D12" i="209" a="1"/>
  <c r="D10" i="209" a="1"/>
  <c r="D8" i="209"/>
  <c r="D7" i="209"/>
  <c r="D6" i="209"/>
  <c r="D5" i="209"/>
  <c r="N3" i="209"/>
  <c r="N1" i="209"/>
  <c r="G107" i="208"/>
  <c r="I107" i="208" s="1"/>
  <c r="G108" i="208"/>
  <c r="I108" i="208" s="1"/>
  <c r="G109" i="208"/>
  <c r="I109" i="208" s="1"/>
  <c r="G110" i="208"/>
  <c r="I110" i="208" s="1"/>
  <c r="G111" i="208"/>
  <c r="I111" i="208" s="1"/>
  <c r="G112" i="208"/>
  <c r="I112" i="208" s="1"/>
  <c r="G113" i="208"/>
  <c r="I113" i="208" s="1"/>
  <c r="G114" i="208"/>
  <c r="I114" i="208" s="1"/>
  <c r="G115" i="208"/>
  <c r="I115" i="208" s="1"/>
  <c r="G116" i="208"/>
  <c r="I116" i="208" s="1"/>
  <c r="G117" i="208"/>
  <c r="I117" i="208" s="1"/>
  <c r="G118" i="208"/>
  <c r="I118" i="208" s="1"/>
  <c r="G119" i="208"/>
  <c r="I119" i="208" s="1"/>
  <c r="G120" i="208"/>
  <c r="I120" i="208" s="1"/>
  <c r="G121" i="208"/>
  <c r="I121" i="208" s="1"/>
  <c r="G122" i="208"/>
  <c r="I122" i="208" s="1"/>
  <c r="G123" i="208"/>
  <c r="I123" i="208" s="1"/>
  <c r="G124" i="208"/>
  <c r="I124" i="208" s="1"/>
  <c r="G125" i="208"/>
  <c r="I125" i="208" s="1"/>
  <c r="G126" i="208"/>
  <c r="I126" i="208" s="1"/>
  <c r="G127" i="208"/>
  <c r="I127" i="208" s="1"/>
  <c r="G128" i="208"/>
  <c r="I128" i="208" s="1"/>
  <c r="G129" i="208"/>
  <c r="I129" i="208" s="1"/>
  <c r="G130" i="208"/>
  <c r="I130" i="208" s="1"/>
  <c r="G131" i="208"/>
  <c r="I131" i="208" s="1"/>
  <c r="G132" i="208"/>
  <c r="I132" i="208" s="1"/>
  <c r="G133" i="208"/>
  <c r="I133" i="208" s="1"/>
  <c r="G134" i="208"/>
  <c r="I134" i="208" s="1"/>
  <c r="G135" i="208"/>
  <c r="I135" i="208" s="1"/>
  <c r="G136" i="208"/>
  <c r="I136" i="208" s="1"/>
  <c r="G137" i="208"/>
  <c r="I137" i="208" s="1"/>
  <c r="G138" i="208"/>
  <c r="I138" i="208" s="1"/>
  <c r="G139" i="208"/>
  <c r="I139" i="208" s="1"/>
  <c r="G140" i="208"/>
  <c r="I140" i="208" s="1"/>
  <c r="G141" i="208"/>
  <c r="I141" i="208" s="1"/>
  <c r="G142" i="208"/>
  <c r="I142" i="208" s="1"/>
  <c r="G143" i="208"/>
  <c r="I143" i="208" s="1"/>
  <c r="G144" i="208"/>
  <c r="I144" i="208" s="1"/>
  <c r="G145" i="208"/>
  <c r="I145" i="208" s="1"/>
  <c r="G146" i="208"/>
  <c r="I146" i="208" s="1"/>
  <c r="G147" i="208"/>
  <c r="I147" i="208" s="1"/>
  <c r="G148" i="208"/>
  <c r="I148" i="208" s="1"/>
  <c r="G106" i="208"/>
  <c r="I106" i="208" s="1"/>
  <c r="G81" i="208"/>
  <c r="I81" i="208" s="1"/>
  <c r="G82" i="208"/>
  <c r="I82" i="208" s="1"/>
  <c r="G83" i="208"/>
  <c r="I83" i="208" s="1"/>
  <c r="G84" i="208"/>
  <c r="I84" i="208" s="1"/>
  <c r="G85" i="208"/>
  <c r="I85" i="208" s="1"/>
  <c r="G86" i="208"/>
  <c r="I86" i="208" s="1"/>
  <c r="G87" i="208"/>
  <c r="I87" i="208" s="1"/>
  <c r="G88" i="208"/>
  <c r="I88" i="208" s="1"/>
  <c r="G89" i="208"/>
  <c r="I89" i="208" s="1"/>
  <c r="G90" i="208"/>
  <c r="I90" i="208" s="1"/>
  <c r="G91" i="208"/>
  <c r="I91" i="208" s="1"/>
  <c r="G92" i="208"/>
  <c r="I92" i="208" s="1"/>
  <c r="G93" i="208"/>
  <c r="I93" i="208" s="1"/>
  <c r="G94" i="208"/>
  <c r="I94" i="208" s="1"/>
  <c r="G95" i="208"/>
  <c r="I95" i="208" s="1"/>
  <c r="G96" i="208"/>
  <c r="I96" i="208" s="1"/>
  <c r="G97" i="208"/>
  <c r="I97" i="208" s="1"/>
  <c r="G98" i="208"/>
  <c r="I98" i="208" s="1"/>
  <c r="G99" i="208"/>
  <c r="I99" i="208" s="1"/>
  <c r="G100" i="208"/>
  <c r="I100" i="208" s="1"/>
  <c r="G58" i="208"/>
  <c r="I58" i="208" s="1"/>
  <c r="G59" i="208"/>
  <c r="I59" i="208" s="1"/>
  <c r="G60" i="208"/>
  <c r="I60" i="208" s="1"/>
  <c r="G61" i="208"/>
  <c r="I61" i="208" s="1"/>
  <c r="G62" i="208"/>
  <c r="I62" i="208" s="1"/>
  <c r="G63" i="208"/>
  <c r="I63" i="208" s="1"/>
  <c r="G64" i="208"/>
  <c r="I64" i="208" s="1"/>
  <c r="G65" i="208"/>
  <c r="I65" i="208" s="1"/>
  <c r="G66" i="208"/>
  <c r="I66" i="208" s="1"/>
  <c r="G67" i="208"/>
  <c r="I67" i="208" s="1"/>
  <c r="G68" i="208"/>
  <c r="I68" i="208" s="1"/>
  <c r="G69" i="208"/>
  <c r="I69" i="208" s="1"/>
  <c r="G70" i="208"/>
  <c r="I70" i="208" s="1"/>
  <c r="G71" i="208"/>
  <c r="I71" i="208" s="1"/>
  <c r="G72" i="208"/>
  <c r="I72" i="208" s="1"/>
  <c r="G73" i="208"/>
  <c r="I73" i="208" s="1"/>
  <c r="G74" i="208"/>
  <c r="I74" i="208" s="1"/>
  <c r="G75" i="208"/>
  <c r="I75" i="208" s="1"/>
  <c r="G76" i="208"/>
  <c r="I76" i="208" s="1"/>
  <c r="G77" i="208"/>
  <c r="I77" i="208" s="1"/>
  <c r="G78" i="208"/>
  <c r="I78" i="208" s="1"/>
  <c r="G79" i="208"/>
  <c r="I79" i="208" s="1"/>
  <c r="G80" i="208"/>
  <c r="I80" i="208" s="1"/>
  <c r="G57" i="208"/>
  <c r="M149" i="208"/>
  <c r="H149" i="208"/>
  <c r="D148" i="208"/>
  <c r="C148" i="208"/>
  <c r="B148" i="208"/>
  <c r="D147" i="208"/>
  <c r="C147" i="208"/>
  <c r="B147" i="208"/>
  <c r="D146" i="208"/>
  <c r="C146" i="208"/>
  <c r="B146" i="208"/>
  <c r="D145" i="208"/>
  <c r="C145" i="208"/>
  <c r="B145" i="208"/>
  <c r="D144" i="208"/>
  <c r="C144" i="208"/>
  <c r="B144" i="208"/>
  <c r="D143" i="208"/>
  <c r="C143" i="208"/>
  <c r="B143" i="208"/>
  <c r="D142" i="208"/>
  <c r="C142" i="208"/>
  <c r="B142" i="208"/>
  <c r="D141" i="208"/>
  <c r="C141" i="208"/>
  <c r="B141" i="208"/>
  <c r="D140" i="208"/>
  <c r="C140" i="208"/>
  <c r="B140" i="208"/>
  <c r="D139" i="208"/>
  <c r="C139" i="208"/>
  <c r="B139" i="208"/>
  <c r="D138" i="208"/>
  <c r="C138" i="208"/>
  <c r="B138" i="208"/>
  <c r="D137" i="208"/>
  <c r="C137" i="208"/>
  <c r="B137" i="208"/>
  <c r="D136" i="208"/>
  <c r="C136" i="208"/>
  <c r="B136" i="208"/>
  <c r="D135" i="208"/>
  <c r="C135" i="208"/>
  <c r="B135" i="208"/>
  <c r="D134" i="208"/>
  <c r="C134" i="208"/>
  <c r="B134" i="208"/>
  <c r="D133" i="208"/>
  <c r="C133" i="208"/>
  <c r="B133" i="208"/>
  <c r="D132" i="208"/>
  <c r="C132" i="208"/>
  <c r="B132" i="208"/>
  <c r="D131" i="208"/>
  <c r="C131" i="208"/>
  <c r="B131" i="208"/>
  <c r="D130" i="208"/>
  <c r="C130" i="208"/>
  <c r="B130" i="208"/>
  <c r="D129" i="208"/>
  <c r="C129" i="208"/>
  <c r="B129" i="208"/>
  <c r="D128" i="208"/>
  <c r="C128" i="208"/>
  <c r="B128" i="208"/>
  <c r="D127" i="208"/>
  <c r="C127" i="208"/>
  <c r="B127" i="208"/>
  <c r="D126" i="208"/>
  <c r="C126" i="208"/>
  <c r="B126" i="208"/>
  <c r="D125" i="208"/>
  <c r="C125" i="208"/>
  <c r="B125" i="208"/>
  <c r="D124" i="208"/>
  <c r="C124" i="208"/>
  <c r="B124" i="208"/>
  <c r="D123" i="208"/>
  <c r="C123" i="208"/>
  <c r="B123" i="208"/>
  <c r="D122" i="208"/>
  <c r="C122" i="208"/>
  <c r="B122" i="208"/>
  <c r="D121" i="208"/>
  <c r="C121" i="208"/>
  <c r="B121" i="208"/>
  <c r="D120" i="208"/>
  <c r="C120" i="208"/>
  <c r="B120" i="208"/>
  <c r="D119" i="208"/>
  <c r="C119" i="208"/>
  <c r="B119" i="208"/>
  <c r="D118" i="208"/>
  <c r="C118" i="208"/>
  <c r="B118" i="208"/>
  <c r="D117" i="208"/>
  <c r="C117" i="208"/>
  <c r="B117" i="208"/>
  <c r="D116" i="208"/>
  <c r="C116" i="208"/>
  <c r="B116" i="208"/>
  <c r="D115" i="208"/>
  <c r="C115" i="208"/>
  <c r="B115" i="208"/>
  <c r="D114" i="208"/>
  <c r="C114" i="208"/>
  <c r="B114" i="208"/>
  <c r="D113" i="208"/>
  <c r="C113" i="208"/>
  <c r="B113" i="208"/>
  <c r="D112" i="208"/>
  <c r="C112" i="208"/>
  <c r="B112" i="208"/>
  <c r="D111" i="208"/>
  <c r="C111" i="208"/>
  <c r="B111" i="208"/>
  <c r="D110" i="208"/>
  <c r="C110" i="208"/>
  <c r="B110" i="208"/>
  <c r="D109" i="208"/>
  <c r="C109" i="208"/>
  <c r="B109" i="208"/>
  <c r="D108" i="208"/>
  <c r="C108" i="208"/>
  <c r="B108" i="208"/>
  <c r="D107" i="208"/>
  <c r="C107" i="208"/>
  <c r="B107" i="208"/>
  <c r="D106" i="208"/>
  <c r="C106" i="208"/>
  <c r="B106" i="208"/>
  <c r="A106" i="208"/>
  <c r="A107" i="208" s="1"/>
  <c r="A108" i="208" s="1"/>
  <c r="A109" i="208" s="1"/>
  <c r="A110" i="208" s="1"/>
  <c r="A111" i="208" s="1"/>
  <c r="A112" i="208" s="1"/>
  <c r="A113" i="208" s="1"/>
  <c r="A114" i="208" s="1"/>
  <c r="A115" i="208" s="1"/>
  <c r="A116" i="208" s="1"/>
  <c r="A117" i="208" s="1"/>
  <c r="A118" i="208" s="1"/>
  <c r="A119" i="208" s="1"/>
  <c r="A120" i="208" s="1"/>
  <c r="A121" i="208" s="1"/>
  <c r="A122" i="208" s="1"/>
  <c r="A123" i="208" s="1"/>
  <c r="A124" i="208" s="1"/>
  <c r="A125" i="208" s="1"/>
  <c r="A126" i="208" s="1"/>
  <c r="A127" i="208" s="1"/>
  <c r="A128" i="208" s="1"/>
  <c r="A129" i="208" s="1"/>
  <c r="A130" i="208" s="1"/>
  <c r="A131" i="208" s="1"/>
  <c r="A132" i="208" s="1"/>
  <c r="A133" i="208" s="1"/>
  <c r="A134" i="208" s="1"/>
  <c r="A135" i="208" s="1"/>
  <c r="A136" i="208" s="1"/>
  <c r="A137" i="208" s="1"/>
  <c r="A138" i="208" s="1"/>
  <c r="A139" i="208" s="1"/>
  <c r="A140" i="208" s="1"/>
  <c r="A141" i="208" s="1"/>
  <c r="A142" i="208" s="1"/>
  <c r="A143" i="208" s="1"/>
  <c r="A144" i="208" s="1"/>
  <c r="A145" i="208" s="1"/>
  <c r="A146" i="208" s="1"/>
  <c r="A147" i="208" s="1"/>
  <c r="A148" i="208" s="1"/>
  <c r="N103" i="208"/>
  <c r="J103" i="208"/>
  <c r="H103" i="208"/>
  <c r="J102" i="208"/>
  <c r="H102" i="208"/>
  <c r="J101" i="208"/>
  <c r="D100" i="208"/>
  <c r="C100" i="208"/>
  <c r="B100" i="208"/>
  <c r="D99" i="208"/>
  <c r="C99" i="208"/>
  <c r="B99" i="208"/>
  <c r="D98" i="208"/>
  <c r="C98" i="208"/>
  <c r="B98" i="208"/>
  <c r="D97" i="208"/>
  <c r="C97" i="208"/>
  <c r="B97" i="208"/>
  <c r="D96" i="208"/>
  <c r="C96" i="208"/>
  <c r="B96" i="208"/>
  <c r="D95" i="208"/>
  <c r="C95" i="208"/>
  <c r="B95" i="208"/>
  <c r="D94" i="208"/>
  <c r="C94" i="208"/>
  <c r="B94" i="208"/>
  <c r="D93" i="208"/>
  <c r="C93" i="208"/>
  <c r="B93" i="208"/>
  <c r="D92" i="208"/>
  <c r="C92" i="208"/>
  <c r="B92" i="208"/>
  <c r="D91" i="208"/>
  <c r="C91" i="208"/>
  <c r="B91" i="208"/>
  <c r="D90" i="208"/>
  <c r="C90" i="208"/>
  <c r="B90" i="208"/>
  <c r="D89" i="208"/>
  <c r="C89" i="208"/>
  <c r="B89" i="208"/>
  <c r="D88" i="208"/>
  <c r="C88" i="208"/>
  <c r="B88" i="208"/>
  <c r="D87" i="208"/>
  <c r="C87" i="208"/>
  <c r="B87" i="208"/>
  <c r="D86" i="208"/>
  <c r="C86" i="208"/>
  <c r="B86" i="208"/>
  <c r="D85" i="208"/>
  <c r="C85" i="208"/>
  <c r="B85" i="208"/>
  <c r="D84" i="208"/>
  <c r="C84" i="208"/>
  <c r="B84" i="208"/>
  <c r="D83" i="208"/>
  <c r="C83" i="208"/>
  <c r="B83" i="208"/>
  <c r="D82" i="208"/>
  <c r="C82" i="208"/>
  <c r="B82" i="208"/>
  <c r="D81" i="208"/>
  <c r="C81" i="208"/>
  <c r="B81" i="208"/>
  <c r="D80" i="208"/>
  <c r="C80" i="208"/>
  <c r="B80" i="208"/>
  <c r="D79" i="208"/>
  <c r="C79" i="208"/>
  <c r="B79" i="208"/>
  <c r="D78" i="208"/>
  <c r="C78" i="208"/>
  <c r="B78" i="208"/>
  <c r="D77" i="208"/>
  <c r="C77" i="208"/>
  <c r="B77" i="208"/>
  <c r="D76" i="208"/>
  <c r="C76" i="208"/>
  <c r="B76" i="208"/>
  <c r="D75" i="208"/>
  <c r="C75" i="208"/>
  <c r="B75" i="208"/>
  <c r="D74" i="208"/>
  <c r="C74" i="208"/>
  <c r="B74" i="208"/>
  <c r="D73" i="208"/>
  <c r="C73" i="208"/>
  <c r="B73" i="208"/>
  <c r="D72" i="208"/>
  <c r="C72" i="208"/>
  <c r="B72" i="208"/>
  <c r="D71" i="208"/>
  <c r="C71" i="208"/>
  <c r="B71" i="208"/>
  <c r="D70" i="208"/>
  <c r="C70" i="208"/>
  <c r="B70" i="208"/>
  <c r="D69" i="208"/>
  <c r="C69" i="208"/>
  <c r="B69" i="208"/>
  <c r="D68" i="208"/>
  <c r="C68" i="208"/>
  <c r="B68" i="208"/>
  <c r="D67" i="208"/>
  <c r="C67" i="208"/>
  <c r="B67" i="208"/>
  <c r="D66" i="208"/>
  <c r="C66" i="208"/>
  <c r="B66" i="208"/>
  <c r="D65" i="208"/>
  <c r="C65" i="208"/>
  <c r="B65" i="208"/>
  <c r="D64" i="208"/>
  <c r="C64" i="208"/>
  <c r="B64" i="208"/>
  <c r="D63" i="208"/>
  <c r="C63" i="208"/>
  <c r="B63" i="208"/>
  <c r="D62" i="208"/>
  <c r="C62" i="208"/>
  <c r="B62" i="208"/>
  <c r="D61" i="208"/>
  <c r="C61" i="208"/>
  <c r="B61" i="208"/>
  <c r="D60" i="208"/>
  <c r="C60" i="208"/>
  <c r="B60" i="208"/>
  <c r="D59" i="208"/>
  <c r="C59" i="208"/>
  <c r="B59" i="208"/>
  <c r="D58" i="208"/>
  <c r="C58" i="208"/>
  <c r="B58" i="208"/>
  <c r="D57" i="208"/>
  <c r="C57" i="208"/>
  <c r="B57" i="208"/>
  <c r="N54" i="208"/>
  <c r="J54" i="208"/>
  <c r="H54" i="208"/>
  <c r="J53" i="208"/>
  <c r="H53" i="208"/>
  <c r="J52" i="208"/>
  <c r="D21" i="208" a="1"/>
  <c r="D20" i="208" a="1"/>
  <c r="D19" i="208" a="1"/>
  <c r="D14" i="208" a="1"/>
  <c r="D54" i="208" s="1"/>
  <c r="D13" i="208" a="1"/>
  <c r="D12" i="208" a="1"/>
  <c r="D101" i="208" s="1"/>
  <c r="D10" i="208" a="1"/>
  <c r="D8" i="208"/>
  <c r="D7" i="208"/>
  <c r="D6" i="208"/>
  <c r="D5" i="208"/>
  <c r="N3" i="208"/>
  <c r="N1" i="208"/>
  <c r="G130" i="207"/>
  <c r="I130" i="207" s="1"/>
  <c r="G131" i="207"/>
  <c r="I131" i="207" s="1"/>
  <c r="G132" i="207"/>
  <c r="I132" i="207" s="1"/>
  <c r="G133" i="207"/>
  <c r="I133" i="207" s="1"/>
  <c r="G134" i="207"/>
  <c r="I134" i="207" s="1"/>
  <c r="G135" i="207"/>
  <c r="I135" i="207" s="1"/>
  <c r="G136" i="207"/>
  <c r="I136" i="207" s="1"/>
  <c r="G137" i="207"/>
  <c r="I137" i="207" s="1"/>
  <c r="G138" i="207"/>
  <c r="I138" i="207" s="1"/>
  <c r="G139" i="207"/>
  <c r="I139" i="207" s="1"/>
  <c r="G140" i="207"/>
  <c r="I140" i="207" s="1"/>
  <c r="G141" i="207"/>
  <c r="I141" i="207" s="1"/>
  <c r="G142" i="207"/>
  <c r="I142" i="207" s="1"/>
  <c r="G143" i="207"/>
  <c r="I143" i="207" s="1"/>
  <c r="G144" i="207"/>
  <c r="I144" i="207" s="1"/>
  <c r="G145" i="207"/>
  <c r="I145" i="207" s="1"/>
  <c r="G146" i="207"/>
  <c r="I146" i="207" s="1"/>
  <c r="G147" i="207"/>
  <c r="I147" i="207" s="1"/>
  <c r="G148" i="207"/>
  <c r="I148" i="207" s="1"/>
  <c r="G107" i="207"/>
  <c r="I107" i="207" s="1"/>
  <c r="G108" i="207"/>
  <c r="I108" i="207" s="1"/>
  <c r="G109" i="207"/>
  <c r="I109" i="207" s="1"/>
  <c r="G110" i="207"/>
  <c r="I110" i="207" s="1"/>
  <c r="G111" i="207"/>
  <c r="I111" i="207" s="1"/>
  <c r="G112" i="207"/>
  <c r="I112" i="207" s="1"/>
  <c r="G113" i="207"/>
  <c r="I113" i="207" s="1"/>
  <c r="G114" i="207"/>
  <c r="I114" i="207" s="1"/>
  <c r="G115" i="207"/>
  <c r="I115" i="207" s="1"/>
  <c r="G116" i="207"/>
  <c r="I116" i="207" s="1"/>
  <c r="G117" i="207"/>
  <c r="I117" i="207" s="1"/>
  <c r="G118" i="207"/>
  <c r="I118" i="207" s="1"/>
  <c r="G119" i="207"/>
  <c r="I119" i="207" s="1"/>
  <c r="G120" i="207"/>
  <c r="I120" i="207" s="1"/>
  <c r="G121" i="207"/>
  <c r="I121" i="207" s="1"/>
  <c r="G122" i="207"/>
  <c r="I122" i="207" s="1"/>
  <c r="G123" i="207"/>
  <c r="I123" i="207" s="1"/>
  <c r="G124" i="207"/>
  <c r="I124" i="207" s="1"/>
  <c r="G125" i="207"/>
  <c r="I125" i="207" s="1"/>
  <c r="G126" i="207"/>
  <c r="I126" i="207" s="1"/>
  <c r="G127" i="207"/>
  <c r="I127" i="207" s="1"/>
  <c r="G128" i="207"/>
  <c r="I128" i="207" s="1"/>
  <c r="G129" i="207"/>
  <c r="I129" i="207" s="1"/>
  <c r="G106" i="207"/>
  <c r="I106" i="207" s="1"/>
  <c r="G85" i="207"/>
  <c r="I85" i="207" s="1"/>
  <c r="G86" i="207"/>
  <c r="I86" i="207" s="1"/>
  <c r="G87" i="207"/>
  <c r="I87" i="207" s="1"/>
  <c r="G88" i="207"/>
  <c r="I88" i="207" s="1"/>
  <c r="G89" i="207"/>
  <c r="I89" i="207" s="1"/>
  <c r="G90" i="207"/>
  <c r="I90" i="207" s="1"/>
  <c r="G91" i="207"/>
  <c r="I91" i="207" s="1"/>
  <c r="G92" i="207"/>
  <c r="I92" i="207" s="1"/>
  <c r="G93" i="207"/>
  <c r="I93" i="207" s="1"/>
  <c r="G94" i="207"/>
  <c r="I94" i="207" s="1"/>
  <c r="G95" i="207"/>
  <c r="I95" i="207" s="1"/>
  <c r="G96" i="207"/>
  <c r="I96" i="207" s="1"/>
  <c r="G97" i="207"/>
  <c r="I97" i="207" s="1"/>
  <c r="G98" i="207"/>
  <c r="I98" i="207" s="1"/>
  <c r="G99" i="207"/>
  <c r="I99" i="207" s="1"/>
  <c r="G100" i="207"/>
  <c r="I100" i="207" s="1"/>
  <c r="G58" i="207"/>
  <c r="I58" i="207" s="1"/>
  <c r="G59" i="207"/>
  <c r="I59" i="207" s="1"/>
  <c r="G60" i="207"/>
  <c r="I60" i="207" s="1"/>
  <c r="G61" i="207"/>
  <c r="I61" i="207" s="1"/>
  <c r="G62" i="207"/>
  <c r="I62" i="207" s="1"/>
  <c r="G63" i="207"/>
  <c r="I63" i="207" s="1"/>
  <c r="G64" i="207"/>
  <c r="I64" i="207" s="1"/>
  <c r="G65" i="207"/>
  <c r="I65" i="207" s="1"/>
  <c r="G66" i="207"/>
  <c r="I66" i="207" s="1"/>
  <c r="G67" i="207"/>
  <c r="I67" i="207" s="1"/>
  <c r="G68" i="207"/>
  <c r="I68" i="207" s="1"/>
  <c r="G69" i="207"/>
  <c r="I69" i="207" s="1"/>
  <c r="G70" i="207"/>
  <c r="I70" i="207" s="1"/>
  <c r="G71" i="207"/>
  <c r="I71" i="207" s="1"/>
  <c r="G72" i="207"/>
  <c r="I72" i="207" s="1"/>
  <c r="G73" i="207"/>
  <c r="I73" i="207" s="1"/>
  <c r="G74" i="207"/>
  <c r="I74" i="207" s="1"/>
  <c r="G75" i="207"/>
  <c r="I75" i="207" s="1"/>
  <c r="G76" i="207"/>
  <c r="I76" i="207" s="1"/>
  <c r="G77" i="207"/>
  <c r="I77" i="207" s="1"/>
  <c r="G78" i="207"/>
  <c r="I78" i="207" s="1"/>
  <c r="G79" i="207"/>
  <c r="I79" i="207" s="1"/>
  <c r="G80" i="207"/>
  <c r="I80" i="207" s="1"/>
  <c r="G81" i="207"/>
  <c r="I81" i="207" s="1"/>
  <c r="G82" i="207"/>
  <c r="I82" i="207" s="1"/>
  <c r="G83" i="207"/>
  <c r="I83" i="207" s="1"/>
  <c r="G84" i="207"/>
  <c r="I84" i="207" s="1"/>
  <c r="G57" i="207"/>
  <c r="N1" i="207"/>
  <c r="M149" i="207"/>
  <c r="H149" i="207"/>
  <c r="D148" i="207"/>
  <c r="C148" i="207"/>
  <c r="B148" i="207"/>
  <c r="D147" i="207"/>
  <c r="C147" i="207"/>
  <c r="B147" i="207"/>
  <c r="D146" i="207"/>
  <c r="C146" i="207"/>
  <c r="B146" i="207"/>
  <c r="D145" i="207"/>
  <c r="C145" i="207"/>
  <c r="B145" i="207"/>
  <c r="D144" i="207"/>
  <c r="C144" i="207"/>
  <c r="B144" i="207"/>
  <c r="D143" i="207"/>
  <c r="C143" i="207"/>
  <c r="B143" i="207"/>
  <c r="D142" i="207"/>
  <c r="C142" i="207"/>
  <c r="B142" i="207"/>
  <c r="D141" i="207"/>
  <c r="C141" i="207"/>
  <c r="B141" i="207"/>
  <c r="D140" i="207"/>
  <c r="C140" i="207"/>
  <c r="B140" i="207"/>
  <c r="D139" i="207"/>
  <c r="C139" i="207"/>
  <c r="B139" i="207"/>
  <c r="D138" i="207"/>
  <c r="C138" i="207"/>
  <c r="B138" i="207"/>
  <c r="D137" i="207"/>
  <c r="C137" i="207"/>
  <c r="B137" i="207"/>
  <c r="D136" i="207"/>
  <c r="C136" i="207"/>
  <c r="B136" i="207"/>
  <c r="D135" i="207"/>
  <c r="C135" i="207"/>
  <c r="B135" i="207"/>
  <c r="D134" i="207"/>
  <c r="C134" i="207"/>
  <c r="B134" i="207"/>
  <c r="D133" i="207"/>
  <c r="C133" i="207"/>
  <c r="B133" i="207"/>
  <c r="D132" i="207"/>
  <c r="C132" i="207"/>
  <c r="B132" i="207"/>
  <c r="D131" i="207"/>
  <c r="C131" i="207"/>
  <c r="B131" i="207"/>
  <c r="D130" i="207"/>
  <c r="C130" i="207"/>
  <c r="B130" i="207"/>
  <c r="D129" i="207"/>
  <c r="C129" i="207"/>
  <c r="B129" i="207"/>
  <c r="D128" i="207"/>
  <c r="C128" i="207"/>
  <c r="B128" i="207"/>
  <c r="D127" i="207"/>
  <c r="C127" i="207"/>
  <c r="B127" i="207"/>
  <c r="D126" i="207"/>
  <c r="C126" i="207"/>
  <c r="B126" i="207"/>
  <c r="D125" i="207"/>
  <c r="C125" i="207"/>
  <c r="B125" i="207"/>
  <c r="D124" i="207"/>
  <c r="C124" i="207"/>
  <c r="B124" i="207"/>
  <c r="D123" i="207"/>
  <c r="C123" i="207"/>
  <c r="B123" i="207"/>
  <c r="D122" i="207"/>
  <c r="C122" i="207"/>
  <c r="B122" i="207"/>
  <c r="D121" i="207"/>
  <c r="C121" i="207"/>
  <c r="B121" i="207"/>
  <c r="D120" i="207"/>
  <c r="C120" i="207"/>
  <c r="B120" i="207"/>
  <c r="D119" i="207"/>
  <c r="C119" i="207"/>
  <c r="B119" i="207"/>
  <c r="D118" i="207"/>
  <c r="C118" i="207"/>
  <c r="B118" i="207"/>
  <c r="D117" i="207"/>
  <c r="C117" i="207"/>
  <c r="B117" i="207"/>
  <c r="D116" i="207"/>
  <c r="C116" i="207"/>
  <c r="B116" i="207"/>
  <c r="D115" i="207"/>
  <c r="C115" i="207"/>
  <c r="B115" i="207"/>
  <c r="D114" i="207"/>
  <c r="C114" i="207"/>
  <c r="B114" i="207"/>
  <c r="D113" i="207"/>
  <c r="C113" i="207"/>
  <c r="B113" i="207"/>
  <c r="D112" i="207"/>
  <c r="C112" i="207"/>
  <c r="B112" i="207"/>
  <c r="D111" i="207"/>
  <c r="C111" i="207"/>
  <c r="B111" i="207"/>
  <c r="D110" i="207"/>
  <c r="C110" i="207"/>
  <c r="B110" i="207"/>
  <c r="D109" i="207"/>
  <c r="C109" i="207"/>
  <c r="B109" i="207"/>
  <c r="D108" i="207"/>
  <c r="C108" i="207"/>
  <c r="B108" i="207"/>
  <c r="D107" i="207"/>
  <c r="C107" i="207"/>
  <c r="B107" i="207"/>
  <c r="D106" i="207"/>
  <c r="C106" i="207"/>
  <c r="B106" i="207"/>
  <c r="A106" i="207"/>
  <c r="A107" i="207" s="1"/>
  <c r="A108" i="207" s="1"/>
  <c r="A109" i="207" s="1"/>
  <c r="A110" i="207" s="1"/>
  <c r="A111" i="207" s="1"/>
  <c r="A112" i="207" s="1"/>
  <c r="A113" i="207" s="1"/>
  <c r="A114" i="207" s="1"/>
  <c r="A115" i="207" s="1"/>
  <c r="A116" i="207" s="1"/>
  <c r="A117" i="207" s="1"/>
  <c r="A118" i="207" s="1"/>
  <c r="A119" i="207" s="1"/>
  <c r="A120" i="207" s="1"/>
  <c r="A121" i="207" s="1"/>
  <c r="A122" i="207" s="1"/>
  <c r="A123" i="207" s="1"/>
  <c r="A124" i="207" s="1"/>
  <c r="A125" i="207" s="1"/>
  <c r="A126" i="207" s="1"/>
  <c r="A127" i="207" s="1"/>
  <c r="A128" i="207" s="1"/>
  <c r="A129" i="207" s="1"/>
  <c r="A130" i="207" s="1"/>
  <c r="A131" i="207" s="1"/>
  <c r="A132" i="207" s="1"/>
  <c r="A133" i="207" s="1"/>
  <c r="A134" i="207" s="1"/>
  <c r="A135" i="207" s="1"/>
  <c r="A136" i="207" s="1"/>
  <c r="A137" i="207" s="1"/>
  <c r="A138" i="207" s="1"/>
  <c r="A139" i="207" s="1"/>
  <c r="A140" i="207" s="1"/>
  <c r="A141" i="207" s="1"/>
  <c r="A142" i="207" s="1"/>
  <c r="A143" i="207" s="1"/>
  <c r="A144" i="207" s="1"/>
  <c r="A145" i="207" s="1"/>
  <c r="A146" i="207" s="1"/>
  <c r="A147" i="207" s="1"/>
  <c r="A148" i="207" s="1"/>
  <c r="N103" i="207"/>
  <c r="J103" i="207"/>
  <c r="H103" i="207"/>
  <c r="J102" i="207"/>
  <c r="H102" i="207"/>
  <c r="J101" i="207"/>
  <c r="D100" i="207"/>
  <c r="C100" i="207"/>
  <c r="B100" i="207"/>
  <c r="D99" i="207"/>
  <c r="C99" i="207"/>
  <c r="B99" i="207"/>
  <c r="D98" i="207"/>
  <c r="C98" i="207"/>
  <c r="B98" i="207"/>
  <c r="D97" i="207"/>
  <c r="C97" i="207"/>
  <c r="B97" i="207"/>
  <c r="D96" i="207"/>
  <c r="C96" i="207"/>
  <c r="B96" i="207"/>
  <c r="D95" i="207"/>
  <c r="C95" i="207"/>
  <c r="B95" i="207"/>
  <c r="D94" i="207"/>
  <c r="C94" i="207"/>
  <c r="B94" i="207"/>
  <c r="D93" i="207"/>
  <c r="C93" i="207"/>
  <c r="B93" i="207"/>
  <c r="D92" i="207"/>
  <c r="C92" i="207"/>
  <c r="B92" i="207"/>
  <c r="D91" i="207"/>
  <c r="C91" i="207"/>
  <c r="B91" i="207"/>
  <c r="D90" i="207"/>
  <c r="C90" i="207"/>
  <c r="B90" i="207"/>
  <c r="D89" i="207"/>
  <c r="C89" i="207"/>
  <c r="B89" i="207"/>
  <c r="D88" i="207"/>
  <c r="C88" i="207"/>
  <c r="B88" i="207"/>
  <c r="D87" i="207"/>
  <c r="C87" i="207"/>
  <c r="B87" i="207"/>
  <c r="D86" i="207"/>
  <c r="C86" i="207"/>
  <c r="B86" i="207"/>
  <c r="D85" i="207"/>
  <c r="C85" i="207"/>
  <c r="B85" i="207"/>
  <c r="D84" i="207"/>
  <c r="C84" i="207"/>
  <c r="B84" i="207"/>
  <c r="D83" i="207"/>
  <c r="C83" i="207"/>
  <c r="B83" i="207"/>
  <c r="D82" i="207"/>
  <c r="C82" i="207"/>
  <c r="B82" i="207"/>
  <c r="D81" i="207"/>
  <c r="C81" i="207"/>
  <c r="B81" i="207"/>
  <c r="D80" i="207"/>
  <c r="C80" i="207"/>
  <c r="B80" i="207"/>
  <c r="D79" i="207"/>
  <c r="C79" i="207"/>
  <c r="B79" i="207"/>
  <c r="D78" i="207"/>
  <c r="C78" i="207"/>
  <c r="B78" i="207"/>
  <c r="D77" i="207"/>
  <c r="C77" i="207"/>
  <c r="B77" i="207"/>
  <c r="D76" i="207"/>
  <c r="C76" i="207"/>
  <c r="B76" i="207"/>
  <c r="D75" i="207"/>
  <c r="C75" i="207"/>
  <c r="B75" i="207"/>
  <c r="D74" i="207"/>
  <c r="C74" i="207"/>
  <c r="B74" i="207"/>
  <c r="D73" i="207"/>
  <c r="C73" i="207"/>
  <c r="B73" i="207"/>
  <c r="D72" i="207"/>
  <c r="C72" i="207"/>
  <c r="B72" i="207"/>
  <c r="D71" i="207"/>
  <c r="C71" i="207"/>
  <c r="B71" i="207"/>
  <c r="D70" i="207"/>
  <c r="C70" i="207"/>
  <c r="B70" i="207"/>
  <c r="D69" i="207"/>
  <c r="C69" i="207"/>
  <c r="B69" i="207"/>
  <c r="D68" i="207"/>
  <c r="C68" i="207"/>
  <c r="B68" i="207"/>
  <c r="D67" i="207"/>
  <c r="C67" i="207"/>
  <c r="B67" i="207"/>
  <c r="D66" i="207"/>
  <c r="C66" i="207"/>
  <c r="B66" i="207"/>
  <c r="D65" i="207"/>
  <c r="C65" i="207"/>
  <c r="B65" i="207"/>
  <c r="D64" i="207"/>
  <c r="C64" i="207"/>
  <c r="B64" i="207"/>
  <c r="D63" i="207"/>
  <c r="C63" i="207"/>
  <c r="B63" i="207"/>
  <c r="D62" i="207"/>
  <c r="C62" i="207"/>
  <c r="B62" i="207"/>
  <c r="D61" i="207"/>
  <c r="C61" i="207"/>
  <c r="B61" i="207"/>
  <c r="D60" i="207"/>
  <c r="C60" i="207"/>
  <c r="B60" i="207"/>
  <c r="D59" i="207"/>
  <c r="C59" i="207"/>
  <c r="B59" i="207"/>
  <c r="D58" i="207"/>
  <c r="C58" i="207"/>
  <c r="B58" i="207"/>
  <c r="D57" i="207"/>
  <c r="C57" i="207"/>
  <c r="B57" i="207"/>
  <c r="N54" i="207"/>
  <c r="J54" i="207"/>
  <c r="H54" i="207"/>
  <c r="J53" i="207"/>
  <c r="H53" i="207"/>
  <c r="J52" i="207"/>
  <c r="D21" i="207" a="1"/>
  <c r="D20" i="207" a="1"/>
  <c r="D19" i="207" a="1"/>
  <c r="D14" i="207" a="1"/>
  <c r="D54" i="207" s="1"/>
  <c r="D13" i="207" a="1"/>
  <c r="D12" i="207" a="1"/>
  <c r="D10" i="207" a="1"/>
  <c r="D8" i="207"/>
  <c r="D7" i="207"/>
  <c r="D6" i="207"/>
  <c r="D5" i="207"/>
  <c r="N3" i="207"/>
  <c r="G133" i="206"/>
  <c r="I133" i="206" s="1"/>
  <c r="G134" i="206"/>
  <c r="I134" i="206" s="1"/>
  <c r="G135" i="206"/>
  <c r="I135" i="206" s="1"/>
  <c r="G136" i="206"/>
  <c r="I136" i="206" s="1"/>
  <c r="G137" i="206"/>
  <c r="I137" i="206" s="1"/>
  <c r="G138" i="206"/>
  <c r="I138" i="206" s="1"/>
  <c r="G139" i="206"/>
  <c r="I139" i="206" s="1"/>
  <c r="G140" i="206"/>
  <c r="I140" i="206" s="1"/>
  <c r="G141" i="206"/>
  <c r="I141" i="206" s="1"/>
  <c r="G142" i="206"/>
  <c r="I142" i="206" s="1"/>
  <c r="G143" i="206"/>
  <c r="I143" i="206" s="1"/>
  <c r="G144" i="206"/>
  <c r="I144" i="206" s="1"/>
  <c r="G145" i="206"/>
  <c r="I145" i="206" s="1"/>
  <c r="G146" i="206"/>
  <c r="I146" i="206" s="1"/>
  <c r="G147" i="206"/>
  <c r="I147" i="206" s="1"/>
  <c r="G148" i="206"/>
  <c r="I148" i="206" s="1"/>
  <c r="G107" i="206"/>
  <c r="I107" i="206" s="1"/>
  <c r="G108" i="206"/>
  <c r="I108" i="206" s="1"/>
  <c r="G109" i="206"/>
  <c r="I109" i="206" s="1"/>
  <c r="G110" i="206"/>
  <c r="I110" i="206" s="1"/>
  <c r="G111" i="206"/>
  <c r="I111" i="206" s="1"/>
  <c r="G112" i="206"/>
  <c r="I112" i="206" s="1"/>
  <c r="G113" i="206"/>
  <c r="I113" i="206" s="1"/>
  <c r="G114" i="206"/>
  <c r="I114" i="206" s="1"/>
  <c r="G115" i="206"/>
  <c r="I115" i="206" s="1"/>
  <c r="G116" i="206"/>
  <c r="I116" i="206" s="1"/>
  <c r="G117" i="206"/>
  <c r="I117" i="206" s="1"/>
  <c r="G118" i="206"/>
  <c r="I118" i="206" s="1"/>
  <c r="G119" i="206"/>
  <c r="I119" i="206" s="1"/>
  <c r="G120" i="206"/>
  <c r="I120" i="206" s="1"/>
  <c r="G121" i="206"/>
  <c r="I121" i="206" s="1"/>
  <c r="G122" i="206"/>
  <c r="I122" i="206" s="1"/>
  <c r="G123" i="206"/>
  <c r="I123" i="206" s="1"/>
  <c r="G124" i="206"/>
  <c r="I124" i="206" s="1"/>
  <c r="G125" i="206"/>
  <c r="I125" i="206" s="1"/>
  <c r="G126" i="206"/>
  <c r="I126" i="206" s="1"/>
  <c r="G127" i="206"/>
  <c r="I127" i="206" s="1"/>
  <c r="G128" i="206"/>
  <c r="I128" i="206" s="1"/>
  <c r="G129" i="206"/>
  <c r="I129" i="206" s="1"/>
  <c r="G130" i="206"/>
  <c r="I130" i="206" s="1"/>
  <c r="G131" i="206"/>
  <c r="I131" i="206" s="1"/>
  <c r="G132" i="206"/>
  <c r="I132" i="206" s="1"/>
  <c r="G106" i="206"/>
  <c r="I106" i="206" s="1"/>
  <c r="G82" i="206"/>
  <c r="I82" i="206" s="1"/>
  <c r="G83" i="206"/>
  <c r="I83" i="206" s="1"/>
  <c r="G84" i="206"/>
  <c r="I84" i="206" s="1"/>
  <c r="G85" i="206"/>
  <c r="I85" i="206" s="1"/>
  <c r="G86" i="206"/>
  <c r="I86" i="206" s="1"/>
  <c r="G87" i="206"/>
  <c r="I87" i="206" s="1"/>
  <c r="G88" i="206"/>
  <c r="I88" i="206" s="1"/>
  <c r="G89" i="206"/>
  <c r="I89" i="206" s="1"/>
  <c r="G90" i="206"/>
  <c r="I90" i="206" s="1"/>
  <c r="G91" i="206"/>
  <c r="I91" i="206" s="1"/>
  <c r="G92" i="206"/>
  <c r="I92" i="206" s="1"/>
  <c r="G93" i="206"/>
  <c r="I93" i="206" s="1"/>
  <c r="G94" i="206"/>
  <c r="I94" i="206" s="1"/>
  <c r="G95" i="206"/>
  <c r="I95" i="206" s="1"/>
  <c r="G96" i="206"/>
  <c r="I96" i="206" s="1"/>
  <c r="G97" i="206"/>
  <c r="I97" i="206" s="1"/>
  <c r="G98" i="206"/>
  <c r="I98" i="206" s="1"/>
  <c r="G99" i="206"/>
  <c r="I99" i="206" s="1"/>
  <c r="G100" i="206"/>
  <c r="I100" i="206" s="1"/>
  <c r="G58" i="206"/>
  <c r="I58" i="206" s="1"/>
  <c r="G59" i="206"/>
  <c r="I59" i="206" s="1"/>
  <c r="G60" i="206"/>
  <c r="I60" i="206" s="1"/>
  <c r="G61" i="206"/>
  <c r="I61" i="206" s="1"/>
  <c r="G62" i="206"/>
  <c r="I62" i="206" s="1"/>
  <c r="G63" i="206"/>
  <c r="I63" i="206" s="1"/>
  <c r="G64" i="206"/>
  <c r="I64" i="206" s="1"/>
  <c r="G65" i="206"/>
  <c r="I65" i="206" s="1"/>
  <c r="G66" i="206"/>
  <c r="I66" i="206" s="1"/>
  <c r="G67" i="206"/>
  <c r="I67" i="206" s="1"/>
  <c r="G68" i="206"/>
  <c r="I68" i="206" s="1"/>
  <c r="G69" i="206"/>
  <c r="I69" i="206" s="1"/>
  <c r="G70" i="206"/>
  <c r="I70" i="206" s="1"/>
  <c r="G71" i="206"/>
  <c r="I71" i="206" s="1"/>
  <c r="G72" i="206"/>
  <c r="I72" i="206" s="1"/>
  <c r="G73" i="206"/>
  <c r="I73" i="206" s="1"/>
  <c r="G74" i="206"/>
  <c r="I74" i="206" s="1"/>
  <c r="G75" i="206"/>
  <c r="I75" i="206" s="1"/>
  <c r="G76" i="206"/>
  <c r="I76" i="206" s="1"/>
  <c r="G77" i="206"/>
  <c r="I77" i="206" s="1"/>
  <c r="G78" i="206"/>
  <c r="I78" i="206" s="1"/>
  <c r="G79" i="206"/>
  <c r="I79" i="206" s="1"/>
  <c r="G80" i="206"/>
  <c r="I80" i="206" s="1"/>
  <c r="G81" i="206"/>
  <c r="I81" i="206" s="1"/>
  <c r="G57" i="206"/>
  <c r="M149" i="206"/>
  <c r="H149" i="206"/>
  <c r="D148" i="206"/>
  <c r="C148" i="206"/>
  <c r="B148" i="206"/>
  <c r="D147" i="206"/>
  <c r="C147" i="206"/>
  <c r="B147" i="206"/>
  <c r="D146" i="206"/>
  <c r="C146" i="206"/>
  <c r="B146" i="206"/>
  <c r="D145" i="206"/>
  <c r="C145" i="206"/>
  <c r="B145" i="206"/>
  <c r="D144" i="206"/>
  <c r="C144" i="206"/>
  <c r="B144" i="206"/>
  <c r="D143" i="206"/>
  <c r="C143" i="206"/>
  <c r="B143" i="206"/>
  <c r="D142" i="206"/>
  <c r="C142" i="206"/>
  <c r="B142" i="206"/>
  <c r="D141" i="206"/>
  <c r="C141" i="206"/>
  <c r="B141" i="206"/>
  <c r="D140" i="206"/>
  <c r="C140" i="206"/>
  <c r="B140" i="206"/>
  <c r="D139" i="206"/>
  <c r="C139" i="206"/>
  <c r="B139" i="206"/>
  <c r="D138" i="206"/>
  <c r="C138" i="206"/>
  <c r="B138" i="206"/>
  <c r="D137" i="206"/>
  <c r="C137" i="206"/>
  <c r="B137" i="206"/>
  <c r="D136" i="206"/>
  <c r="C136" i="206"/>
  <c r="B136" i="206"/>
  <c r="D135" i="206"/>
  <c r="C135" i="206"/>
  <c r="B135" i="206"/>
  <c r="D134" i="206"/>
  <c r="C134" i="206"/>
  <c r="B134" i="206"/>
  <c r="D133" i="206"/>
  <c r="C133" i="206"/>
  <c r="B133" i="206"/>
  <c r="D132" i="206"/>
  <c r="C132" i="206"/>
  <c r="B132" i="206"/>
  <c r="D131" i="206"/>
  <c r="C131" i="206"/>
  <c r="B131" i="206"/>
  <c r="D130" i="206"/>
  <c r="C130" i="206"/>
  <c r="B130" i="206"/>
  <c r="D129" i="206"/>
  <c r="C129" i="206"/>
  <c r="B129" i="206"/>
  <c r="D128" i="206"/>
  <c r="C128" i="206"/>
  <c r="B128" i="206"/>
  <c r="D127" i="206"/>
  <c r="C127" i="206"/>
  <c r="B127" i="206"/>
  <c r="D126" i="206"/>
  <c r="C126" i="206"/>
  <c r="B126" i="206"/>
  <c r="D125" i="206"/>
  <c r="C125" i="206"/>
  <c r="B125" i="206"/>
  <c r="D124" i="206"/>
  <c r="C124" i="206"/>
  <c r="B124" i="206"/>
  <c r="D123" i="206"/>
  <c r="C123" i="206"/>
  <c r="B123" i="206"/>
  <c r="D122" i="206"/>
  <c r="C122" i="206"/>
  <c r="B122" i="206"/>
  <c r="D121" i="206"/>
  <c r="C121" i="206"/>
  <c r="B121" i="206"/>
  <c r="D120" i="206"/>
  <c r="C120" i="206"/>
  <c r="B120" i="206"/>
  <c r="D119" i="206"/>
  <c r="C119" i="206"/>
  <c r="B119" i="206"/>
  <c r="D118" i="206"/>
  <c r="C118" i="206"/>
  <c r="B118" i="206"/>
  <c r="D117" i="206"/>
  <c r="C117" i="206"/>
  <c r="B117" i="206"/>
  <c r="D116" i="206"/>
  <c r="C116" i="206"/>
  <c r="B116" i="206"/>
  <c r="D115" i="206"/>
  <c r="C115" i="206"/>
  <c r="B115" i="206"/>
  <c r="D114" i="206"/>
  <c r="C114" i="206"/>
  <c r="B114" i="206"/>
  <c r="D113" i="206"/>
  <c r="C113" i="206"/>
  <c r="B113" i="206"/>
  <c r="D112" i="206"/>
  <c r="C112" i="206"/>
  <c r="B112" i="206"/>
  <c r="D111" i="206"/>
  <c r="C111" i="206"/>
  <c r="B111" i="206"/>
  <c r="D110" i="206"/>
  <c r="C110" i="206"/>
  <c r="B110" i="206"/>
  <c r="D109" i="206"/>
  <c r="C109" i="206"/>
  <c r="B109" i="206"/>
  <c r="D108" i="206"/>
  <c r="C108" i="206"/>
  <c r="B108" i="206"/>
  <c r="D107" i="206"/>
  <c r="C107" i="206"/>
  <c r="B107" i="206"/>
  <c r="D106" i="206"/>
  <c r="C106" i="206"/>
  <c r="B106" i="206"/>
  <c r="A106" i="206"/>
  <c r="A107" i="206" s="1"/>
  <c r="A108" i="206" s="1"/>
  <c r="A109" i="206" s="1"/>
  <c r="A110" i="206" s="1"/>
  <c r="A111" i="206" s="1"/>
  <c r="A112" i="206" s="1"/>
  <c r="A113" i="206" s="1"/>
  <c r="A114" i="206" s="1"/>
  <c r="A115" i="206" s="1"/>
  <c r="A116" i="206" s="1"/>
  <c r="A117" i="206" s="1"/>
  <c r="A118" i="206" s="1"/>
  <c r="A119" i="206" s="1"/>
  <c r="A120" i="206" s="1"/>
  <c r="A121" i="206" s="1"/>
  <c r="A122" i="206" s="1"/>
  <c r="A123" i="206" s="1"/>
  <c r="A124" i="206" s="1"/>
  <c r="A125" i="206" s="1"/>
  <c r="A126" i="206" s="1"/>
  <c r="A127" i="206" s="1"/>
  <c r="A128" i="206" s="1"/>
  <c r="A129" i="206" s="1"/>
  <c r="A130" i="206" s="1"/>
  <c r="A131" i="206" s="1"/>
  <c r="A132" i="206" s="1"/>
  <c r="A133" i="206" s="1"/>
  <c r="A134" i="206" s="1"/>
  <c r="A135" i="206" s="1"/>
  <c r="A136" i="206" s="1"/>
  <c r="A137" i="206" s="1"/>
  <c r="A138" i="206" s="1"/>
  <c r="A139" i="206" s="1"/>
  <c r="A140" i="206" s="1"/>
  <c r="A141" i="206" s="1"/>
  <c r="A142" i="206" s="1"/>
  <c r="A143" i="206" s="1"/>
  <c r="A144" i="206" s="1"/>
  <c r="A145" i="206" s="1"/>
  <c r="A146" i="206" s="1"/>
  <c r="A147" i="206" s="1"/>
  <c r="A148" i="206" s="1"/>
  <c r="N103" i="206"/>
  <c r="J103" i="206"/>
  <c r="H103" i="206"/>
  <c r="J102" i="206"/>
  <c r="H102" i="206"/>
  <c r="J101" i="206"/>
  <c r="D100" i="206"/>
  <c r="C100" i="206"/>
  <c r="B100" i="206"/>
  <c r="D99" i="206"/>
  <c r="C99" i="206"/>
  <c r="B99" i="206"/>
  <c r="D98" i="206"/>
  <c r="C98" i="206"/>
  <c r="B98" i="206"/>
  <c r="D97" i="206"/>
  <c r="C97" i="206"/>
  <c r="B97" i="206"/>
  <c r="D96" i="206"/>
  <c r="C96" i="206"/>
  <c r="B96" i="206"/>
  <c r="D95" i="206"/>
  <c r="C95" i="206"/>
  <c r="B95" i="206"/>
  <c r="D94" i="206"/>
  <c r="C94" i="206"/>
  <c r="B94" i="206"/>
  <c r="D93" i="206"/>
  <c r="C93" i="206"/>
  <c r="B93" i="206"/>
  <c r="D92" i="206"/>
  <c r="C92" i="206"/>
  <c r="B92" i="206"/>
  <c r="D91" i="206"/>
  <c r="C91" i="206"/>
  <c r="B91" i="206"/>
  <c r="D90" i="206"/>
  <c r="C90" i="206"/>
  <c r="B90" i="206"/>
  <c r="D89" i="206"/>
  <c r="C89" i="206"/>
  <c r="B89" i="206"/>
  <c r="D88" i="206"/>
  <c r="C88" i="206"/>
  <c r="B88" i="206"/>
  <c r="D87" i="206"/>
  <c r="C87" i="206"/>
  <c r="B87" i="206"/>
  <c r="D86" i="206"/>
  <c r="C86" i="206"/>
  <c r="B86" i="206"/>
  <c r="D85" i="206"/>
  <c r="C85" i="206"/>
  <c r="B85" i="206"/>
  <c r="D84" i="206"/>
  <c r="C84" i="206"/>
  <c r="B84" i="206"/>
  <c r="D83" i="206"/>
  <c r="C83" i="206"/>
  <c r="B83" i="206"/>
  <c r="D82" i="206"/>
  <c r="C82" i="206"/>
  <c r="B82" i="206"/>
  <c r="D81" i="206"/>
  <c r="C81" i="206"/>
  <c r="B81" i="206"/>
  <c r="D80" i="206"/>
  <c r="C80" i="206"/>
  <c r="B80" i="206"/>
  <c r="D79" i="206"/>
  <c r="C79" i="206"/>
  <c r="B79" i="206"/>
  <c r="D78" i="206"/>
  <c r="C78" i="206"/>
  <c r="B78" i="206"/>
  <c r="D77" i="206"/>
  <c r="C77" i="206"/>
  <c r="B77" i="206"/>
  <c r="D76" i="206"/>
  <c r="C76" i="206"/>
  <c r="B76" i="206"/>
  <c r="D75" i="206"/>
  <c r="C75" i="206"/>
  <c r="B75" i="206"/>
  <c r="D74" i="206"/>
  <c r="C74" i="206"/>
  <c r="B74" i="206"/>
  <c r="D73" i="206"/>
  <c r="C73" i="206"/>
  <c r="B73" i="206"/>
  <c r="D72" i="206"/>
  <c r="C72" i="206"/>
  <c r="B72" i="206"/>
  <c r="D71" i="206"/>
  <c r="C71" i="206"/>
  <c r="B71" i="206"/>
  <c r="D70" i="206"/>
  <c r="C70" i="206"/>
  <c r="B70" i="206"/>
  <c r="D69" i="206"/>
  <c r="C69" i="206"/>
  <c r="B69" i="206"/>
  <c r="D68" i="206"/>
  <c r="C68" i="206"/>
  <c r="B68" i="206"/>
  <c r="D67" i="206"/>
  <c r="C67" i="206"/>
  <c r="B67" i="206"/>
  <c r="D66" i="206"/>
  <c r="C66" i="206"/>
  <c r="B66" i="206"/>
  <c r="D65" i="206"/>
  <c r="C65" i="206"/>
  <c r="B65" i="206"/>
  <c r="D64" i="206"/>
  <c r="C64" i="206"/>
  <c r="B64" i="206"/>
  <c r="D63" i="206"/>
  <c r="C63" i="206"/>
  <c r="B63" i="206"/>
  <c r="D62" i="206"/>
  <c r="C62" i="206"/>
  <c r="B62" i="206"/>
  <c r="D61" i="206"/>
  <c r="C61" i="206"/>
  <c r="B61" i="206"/>
  <c r="D60" i="206"/>
  <c r="C60" i="206"/>
  <c r="B60" i="206"/>
  <c r="D59" i="206"/>
  <c r="C59" i="206"/>
  <c r="B59" i="206"/>
  <c r="D58" i="206"/>
  <c r="C58" i="206"/>
  <c r="B58" i="206"/>
  <c r="D57" i="206"/>
  <c r="C57" i="206"/>
  <c r="B57" i="206"/>
  <c r="N54" i="206"/>
  <c r="J54" i="206"/>
  <c r="H54" i="206"/>
  <c r="J53" i="206"/>
  <c r="H53" i="206"/>
  <c r="J52" i="206"/>
  <c r="D21" i="206" a="1"/>
  <c r="D20" i="206" a="1"/>
  <c r="D19" i="206" a="1"/>
  <c r="D14" i="206" a="1"/>
  <c r="D54" i="206" s="1"/>
  <c r="D13" i="206" a="1"/>
  <c r="D12" i="206" a="1"/>
  <c r="D101" i="206" s="1"/>
  <c r="D10" i="206" a="1"/>
  <c r="D8" i="206"/>
  <c r="D7" i="206"/>
  <c r="D6" i="206"/>
  <c r="D5" i="206"/>
  <c r="N3" i="206"/>
  <c r="N1" i="206"/>
  <c r="G107" i="205"/>
  <c r="I107" i="205" s="1"/>
  <c r="G108" i="205"/>
  <c r="I108" i="205" s="1"/>
  <c r="G109" i="205"/>
  <c r="I109" i="205" s="1"/>
  <c r="G110" i="205"/>
  <c r="I110" i="205" s="1"/>
  <c r="G111" i="205"/>
  <c r="I111" i="205" s="1"/>
  <c r="G112" i="205"/>
  <c r="I112" i="205" s="1"/>
  <c r="G113" i="205"/>
  <c r="I113" i="205" s="1"/>
  <c r="G114" i="205"/>
  <c r="I114" i="205" s="1"/>
  <c r="G115" i="205"/>
  <c r="I115" i="205" s="1"/>
  <c r="G116" i="205"/>
  <c r="I116" i="205" s="1"/>
  <c r="G117" i="205"/>
  <c r="I117" i="205" s="1"/>
  <c r="G118" i="205"/>
  <c r="I118" i="205" s="1"/>
  <c r="G119" i="205"/>
  <c r="I119" i="205" s="1"/>
  <c r="G120" i="205"/>
  <c r="I120" i="205" s="1"/>
  <c r="G121" i="205"/>
  <c r="I121" i="205" s="1"/>
  <c r="G122" i="205"/>
  <c r="I122" i="205" s="1"/>
  <c r="G123" i="205"/>
  <c r="I123" i="205" s="1"/>
  <c r="G124" i="205"/>
  <c r="I124" i="205" s="1"/>
  <c r="G125" i="205"/>
  <c r="I125" i="205" s="1"/>
  <c r="G126" i="205"/>
  <c r="I126" i="205" s="1"/>
  <c r="G127" i="205"/>
  <c r="I127" i="205" s="1"/>
  <c r="G128" i="205"/>
  <c r="I128" i="205" s="1"/>
  <c r="G129" i="205"/>
  <c r="I129" i="205" s="1"/>
  <c r="G130" i="205"/>
  <c r="I130" i="205" s="1"/>
  <c r="G131" i="205"/>
  <c r="I131" i="205" s="1"/>
  <c r="G132" i="205"/>
  <c r="I132" i="205" s="1"/>
  <c r="G133" i="205"/>
  <c r="I133" i="205" s="1"/>
  <c r="G134" i="205"/>
  <c r="I134" i="205" s="1"/>
  <c r="G135" i="205"/>
  <c r="I135" i="205" s="1"/>
  <c r="G136" i="205"/>
  <c r="I136" i="205" s="1"/>
  <c r="G137" i="205"/>
  <c r="I137" i="205" s="1"/>
  <c r="G138" i="205"/>
  <c r="I138" i="205" s="1"/>
  <c r="G139" i="205"/>
  <c r="I139" i="205" s="1"/>
  <c r="G140" i="205"/>
  <c r="I140" i="205" s="1"/>
  <c r="G141" i="205"/>
  <c r="I141" i="205" s="1"/>
  <c r="G142" i="205"/>
  <c r="I142" i="205" s="1"/>
  <c r="G143" i="205"/>
  <c r="I143" i="205" s="1"/>
  <c r="G144" i="205"/>
  <c r="I144" i="205" s="1"/>
  <c r="G145" i="205"/>
  <c r="I145" i="205" s="1"/>
  <c r="G146" i="205"/>
  <c r="I146" i="205" s="1"/>
  <c r="G147" i="205"/>
  <c r="I147" i="205" s="1"/>
  <c r="G148" i="205"/>
  <c r="I148" i="205" s="1"/>
  <c r="G106" i="205"/>
  <c r="I106" i="205" s="1"/>
  <c r="G58" i="205"/>
  <c r="I58" i="205" s="1"/>
  <c r="G59" i="205"/>
  <c r="I59" i="205" s="1"/>
  <c r="G60" i="205"/>
  <c r="I60" i="205" s="1"/>
  <c r="G61" i="205"/>
  <c r="I61" i="205" s="1"/>
  <c r="G62" i="205"/>
  <c r="I62" i="205" s="1"/>
  <c r="G63" i="205"/>
  <c r="I63" i="205" s="1"/>
  <c r="G64" i="205"/>
  <c r="I64" i="205" s="1"/>
  <c r="G65" i="205"/>
  <c r="I65" i="205" s="1"/>
  <c r="G66" i="205"/>
  <c r="I66" i="205" s="1"/>
  <c r="G67" i="205"/>
  <c r="I67" i="205" s="1"/>
  <c r="G68" i="205"/>
  <c r="I68" i="205" s="1"/>
  <c r="G69" i="205"/>
  <c r="I69" i="205" s="1"/>
  <c r="G70" i="205"/>
  <c r="I70" i="205" s="1"/>
  <c r="G71" i="205"/>
  <c r="I71" i="205" s="1"/>
  <c r="G72" i="205"/>
  <c r="I72" i="205" s="1"/>
  <c r="G73" i="205"/>
  <c r="I73" i="205" s="1"/>
  <c r="G74" i="205"/>
  <c r="I74" i="205" s="1"/>
  <c r="G75" i="205"/>
  <c r="I75" i="205" s="1"/>
  <c r="G76" i="205"/>
  <c r="I76" i="205" s="1"/>
  <c r="G77" i="205"/>
  <c r="I77" i="205" s="1"/>
  <c r="G78" i="205"/>
  <c r="I78" i="205" s="1"/>
  <c r="G79" i="205"/>
  <c r="I79" i="205" s="1"/>
  <c r="G80" i="205"/>
  <c r="I80" i="205" s="1"/>
  <c r="G81" i="205"/>
  <c r="I81" i="205" s="1"/>
  <c r="G82" i="205"/>
  <c r="I82" i="205" s="1"/>
  <c r="G83" i="205"/>
  <c r="I83" i="205" s="1"/>
  <c r="G84" i="205"/>
  <c r="I84" i="205" s="1"/>
  <c r="G85" i="205"/>
  <c r="I85" i="205" s="1"/>
  <c r="G86" i="205"/>
  <c r="I86" i="205" s="1"/>
  <c r="G87" i="205"/>
  <c r="I87" i="205" s="1"/>
  <c r="G88" i="205"/>
  <c r="I88" i="205" s="1"/>
  <c r="G89" i="205"/>
  <c r="I89" i="205" s="1"/>
  <c r="G90" i="205"/>
  <c r="I90" i="205" s="1"/>
  <c r="G91" i="205"/>
  <c r="I91" i="205" s="1"/>
  <c r="G92" i="205"/>
  <c r="I92" i="205" s="1"/>
  <c r="G93" i="205"/>
  <c r="I93" i="205" s="1"/>
  <c r="G94" i="205"/>
  <c r="I94" i="205" s="1"/>
  <c r="G95" i="205"/>
  <c r="I95" i="205" s="1"/>
  <c r="G96" i="205"/>
  <c r="I96" i="205" s="1"/>
  <c r="G97" i="205"/>
  <c r="I97" i="205" s="1"/>
  <c r="G98" i="205"/>
  <c r="I98" i="205" s="1"/>
  <c r="G99" i="205"/>
  <c r="I99" i="205" s="1"/>
  <c r="G100" i="205"/>
  <c r="I100" i="205" s="1"/>
  <c r="G57" i="205"/>
  <c r="M149" i="205"/>
  <c r="H149" i="205"/>
  <c r="D148" i="205"/>
  <c r="C148" i="205"/>
  <c r="B148" i="205"/>
  <c r="D147" i="205"/>
  <c r="C147" i="205"/>
  <c r="B147" i="205"/>
  <c r="D146" i="205"/>
  <c r="C146" i="205"/>
  <c r="B146" i="205"/>
  <c r="D145" i="205"/>
  <c r="C145" i="205"/>
  <c r="B145" i="205"/>
  <c r="D144" i="205"/>
  <c r="C144" i="205"/>
  <c r="B144" i="205"/>
  <c r="D143" i="205"/>
  <c r="C143" i="205"/>
  <c r="B143" i="205"/>
  <c r="D142" i="205"/>
  <c r="C142" i="205"/>
  <c r="B142" i="205"/>
  <c r="D141" i="205"/>
  <c r="C141" i="205"/>
  <c r="B141" i="205"/>
  <c r="D140" i="205"/>
  <c r="C140" i="205"/>
  <c r="B140" i="205"/>
  <c r="D139" i="205"/>
  <c r="C139" i="205"/>
  <c r="B139" i="205"/>
  <c r="D138" i="205"/>
  <c r="C138" i="205"/>
  <c r="B138" i="205"/>
  <c r="D137" i="205"/>
  <c r="C137" i="205"/>
  <c r="B137" i="205"/>
  <c r="D136" i="205"/>
  <c r="C136" i="205"/>
  <c r="B136" i="205"/>
  <c r="D135" i="205"/>
  <c r="C135" i="205"/>
  <c r="B135" i="205"/>
  <c r="D134" i="205"/>
  <c r="C134" i="205"/>
  <c r="B134" i="205"/>
  <c r="D133" i="205"/>
  <c r="C133" i="205"/>
  <c r="B133" i="205"/>
  <c r="D132" i="205"/>
  <c r="C132" i="205"/>
  <c r="B132" i="205"/>
  <c r="D131" i="205"/>
  <c r="C131" i="205"/>
  <c r="B131" i="205"/>
  <c r="D130" i="205"/>
  <c r="C130" i="205"/>
  <c r="B130" i="205"/>
  <c r="D129" i="205"/>
  <c r="C129" i="205"/>
  <c r="B129" i="205"/>
  <c r="D128" i="205"/>
  <c r="C128" i="205"/>
  <c r="B128" i="205"/>
  <c r="D127" i="205"/>
  <c r="C127" i="205"/>
  <c r="B127" i="205"/>
  <c r="D126" i="205"/>
  <c r="C126" i="205"/>
  <c r="B126" i="205"/>
  <c r="D125" i="205"/>
  <c r="C125" i="205"/>
  <c r="B125" i="205"/>
  <c r="D124" i="205"/>
  <c r="C124" i="205"/>
  <c r="B124" i="205"/>
  <c r="D123" i="205"/>
  <c r="C123" i="205"/>
  <c r="B123" i="205"/>
  <c r="D122" i="205"/>
  <c r="C122" i="205"/>
  <c r="B122" i="205"/>
  <c r="D121" i="205"/>
  <c r="C121" i="205"/>
  <c r="B121" i="205"/>
  <c r="D120" i="205"/>
  <c r="C120" i="205"/>
  <c r="B120" i="205"/>
  <c r="D119" i="205"/>
  <c r="C119" i="205"/>
  <c r="B119" i="205"/>
  <c r="D118" i="205"/>
  <c r="C118" i="205"/>
  <c r="B118" i="205"/>
  <c r="D117" i="205"/>
  <c r="C117" i="205"/>
  <c r="B117" i="205"/>
  <c r="D116" i="205"/>
  <c r="C116" i="205"/>
  <c r="B116" i="205"/>
  <c r="D115" i="205"/>
  <c r="C115" i="205"/>
  <c r="B115" i="205"/>
  <c r="D114" i="205"/>
  <c r="C114" i="205"/>
  <c r="B114" i="205"/>
  <c r="D113" i="205"/>
  <c r="C113" i="205"/>
  <c r="B113" i="205"/>
  <c r="D112" i="205"/>
  <c r="C112" i="205"/>
  <c r="B112" i="205"/>
  <c r="D111" i="205"/>
  <c r="C111" i="205"/>
  <c r="B111" i="205"/>
  <c r="D110" i="205"/>
  <c r="C110" i="205"/>
  <c r="B110" i="205"/>
  <c r="D109" i="205"/>
  <c r="C109" i="205"/>
  <c r="B109" i="205"/>
  <c r="D108" i="205"/>
  <c r="C108" i="205"/>
  <c r="B108" i="205"/>
  <c r="D107" i="205"/>
  <c r="C107" i="205"/>
  <c r="B107" i="205"/>
  <c r="D106" i="205"/>
  <c r="C106" i="205"/>
  <c r="B106" i="205"/>
  <c r="A106" i="205"/>
  <c r="A107" i="205" s="1"/>
  <c r="A108" i="205" s="1"/>
  <c r="A109" i="205" s="1"/>
  <c r="A110" i="205" s="1"/>
  <c r="A111" i="205" s="1"/>
  <c r="A112" i="205" s="1"/>
  <c r="A113" i="205" s="1"/>
  <c r="A114" i="205" s="1"/>
  <c r="A115" i="205" s="1"/>
  <c r="A116" i="205" s="1"/>
  <c r="A117" i="205" s="1"/>
  <c r="A118" i="205" s="1"/>
  <c r="A119" i="205" s="1"/>
  <c r="A120" i="205" s="1"/>
  <c r="A121" i="205" s="1"/>
  <c r="A122" i="205" s="1"/>
  <c r="A123" i="205" s="1"/>
  <c r="A124" i="205" s="1"/>
  <c r="A125" i="205" s="1"/>
  <c r="A126" i="205" s="1"/>
  <c r="A127" i="205" s="1"/>
  <c r="A128" i="205" s="1"/>
  <c r="A129" i="205" s="1"/>
  <c r="A130" i="205" s="1"/>
  <c r="A131" i="205" s="1"/>
  <c r="A132" i="205" s="1"/>
  <c r="A133" i="205" s="1"/>
  <c r="A134" i="205" s="1"/>
  <c r="A135" i="205" s="1"/>
  <c r="A136" i="205" s="1"/>
  <c r="A137" i="205" s="1"/>
  <c r="A138" i="205" s="1"/>
  <c r="A139" i="205" s="1"/>
  <c r="A140" i="205" s="1"/>
  <c r="A141" i="205" s="1"/>
  <c r="A142" i="205" s="1"/>
  <c r="A143" i="205" s="1"/>
  <c r="A144" i="205" s="1"/>
  <c r="A145" i="205" s="1"/>
  <c r="A146" i="205" s="1"/>
  <c r="A147" i="205" s="1"/>
  <c r="A148" i="205" s="1"/>
  <c r="N103" i="205"/>
  <c r="J103" i="205"/>
  <c r="H103" i="205"/>
  <c r="J102" i="205"/>
  <c r="H102" i="205"/>
  <c r="J101" i="205"/>
  <c r="D100" i="205"/>
  <c r="C100" i="205"/>
  <c r="B100" i="205"/>
  <c r="D99" i="205"/>
  <c r="C99" i="205"/>
  <c r="B99" i="205"/>
  <c r="D98" i="205"/>
  <c r="C98" i="205"/>
  <c r="B98" i="205"/>
  <c r="D97" i="205"/>
  <c r="C97" i="205"/>
  <c r="B97" i="205"/>
  <c r="D96" i="205"/>
  <c r="C96" i="205"/>
  <c r="B96" i="205"/>
  <c r="D95" i="205"/>
  <c r="C95" i="205"/>
  <c r="B95" i="205"/>
  <c r="D94" i="205"/>
  <c r="C94" i="205"/>
  <c r="B94" i="205"/>
  <c r="D93" i="205"/>
  <c r="C93" i="205"/>
  <c r="B93" i="205"/>
  <c r="D92" i="205"/>
  <c r="C92" i="205"/>
  <c r="B92" i="205"/>
  <c r="D91" i="205"/>
  <c r="C91" i="205"/>
  <c r="B91" i="205"/>
  <c r="D90" i="205"/>
  <c r="C90" i="205"/>
  <c r="B90" i="205"/>
  <c r="D89" i="205"/>
  <c r="C89" i="205"/>
  <c r="B89" i="205"/>
  <c r="D88" i="205"/>
  <c r="C88" i="205"/>
  <c r="B88" i="205"/>
  <c r="D87" i="205"/>
  <c r="C87" i="205"/>
  <c r="B87" i="205"/>
  <c r="D86" i="205"/>
  <c r="C86" i="205"/>
  <c r="B86" i="205"/>
  <c r="D85" i="205"/>
  <c r="C85" i="205"/>
  <c r="B85" i="205"/>
  <c r="D84" i="205"/>
  <c r="C84" i="205"/>
  <c r="B84" i="205"/>
  <c r="D83" i="205"/>
  <c r="C83" i="205"/>
  <c r="B83" i="205"/>
  <c r="D82" i="205"/>
  <c r="C82" i="205"/>
  <c r="B82" i="205"/>
  <c r="D81" i="205"/>
  <c r="C81" i="205"/>
  <c r="B81" i="205"/>
  <c r="D80" i="205"/>
  <c r="C80" i="205"/>
  <c r="B80" i="205"/>
  <c r="D79" i="205"/>
  <c r="C79" i="205"/>
  <c r="B79" i="205"/>
  <c r="D78" i="205"/>
  <c r="C78" i="205"/>
  <c r="B78" i="205"/>
  <c r="D77" i="205"/>
  <c r="C77" i="205"/>
  <c r="B77" i="205"/>
  <c r="D76" i="205"/>
  <c r="C76" i="205"/>
  <c r="B76" i="205"/>
  <c r="D75" i="205"/>
  <c r="C75" i="205"/>
  <c r="B75" i="205"/>
  <c r="D74" i="205"/>
  <c r="C74" i="205"/>
  <c r="B74" i="205"/>
  <c r="D73" i="205"/>
  <c r="C73" i="205"/>
  <c r="B73" i="205"/>
  <c r="D72" i="205"/>
  <c r="C72" i="205"/>
  <c r="B72" i="205"/>
  <c r="D71" i="205"/>
  <c r="C71" i="205"/>
  <c r="B71" i="205"/>
  <c r="D70" i="205"/>
  <c r="C70" i="205"/>
  <c r="B70" i="205"/>
  <c r="D69" i="205"/>
  <c r="C69" i="205"/>
  <c r="B69" i="205"/>
  <c r="D68" i="205"/>
  <c r="C68" i="205"/>
  <c r="B68" i="205"/>
  <c r="D67" i="205"/>
  <c r="C67" i="205"/>
  <c r="B67" i="205"/>
  <c r="D66" i="205"/>
  <c r="C66" i="205"/>
  <c r="B66" i="205"/>
  <c r="D65" i="205"/>
  <c r="C65" i="205"/>
  <c r="B65" i="205"/>
  <c r="D64" i="205"/>
  <c r="C64" i="205"/>
  <c r="B64" i="205"/>
  <c r="D63" i="205"/>
  <c r="C63" i="205"/>
  <c r="B63" i="205"/>
  <c r="D62" i="205"/>
  <c r="C62" i="205"/>
  <c r="B62" i="205"/>
  <c r="D61" i="205"/>
  <c r="C61" i="205"/>
  <c r="B61" i="205"/>
  <c r="D60" i="205"/>
  <c r="C60" i="205"/>
  <c r="B60" i="205"/>
  <c r="D59" i="205"/>
  <c r="C59" i="205"/>
  <c r="B59" i="205"/>
  <c r="D58" i="205"/>
  <c r="C58" i="205"/>
  <c r="B58" i="205"/>
  <c r="D57" i="205"/>
  <c r="C57" i="205"/>
  <c r="B57" i="205"/>
  <c r="N54" i="205"/>
  <c r="J54" i="205"/>
  <c r="H54" i="205"/>
  <c r="J53" i="205"/>
  <c r="H53" i="205"/>
  <c r="J52" i="205"/>
  <c r="D21" i="205" a="1"/>
  <c r="D20" i="205" a="1"/>
  <c r="D19" i="205" a="1"/>
  <c r="D14" i="205" a="1"/>
  <c r="D103" i="205" s="1"/>
  <c r="D13" i="205" a="1"/>
  <c r="D12" i="205" a="1"/>
  <c r="D101" i="205" s="1"/>
  <c r="D10" i="205" a="1"/>
  <c r="D8" i="205"/>
  <c r="D7" i="205"/>
  <c r="D6" i="205"/>
  <c r="D5" i="205"/>
  <c r="N3" i="205"/>
  <c r="N1" i="205"/>
  <c r="G107" i="204"/>
  <c r="I107" i="204" s="1"/>
  <c r="G108" i="204"/>
  <c r="I108" i="204" s="1"/>
  <c r="G109" i="204"/>
  <c r="I109" i="204" s="1"/>
  <c r="G110" i="204"/>
  <c r="I110" i="204" s="1"/>
  <c r="G111" i="204"/>
  <c r="I111" i="204" s="1"/>
  <c r="G112" i="204"/>
  <c r="I112" i="204" s="1"/>
  <c r="G113" i="204"/>
  <c r="I113" i="204" s="1"/>
  <c r="G114" i="204"/>
  <c r="I114" i="204" s="1"/>
  <c r="G115" i="204"/>
  <c r="I115" i="204" s="1"/>
  <c r="G116" i="204"/>
  <c r="I116" i="204" s="1"/>
  <c r="G117" i="204"/>
  <c r="I117" i="204" s="1"/>
  <c r="G118" i="204"/>
  <c r="I118" i="204" s="1"/>
  <c r="G119" i="204"/>
  <c r="I119" i="204" s="1"/>
  <c r="G120" i="204"/>
  <c r="I120" i="204" s="1"/>
  <c r="G121" i="204"/>
  <c r="I121" i="204" s="1"/>
  <c r="G122" i="204"/>
  <c r="I122" i="204" s="1"/>
  <c r="G123" i="204"/>
  <c r="I123" i="204" s="1"/>
  <c r="G124" i="204"/>
  <c r="I124" i="204" s="1"/>
  <c r="G125" i="204"/>
  <c r="I125" i="204" s="1"/>
  <c r="G126" i="204"/>
  <c r="I126" i="204" s="1"/>
  <c r="G127" i="204"/>
  <c r="I127" i="204" s="1"/>
  <c r="G128" i="204"/>
  <c r="I128" i="204" s="1"/>
  <c r="G129" i="204"/>
  <c r="I129" i="204" s="1"/>
  <c r="G130" i="204"/>
  <c r="I130" i="204" s="1"/>
  <c r="G131" i="204"/>
  <c r="I131" i="204" s="1"/>
  <c r="G132" i="204"/>
  <c r="I132" i="204" s="1"/>
  <c r="G133" i="204"/>
  <c r="I133" i="204" s="1"/>
  <c r="G134" i="204"/>
  <c r="I134" i="204" s="1"/>
  <c r="G135" i="204"/>
  <c r="I135" i="204" s="1"/>
  <c r="G136" i="204"/>
  <c r="I136" i="204" s="1"/>
  <c r="G137" i="204"/>
  <c r="I137" i="204" s="1"/>
  <c r="G138" i="204"/>
  <c r="I138" i="204" s="1"/>
  <c r="G139" i="204"/>
  <c r="I139" i="204" s="1"/>
  <c r="G140" i="204"/>
  <c r="I140" i="204" s="1"/>
  <c r="G141" i="204"/>
  <c r="I141" i="204" s="1"/>
  <c r="G142" i="204"/>
  <c r="I142" i="204" s="1"/>
  <c r="G143" i="204"/>
  <c r="I143" i="204" s="1"/>
  <c r="G144" i="204"/>
  <c r="I144" i="204" s="1"/>
  <c r="G145" i="204"/>
  <c r="I145" i="204" s="1"/>
  <c r="G146" i="204"/>
  <c r="I146" i="204" s="1"/>
  <c r="G147" i="204"/>
  <c r="I147" i="204" s="1"/>
  <c r="G148" i="204"/>
  <c r="I148" i="204" s="1"/>
  <c r="G106" i="204"/>
  <c r="I106" i="204" s="1"/>
  <c r="G58" i="204"/>
  <c r="I58" i="204" s="1"/>
  <c r="G59" i="204"/>
  <c r="I59" i="204" s="1"/>
  <c r="G60" i="204"/>
  <c r="I60" i="204" s="1"/>
  <c r="G61" i="204"/>
  <c r="I61" i="204" s="1"/>
  <c r="G62" i="204"/>
  <c r="I62" i="204" s="1"/>
  <c r="G63" i="204"/>
  <c r="I63" i="204" s="1"/>
  <c r="G64" i="204"/>
  <c r="I64" i="204" s="1"/>
  <c r="G65" i="204"/>
  <c r="I65" i="204" s="1"/>
  <c r="G66" i="204"/>
  <c r="I66" i="204" s="1"/>
  <c r="G67" i="204"/>
  <c r="I67" i="204" s="1"/>
  <c r="G68" i="204"/>
  <c r="I68" i="204" s="1"/>
  <c r="G69" i="204"/>
  <c r="I69" i="204" s="1"/>
  <c r="G70" i="204"/>
  <c r="I70" i="204" s="1"/>
  <c r="G71" i="204"/>
  <c r="I71" i="204" s="1"/>
  <c r="G72" i="204"/>
  <c r="I72" i="204" s="1"/>
  <c r="G73" i="204"/>
  <c r="I73" i="204" s="1"/>
  <c r="G74" i="204"/>
  <c r="I74" i="204" s="1"/>
  <c r="G75" i="204"/>
  <c r="I75" i="204" s="1"/>
  <c r="G76" i="204"/>
  <c r="I76" i="204" s="1"/>
  <c r="G77" i="204"/>
  <c r="I77" i="204" s="1"/>
  <c r="G78" i="204"/>
  <c r="I78" i="204" s="1"/>
  <c r="G79" i="204"/>
  <c r="I79" i="204" s="1"/>
  <c r="G80" i="204"/>
  <c r="I80" i="204" s="1"/>
  <c r="G81" i="204"/>
  <c r="I81" i="204" s="1"/>
  <c r="G82" i="204"/>
  <c r="I82" i="204" s="1"/>
  <c r="G83" i="204"/>
  <c r="I83" i="204" s="1"/>
  <c r="G84" i="204"/>
  <c r="I84" i="204" s="1"/>
  <c r="G85" i="204"/>
  <c r="I85" i="204" s="1"/>
  <c r="G86" i="204"/>
  <c r="I86" i="204" s="1"/>
  <c r="G87" i="204"/>
  <c r="I87" i="204" s="1"/>
  <c r="G88" i="204"/>
  <c r="I88" i="204" s="1"/>
  <c r="G89" i="204"/>
  <c r="I89" i="204" s="1"/>
  <c r="G90" i="204"/>
  <c r="I90" i="204" s="1"/>
  <c r="G91" i="204"/>
  <c r="I91" i="204" s="1"/>
  <c r="G92" i="204"/>
  <c r="I92" i="204" s="1"/>
  <c r="G93" i="204"/>
  <c r="I93" i="204" s="1"/>
  <c r="G94" i="204"/>
  <c r="I94" i="204" s="1"/>
  <c r="G95" i="204"/>
  <c r="I95" i="204" s="1"/>
  <c r="G96" i="204"/>
  <c r="I96" i="204" s="1"/>
  <c r="G97" i="204"/>
  <c r="I97" i="204" s="1"/>
  <c r="G98" i="204"/>
  <c r="I98" i="204" s="1"/>
  <c r="G99" i="204"/>
  <c r="I99" i="204" s="1"/>
  <c r="G100" i="204"/>
  <c r="I100" i="204" s="1"/>
  <c r="G57" i="204"/>
  <c r="I57" i="204" s="1"/>
  <c r="M149" i="204"/>
  <c r="H149" i="204"/>
  <c r="D148" i="204"/>
  <c r="C148" i="204"/>
  <c r="B148" i="204"/>
  <c r="D147" i="204"/>
  <c r="C147" i="204"/>
  <c r="B147" i="204"/>
  <c r="D146" i="204"/>
  <c r="C146" i="204"/>
  <c r="B146" i="204"/>
  <c r="D145" i="204"/>
  <c r="C145" i="204"/>
  <c r="B145" i="204"/>
  <c r="D144" i="204"/>
  <c r="C144" i="204"/>
  <c r="B144" i="204"/>
  <c r="D143" i="204"/>
  <c r="C143" i="204"/>
  <c r="B143" i="204"/>
  <c r="D142" i="204"/>
  <c r="C142" i="204"/>
  <c r="B142" i="204"/>
  <c r="D141" i="204"/>
  <c r="C141" i="204"/>
  <c r="B141" i="204"/>
  <c r="D140" i="204"/>
  <c r="C140" i="204"/>
  <c r="B140" i="204"/>
  <c r="D139" i="204"/>
  <c r="C139" i="204"/>
  <c r="B139" i="204"/>
  <c r="D138" i="204"/>
  <c r="C138" i="204"/>
  <c r="B138" i="204"/>
  <c r="D137" i="204"/>
  <c r="C137" i="204"/>
  <c r="B137" i="204"/>
  <c r="D136" i="204"/>
  <c r="C136" i="204"/>
  <c r="B136" i="204"/>
  <c r="D135" i="204"/>
  <c r="C135" i="204"/>
  <c r="B135" i="204"/>
  <c r="D134" i="204"/>
  <c r="C134" i="204"/>
  <c r="B134" i="204"/>
  <c r="D133" i="204"/>
  <c r="C133" i="204"/>
  <c r="B133" i="204"/>
  <c r="D132" i="204"/>
  <c r="C132" i="204"/>
  <c r="B132" i="204"/>
  <c r="D131" i="204"/>
  <c r="C131" i="204"/>
  <c r="B131" i="204"/>
  <c r="D130" i="204"/>
  <c r="C130" i="204"/>
  <c r="B130" i="204"/>
  <c r="D129" i="204"/>
  <c r="C129" i="204"/>
  <c r="B129" i="204"/>
  <c r="D128" i="204"/>
  <c r="C128" i="204"/>
  <c r="B128" i="204"/>
  <c r="D127" i="204"/>
  <c r="C127" i="204"/>
  <c r="B127" i="204"/>
  <c r="D126" i="204"/>
  <c r="C126" i="204"/>
  <c r="B126" i="204"/>
  <c r="D125" i="204"/>
  <c r="C125" i="204"/>
  <c r="B125" i="204"/>
  <c r="D124" i="204"/>
  <c r="C124" i="204"/>
  <c r="B124" i="204"/>
  <c r="D123" i="204"/>
  <c r="C123" i="204"/>
  <c r="B123" i="204"/>
  <c r="D122" i="204"/>
  <c r="C122" i="204"/>
  <c r="B122" i="204"/>
  <c r="D121" i="204"/>
  <c r="C121" i="204"/>
  <c r="B121" i="204"/>
  <c r="D120" i="204"/>
  <c r="C120" i="204"/>
  <c r="B120" i="204"/>
  <c r="D119" i="204"/>
  <c r="C119" i="204"/>
  <c r="B119" i="204"/>
  <c r="D118" i="204"/>
  <c r="C118" i="204"/>
  <c r="B118" i="204"/>
  <c r="D117" i="204"/>
  <c r="C117" i="204"/>
  <c r="B117" i="204"/>
  <c r="D116" i="204"/>
  <c r="C116" i="204"/>
  <c r="B116" i="204"/>
  <c r="D115" i="204"/>
  <c r="C115" i="204"/>
  <c r="B115" i="204"/>
  <c r="D114" i="204"/>
  <c r="C114" i="204"/>
  <c r="B114" i="204"/>
  <c r="D113" i="204"/>
  <c r="C113" i="204"/>
  <c r="B113" i="204"/>
  <c r="D112" i="204"/>
  <c r="C112" i="204"/>
  <c r="B112" i="204"/>
  <c r="D111" i="204"/>
  <c r="C111" i="204"/>
  <c r="B111" i="204"/>
  <c r="D110" i="204"/>
  <c r="C110" i="204"/>
  <c r="B110" i="204"/>
  <c r="D109" i="204"/>
  <c r="C109" i="204"/>
  <c r="B109" i="204"/>
  <c r="D108" i="204"/>
  <c r="C108" i="204"/>
  <c r="B108" i="204"/>
  <c r="D107" i="204"/>
  <c r="C107" i="204"/>
  <c r="B107" i="204"/>
  <c r="D106" i="204"/>
  <c r="C106" i="204"/>
  <c r="B106" i="204"/>
  <c r="A106" i="204"/>
  <c r="A107" i="204" s="1"/>
  <c r="A108" i="204" s="1"/>
  <c r="A109" i="204" s="1"/>
  <c r="A110" i="204" s="1"/>
  <c r="A111" i="204" s="1"/>
  <c r="A112" i="204" s="1"/>
  <c r="A113" i="204" s="1"/>
  <c r="A114" i="204" s="1"/>
  <c r="A115" i="204" s="1"/>
  <c r="A116" i="204" s="1"/>
  <c r="A117" i="204" s="1"/>
  <c r="A118" i="204" s="1"/>
  <c r="A119" i="204" s="1"/>
  <c r="A120" i="204" s="1"/>
  <c r="A121" i="204" s="1"/>
  <c r="A122" i="204" s="1"/>
  <c r="A123" i="204" s="1"/>
  <c r="A124" i="204" s="1"/>
  <c r="A125" i="204" s="1"/>
  <c r="A126" i="204" s="1"/>
  <c r="A127" i="204" s="1"/>
  <c r="A128" i="204" s="1"/>
  <c r="A129" i="204" s="1"/>
  <c r="A130" i="204" s="1"/>
  <c r="A131" i="204" s="1"/>
  <c r="A132" i="204" s="1"/>
  <c r="A133" i="204" s="1"/>
  <c r="A134" i="204" s="1"/>
  <c r="A135" i="204" s="1"/>
  <c r="A136" i="204" s="1"/>
  <c r="A137" i="204" s="1"/>
  <c r="A138" i="204" s="1"/>
  <c r="A139" i="204" s="1"/>
  <c r="A140" i="204" s="1"/>
  <c r="A141" i="204" s="1"/>
  <c r="A142" i="204" s="1"/>
  <c r="A143" i="204" s="1"/>
  <c r="A144" i="204" s="1"/>
  <c r="A145" i="204" s="1"/>
  <c r="A146" i="204" s="1"/>
  <c r="A147" i="204" s="1"/>
  <c r="A148" i="204" s="1"/>
  <c r="N103" i="204"/>
  <c r="J103" i="204"/>
  <c r="H103" i="204"/>
  <c r="J102" i="204"/>
  <c r="H102" i="204"/>
  <c r="J101" i="204"/>
  <c r="D100" i="204"/>
  <c r="C100" i="204"/>
  <c r="B100" i="204"/>
  <c r="D99" i="204"/>
  <c r="C99" i="204"/>
  <c r="B99" i="204"/>
  <c r="D98" i="204"/>
  <c r="C98" i="204"/>
  <c r="B98" i="204"/>
  <c r="D97" i="204"/>
  <c r="C97" i="204"/>
  <c r="B97" i="204"/>
  <c r="D96" i="204"/>
  <c r="C96" i="204"/>
  <c r="B96" i="204"/>
  <c r="D95" i="204"/>
  <c r="C95" i="204"/>
  <c r="B95" i="204"/>
  <c r="D94" i="204"/>
  <c r="C94" i="204"/>
  <c r="B94" i="204"/>
  <c r="D93" i="204"/>
  <c r="C93" i="204"/>
  <c r="B93" i="204"/>
  <c r="D92" i="204"/>
  <c r="C92" i="204"/>
  <c r="B92" i="204"/>
  <c r="D91" i="204"/>
  <c r="C91" i="204"/>
  <c r="B91" i="204"/>
  <c r="D90" i="204"/>
  <c r="C90" i="204"/>
  <c r="B90" i="204"/>
  <c r="D89" i="204"/>
  <c r="C89" i="204"/>
  <c r="B89" i="204"/>
  <c r="D88" i="204"/>
  <c r="C88" i="204"/>
  <c r="B88" i="204"/>
  <c r="D87" i="204"/>
  <c r="C87" i="204"/>
  <c r="B87" i="204"/>
  <c r="D86" i="204"/>
  <c r="C86" i="204"/>
  <c r="B86" i="204"/>
  <c r="D85" i="204"/>
  <c r="C85" i="204"/>
  <c r="B85" i="204"/>
  <c r="D84" i="204"/>
  <c r="C84" i="204"/>
  <c r="B84" i="204"/>
  <c r="D83" i="204"/>
  <c r="C83" i="204"/>
  <c r="B83" i="204"/>
  <c r="D82" i="204"/>
  <c r="C82" i="204"/>
  <c r="B82" i="204"/>
  <c r="D81" i="204"/>
  <c r="C81" i="204"/>
  <c r="B81" i="204"/>
  <c r="D80" i="204"/>
  <c r="C80" i="204"/>
  <c r="B80" i="204"/>
  <c r="D79" i="204"/>
  <c r="C79" i="204"/>
  <c r="B79" i="204"/>
  <c r="D78" i="204"/>
  <c r="C78" i="204"/>
  <c r="B78" i="204"/>
  <c r="D77" i="204"/>
  <c r="C77" i="204"/>
  <c r="B77" i="204"/>
  <c r="D76" i="204"/>
  <c r="C76" i="204"/>
  <c r="B76" i="204"/>
  <c r="D75" i="204"/>
  <c r="C75" i="204"/>
  <c r="B75" i="204"/>
  <c r="D74" i="204"/>
  <c r="C74" i="204"/>
  <c r="B74" i="204"/>
  <c r="D73" i="204"/>
  <c r="C73" i="204"/>
  <c r="B73" i="204"/>
  <c r="D72" i="204"/>
  <c r="C72" i="204"/>
  <c r="B72" i="204"/>
  <c r="D71" i="204"/>
  <c r="C71" i="204"/>
  <c r="B71" i="204"/>
  <c r="D70" i="204"/>
  <c r="C70" i="204"/>
  <c r="B70" i="204"/>
  <c r="D69" i="204"/>
  <c r="C69" i="204"/>
  <c r="B69" i="204"/>
  <c r="D68" i="204"/>
  <c r="C68" i="204"/>
  <c r="B68" i="204"/>
  <c r="D67" i="204"/>
  <c r="C67" i="204"/>
  <c r="B67" i="204"/>
  <c r="D66" i="204"/>
  <c r="C66" i="204"/>
  <c r="B66" i="204"/>
  <c r="D65" i="204"/>
  <c r="C65" i="204"/>
  <c r="B65" i="204"/>
  <c r="D64" i="204"/>
  <c r="C64" i="204"/>
  <c r="B64" i="204"/>
  <c r="D63" i="204"/>
  <c r="C63" i="204"/>
  <c r="B63" i="204"/>
  <c r="D62" i="204"/>
  <c r="C62" i="204"/>
  <c r="B62" i="204"/>
  <c r="D61" i="204"/>
  <c r="C61" i="204"/>
  <c r="B61" i="204"/>
  <c r="D60" i="204"/>
  <c r="C60" i="204"/>
  <c r="B60" i="204"/>
  <c r="D59" i="204"/>
  <c r="C59" i="204"/>
  <c r="B59" i="204"/>
  <c r="D58" i="204"/>
  <c r="C58" i="204"/>
  <c r="B58" i="204"/>
  <c r="D57" i="204"/>
  <c r="C57" i="204"/>
  <c r="B57" i="204"/>
  <c r="N54" i="204"/>
  <c r="J54" i="204"/>
  <c r="H54" i="204"/>
  <c r="J53" i="204"/>
  <c r="H53" i="204"/>
  <c r="J52" i="204"/>
  <c r="D21" i="204" a="1"/>
  <c r="D20" i="204" a="1"/>
  <c r="D19" i="204" a="1"/>
  <c r="D14" i="204" a="1"/>
  <c r="D54" i="204" s="1"/>
  <c r="D13" i="204" a="1"/>
  <c r="D12" i="204" a="1"/>
  <c r="D10" i="204" a="1"/>
  <c r="D8" i="204"/>
  <c r="D7" i="204"/>
  <c r="D6" i="204"/>
  <c r="D5" i="204"/>
  <c r="N3" i="204"/>
  <c r="N1" i="204"/>
  <c r="G107" i="203"/>
  <c r="I107" i="203" s="1"/>
  <c r="G108" i="203"/>
  <c r="I108" i="203" s="1"/>
  <c r="G109" i="203"/>
  <c r="I109" i="203" s="1"/>
  <c r="G110" i="203"/>
  <c r="I110" i="203" s="1"/>
  <c r="G111" i="203"/>
  <c r="I111" i="203" s="1"/>
  <c r="G112" i="203"/>
  <c r="I112" i="203" s="1"/>
  <c r="G113" i="203"/>
  <c r="I113" i="203" s="1"/>
  <c r="G114" i="203"/>
  <c r="I114" i="203" s="1"/>
  <c r="G115" i="203"/>
  <c r="I115" i="203" s="1"/>
  <c r="G116" i="203"/>
  <c r="I116" i="203" s="1"/>
  <c r="G117" i="203"/>
  <c r="I117" i="203" s="1"/>
  <c r="G118" i="203"/>
  <c r="I118" i="203" s="1"/>
  <c r="G119" i="203"/>
  <c r="I119" i="203" s="1"/>
  <c r="G120" i="203"/>
  <c r="I120" i="203" s="1"/>
  <c r="G121" i="203"/>
  <c r="I121" i="203" s="1"/>
  <c r="G122" i="203"/>
  <c r="I122" i="203" s="1"/>
  <c r="G123" i="203"/>
  <c r="I123" i="203" s="1"/>
  <c r="G124" i="203"/>
  <c r="I124" i="203" s="1"/>
  <c r="G125" i="203"/>
  <c r="I125" i="203" s="1"/>
  <c r="G126" i="203"/>
  <c r="I126" i="203" s="1"/>
  <c r="G127" i="203"/>
  <c r="I127" i="203" s="1"/>
  <c r="G128" i="203"/>
  <c r="I128" i="203" s="1"/>
  <c r="G129" i="203"/>
  <c r="I129" i="203" s="1"/>
  <c r="G130" i="203"/>
  <c r="I130" i="203" s="1"/>
  <c r="G131" i="203"/>
  <c r="I131" i="203" s="1"/>
  <c r="G132" i="203"/>
  <c r="I132" i="203" s="1"/>
  <c r="G133" i="203"/>
  <c r="I133" i="203" s="1"/>
  <c r="G134" i="203"/>
  <c r="I134" i="203" s="1"/>
  <c r="G135" i="203"/>
  <c r="I135" i="203" s="1"/>
  <c r="G136" i="203"/>
  <c r="I136" i="203" s="1"/>
  <c r="G137" i="203"/>
  <c r="I137" i="203" s="1"/>
  <c r="G138" i="203"/>
  <c r="I138" i="203" s="1"/>
  <c r="G139" i="203"/>
  <c r="I139" i="203" s="1"/>
  <c r="G140" i="203"/>
  <c r="I140" i="203" s="1"/>
  <c r="G141" i="203"/>
  <c r="I141" i="203" s="1"/>
  <c r="G142" i="203"/>
  <c r="I142" i="203" s="1"/>
  <c r="G143" i="203"/>
  <c r="I143" i="203" s="1"/>
  <c r="G144" i="203"/>
  <c r="I144" i="203" s="1"/>
  <c r="G145" i="203"/>
  <c r="I145" i="203" s="1"/>
  <c r="G146" i="203"/>
  <c r="I146" i="203" s="1"/>
  <c r="G147" i="203"/>
  <c r="I147" i="203" s="1"/>
  <c r="G148" i="203"/>
  <c r="I148" i="203" s="1"/>
  <c r="G106" i="203"/>
  <c r="I106" i="203" s="1"/>
  <c r="G58" i="203"/>
  <c r="I58" i="203" s="1"/>
  <c r="G59" i="203"/>
  <c r="G60" i="203"/>
  <c r="I60" i="203" s="1"/>
  <c r="G61" i="203"/>
  <c r="I61" i="203" s="1"/>
  <c r="G62" i="203"/>
  <c r="I62" i="203" s="1"/>
  <c r="G63" i="203"/>
  <c r="I63" i="203" s="1"/>
  <c r="G64" i="203"/>
  <c r="I64" i="203" s="1"/>
  <c r="G65" i="203"/>
  <c r="I65" i="203" s="1"/>
  <c r="G66" i="203"/>
  <c r="I66" i="203" s="1"/>
  <c r="G67" i="203"/>
  <c r="I67" i="203" s="1"/>
  <c r="G68" i="203"/>
  <c r="I68" i="203" s="1"/>
  <c r="G69" i="203"/>
  <c r="I69" i="203" s="1"/>
  <c r="G70" i="203"/>
  <c r="I70" i="203" s="1"/>
  <c r="G71" i="203"/>
  <c r="I71" i="203" s="1"/>
  <c r="G72" i="203"/>
  <c r="I72" i="203" s="1"/>
  <c r="G73" i="203"/>
  <c r="I73" i="203" s="1"/>
  <c r="G74" i="203"/>
  <c r="I74" i="203" s="1"/>
  <c r="G75" i="203"/>
  <c r="I75" i="203" s="1"/>
  <c r="G76" i="203"/>
  <c r="I76" i="203" s="1"/>
  <c r="G77" i="203"/>
  <c r="I77" i="203" s="1"/>
  <c r="G78" i="203"/>
  <c r="I78" i="203" s="1"/>
  <c r="G79" i="203"/>
  <c r="I79" i="203" s="1"/>
  <c r="G80" i="203"/>
  <c r="I80" i="203" s="1"/>
  <c r="G81" i="203"/>
  <c r="I81" i="203" s="1"/>
  <c r="G82" i="203"/>
  <c r="I82" i="203" s="1"/>
  <c r="G83" i="203"/>
  <c r="I83" i="203" s="1"/>
  <c r="G84" i="203"/>
  <c r="I84" i="203" s="1"/>
  <c r="G85" i="203"/>
  <c r="I85" i="203" s="1"/>
  <c r="G86" i="203"/>
  <c r="I86" i="203" s="1"/>
  <c r="G87" i="203"/>
  <c r="I87" i="203" s="1"/>
  <c r="G88" i="203"/>
  <c r="I88" i="203" s="1"/>
  <c r="G89" i="203"/>
  <c r="I89" i="203" s="1"/>
  <c r="G90" i="203"/>
  <c r="I90" i="203" s="1"/>
  <c r="G91" i="203"/>
  <c r="I91" i="203" s="1"/>
  <c r="G92" i="203"/>
  <c r="I92" i="203" s="1"/>
  <c r="G93" i="203"/>
  <c r="I93" i="203" s="1"/>
  <c r="G94" i="203"/>
  <c r="I94" i="203" s="1"/>
  <c r="G95" i="203"/>
  <c r="I95" i="203" s="1"/>
  <c r="G96" i="203"/>
  <c r="I96" i="203" s="1"/>
  <c r="G97" i="203"/>
  <c r="I97" i="203" s="1"/>
  <c r="G98" i="203"/>
  <c r="I98" i="203" s="1"/>
  <c r="G99" i="203"/>
  <c r="I99" i="203" s="1"/>
  <c r="G100" i="203"/>
  <c r="I100" i="203" s="1"/>
  <c r="G57" i="203"/>
  <c r="M149" i="203"/>
  <c r="H149" i="203"/>
  <c r="D148" i="203"/>
  <c r="C148" i="203"/>
  <c r="B148" i="203"/>
  <c r="D147" i="203"/>
  <c r="C147" i="203"/>
  <c r="B147" i="203"/>
  <c r="D146" i="203"/>
  <c r="C146" i="203"/>
  <c r="B146" i="203"/>
  <c r="D145" i="203"/>
  <c r="C145" i="203"/>
  <c r="B145" i="203"/>
  <c r="D144" i="203"/>
  <c r="C144" i="203"/>
  <c r="B144" i="203"/>
  <c r="D143" i="203"/>
  <c r="C143" i="203"/>
  <c r="B143" i="203"/>
  <c r="D142" i="203"/>
  <c r="C142" i="203"/>
  <c r="B142" i="203"/>
  <c r="D141" i="203"/>
  <c r="C141" i="203"/>
  <c r="B141" i="203"/>
  <c r="D140" i="203"/>
  <c r="C140" i="203"/>
  <c r="B140" i="203"/>
  <c r="D139" i="203"/>
  <c r="C139" i="203"/>
  <c r="B139" i="203"/>
  <c r="D138" i="203"/>
  <c r="C138" i="203"/>
  <c r="B138" i="203"/>
  <c r="D137" i="203"/>
  <c r="C137" i="203"/>
  <c r="B137" i="203"/>
  <c r="D136" i="203"/>
  <c r="C136" i="203"/>
  <c r="B136" i="203"/>
  <c r="D135" i="203"/>
  <c r="C135" i="203"/>
  <c r="B135" i="203"/>
  <c r="D134" i="203"/>
  <c r="C134" i="203"/>
  <c r="B134" i="203"/>
  <c r="D133" i="203"/>
  <c r="C133" i="203"/>
  <c r="B133" i="203"/>
  <c r="D132" i="203"/>
  <c r="C132" i="203"/>
  <c r="B132" i="203"/>
  <c r="D131" i="203"/>
  <c r="C131" i="203"/>
  <c r="B131" i="203"/>
  <c r="D130" i="203"/>
  <c r="C130" i="203"/>
  <c r="B130" i="203"/>
  <c r="D129" i="203"/>
  <c r="C129" i="203"/>
  <c r="B129" i="203"/>
  <c r="D128" i="203"/>
  <c r="C128" i="203"/>
  <c r="B128" i="203"/>
  <c r="D127" i="203"/>
  <c r="C127" i="203"/>
  <c r="B127" i="203"/>
  <c r="D126" i="203"/>
  <c r="C126" i="203"/>
  <c r="B126" i="203"/>
  <c r="D125" i="203"/>
  <c r="C125" i="203"/>
  <c r="B125" i="203"/>
  <c r="D124" i="203"/>
  <c r="C124" i="203"/>
  <c r="B124" i="203"/>
  <c r="D123" i="203"/>
  <c r="C123" i="203"/>
  <c r="B123" i="203"/>
  <c r="D122" i="203"/>
  <c r="C122" i="203"/>
  <c r="B122" i="203"/>
  <c r="D121" i="203"/>
  <c r="C121" i="203"/>
  <c r="B121" i="203"/>
  <c r="D120" i="203"/>
  <c r="C120" i="203"/>
  <c r="B120" i="203"/>
  <c r="D119" i="203"/>
  <c r="C119" i="203"/>
  <c r="B119" i="203"/>
  <c r="D118" i="203"/>
  <c r="C118" i="203"/>
  <c r="B118" i="203"/>
  <c r="D117" i="203"/>
  <c r="C117" i="203"/>
  <c r="B117" i="203"/>
  <c r="D116" i="203"/>
  <c r="C116" i="203"/>
  <c r="B116" i="203"/>
  <c r="D115" i="203"/>
  <c r="C115" i="203"/>
  <c r="B115" i="203"/>
  <c r="D114" i="203"/>
  <c r="C114" i="203"/>
  <c r="B114" i="203"/>
  <c r="D113" i="203"/>
  <c r="C113" i="203"/>
  <c r="B113" i="203"/>
  <c r="D112" i="203"/>
  <c r="C112" i="203"/>
  <c r="B112" i="203"/>
  <c r="D111" i="203"/>
  <c r="C111" i="203"/>
  <c r="B111" i="203"/>
  <c r="D110" i="203"/>
  <c r="C110" i="203"/>
  <c r="B110" i="203"/>
  <c r="D109" i="203"/>
  <c r="C109" i="203"/>
  <c r="B109" i="203"/>
  <c r="D108" i="203"/>
  <c r="C108" i="203"/>
  <c r="B108" i="203"/>
  <c r="D107" i="203"/>
  <c r="C107" i="203"/>
  <c r="B107" i="203"/>
  <c r="D106" i="203"/>
  <c r="C106" i="203"/>
  <c r="B106" i="203"/>
  <c r="A106" i="203"/>
  <c r="A107" i="203" s="1"/>
  <c r="A108" i="203" s="1"/>
  <c r="A109" i="203" s="1"/>
  <c r="A110" i="203" s="1"/>
  <c r="A111" i="203" s="1"/>
  <c r="A112" i="203" s="1"/>
  <c r="A113" i="203" s="1"/>
  <c r="A114" i="203" s="1"/>
  <c r="A115" i="203" s="1"/>
  <c r="A116" i="203" s="1"/>
  <c r="A117" i="203" s="1"/>
  <c r="A118" i="203" s="1"/>
  <c r="A119" i="203" s="1"/>
  <c r="A120" i="203" s="1"/>
  <c r="A121" i="203" s="1"/>
  <c r="A122" i="203" s="1"/>
  <c r="A123" i="203" s="1"/>
  <c r="A124" i="203" s="1"/>
  <c r="A125" i="203" s="1"/>
  <c r="A126" i="203" s="1"/>
  <c r="A127" i="203" s="1"/>
  <c r="A128" i="203" s="1"/>
  <c r="A129" i="203" s="1"/>
  <c r="A130" i="203" s="1"/>
  <c r="A131" i="203" s="1"/>
  <c r="A132" i="203" s="1"/>
  <c r="A133" i="203" s="1"/>
  <c r="A134" i="203" s="1"/>
  <c r="A135" i="203" s="1"/>
  <c r="A136" i="203" s="1"/>
  <c r="A137" i="203" s="1"/>
  <c r="A138" i="203" s="1"/>
  <c r="A139" i="203" s="1"/>
  <c r="A140" i="203" s="1"/>
  <c r="A141" i="203" s="1"/>
  <c r="A142" i="203" s="1"/>
  <c r="A143" i="203" s="1"/>
  <c r="A144" i="203" s="1"/>
  <c r="A145" i="203" s="1"/>
  <c r="A146" i="203" s="1"/>
  <c r="A147" i="203" s="1"/>
  <c r="A148" i="203" s="1"/>
  <c r="N103" i="203"/>
  <c r="J103" i="203"/>
  <c r="H103" i="203"/>
  <c r="J102" i="203"/>
  <c r="H102" i="203"/>
  <c r="J101" i="203"/>
  <c r="D100" i="203"/>
  <c r="C100" i="203"/>
  <c r="B100" i="203"/>
  <c r="D99" i="203"/>
  <c r="C99" i="203"/>
  <c r="B99" i="203"/>
  <c r="D98" i="203"/>
  <c r="C98" i="203"/>
  <c r="B98" i="203"/>
  <c r="D97" i="203"/>
  <c r="C97" i="203"/>
  <c r="B97" i="203"/>
  <c r="D96" i="203"/>
  <c r="C96" i="203"/>
  <c r="B96" i="203"/>
  <c r="D95" i="203"/>
  <c r="C95" i="203"/>
  <c r="B95" i="203"/>
  <c r="D94" i="203"/>
  <c r="C94" i="203"/>
  <c r="B94" i="203"/>
  <c r="D93" i="203"/>
  <c r="C93" i="203"/>
  <c r="B93" i="203"/>
  <c r="D92" i="203"/>
  <c r="C92" i="203"/>
  <c r="B92" i="203"/>
  <c r="D91" i="203"/>
  <c r="C91" i="203"/>
  <c r="B91" i="203"/>
  <c r="D90" i="203"/>
  <c r="C90" i="203"/>
  <c r="B90" i="203"/>
  <c r="D89" i="203"/>
  <c r="C89" i="203"/>
  <c r="B89" i="203"/>
  <c r="D88" i="203"/>
  <c r="C88" i="203"/>
  <c r="B88" i="203"/>
  <c r="D87" i="203"/>
  <c r="C87" i="203"/>
  <c r="B87" i="203"/>
  <c r="D86" i="203"/>
  <c r="C86" i="203"/>
  <c r="B86" i="203"/>
  <c r="D85" i="203"/>
  <c r="C85" i="203"/>
  <c r="B85" i="203"/>
  <c r="D84" i="203"/>
  <c r="C84" i="203"/>
  <c r="B84" i="203"/>
  <c r="D83" i="203"/>
  <c r="C83" i="203"/>
  <c r="B83" i="203"/>
  <c r="D82" i="203"/>
  <c r="C82" i="203"/>
  <c r="B82" i="203"/>
  <c r="D81" i="203"/>
  <c r="C81" i="203"/>
  <c r="B81" i="203"/>
  <c r="D80" i="203"/>
  <c r="C80" i="203"/>
  <c r="B80" i="203"/>
  <c r="D79" i="203"/>
  <c r="C79" i="203"/>
  <c r="B79" i="203"/>
  <c r="D78" i="203"/>
  <c r="C78" i="203"/>
  <c r="B78" i="203"/>
  <c r="D77" i="203"/>
  <c r="C77" i="203"/>
  <c r="B77" i="203"/>
  <c r="D76" i="203"/>
  <c r="C76" i="203"/>
  <c r="B76" i="203"/>
  <c r="D75" i="203"/>
  <c r="C75" i="203"/>
  <c r="B75" i="203"/>
  <c r="D74" i="203"/>
  <c r="C74" i="203"/>
  <c r="B74" i="203"/>
  <c r="D73" i="203"/>
  <c r="C73" i="203"/>
  <c r="B73" i="203"/>
  <c r="D72" i="203"/>
  <c r="C72" i="203"/>
  <c r="B72" i="203"/>
  <c r="D71" i="203"/>
  <c r="C71" i="203"/>
  <c r="B71" i="203"/>
  <c r="D70" i="203"/>
  <c r="C70" i="203"/>
  <c r="B70" i="203"/>
  <c r="D69" i="203"/>
  <c r="C69" i="203"/>
  <c r="B69" i="203"/>
  <c r="D68" i="203"/>
  <c r="C68" i="203"/>
  <c r="B68" i="203"/>
  <c r="D67" i="203"/>
  <c r="C67" i="203"/>
  <c r="B67" i="203"/>
  <c r="D66" i="203"/>
  <c r="C66" i="203"/>
  <c r="B66" i="203"/>
  <c r="D65" i="203"/>
  <c r="C65" i="203"/>
  <c r="B65" i="203"/>
  <c r="D64" i="203"/>
  <c r="C64" i="203"/>
  <c r="B64" i="203"/>
  <c r="D63" i="203"/>
  <c r="C63" i="203"/>
  <c r="B63" i="203"/>
  <c r="D62" i="203"/>
  <c r="C62" i="203"/>
  <c r="B62" i="203"/>
  <c r="D61" i="203"/>
  <c r="C61" i="203"/>
  <c r="B61" i="203"/>
  <c r="D60" i="203"/>
  <c r="C60" i="203"/>
  <c r="B60" i="203"/>
  <c r="D59" i="203"/>
  <c r="C59" i="203"/>
  <c r="B59" i="203"/>
  <c r="D58" i="203"/>
  <c r="C58" i="203"/>
  <c r="B58" i="203"/>
  <c r="D57" i="203"/>
  <c r="C57" i="203"/>
  <c r="B57" i="203"/>
  <c r="N54" i="203"/>
  <c r="J54" i="203"/>
  <c r="H54" i="203"/>
  <c r="J53" i="203"/>
  <c r="H53" i="203"/>
  <c r="J52" i="203"/>
  <c r="D21" i="203" a="1"/>
  <c r="D20" i="203" a="1"/>
  <c r="D19" i="203" a="1"/>
  <c r="D14" i="203" a="1"/>
  <c r="D103" i="203" s="1"/>
  <c r="D13" i="203" a="1"/>
  <c r="D12" i="203" a="1"/>
  <c r="D10" i="203" a="1"/>
  <c r="D8" i="203"/>
  <c r="D7" i="203"/>
  <c r="D6" i="203"/>
  <c r="D5" i="203"/>
  <c r="N3" i="203"/>
  <c r="N1" i="203"/>
  <c r="G131" i="202"/>
  <c r="I131" i="202" s="1"/>
  <c r="G132" i="202"/>
  <c r="I132" i="202" s="1"/>
  <c r="G133" i="202"/>
  <c r="I133" i="202" s="1"/>
  <c r="G134" i="202"/>
  <c r="I134" i="202" s="1"/>
  <c r="G135" i="202"/>
  <c r="I135" i="202" s="1"/>
  <c r="G136" i="202"/>
  <c r="I136" i="202" s="1"/>
  <c r="G137" i="202"/>
  <c r="I137" i="202" s="1"/>
  <c r="G138" i="202"/>
  <c r="I138" i="202" s="1"/>
  <c r="G139" i="202"/>
  <c r="I139" i="202" s="1"/>
  <c r="G140" i="202"/>
  <c r="I140" i="202" s="1"/>
  <c r="G141" i="202"/>
  <c r="I141" i="202" s="1"/>
  <c r="G142" i="202"/>
  <c r="I142" i="202" s="1"/>
  <c r="G143" i="202"/>
  <c r="I143" i="202" s="1"/>
  <c r="G144" i="202"/>
  <c r="I144" i="202" s="1"/>
  <c r="G145" i="202"/>
  <c r="I145" i="202" s="1"/>
  <c r="G146" i="202"/>
  <c r="I146" i="202" s="1"/>
  <c r="G147" i="202"/>
  <c r="I147" i="202" s="1"/>
  <c r="G148" i="202"/>
  <c r="I148" i="202" s="1"/>
  <c r="G107" i="202"/>
  <c r="I107" i="202" s="1"/>
  <c r="G108" i="202"/>
  <c r="I108" i="202" s="1"/>
  <c r="G109" i="202"/>
  <c r="I109" i="202" s="1"/>
  <c r="G110" i="202"/>
  <c r="I110" i="202" s="1"/>
  <c r="G111" i="202"/>
  <c r="I111" i="202" s="1"/>
  <c r="G112" i="202"/>
  <c r="I112" i="202" s="1"/>
  <c r="G113" i="202"/>
  <c r="I113" i="202" s="1"/>
  <c r="G114" i="202"/>
  <c r="I114" i="202" s="1"/>
  <c r="G115" i="202"/>
  <c r="I115" i="202" s="1"/>
  <c r="G116" i="202"/>
  <c r="I116" i="202" s="1"/>
  <c r="G117" i="202"/>
  <c r="I117" i="202" s="1"/>
  <c r="G118" i="202"/>
  <c r="I118" i="202" s="1"/>
  <c r="G119" i="202"/>
  <c r="I119" i="202" s="1"/>
  <c r="G120" i="202"/>
  <c r="I120" i="202" s="1"/>
  <c r="G121" i="202"/>
  <c r="I121" i="202" s="1"/>
  <c r="G122" i="202"/>
  <c r="I122" i="202" s="1"/>
  <c r="G123" i="202"/>
  <c r="I123" i="202" s="1"/>
  <c r="G124" i="202"/>
  <c r="I124" i="202" s="1"/>
  <c r="G125" i="202"/>
  <c r="I125" i="202" s="1"/>
  <c r="G126" i="202"/>
  <c r="I126" i="202" s="1"/>
  <c r="G127" i="202"/>
  <c r="I127" i="202" s="1"/>
  <c r="G128" i="202"/>
  <c r="I128" i="202" s="1"/>
  <c r="G129" i="202"/>
  <c r="I129" i="202" s="1"/>
  <c r="G130" i="202"/>
  <c r="I130" i="202" s="1"/>
  <c r="G106" i="202"/>
  <c r="I106" i="202" s="1"/>
  <c r="G58" i="202"/>
  <c r="I58" i="202" s="1"/>
  <c r="G59" i="202"/>
  <c r="I59" i="202" s="1"/>
  <c r="G60" i="202"/>
  <c r="I60" i="202" s="1"/>
  <c r="G61" i="202"/>
  <c r="I61" i="202" s="1"/>
  <c r="G62" i="202"/>
  <c r="I62" i="202" s="1"/>
  <c r="G63" i="202"/>
  <c r="I63" i="202" s="1"/>
  <c r="G64" i="202"/>
  <c r="I64" i="202" s="1"/>
  <c r="G65" i="202"/>
  <c r="I65" i="202" s="1"/>
  <c r="G66" i="202"/>
  <c r="I66" i="202" s="1"/>
  <c r="G67" i="202"/>
  <c r="I67" i="202" s="1"/>
  <c r="G68" i="202"/>
  <c r="I68" i="202" s="1"/>
  <c r="G69" i="202"/>
  <c r="I69" i="202" s="1"/>
  <c r="G70" i="202"/>
  <c r="I70" i="202" s="1"/>
  <c r="G71" i="202"/>
  <c r="I71" i="202" s="1"/>
  <c r="G72" i="202"/>
  <c r="I72" i="202" s="1"/>
  <c r="G73" i="202"/>
  <c r="I73" i="202" s="1"/>
  <c r="G74" i="202"/>
  <c r="I74" i="202" s="1"/>
  <c r="G75" i="202"/>
  <c r="I75" i="202" s="1"/>
  <c r="G76" i="202"/>
  <c r="I76" i="202" s="1"/>
  <c r="G77" i="202"/>
  <c r="I77" i="202" s="1"/>
  <c r="G78" i="202"/>
  <c r="I78" i="202" s="1"/>
  <c r="G79" i="202"/>
  <c r="I79" i="202" s="1"/>
  <c r="G80" i="202"/>
  <c r="I80" i="202" s="1"/>
  <c r="G81" i="202"/>
  <c r="I81" i="202" s="1"/>
  <c r="G82" i="202"/>
  <c r="I82" i="202" s="1"/>
  <c r="G83" i="202"/>
  <c r="I83" i="202" s="1"/>
  <c r="G84" i="202"/>
  <c r="I84" i="202" s="1"/>
  <c r="G85" i="202"/>
  <c r="I85" i="202" s="1"/>
  <c r="G86" i="202"/>
  <c r="I86" i="202" s="1"/>
  <c r="G87" i="202"/>
  <c r="I87" i="202" s="1"/>
  <c r="G88" i="202"/>
  <c r="I88" i="202" s="1"/>
  <c r="G89" i="202"/>
  <c r="I89" i="202" s="1"/>
  <c r="G90" i="202"/>
  <c r="I90" i="202" s="1"/>
  <c r="G91" i="202"/>
  <c r="I91" i="202" s="1"/>
  <c r="G92" i="202"/>
  <c r="I92" i="202" s="1"/>
  <c r="G93" i="202"/>
  <c r="I93" i="202" s="1"/>
  <c r="G94" i="202"/>
  <c r="I94" i="202" s="1"/>
  <c r="G95" i="202"/>
  <c r="I95" i="202" s="1"/>
  <c r="G96" i="202"/>
  <c r="I96" i="202" s="1"/>
  <c r="G97" i="202"/>
  <c r="I97" i="202" s="1"/>
  <c r="G98" i="202"/>
  <c r="I98" i="202" s="1"/>
  <c r="G99" i="202"/>
  <c r="I99" i="202" s="1"/>
  <c r="G100" i="202"/>
  <c r="I100" i="202" s="1"/>
  <c r="G57" i="202"/>
  <c r="M149" i="202"/>
  <c r="H149" i="202"/>
  <c r="D148" i="202"/>
  <c r="C148" i="202"/>
  <c r="B148" i="202"/>
  <c r="D147" i="202"/>
  <c r="C147" i="202"/>
  <c r="B147" i="202"/>
  <c r="D146" i="202"/>
  <c r="C146" i="202"/>
  <c r="B146" i="202"/>
  <c r="D145" i="202"/>
  <c r="C145" i="202"/>
  <c r="B145" i="202"/>
  <c r="D144" i="202"/>
  <c r="C144" i="202"/>
  <c r="B144" i="202"/>
  <c r="D143" i="202"/>
  <c r="C143" i="202"/>
  <c r="B143" i="202"/>
  <c r="D142" i="202"/>
  <c r="C142" i="202"/>
  <c r="B142" i="202"/>
  <c r="D141" i="202"/>
  <c r="C141" i="202"/>
  <c r="B141" i="202"/>
  <c r="D140" i="202"/>
  <c r="C140" i="202"/>
  <c r="B140" i="202"/>
  <c r="D139" i="202"/>
  <c r="C139" i="202"/>
  <c r="B139" i="202"/>
  <c r="D138" i="202"/>
  <c r="C138" i="202"/>
  <c r="B138" i="202"/>
  <c r="D137" i="202"/>
  <c r="C137" i="202"/>
  <c r="B137" i="202"/>
  <c r="D136" i="202"/>
  <c r="C136" i="202"/>
  <c r="B136" i="202"/>
  <c r="D135" i="202"/>
  <c r="C135" i="202"/>
  <c r="B135" i="202"/>
  <c r="D134" i="202"/>
  <c r="C134" i="202"/>
  <c r="B134" i="202"/>
  <c r="D133" i="202"/>
  <c r="C133" i="202"/>
  <c r="B133" i="202"/>
  <c r="D132" i="202"/>
  <c r="C132" i="202"/>
  <c r="B132" i="202"/>
  <c r="D131" i="202"/>
  <c r="C131" i="202"/>
  <c r="B131" i="202"/>
  <c r="D130" i="202"/>
  <c r="C130" i="202"/>
  <c r="B130" i="202"/>
  <c r="D129" i="202"/>
  <c r="C129" i="202"/>
  <c r="B129" i="202"/>
  <c r="D128" i="202"/>
  <c r="C128" i="202"/>
  <c r="B128" i="202"/>
  <c r="D127" i="202"/>
  <c r="C127" i="202"/>
  <c r="B127" i="202"/>
  <c r="D126" i="202"/>
  <c r="C126" i="202"/>
  <c r="B126" i="202"/>
  <c r="D125" i="202"/>
  <c r="C125" i="202"/>
  <c r="B125" i="202"/>
  <c r="D124" i="202"/>
  <c r="C124" i="202"/>
  <c r="B124" i="202"/>
  <c r="D123" i="202"/>
  <c r="C123" i="202"/>
  <c r="B123" i="202"/>
  <c r="D122" i="202"/>
  <c r="C122" i="202"/>
  <c r="B122" i="202"/>
  <c r="D121" i="202"/>
  <c r="C121" i="202"/>
  <c r="B121" i="202"/>
  <c r="D120" i="202"/>
  <c r="C120" i="202"/>
  <c r="B120" i="202"/>
  <c r="D119" i="202"/>
  <c r="C119" i="202"/>
  <c r="B119" i="202"/>
  <c r="D118" i="202"/>
  <c r="C118" i="202"/>
  <c r="B118" i="202"/>
  <c r="D117" i="202"/>
  <c r="C117" i="202"/>
  <c r="B117" i="202"/>
  <c r="D116" i="202"/>
  <c r="C116" i="202"/>
  <c r="B116" i="202"/>
  <c r="D115" i="202"/>
  <c r="C115" i="202"/>
  <c r="B115" i="202"/>
  <c r="D114" i="202"/>
  <c r="C114" i="202"/>
  <c r="B114" i="202"/>
  <c r="D113" i="202"/>
  <c r="C113" i="202"/>
  <c r="B113" i="202"/>
  <c r="D112" i="202"/>
  <c r="C112" i="202"/>
  <c r="B112" i="202"/>
  <c r="D111" i="202"/>
  <c r="C111" i="202"/>
  <c r="B111" i="202"/>
  <c r="D110" i="202"/>
  <c r="C110" i="202"/>
  <c r="B110" i="202"/>
  <c r="D109" i="202"/>
  <c r="C109" i="202"/>
  <c r="B109" i="202"/>
  <c r="D108" i="202"/>
  <c r="C108" i="202"/>
  <c r="B108" i="202"/>
  <c r="D107" i="202"/>
  <c r="C107" i="202"/>
  <c r="B107" i="202"/>
  <c r="D106" i="202"/>
  <c r="C106" i="202"/>
  <c r="B106" i="202"/>
  <c r="A106" i="202"/>
  <c r="A107" i="202" s="1"/>
  <c r="A108" i="202" s="1"/>
  <c r="A109" i="202" s="1"/>
  <c r="A110" i="202" s="1"/>
  <c r="A111" i="202" s="1"/>
  <c r="A112" i="202" s="1"/>
  <c r="A113" i="202" s="1"/>
  <c r="A114" i="202" s="1"/>
  <c r="A115" i="202" s="1"/>
  <c r="A116" i="202" s="1"/>
  <c r="A117" i="202" s="1"/>
  <c r="A118" i="202" s="1"/>
  <c r="A119" i="202" s="1"/>
  <c r="A120" i="202" s="1"/>
  <c r="A121" i="202" s="1"/>
  <c r="A122" i="202" s="1"/>
  <c r="A123" i="202" s="1"/>
  <c r="A124" i="202" s="1"/>
  <c r="A125" i="202" s="1"/>
  <c r="A126" i="202" s="1"/>
  <c r="A127" i="202" s="1"/>
  <c r="A128" i="202" s="1"/>
  <c r="A129" i="202" s="1"/>
  <c r="A130" i="202" s="1"/>
  <c r="A131" i="202" s="1"/>
  <c r="A132" i="202" s="1"/>
  <c r="A133" i="202" s="1"/>
  <c r="A134" i="202" s="1"/>
  <c r="A135" i="202" s="1"/>
  <c r="A136" i="202" s="1"/>
  <c r="A137" i="202" s="1"/>
  <c r="A138" i="202" s="1"/>
  <c r="A139" i="202" s="1"/>
  <c r="A140" i="202" s="1"/>
  <c r="A141" i="202" s="1"/>
  <c r="A142" i="202" s="1"/>
  <c r="A143" i="202" s="1"/>
  <c r="A144" i="202" s="1"/>
  <c r="A145" i="202" s="1"/>
  <c r="A146" i="202" s="1"/>
  <c r="A147" i="202" s="1"/>
  <c r="A148" i="202" s="1"/>
  <c r="N103" i="202"/>
  <c r="J103" i="202"/>
  <c r="H103" i="202"/>
  <c r="J102" i="202"/>
  <c r="H102" i="202"/>
  <c r="J101" i="202"/>
  <c r="D100" i="202"/>
  <c r="C100" i="202"/>
  <c r="B100" i="202"/>
  <c r="D99" i="202"/>
  <c r="C99" i="202"/>
  <c r="B99" i="202"/>
  <c r="D98" i="202"/>
  <c r="C98" i="202"/>
  <c r="B98" i="202"/>
  <c r="D97" i="202"/>
  <c r="C97" i="202"/>
  <c r="B97" i="202"/>
  <c r="D96" i="202"/>
  <c r="C96" i="202"/>
  <c r="B96" i="202"/>
  <c r="D95" i="202"/>
  <c r="C95" i="202"/>
  <c r="B95" i="202"/>
  <c r="D94" i="202"/>
  <c r="C94" i="202"/>
  <c r="B94" i="202"/>
  <c r="D93" i="202"/>
  <c r="C93" i="202"/>
  <c r="B93" i="202"/>
  <c r="D92" i="202"/>
  <c r="C92" i="202"/>
  <c r="B92" i="202"/>
  <c r="D91" i="202"/>
  <c r="C91" i="202"/>
  <c r="B91" i="202"/>
  <c r="D90" i="202"/>
  <c r="C90" i="202"/>
  <c r="B90" i="202"/>
  <c r="D89" i="202"/>
  <c r="C89" i="202"/>
  <c r="B89" i="202"/>
  <c r="D88" i="202"/>
  <c r="C88" i="202"/>
  <c r="B88" i="202"/>
  <c r="D87" i="202"/>
  <c r="C87" i="202"/>
  <c r="B87" i="202"/>
  <c r="D86" i="202"/>
  <c r="C86" i="202"/>
  <c r="B86" i="202"/>
  <c r="D85" i="202"/>
  <c r="C85" i="202"/>
  <c r="B85" i="202"/>
  <c r="D84" i="202"/>
  <c r="C84" i="202"/>
  <c r="B84" i="202"/>
  <c r="D83" i="202"/>
  <c r="C83" i="202"/>
  <c r="B83" i="202"/>
  <c r="D82" i="202"/>
  <c r="C82" i="202"/>
  <c r="B82" i="202"/>
  <c r="D81" i="202"/>
  <c r="C81" i="202"/>
  <c r="B81" i="202"/>
  <c r="D80" i="202"/>
  <c r="C80" i="202"/>
  <c r="B80" i="202"/>
  <c r="D79" i="202"/>
  <c r="C79" i="202"/>
  <c r="B79" i="202"/>
  <c r="D78" i="202"/>
  <c r="C78" i="202"/>
  <c r="B78" i="202"/>
  <c r="D77" i="202"/>
  <c r="C77" i="202"/>
  <c r="B77" i="202"/>
  <c r="D76" i="202"/>
  <c r="C76" i="202"/>
  <c r="B76" i="202"/>
  <c r="D75" i="202"/>
  <c r="C75" i="202"/>
  <c r="B75" i="202"/>
  <c r="D74" i="202"/>
  <c r="C74" i="202"/>
  <c r="B74" i="202"/>
  <c r="D73" i="202"/>
  <c r="C73" i="202"/>
  <c r="B73" i="202"/>
  <c r="D72" i="202"/>
  <c r="C72" i="202"/>
  <c r="B72" i="202"/>
  <c r="D71" i="202"/>
  <c r="C71" i="202"/>
  <c r="B71" i="202"/>
  <c r="D70" i="202"/>
  <c r="C70" i="202"/>
  <c r="B70" i="202"/>
  <c r="D69" i="202"/>
  <c r="C69" i="202"/>
  <c r="B69" i="202"/>
  <c r="D68" i="202"/>
  <c r="C68" i="202"/>
  <c r="B68" i="202"/>
  <c r="D67" i="202"/>
  <c r="C67" i="202"/>
  <c r="B67" i="202"/>
  <c r="D66" i="202"/>
  <c r="C66" i="202"/>
  <c r="B66" i="202"/>
  <c r="D65" i="202"/>
  <c r="C65" i="202"/>
  <c r="B65" i="202"/>
  <c r="D64" i="202"/>
  <c r="C64" i="202"/>
  <c r="B64" i="202"/>
  <c r="D63" i="202"/>
  <c r="C63" i="202"/>
  <c r="B63" i="202"/>
  <c r="D62" i="202"/>
  <c r="C62" i="202"/>
  <c r="B62" i="202"/>
  <c r="D61" i="202"/>
  <c r="C61" i="202"/>
  <c r="B61" i="202"/>
  <c r="D60" i="202"/>
  <c r="C60" i="202"/>
  <c r="B60" i="202"/>
  <c r="D59" i="202"/>
  <c r="C59" i="202"/>
  <c r="B59" i="202"/>
  <c r="D58" i="202"/>
  <c r="C58" i="202"/>
  <c r="B58" i="202"/>
  <c r="D57" i="202"/>
  <c r="C57" i="202"/>
  <c r="B57" i="202"/>
  <c r="N54" i="202"/>
  <c r="J54" i="202"/>
  <c r="H54" i="202"/>
  <c r="J53" i="202"/>
  <c r="H53" i="202"/>
  <c r="J52" i="202"/>
  <c r="D21" i="202" a="1"/>
  <c r="D20" i="202" a="1"/>
  <c r="D19" i="202" a="1"/>
  <c r="D14" i="202" a="1"/>
  <c r="D54" i="202" s="1"/>
  <c r="D13" i="202" a="1"/>
  <c r="D12" i="202" a="1"/>
  <c r="D101" i="202" s="1"/>
  <c r="D10" i="202" a="1"/>
  <c r="D8" i="202"/>
  <c r="D7" i="202"/>
  <c r="D6" i="202"/>
  <c r="D5" i="202"/>
  <c r="N3" i="202"/>
  <c r="N1" i="202"/>
  <c r="G107" i="201"/>
  <c r="I107" i="201" s="1"/>
  <c r="G108" i="201"/>
  <c r="I108" i="201" s="1"/>
  <c r="G109" i="201"/>
  <c r="I109" i="201" s="1"/>
  <c r="G110" i="201"/>
  <c r="I110" i="201" s="1"/>
  <c r="G111" i="201"/>
  <c r="I111" i="201" s="1"/>
  <c r="G112" i="201"/>
  <c r="I112" i="201" s="1"/>
  <c r="G113" i="201"/>
  <c r="I113" i="201" s="1"/>
  <c r="G114" i="201"/>
  <c r="I114" i="201" s="1"/>
  <c r="G115" i="201"/>
  <c r="I115" i="201" s="1"/>
  <c r="G116" i="201"/>
  <c r="I116" i="201" s="1"/>
  <c r="G117" i="201"/>
  <c r="I117" i="201" s="1"/>
  <c r="G118" i="201"/>
  <c r="I118" i="201" s="1"/>
  <c r="G119" i="201"/>
  <c r="I119" i="201" s="1"/>
  <c r="G120" i="201"/>
  <c r="I120" i="201" s="1"/>
  <c r="G121" i="201"/>
  <c r="I121" i="201" s="1"/>
  <c r="G122" i="201"/>
  <c r="I122" i="201" s="1"/>
  <c r="G123" i="201"/>
  <c r="I123" i="201" s="1"/>
  <c r="G124" i="201"/>
  <c r="I124" i="201" s="1"/>
  <c r="G125" i="201"/>
  <c r="I125" i="201" s="1"/>
  <c r="G126" i="201"/>
  <c r="I126" i="201" s="1"/>
  <c r="G127" i="201"/>
  <c r="I127" i="201" s="1"/>
  <c r="G128" i="201"/>
  <c r="I128" i="201" s="1"/>
  <c r="G129" i="201"/>
  <c r="I129" i="201" s="1"/>
  <c r="G130" i="201"/>
  <c r="I130" i="201" s="1"/>
  <c r="G131" i="201"/>
  <c r="I131" i="201" s="1"/>
  <c r="G132" i="201"/>
  <c r="I132" i="201" s="1"/>
  <c r="G133" i="201"/>
  <c r="I133" i="201" s="1"/>
  <c r="G134" i="201"/>
  <c r="I134" i="201" s="1"/>
  <c r="G135" i="201"/>
  <c r="I135" i="201" s="1"/>
  <c r="G136" i="201"/>
  <c r="I136" i="201" s="1"/>
  <c r="G137" i="201"/>
  <c r="I137" i="201" s="1"/>
  <c r="G138" i="201"/>
  <c r="I138" i="201" s="1"/>
  <c r="G139" i="201"/>
  <c r="I139" i="201" s="1"/>
  <c r="G140" i="201"/>
  <c r="I140" i="201" s="1"/>
  <c r="G141" i="201"/>
  <c r="I141" i="201" s="1"/>
  <c r="G142" i="201"/>
  <c r="I142" i="201" s="1"/>
  <c r="G143" i="201"/>
  <c r="I143" i="201" s="1"/>
  <c r="G144" i="201"/>
  <c r="I144" i="201" s="1"/>
  <c r="G145" i="201"/>
  <c r="I145" i="201" s="1"/>
  <c r="G146" i="201"/>
  <c r="I146" i="201" s="1"/>
  <c r="G147" i="201"/>
  <c r="I147" i="201" s="1"/>
  <c r="G148" i="201"/>
  <c r="I148" i="201" s="1"/>
  <c r="G106" i="201"/>
  <c r="I106" i="201" s="1"/>
  <c r="G80" i="201"/>
  <c r="I80" i="201" s="1"/>
  <c r="G81" i="201"/>
  <c r="I81" i="201" s="1"/>
  <c r="G82" i="201"/>
  <c r="I82" i="201" s="1"/>
  <c r="G83" i="201"/>
  <c r="I83" i="201" s="1"/>
  <c r="G84" i="201"/>
  <c r="I84" i="201" s="1"/>
  <c r="G85" i="201"/>
  <c r="I85" i="201" s="1"/>
  <c r="G86" i="201"/>
  <c r="I86" i="201" s="1"/>
  <c r="G87" i="201"/>
  <c r="I87" i="201" s="1"/>
  <c r="G88" i="201"/>
  <c r="I88" i="201" s="1"/>
  <c r="G89" i="201"/>
  <c r="I89" i="201" s="1"/>
  <c r="G90" i="201"/>
  <c r="I90" i="201" s="1"/>
  <c r="G91" i="201"/>
  <c r="I91" i="201" s="1"/>
  <c r="G92" i="201"/>
  <c r="I92" i="201" s="1"/>
  <c r="G93" i="201"/>
  <c r="I93" i="201" s="1"/>
  <c r="G94" i="201"/>
  <c r="I94" i="201" s="1"/>
  <c r="G95" i="201"/>
  <c r="I95" i="201" s="1"/>
  <c r="G96" i="201"/>
  <c r="I96" i="201" s="1"/>
  <c r="G97" i="201"/>
  <c r="I97" i="201" s="1"/>
  <c r="G98" i="201"/>
  <c r="I98" i="201" s="1"/>
  <c r="G99" i="201"/>
  <c r="I99" i="201" s="1"/>
  <c r="G100" i="201"/>
  <c r="I100" i="201" s="1"/>
  <c r="G58" i="201"/>
  <c r="I58" i="201" s="1"/>
  <c r="G59" i="201"/>
  <c r="I59" i="201" s="1"/>
  <c r="G60" i="201"/>
  <c r="I60" i="201" s="1"/>
  <c r="G61" i="201"/>
  <c r="I61" i="201" s="1"/>
  <c r="G62" i="201"/>
  <c r="I62" i="201" s="1"/>
  <c r="G63" i="201"/>
  <c r="I63" i="201" s="1"/>
  <c r="G64" i="201"/>
  <c r="I64" i="201" s="1"/>
  <c r="G65" i="201"/>
  <c r="I65" i="201" s="1"/>
  <c r="G66" i="201"/>
  <c r="I66" i="201" s="1"/>
  <c r="G67" i="201"/>
  <c r="I67" i="201" s="1"/>
  <c r="G68" i="201"/>
  <c r="I68" i="201" s="1"/>
  <c r="G69" i="201"/>
  <c r="I69" i="201" s="1"/>
  <c r="G70" i="201"/>
  <c r="I70" i="201" s="1"/>
  <c r="G71" i="201"/>
  <c r="I71" i="201" s="1"/>
  <c r="G72" i="201"/>
  <c r="I72" i="201" s="1"/>
  <c r="G73" i="201"/>
  <c r="I73" i="201" s="1"/>
  <c r="G74" i="201"/>
  <c r="I74" i="201" s="1"/>
  <c r="G75" i="201"/>
  <c r="I75" i="201" s="1"/>
  <c r="G76" i="201"/>
  <c r="I76" i="201" s="1"/>
  <c r="G77" i="201"/>
  <c r="I77" i="201" s="1"/>
  <c r="G78" i="201"/>
  <c r="I78" i="201" s="1"/>
  <c r="G79" i="201"/>
  <c r="I79" i="201" s="1"/>
  <c r="G57" i="201"/>
  <c r="M149" i="201"/>
  <c r="H149" i="201"/>
  <c r="D148" i="201"/>
  <c r="C148" i="201"/>
  <c r="B148" i="201"/>
  <c r="D147" i="201"/>
  <c r="C147" i="201"/>
  <c r="B147" i="201"/>
  <c r="D146" i="201"/>
  <c r="C146" i="201"/>
  <c r="B146" i="201"/>
  <c r="D145" i="201"/>
  <c r="C145" i="201"/>
  <c r="B145" i="201"/>
  <c r="D144" i="201"/>
  <c r="C144" i="201"/>
  <c r="B144" i="201"/>
  <c r="D143" i="201"/>
  <c r="C143" i="201"/>
  <c r="B143" i="201"/>
  <c r="D142" i="201"/>
  <c r="C142" i="201"/>
  <c r="B142" i="201"/>
  <c r="D141" i="201"/>
  <c r="C141" i="201"/>
  <c r="B141" i="201"/>
  <c r="D140" i="201"/>
  <c r="C140" i="201"/>
  <c r="B140" i="201"/>
  <c r="D139" i="201"/>
  <c r="C139" i="201"/>
  <c r="B139" i="201"/>
  <c r="D138" i="201"/>
  <c r="C138" i="201"/>
  <c r="B138" i="201"/>
  <c r="D137" i="201"/>
  <c r="C137" i="201"/>
  <c r="B137" i="201"/>
  <c r="D136" i="201"/>
  <c r="C136" i="201"/>
  <c r="B136" i="201"/>
  <c r="D135" i="201"/>
  <c r="C135" i="201"/>
  <c r="B135" i="201"/>
  <c r="D134" i="201"/>
  <c r="C134" i="201"/>
  <c r="B134" i="201"/>
  <c r="D133" i="201"/>
  <c r="C133" i="201"/>
  <c r="B133" i="201"/>
  <c r="D132" i="201"/>
  <c r="C132" i="201"/>
  <c r="B132" i="201"/>
  <c r="D131" i="201"/>
  <c r="C131" i="201"/>
  <c r="B131" i="201"/>
  <c r="D130" i="201"/>
  <c r="C130" i="201"/>
  <c r="B130" i="201"/>
  <c r="D129" i="201"/>
  <c r="C129" i="201"/>
  <c r="B129" i="201"/>
  <c r="D128" i="201"/>
  <c r="C128" i="201"/>
  <c r="B128" i="201"/>
  <c r="D127" i="201"/>
  <c r="C127" i="201"/>
  <c r="B127" i="201"/>
  <c r="D126" i="201"/>
  <c r="C126" i="201"/>
  <c r="B126" i="201"/>
  <c r="D125" i="201"/>
  <c r="C125" i="201"/>
  <c r="B125" i="201"/>
  <c r="D124" i="201"/>
  <c r="C124" i="201"/>
  <c r="B124" i="201"/>
  <c r="D123" i="201"/>
  <c r="C123" i="201"/>
  <c r="B123" i="201"/>
  <c r="D122" i="201"/>
  <c r="C122" i="201"/>
  <c r="B122" i="201"/>
  <c r="D121" i="201"/>
  <c r="C121" i="201"/>
  <c r="B121" i="201"/>
  <c r="D120" i="201"/>
  <c r="C120" i="201"/>
  <c r="B120" i="201"/>
  <c r="D119" i="201"/>
  <c r="C119" i="201"/>
  <c r="B119" i="201"/>
  <c r="D118" i="201"/>
  <c r="C118" i="201"/>
  <c r="B118" i="201"/>
  <c r="D117" i="201"/>
  <c r="C117" i="201"/>
  <c r="B117" i="201"/>
  <c r="D116" i="201"/>
  <c r="C116" i="201"/>
  <c r="B116" i="201"/>
  <c r="D115" i="201"/>
  <c r="C115" i="201"/>
  <c r="B115" i="201"/>
  <c r="D114" i="201"/>
  <c r="C114" i="201"/>
  <c r="B114" i="201"/>
  <c r="D113" i="201"/>
  <c r="C113" i="201"/>
  <c r="B113" i="201"/>
  <c r="D112" i="201"/>
  <c r="C112" i="201"/>
  <c r="B112" i="201"/>
  <c r="D111" i="201"/>
  <c r="C111" i="201"/>
  <c r="B111" i="201"/>
  <c r="D110" i="201"/>
  <c r="C110" i="201"/>
  <c r="B110" i="201"/>
  <c r="D109" i="201"/>
  <c r="C109" i="201"/>
  <c r="B109" i="201"/>
  <c r="D108" i="201"/>
  <c r="C108" i="201"/>
  <c r="B108" i="201"/>
  <c r="D107" i="201"/>
  <c r="C107" i="201"/>
  <c r="B107" i="201"/>
  <c r="D106" i="201"/>
  <c r="C106" i="201"/>
  <c r="B106" i="201"/>
  <c r="A106" i="201"/>
  <c r="A107" i="201" s="1"/>
  <c r="A108" i="201" s="1"/>
  <c r="A109" i="201" s="1"/>
  <c r="A110" i="201" s="1"/>
  <c r="A111" i="201" s="1"/>
  <c r="A112" i="201" s="1"/>
  <c r="A113" i="201" s="1"/>
  <c r="A114" i="201" s="1"/>
  <c r="A115" i="201" s="1"/>
  <c r="A116" i="201" s="1"/>
  <c r="A117" i="201" s="1"/>
  <c r="A118" i="201" s="1"/>
  <c r="A119" i="201" s="1"/>
  <c r="A120" i="201" s="1"/>
  <c r="A121" i="201" s="1"/>
  <c r="A122" i="201" s="1"/>
  <c r="A123" i="201" s="1"/>
  <c r="A124" i="201" s="1"/>
  <c r="A125" i="201" s="1"/>
  <c r="A126" i="201" s="1"/>
  <c r="A127" i="201" s="1"/>
  <c r="A128" i="201" s="1"/>
  <c r="A129" i="201" s="1"/>
  <c r="A130" i="201" s="1"/>
  <c r="A131" i="201" s="1"/>
  <c r="A132" i="201" s="1"/>
  <c r="A133" i="201" s="1"/>
  <c r="A134" i="201" s="1"/>
  <c r="A135" i="201" s="1"/>
  <c r="A136" i="201" s="1"/>
  <c r="A137" i="201" s="1"/>
  <c r="A138" i="201" s="1"/>
  <c r="A139" i="201" s="1"/>
  <c r="A140" i="201" s="1"/>
  <c r="A141" i="201" s="1"/>
  <c r="A142" i="201" s="1"/>
  <c r="A143" i="201" s="1"/>
  <c r="A144" i="201" s="1"/>
  <c r="A145" i="201" s="1"/>
  <c r="A146" i="201" s="1"/>
  <c r="A147" i="201" s="1"/>
  <c r="A148" i="201" s="1"/>
  <c r="N103" i="201"/>
  <c r="J103" i="201"/>
  <c r="H103" i="201"/>
  <c r="J102" i="201"/>
  <c r="H102" i="201"/>
  <c r="J101" i="201"/>
  <c r="D100" i="201"/>
  <c r="C100" i="201"/>
  <c r="B100" i="201"/>
  <c r="D99" i="201"/>
  <c r="C99" i="201"/>
  <c r="B99" i="201"/>
  <c r="D98" i="201"/>
  <c r="C98" i="201"/>
  <c r="B98" i="201"/>
  <c r="D97" i="201"/>
  <c r="C97" i="201"/>
  <c r="B97" i="201"/>
  <c r="D96" i="201"/>
  <c r="C96" i="201"/>
  <c r="B96" i="201"/>
  <c r="D95" i="201"/>
  <c r="C95" i="201"/>
  <c r="B95" i="201"/>
  <c r="D94" i="201"/>
  <c r="C94" i="201"/>
  <c r="B94" i="201"/>
  <c r="D93" i="201"/>
  <c r="C93" i="201"/>
  <c r="B93" i="201"/>
  <c r="D92" i="201"/>
  <c r="C92" i="201"/>
  <c r="B92" i="201"/>
  <c r="D91" i="201"/>
  <c r="C91" i="201"/>
  <c r="B91" i="201"/>
  <c r="D90" i="201"/>
  <c r="C90" i="201"/>
  <c r="B90" i="201"/>
  <c r="D89" i="201"/>
  <c r="C89" i="201"/>
  <c r="B89" i="201"/>
  <c r="D88" i="201"/>
  <c r="C88" i="201"/>
  <c r="B88" i="201"/>
  <c r="D87" i="201"/>
  <c r="C87" i="201"/>
  <c r="B87" i="201"/>
  <c r="D86" i="201"/>
  <c r="C86" i="201"/>
  <c r="B86" i="201"/>
  <c r="D85" i="201"/>
  <c r="C85" i="201"/>
  <c r="B85" i="201"/>
  <c r="D84" i="201"/>
  <c r="C84" i="201"/>
  <c r="B84" i="201"/>
  <c r="D83" i="201"/>
  <c r="C83" i="201"/>
  <c r="B83" i="201"/>
  <c r="D82" i="201"/>
  <c r="C82" i="201"/>
  <c r="B82" i="201"/>
  <c r="D81" i="201"/>
  <c r="C81" i="201"/>
  <c r="B81" i="201"/>
  <c r="D80" i="201"/>
  <c r="C80" i="201"/>
  <c r="B80" i="201"/>
  <c r="D79" i="201"/>
  <c r="C79" i="201"/>
  <c r="B79" i="201"/>
  <c r="D78" i="201"/>
  <c r="C78" i="201"/>
  <c r="B78" i="201"/>
  <c r="D77" i="201"/>
  <c r="C77" i="201"/>
  <c r="B77" i="201"/>
  <c r="D76" i="201"/>
  <c r="C76" i="201"/>
  <c r="B76" i="201"/>
  <c r="D75" i="201"/>
  <c r="C75" i="201"/>
  <c r="B75" i="201"/>
  <c r="D74" i="201"/>
  <c r="C74" i="201"/>
  <c r="B74" i="201"/>
  <c r="D73" i="201"/>
  <c r="C73" i="201"/>
  <c r="B73" i="201"/>
  <c r="D72" i="201"/>
  <c r="C72" i="201"/>
  <c r="B72" i="201"/>
  <c r="D71" i="201"/>
  <c r="C71" i="201"/>
  <c r="B71" i="201"/>
  <c r="D70" i="201"/>
  <c r="C70" i="201"/>
  <c r="B70" i="201"/>
  <c r="D69" i="201"/>
  <c r="C69" i="201"/>
  <c r="B69" i="201"/>
  <c r="D68" i="201"/>
  <c r="C68" i="201"/>
  <c r="B68" i="201"/>
  <c r="D67" i="201"/>
  <c r="C67" i="201"/>
  <c r="B67" i="201"/>
  <c r="D66" i="201"/>
  <c r="C66" i="201"/>
  <c r="B66" i="201"/>
  <c r="D65" i="201"/>
  <c r="C65" i="201"/>
  <c r="B65" i="201"/>
  <c r="D64" i="201"/>
  <c r="C64" i="201"/>
  <c r="B64" i="201"/>
  <c r="D63" i="201"/>
  <c r="C63" i="201"/>
  <c r="B63" i="201"/>
  <c r="D62" i="201"/>
  <c r="C62" i="201"/>
  <c r="B62" i="201"/>
  <c r="D61" i="201"/>
  <c r="C61" i="201"/>
  <c r="B61" i="201"/>
  <c r="D60" i="201"/>
  <c r="C60" i="201"/>
  <c r="B60" i="201"/>
  <c r="D59" i="201"/>
  <c r="C59" i="201"/>
  <c r="B59" i="201"/>
  <c r="D58" i="201"/>
  <c r="C58" i="201"/>
  <c r="B58" i="201"/>
  <c r="D57" i="201"/>
  <c r="C57" i="201"/>
  <c r="B57" i="201"/>
  <c r="N54" i="201"/>
  <c r="J54" i="201"/>
  <c r="H54" i="201"/>
  <c r="J53" i="201"/>
  <c r="H53" i="201"/>
  <c r="J52" i="201"/>
  <c r="D21" i="201" a="1"/>
  <c r="D20" i="201" a="1"/>
  <c r="D19" i="201" a="1"/>
  <c r="D14" i="201" a="1"/>
  <c r="D54" i="201" s="1"/>
  <c r="D13" i="201" a="1"/>
  <c r="D12" i="201" a="1"/>
  <c r="D101" i="201" s="1"/>
  <c r="D10" i="201" a="1"/>
  <c r="D8" i="201"/>
  <c r="D7" i="201"/>
  <c r="D6" i="201"/>
  <c r="D5" i="201"/>
  <c r="N3" i="201"/>
  <c r="N1" i="201"/>
  <c r="G107" i="200"/>
  <c r="I107" i="200" s="1"/>
  <c r="G108" i="200"/>
  <c r="I108" i="200" s="1"/>
  <c r="G109" i="200"/>
  <c r="I109" i="200" s="1"/>
  <c r="G110" i="200"/>
  <c r="I110" i="200" s="1"/>
  <c r="G111" i="200"/>
  <c r="I111" i="200" s="1"/>
  <c r="G112" i="200"/>
  <c r="I112" i="200" s="1"/>
  <c r="G113" i="200"/>
  <c r="I113" i="200" s="1"/>
  <c r="G114" i="200"/>
  <c r="I114" i="200" s="1"/>
  <c r="G115" i="200"/>
  <c r="I115" i="200" s="1"/>
  <c r="G116" i="200"/>
  <c r="I116" i="200" s="1"/>
  <c r="G117" i="200"/>
  <c r="I117" i="200" s="1"/>
  <c r="G118" i="200"/>
  <c r="I118" i="200" s="1"/>
  <c r="G119" i="200"/>
  <c r="I119" i="200" s="1"/>
  <c r="G120" i="200"/>
  <c r="I120" i="200" s="1"/>
  <c r="G121" i="200"/>
  <c r="I121" i="200" s="1"/>
  <c r="G122" i="200"/>
  <c r="I122" i="200" s="1"/>
  <c r="G123" i="200"/>
  <c r="I123" i="200" s="1"/>
  <c r="G124" i="200"/>
  <c r="I124" i="200" s="1"/>
  <c r="G125" i="200"/>
  <c r="I125" i="200" s="1"/>
  <c r="G126" i="200"/>
  <c r="I126" i="200" s="1"/>
  <c r="G127" i="200"/>
  <c r="I127" i="200" s="1"/>
  <c r="G128" i="200"/>
  <c r="I128" i="200" s="1"/>
  <c r="G129" i="200"/>
  <c r="I129" i="200" s="1"/>
  <c r="G130" i="200"/>
  <c r="I130" i="200" s="1"/>
  <c r="G131" i="200"/>
  <c r="I131" i="200" s="1"/>
  <c r="G132" i="200"/>
  <c r="I132" i="200" s="1"/>
  <c r="G133" i="200"/>
  <c r="I133" i="200" s="1"/>
  <c r="G134" i="200"/>
  <c r="I134" i="200" s="1"/>
  <c r="G135" i="200"/>
  <c r="I135" i="200" s="1"/>
  <c r="G136" i="200"/>
  <c r="I136" i="200" s="1"/>
  <c r="G137" i="200"/>
  <c r="I137" i="200" s="1"/>
  <c r="G138" i="200"/>
  <c r="I138" i="200" s="1"/>
  <c r="G139" i="200"/>
  <c r="I139" i="200" s="1"/>
  <c r="G140" i="200"/>
  <c r="I140" i="200" s="1"/>
  <c r="G141" i="200"/>
  <c r="I141" i="200" s="1"/>
  <c r="G142" i="200"/>
  <c r="I142" i="200" s="1"/>
  <c r="G143" i="200"/>
  <c r="I143" i="200" s="1"/>
  <c r="G144" i="200"/>
  <c r="I144" i="200" s="1"/>
  <c r="G145" i="200"/>
  <c r="I145" i="200" s="1"/>
  <c r="G146" i="200"/>
  <c r="I146" i="200" s="1"/>
  <c r="G147" i="200"/>
  <c r="I147" i="200" s="1"/>
  <c r="G148" i="200"/>
  <c r="I148" i="200" s="1"/>
  <c r="G106" i="200"/>
  <c r="I106" i="200" s="1"/>
  <c r="G58" i="200"/>
  <c r="I58" i="200" s="1"/>
  <c r="G59" i="200"/>
  <c r="I59" i="200" s="1"/>
  <c r="G60" i="200"/>
  <c r="I60" i="200" s="1"/>
  <c r="G61" i="200"/>
  <c r="I61" i="200" s="1"/>
  <c r="G62" i="200"/>
  <c r="I62" i="200" s="1"/>
  <c r="G63" i="200"/>
  <c r="I63" i="200" s="1"/>
  <c r="G64" i="200"/>
  <c r="I64" i="200" s="1"/>
  <c r="G65" i="200"/>
  <c r="I65" i="200" s="1"/>
  <c r="G66" i="200"/>
  <c r="I66" i="200" s="1"/>
  <c r="G67" i="200"/>
  <c r="I67" i="200" s="1"/>
  <c r="G68" i="200"/>
  <c r="I68" i="200" s="1"/>
  <c r="G69" i="200"/>
  <c r="I69" i="200" s="1"/>
  <c r="G70" i="200"/>
  <c r="I70" i="200" s="1"/>
  <c r="G71" i="200"/>
  <c r="I71" i="200" s="1"/>
  <c r="G72" i="200"/>
  <c r="I72" i="200" s="1"/>
  <c r="G73" i="200"/>
  <c r="I73" i="200" s="1"/>
  <c r="G74" i="200"/>
  <c r="I74" i="200" s="1"/>
  <c r="G75" i="200"/>
  <c r="I75" i="200" s="1"/>
  <c r="G76" i="200"/>
  <c r="I76" i="200" s="1"/>
  <c r="G77" i="200"/>
  <c r="I77" i="200" s="1"/>
  <c r="G78" i="200"/>
  <c r="I78" i="200" s="1"/>
  <c r="G79" i="200"/>
  <c r="I79" i="200" s="1"/>
  <c r="G80" i="200"/>
  <c r="I80" i="200" s="1"/>
  <c r="G81" i="200"/>
  <c r="I81" i="200" s="1"/>
  <c r="G82" i="200"/>
  <c r="I82" i="200" s="1"/>
  <c r="G83" i="200"/>
  <c r="I83" i="200" s="1"/>
  <c r="G84" i="200"/>
  <c r="I84" i="200" s="1"/>
  <c r="G85" i="200"/>
  <c r="I85" i="200" s="1"/>
  <c r="G86" i="200"/>
  <c r="I86" i="200" s="1"/>
  <c r="G87" i="200"/>
  <c r="I87" i="200" s="1"/>
  <c r="G88" i="200"/>
  <c r="I88" i="200" s="1"/>
  <c r="G89" i="200"/>
  <c r="I89" i="200" s="1"/>
  <c r="G90" i="200"/>
  <c r="I90" i="200" s="1"/>
  <c r="G91" i="200"/>
  <c r="I91" i="200" s="1"/>
  <c r="G92" i="200"/>
  <c r="I92" i="200" s="1"/>
  <c r="G93" i="200"/>
  <c r="I93" i="200" s="1"/>
  <c r="G94" i="200"/>
  <c r="I94" i="200" s="1"/>
  <c r="G95" i="200"/>
  <c r="I95" i="200" s="1"/>
  <c r="G96" i="200"/>
  <c r="I96" i="200" s="1"/>
  <c r="G97" i="200"/>
  <c r="I97" i="200" s="1"/>
  <c r="G98" i="200"/>
  <c r="I98" i="200" s="1"/>
  <c r="G99" i="200"/>
  <c r="I99" i="200" s="1"/>
  <c r="G100" i="200"/>
  <c r="I100" i="200" s="1"/>
  <c r="G57" i="200"/>
  <c r="M149" i="200"/>
  <c r="H149" i="200"/>
  <c r="D148" i="200"/>
  <c r="C148" i="200"/>
  <c r="B148" i="200"/>
  <c r="D147" i="200"/>
  <c r="C147" i="200"/>
  <c r="B147" i="200"/>
  <c r="D146" i="200"/>
  <c r="C146" i="200"/>
  <c r="B146" i="200"/>
  <c r="D145" i="200"/>
  <c r="C145" i="200"/>
  <c r="B145" i="200"/>
  <c r="D144" i="200"/>
  <c r="C144" i="200"/>
  <c r="B144" i="200"/>
  <c r="D143" i="200"/>
  <c r="C143" i="200"/>
  <c r="B143" i="200"/>
  <c r="D142" i="200"/>
  <c r="C142" i="200"/>
  <c r="B142" i="200"/>
  <c r="D141" i="200"/>
  <c r="C141" i="200"/>
  <c r="B141" i="200"/>
  <c r="D140" i="200"/>
  <c r="C140" i="200"/>
  <c r="B140" i="200"/>
  <c r="D139" i="200"/>
  <c r="C139" i="200"/>
  <c r="B139" i="200"/>
  <c r="D138" i="200"/>
  <c r="C138" i="200"/>
  <c r="B138" i="200"/>
  <c r="D137" i="200"/>
  <c r="C137" i="200"/>
  <c r="B137" i="200"/>
  <c r="D136" i="200"/>
  <c r="C136" i="200"/>
  <c r="B136" i="200"/>
  <c r="D135" i="200"/>
  <c r="C135" i="200"/>
  <c r="B135" i="200"/>
  <c r="D134" i="200"/>
  <c r="C134" i="200"/>
  <c r="B134" i="200"/>
  <c r="D133" i="200"/>
  <c r="C133" i="200"/>
  <c r="B133" i="200"/>
  <c r="D132" i="200"/>
  <c r="C132" i="200"/>
  <c r="B132" i="200"/>
  <c r="D131" i="200"/>
  <c r="C131" i="200"/>
  <c r="B131" i="200"/>
  <c r="D130" i="200"/>
  <c r="C130" i="200"/>
  <c r="B130" i="200"/>
  <c r="D129" i="200"/>
  <c r="C129" i="200"/>
  <c r="B129" i="200"/>
  <c r="D128" i="200"/>
  <c r="C128" i="200"/>
  <c r="B128" i="200"/>
  <c r="D127" i="200"/>
  <c r="C127" i="200"/>
  <c r="B127" i="200"/>
  <c r="D126" i="200"/>
  <c r="C126" i="200"/>
  <c r="B126" i="200"/>
  <c r="D125" i="200"/>
  <c r="C125" i="200"/>
  <c r="B125" i="200"/>
  <c r="D124" i="200"/>
  <c r="C124" i="200"/>
  <c r="B124" i="200"/>
  <c r="D123" i="200"/>
  <c r="C123" i="200"/>
  <c r="B123" i="200"/>
  <c r="D122" i="200"/>
  <c r="C122" i="200"/>
  <c r="B122" i="200"/>
  <c r="D121" i="200"/>
  <c r="C121" i="200"/>
  <c r="B121" i="200"/>
  <c r="D120" i="200"/>
  <c r="C120" i="200"/>
  <c r="B120" i="200"/>
  <c r="D119" i="200"/>
  <c r="C119" i="200"/>
  <c r="B119" i="200"/>
  <c r="D118" i="200"/>
  <c r="C118" i="200"/>
  <c r="B118" i="200"/>
  <c r="D117" i="200"/>
  <c r="C117" i="200"/>
  <c r="B117" i="200"/>
  <c r="D116" i="200"/>
  <c r="C116" i="200"/>
  <c r="B116" i="200"/>
  <c r="D115" i="200"/>
  <c r="C115" i="200"/>
  <c r="B115" i="200"/>
  <c r="D114" i="200"/>
  <c r="C114" i="200"/>
  <c r="B114" i="200"/>
  <c r="D113" i="200"/>
  <c r="C113" i="200"/>
  <c r="B113" i="200"/>
  <c r="D112" i="200"/>
  <c r="C112" i="200"/>
  <c r="B112" i="200"/>
  <c r="D111" i="200"/>
  <c r="C111" i="200"/>
  <c r="B111" i="200"/>
  <c r="D110" i="200"/>
  <c r="C110" i="200"/>
  <c r="B110" i="200"/>
  <c r="D109" i="200"/>
  <c r="C109" i="200"/>
  <c r="B109" i="200"/>
  <c r="D108" i="200"/>
  <c r="C108" i="200"/>
  <c r="B108" i="200"/>
  <c r="D107" i="200"/>
  <c r="C107" i="200"/>
  <c r="B107" i="200"/>
  <c r="D106" i="200"/>
  <c r="C106" i="200"/>
  <c r="B106" i="200"/>
  <c r="A106" i="200"/>
  <c r="A107" i="200" s="1"/>
  <c r="A108" i="200" s="1"/>
  <c r="A109" i="200" s="1"/>
  <c r="A110" i="200" s="1"/>
  <c r="A111" i="200" s="1"/>
  <c r="A112" i="200" s="1"/>
  <c r="A113" i="200" s="1"/>
  <c r="A114" i="200" s="1"/>
  <c r="A115" i="200" s="1"/>
  <c r="A116" i="200" s="1"/>
  <c r="A117" i="200" s="1"/>
  <c r="A118" i="200" s="1"/>
  <c r="A119" i="200" s="1"/>
  <c r="A120" i="200" s="1"/>
  <c r="A121" i="200" s="1"/>
  <c r="A122" i="200" s="1"/>
  <c r="A123" i="200" s="1"/>
  <c r="A124" i="200" s="1"/>
  <c r="A125" i="200" s="1"/>
  <c r="A126" i="200" s="1"/>
  <c r="A127" i="200" s="1"/>
  <c r="A128" i="200" s="1"/>
  <c r="A129" i="200" s="1"/>
  <c r="A130" i="200" s="1"/>
  <c r="A131" i="200" s="1"/>
  <c r="A132" i="200" s="1"/>
  <c r="A133" i="200" s="1"/>
  <c r="A134" i="200" s="1"/>
  <c r="A135" i="200" s="1"/>
  <c r="A136" i="200" s="1"/>
  <c r="A137" i="200" s="1"/>
  <c r="A138" i="200" s="1"/>
  <c r="A139" i="200" s="1"/>
  <c r="A140" i="200" s="1"/>
  <c r="A141" i="200" s="1"/>
  <c r="A142" i="200" s="1"/>
  <c r="A143" i="200" s="1"/>
  <c r="A144" i="200" s="1"/>
  <c r="A145" i="200" s="1"/>
  <c r="A146" i="200" s="1"/>
  <c r="A147" i="200" s="1"/>
  <c r="A148" i="200" s="1"/>
  <c r="N103" i="200"/>
  <c r="J103" i="200"/>
  <c r="H103" i="200"/>
  <c r="J102" i="200"/>
  <c r="H102" i="200"/>
  <c r="J101" i="200"/>
  <c r="D100" i="200"/>
  <c r="C100" i="200"/>
  <c r="B100" i="200"/>
  <c r="D99" i="200"/>
  <c r="C99" i="200"/>
  <c r="B99" i="200"/>
  <c r="D98" i="200"/>
  <c r="C98" i="200"/>
  <c r="B98" i="200"/>
  <c r="D97" i="200"/>
  <c r="C97" i="200"/>
  <c r="B97" i="200"/>
  <c r="D96" i="200"/>
  <c r="C96" i="200"/>
  <c r="B96" i="200"/>
  <c r="D95" i="200"/>
  <c r="C95" i="200"/>
  <c r="B95" i="200"/>
  <c r="D94" i="200"/>
  <c r="C94" i="200"/>
  <c r="B94" i="200"/>
  <c r="D93" i="200"/>
  <c r="C93" i="200"/>
  <c r="B93" i="200"/>
  <c r="D92" i="200"/>
  <c r="C92" i="200"/>
  <c r="B92" i="200"/>
  <c r="D91" i="200"/>
  <c r="C91" i="200"/>
  <c r="B91" i="200"/>
  <c r="D90" i="200"/>
  <c r="C90" i="200"/>
  <c r="B90" i="200"/>
  <c r="D89" i="200"/>
  <c r="C89" i="200"/>
  <c r="B89" i="200"/>
  <c r="D88" i="200"/>
  <c r="C88" i="200"/>
  <c r="B88" i="200"/>
  <c r="D87" i="200"/>
  <c r="C87" i="200"/>
  <c r="B87" i="200"/>
  <c r="D86" i="200"/>
  <c r="C86" i="200"/>
  <c r="B86" i="200"/>
  <c r="D85" i="200"/>
  <c r="C85" i="200"/>
  <c r="B85" i="200"/>
  <c r="D84" i="200"/>
  <c r="C84" i="200"/>
  <c r="B84" i="200"/>
  <c r="D83" i="200"/>
  <c r="C83" i="200"/>
  <c r="B83" i="200"/>
  <c r="D82" i="200"/>
  <c r="C82" i="200"/>
  <c r="B82" i="200"/>
  <c r="D81" i="200"/>
  <c r="C81" i="200"/>
  <c r="B81" i="200"/>
  <c r="D80" i="200"/>
  <c r="C80" i="200"/>
  <c r="B80" i="200"/>
  <c r="D79" i="200"/>
  <c r="C79" i="200"/>
  <c r="B79" i="200"/>
  <c r="D78" i="200"/>
  <c r="C78" i="200"/>
  <c r="B78" i="200"/>
  <c r="D77" i="200"/>
  <c r="C77" i="200"/>
  <c r="B77" i="200"/>
  <c r="D76" i="200"/>
  <c r="C76" i="200"/>
  <c r="B76" i="200"/>
  <c r="D75" i="200"/>
  <c r="C75" i="200"/>
  <c r="B75" i="200"/>
  <c r="D74" i="200"/>
  <c r="C74" i="200"/>
  <c r="B74" i="200"/>
  <c r="D73" i="200"/>
  <c r="C73" i="200"/>
  <c r="B73" i="200"/>
  <c r="D72" i="200"/>
  <c r="C72" i="200"/>
  <c r="B72" i="200"/>
  <c r="D71" i="200"/>
  <c r="C71" i="200"/>
  <c r="B71" i="200"/>
  <c r="D70" i="200"/>
  <c r="C70" i="200"/>
  <c r="B70" i="200"/>
  <c r="D69" i="200"/>
  <c r="C69" i="200"/>
  <c r="B69" i="200"/>
  <c r="D68" i="200"/>
  <c r="C68" i="200"/>
  <c r="B68" i="200"/>
  <c r="D67" i="200"/>
  <c r="C67" i="200"/>
  <c r="B67" i="200"/>
  <c r="D66" i="200"/>
  <c r="C66" i="200"/>
  <c r="B66" i="200"/>
  <c r="D65" i="200"/>
  <c r="C65" i="200"/>
  <c r="B65" i="200"/>
  <c r="D64" i="200"/>
  <c r="C64" i="200"/>
  <c r="B64" i="200"/>
  <c r="D63" i="200"/>
  <c r="C63" i="200"/>
  <c r="B63" i="200"/>
  <c r="D62" i="200"/>
  <c r="C62" i="200"/>
  <c r="B62" i="200"/>
  <c r="D61" i="200"/>
  <c r="C61" i="200"/>
  <c r="B61" i="200"/>
  <c r="D60" i="200"/>
  <c r="C60" i="200"/>
  <c r="B60" i="200"/>
  <c r="D59" i="200"/>
  <c r="C59" i="200"/>
  <c r="B59" i="200"/>
  <c r="D58" i="200"/>
  <c r="C58" i="200"/>
  <c r="B58" i="200"/>
  <c r="D57" i="200"/>
  <c r="C57" i="200"/>
  <c r="B57" i="200"/>
  <c r="N54" i="200"/>
  <c r="J54" i="200"/>
  <c r="H54" i="200"/>
  <c r="J53" i="200"/>
  <c r="H53" i="200"/>
  <c r="J52" i="200"/>
  <c r="D21" i="200" a="1"/>
  <c r="D20" i="200" a="1"/>
  <c r="D19" i="200" a="1"/>
  <c r="D14" i="200" a="1"/>
  <c r="D54" i="200" s="1"/>
  <c r="D13" i="200" a="1"/>
  <c r="D12" i="200" a="1"/>
  <c r="D10" i="200" a="1"/>
  <c r="D8" i="200"/>
  <c r="D7" i="200"/>
  <c r="D6" i="200"/>
  <c r="D5" i="200"/>
  <c r="N3" i="200"/>
  <c r="N1" i="200"/>
  <c r="G107" i="199"/>
  <c r="I107" i="199" s="1"/>
  <c r="G108" i="199"/>
  <c r="I108" i="199" s="1"/>
  <c r="G109" i="199"/>
  <c r="I109" i="199" s="1"/>
  <c r="G110" i="199"/>
  <c r="I110" i="199" s="1"/>
  <c r="G111" i="199"/>
  <c r="I111" i="199" s="1"/>
  <c r="G112" i="199"/>
  <c r="I112" i="199" s="1"/>
  <c r="G113" i="199"/>
  <c r="I113" i="199" s="1"/>
  <c r="G114" i="199"/>
  <c r="I114" i="199" s="1"/>
  <c r="G115" i="199"/>
  <c r="I115" i="199" s="1"/>
  <c r="G116" i="199"/>
  <c r="I116" i="199" s="1"/>
  <c r="G117" i="199"/>
  <c r="I117" i="199" s="1"/>
  <c r="G118" i="199"/>
  <c r="I118" i="199" s="1"/>
  <c r="G119" i="199"/>
  <c r="I119" i="199" s="1"/>
  <c r="G120" i="199"/>
  <c r="I120" i="199" s="1"/>
  <c r="G121" i="199"/>
  <c r="I121" i="199" s="1"/>
  <c r="G122" i="199"/>
  <c r="I122" i="199" s="1"/>
  <c r="G123" i="199"/>
  <c r="I123" i="199" s="1"/>
  <c r="G124" i="199"/>
  <c r="I124" i="199" s="1"/>
  <c r="G125" i="199"/>
  <c r="I125" i="199" s="1"/>
  <c r="G126" i="199"/>
  <c r="I126" i="199" s="1"/>
  <c r="G127" i="199"/>
  <c r="I127" i="199" s="1"/>
  <c r="G128" i="199"/>
  <c r="I128" i="199" s="1"/>
  <c r="G129" i="199"/>
  <c r="I129" i="199" s="1"/>
  <c r="G130" i="199"/>
  <c r="I130" i="199" s="1"/>
  <c r="G131" i="199"/>
  <c r="I131" i="199" s="1"/>
  <c r="G132" i="199"/>
  <c r="I132" i="199" s="1"/>
  <c r="G133" i="199"/>
  <c r="I133" i="199" s="1"/>
  <c r="G134" i="199"/>
  <c r="I134" i="199" s="1"/>
  <c r="G135" i="199"/>
  <c r="I135" i="199" s="1"/>
  <c r="G136" i="199"/>
  <c r="I136" i="199" s="1"/>
  <c r="G137" i="199"/>
  <c r="I137" i="199" s="1"/>
  <c r="G138" i="199"/>
  <c r="I138" i="199" s="1"/>
  <c r="G139" i="199"/>
  <c r="I139" i="199" s="1"/>
  <c r="G140" i="199"/>
  <c r="I140" i="199" s="1"/>
  <c r="G141" i="199"/>
  <c r="I141" i="199" s="1"/>
  <c r="G142" i="199"/>
  <c r="I142" i="199" s="1"/>
  <c r="G143" i="199"/>
  <c r="I143" i="199" s="1"/>
  <c r="G144" i="199"/>
  <c r="I144" i="199" s="1"/>
  <c r="G145" i="199"/>
  <c r="I145" i="199" s="1"/>
  <c r="G146" i="199"/>
  <c r="I146" i="199" s="1"/>
  <c r="G147" i="199"/>
  <c r="I147" i="199" s="1"/>
  <c r="G148" i="199"/>
  <c r="I148" i="199" s="1"/>
  <c r="G106" i="199"/>
  <c r="I106" i="199" s="1"/>
  <c r="G58" i="199"/>
  <c r="I58" i="199" s="1"/>
  <c r="G59" i="199"/>
  <c r="I59" i="199" s="1"/>
  <c r="G60" i="199"/>
  <c r="I60" i="199" s="1"/>
  <c r="G61" i="199"/>
  <c r="I61" i="199" s="1"/>
  <c r="G62" i="199"/>
  <c r="I62" i="199" s="1"/>
  <c r="G63" i="199"/>
  <c r="I63" i="199" s="1"/>
  <c r="G64" i="199"/>
  <c r="I64" i="199" s="1"/>
  <c r="G65" i="199"/>
  <c r="I65" i="199" s="1"/>
  <c r="G66" i="199"/>
  <c r="I66" i="199" s="1"/>
  <c r="G67" i="199"/>
  <c r="I67" i="199" s="1"/>
  <c r="G68" i="199"/>
  <c r="I68" i="199" s="1"/>
  <c r="G69" i="199"/>
  <c r="I69" i="199" s="1"/>
  <c r="G70" i="199"/>
  <c r="I70" i="199" s="1"/>
  <c r="G71" i="199"/>
  <c r="I71" i="199" s="1"/>
  <c r="G72" i="199"/>
  <c r="I72" i="199" s="1"/>
  <c r="G73" i="199"/>
  <c r="I73" i="199" s="1"/>
  <c r="G74" i="199"/>
  <c r="I74" i="199" s="1"/>
  <c r="G75" i="199"/>
  <c r="I75" i="199" s="1"/>
  <c r="G76" i="199"/>
  <c r="I76" i="199" s="1"/>
  <c r="G77" i="199"/>
  <c r="I77" i="199" s="1"/>
  <c r="G78" i="199"/>
  <c r="I78" i="199" s="1"/>
  <c r="G79" i="199"/>
  <c r="I79" i="199" s="1"/>
  <c r="G80" i="199"/>
  <c r="I80" i="199" s="1"/>
  <c r="G81" i="199"/>
  <c r="I81" i="199" s="1"/>
  <c r="G82" i="199"/>
  <c r="I82" i="199" s="1"/>
  <c r="G83" i="199"/>
  <c r="I83" i="199" s="1"/>
  <c r="G84" i="199"/>
  <c r="I84" i="199" s="1"/>
  <c r="G85" i="199"/>
  <c r="I85" i="199" s="1"/>
  <c r="G86" i="199"/>
  <c r="I86" i="199" s="1"/>
  <c r="G87" i="199"/>
  <c r="I87" i="199" s="1"/>
  <c r="G88" i="199"/>
  <c r="I88" i="199" s="1"/>
  <c r="G89" i="199"/>
  <c r="I89" i="199" s="1"/>
  <c r="G90" i="199"/>
  <c r="I90" i="199" s="1"/>
  <c r="G91" i="199"/>
  <c r="I91" i="199" s="1"/>
  <c r="G92" i="199"/>
  <c r="I92" i="199" s="1"/>
  <c r="G93" i="199"/>
  <c r="I93" i="199" s="1"/>
  <c r="G94" i="199"/>
  <c r="I94" i="199" s="1"/>
  <c r="G95" i="199"/>
  <c r="I95" i="199" s="1"/>
  <c r="G96" i="199"/>
  <c r="I96" i="199" s="1"/>
  <c r="G97" i="199"/>
  <c r="I97" i="199" s="1"/>
  <c r="G98" i="199"/>
  <c r="I98" i="199" s="1"/>
  <c r="G99" i="199"/>
  <c r="I99" i="199" s="1"/>
  <c r="G100" i="199"/>
  <c r="I100" i="199" s="1"/>
  <c r="G57" i="199"/>
  <c r="M149" i="199"/>
  <c r="H149" i="199"/>
  <c r="D148" i="199"/>
  <c r="C148" i="199"/>
  <c r="B148" i="199"/>
  <c r="D147" i="199"/>
  <c r="C147" i="199"/>
  <c r="B147" i="199"/>
  <c r="D146" i="199"/>
  <c r="C146" i="199"/>
  <c r="B146" i="199"/>
  <c r="D145" i="199"/>
  <c r="C145" i="199"/>
  <c r="B145" i="199"/>
  <c r="D144" i="199"/>
  <c r="C144" i="199"/>
  <c r="B144" i="199"/>
  <c r="D143" i="199"/>
  <c r="C143" i="199"/>
  <c r="B143" i="199"/>
  <c r="D142" i="199"/>
  <c r="C142" i="199"/>
  <c r="B142" i="199"/>
  <c r="D141" i="199"/>
  <c r="C141" i="199"/>
  <c r="B141" i="199"/>
  <c r="D140" i="199"/>
  <c r="C140" i="199"/>
  <c r="B140" i="199"/>
  <c r="D139" i="199"/>
  <c r="C139" i="199"/>
  <c r="B139" i="199"/>
  <c r="D138" i="199"/>
  <c r="C138" i="199"/>
  <c r="B138" i="199"/>
  <c r="D137" i="199"/>
  <c r="C137" i="199"/>
  <c r="B137" i="199"/>
  <c r="D136" i="199"/>
  <c r="C136" i="199"/>
  <c r="B136" i="199"/>
  <c r="D135" i="199"/>
  <c r="C135" i="199"/>
  <c r="B135" i="199"/>
  <c r="D134" i="199"/>
  <c r="C134" i="199"/>
  <c r="B134" i="199"/>
  <c r="D133" i="199"/>
  <c r="C133" i="199"/>
  <c r="B133" i="199"/>
  <c r="D132" i="199"/>
  <c r="C132" i="199"/>
  <c r="B132" i="199"/>
  <c r="D131" i="199"/>
  <c r="C131" i="199"/>
  <c r="B131" i="199"/>
  <c r="D130" i="199"/>
  <c r="C130" i="199"/>
  <c r="B130" i="199"/>
  <c r="D129" i="199"/>
  <c r="C129" i="199"/>
  <c r="B129" i="199"/>
  <c r="D128" i="199"/>
  <c r="C128" i="199"/>
  <c r="B128" i="199"/>
  <c r="D127" i="199"/>
  <c r="C127" i="199"/>
  <c r="B127" i="199"/>
  <c r="D126" i="199"/>
  <c r="C126" i="199"/>
  <c r="B126" i="199"/>
  <c r="D125" i="199"/>
  <c r="C125" i="199"/>
  <c r="B125" i="199"/>
  <c r="D124" i="199"/>
  <c r="C124" i="199"/>
  <c r="B124" i="199"/>
  <c r="D123" i="199"/>
  <c r="C123" i="199"/>
  <c r="B123" i="199"/>
  <c r="D122" i="199"/>
  <c r="C122" i="199"/>
  <c r="B122" i="199"/>
  <c r="D121" i="199"/>
  <c r="C121" i="199"/>
  <c r="B121" i="199"/>
  <c r="D120" i="199"/>
  <c r="C120" i="199"/>
  <c r="B120" i="199"/>
  <c r="D119" i="199"/>
  <c r="C119" i="199"/>
  <c r="B119" i="199"/>
  <c r="D118" i="199"/>
  <c r="C118" i="199"/>
  <c r="B118" i="199"/>
  <c r="D117" i="199"/>
  <c r="C117" i="199"/>
  <c r="B117" i="199"/>
  <c r="D116" i="199"/>
  <c r="C116" i="199"/>
  <c r="B116" i="199"/>
  <c r="D115" i="199"/>
  <c r="C115" i="199"/>
  <c r="B115" i="199"/>
  <c r="D114" i="199"/>
  <c r="C114" i="199"/>
  <c r="B114" i="199"/>
  <c r="D113" i="199"/>
  <c r="C113" i="199"/>
  <c r="B113" i="199"/>
  <c r="D112" i="199"/>
  <c r="C112" i="199"/>
  <c r="B112" i="199"/>
  <c r="D111" i="199"/>
  <c r="C111" i="199"/>
  <c r="B111" i="199"/>
  <c r="D110" i="199"/>
  <c r="C110" i="199"/>
  <c r="B110" i="199"/>
  <c r="D109" i="199"/>
  <c r="C109" i="199"/>
  <c r="B109" i="199"/>
  <c r="D108" i="199"/>
  <c r="C108" i="199"/>
  <c r="B108" i="199"/>
  <c r="D107" i="199"/>
  <c r="C107" i="199"/>
  <c r="B107" i="199"/>
  <c r="D106" i="199"/>
  <c r="C106" i="199"/>
  <c r="B106" i="199"/>
  <c r="A106" i="199"/>
  <c r="A107" i="199" s="1"/>
  <c r="A108" i="199" s="1"/>
  <c r="A109" i="199" s="1"/>
  <c r="A110" i="199" s="1"/>
  <c r="A111" i="199" s="1"/>
  <c r="A112" i="199" s="1"/>
  <c r="A113" i="199" s="1"/>
  <c r="A114" i="199" s="1"/>
  <c r="A115" i="199" s="1"/>
  <c r="A116" i="199" s="1"/>
  <c r="A117" i="199" s="1"/>
  <c r="A118" i="199" s="1"/>
  <c r="A119" i="199" s="1"/>
  <c r="A120" i="199" s="1"/>
  <c r="A121" i="199" s="1"/>
  <c r="A122" i="199" s="1"/>
  <c r="A123" i="199" s="1"/>
  <c r="A124" i="199" s="1"/>
  <c r="A125" i="199" s="1"/>
  <c r="A126" i="199" s="1"/>
  <c r="A127" i="199" s="1"/>
  <c r="A128" i="199" s="1"/>
  <c r="A129" i="199" s="1"/>
  <c r="A130" i="199" s="1"/>
  <c r="A131" i="199" s="1"/>
  <c r="A132" i="199" s="1"/>
  <c r="A133" i="199" s="1"/>
  <c r="A134" i="199" s="1"/>
  <c r="A135" i="199" s="1"/>
  <c r="A136" i="199" s="1"/>
  <c r="A137" i="199" s="1"/>
  <c r="A138" i="199" s="1"/>
  <c r="A139" i="199" s="1"/>
  <c r="A140" i="199" s="1"/>
  <c r="A141" i="199" s="1"/>
  <c r="A142" i="199" s="1"/>
  <c r="A143" i="199" s="1"/>
  <c r="A144" i="199" s="1"/>
  <c r="A145" i="199" s="1"/>
  <c r="A146" i="199" s="1"/>
  <c r="A147" i="199" s="1"/>
  <c r="A148" i="199" s="1"/>
  <c r="N103" i="199"/>
  <c r="J103" i="199"/>
  <c r="H103" i="199"/>
  <c r="J102" i="199"/>
  <c r="H102" i="199"/>
  <c r="J101" i="199"/>
  <c r="D100" i="199"/>
  <c r="C100" i="199"/>
  <c r="B100" i="199"/>
  <c r="D99" i="199"/>
  <c r="C99" i="199"/>
  <c r="B99" i="199"/>
  <c r="D98" i="199"/>
  <c r="C98" i="199"/>
  <c r="B98" i="199"/>
  <c r="D97" i="199"/>
  <c r="C97" i="199"/>
  <c r="B97" i="199"/>
  <c r="D96" i="199"/>
  <c r="C96" i="199"/>
  <c r="B96" i="199"/>
  <c r="D95" i="199"/>
  <c r="C95" i="199"/>
  <c r="B95" i="199"/>
  <c r="D94" i="199"/>
  <c r="C94" i="199"/>
  <c r="B94" i="199"/>
  <c r="D93" i="199"/>
  <c r="C93" i="199"/>
  <c r="B93" i="199"/>
  <c r="D92" i="199"/>
  <c r="C92" i="199"/>
  <c r="B92" i="199"/>
  <c r="D91" i="199"/>
  <c r="C91" i="199"/>
  <c r="B91" i="199"/>
  <c r="D90" i="199"/>
  <c r="C90" i="199"/>
  <c r="B90" i="199"/>
  <c r="D89" i="199"/>
  <c r="C89" i="199"/>
  <c r="B89" i="199"/>
  <c r="D88" i="199"/>
  <c r="C88" i="199"/>
  <c r="B88" i="199"/>
  <c r="D87" i="199"/>
  <c r="C87" i="199"/>
  <c r="B87" i="199"/>
  <c r="D86" i="199"/>
  <c r="C86" i="199"/>
  <c r="B86" i="199"/>
  <c r="D85" i="199"/>
  <c r="C85" i="199"/>
  <c r="B85" i="199"/>
  <c r="D84" i="199"/>
  <c r="C84" i="199"/>
  <c r="B84" i="199"/>
  <c r="D83" i="199"/>
  <c r="C83" i="199"/>
  <c r="B83" i="199"/>
  <c r="D82" i="199"/>
  <c r="C82" i="199"/>
  <c r="B82" i="199"/>
  <c r="D81" i="199"/>
  <c r="C81" i="199"/>
  <c r="B81" i="199"/>
  <c r="D80" i="199"/>
  <c r="C80" i="199"/>
  <c r="B80" i="199"/>
  <c r="D79" i="199"/>
  <c r="C79" i="199"/>
  <c r="B79" i="199"/>
  <c r="D78" i="199"/>
  <c r="C78" i="199"/>
  <c r="B78" i="199"/>
  <c r="D77" i="199"/>
  <c r="C77" i="199"/>
  <c r="B77" i="199"/>
  <c r="D76" i="199"/>
  <c r="C76" i="199"/>
  <c r="B76" i="199"/>
  <c r="D75" i="199"/>
  <c r="C75" i="199"/>
  <c r="B75" i="199"/>
  <c r="D74" i="199"/>
  <c r="C74" i="199"/>
  <c r="B74" i="199"/>
  <c r="D73" i="199"/>
  <c r="C73" i="199"/>
  <c r="B73" i="199"/>
  <c r="D72" i="199"/>
  <c r="C72" i="199"/>
  <c r="B72" i="199"/>
  <c r="D71" i="199"/>
  <c r="C71" i="199"/>
  <c r="B71" i="199"/>
  <c r="D70" i="199"/>
  <c r="C70" i="199"/>
  <c r="B70" i="199"/>
  <c r="D69" i="199"/>
  <c r="C69" i="199"/>
  <c r="B69" i="199"/>
  <c r="D68" i="199"/>
  <c r="C68" i="199"/>
  <c r="B68" i="199"/>
  <c r="D67" i="199"/>
  <c r="C67" i="199"/>
  <c r="B67" i="199"/>
  <c r="D66" i="199"/>
  <c r="C66" i="199"/>
  <c r="B66" i="199"/>
  <c r="D65" i="199"/>
  <c r="C65" i="199"/>
  <c r="B65" i="199"/>
  <c r="D64" i="199"/>
  <c r="C64" i="199"/>
  <c r="B64" i="199"/>
  <c r="D63" i="199"/>
  <c r="C63" i="199"/>
  <c r="B63" i="199"/>
  <c r="D62" i="199"/>
  <c r="C62" i="199"/>
  <c r="B62" i="199"/>
  <c r="D61" i="199"/>
  <c r="C61" i="199"/>
  <c r="B61" i="199"/>
  <c r="D60" i="199"/>
  <c r="C60" i="199"/>
  <c r="B60" i="199"/>
  <c r="D59" i="199"/>
  <c r="C59" i="199"/>
  <c r="B59" i="199"/>
  <c r="D58" i="199"/>
  <c r="C58" i="199"/>
  <c r="B58" i="199"/>
  <c r="D57" i="199"/>
  <c r="C57" i="199"/>
  <c r="B57" i="199"/>
  <c r="N54" i="199"/>
  <c r="J54" i="199"/>
  <c r="H54" i="199"/>
  <c r="J53" i="199"/>
  <c r="H53" i="199"/>
  <c r="J52" i="199"/>
  <c r="D21" i="199" a="1"/>
  <c r="D20" i="199" a="1"/>
  <c r="D19" i="199" a="1"/>
  <c r="D14" i="199" a="1"/>
  <c r="D54" i="199" s="1"/>
  <c r="D13" i="199" a="1"/>
  <c r="D102" i="199" s="1"/>
  <c r="D12" i="199" a="1"/>
  <c r="D101" i="199" s="1"/>
  <c r="D10" i="199" a="1"/>
  <c r="D8" i="199"/>
  <c r="D7" i="199"/>
  <c r="D6" i="199"/>
  <c r="D5" i="199"/>
  <c r="N3" i="199"/>
  <c r="N1" i="199"/>
  <c r="G107" i="198"/>
  <c r="I107" i="198" s="1"/>
  <c r="G108" i="198"/>
  <c r="I108" i="198" s="1"/>
  <c r="G109" i="198"/>
  <c r="I109" i="198" s="1"/>
  <c r="G110" i="198"/>
  <c r="I110" i="198" s="1"/>
  <c r="G111" i="198"/>
  <c r="I111" i="198" s="1"/>
  <c r="G112" i="198"/>
  <c r="I112" i="198" s="1"/>
  <c r="G113" i="198"/>
  <c r="I113" i="198" s="1"/>
  <c r="G114" i="198"/>
  <c r="I114" i="198" s="1"/>
  <c r="G115" i="198"/>
  <c r="I115" i="198" s="1"/>
  <c r="G116" i="198"/>
  <c r="I116" i="198" s="1"/>
  <c r="G117" i="198"/>
  <c r="I117" i="198" s="1"/>
  <c r="G118" i="198"/>
  <c r="I118" i="198" s="1"/>
  <c r="G119" i="198"/>
  <c r="I119" i="198" s="1"/>
  <c r="G120" i="198"/>
  <c r="I120" i="198" s="1"/>
  <c r="G121" i="198"/>
  <c r="I121" i="198" s="1"/>
  <c r="G122" i="198"/>
  <c r="I122" i="198" s="1"/>
  <c r="G123" i="198"/>
  <c r="I123" i="198" s="1"/>
  <c r="G124" i="198"/>
  <c r="I124" i="198" s="1"/>
  <c r="G125" i="198"/>
  <c r="I125" i="198" s="1"/>
  <c r="G126" i="198"/>
  <c r="I126" i="198" s="1"/>
  <c r="G127" i="198"/>
  <c r="I127" i="198" s="1"/>
  <c r="G128" i="198"/>
  <c r="I128" i="198" s="1"/>
  <c r="G129" i="198"/>
  <c r="I129" i="198" s="1"/>
  <c r="G130" i="198"/>
  <c r="I130" i="198" s="1"/>
  <c r="G131" i="198"/>
  <c r="I131" i="198" s="1"/>
  <c r="G132" i="198"/>
  <c r="I132" i="198" s="1"/>
  <c r="G133" i="198"/>
  <c r="I133" i="198" s="1"/>
  <c r="G134" i="198"/>
  <c r="I134" i="198" s="1"/>
  <c r="G135" i="198"/>
  <c r="I135" i="198" s="1"/>
  <c r="G136" i="198"/>
  <c r="I136" i="198" s="1"/>
  <c r="G137" i="198"/>
  <c r="I137" i="198" s="1"/>
  <c r="G138" i="198"/>
  <c r="I138" i="198" s="1"/>
  <c r="G139" i="198"/>
  <c r="I139" i="198" s="1"/>
  <c r="G140" i="198"/>
  <c r="I140" i="198" s="1"/>
  <c r="G141" i="198"/>
  <c r="I141" i="198" s="1"/>
  <c r="G142" i="198"/>
  <c r="I142" i="198" s="1"/>
  <c r="G143" i="198"/>
  <c r="I143" i="198" s="1"/>
  <c r="G144" i="198"/>
  <c r="I144" i="198" s="1"/>
  <c r="G145" i="198"/>
  <c r="I145" i="198" s="1"/>
  <c r="G146" i="198"/>
  <c r="I146" i="198" s="1"/>
  <c r="G147" i="198"/>
  <c r="I147" i="198" s="1"/>
  <c r="G148" i="198"/>
  <c r="I148" i="198" s="1"/>
  <c r="G106" i="198"/>
  <c r="I106" i="198" s="1"/>
  <c r="G58" i="198"/>
  <c r="I58" i="198" s="1"/>
  <c r="G59" i="198"/>
  <c r="I59" i="198" s="1"/>
  <c r="G60" i="198"/>
  <c r="I60" i="198" s="1"/>
  <c r="G61" i="198"/>
  <c r="I61" i="198" s="1"/>
  <c r="G62" i="198"/>
  <c r="I62" i="198" s="1"/>
  <c r="G63" i="198"/>
  <c r="I63" i="198" s="1"/>
  <c r="G64" i="198"/>
  <c r="I64" i="198" s="1"/>
  <c r="G65" i="198"/>
  <c r="I65" i="198" s="1"/>
  <c r="G66" i="198"/>
  <c r="I66" i="198" s="1"/>
  <c r="G67" i="198"/>
  <c r="I67" i="198" s="1"/>
  <c r="G68" i="198"/>
  <c r="I68" i="198" s="1"/>
  <c r="G69" i="198"/>
  <c r="I69" i="198" s="1"/>
  <c r="G70" i="198"/>
  <c r="I70" i="198" s="1"/>
  <c r="G71" i="198"/>
  <c r="I71" i="198" s="1"/>
  <c r="G72" i="198"/>
  <c r="I72" i="198" s="1"/>
  <c r="G73" i="198"/>
  <c r="I73" i="198" s="1"/>
  <c r="G74" i="198"/>
  <c r="I74" i="198" s="1"/>
  <c r="G75" i="198"/>
  <c r="I75" i="198" s="1"/>
  <c r="G76" i="198"/>
  <c r="I76" i="198" s="1"/>
  <c r="G77" i="198"/>
  <c r="I77" i="198" s="1"/>
  <c r="G78" i="198"/>
  <c r="I78" i="198" s="1"/>
  <c r="G79" i="198"/>
  <c r="I79" i="198" s="1"/>
  <c r="G80" i="198"/>
  <c r="I80" i="198" s="1"/>
  <c r="G81" i="198"/>
  <c r="I81" i="198" s="1"/>
  <c r="G82" i="198"/>
  <c r="I82" i="198" s="1"/>
  <c r="G83" i="198"/>
  <c r="I83" i="198" s="1"/>
  <c r="G84" i="198"/>
  <c r="I84" i="198" s="1"/>
  <c r="G85" i="198"/>
  <c r="I85" i="198" s="1"/>
  <c r="G86" i="198"/>
  <c r="I86" i="198" s="1"/>
  <c r="G87" i="198"/>
  <c r="I87" i="198" s="1"/>
  <c r="G88" i="198"/>
  <c r="I88" i="198" s="1"/>
  <c r="G89" i="198"/>
  <c r="I89" i="198" s="1"/>
  <c r="G90" i="198"/>
  <c r="I90" i="198" s="1"/>
  <c r="G91" i="198"/>
  <c r="I91" i="198" s="1"/>
  <c r="G92" i="198"/>
  <c r="I92" i="198" s="1"/>
  <c r="G93" i="198"/>
  <c r="I93" i="198" s="1"/>
  <c r="G94" i="198"/>
  <c r="I94" i="198" s="1"/>
  <c r="G95" i="198"/>
  <c r="I95" i="198" s="1"/>
  <c r="G96" i="198"/>
  <c r="I96" i="198" s="1"/>
  <c r="G97" i="198"/>
  <c r="I97" i="198" s="1"/>
  <c r="G98" i="198"/>
  <c r="I98" i="198" s="1"/>
  <c r="G99" i="198"/>
  <c r="I99" i="198" s="1"/>
  <c r="G100" i="198"/>
  <c r="I100" i="198" s="1"/>
  <c r="G57" i="198"/>
  <c r="M149" i="198"/>
  <c r="H149" i="198"/>
  <c r="D148" i="198"/>
  <c r="C148" i="198"/>
  <c r="B148" i="198"/>
  <c r="D147" i="198"/>
  <c r="C147" i="198"/>
  <c r="B147" i="198"/>
  <c r="D146" i="198"/>
  <c r="C146" i="198"/>
  <c r="B146" i="198"/>
  <c r="D145" i="198"/>
  <c r="C145" i="198"/>
  <c r="B145" i="198"/>
  <c r="D144" i="198"/>
  <c r="C144" i="198"/>
  <c r="B144" i="198"/>
  <c r="D143" i="198"/>
  <c r="C143" i="198"/>
  <c r="B143" i="198"/>
  <c r="D142" i="198"/>
  <c r="C142" i="198"/>
  <c r="B142" i="198"/>
  <c r="D141" i="198"/>
  <c r="C141" i="198"/>
  <c r="B141" i="198"/>
  <c r="D140" i="198"/>
  <c r="C140" i="198"/>
  <c r="B140" i="198"/>
  <c r="D139" i="198"/>
  <c r="C139" i="198"/>
  <c r="B139" i="198"/>
  <c r="D138" i="198"/>
  <c r="C138" i="198"/>
  <c r="B138" i="198"/>
  <c r="D137" i="198"/>
  <c r="C137" i="198"/>
  <c r="B137" i="198"/>
  <c r="D136" i="198"/>
  <c r="C136" i="198"/>
  <c r="B136" i="198"/>
  <c r="D135" i="198"/>
  <c r="C135" i="198"/>
  <c r="B135" i="198"/>
  <c r="D134" i="198"/>
  <c r="C134" i="198"/>
  <c r="B134" i="198"/>
  <c r="D133" i="198"/>
  <c r="C133" i="198"/>
  <c r="B133" i="198"/>
  <c r="D132" i="198"/>
  <c r="C132" i="198"/>
  <c r="B132" i="198"/>
  <c r="D131" i="198"/>
  <c r="C131" i="198"/>
  <c r="B131" i="198"/>
  <c r="D130" i="198"/>
  <c r="C130" i="198"/>
  <c r="B130" i="198"/>
  <c r="D129" i="198"/>
  <c r="C129" i="198"/>
  <c r="B129" i="198"/>
  <c r="D128" i="198"/>
  <c r="C128" i="198"/>
  <c r="B128" i="198"/>
  <c r="D127" i="198"/>
  <c r="C127" i="198"/>
  <c r="B127" i="198"/>
  <c r="D126" i="198"/>
  <c r="C126" i="198"/>
  <c r="B126" i="198"/>
  <c r="D125" i="198"/>
  <c r="C125" i="198"/>
  <c r="B125" i="198"/>
  <c r="D124" i="198"/>
  <c r="C124" i="198"/>
  <c r="B124" i="198"/>
  <c r="D123" i="198"/>
  <c r="C123" i="198"/>
  <c r="B123" i="198"/>
  <c r="D122" i="198"/>
  <c r="C122" i="198"/>
  <c r="B122" i="198"/>
  <c r="D121" i="198"/>
  <c r="C121" i="198"/>
  <c r="B121" i="198"/>
  <c r="D120" i="198"/>
  <c r="C120" i="198"/>
  <c r="B120" i="198"/>
  <c r="D119" i="198"/>
  <c r="C119" i="198"/>
  <c r="B119" i="198"/>
  <c r="D118" i="198"/>
  <c r="C118" i="198"/>
  <c r="B118" i="198"/>
  <c r="D117" i="198"/>
  <c r="C117" i="198"/>
  <c r="B117" i="198"/>
  <c r="D116" i="198"/>
  <c r="C116" i="198"/>
  <c r="B116" i="198"/>
  <c r="D115" i="198"/>
  <c r="C115" i="198"/>
  <c r="B115" i="198"/>
  <c r="D114" i="198"/>
  <c r="C114" i="198"/>
  <c r="B114" i="198"/>
  <c r="D113" i="198"/>
  <c r="C113" i="198"/>
  <c r="B113" i="198"/>
  <c r="D112" i="198"/>
  <c r="C112" i="198"/>
  <c r="B112" i="198"/>
  <c r="D111" i="198"/>
  <c r="C111" i="198"/>
  <c r="B111" i="198"/>
  <c r="D110" i="198"/>
  <c r="C110" i="198"/>
  <c r="B110" i="198"/>
  <c r="D109" i="198"/>
  <c r="C109" i="198"/>
  <c r="B109" i="198"/>
  <c r="D108" i="198"/>
  <c r="C108" i="198"/>
  <c r="B108" i="198"/>
  <c r="D107" i="198"/>
  <c r="C107" i="198"/>
  <c r="B107" i="198"/>
  <c r="D106" i="198"/>
  <c r="C106" i="198"/>
  <c r="B106" i="198"/>
  <c r="A106" i="198"/>
  <c r="A107" i="198" s="1"/>
  <c r="A108" i="198" s="1"/>
  <c r="A109" i="198" s="1"/>
  <c r="A110" i="198" s="1"/>
  <c r="A111" i="198" s="1"/>
  <c r="A112" i="198" s="1"/>
  <c r="A113" i="198" s="1"/>
  <c r="A114" i="198" s="1"/>
  <c r="A115" i="198" s="1"/>
  <c r="A116" i="198" s="1"/>
  <c r="A117" i="198" s="1"/>
  <c r="A118" i="198" s="1"/>
  <c r="A119" i="198" s="1"/>
  <c r="A120" i="198" s="1"/>
  <c r="A121" i="198" s="1"/>
  <c r="A122" i="198" s="1"/>
  <c r="A123" i="198" s="1"/>
  <c r="A124" i="198" s="1"/>
  <c r="A125" i="198" s="1"/>
  <c r="A126" i="198" s="1"/>
  <c r="A127" i="198" s="1"/>
  <c r="A128" i="198" s="1"/>
  <c r="A129" i="198" s="1"/>
  <c r="A130" i="198" s="1"/>
  <c r="A131" i="198" s="1"/>
  <c r="A132" i="198" s="1"/>
  <c r="A133" i="198" s="1"/>
  <c r="A134" i="198" s="1"/>
  <c r="A135" i="198" s="1"/>
  <c r="A136" i="198" s="1"/>
  <c r="A137" i="198" s="1"/>
  <c r="A138" i="198" s="1"/>
  <c r="A139" i="198" s="1"/>
  <c r="A140" i="198" s="1"/>
  <c r="A141" i="198" s="1"/>
  <c r="A142" i="198" s="1"/>
  <c r="A143" i="198" s="1"/>
  <c r="A144" i="198" s="1"/>
  <c r="A145" i="198" s="1"/>
  <c r="A146" i="198" s="1"/>
  <c r="A147" i="198" s="1"/>
  <c r="A148" i="198" s="1"/>
  <c r="N103" i="198"/>
  <c r="J103" i="198"/>
  <c r="H103" i="198"/>
  <c r="J102" i="198"/>
  <c r="H102" i="198"/>
  <c r="J101" i="198"/>
  <c r="D100" i="198"/>
  <c r="C100" i="198"/>
  <c r="B100" i="198"/>
  <c r="D99" i="198"/>
  <c r="C99" i="198"/>
  <c r="B99" i="198"/>
  <c r="D98" i="198"/>
  <c r="C98" i="198"/>
  <c r="B98" i="198"/>
  <c r="D97" i="198"/>
  <c r="C97" i="198"/>
  <c r="B97" i="198"/>
  <c r="D96" i="198"/>
  <c r="C96" i="198"/>
  <c r="B96" i="198"/>
  <c r="D95" i="198"/>
  <c r="C95" i="198"/>
  <c r="B95" i="198"/>
  <c r="D94" i="198"/>
  <c r="C94" i="198"/>
  <c r="B94" i="198"/>
  <c r="D93" i="198"/>
  <c r="C93" i="198"/>
  <c r="B93" i="198"/>
  <c r="D92" i="198"/>
  <c r="C92" i="198"/>
  <c r="B92" i="198"/>
  <c r="D91" i="198"/>
  <c r="C91" i="198"/>
  <c r="B91" i="198"/>
  <c r="D90" i="198"/>
  <c r="C90" i="198"/>
  <c r="B90" i="198"/>
  <c r="D89" i="198"/>
  <c r="C89" i="198"/>
  <c r="B89" i="198"/>
  <c r="D88" i="198"/>
  <c r="C88" i="198"/>
  <c r="B88" i="198"/>
  <c r="D87" i="198"/>
  <c r="C87" i="198"/>
  <c r="B87" i="198"/>
  <c r="D86" i="198"/>
  <c r="C86" i="198"/>
  <c r="B86" i="198"/>
  <c r="D85" i="198"/>
  <c r="C85" i="198"/>
  <c r="B85" i="198"/>
  <c r="D84" i="198"/>
  <c r="C84" i="198"/>
  <c r="B84" i="198"/>
  <c r="D83" i="198"/>
  <c r="C83" i="198"/>
  <c r="B83" i="198"/>
  <c r="D82" i="198"/>
  <c r="C82" i="198"/>
  <c r="B82" i="198"/>
  <c r="D81" i="198"/>
  <c r="C81" i="198"/>
  <c r="B81" i="198"/>
  <c r="D80" i="198"/>
  <c r="C80" i="198"/>
  <c r="B80" i="198"/>
  <c r="D79" i="198"/>
  <c r="C79" i="198"/>
  <c r="B79" i="198"/>
  <c r="D78" i="198"/>
  <c r="C78" i="198"/>
  <c r="B78" i="198"/>
  <c r="D77" i="198"/>
  <c r="C77" i="198"/>
  <c r="B77" i="198"/>
  <c r="D76" i="198"/>
  <c r="C76" i="198"/>
  <c r="B76" i="198"/>
  <c r="D75" i="198"/>
  <c r="C75" i="198"/>
  <c r="B75" i="198"/>
  <c r="D74" i="198"/>
  <c r="C74" i="198"/>
  <c r="B74" i="198"/>
  <c r="D73" i="198"/>
  <c r="C73" i="198"/>
  <c r="B73" i="198"/>
  <c r="D72" i="198"/>
  <c r="C72" i="198"/>
  <c r="B72" i="198"/>
  <c r="D71" i="198"/>
  <c r="C71" i="198"/>
  <c r="B71" i="198"/>
  <c r="D70" i="198"/>
  <c r="C70" i="198"/>
  <c r="B70" i="198"/>
  <c r="D69" i="198"/>
  <c r="C69" i="198"/>
  <c r="B69" i="198"/>
  <c r="D68" i="198"/>
  <c r="C68" i="198"/>
  <c r="B68" i="198"/>
  <c r="D67" i="198"/>
  <c r="C67" i="198"/>
  <c r="B67" i="198"/>
  <c r="D66" i="198"/>
  <c r="C66" i="198"/>
  <c r="B66" i="198"/>
  <c r="D65" i="198"/>
  <c r="C65" i="198"/>
  <c r="B65" i="198"/>
  <c r="D64" i="198"/>
  <c r="C64" i="198"/>
  <c r="B64" i="198"/>
  <c r="D63" i="198"/>
  <c r="C63" i="198"/>
  <c r="B63" i="198"/>
  <c r="D62" i="198"/>
  <c r="C62" i="198"/>
  <c r="B62" i="198"/>
  <c r="D61" i="198"/>
  <c r="C61" i="198"/>
  <c r="B61" i="198"/>
  <c r="D60" i="198"/>
  <c r="C60" i="198"/>
  <c r="B60" i="198"/>
  <c r="D59" i="198"/>
  <c r="C59" i="198"/>
  <c r="B59" i="198"/>
  <c r="D58" i="198"/>
  <c r="C58" i="198"/>
  <c r="B58" i="198"/>
  <c r="D57" i="198"/>
  <c r="C57" i="198"/>
  <c r="B57" i="198"/>
  <c r="N54" i="198"/>
  <c r="J54" i="198"/>
  <c r="H54" i="198"/>
  <c r="J53" i="198"/>
  <c r="H53" i="198"/>
  <c r="J52" i="198"/>
  <c r="D21" i="198" a="1"/>
  <c r="D20" i="198" a="1"/>
  <c r="D19" i="198" a="1"/>
  <c r="D14" i="198" a="1"/>
  <c r="D54" i="198" s="1"/>
  <c r="D13" i="198" a="1"/>
  <c r="D12" i="198" a="1"/>
  <c r="D10" i="198" a="1"/>
  <c r="D8" i="198"/>
  <c r="D7" i="198"/>
  <c r="D6" i="198"/>
  <c r="D5" i="198"/>
  <c r="N3" i="198"/>
  <c r="N1" i="198"/>
  <c r="G107" i="197"/>
  <c r="I107" i="197" s="1"/>
  <c r="G108" i="197"/>
  <c r="I108" i="197" s="1"/>
  <c r="G109" i="197"/>
  <c r="I109" i="197" s="1"/>
  <c r="G110" i="197"/>
  <c r="I110" i="197" s="1"/>
  <c r="G111" i="197"/>
  <c r="I111" i="197" s="1"/>
  <c r="G112" i="197"/>
  <c r="I112" i="197" s="1"/>
  <c r="G113" i="197"/>
  <c r="I113" i="197" s="1"/>
  <c r="G114" i="197"/>
  <c r="I114" i="197" s="1"/>
  <c r="G115" i="197"/>
  <c r="I115" i="197" s="1"/>
  <c r="G116" i="197"/>
  <c r="I116" i="197" s="1"/>
  <c r="G117" i="197"/>
  <c r="I117" i="197" s="1"/>
  <c r="G118" i="197"/>
  <c r="I118" i="197" s="1"/>
  <c r="G119" i="197"/>
  <c r="I119" i="197" s="1"/>
  <c r="G120" i="197"/>
  <c r="I120" i="197" s="1"/>
  <c r="G121" i="197"/>
  <c r="I121" i="197" s="1"/>
  <c r="G122" i="197"/>
  <c r="I122" i="197" s="1"/>
  <c r="G123" i="197"/>
  <c r="I123" i="197" s="1"/>
  <c r="G124" i="197"/>
  <c r="I124" i="197" s="1"/>
  <c r="G125" i="197"/>
  <c r="I125" i="197" s="1"/>
  <c r="G126" i="197"/>
  <c r="I126" i="197" s="1"/>
  <c r="G127" i="197"/>
  <c r="I127" i="197" s="1"/>
  <c r="G128" i="197"/>
  <c r="I128" i="197" s="1"/>
  <c r="G129" i="197"/>
  <c r="I129" i="197" s="1"/>
  <c r="G130" i="197"/>
  <c r="I130" i="197" s="1"/>
  <c r="G131" i="197"/>
  <c r="I131" i="197" s="1"/>
  <c r="G132" i="197"/>
  <c r="I132" i="197" s="1"/>
  <c r="G133" i="197"/>
  <c r="I133" i="197" s="1"/>
  <c r="G134" i="197"/>
  <c r="I134" i="197" s="1"/>
  <c r="G135" i="197"/>
  <c r="I135" i="197" s="1"/>
  <c r="G136" i="197"/>
  <c r="I136" i="197" s="1"/>
  <c r="G137" i="197"/>
  <c r="I137" i="197" s="1"/>
  <c r="G138" i="197"/>
  <c r="I138" i="197" s="1"/>
  <c r="G139" i="197"/>
  <c r="I139" i="197" s="1"/>
  <c r="G140" i="197"/>
  <c r="I140" i="197" s="1"/>
  <c r="G141" i="197"/>
  <c r="I141" i="197" s="1"/>
  <c r="G142" i="197"/>
  <c r="I142" i="197" s="1"/>
  <c r="G143" i="197"/>
  <c r="I143" i="197" s="1"/>
  <c r="G144" i="197"/>
  <c r="I144" i="197" s="1"/>
  <c r="G145" i="197"/>
  <c r="I145" i="197" s="1"/>
  <c r="G146" i="197"/>
  <c r="I146" i="197" s="1"/>
  <c r="G147" i="197"/>
  <c r="I147" i="197" s="1"/>
  <c r="G148" i="197"/>
  <c r="I148" i="197" s="1"/>
  <c r="G106" i="197"/>
  <c r="I106" i="197" s="1"/>
  <c r="G58" i="197"/>
  <c r="I58" i="197" s="1"/>
  <c r="G59" i="197"/>
  <c r="I59" i="197" s="1"/>
  <c r="G60" i="197"/>
  <c r="I60" i="197" s="1"/>
  <c r="G61" i="197"/>
  <c r="I61" i="197" s="1"/>
  <c r="G62" i="197"/>
  <c r="I62" i="197" s="1"/>
  <c r="G63" i="197"/>
  <c r="I63" i="197" s="1"/>
  <c r="G64" i="197"/>
  <c r="I64" i="197" s="1"/>
  <c r="G65" i="197"/>
  <c r="I65" i="197" s="1"/>
  <c r="G66" i="197"/>
  <c r="I66" i="197" s="1"/>
  <c r="G67" i="197"/>
  <c r="I67" i="197" s="1"/>
  <c r="G68" i="197"/>
  <c r="I68" i="197" s="1"/>
  <c r="G69" i="197"/>
  <c r="I69" i="197" s="1"/>
  <c r="G70" i="197"/>
  <c r="I70" i="197" s="1"/>
  <c r="G71" i="197"/>
  <c r="I71" i="197" s="1"/>
  <c r="G72" i="197"/>
  <c r="I72" i="197" s="1"/>
  <c r="G73" i="197"/>
  <c r="I73" i="197" s="1"/>
  <c r="G74" i="197"/>
  <c r="I74" i="197" s="1"/>
  <c r="G75" i="197"/>
  <c r="I75" i="197" s="1"/>
  <c r="G76" i="197"/>
  <c r="I76" i="197" s="1"/>
  <c r="G77" i="197"/>
  <c r="I77" i="197" s="1"/>
  <c r="G78" i="197"/>
  <c r="I78" i="197" s="1"/>
  <c r="G79" i="197"/>
  <c r="I79" i="197" s="1"/>
  <c r="G80" i="197"/>
  <c r="I80" i="197" s="1"/>
  <c r="G81" i="197"/>
  <c r="I81" i="197" s="1"/>
  <c r="G82" i="197"/>
  <c r="I82" i="197" s="1"/>
  <c r="G83" i="197"/>
  <c r="I83" i="197" s="1"/>
  <c r="G84" i="197"/>
  <c r="I84" i="197" s="1"/>
  <c r="G85" i="197"/>
  <c r="I85" i="197" s="1"/>
  <c r="G86" i="197"/>
  <c r="I86" i="197" s="1"/>
  <c r="G87" i="197"/>
  <c r="I87" i="197" s="1"/>
  <c r="G88" i="197"/>
  <c r="I88" i="197" s="1"/>
  <c r="G89" i="197"/>
  <c r="I89" i="197" s="1"/>
  <c r="G90" i="197"/>
  <c r="I90" i="197" s="1"/>
  <c r="G91" i="197"/>
  <c r="I91" i="197" s="1"/>
  <c r="G92" i="197"/>
  <c r="I92" i="197" s="1"/>
  <c r="G93" i="197"/>
  <c r="I93" i="197" s="1"/>
  <c r="G94" i="197"/>
  <c r="I94" i="197" s="1"/>
  <c r="G95" i="197"/>
  <c r="I95" i="197" s="1"/>
  <c r="G96" i="197"/>
  <c r="I96" i="197" s="1"/>
  <c r="G97" i="197"/>
  <c r="I97" i="197" s="1"/>
  <c r="G98" i="197"/>
  <c r="I98" i="197" s="1"/>
  <c r="G99" i="197"/>
  <c r="I99" i="197" s="1"/>
  <c r="G100" i="197"/>
  <c r="I100" i="197" s="1"/>
  <c r="G57" i="197"/>
  <c r="M149" i="197"/>
  <c r="H149" i="197"/>
  <c r="D148" i="197"/>
  <c r="C148" i="197"/>
  <c r="B148" i="197"/>
  <c r="D147" i="197"/>
  <c r="C147" i="197"/>
  <c r="B147" i="197"/>
  <c r="D146" i="197"/>
  <c r="C146" i="197"/>
  <c r="B146" i="197"/>
  <c r="D145" i="197"/>
  <c r="C145" i="197"/>
  <c r="B145" i="197"/>
  <c r="D144" i="197"/>
  <c r="C144" i="197"/>
  <c r="B144" i="197"/>
  <c r="D143" i="197"/>
  <c r="C143" i="197"/>
  <c r="B143" i="197"/>
  <c r="D142" i="197"/>
  <c r="C142" i="197"/>
  <c r="B142" i="197"/>
  <c r="D141" i="197"/>
  <c r="C141" i="197"/>
  <c r="B141" i="197"/>
  <c r="D140" i="197"/>
  <c r="C140" i="197"/>
  <c r="B140" i="197"/>
  <c r="D139" i="197"/>
  <c r="C139" i="197"/>
  <c r="B139" i="197"/>
  <c r="D138" i="197"/>
  <c r="C138" i="197"/>
  <c r="B138" i="197"/>
  <c r="D137" i="197"/>
  <c r="C137" i="197"/>
  <c r="B137" i="197"/>
  <c r="D136" i="197"/>
  <c r="C136" i="197"/>
  <c r="B136" i="197"/>
  <c r="D135" i="197"/>
  <c r="C135" i="197"/>
  <c r="B135" i="197"/>
  <c r="D134" i="197"/>
  <c r="C134" i="197"/>
  <c r="B134" i="197"/>
  <c r="D133" i="197"/>
  <c r="C133" i="197"/>
  <c r="B133" i="197"/>
  <c r="D132" i="197"/>
  <c r="C132" i="197"/>
  <c r="B132" i="197"/>
  <c r="D131" i="197"/>
  <c r="C131" i="197"/>
  <c r="B131" i="197"/>
  <c r="D130" i="197"/>
  <c r="C130" i="197"/>
  <c r="B130" i="197"/>
  <c r="D129" i="197"/>
  <c r="C129" i="197"/>
  <c r="B129" i="197"/>
  <c r="D128" i="197"/>
  <c r="C128" i="197"/>
  <c r="B128" i="197"/>
  <c r="D127" i="197"/>
  <c r="C127" i="197"/>
  <c r="B127" i="197"/>
  <c r="D126" i="197"/>
  <c r="C126" i="197"/>
  <c r="B126" i="197"/>
  <c r="D125" i="197"/>
  <c r="C125" i="197"/>
  <c r="B125" i="197"/>
  <c r="D124" i="197"/>
  <c r="C124" i="197"/>
  <c r="B124" i="197"/>
  <c r="D123" i="197"/>
  <c r="C123" i="197"/>
  <c r="B123" i="197"/>
  <c r="D122" i="197"/>
  <c r="C122" i="197"/>
  <c r="B122" i="197"/>
  <c r="D121" i="197"/>
  <c r="C121" i="197"/>
  <c r="B121" i="197"/>
  <c r="D120" i="197"/>
  <c r="C120" i="197"/>
  <c r="B120" i="197"/>
  <c r="D119" i="197"/>
  <c r="C119" i="197"/>
  <c r="B119" i="197"/>
  <c r="D118" i="197"/>
  <c r="C118" i="197"/>
  <c r="B118" i="197"/>
  <c r="D117" i="197"/>
  <c r="C117" i="197"/>
  <c r="B117" i="197"/>
  <c r="D116" i="197"/>
  <c r="C116" i="197"/>
  <c r="B116" i="197"/>
  <c r="D115" i="197"/>
  <c r="C115" i="197"/>
  <c r="B115" i="197"/>
  <c r="D114" i="197"/>
  <c r="C114" i="197"/>
  <c r="B114" i="197"/>
  <c r="D113" i="197"/>
  <c r="C113" i="197"/>
  <c r="B113" i="197"/>
  <c r="D112" i="197"/>
  <c r="C112" i="197"/>
  <c r="B112" i="197"/>
  <c r="D111" i="197"/>
  <c r="C111" i="197"/>
  <c r="B111" i="197"/>
  <c r="D110" i="197"/>
  <c r="C110" i="197"/>
  <c r="B110" i="197"/>
  <c r="D109" i="197"/>
  <c r="C109" i="197"/>
  <c r="B109" i="197"/>
  <c r="D108" i="197"/>
  <c r="C108" i="197"/>
  <c r="B108" i="197"/>
  <c r="D107" i="197"/>
  <c r="C107" i="197"/>
  <c r="B107" i="197"/>
  <c r="D106" i="197"/>
  <c r="C106" i="197"/>
  <c r="B106" i="197"/>
  <c r="A106" i="197"/>
  <c r="A107" i="197" s="1"/>
  <c r="A108" i="197" s="1"/>
  <c r="A109" i="197" s="1"/>
  <c r="A110" i="197" s="1"/>
  <c r="A111" i="197" s="1"/>
  <c r="A112" i="197" s="1"/>
  <c r="A113" i="197" s="1"/>
  <c r="A114" i="197" s="1"/>
  <c r="A115" i="197" s="1"/>
  <c r="A116" i="197" s="1"/>
  <c r="A117" i="197" s="1"/>
  <c r="A118" i="197" s="1"/>
  <c r="A119" i="197" s="1"/>
  <c r="A120" i="197" s="1"/>
  <c r="A121" i="197" s="1"/>
  <c r="A122" i="197" s="1"/>
  <c r="A123" i="197" s="1"/>
  <c r="A124" i="197" s="1"/>
  <c r="A125" i="197" s="1"/>
  <c r="A126" i="197" s="1"/>
  <c r="A127" i="197" s="1"/>
  <c r="A128" i="197" s="1"/>
  <c r="A129" i="197" s="1"/>
  <c r="A130" i="197" s="1"/>
  <c r="A131" i="197" s="1"/>
  <c r="A132" i="197" s="1"/>
  <c r="A133" i="197" s="1"/>
  <c r="A134" i="197" s="1"/>
  <c r="A135" i="197" s="1"/>
  <c r="A136" i="197" s="1"/>
  <c r="A137" i="197" s="1"/>
  <c r="A138" i="197" s="1"/>
  <c r="A139" i="197" s="1"/>
  <c r="A140" i="197" s="1"/>
  <c r="A141" i="197" s="1"/>
  <c r="A142" i="197" s="1"/>
  <c r="A143" i="197" s="1"/>
  <c r="A144" i="197" s="1"/>
  <c r="A145" i="197" s="1"/>
  <c r="A146" i="197" s="1"/>
  <c r="A147" i="197" s="1"/>
  <c r="A148" i="197" s="1"/>
  <c r="N103" i="197"/>
  <c r="J103" i="197"/>
  <c r="H103" i="197"/>
  <c r="J102" i="197"/>
  <c r="H102" i="197"/>
  <c r="J101" i="197"/>
  <c r="D100" i="197"/>
  <c r="C100" i="197"/>
  <c r="B100" i="197"/>
  <c r="D99" i="197"/>
  <c r="C99" i="197"/>
  <c r="B99" i="197"/>
  <c r="D98" i="197"/>
  <c r="C98" i="197"/>
  <c r="B98" i="197"/>
  <c r="D97" i="197"/>
  <c r="C97" i="197"/>
  <c r="B97" i="197"/>
  <c r="D96" i="197"/>
  <c r="C96" i="197"/>
  <c r="B96" i="197"/>
  <c r="D95" i="197"/>
  <c r="C95" i="197"/>
  <c r="B95" i="197"/>
  <c r="D94" i="197"/>
  <c r="C94" i="197"/>
  <c r="B94" i="197"/>
  <c r="D93" i="197"/>
  <c r="C93" i="197"/>
  <c r="B93" i="197"/>
  <c r="D92" i="197"/>
  <c r="C92" i="197"/>
  <c r="B92" i="197"/>
  <c r="D91" i="197"/>
  <c r="C91" i="197"/>
  <c r="B91" i="197"/>
  <c r="D90" i="197"/>
  <c r="C90" i="197"/>
  <c r="B90" i="197"/>
  <c r="D89" i="197"/>
  <c r="C89" i="197"/>
  <c r="B89" i="197"/>
  <c r="D88" i="197"/>
  <c r="C88" i="197"/>
  <c r="B88" i="197"/>
  <c r="D87" i="197"/>
  <c r="C87" i="197"/>
  <c r="B87" i="197"/>
  <c r="D86" i="197"/>
  <c r="C86" i="197"/>
  <c r="B86" i="197"/>
  <c r="D85" i="197"/>
  <c r="C85" i="197"/>
  <c r="B85" i="197"/>
  <c r="D84" i="197"/>
  <c r="C84" i="197"/>
  <c r="B84" i="197"/>
  <c r="D83" i="197"/>
  <c r="C83" i="197"/>
  <c r="B83" i="197"/>
  <c r="D82" i="197"/>
  <c r="C82" i="197"/>
  <c r="B82" i="197"/>
  <c r="D81" i="197"/>
  <c r="C81" i="197"/>
  <c r="B81" i="197"/>
  <c r="D80" i="197"/>
  <c r="C80" i="197"/>
  <c r="B80" i="197"/>
  <c r="D79" i="197"/>
  <c r="C79" i="197"/>
  <c r="B79" i="197"/>
  <c r="D78" i="197"/>
  <c r="C78" i="197"/>
  <c r="B78" i="197"/>
  <c r="D77" i="197"/>
  <c r="C77" i="197"/>
  <c r="B77" i="197"/>
  <c r="D76" i="197"/>
  <c r="C76" i="197"/>
  <c r="B76" i="197"/>
  <c r="D75" i="197"/>
  <c r="C75" i="197"/>
  <c r="B75" i="197"/>
  <c r="D74" i="197"/>
  <c r="C74" i="197"/>
  <c r="B74" i="197"/>
  <c r="D73" i="197"/>
  <c r="C73" i="197"/>
  <c r="B73" i="197"/>
  <c r="D72" i="197"/>
  <c r="C72" i="197"/>
  <c r="B72" i="197"/>
  <c r="D71" i="197"/>
  <c r="C71" i="197"/>
  <c r="B71" i="197"/>
  <c r="D70" i="197"/>
  <c r="C70" i="197"/>
  <c r="B70" i="197"/>
  <c r="D69" i="197"/>
  <c r="C69" i="197"/>
  <c r="B69" i="197"/>
  <c r="D68" i="197"/>
  <c r="C68" i="197"/>
  <c r="B68" i="197"/>
  <c r="D67" i="197"/>
  <c r="C67" i="197"/>
  <c r="B67" i="197"/>
  <c r="D66" i="197"/>
  <c r="C66" i="197"/>
  <c r="B66" i="197"/>
  <c r="D65" i="197"/>
  <c r="C65" i="197"/>
  <c r="B65" i="197"/>
  <c r="D64" i="197"/>
  <c r="C64" i="197"/>
  <c r="B64" i="197"/>
  <c r="D63" i="197"/>
  <c r="C63" i="197"/>
  <c r="B63" i="197"/>
  <c r="D62" i="197"/>
  <c r="C62" i="197"/>
  <c r="B62" i="197"/>
  <c r="D61" i="197"/>
  <c r="C61" i="197"/>
  <c r="B61" i="197"/>
  <c r="D60" i="197"/>
  <c r="C60" i="197"/>
  <c r="B60" i="197"/>
  <c r="D59" i="197"/>
  <c r="C59" i="197"/>
  <c r="B59" i="197"/>
  <c r="D58" i="197"/>
  <c r="C58" i="197"/>
  <c r="B58" i="197"/>
  <c r="D57" i="197"/>
  <c r="C57" i="197"/>
  <c r="B57" i="197"/>
  <c r="N54" i="197"/>
  <c r="J54" i="197"/>
  <c r="H54" i="197"/>
  <c r="J53" i="197"/>
  <c r="H53" i="197"/>
  <c r="J52" i="197"/>
  <c r="D21" i="197" a="1"/>
  <c r="D20" i="197" a="1"/>
  <c r="D19" i="197" a="1"/>
  <c r="D14" i="197" a="1"/>
  <c r="D54" i="197" s="1"/>
  <c r="D13" i="197" a="1"/>
  <c r="D12" i="197" a="1"/>
  <c r="D10" i="197" a="1"/>
  <c r="D8" i="197"/>
  <c r="D7" i="197"/>
  <c r="D6" i="197"/>
  <c r="D5" i="197"/>
  <c r="N3" i="197"/>
  <c r="N1" i="197"/>
  <c r="G107" i="196"/>
  <c r="I107" i="196" s="1"/>
  <c r="G108" i="196"/>
  <c r="I108" i="196" s="1"/>
  <c r="G109" i="196"/>
  <c r="I109" i="196" s="1"/>
  <c r="G110" i="196"/>
  <c r="I110" i="196" s="1"/>
  <c r="G111" i="196"/>
  <c r="I111" i="196" s="1"/>
  <c r="G112" i="196"/>
  <c r="I112" i="196" s="1"/>
  <c r="G113" i="196"/>
  <c r="I113" i="196" s="1"/>
  <c r="G114" i="196"/>
  <c r="I114" i="196" s="1"/>
  <c r="G115" i="196"/>
  <c r="I115" i="196" s="1"/>
  <c r="G116" i="196"/>
  <c r="I116" i="196" s="1"/>
  <c r="G117" i="196"/>
  <c r="I117" i="196" s="1"/>
  <c r="G118" i="196"/>
  <c r="I118" i="196" s="1"/>
  <c r="G119" i="196"/>
  <c r="I119" i="196" s="1"/>
  <c r="G120" i="196"/>
  <c r="I120" i="196" s="1"/>
  <c r="G121" i="196"/>
  <c r="I121" i="196" s="1"/>
  <c r="G122" i="196"/>
  <c r="I122" i="196" s="1"/>
  <c r="G123" i="196"/>
  <c r="I123" i="196" s="1"/>
  <c r="G124" i="196"/>
  <c r="I124" i="196" s="1"/>
  <c r="G125" i="196"/>
  <c r="I125" i="196" s="1"/>
  <c r="G126" i="196"/>
  <c r="I126" i="196" s="1"/>
  <c r="G127" i="196"/>
  <c r="I127" i="196" s="1"/>
  <c r="G128" i="196"/>
  <c r="I128" i="196" s="1"/>
  <c r="G129" i="196"/>
  <c r="I129" i="196" s="1"/>
  <c r="G130" i="196"/>
  <c r="I130" i="196" s="1"/>
  <c r="G131" i="196"/>
  <c r="I131" i="196" s="1"/>
  <c r="G132" i="196"/>
  <c r="I132" i="196" s="1"/>
  <c r="G133" i="196"/>
  <c r="I133" i="196" s="1"/>
  <c r="G134" i="196"/>
  <c r="I134" i="196" s="1"/>
  <c r="G135" i="196"/>
  <c r="I135" i="196" s="1"/>
  <c r="G136" i="196"/>
  <c r="I136" i="196" s="1"/>
  <c r="G137" i="196"/>
  <c r="I137" i="196" s="1"/>
  <c r="G138" i="196"/>
  <c r="I138" i="196" s="1"/>
  <c r="G139" i="196"/>
  <c r="I139" i="196" s="1"/>
  <c r="G140" i="196"/>
  <c r="I140" i="196" s="1"/>
  <c r="G141" i="196"/>
  <c r="I141" i="196" s="1"/>
  <c r="G142" i="196"/>
  <c r="I142" i="196" s="1"/>
  <c r="G143" i="196"/>
  <c r="I143" i="196" s="1"/>
  <c r="G144" i="196"/>
  <c r="I144" i="196" s="1"/>
  <c r="G145" i="196"/>
  <c r="I145" i="196" s="1"/>
  <c r="G146" i="196"/>
  <c r="I146" i="196" s="1"/>
  <c r="G147" i="196"/>
  <c r="I147" i="196" s="1"/>
  <c r="G148" i="196"/>
  <c r="I148" i="196" s="1"/>
  <c r="G106" i="196"/>
  <c r="I106" i="196" s="1"/>
  <c r="G58" i="196"/>
  <c r="I58" i="196" s="1"/>
  <c r="G59" i="196"/>
  <c r="I59" i="196" s="1"/>
  <c r="G60" i="196"/>
  <c r="I60" i="196" s="1"/>
  <c r="G61" i="196"/>
  <c r="I61" i="196" s="1"/>
  <c r="G62" i="196"/>
  <c r="I62" i="196" s="1"/>
  <c r="G63" i="196"/>
  <c r="I63" i="196" s="1"/>
  <c r="G64" i="196"/>
  <c r="I64" i="196" s="1"/>
  <c r="G65" i="196"/>
  <c r="I65" i="196" s="1"/>
  <c r="G66" i="196"/>
  <c r="I66" i="196" s="1"/>
  <c r="G67" i="196"/>
  <c r="I67" i="196" s="1"/>
  <c r="G68" i="196"/>
  <c r="I68" i="196" s="1"/>
  <c r="G69" i="196"/>
  <c r="I69" i="196" s="1"/>
  <c r="G70" i="196"/>
  <c r="I70" i="196" s="1"/>
  <c r="G71" i="196"/>
  <c r="I71" i="196" s="1"/>
  <c r="G72" i="196"/>
  <c r="I72" i="196" s="1"/>
  <c r="G73" i="196"/>
  <c r="I73" i="196" s="1"/>
  <c r="G74" i="196"/>
  <c r="I74" i="196" s="1"/>
  <c r="G75" i="196"/>
  <c r="I75" i="196" s="1"/>
  <c r="G76" i="196"/>
  <c r="I76" i="196" s="1"/>
  <c r="G77" i="196"/>
  <c r="I77" i="196" s="1"/>
  <c r="G78" i="196"/>
  <c r="I78" i="196" s="1"/>
  <c r="G79" i="196"/>
  <c r="I79" i="196" s="1"/>
  <c r="G80" i="196"/>
  <c r="I80" i="196" s="1"/>
  <c r="G81" i="196"/>
  <c r="I81" i="196" s="1"/>
  <c r="G82" i="196"/>
  <c r="I82" i="196" s="1"/>
  <c r="G83" i="196"/>
  <c r="I83" i="196" s="1"/>
  <c r="G84" i="196"/>
  <c r="I84" i="196" s="1"/>
  <c r="G85" i="196"/>
  <c r="I85" i="196" s="1"/>
  <c r="G86" i="196"/>
  <c r="I86" i="196" s="1"/>
  <c r="G87" i="196"/>
  <c r="I87" i="196" s="1"/>
  <c r="G88" i="196"/>
  <c r="I88" i="196" s="1"/>
  <c r="G89" i="196"/>
  <c r="I89" i="196" s="1"/>
  <c r="G90" i="196"/>
  <c r="I90" i="196" s="1"/>
  <c r="G91" i="196"/>
  <c r="I91" i="196" s="1"/>
  <c r="G92" i="196"/>
  <c r="I92" i="196" s="1"/>
  <c r="G93" i="196"/>
  <c r="I93" i="196" s="1"/>
  <c r="G94" i="196"/>
  <c r="I94" i="196" s="1"/>
  <c r="G95" i="196"/>
  <c r="I95" i="196" s="1"/>
  <c r="G96" i="196"/>
  <c r="I96" i="196" s="1"/>
  <c r="G97" i="196"/>
  <c r="I97" i="196" s="1"/>
  <c r="G98" i="196"/>
  <c r="I98" i="196" s="1"/>
  <c r="G99" i="196"/>
  <c r="I99" i="196" s="1"/>
  <c r="G100" i="196"/>
  <c r="I100" i="196" s="1"/>
  <c r="G57" i="196"/>
  <c r="M149" i="196"/>
  <c r="H149" i="196"/>
  <c r="D148" i="196"/>
  <c r="C148" i="196"/>
  <c r="B148" i="196"/>
  <c r="D147" i="196"/>
  <c r="C147" i="196"/>
  <c r="B147" i="196"/>
  <c r="D146" i="196"/>
  <c r="C146" i="196"/>
  <c r="B146" i="196"/>
  <c r="D145" i="196"/>
  <c r="C145" i="196"/>
  <c r="B145" i="196"/>
  <c r="D144" i="196"/>
  <c r="C144" i="196"/>
  <c r="B144" i="196"/>
  <c r="D143" i="196"/>
  <c r="C143" i="196"/>
  <c r="B143" i="196"/>
  <c r="D142" i="196"/>
  <c r="C142" i="196"/>
  <c r="B142" i="196"/>
  <c r="D141" i="196"/>
  <c r="C141" i="196"/>
  <c r="B141" i="196"/>
  <c r="D140" i="196"/>
  <c r="C140" i="196"/>
  <c r="B140" i="196"/>
  <c r="D139" i="196"/>
  <c r="C139" i="196"/>
  <c r="B139" i="196"/>
  <c r="D138" i="196"/>
  <c r="C138" i="196"/>
  <c r="B138" i="196"/>
  <c r="D137" i="196"/>
  <c r="C137" i="196"/>
  <c r="B137" i="196"/>
  <c r="D136" i="196"/>
  <c r="C136" i="196"/>
  <c r="B136" i="196"/>
  <c r="D135" i="196"/>
  <c r="C135" i="196"/>
  <c r="B135" i="196"/>
  <c r="D134" i="196"/>
  <c r="C134" i="196"/>
  <c r="B134" i="196"/>
  <c r="D133" i="196"/>
  <c r="C133" i="196"/>
  <c r="B133" i="196"/>
  <c r="D132" i="196"/>
  <c r="C132" i="196"/>
  <c r="B132" i="196"/>
  <c r="D131" i="196"/>
  <c r="C131" i="196"/>
  <c r="B131" i="196"/>
  <c r="D130" i="196"/>
  <c r="C130" i="196"/>
  <c r="B130" i="196"/>
  <c r="D129" i="196"/>
  <c r="C129" i="196"/>
  <c r="B129" i="196"/>
  <c r="D128" i="196"/>
  <c r="C128" i="196"/>
  <c r="B128" i="196"/>
  <c r="D127" i="196"/>
  <c r="C127" i="196"/>
  <c r="B127" i="196"/>
  <c r="D126" i="196"/>
  <c r="C126" i="196"/>
  <c r="B126" i="196"/>
  <c r="D125" i="196"/>
  <c r="C125" i="196"/>
  <c r="B125" i="196"/>
  <c r="D124" i="196"/>
  <c r="C124" i="196"/>
  <c r="B124" i="196"/>
  <c r="D123" i="196"/>
  <c r="C123" i="196"/>
  <c r="B123" i="196"/>
  <c r="D122" i="196"/>
  <c r="C122" i="196"/>
  <c r="B122" i="196"/>
  <c r="D121" i="196"/>
  <c r="C121" i="196"/>
  <c r="B121" i="196"/>
  <c r="D120" i="196"/>
  <c r="C120" i="196"/>
  <c r="B120" i="196"/>
  <c r="D119" i="196"/>
  <c r="C119" i="196"/>
  <c r="B119" i="196"/>
  <c r="D118" i="196"/>
  <c r="C118" i="196"/>
  <c r="B118" i="196"/>
  <c r="D117" i="196"/>
  <c r="C117" i="196"/>
  <c r="B117" i="196"/>
  <c r="D116" i="196"/>
  <c r="C116" i="196"/>
  <c r="B116" i="196"/>
  <c r="D115" i="196"/>
  <c r="C115" i="196"/>
  <c r="B115" i="196"/>
  <c r="D114" i="196"/>
  <c r="C114" i="196"/>
  <c r="B114" i="196"/>
  <c r="D113" i="196"/>
  <c r="C113" i="196"/>
  <c r="B113" i="196"/>
  <c r="D112" i="196"/>
  <c r="C112" i="196"/>
  <c r="B112" i="196"/>
  <c r="D111" i="196"/>
  <c r="C111" i="196"/>
  <c r="B111" i="196"/>
  <c r="D110" i="196"/>
  <c r="C110" i="196"/>
  <c r="B110" i="196"/>
  <c r="D109" i="196"/>
  <c r="C109" i="196"/>
  <c r="B109" i="196"/>
  <c r="D108" i="196"/>
  <c r="C108" i="196"/>
  <c r="B108" i="196"/>
  <c r="D107" i="196"/>
  <c r="C107" i="196"/>
  <c r="B107" i="196"/>
  <c r="D106" i="196"/>
  <c r="C106" i="196"/>
  <c r="B106" i="196"/>
  <c r="A106" i="196"/>
  <c r="A107" i="196" s="1"/>
  <c r="A108" i="196" s="1"/>
  <c r="A109" i="196" s="1"/>
  <c r="A110" i="196" s="1"/>
  <c r="A111" i="196" s="1"/>
  <c r="A112" i="196" s="1"/>
  <c r="A113" i="196" s="1"/>
  <c r="A114" i="196" s="1"/>
  <c r="A115" i="196" s="1"/>
  <c r="A116" i="196" s="1"/>
  <c r="A117" i="196" s="1"/>
  <c r="A118" i="196" s="1"/>
  <c r="A119" i="196" s="1"/>
  <c r="A120" i="196" s="1"/>
  <c r="A121" i="196" s="1"/>
  <c r="A122" i="196" s="1"/>
  <c r="A123" i="196" s="1"/>
  <c r="A124" i="196" s="1"/>
  <c r="A125" i="196" s="1"/>
  <c r="A126" i="196" s="1"/>
  <c r="A127" i="196" s="1"/>
  <c r="A128" i="196" s="1"/>
  <c r="A129" i="196" s="1"/>
  <c r="A130" i="196" s="1"/>
  <c r="A131" i="196" s="1"/>
  <c r="A132" i="196" s="1"/>
  <c r="A133" i="196" s="1"/>
  <c r="A134" i="196" s="1"/>
  <c r="A135" i="196" s="1"/>
  <c r="A136" i="196" s="1"/>
  <c r="A137" i="196" s="1"/>
  <c r="A138" i="196" s="1"/>
  <c r="A139" i="196" s="1"/>
  <c r="A140" i="196" s="1"/>
  <c r="A141" i="196" s="1"/>
  <c r="A142" i="196" s="1"/>
  <c r="A143" i="196" s="1"/>
  <c r="A144" i="196" s="1"/>
  <c r="A145" i="196" s="1"/>
  <c r="A146" i="196" s="1"/>
  <c r="A147" i="196" s="1"/>
  <c r="A148" i="196" s="1"/>
  <c r="N103" i="196"/>
  <c r="J103" i="196"/>
  <c r="H103" i="196"/>
  <c r="J102" i="196"/>
  <c r="H102" i="196"/>
  <c r="J101" i="196"/>
  <c r="D100" i="196"/>
  <c r="C100" i="196"/>
  <c r="B100" i="196"/>
  <c r="D99" i="196"/>
  <c r="C99" i="196"/>
  <c r="B99" i="196"/>
  <c r="D98" i="196"/>
  <c r="C98" i="196"/>
  <c r="B98" i="196"/>
  <c r="D97" i="196"/>
  <c r="C97" i="196"/>
  <c r="B97" i="196"/>
  <c r="D96" i="196"/>
  <c r="C96" i="196"/>
  <c r="B96" i="196"/>
  <c r="D95" i="196"/>
  <c r="C95" i="196"/>
  <c r="B95" i="196"/>
  <c r="D94" i="196"/>
  <c r="C94" i="196"/>
  <c r="B94" i="196"/>
  <c r="D93" i="196"/>
  <c r="C93" i="196"/>
  <c r="B93" i="196"/>
  <c r="D92" i="196"/>
  <c r="C92" i="196"/>
  <c r="B92" i="196"/>
  <c r="D91" i="196"/>
  <c r="C91" i="196"/>
  <c r="B91" i="196"/>
  <c r="D90" i="196"/>
  <c r="C90" i="196"/>
  <c r="B90" i="196"/>
  <c r="D89" i="196"/>
  <c r="C89" i="196"/>
  <c r="B89" i="196"/>
  <c r="D88" i="196"/>
  <c r="C88" i="196"/>
  <c r="B88" i="196"/>
  <c r="D87" i="196"/>
  <c r="C87" i="196"/>
  <c r="B87" i="196"/>
  <c r="D86" i="196"/>
  <c r="C86" i="196"/>
  <c r="B86" i="196"/>
  <c r="D85" i="196"/>
  <c r="C85" i="196"/>
  <c r="B85" i="196"/>
  <c r="D84" i="196"/>
  <c r="C84" i="196"/>
  <c r="B84" i="196"/>
  <c r="D83" i="196"/>
  <c r="C83" i="196"/>
  <c r="B83" i="196"/>
  <c r="D82" i="196"/>
  <c r="C82" i="196"/>
  <c r="B82" i="196"/>
  <c r="D81" i="196"/>
  <c r="C81" i="196"/>
  <c r="B81" i="196"/>
  <c r="D80" i="196"/>
  <c r="C80" i="196"/>
  <c r="B80" i="196"/>
  <c r="D79" i="196"/>
  <c r="C79" i="196"/>
  <c r="B79" i="196"/>
  <c r="D78" i="196"/>
  <c r="C78" i="196"/>
  <c r="B78" i="196"/>
  <c r="D77" i="196"/>
  <c r="C77" i="196"/>
  <c r="B77" i="196"/>
  <c r="D76" i="196"/>
  <c r="C76" i="196"/>
  <c r="B76" i="196"/>
  <c r="D75" i="196"/>
  <c r="C75" i="196"/>
  <c r="B75" i="196"/>
  <c r="D74" i="196"/>
  <c r="C74" i="196"/>
  <c r="B74" i="196"/>
  <c r="D73" i="196"/>
  <c r="C73" i="196"/>
  <c r="B73" i="196"/>
  <c r="D72" i="196"/>
  <c r="C72" i="196"/>
  <c r="B72" i="196"/>
  <c r="D71" i="196"/>
  <c r="C71" i="196"/>
  <c r="B71" i="196"/>
  <c r="D70" i="196"/>
  <c r="C70" i="196"/>
  <c r="B70" i="196"/>
  <c r="D69" i="196"/>
  <c r="C69" i="196"/>
  <c r="B69" i="196"/>
  <c r="D68" i="196"/>
  <c r="C68" i="196"/>
  <c r="B68" i="196"/>
  <c r="D67" i="196"/>
  <c r="C67" i="196"/>
  <c r="B67" i="196"/>
  <c r="D66" i="196"/>
  <c r="C66" i="196"/>
  <c r="B66" i="196"/>
  <c r="D65" i="196"/>
  <c r="C65" i="196"/>
  <c r="B65" i="196"/>
  <c r="D64" i="196"/>
  <c r="C64" i="196"/>
  <c r="B64" i="196"/>
  <c r="D63" i="196"/>
  <c r="C63" i="196"/>
  <c r="B63" i="196"/>
  <c r="D62" i="196"/>
  <c r="C62" i="196"/>
  <c r="B62" i="196"/>
  <c r="D61" i="196"/>
  <c r="C61" i="196"/>
  <c r="B61" i="196"/>
  <c r="D60" i="196"/>
  <c r="C60" i="196"/>
  <c r="B60" i="196"/>
  <c r="D59" i="196"/>
  <c r="C59" i="196"/>
  <c r="B59" i="196"/>
  <c r="D58" i="196"/>
  <c r="C58" i="196"/>
  <c r="B58" i="196"/>
  <c r="D57" i="196"/>
  <c r="C57" i="196"/>
  <c r="B57" i="196"/>
  <c r="N54" i="196"/>
  <c r="J54" i="196"/>
  <c r="H54" i="196"/>
  <c r="J53" i="196"/>
  <c r="H53" i="196"/>
  <c r="J52" i="196"/>
  <c r="D21" i="196" a="1"/>
  <c r="D20" i="196" a="1"/>
  <c r="D19" i="196" a="1"/>
  <c r="D14" i="196" a="1"/>
  <c r="D54" i="196" s="1"/>
  <c r="D13" i="196" a="1"/>
  <c r="D12" i="196" a="1"/>
  <c r="D101" i="196" s="1"/>
  <c r="D10" i="196" a="1"/>
  <c r="D8" i="196"/>
  <c r="D7" i="196"/>
  <c r="D6" i="196"/>
  <c r="D5" i="196"/>
  <c r="N3" i="196"/>
  <c r="N1" i="196"/>
  <c r="G132" i="195"/>
  <c r="I132" i="195" s="1"/>
  <c r="G133" i="195"/>
  <c r="I133" i="195" s="1"/>
  <c r="G134" i="195"/>
  <c r="I134" i="195" s="1"/>
  <c r="G135" i="195"/>
  <c r="I135" i="195" s="1"/>
  <c r="G136" i="195"/>
  <c r="I136" i="195" s="1"/>
  <c r="G137" i="195"/>
  <c r="I137" i="195" s="1"/>
  <c r="G138" i="195"/>
  <c r="I138" i="195" s="1"/>
  <c r="G139" i="195"/>
  <c r="I139" i="195" s="1"/>
  <c r="G140" i="195"/>
  <c r="I140" i="195" s="1"/>
  <c r="G141" i="195"/>
  <c r="I141" i="195" s="1"/>
  <c r="G142" i="195"/>
  <c r="I142" i="195" s="1"/>
  <c r="G143" i="195"/>
  <c r="I143" i="195" s="1"/>
  <c r="G144" i="195"/>
  <c r="I144" i="195" s="1"/>
  <c r="G145" i="195"/>
  <c r="I145" i="195" s="1"/>
  <c r="G146" i="195"/>
  <c r="I146" i="195" s="1"/>
  <c r="G147" i="195"/>
  <c r="I147" i="195" s="1"/>
  <c r="G148" i="195"/>
  <c r="I148" i="195" s="1"/>
  <c r="G107" i="195"/>
  <c r="I107" i="195" s="1"/>
  <c r="G108" i="195"/>
  <c r="I108" i="195" s="1"/>
  <c r="G109" i="195"/>
  <c r="I109" i="195" s="1"/>
  <c r="G110" i="195"/>
  <c r="I110" i="195" s="1"/>
  <c r="G111" i="195"/>
  <c r="I111" i="195" s="1"/>
  <c r="G112" i="195"/>
  <c r="I112" i="195" s="1"/>
  <c r="G113" i="195"/>
  <c r="I113" i="195" s="1"/>
  <c r="G114" i="195"/>
  <c r="I114" i="195" s="1"/>
  <c r="G115" i="195"/>
  <c r="I115" i="195" s="1"/>
  <c r="G116" i="195"/>
  <c r="I116" i="195" s="1"/>
  <c r="G117" i="195"/>
  <c r="I117" i="195" s="1"/>
  <c r="G118" i="195"/>
  <c r="I118" i="195" s="1"/>
  <c r="G119" i="195"/>
  <c r="I119" i="195" s="1"/>
  <c r="G120" i="195"/>
  <c r="I120" i="195" s="1"/>
  <c r="G121" i="195"/>
  <c r="I121" i="195" s="1"/>
  <c r="G122" i="195"/>
  <c r="I122" i="195" s="1"/>
  <c r="G123" i="195"/>
  <c r="I123" i="195" s="1"/>
  <c r="G124" i="195"/>
  <c r="I124" i="195" s="1"/>
  <c r="G125" i="195"/>
  <c r="I125" i="195" s="1"/>
  <c r="G126" i="195"/>
  <c r="I126" i="195" s="1"/>
  <c r="G127" i="195"/>
  <c r="I127" i="195" s="1"/>
  <c r="G128" i="195"/>
  <c r="I128" i="195" s="1"/>
  <c r="G129" i="195"/>
  <c r="I129" i="195" s="1"/>
  <c r="G130" i="195"/>
  <c r="I130" i="195" s="1"/>
  <c r="G131" i="195"/>
  <c r="I131" i="195" s="1"/>
  <c r="G106" i="195"/>
  <c r="I106" i="195" s="1"/>
  <c r="G75" i="195"/>
  <c r="I75" i="195" s="1"/>
  <c r="G76" i="195"/>
  <c r="I76" i="195" s="1"/>
  <c r="G77" i="195"/>
  <c r="I77" i="195" s="1"/>
  <c r="G78" i="195"/>
  <c r="I78" i="195" s="1"/>
  <c r="G79" i="195"/>
  <c r="I79" i="195" s="1"/>
  <c r="G80" i="195"/>
  <c r="I80" i="195" s="1"/>
  <c r="G81" i="195"/>
  <c r="I81" i="195" s="1"/>
  <c r="G82" i="195"/>
  <c r="I82" i="195" s="1"/>
  <c r="G83" i="195"/>
  <c r="I83" i="195" s="1"/>
  <c r="G84" i="195"/>
  <c r="I84" i="195" s="1"/>
  <c r="G85" i="195"/>
  <c r="I85" i="195" s="1"/>
  <c r="G86" i="195"/>
  <c r="I86" i="195" s="1"/>
  <c r="G87" i="195"/>
  <c r="I87" i="195" s="1"/>
  <c r="G88" i="195"/>
  <c r="I88" i="195" s="1"/>
  <c r="G89" i="195"/>
  <c r="I89" i="195" s="1"/>
  <c r="G90" i="195"/>
  <c r="I90" i="195" s="1"/>
  <c r="G91" i="195"/>
  <c r="I91" i="195" s="1"/>
  <c r="G92" i="195"/>
  <c r="I92" i="195" s="1"/>
  <c r="G93" i="195"/>
  <c r="I93" i="195" s="1"/>
  <c r="G94" i="195"/>
  <c r="I94" i="195" s="1"/>
  <c r="G95" i="195"/>
  <c r="I95" i="195" s="1"/>
  <c r="G96" i="195"/>
  <c r="I96" i="195" s="1"/>
  <c r="G97" i="195"/>
  <c r="I97" i="195" s="1"/>
  <c r="G98" i="195"/>
  <c r="I98" i="195" s="1"/>
  <c r="G99" i="195"/>
  <c r="I99" i="195" s="1"/>
  <c r="G100" i="195"/>
  <c r="I100" i="195" s="1"/>
  <c r="G58" i="195"/>
  <c r="I58" i="195" s="1"/>
  <c r="G59" i="195"/>
  <c r="I59" i="195" s="1"/>
  <c r="G60" i="195"/>
  <c r="I60" i="195" s="1"/>
  <c r="G61" i="195"/>
  <c r="I61" i="195" s="1"/>
  <c r="G62" i="195"/>
  <c r="I62" i="195" s="1"/>
  <c r="G63" i="195"/>
  <c r="I63" i="195" s="1"/>
  <c r="G64" i="195"/>
  <c r="I64" i="195" s="1"/>
  <c r="G65" i="195"/>
  <c r="I65" i="195" s="1"/>
  <c r="G66" i="195"/>
  <c r="I66" i="195" s="1"/>
  <c r="G67" i="195"/>
  <c r="I67" i="195" s="1"/>
  <c r="G68" i="195"/>
  <c r="I68" i="195" s="1"/>
  <c r="G69" i="195"/>
  <c r="I69" i="195" s="1"/>
  <c r="G70" i="195"/>
  <c r="I70" i="195" s="1"/>
  <c r="G71" i="195"/>
  <c r="I71" i="195" s="1"/>
  <c r="G72" i="195"/>
  <c r="I72" i="195" s="1"/>
  <c r="G73" i="195"/>
  <c r="I73" i="195" s="1"/>
  <c r="G74" i="195"/>
  <c r="I74" i="195" s="1"/>
  <c r="G57" i="195"/>
  <c r="M149" i="195"/>
  <c r="H149" i="195"/>
  <c r="D148" i="195"/>
  <c r="C148" i="195"/>
  <c r="B148" i="195"/>
  <c r="D147" i="195"/>
  <c r="C147" i="195"/>
  <c r="B147" i="195"/>
  <c r="D146" i="195"/>
  <c r="C146" i="195"/>
  <c r="B146" i="195"/>
  <c r="D145" i="195"/>
  <c r="C145" i="195"/>
  <c r="B145" i="195"/>
  <c r="D144" i="195"/>
  <c r="C144" i="195"/>
  <c r="B144" i="195"/>
  <c r="D143" i="195"/>
  <c r="C143" i="195"/>
  <c r="B143" i="195"/>
  <c r="D142" i="195"/>
  <c r="C142" i="195"/>
  <c r="B142" i="195"/>
  <c r="D141" i="195"/>
  <c r="C141" i="195"/>
  <c r="B141" i="195"/>
  <c r="D140" i="195"/>
  <c r="C140" i="195"/>
  <c r="B140" i="195"/>
  <c r="D139" i="195"/>
  <c r="C139" i="195"/>
  <c r="B139" i="195"/>
  <c r="D138" i="195"/>
  <c r="C138" i="195"/>
  <c r="B138" i="195"/>
  <c r="D137" i="195"/>
  <c r="C137" i="195"/>
  <c r="B137" i="195"/>
  <c r="D136" i="195"/>
  <c r="C136" i="195"/>
  <c r="B136" i="195"/>
  <c r="D135" i="195"/>
  <c r="C135" i="195"/>
  <c r="B135" i="195"/>
  <c r="D134" i="195"/>
  <c r="C134" i="195"/>
  <c r="B134" i="195"/>
  <c r="D133" i="195"/>
  <c r="C133" i="195"/>
  <c r="B133" i="195"/>
  <c r="D132" i="195"/>
  <c r="C132" i="195"/>
  <c r="B132" i="195"/>
  <c r="D131" i="195"/>
  <c r="C131" i="195"/>
  <c r="B131" i="195"/>
  <c r="D130" i="195"/>
  <c r="C130" i="195"/>
  <c r="B130" i="195"/>
  <c r="D129" i="195"/>
  <c r="C129" i="195"/>
  <c r="B129" i="195"/>
  <c r="D128" i="195"/>
  <c r="C128" i="195"/>
  <c r="B128" i="195"/>
  <c r="D127" i="195"/>
  <c r="C127" i="195"/>
  <c r="B127" i="195"/>
  <c r="D126" i="195"/>
  <c r="C126" i="195"/>
  <c r="B126" i="195"/>
  <c r="D125" i="195"/>
  <c r="C125" i="195"/>
  <c r="B125" i="195"/>
  <c r="D124" i="195"/>
  <c r="C124" i="195"/>
  <c r="B124" i="195"/>
  <c r="D123" i="195"/>
  <c r="C123" i="195"/>
  <c r="B123" i="195"/>
  <c r="D122" i="195"/>
  <c r="C122" i="195"/>
  <c r="B122" i="195"/>
  <c r="D121" i="195"/>
  <c r="C121" i="195"/>
  <c r="B121" i="195"/>
  <c r="D120" i="195"/>
  <c r="C120" i="195"/>
  <c r="B120" i="195"/>
  <c r="D119" i="195"/>
  <c r="C119" i="195"/>
  <c r="B119" i="195"/>
  <c r="D118" i="195"/>
  <c r="C118" i="195"/>
  <c r="B118" i="195"/>
  <c r="D117" i="195"/>
  <c r="C117" i="195"/>
  <c r="B117" i="195"/>
  <c r="D116" i="195"/>
  <c r="C116" i="195"/>
  <c r="B116" i="195"/>
  <c r="D115" i="195"/>
  <c r="C115" i="195"/>
  <c r="B115" i="195"/>
  <c r="D114" i="195"/>
  <c r="C114" i="195"/>
  <c r="B114" i="195"/>
  <c r="D113" i="195"/>
  <c r="C113" i="195"/>
  <c r="B113" i="195"/>
  <c r="D112" i="195"/>
  <c r="C112" i="195"/>
  <c r="B112" i="195"/>
  <c r="D111" i="195"/>
  <c r="C111" i="195"/>
  <c r="B111" i="195"/>
  <c r="D110" i="195"/>
  <c r="C110" i="195"/>
  <c r="B110" i="195"/>
  <c r="D109" i="195"/>
  <c r="C109" i="195"/>
  <c r="B109" i="195"/>
  <c r="D108" i="195"/>
  <c r="C108" i="195"/>
  <c r="B108" i="195"/>
  <c r="D107" i="195"/>
  <c r="C107" i="195"/>
  <c r="B107" i="195"/>
  <c r="D106" i="195"/>
  <c r="C106" i="195"/>
  <c r="B106" i="195"/>
  <c r="A106" i="195"/>
  <c r="A107" i="195" s="1"/>
  <c r="A108" i="195" s="1"/>
  <c r="A109" i="195" s="1"/>
  <c r="A110" i="195" s="1"/>
  <c r="A111" i="195" s="1"/>
  <c r="A112" i="195" s="1"/>
  <c r="A113" i="195" s="1"/>
  <c r="A114" i="195" s="1"/>
  <c r="A115" i="195" s="1"/>
  <c r="A116" i="195" s="1"/>
  <c r="A117" i="195" s="1"/>
  <c r="A118" i="195" s="1"/>
  <c r="A119" i="195" s="1"/>
  <c r="A120" i="195" s="1"/>
  <c r="A121" i="195" s="1"/>
  <c r="A122" i="195" s="1"/>
  <c r="A123" i="195" s="1"/>
  <c r="A124" i="195" s="1"/>
  <c r="A125" i="195" s="1"/>
  <c r="A126" i="195" s="1"/>
  <c r="A127" i="195" s="1"/>
  <c r="A128" i="195" s="1"/>
  <c r="A129" i="195" s="1"/>
  <c r="A130" i="195" s="1"/>
  <c r="A131" i="195" s="1"/>
  <c r="A132" i="195" s="1"/>
  <c r="A133" i="195" s="1"/>
  <c r="A134" i="195" s="1"/>
  <c r="A135" i="195" s="1"/>
  <c r="A136" i="195" s="1"/>
  <c r="A137" i="195" s="1"/>
  <c r="A138" i="195" s="1"/>
  <c r="A139" i="195" s="1"/>
  <c r="A140" i="195" s="1"/>
  <c r="A141" i="195" s="1"/>
  <c r="A142" i="195" s="1"/>
  <c r="A143" i="195" s="1"/>
  <c r="A144" i="195" s="1"/>
  <c r="A145" i="195" s="1"/>
  <c r="A146" i="195" s="1"/>
  <c r="A147" i="195" s="1"/>
  <c r="A148" i="195" s="1"/>
  <c r="N103" i="195"/>
  <c r="J103" i="195"/>
  <c r="H103" i="195"/>
  <c r="J102" i="195"/>
  <c r="H102" i="195"/>
  <c r="J101" i="195"/>
  <c r="D100" i="195"/>
  <c r="C100" i="195"/>
  <c r="B100" i="195"/>
  <c r="D99" i="195"/>
  <c r="C99" i="195"/>
  <c r="B99" i="195"/>
  <c r="D98" i="195"/>
  <c r="C98" i="195"/>
  <c r="B98" i="195"/>
  <c r="D97" i="195"/>
  <c r="C97" i="195"/>
  <c r="B97" i="195"/>
  <c r="D96" i="195"/>
  <c r="C96" i="195"/>
  <c r="B96" i="195"/>
  <c r="D95" i="195"/>
  <c r="C95" i="195"/>
  <c r="B95" i="195"/>
  <c r="D94" i="195"/>
  <c r="C94" i="195"/>
  <c r="B94" i="195"/>
  <c r="D93" i="195"/>
  <c r="C93" i="195"/>
  <c r="B93" i="195"/>
  <c r="D92" i="195"/>
  <c r="C92" i="195"/>
  <c r="B92" i="195"/>
  <c r="D91" i="195"/>
  <c r="C91" i="195"/>
  <c r="B91" i="195"/>
  <c r="D90" i="195"/>
  <c r="C90" i="195"/>
  <c r="B90" i="195"/>
  <c r="D89" i="195"/>
  <c r="C89" i="195"/>
  <c r="B89" i="195"/>
  <c r="D88" i="195"/>
  <c r="C88" i="195"/>
  <c r="B88" i="195"/>
  <c r="D87" i="195"/>
  <c r="C87" i="195"/>
  <c r="B87" i="195"/>
  <c r="D86" i="195"/>
  <c r="C86" i="195"/>
  <c r="B86" i="195"/>
  <c r="D85" i="195"/>
  <c r="C85" i="195"/>
  <c r="B85" i="195"/>
  <c r="D84" i="195"/>
  <c r="C84" i="195"/>
  <c r="B84" i="195"/>
  <c r="D83" i="195"/>
  <c r="C83" i="195"/>
  <c r="B83" i="195"/>
  <c r="D82" i="195"/>
  <c r="C82" i="195"/>
  <c r="B82" i="195"/>
  <c r="D81" i="195"/>
  <c r="C81" i="195"/>
  <c r="B81" i="195"/>
  <c r="D80" i="195"/>
  <c r="C80" i="195"/>
  <c r="B80" i="195"/>
  <c r="D79" i="195"/>
  <c r="C79" i="195"/>
  <c r="B79" i="195"/>
  <c r="D78" i="195"/>
  <c r="C78" i="195"/>
  <c r="B78" i="195"/>
  <c r="D77" i="195"/>
  <c r="C77" i="195"/>
  <c r="B77" i="195"/>
  <c r="D76" i="195"/>
  <c r="C76" i="195"/>
  <c r="B76" i="195"/>
  <c r="D75" i="195"/>
  <c r="C75" i="195"/>
  <c r="B75" i="195"/>
  <c r="D74" i="195"/>
  <c r="C74" i="195"/>
  <c r="B74" i="195"/>
  <c r="D73" i="195"/>
  <c r="C73" i="195"/>
  <c r="B73" i="195"/>
  <c r="D72" i="195"/>
  <c r="C72" i="195"/>
  <c r="B72" i="195"/>
  <c r="D71" i="195"/>
  <c r="C71" i="195"/>
  <c r="B71" i="195"/>
  <c r="D70" i="195"/>
  <c r="C70" i="195"/>
  <c r="B70" i="195"/>
  <c r="D69" i="195"/>
  <c r="C69" i="195"/>
  <c r="B69" i="195"/>
  <c r="D68" i="195"/>
  <c r="C68" i="195"/>
  <c r="B68" i="195"/>
  <c r="D67" i="195"/>
  <c r="C67" i="195"/>
  <c r="B67" i="195"/>
  <c r="D66" i="195"/>
  <c r="C66" i="195"/>
  <c r="B66" i="195"/>
  <c r="D65" i="195"/>
  <c r="C65" i="195"/>
  <c r="B65" i="195"/>
  <c r="D64" i="195"/>
  <c r="C64" i="195"/>
  <c r="B64" i="195"/>
  <c r="D63" i="195"/>
  <c r="C63" i="195"/>
  <c r="B63" i="195"/>
  <c r="D62" i="195"/>
  <c r="C62" i="195"/>
  <c r="B62" i="195"/>
  <c r="D61" i="195"/>
  <c r="C61" i="195"/>
  <c r="B61" i="195"/>
  <c r="D60" i="195"/>
  <c r="C60" i="195"/>
  <c r="B60" i="195"/>
  <c r="D59" i="195"/>
  <c r="C59" i="195"/>
  <c r="B59" i="195"/>
  <c r="D58" i="195"/>
  <c r="C58" i="195"/>
  <c r="B58" i="195"/>
  <c r="D57" i="195"/>
  <c r="C57" i="195"/>
  <c r="B57" i="195"/>
  <c r="N54" i="195"/>
  <c r="J54" i="195"/>
  <c r="H54" i="195"/>
  <c r="J53" i="195"/>
  <c r="H53" i="195"/>
  <c r="J52" i="195"/>
  <c r="D21" i="195" a="1"/>
  <c r="D20" i="195" a="1"/>
  <c r="D19" i="195" a="1"/>
  <c r="D14" i="195" a="1"/>
  <c r="D54" i="195" s="1"/>
  <c r="D13" i="195" a="1"/>
  <c r="D12" i="195" a="1"/>
  <c r="D10" i="195" a="1"/>
  <c r="D8" i="195"/>
  <c r="D7" i="195"/>
  <c r="D6" i="195"/>
  <c r="D5" i="195"/>
  <c r="N3" i="195"/>
  <c r="N1" i="195"/>
  <c r="G129" i="194"/>
  <c r="I129" i="194" s="1"/>
  <c r="G130" i="194"/>
  <c r="I130" i="194" s="1"/>
  <c r="G131" i="194"/>
  <c r="I131" i="194" s="1"/>
  <c r="G132" i="194"/>
  <c r="I132" i="194" s="1"/>
  <c r="G133" i="194"/>
  <c r="I133" i="194" s="1"/>
  <c r="G134" i="194"/>
  <c r="I134" i="194" s="1"/>
  <c r="G135" i="194"/>
  <c r="I135" i="194" s="1"/>
  <c r="G136" i="194"/>
  <c r="I136" i="194" s="1"/>
  <c r="G137" i="194"/>
  <c r="I137" i="194" s="1"/>
  <c r="G138" i="194"/>
  <c r="I138" i="194" s="1"/>
  <c r="G139" i="194"/>
  <c r="I139" i="194" s="1"/>
  <c r="G140" i="194"/>
  <c r="I140" i="194" s="1"/>
  <c r="G141" i="194"/>
  <c r="I141" i="194" s="1"/>
  <c r="G142" i="194"/>
  <c r="I142" i="194" s="1"/>
  <c r="G143" i="194"/>
  <c r="I143" i="194" s="1"/>
  <c r="G144" i="194"/>
  <c r="I144" i="194" s="1"/>
  <c r="G145" i="194"/>
  <c r="I145" i="194" s="1"/>
  <c r="G146" i="194"/>
  <c r="I146" i="194" s="1"/>
  <c r="G147" i="194"/>
  <c r="I147" i="194" s="1"/>
  <c r="G148" i="194"/>
  <c r="I148" i="194" s="1"/>
  <c r="G107" i="194"/>
  <c r="I107" i="194" s="1"/>
  <c r="G108" i="194"/>
  <c r="I108" i="194" s="1"/>
  <c r="G109" i="194"/>
  <c r="I109" i="194" s="1"/>
  <c r="G110" i="194"/>
  <c r="I110" i="194" s="1"/>
  <c r="G111" i="194"/>
  <c r="I111" i="194" s="1"/>
  <c r="G112" i="194"/>
  <c r="I112" i="194" s="1"/>
  <c r="G113" i="194"/>
  <c r="I113" i="194" s="1"/>
  <c r="G114" i="194"/>
  <c r="I114" i="194" s="1"/>
  <c r="G115" i="194"/>
  <c r="I115" i="194" s="1"/>
  <c r="G116" i="194"/>
  <c r="I116" i="194" s="1"/>
  <c r="G117" i="194"/>
  <c r="I117" i="194" s="1"/>
  <c r="G118" i="194"/>
  <c r="I118" i="194" s="1"/>
  <c r="G119" i="194"/>
  <c r="I119" i="194" s="1"/>
  <c r="G120" i="194"/>
  <c r="I120" i="194" s="1"/>
  <c r="G121" i="194"/>
  <c r="I121" i="194" s="1"/>
  <c r="G122" i="194"/>
  <c r="I122" i="194" s="1"/>
  <c r="G123" i="194"/>
  <c r="I123" i="194" s="1"/>
  <c r="G124" i="194"/>
  <c r="I124" i="194" s="1"/>
  <c r="G125" i="194"/>
  <c r="I125" i="194" s="1"/>
  <c r="G126" i="194"/>
  <c r="I126" i="194" s="1"/>
  <c r="G127" i="194"/>
  <c r="I127" i="194" s="1"/>
  <c r="G128" i="194"/>
  <c r="I128" i="194" s="1"/>
  <c r="G106" i="194"/>
  <c r="I106" i="194" s="1"/>
  <c r="G76" i="194"/>
  <c r="I76" i="194" s="1"/>
  <c r="G77" i="194"/>
  <c r="I77" i="194" s="1"/>
  <c r="G78" i="194"/>
  <c r="I78" i="194" s="1"/>
  <c r="G79" i="194"/>
  <c r="I79" i="194" s="1"/>
  <c r="G80" i="194"/>
  <c r="I80" i="194" s="1"/>
  <c r="G81" i="194"/>
  <c r="I81" i="194" s="1"/>
  <c r="G82" i="194"/>
  <c r="I82" i="194" s="1"/>
  <c r="G83" i="194"/>
  <c r="I83" i="194" s="1"/>
  <c r="G84" i="194"/>
  <c r="I84" i="194" s="1"/>
  <c r="G85" i="194"/>
  <c r="I85" i="194" s="1"/>
  <c r="G86" i="194"/>
  <c r="I86" i="194" s="1"/>
  <c r="G87" i="194"/>
  <c r="I87" i="194" s="1"/>
  <c r="G88" i="194"/>
  <c r="I88" i="194" s="1"/>
  <c r="G89" i="194"/>
  <c r="I89" i="194" s="1"/>
  <c r="G90" i="194"/>
  <c r="I90" i="194" s="1"/>
  <c r="G91" i="194"/>
  <c r="I91" i="194" s="1"/>
  <c r="G92" i="194"/>
  <c r="I92" i="194" s="1"/>
  <c r="G93" i="194"/>
  <c r="I93" i="194" s="1"/>
  <c r="G94" i="194"/>
  <c r="I94" i="194" s="1"/>
  <c r="G95" i="194"/>
  <c r="I95" i="194" s="1"/>
  <c r="G96" i="194"/>
  <c r="I96" i="194" s="1"/>
  <c r="G97" i="194"/>
  <c r="I97" i="194" s="1"/>
  <c r="G98" i="194"/>
  <c r="I98" i="194" s="1"/>
  <c r="G99" i="194"/>
  <c r="I99" i="194" s="1"/>
  <c r="G100" i="194"/>
  <c r="I100" i="194" s="1"/>
  <c r="G58" i="194"/>
  <c r="I58" i="194" s="1"/>
  <c r="G59" i="194"/>
  <c r="I59" i="194" s="1"/>
  <c r="G60" i="194"/>
  <c r="I60" i="194" s="1"/>
  <c r="G61" i="194"/>
  <c r="I61" i="194" s="1"/>
  <c r="G62" i="194"/>
  <c r="I62" i="194" s="1"/>
  <c r="G63" i="194"/>
  <c r="I63" i="194" s="1"/>
  <c r="G64" i="194"/>
  <c r="I64" i="194" s="1"/>
  <c r="G65" i="194"/>
  <c r="I65" i="194" s="1"/>
  <c r="G66" i="194"/>
  <c r="I66" i="194" s="1"/>
  <c r="G67" i="194"/>
  <c r="I67" i="194" s="1"/>
  <c r="G68" i="194"/>
  <c r="I68" i="194" s="1"/>
  <c r="G69" i="194"/>
  <c r="I69" i="194" s="1"/>
  <c r="G70" i="194"/>
  <c r="I70" i="194" s="1"/>
  <c r="G71" i="194"/>
  <c r="I71" i="194" s="1"/>
  <c r="G72" i="194"/>
  <c r="I72" i="194" s="1"/>
  <c r="G73" i="194"/>
  <c r="I73" i="194" s="1"/>
  <c r="G74" i="194"/>
  <c r="I74" i="194" s="1"/>
  <c r="G75" i="194"/>
  <c r="I75" i="194" s="1"/>
  <c r="G57" i="194"/>
  <c r="M149" i="194"/>
  <c r="H149" i="194"/>
  <c r="D148" i="194"/>
  <c r="C148" i="194"/>
  <c r="B148" i="194"/>
  <c r="D147" i="194"/>
  <c r="C147" i="194"/>
  <c r="B147" i="194"/>
  <c r="D146" i="194"/>
  <c r="C146" i="194"/>
  <c r="B146" i="194"/>
  <c r="D145" i="194"/>
  <c r="C145" i="194"/>
  <c r="B145" i="194"/>
  <c r="D144" i="194"/>
  <c r="C144" i="194"/>
  <c r="B144" i="194"/>
  <c r="D143" i="194"/>
  <c r="C143" i="194"/>
  <c r="B143" i="194"/>
  <c r="D142" i="194"/>
  <c r="C142" i="194"/>
  <c r="B142" i="194"/>
  <c r="D141" i="194"/>
  <c r="C141" i="194"/>
  <c r="B141" i="194"/>
  <c r="D140" i="194"/>
  <c r="C140" i="194"/>
  <c r="B140" i="194"/>
  <c r="D139" i="194"/>
  <c r="C139" i="194"/>
  <c r="B139" i="194"/>
  <c r="D138" i="194"/>
  <c r="C138" i="194"/>
  <c r="B138" i="194"/>
  <c r="D137" i="194"/>
  <c r="C137" i="194"/>
  <c r="B137" i="194"/>
  <c r="D136" i="194"/>
  <c r="C136" i="194"/>
  <c r="B136" i="194"/>
  <c r="D135" i="194"/>
  <c r="C135" i="194"/>
  <c r="B135" i="194"/>
  <c r="D134" i="194"/>
  <c r="C134" i="194"/>
  <c r="B134" i="194"/>
  <c r="D133" i="194"/>
  <c r="C133" i="194"/>
  <c r="B133" i="194"/>
  <c r="D132" i="194"/>
  <c r="C132" i="194"/>
  <c r="B132" i="194"/>
  <c r="D131" i="194"/>
  <c r="C131" i="194"/>
  <c r="B131" i="194"/>
  <c r="D130" i="194"/>
  <c r="C130" i="194"/>
  <c r="B130" i="194"/>
  <c r="D129" i="194"/>
  <c r="C129" i="194"/>
  <c r="B129" i="194"/>
  <c r="D128" i="194"/>
  <c r="C128" i="194"/>
  <c r="B128" i="194"/>
  <c r="D127" i="194"/>
  <c r="C127" i="194"/>
  <c r="B127" i="194"/>
  <c r="D126" i="194"/>
  <c r="C126" i="194"/>
  <c r="B126" i="194"/>
  <c r="D125" i="194"/>
  <c r="C125" i="194"/>
  <c r="B125" i="194"/>
  <c r="D124" i="194"/>
  <c r="C124" i="194"/>
  <c r="B124" i="194"/>
  <c r="D123" i="194"/>
  <c r="C123" i="194"/>
  <c r="B123" i="194"/>
  <c r="D122" i="194"/>
  <c r="C122" i="194"/>
  <c r="B122" i="194"/>
  <c r="D121" i="194"/>
  <c r="C121" i="194"/>
  <c r="B121" i="194"/>
  <c r="D120" i="194"/>
  <c r="C120" i="194"/>
  <c r="B120" i="194"/>
  <c r="D119" i="194"/>
  <c r="C119" i="194"/>
  <c r="B119" i="194"/>
  <c r="D118" i="194"/>
  <c r="C118" i="194"/>
  <c r="B118" i="194"/>
  <c r="D117" i="194"/>
  <c r="C117" i="194"/>
  <c r="B117" i="194"/>
  <c r="D116" i="194"/>
  <c r="C116" i="194"/>
  <c r="B116" i="194"/>
  <c r="D115" i="194"/>
  <c r="C115" i="194"/>
  <c r="B115" i="194"/>
  <c r="D114" i="194"/>
  <c r="C114" i="194"/>
  <c r="B114" i="194"/>
  <c r="D113" i="194"/>
  <c r="C113" i="194"/>
  <c r="B113" i="194"/>
  <c r="D112" i="194"/>
  <c r="C112" i="194"/>
  <c r="B112" i="194"/>
  <c r="D111" i="194"/>
  <c r="C111" i="194"/>
  <c r="B111" i="194"/>
  <c r="D110" i="194"/>
  <c r="C110" i="194"/>
  <c r="B110" i="194"/>
  <c r="D109" i="194"/>
  <c r="C109" i="194"/>
  <c r="B109" i="194"/>
  <c r="D108" i="194"/>
  <c r="C108" i="194"/>
  <c r="B108" i="194"/>
  <c r="D107" i="194"/>
  <c r="C107" i="194"/>
  <c r="B107" i="194"/>
  <c r="D106" i="194"/>
  <c r="C106" i="194"/>
  <c r="B106" i="194"/>
  <c r="A106" i="194"/>
  <c r="A107" i="194" s="1"/>
  <c r="A108" i="194" s="1"/>
  <c r="A109" i="194" s="1"/>
  <c r="A110" i="194" s="1"/>
  <c r="A111" i="194" s="1"/>
  <c r="A112" i="194" s="1"/>
  <c r="A113" i="194" s="1"/>
  <c r="A114" i="194" s="1"/>
  <c r="A115" i="194" s="1"/>
  <c r="A116" i="194" s="1"/>
  <c r="A117" i="194" s="1"/>
  <c r="A118" i="194" s="1"/>
  <c r="A119" i="194" s="1"/>
  <c r="A120" i="194" s="1"/>
  <c r="A121" i="194" s="1"/>
  <c r="A122" i="194" s="1"/>
  <c r="A123" i="194" s="1"/>
  <c r="A124" i="194" s="1"/>
  <c r="A125" i="194" s="1"/>
  <c r="A126" i="194" s="1"/>
  <c r="A127" i="194" s="1"/>
  <c r="A128" i="194" s="1"/>
  <c r="A129" i="194" s="1"/>
  <c r="A130" i="194" s="1"/>
  <c r="A131" i="194" s="1"/>
  <c r="A132" i="194" s="1"/>
  <c r="A133" i="194" s="1"/>
  <c r="A134" i="194" s="1"/>
  <c r="A135" i="194" s="1"/>
  <c r="A136" i="194" s="1"/>
  <c r="A137" i="194" s="1"/>
  <c r="A138" i="194" s="1"/>
  <c r="A139" i="194" s="1"/>
  <c r="A140" i="194" s="1"/>
  <c r="A141" i="194" s="1"/>
  <c r="A142" i="194" s="1"/>
  <c r="A143" i="194" s="1"/>
  <c r="A144" i="194" s="1"/>
  <c r="A145" i="194" s="1"/>
  <c r="A146" i="194" s="1"/>
  <c r="A147" i="194" s="1"/>
  <c r="A148" i="194" s="1"/>
  <c r="N103" i="194"/>
  <c r="J103" i="194"/>
  <c r="H103" i="194"/>
  <c r="J102" i="194"/>
  <c r="H102" i="194"/>
  <c r="J101" i="194"/>
  <c r="D100" i="194"/>
  <c r="C100" i="194"/>
  <c r="B100" i="194"/>
  <c r="D99" i="194"/>
  <c r="C99" i="194"/>
  <c r="B99" i="194"/>
  <c r="D98" i="194"/>
  <c r="C98" i="194"/>
  <c r="B98" i="194"/>
  <c r="D97" i="194"/>
  <c r="C97" i="194"/>
  <c r="B97" i="194"/>
  <c r="D96" i="194"/>
  <c r="C96" i="194"/>
  <c r="B96" i="194"/>
  <c r="D95" i="194"/>
  <c r="C95" i="194"/>
  <c r="B95" i="194"/>
  <c r="D94" i="194"/>
  <c r="C94" i="194"/>
  <c r="B94" i="194"/>
  <c r="D93" i="194"/>
  <c r="C93" i="194"/>
  <c r="B93" i="194"/>
  <c r="D92" i="194"/>
  <c r="C92" i="194"/>
  <c r="B92" i="194"/>
  <c r="D91" i="194"/>
  <c r="C91" i="194"/>
  <c r="B91" i="194"/>
  <c r="D90" i="194"/>
  <c r="C90" i="194"/>
  <c r="B90" i="194"/>
  <c r="D89" i="194"/>
  <c r="C89" i="194"/>
  <c r="B89" i="194"/>
  <c r="D88" i="194"/>
  <c r="C88" i="194"/>
  <c r="B88" i="194"/>
  <c r="D87" i="194"/>
  <c r="C87" i="194"/>
  <c r="B87" i="194"/>
  <c r="D86" i="194"/>
  <c r="C86" i="194"/>
  <c r="B86" i="194"/>
  <c r="D85" i="194"/>
  <c r="C85" i="194"/>
  <c r="B85" i="194"/>
  <c r="D84" i="194"/>
  <c r="C84" i="194"/>
  <c r="B84" i="194"/>
  <c r="D83" i="194"/>
  <c r="C83" i="194"/>
  <c r="B83" i="194"/>
  <c r="D82" i="194"/>
  <c r="C82" i="194"/>
  <c r="B82" i="194"/>
  <c r="D81" i="194"/>
  <c r="C81" i="194"/>
  <c r="B81" i="194"/>
  <c r="D80" i="194"/>
  <c r="C80" i="194"/>
  <c r="B80" i="194"/>
  <c r="D79" i="194"/>
  <c r="C79" i="194"/>
  <c r="B79" i="194"/>
  <c r="D78" i="194"/>
  <c r="C78" i="194"/>
  <c r="B78" i="194"/>
  <c r="D77" i="194"/>
  <c r="C77" i="194"/>
  <c r="B77" i="194"/>
  <c r="D76" i="194"/>
  <c r="C76" i="194"/>
  <c r="B76" i="194"/>
  <c r="D75" i="194"/>
  <c r="C75" i="194"/>
  <c r="B75" i="194"/>
  <c r="D74" i="194"/>
  <c r="C74" i="194"/>
  <c r="B74" i="194"/>
  <c r="D73" i="194"/>
  <c r="C73" i="194"/>
  <c r="B73" i="194"/>
  <c r="D72" i="194"/>
  <c r="C72" i="194"/>
  <c r="B72" i="194"/>
  <c r="D71" i="194"/>
  <c r="C71" i="194"/>
  <c r="B71" i="194"/>
  <c r="D70" i="194"/>
  <c r="C70" i="194"/>
  <c r="B70" i="194"/>
  <c r="D69" i="194"/>
  <c r="C69" i="194"/>
  <c r="B69" i="194"/>
  <c r="D68" i="194"/>
  <c r="C68" i="194"/>
  <c r="B68" i="194"/>
  <c r="D67" i="194"/>
  <c r="C67" i="194"/>
  <c r="B67" i="194"/>
  <c r="D66" i="194"/>
  <c r="C66" i="194"/>
  <c r="B66" i="194"/>
  <c r="D65" i="194"/>
  <c r="C65" i="194"/>
  <c r="B65" i="194"/>
  <c r="D64" i="194"/>
  <c r="C64" i="194"/>
  <c r="B64" i="194"/>
  <c r="D63" i="194"/>
  <c r="C63" i="194"/>
  <c r="B63" i="194"/>
  <c r="D62" i="194"/>
  <c r="C62" i="194"/>
  <c r="B62" i="194"/>
  <c r="D61" i="194"/>
  <c r="C61" i="194"/>
  <c r="B61" i="194"/>
  <c r="D60" i="194"/>
  <c r="C60" i="194"/>
  <c r="B60" i="194"/>
  <c r="D59" i="194"/>
  <c r="C59" i="194"/>
  <c r="B59" i="194"/>
  <c r="D58" i="194"/>
  <c r="C58" i="194"/>
  <c r="B58" i="194"/>
  <c r="D57" i="194"/>
  <c r="C57" i="194"/>
  <c r="B57" i="194"/>
  <c r="N54" i="194"/>
  <c r="J54" i="194"/>
  <c r="H54" i="194"/>
  <c r="J53" i="194"/>
  <c r="H53" i="194"/>
  <c r="J52" i="194"/>
  <c r="D21" i="194" a="1"/>
  <c r="D20" i="194" a="1"/>
  <c r="D19" i="194" a="1"/>
  <c r="D14" i="194" a="1"/>
  <c r="D103" i="194" s="1"/>
  <c r="D13" i="194" a="1"/>
  <c r="D12" i="194" a="1"/>
  <c r="D10" i="194" a="1"/>
  <c r="D8" i="194"/>
  <c r="D7" i="194"/>
  <c r="D6" i="194"/>
  <c r="D5" i="194"/>
  <c r="N3" i="194"/>
  <c r="N1" i="194"/>
  <c r="G139" i="193"/>
  <c r="I139" i="193" s="1"/>
  <c r="G140" i="193"/>
  <c r="I140" i="193" s="1"/>
  <c r="G141" i="193"/>
  <c r="I141" i="193" s="1"/>
  <c r="G142" i="193"/>
  <c r="I142" i="193" s="1"/>
  <c r="G143" i="193"/>
  <c r="I143" i="193" s="1"/>
  <c r="G144" i="193"/>
  <c r="I144" i="193" s="1"/>
  <c r="G145" i="193"/>
  <c r="I145" i="193" s="1"/>
  <c r="G146" i="193"/>
  <c r="I146" i="193" s="1"/>
  <c r="G147" i="193"/>
  <c r="I147" i="193" s="1"/>
  <c r="G148" i="193"/>
  <c r="I148" i="193" s="1"/>
  <c r="G107" i="193"/>
  <c r="I107" i="193" s="1"/>
  <c r="G108" i="193"/>
  <c r="I108" i="193" s="1"/>
  <c r="G109" i="193"/>
  <c r="I109" i="193" s="1"/>
  <c r="G110" i="193"/>
  <c r="I110" i="193" s="1"/>
  <c r="G111" i="193"/>
  <c r="I111" i="193" s="1"/>
  <c r="G112" i="193"/>
  <c r="I112" i="193" s="1"/>
  <c r="G113" i="193"/>
  <c r="I113" i="193" s="1"/>
  <c r="G114" i="193"/>
  <c r="I114" i="193" s="1"/>
  <c r="G115" i="193"/>
  <c r="I115" i="193" s="1"/>
  <c r="G116" i="193"/>
  <c r="I116" i="193" s="1"/>
  <c r="G117" i="193"/>
  <c r="I117" i="193" s="1"/>
  <c r="G118" i="193"/>
  <c r="I118" i="193" s="1"/>
  <c r="G119" i="193"/>
  <c r="I119" i="193" s="1"/>
  <c r="G120" i="193"/>
  <c r="I120" i="193" s="1"/>
  <c r="G121" i="193"/>
  <c r="I121" i="193" s="1"/>
  <c r="G122" i="193"/>
  <c r="I122" i="193" s="1"/>
  <c r="G123" i="193"/>
  <c r="I123" i="193" s="1"/>
  <c r="G124" i="193"/>
  <c r="I124" i="193" s="1"/>
  <c r="G125" i="193"/>
  <c r="I125" i="193" s="1"/>
  <c r="G126" i="193"/>
  <c r="I126" i="193" s="1"/>
  <c r="G127" i="193"/>
  <c r="I127" i="193" s="1"/>
  <c r="G128" i="193"/>
  <c r="I128" i="193" s="1"/>
  <c r="G129" i="193"/>
  <c r="I129" i="193" s="1"/>
  <c r="G130" i="193"/>
  <c r="I130" i="193" s="1"/>
  <c r="G131" i="193"/>
  <c r="I131" i="193" s="1"/>
  <c r="G132" i="193"/>
  <c r="I132" i="193" s="1"/>
  <c r="G133" i="193"/>
  <c r="I133" i="193" s="1"/>
  <c r="G134" i="193"/>
  <c r="I134" i="193" s="1"/>
  <c r="G135" i="193"/>
  <c r="I135" i="193" s="1"/>
  <c r="G136" i="193"/>
  <c r="I136" i="193" s="1"/>
  <c r="G137" i="193"/>
  <c r="I137" i="193" s="1"/>
  <c r="G138" i="193"/>
  <c r="I138" i="193" s="1"/>
  <c r="G106" i="193"/>
  <c r="I106" i="193" s="1"/>
  <c r="G87" i="193"/>
  <c r="I87" i="193" s="1"/>
  <c r="G88" i="193"/>
  <c r="I88" i="193" s="1"/>
  <c r="G89" i="193"/>
  <c r="I89" i="193" s="1"/>
  <c r="G90" i="193"/>
  <c r="I90" i="193" s="1"/>
  <c r="G91" i="193"/>
  <c r="I91" i="193" s="1"/>
  <c r="G92" i="193"/>
  <c r="I92" i="193" s="1"/>
  <c r="G93" i="193"/>
  <c r="I93" i="193" s="1"/>
  <c r="G94" i="193"/>
  <c r="I94" i="193" s="1"/>
  <c r="G95" i="193"/>
  <c r="I95" i="193" s="1"/>
  <c r="G96" i="193"/>
  <c r="I96" i="193" s="1"/>
  <c r="G97" i="193"/>
  <c r="I97" i="193" s="1"/>
  <c r="G98" i="193"/>
  <c r="I98" i="193" s="1"/>
  <c r="G99" i="193"/>
  <c r="I99" i="193" s="1"/>
  <c r="G100" i="193"/>
  <c r="I100" i="193" s="1"/>
  <c r="G58" i="193"/>
  <c r="I58" i="193" s="1"/>
  <c r="G59" i="193"/>
  <c r="I59" i="193" s="1"/>
  <c r="G60" i="193"/>
  <c r="I60" i="193" s="1"/>
  <c r="G61" i="193"/>
  <c r="I61" i="193" s="1"/>
  <c r="G62" i="193"/>
  <c r="I62" i="193" s="1"/>
  <c r="G63" i="193"/>
  <c r="I63" i="193" s="1"/>
  <c r="G64" i="193"/>
  <c r="I64" i="193" s="1"/>
  <c r="G65" i="193"/>
  <c r="I65" i="193" s="1"/>
  <c r="G66" i="193"/>
  <c r="I66" i="193" s="1"/>
  <c r="G67" i="193"/>
  <c r="I67" i="193" s="1"/>
  <c r="G68" i="193"/>
  <c r="I68" i="193" s="1"/>
  <c r="G69" i="193"/>
  <c r="I69" i="193" s="1"/>
  <c r="G70" i="193"/>
  <c r="I70" i="193" s="1"/>
  <c r="G71" i="193"/>
  <c r="I71" i="193" s="1"/>
  <c r="G72" i="193"/>
  <c r="I72" i="193" s="1"/>
  <c r="G73" i="193"/>
  <c r="I73" i="193" s="1"/>
  <c r="G74" i="193"/>
  <c r="I74" i="193" s="1"/>
  <c r="G75" i="193"/>
  <c r="I75" i="193" s="1"/>
  <c r="G76" i="193"/>
  <c r="I76" i="193" s="1"/>
  <c r="G77" i="193"/>
  <c r="I77" i="193" s="1"/>
  <c r="G78" i="193"/>
  <c r="I78" i="193" s="1"/>
  <c r="G79" i="193"/>
  <c r="I79" i="193" s="1"/>
  <c r="G80" i="193"/>
  <c r="I80" i="193" s="1"/>
  <c r="G81" i="193"/>
  <c r="I81" i="193" s="1"/>
  <c r="G82" i="193"/>
  <c r="I82" i="193" s="1"/>
  <c r="G83" i="193"/>
  <c r="I83" i="193" s="1"/>
  <c r="G84" i="193"/>
  <c r="I84" i="193" s="1"/>
  <c r="G85" i="193"/>
  <c r="I85" i="193" s="1"/>
  <c r="G86" i="193"/>
  <c r="I86" i="193" s="1"/>
  <c r="G57" i="193"/>
  <c r="M149" i="193"/>
  <c r="H149" i="193"/>
  <c r="D148" i="193"/>
  <c r="C148" i="193"/>
  <c r="B148" i="193"/>
  <c r="D147" i="193"/>
  <c r="C147" i="193"/>
  <c r="B147" i="193"/>
  <c r="D146" i="193"/>
  <c r="C146" i="193"/>
  <c r="B146" i="193"/>
  <c r="D145" i="193"/>
  <c r="C145" i="193"/>
  <c r="B145" i="193"/>
  <c r="D144" i="193"/>
  <c r="C144" i="193"/>
  <c r="B144" i="193"/>
  <c r="D143" i="193"/>
  <c r="C143" i="193"/>
  <c r="B143" i="193"/>
  <c r="D142" i="193"/>
  <c r="C142" i="193"/>
  <c r="B142" i="193"/>
  <c r="D141" i="193"/>
  <c r="C141" i="193"/>
  <c r="B141" i="193"/>
  <c r="D140" i="193"/>
  <c r="C140" i="193"/>
  <c r="B140" i="193"/>
  <c r="D139" i="193"/>
  <c r="C139" i="193"/>
  <c r="B139" i="193"/>
  <c r="D138" i="193"/>
  <c r="C138" i="193"/>
  <c r="B138" i="193"/>
  <c r="D137" i="193"/>
  <c r="C137" i="193"/>
  <c r="B137" i="193"/>
  <c r="D136" i="193"/>
  <c r="C136" i="193"/>
  <c r="B136" i="193"/>
  <c r="D135" i="193"/>
  <c r="C135" i="193"/>
  <c r="B135" i="193"/>
  <c r="D134" i="193"/>
  <c r="C134" i="193"/>
  <c r="B134" i="193"/>
  <c r="D133" i="193"/>
  <c r="C133" i="193"/>
  <c r="B133" i="193"/>
  <c r="D132" i="193"/>
  <c r="C132" i="193"/>
  <c r="B132" i="193"/>
  <c r="D131" i="193"/>
  <c r="C131" i="193"/>
  <c r="B131" i="193"/>
  <c r="D130" i="193"/>
  <c r="C130" i="193"/>
  <c r="B130" i="193"/>
  <c r="D129" i="193"/>
  <c r="C129" i="193"/>
  <c r="B129" i="193"/>
  <c r="D128" i="193"/>
  <c r="C128" i="193"/>
  <c r="B128" i="193"/>
  <c r="D127" i="193"/>
  <c r="C127" i="193"/>
  <c r="B127" i="193"/>
  <c r="D126" i="193"/>
  <c r="C126" i="193"/>
  <c r="B126" i="193"/>
  <c r="D125" i="193"/>
  <c r="C125" i="193"/>
  <c r="B125" i="193"/>
  <c r="D124" i="193"/>
  <c r="C124" i="193"/>
  <c r="B124" i="193"/>
  <c r="D123" i="193"/>
  <c r="C123" i="193"/>
  <c r="B123" i="193"/>
  <c r="D122" i="193"/>
  <c r="C122" i="193"/>
  <c r="B122" i="193"/>
  <c r="D121" i="193"/>
  <c r="C121" i="193"/>
  <c r="B121" i="193"/>
  <c r="D120" i="193"/>
  <c r="C120" i="193"/>
  <c r="B120" i="193"/>
  <c r="D119" i="193"/>
  <c r="C119" i="193"/>
  <c r="B119" i="193"/>
  <c r="D118" i="193"/>
  <c r="C118" i="193"/>
  <c r="B118" i="193"/>
  <c r="D117" i="193"/>
  <c r="C117" i="193"/>
  <c r="B117" i="193"/>
  <c r="D116" i="193"/>
  <c r="C116" i="193"/>
  <c r="B116" i="193"/>
  <c r="D115" i="193"/>
  <c r="C115" i="193"/>
  <c r="B115" i="193"/>
  <c r="D114" i="193"/>
  <c r="C114" i="193"/>
  <c r="B114" i="193"/>
  <c r="D113" i="193"/>
  <c r="C113" i="193"/>
  <c r="B113" i="193"/>
  <c r="D112" i="193"/>
  <c r="C112" i="193"/>
  <c r="B112" i="193"/>
  <c r="D111" i="193"/>
  <c r="C111" i="193"/>
  <c r="B111" i="193"/>
  <c r="D110" i="193"/>
  <c r="C110" i="193"/>
  <c r="B110" i="193"/>
  <c r="D109" i="193"/>
  <c r="C109" i="193"/>
  <c r="B109" i="193"/>
  <c r="D108" i="193"/>
  <c r="C108" i="193"/>
  <c r="B108" i="193"/>
  <c r="D107" i="193"/>
  <c r="C107" i="193"/>
  <c r="B107" i="193"/>
  <c r="D106" i="193"/>
  <c r="C106" i="193"/>
  <c r="B106" i="193"/>
  <c r="A106" i="193"/>
  <c r="A107" i="193" s="1"/>
  <c r="A108" i="193" s="1"/>
  <c r="A109" i="193" s="1"/>
  <c r="A110" i="193" s="1"/>
  <c r="A111" i="193" s="1"/>
  <c r="A112" i="193" s="1"/>
  <c r="A113" i="193" s="1"/>
  <c r="A114" i="193" s="1"/>
  <c r="A115" i="193" s="1"/>
  <c r="A116" i="193" s="1"/>
  <c r="A117" i="193" s="1"/>
  <c r="A118" i="193" s="1"/>
  <c r="A119" i="193" s="1"/>
  <c r="A120" i="193" s="1"/>
  <c r="A121" i="193" s="1"/>
  <c r="A122" i="193" s="1"/>
  <c r="A123" i="193" s="1"/>
  <c r="A124" i="193" s="1"/>
  <c r="A125" i="193" s="1"/>
  <c r="A126" i="193" s="1"/>
  <c r="A127" i="193" s="1"/>
  <c r="A128" i="193" s="1"/>
  <c r="A129" i="193" s="1"/>
  <c r="A130" i="193" s="1"/>
  <c r="A131" i="193" s="1"/>
  <c r="A132" i="193" s="1"/>
  <c r="A133" i="193" s="1"/>
  <c r="A134" i="193" s="1"/>
  <c r="A135" i="193" s="1"/>
  <c r="A136" i="193" s="1"/>
  <c r="A137" i="193" s="1"/>
  <c r="A138" i="193" s="1"/>
  <c r="A139" i="193" s="1"/>
  <c r="A140" i="193" s="1"/>
  <c r="A141" i="193" s="1"/>
  <c r="A142" i="193" s="1"/>
  <c r="A143" i="193" s="1"/>
  <c r="A144" i="193" s="1"/>
  <c r="A145" i="193" s="1"/>
  <c r="A146" i="193" s="1"/>
  <c r="A147" i="193" s="1"/>
  <c r="A148" i="193" s="1"/>
  <c r="N103" i="193"/>
  <c r="J103" i="193"/>
  <c r="H103" i="193"/>
  <c r="J102" i="193"/>
  <c r="H102" i="193"/>
  <c r="J101" i="193"/>
  <c r="D100" i="193"/>
  <c r="C100" i="193"/>
  <c r="B100" i="193"/>
  <c r="D99" i="193"/>
  <c r="C99" i="193"/>
  <c r="B99" i="193"/>
  <c r="D98" i="193"/>
  <c r="C98" i="193"/>
  <c r="B98" i="193"/>
  <c r="D97" i="193"/>
  <c r="C97" i="193"/>
  <c r="B97" i="193"/>
  <c r="D96" i="193"/>
  <c r="C96" i="193"/>
  <c r="B96" i="193"/>
  <c r="D95" i="193"/>
  <c r="C95" i="193"/>
  <c r="B95" i="193"/>
  <c r="D94" i="193"/>
  <c r="C94" i="193"/>
  <c r="B94" i="193"/>
  <c r="D93" i="193"/>
  <c r="C93" i="193"/>
  <c r="B93" i="193"/>
  <c r="D92" i="193"/>
  <c r="C92" i="193"/>
  <c r="B92" i="193"/>
  <c r="D91" i="193"/>
  <c r="C91" i="193"/>
  <c r="B91" i="193"/>
  <c r="D90" i="193"/>
  <c r="C90" i="193"/>
  <c r="B90" i="193"/>
  <c r="D89" i="193"/>
  <c r="C89" i="193"/>
  <c r="B89" i="193"/>
  <c r="D88" i="193"/>
  <c r="C88" i="193"/>
  <c r="B88" i="193"/>
  <c r="D87" i="193"/>
  <c r="C87" i="193"/>
  <c r="B87" i="193"/>
  <c r="D86" i="193"/>
  <c r="C86" i="193"/>
  <c r="B86" i="193"/>
  <c r="D85" i="193"/>
  <c r="C85" i="193"/>
  <c r="B85" i="193"/>
  <c r="D84" i="193"/>
  <c r="C84" i="193"/>
  <c r="B84" i="193"/>
  <c r="D83" i="193"/>
  <c r="C83" i="193"/>
  <c r="B83" i="193"/>
  <c r="D82" i="193"/>
  <c r="C82" i="193"/>
  <c r="B82" i="193"/>
  <c r="D81" i="193"/>
  <c r="C81" i="193"/>
  <c r="B81" i="193"/>
  <c r="D80" i="193"/>
  <c r="C80" i="193"/>
  <c r="B80" i="193"/>
  <c r="D79" i="193"/>
  <c r="C79" i="193"/>
  <c r="B79" i="193"/>
  <c r="D78" i="193"/>
  <c r="C78" i="193"/>
  <c r="B78" i="193"/>
  <c r="D77" i="193"/>
  <c r="C77" i="193"/>
  <c r="B77" i="193"/>
  <c r="D76" i="193"/>
  <c r="C76" i="193"/>
  <c r="B76" i="193"/>
  <c r="D75" i="193"/>
  <c r="C75" i="193"/>
  <c r="B75" i="193"/>
  <c r="D74" i="193"/>
  <c r="C74" i="193"/>
  <c r="B74" i="193"/>
  <c r="D73" i="193"/>
  <c r="C73" i="193"/>
  <c r="B73" i="193"/>
  <c r="D72" i="193"/>
  <c r="C72" i="193"/>
  <c r="B72" i="193"/>
  <c r="D71" i="193"/>
  <c r="C71" i="193"/>
  <c r="B71" i="193"/>
  <c r="D70" i="193"/>
  <c r="C70" i="193"/>
  <c r="B70" i="193"/>
  <c r="D69" i="193"/>
  <c r="C69" i="193"/>
  <c r="B69" i="193"/>
  <c r="D68" i="193"/>
  <c r="C68" i="193"/>
  <c r="B68" i="193"/>
  <c r="D67" i="193"/>
  <c r="C67" i="193"/>
  <c r="B67" i="193"/>
  <c r="D66" i="193"/>
  <c r="C66" i="193"/>
  <c r="B66" i="193"/>
  <c r="D65" i="193"/>
  <c r="C65" i="193"/>
  <c r="B65" i="193"/>
  <c r="D64" i="193"/>
  <c r="C64" i="193"/>
  <c r="B64" i="193"/>
  <c r="D63" i="193"/>
  <c r="C63" i="193"/>
  <c r="B63" i="193"/>
  <c r="D62" i="193"/>
  <c r="C62" i="193"/>
  <c r="B62" i="193"/>
  <c r="D61" i="193"/>
  <c r="C61" i="193"/>
  <c r="B61" i="193"/>
  <c r="D60" i="193"/>
  <c r="C60" i="193"/>
  <c r="B60" i="193"/>
  <c r="D59" i="193"/>
  <c r="C59" i="193"/>
  <c r="B59" i="193"/>
  <c r="D58" i="193"/>
  <c r="C58" i="193"/>
  <c r="B58" i="193"/>
  <c r="D57" i="193"/>
  <c r="C57" i="193"/>
  <c r="B57" i="193"/>
  <c r="N54" i="193"/>
  <c r="J54" i="193"/>
  <c r="H54" i="193"/>
  <c r="J53" i="193"/>
  <c r="H53" i="193"/>
  <c r="J52" i="193"/>
  <c r="D21" i="193" a="1"/>
  <c r="D20" i="193" a="1"/>
  <c r="D19" i="193" a="1"/>
  <c r="D14" i="193" a="1"/>
  <c r="D54" i="193" s="1"/>
  <c r="D13" i="193" a="1"/>
  <c r="D12" i="193" a="1"/>
  <c r="D10" i="193" a="1"/>
  <c r="D8" i="193"/>
  <c r="D7" i="193"/>
  <c r="D6" i="193"/>
  <c r="D5" i="193"/>
  <c r="N3" i="193"/>
  <c r="N1" i="193"/>
  <c r="G107" i="192"/>
  <c r="I107" i="192" s="1"/>
  <c r="G108" i="192"/>
  <c r="I108" i="192" s="1"/>
  <c r="G109" i="192"/>
  <c r="I109" i="192" s="1"/>
  <c r="G110" i="192"/>
  <c r="I110" i="192" s="1"/>
  <c r="G111" i="192"/>
  <c r="I111" i="192" s="1"/>
  <c r="G112" i="192"/>
  <c r="I112" i="192" s="1"/>
  <c r="G113" i="192"/>
  <c r="I113" i="192" s="1"/>
  <c r="G114" i="192"/>
  <c r="I114" i="192" s="1"/>
  <c r="G115" i="192"/>
  <c r="I115" i="192" s="1"/>
  <c r="G116" i="192"/>
  <c r="I116" i="192" s="1"/>
  <c r="G117" i="192"/>
  <c r="I117" i="192" s="1"/>
  <c r="G118" i="192"/>
  <c r="I118" i="192" s="1"/>
  <c r="G119" i="192"/>
  <c r="I119" i="192" s="1"/>
  <c r="G120" i="192"/>
  <c r="I120" i="192" s="1"/>
  <c r="G121" i="192"/>
  <c r="I121" i="192" s="1"/>
  <c r="G122" i="192"/>
  <c r="I122" i="192" s="1"/>
  <c r="G123" i="192"/>
  <c r="I123" i="192" s="1"/>
  <c r="G124" i="192"/>
  <c r="I124" i="192" s="1"/>
  <c r="G125" i="192"/>
  <c r="I125" i="192" s="1"/>
  <c r="G126" i="192"/>
  <c r="I126" i="192" s="1"/>
  <c r="G127" i="192"/>
  <c r="I127" i="192" s="1"/>
  <c r="G128" i="192"/>
  <c r="I128" i="192" s="1"/>
  <c r="G129" i="192"/>
  <c r="I129" i="192" s="1"/>
  <c r="G130" i="192"/>
  <c r="I130" i="192" s="1"/>
  <c r="G131" i="192"/>
  <c r="I131" i="192" s="1"/>
  <c r="G132" i="192"/>
  <c r="I132" i="192" s="1"/>
  <c r="G133" i="192"/>
  <c r="I133" i="192" s="1"/>
  <c r="G134" i="192"/>
  <c r="I134" i="192" s="1"/>
  <c r="G135" i="192"/>
  <c r="I135" i="192" s="1"/>
  <c r="G136" i="192"/>
  <c r="I136" i="192" s="1"/>
  <c r="G137" i="192"/>
  <c r="I137" i="192" s="1"/>
  <c r="G138" i="192"/>
  <c r="I138" i="192" s="1"/>
  <c r="G139" i="192"/>
  <c r="I139" i="192" s="1"/>
  <c r="G140" i="192"/>
  <c r="I140" i="192" s="1"/>
  <c r="G141" i="192"/>
  <c r="I141" i="192" s="1"/>
  <c r="G142" i="192"/>
  <c r="I142" i="192" s="1"/>
  <c r="G143" i="192"/>
  <c r="I143" i="192" s="1"/>
  <c r="G144" i="192"/>
  <c r="I144" i="192" s="1"/>
  <c r="G145" i="192"/>
  <c r="I145" i="192" s="1"/>
  <c r="G146" i="192"/>
  <c r="I146" i="192" s="1"/>
  <c r="G147" i="192"/>
  <c r="I147" i="192" s="1"/>
  <c r="G148" i="192"/>
  <c r="I148" i="192" s="1"/>
  <c r="G106" i="192"/>
  <c r="I106" i="192" s="1"/>
  <c r="G79" i="192"/>
  <c r="I79" i="192" s="1"/>
  <c r="G80" i="192"/>
  <c r="I80" i="192" s="1"/>
  <c r="G81" i="192"/>
  <c r="I81" i="192" s="1"/>
  <c r="G82" i="192"/>
  <c r="I82" i="192" s="1"/>
  <c r="G83" i="192"/>
  <c r="I83" i="192" s="1"/>
  <c r="G84" i="192"/>
  <c r="I84" i="192" s="1"/>
  <c r="G85" i="192"/>
  <c r="I85" i="192" s="1"/>
  <c r="G86" i="192"/>
  <c r="I86" i="192" s="1"/>
  <c r="G87" i="192"/>
  <c r="I87" i="192" s="1"/>
  <c r="G88" i="192"/>
  <c r="I88" i="192" s="1"/>
  <c r="G89" i="192"/>
  <c r="I89" i="192" s="1"/>
  <c r="G90" i="192"/>
  <c r="I90" i="192" s="1"/>
  <c r="G91" i="192"/>
  <c r="I91" i="192" s="1"/>
  <c r="G92" i="192"/>
  <c r="I92" i="192" s="1"/>
  <c r="G93" i="192"/>
  <c r="I93" i="192" s="1"/>
  <c r="G94" i="192"/>
  <c r="I94" i="192" s="1"/>
  <c r="G95" i="192"/>
  <c r="I95" i="192" s="1"/>
  <c r="G96" i="192"/>
  <c r="I96" i="192" s="1"/>
  <c r="G97" i="192"/>
  <c r="I97" i="192" s="1"/>
  <c r="G98" i="192"/>
  <c r="I98" i="192" s="1"/>
  <c r="G99" i="192"/>
  <c r="I99" i="192" s="1"/>
  <c r="G100" i="192"/>
  <c r="I100" i="192" s="1"/>
  <c r="G58" i="192"/>
  <c r="I58" i="192" s="1"/>
  <c r="G59" i="192"/>
  <c r="I59" i="192" s="1"/>
  <c r="G60" i="192"/>
  <c r="I60" i="192" s="1"/>
  <c r="G61" i="192"/>
  <c r="I61" i="192" s="1"/>
  <c r="G62" i="192"/>
  <c r="I62" i="192" s="1"/>
  <c r="G63" i="192"/>
  <c r="I63" i="192" s="1"/>
  <c r="G64" i="192"/>
  <c r="I64" i="192" s="1"/>
  <c r="G65" i="192"/>
  <c r="I65" i="192" s="1"/>
  <c r="G66" i="192"/>
  <c r="I66" i="192" s="1"/>
  <c r="G67" i="192"/>
  <c r="I67" i="192" s="1"/>
  <c r="G68" i="192"/>
  <c r="I68" i="192" s="1"/>
  <c r="G69" i="192"/>
  <c r="I69" i="192" s="1"/>
  <c r="G70" i="192"/>
  <c r="I70" i="192" s="1"/>
  <c r="G71" i="192"/>
  <c r="I71" i="192" s="1"/>
  <c r="G72" i="192"/>
  <c r="I72" i="192" s="1"/>
  <c r="G73" i="192"/>
  <c r="I73" i="192" s="1"/>
  <c r="G74" i="192"/>
  <c r="I74" i="192" s="1"/>
  <c r="G75" i="192"/>
  <c r="I75" i="192" s="1"/>
  <c r="G76" i="192"/>
  <c r="I76" i="192" s="1"/>
  <c r="G77" i="192"/>
  <c r="I77" i="192" s="1"/>
  <c r="G78" i="192"/>
  <c r="I78" i="192" s="1"/>
  <c r="G57" i="192"/>
  <c r="M149" i="192"/>
  <c r="H149" i="192"/>
  <c r="D148" i="192"/>
  <c r="C148" i="192"/>
  <c r="B148" i="192"/>
  <c r="D147" i="192"/>
  <c r="C147" i="192"/>
  <c r="B147" i="192"/>
  <c r="D146" i="192"/>
  <c r="C146" i="192"/>
  <c r="B146" i="192"/>
  <c r="D145" i="192"/>
  <c r="C145" i="192"/>
  <c r="B145" i="192"/>
  <c r="D144" i="192"/>
  <c r="C144" i="192"/>
  <c r="B144" i="192"/>
  <c r="D143" i="192"/>
  <c r="C143" i="192"/>
  <c r="B143" i="192"/>
  <c r="D142" i="192"/>
  <c r="C142" i="192"/>
  <c r="B142" i="192"/>
  <c r="D141" i="192"/>
  <c r="C141" i="192"/>
  <c r="B141" i="192"/>
  <c r="D140" i="192"/>
  <c r="C140" i="192"/>
  <c r="B140" i="192"/>
  <c r="D139" i="192"/>
  <c r="C139" i="192"/>
  <c r="B139" i="192"/>
  <c r="D138" i="192"/>
  <c r="C138" i="192"/>
  <c r="B138" i="192"/>
  <c r="D137" i="192"/>
  <c r="C137" i="192"/>
  <c r="B137" i="192"/>
  <c r="D136" i="192"/>
  <c r="C136" i="192"/>
  <c r="B136" i="192"/>
  <c r="D135" i="192"/>
  <c r="C135" i="192"/>
  <c r="B135" i="192"/>
  <c r="D134" i="192"/>
  <c r="C134" i="192"/>
  <c r="B134" i="192"/>
  <c r="D133" i="192"/>
  <c r="C133" i="192"/>
  <c r="B133" i="192"/>
  <c r="D132" i="192"/>
  <c r="C132" i="192"/>
  <c r="B132" i="192"/>
  <c r="D131" i="192"/>
  <c r="C131" i="192"/>
  <c r="B131" i="192"/>
  <c r="D130" i="192"/>
  <c r="C130" i="192"/>
  <c r="B130" i="192"/>
  <c r="D129" i="192"/>
  <c r="C129" i="192"/>
  <c r="B129" i="192"/>
  <c r="D128" i="192"/>
  <c r="C128" i="192"/>
  <c r="B128" i="192"/>
  <c r="D127" i="192"/>
  <c r="C127" i="192"/>
  <c r="B127" i="192"/>
  <c r="D126" i="192"/>
  <c r="C126" i="192"/>
  <c r="B126" i="192"/>
  <c r="D125" i="192"/>
  <c r="C125" i="192"/>
  <c r="B125" i="192"/>
  <c r="D124" i="192"/>
  <c r="C124" i="192"/>
  <c r="B124" i="192"/>
  <c r="D123" i="192"/>
  <c r="C123" i="192"/>
  <c r="B123" i="192"/>
  <c r="D122" i="192"/>
  <c r="C122" i="192"/>
  <c r="B122" i="192"/>
  <c r="D121" i="192"/>
  <c r="C121" i="192"/>
  <c r="B121" i="192"/>
  <c r="D120" i="192"/>
  <c r="C120" i="192"/>
  <c r="B120" i="192"/>
  <c r="D119" i="192"/>
  <c r="C119" i="192"/>
  <c r="B119" i="192"/>
  <c r="D118" i="192"/>
  <c r="C118" i="192"/>
  <c r="B118" i="192"/>
  <c r="D117" i="192"/>
  <c r="C117" i="192"/>
  <c r="B117" i="192"/>
  <c r="D116" i="192"/>
  <c r="C116" i="192"/>
  <c r="B116" i="192"/>
  <c r="D115" i="192"/>
  <c r="C115" i="192"/>
  <c r="B115" i="192"/>
  <c r="D114" i="192"/>
  <c r="C114" i="192"/>
  <c r="B114" i="192"/>
  <c r="D113" i="192"/>
  <c r="C113" i="192"/>
  <c r="B113" i="192"/>
  <c r="D112" i="192"/>
  <c r="C112" i="192"/>
  <c r="B112" i="192"/>
  <c r="D111" i="192"/>
  <c r="C111" i="192"/>
  <c r="B111" i="192"/>
  <c r="D110" i="192"/>
  <c r="C110" i="192"/>
  <c r="B110" i="192"/>
  <c r="D109" i="192"/>
  <c r="C109" i="192"/>
  <c r="B109" i="192"/>
  <c r="D108" i="192"/>
  <c r="C108" i="192"/>
  <c r="B108" i="192"/>
  <c r="D107" i="192"/>
  <c r="C107" i="192"/>
  <c r="B107" i="192"/>
  <c r="D106" i="192"/>
  <c r="C106" i="192"/>
  <c r="B106" i="192"/>
  <c r="A106" i="192"/>
  <c r="A107" i="192" s="1"/>
  <c r="A108" i="192" s="1"/>
  <c r="A109" i="192" s="1"/>
  <c r="A110" i="192" s="1"/>
  <c r="A111" i="192" s="1"/>
  <c r="A112" i="192" s="1"/>
  <c r="A113" i="192" s="1"/>
  <c r="A114" i="192" s="1"/>
  <c r="A115" i="192" s="1"/>
  <c r="A116" i="192" s="1"/>
  <c r="A117" i="192" s="1"/>
  <c r="A118" i="192" s="1"/>
  <c r="A119" i="192" s="1"/>
  <c r="A120" i="192" s="1"/>
  <c r="A121" i="192" s="1"/>
  <c r="A122" i="192" s="1"/>
  <c r="A123" i="192" s="1"/>
  <c r="A124" i="192" s="1"/>
  <c r="A125" i="192" s="1"/>
  <c r="A126" i="192" s="1"/>
  <c r="A127" i="192" s="1"/>
  <c r="A128" i="192" s="1"/>
  <c r="A129" i="192" s="1"/>
  <c r="A130" i="192" s="1"/>
  <c r="A131" i="192" s="1"/>
  <c r="A132" i="192" s="1"/>
  <c r="A133" i="192" s="1"/>
  <c r="A134" i="192" s="1"/>
  <c r="A135" i="192" s="1"/>
  <c r="A136" i="192" s="1"/>
  <c r="A137" i="192" s="1"/>
  <c r="A138" i="192" s="1"/>
  <c r="A139" i="192" s="1"/>
  <c r="A140" i="192" s="1"/>
  <c r="A141" i="192" s="1"/>
  <c r="A142" i="192" s="1"/>
  <c r="A143" i="192" s="1"/>
  <c r="A144" i="192" s="1"/>
  <c r="A145" i="192" s="1"/>
  <c r="A146" i="192" s="1"/>
  <c r="A147" i="192" s="1"/>
  <c r="A148" i="192" s="1"/>
  <c r="N103" i="192"/>
  <c r="J103" i="192"/>
  <c r="H103" i="192"/>
  <c r="J102" i="192"/>
  <c r="H102" i="192"/>
  <c r="J101" i="192"/>
  <c r="D100" i="192"/>
  <c r="C100" i="192"/>
  <c r="B100" i="192"/>
  <c r="D99" i="192"/>
  <c r="C99" i="192"/>
  <c r="B99" i="192"/>
  <c r="D98" i="192"/>
  <c r="C98" i="192"/>
  <c r="B98" i="192"/>
  <c r="D97" i="192"/>
  <c r="C97" i="192"/>
  <c r="B97" i="192"/>
  <c r="D96" i="192"/>
  <c r="C96" i="192"/>
  <c r="B96" i="192"/>
  <c r="D95" i="192"/>
  <c r="C95" i="192"/>
  <c r="B95" i="192"/>
  <c r="D94" i="192"/>
  <c r="C94" i="192"/>
  <c r="B94" i="192"/>
  <c r="D93" i="192"/>
  <c r="C93" i="192"/>
  <c r="B93" i="192"/>
  <c r="D92" i="192"/>
  <c r="C92" i="192"/>
  <c r="B92" i="192"/>
  <c r="D91" i="192"/>
  <c r="C91" i="192"/>
  <c r="B91" i="192"/>
  <c r="D90" i="192"/>
  <c r="C90" i="192"/>
  <c r="B90" i="192"/>
  <c r="D89" i="192"/>
  <c r="C89" i="192"/>
  <c r="B89" i="192"/>
  <c r="D88" i="192"/>
  <c r="C88" i="192"/>
  <c r="B88" i="192"/>
  <c r="D87" i="192"/>
  <c r="C87" i="192"/>
  <c r="B87" i="192"/>
  <c r="D86" i="192"/>
  <c r="C86" i="192"/>
  <c r="B86" i="192"/>
  <c r="D85" i="192"/>
  <c r="C85" i="192"/>
  <c r="B85" i="192"/>
  <c r="D84" i="192"/>
  <c r="C84" i="192"/>
  <c r="B84" i="192"/>
  <c r="D83" i="192"/>
  <c r="C83" i="192"/>
  <c r="B83" i="192"/>
  <c r="D82" i="192"/>
  <c r="C82" i="192"/>
  <c r="B82" i="192"/>
  <c r="D81" i="192"/>
  <c r="C81" i="192"/>
  <c r="B81" i="192"/>
  <c r="D80" i="192"/>
  <c r="C80" i="192"/>
  <c r="B80" i="192"/>
  <c r="D79" i="192"/>
  <c r="C79" i="192"/>
  <c r="B79" i="192"/>
  <c r="D78" i="192"/>
  <c r="C78" i="192"/>
  <c r="B78" i="192"/>
  <c r="D77" i="192"/>
  <c r="C77" i="192"/>
  <c r="B77" i="192"/>
  <c r="D76" i="192"/>
  <c r="C76" i="192"/>
  <c r="B76" i="192"/>
  <c r="D75" i="192"/>
  <c r="C75" i="192"/>
  <c r="B75" i="192"/>
  <c r="D74" i="192"/>
  <c r="C74" i="192"/>
  <c r="B74" i="192"/>
  <c r="D73" i="192"/>
  <c r="C73" i="192"/>
  <c r="B73" i="192"/>
  <c r="D72" i="192"/>
  <c r="C72" i="192"/>
  <c r="B72" i="192"/>
  <c r="D71" i="192"/>
  <c r="C71" i="192"/>
  <c r="B71" i="192"/>
  <c r="D70" i="192"/>
  <c r="C70" i="192"/>
  <c r="B70" i="192"/>
  <c r="D69" i="192"/>
  <c r="C69" i="192"/>
  <c r="B69" i="192"/>
  <c r="D68" i="192"/>
  <c r="C68" i="192"/>
  <c r="B68" i="192"/>
  <c r="D67" i="192"/>
  <c r="C67" i="192"/>
  <c r="B67" i="192"/>
  <c r="D66" i="192"/>
  <c r="C66" i="192"/>
  <c r="B66" i="192"/>
  <c r="D65" i="192"/>
  <c r="C65" i="192"/>
  <c r="B65" i="192"/>
  <c r="D64" i="192"/>
  <c r="C64" i="192"/>
  <c r="B64" i="192"/>
  <c r="D63" i="192"/>
  <c r="C63" i="192"/>
  <c r="B63" i="192"/>
  <c r="D62" i="192"/>
  <c r="C62" i="192"/>
  <c r="B62" i="192"/>
  <c r="D61" i="192"/>
  <c r="C61" i="192"/>
  <c r="B61" i="192"/>
  <c r="D60" i="192"/>
  <c r="C60" i="192"/>
  <c r="B60" i="192"/>
  <c r="D59" i="192"/>
  <c r="C59" i="192"/>
  <c r="B59" i="192"/>
  <c r="D58" i="192"/>
  <c r="C58" i="192"/>
  <c r="B58" i="192"/>
  <c r="D57" i="192"/>
  <c r="C57" i="192"/>
  <c r="B57" i="192"/>
  <c r="N54" i="192"/>
  <c r="J54" i="192"/>
  <c r="H54" i="192"/>
  <c r="J53" i="192"/>
  <c r="H53" i="192"/>
  <c r="J52" i="192"/>
  <c r="D21" i="192" a="1"/>
  <c r="D20" i="192" a="1"/>
  <c r="D19" i="192" a="1"/>
  <c r="D14" i="192" a="1"/>
  <c r="D103" i="192" s="1"/>
  <c r="D13" i="192" a="1"/>
  <c r="D12" i="192" a="1"/>
  <c r="D10" i="192" a="1"/>
  <c r="D8" i="192"/>
  <c r="D7" i="192"/>
  <c r="D6" i="192"/>
  <c r="D5" i="192"/>
  <c r="N3" i="192"/>
  <c r="N1" i="192"/>
  <c r="G124" i="191"/>
  <c r="I124" i="191" s="1"/>
  <c r="G125" i="191"/>
  <c r="I125" i="191" s="1"/>
  <c r="G126" i="191"/>
  <c r="I126" i="191" s="1"/>
  <c r="G127" i="191"/>
  <c r="I127" i="191" s="1"/>
  <c r="G128" i="191"/>
  <c r="I128" i="191" s="1"/>
  <c r="G129" i="191"/>
  <c r="I129" i="191" s="1"/>
  <c r="G130" i="191"/>
  <c r="I130" i="191" s="1"/>
  <c r="G131" i="191"/>
  <c r="I131" i="191" s="1"/>
  <c r="G132" i="191"/>
  <c r="I132" i="191" s="1"/>
  <c r="G133" i="191"/>
  <c r="I133" i="191" s="1"/>
  <c r="G134" i="191"/>
  <c r="I134" i="191" s="1"/>
  <c r="G135" i="191"/>
  <c r="I135" i="191" s="1"/>
  <c r="G136" i="191"/>
  <c r="I136" i="191" s="1"/>
  <c r="G137" i="191"/>
  <c r="I137" i="191" s="1"/>
  <c r="G138" i="191"/>
  <c r="I138" i="191" s="1"/>
  <c r="G139" i="191"/>
  <c r="I139" i="191" s="1"/>
  <c r="G140" i="191"/>
  <c r="I140" i="191" s="1"/>
  <c r="G141" i="191"/>
  <c r="I141" i="191" s="1"/>
  <c r="G142" i="191"/>
  <c r="I142" i="191" s="1"/>
  <c r="G143" i="191"/>
  <c r="I143" i="191" s="1"/>
  <c r="G144" i="191"/>
  <c r="I144" i="191" s="1"/>
  <c r="G145" i="191"/>
  <c r="I145" i="191" s="1"/>
  <c r="G146" i="191"/>
  <c r="I146" i="191" s="1"/>
  <c r="G147" i="191"/>
  <c r="I147" i="191" s="1"/>
  <c r="G148" i="191"/>
  <c r="I148" i="191" s="1"/>
  <c r="G107" i="191"/>
  <c r="I107" i="191" s="1"/>
  <c r="G108" i="191"/>
  <c r="I108" i="191" s="1"/>
  <c r="G109" i="191"/>
  <c r="I109" i="191" s="1"/>
  <c r="G110" i="191"/>
  <c r="I110" i="191" s="1"/>
  <c r="G111" i="191"/>
  <c r="I111" i="191" s="1"/>
  <c r="G112" i="191"/>
  <c r="I112" i="191" s="1"/>
  <c r="G113" i="191"/>
  <c r="I113" i="191" s="1"/>
  <c r="G114" i="191"/>
  <c r="I114" i="191" s="1"/>
  <c r="G115" i="191"/>
  <c r="I115" i="191" s="1"/>
  <c r="G116" i="191"/>
  <c r="I116" i="191" s="1"/>
  <c r="G117" i="191"/>
  <c r="I117" i="191" s="1"/>
  <c r="G118" i="191"/>
  <c r="I118" i="191" s="1"/>
  <c r="G119" i="191"/>
  <c r="I119" i="191" s="1"/>
  <c r="G120" i="191"/>
  <c r="I120" i="191" s="1"/>
  <c r="G121" i="191"/>
  <c r="I121" i="191" s="1"/>
  <c r="G122" i="191"/>
  <c r="I122" i="191" s="1"/>
  <c r="G123" i="191"/>
  <c r="I123" i="191" s="1"/>
  <c r="G106" i="191"/>
  <c r="I106" i="191" s="1"/>
  <c r="G58" i="191"/>
  <c r="I58" i="191" s="1"/>
  <c r="G59" i="191"/>
  <c r="I59" i="191" s="1"/>
  <c r="G60" i="191"/>
  <c r="I60" i="191" s="1"/>
  <c r="G61" i="191"/>
  <c r="I61" i="191" s="1"/>
  <c r="G62" i="191"/>
  <c r="I62" i="191" s="1"/>
  <c r="G63" i="191"/>
  <c r="I63" i="191" s="1"/>
  <c r="G64" i="191"/>
  <c r="I64" i="191" s="1"/>
  <c r="G65" i="191"/>
  <c r="I65" i="191" s="1"/>
  <c r="G66" i="191"/>
  <c r="I66" i="191" s="1"/>
  <c r="G67" i="191"/>
  <c r="I67" i="191" s="1"/>
  <c r="G68" i="191"/>
  <c r="I68" i="191" s="1"/>
  <c r="G69" i="191"/>
  <c r="I69" i="191" s="1"/>
  <c r="G70" i="191"/>
  <c r="I70" i="191" s="1"/>
  <c r="G71" i="191"/>
  <c r="I71" i="191" s="1"/>
  <c r="G72" i="191"/>
  <c r="I72" i="191" s="1"/>
  <c r="G73" i="191"/>
  <c r="G74" i="191"/>
  <c r="I74" i="191" s="1"/>
  <c r="G75" i="191"/>
  <c r="I75" i="191" s="1"/>
  <c r="G76" i="191"/>
  <c r="I76" i="191" s="1"/>
  <c r="G77" i="191"/>
  <c r="I77" i="191" s="1"/>
  <c r="G78" i="191"/>
  <c r="I78" i="191" s="1"/>
  <c r="G79" i="191"/>
  <c r="I79" i="191" s="1"/>
  <c r="G80" i="191"/>
  <c r="I80" i="191" s="1"/>
  <c r="G81" i="191"/>
  <c r="I81" i="191" s="1"/>
  <c r="G82" i="191"/>
  <c r="I82" i="191" s="1"/>
  <c r="G83" i="191"/>
  <c r="I83" i="191" s="1"/>
  <c r="G84" i="191"/>
  <c r="I84" i="191" s="1"/>
  <c r="G85" i="191"/>
  <c r="I85" i="191" s="1"/>
  <c r="G86" i="191"/>
  <c r="I86" i="191" s="1"/>
  <c r="G87" i="191"/>
  <c r="I87" i="191" s="1"/>
  <c r="G88" i="191"/>
  <c r="I88" i="191" s="1"/>
  <c r="G89" i="191"/>
  <c r="I89" i="191" s="1"/>
  <c r="G90" i="191"/>
  <c r="I90" i="191" s="1"/>
  <c r="G91" i="191"/>
  <c r="I91" i="191" s="1"/>
  <c r="G92" i="191"/>
  <c r="I92" i="191" s="1"/>
  <c r="G93" i="191"/>
  <c r="I93" i="191" s="1"/>
  <c r="G94" i="191"/>
  <c r="I94" i="191" s="1"/>
  <c r="G95" i="191"/>
  <c r="I95" i="191" s="1"/>
  <c r="G96" i="191"/>
  <c r="I96" i="191" s="1"/>
  <c r="G97" i="191"/>
  <c r="I97" i="191" s="1"/>
  <c r="G98" i="191"/>
  <c r="I98" i="191" s="1"/>
  <c r="G99" i="191"/>
  <c r="I99" i="191" s="1"/>
  <c r="G100" i="191"/>
  <c r="I100" i="191" s="1"/>
  <c r="G57" i="191"/>
  <c r="M149" i="191"/>
  <c r="H149" i="191"/>
  <c r="D148" i="191"/>
  <c r="C148" i="191"/>
  <c r="B148" i="191"/>
  <c r="D147" i="191"/>
  <c r="C147" i="191"/>
  <c r="B147" i="191"/>
  <c r="D146" i="191"/>
  <c r="C146" i="191"/>
  <c r="B146" i="191"/>
  <c r="D145" i="191"/>
  <c r="C145" i="191"/>
  <c r="B145" i="191"/>
  <c r="D144" i="191"/>
  <c r="C144" i="191"/>
  <c r="B144" i="191"/>
  <c r="D143" i="191"/>
  <c r="C143" i="191"/>
  <c r="B143" i="191"/>
  <c r="D142" i="191"/>
  <c r="C142" i="191"/>
  <c r="B142" i="191"/>
  <c r="D141" i="191"/>
  <c r="C141" i="191"/>
  <c r="B141" i="191"/>
  <c r="D140" i="191"/>
  <c r="C140" i="191"/>
  <c r="B140" i="191"/>
  <c r="D139" i="191"/>
  <c r="C139" i="191"/>
  <c r="B139" i="191"/>
  <c r="D138" i="191"/>
  <c r="C138" i="191"/>
  <c r="B138" i="191"/>
  <c r="D137" i="191"/>
  <c r="C137" i="191"/>
  <c r="B137" i="191"/>
  <c r="D136" i="191"/>
  <c r="C136" i="191"/>
  <c r="B136" i="191"/>
  <c r="D135" i="191"/>
  <c r="C135" i="191"/>
  <c r="B135" i="191"/>
  <c r="D134" i="191"/>
  <c r="C134" i="191"/>
  <c r="B134" i="191"/>
  <c r="D133" i="191"/>
  <c r="C133" i="191"/>
  <c r="B133" i="191"/>
  <c r="D132" i="191"/>
  <c r="C132" i="191"/>
  <c r="B132" i="191"/>
  <c r="D131" i="191"/>
  <c r="C131" i="191"/>
  <c r="B131" i="191"/>
  <c r="D130" i="191"/>
  <c r="C130" i="191"/>
  <c r="B130" i="191"/>
  <c r="D129" i="191"/>
  <c r="C129" i="191"/>
  <c r="B129" i="191"/>
  <c r="D128" i="191"/>
  <c r="C128" i="191"/>
  <c r="B128" i="191"/>
  <c r="D127" i="191"/>
  <c r="C127" i="191"/>
  <c r="B127" i="191"/>
  <c r="D126" i="191"/>
  <c r="C126" i="191"/>
  <c r="B126" i="191"/>
  <c r="D125" i="191"/>
  <c r="C125" i="191"/>
  <c r="B125" i="191"/>
  <c r="D124" i="191"/>
  <c r="C124" i="191"/>
  <c r="B124" i="191"/>
  <c r="D123" i="191"/>
  <c r="C123" i="191"/>
  <c r="B123" i="191"/>
  <c r="D122" i="191"/>
  <c r="C122" i="191"/>
  <c r="B122" i="191"/>
  <c r="D121" i="191"/>
  <c r="C121" i="191"/>
  <c r="B121" i="191"/>
  <c r="D120" i="191"/>
  <c r="C120" i="191"/>
  <c r="B120" i="191"/>
  <c r="D119" i="191"/>
  <c r="C119" i="191"/>
  <c r="B119" i="191"/>
  <c r="D118" i="191"/>
  <c r="C118" i="191"/>
  <c r="B118" i="191"/>
  <c r="D117" i="191"/>
  <c r="C117" i="191"/>
  <c r="B117" i="191"/>
  <c r="D116" i="191"/>
  <c r="C116" i="191"/>
  <c r="B116" i="191"/>
  <c r="D115" i="191"/>
  <c r="C115" i="191"/>
  <c r="B115" i="191"/>
  <c r="D114" i="191"/>
  <c r="C114" i="191"/>
  <c r="B114" i="191"/>
  <c r="D113" i="191"/>
  <c r="C113" i="191"/>
  <c r="B113" i="191"/>
  <c r="D112" i="191"/>
  <c r="C112" i="191"/>
  <c r="B112" i="191"/>
  <c r="D111" i="191"/>
  <c r="C111" i="191"/>
  <c r="B111" i="191"/>
  <c r="D110" i="191"/>
  <c r="C110" i="191"/>
  <c r="B110" i="191"/>
  <c r="D109" i="191"/>
  <c r="C109" i="191"/>
  <c r="B109" i="191"/>
  <c r="D108" i="191"/>
  <c r="C108" i="191"/>
  <c r="B108" i="191"/>
  <c r="D107" i="191"/>
  <c r="C107" i="191"/>
  <c r="B107" i="191"/>
  <c r="D106" i="191"/>
  <c r="C106" i="191"/>
  <c r="B106" i="191"/>
  <c r="A106" i="191"/>
  <c r="A107" i="191" s="1"/>
  <c r="A108" i="191" s="1"/>
  <c r="A109" i="191" s="1"/>
  <c r="A110" i="191" s="1"/>
  <c r="A111" i="191" s="1"/>
  <c r="A112" i="191" s="1"/>
  <c r="A113" i="191" s="1"/>
  <c r="A114" i="191" s="1"/>
  <c r="A115" i="191" s="1"/>
  <c r="A116" i="191" s="1"/>
  <c r="A117" i="191" s="1"/>
  <c r="A118" i="191" s="1"/>
  <c r="A119" i="191" s="1"/>
  <c r="A120" i="191" s="1"/>
  <c r="A121" i="191" s="1"/>
  <c r="A122" i="191" s="1"/>
  <c r="A123" i="191" s="1"/>
  <c r="A124" i="191" s="1"/>
  <c r="A125" i="191" s="1"/>
  <c r="A126" i="191" s="1"/>
  <c r="A127" i="191" s="1"/>
  <c r="A128" i="191" s="1"/>
  <c r="A129" i="191" s="1"/>
  <c r="A130" i="191" s="1"/>
  <c r="A131" i="191" s="1"/>
  <c r="A132" i="191" s="1"/>
  <c r="A133" i="191" s="1"/>
  <c r="A134" i="191" s="1"/>
  <c r="A135" i="191" s="1"/>
  <c r="A136" i="191" s="1"/>
  <c r="A137" i="191" s="1"/>
  <c r="A138" i="191" s="1"/>
  <c r="A139" i="191" s="1"/>
  <c r="A140" i="191" s="1"/>
  <c r="A141" i="191" s="1"/>
  <c r="A142" i="191" s="1"/>
  <c r="A143" i="191" s="1"/>
  <c r="A144" i="191" s="1"/>
  <c r="A145" i="191" s="1"/>
  <c r="A146" i="191" s="1"/>
  <c r="A147" i="191" s="1"/>
  <c r="A148" i="191" s="1"/>
  <c r="N103" i="191"/>
  <c r="J103" i="191"/>
  <c r="H103" i="191"/>
  <c r="J102" i="191"/>
  <c r="H102" i="191"/>
  <c r="J101" i="191"/>
  <c r="D100" i="191"/>
  <c r="C100" i="191"/>
  <c r="B100" i="191"/>
  <c r="D99" i="191"/>
  <c r="C99" i="191"/>
  <c r="B99" i="191"/>
  <c r="D98" i="191"/>
  <c r="C98" i="191"/>
  <c r="B98" i="191"/>
  <c r="D97" i="191"/>
  <c r="C97" i="191"/>
  <c r="B97" i="191"/>
  <c r="D96" i="191"/>
  <c r="C96" i="191"/>
  <c r="B96" i="191"/>
  <c r="D95" i="191"/>
  <c r="C95" i="191"/>
  <c r="B95" i="191"/>
  <c r="D94" i="191"/>
  <c r="C94" i="191"/>
  <c r="B94" i="191"/>
  <c r="D93" i="191"/>
  <c r="C93" i="191"/>
  <c r="B93" i="191"/>
  <c r="D92" i="191"/>
  <c r="C92" i="191"/>
  <c r="B92" i="191"/>
  <c r="D91" i="191"/>
  <c r="C91" i="191"/>
  <c r="B91" i="191"/>
  <c r="D90" i="191"/>
  <c r="C90" i="191"/>
  <c r="B90" i="191"/>
  <c r="D89" i="191"/>
  <c r="C89" i="191"/>
  <c r="B89" i="191"/>
  <c r="D88" i="191"/>
  <c r="C88" i="191"/>
  <c r="B88" i="191"/>
  <c r="D87" i="191"/>
  <c r="C87" i="191"/>
  <c r="B87" i="191"/>
  <c r="D86" i="191"/>
  <c r="C86" i="191"/>
  <c r="B86" i="191"/>
  <c r="D85" i="191"/>
  <c r="C85" i="191"/>
  <c r="B85" i="191"/>
  <c r="D84" i="191"/>
  <c r="C84" i="191"/>
  <c r="B84" i="191"/>
  <c r="D83" i="191"/>
  <c r="C83" i="191"/>
  <c r="B83" i="191"/>
  <c r="D82" i="191"/>
  <c r="C82" i="191"/>
  <c r="B82" i="191"/>
  <c r="D81" i="191"/>
  <c r="C81" i="191"/>
  <c r="B81" i="191"/>
  <c r="D80" i="191"/>
  <c r="C80" i="191"/>
  <c r="B80" i="191"/>
  <c r="D79" i="191"/>
  <c r="C79" i="191"/>
  <c r="B79" i="191"/>
  <c r="D78" i="191"/>
  <c r="C78" i="191"/>
  <c r="B78" i="191"/>
  <c r="D77" i="191"/>
  <c r="C77" i="191"/>
  <c r="B77" i="191"/>
  <c r="D76" i="191"/>
  <c r="C76" i="191"/>
  <c r="B76" i="191"/>
  <c r="D75" i="191"/>
  <c r="C75" i="191"/>
  <c r="B75" i="191"/>
  <c r="D74" i="191"/>
  <c r="C74" i="191"/>
  <c r="B74" i="191"/>
  <c r="D73" i="191"/>
  <c r="C73" i="191"/>
  <c r="B73" i="191"/>
  <c r="D72" i="191"/>
  <c r="C72" i="191"/>
  <c r="B72" i="191"/>
  <c r="D71" i="191"/>
  <c r="C71" i="191"/>
  <c r="B71" i="191"/>
  <c r="D70" i="191"/>
  <c r="C70" i="191"/>
  <c r="B70" i="191"/>
  <c r="D69" i="191"/>
  <c r="C69" i="191"/>
  <c r="B69" i="191"/>
  <c r="D68" i="191"/>
  <c r="C68" i="191"/>
  <c r="B68" i="191"/>
  <c r="D67" i="191"/>
  <c r="C67" i="191"/>
  <c r="B67" i="191"/>
  <c r="D66" i="191"/>
  <c r="C66" i="191"/>
  <c r="B66" i="191"/>
  <c r="D65" i="191"/>
  <c r="C65" i="191"/>
  <c r="B65" i="191"/>
  <c r="D64" i="191"/>
  <c r="C64" i="191"/>
  <c r="B64" i="191"/>
  <c r="D63" i="191"/>
  <c r="C63" i="191"/>
  <c r="B63" i="191"/>
  <c r="D62" i="191"/>
  <c r="C62" i="191"/>
  <c r="B62" i="191"/>
  <c r="D61" i="191"/>
  <c r="C61" i="191"/>
  <c r="B61" i="191"/>
  <c r="D60" i="191"/>
  <c r="C60" i="191"/>
  <c r="B60" i="191"/>
  <c r="D59" i="191"/>
  <c r="C59" i="191"/>
  <c r="B59" i="191"/>
  <c r="D58" i="191"/>
  <c r="C58" i="191"/>
  <c r="B58" i="191"/>
  <c r="D57" i="191"/>
  <c r="C57" i="191"/>
  <c r="B57" i="191"/>
  <c r="N54" i="191"/>
  <c r="J54" i="191"/>
  <c r="H54" i="191"/>
  <c r="J53" i="191"/>
  <c r="H53" i="191"/>
  <c r="J52" i="191"/>
  <c r="D21" i="191" a="1"/>
  <c r="D20" i="191" a="1"/>
  <c r="D19" i="191" a="1"/>
  <c r="D14" i="191" a="1"/>
  <c r="D54" i="191" s="1"/>
  <c r="D13" i="191" a="1"/>
  <c r="D12" i="191" a="1"/>
  <c r="D101" i="191" s="1"/>
  <c r="D10" i="191" a="1"/>
  <c r="D8" i="191"/>
  <c r="D7" i="191"/>
  <c r="D6" i="191"/>
  <c r="D5" i="191"/>
  <c r="N3" i="191"/>
  <c r="N1" i="191"/>
  <c r="G107" i="190"/>
  <c r="I107" i="190" s="1"/>
  <c r="G108" i="190"/>
  <c r="I108" i="190" s="1"/>
  <c r="G109" i="190"/>
  <c r="I109" i="190" s="1"/>
  <c r="G110" i="190"/>
  <c r="I110" i="190" s="1"/>
  <c r="G111" i="190"/>
  <c r="I111" i="190" s="1"/>
  <c r="G112" i="190"/>
  <c r="I112" i="190" s="1"/>
  <c r="G113" i="190"/>
  <c r="I113" i="190" s="1"/>
  <c r="G114" i="190"/>
  <c r="I114" i="190" s="1"/>
  <c r="G115" i="190"/>
  <c r="I115" i="190" s="1"/>
  <c r="G116" i="190"/>
  <c r="I116" i="190" s="1"/>
  <c r="G117" i="190"/>
  <c r="I117" i="190" s="1"/>
  <c r="G118" i="190"/>
  <c r="I118" i="190" s="1"/>
  <c r="G119" i="190"/>
  <c r="I119" i="190" s="1"/>
  <c r="G120" i="190"/>
  <c r="I120" i="190" s="1"/>
  <c r="G121" i="190"/>
  <c r="I121" i="190" s="1"/>
  <c r="G122" i="190"/>
  <c r="I122" i="190" s="1"/>
  <c r="G123" i="190"/>
  <c r="I123" i="190" s="1"/>
  <c r="G124" i="190"/>
  <c r="I124" i="190" s="1"/>
  <c r="G125" i="190"/>
  <c r="I125" i="190" s="1"/>
  <c r="G126" i="190"/>
  <c r="I126" i="190" s="1"/>
  <c r="G127" i="190"/>
  <c r="I127" i="190" s="1"/>
  <c r="G128" i="190"/>
  <c r="I128" i="190" s="1"/>
  <c r="G129" i="190"/>
  <c r="I129" i="190" s="1"/>
  <c r="G130" i="190"/>
  <c r="I130" i="190" s="1"/>
  <c r="G131" i="190"/>
  <c r="I131" i="190" s="1"/>
  <c r="G132" i="190"/>
  <c r="I132" i="190" s="1"/>
  <c r="G133" i="190"/>
  <c r="I133" i="190" s="1"/>
  <c r="G134" i="190"/>
  <c r="I134" i="190" s="1"/>
  <c r="G135" i="190"/>
  <c r="I135" i="190" s="1"/>
  <c r="G136" i="190"/>
  <c r="I136" i="190" s="1"/>
  <c r="G137" i="190"/>
  <c r="I137" i="190" s="1"/>
  <c r="G138" i="190"/>
  <c r="I138" i="190" s="1"/>
  <c r="G139" i="190"/>
  <c r="I139" i="190" s="1"/>
  <c r="G140" i="190"/>
  <c r="I140" i="190" s="1"/>
  <c r="G141" i="190"/>
  <c r="I141" i="190" s="1"/>
  <c r="G142" i="190"/>
  <c r="I142" i="190" s="1"/>
  <c r="G143" i="190"/>
  <c r="I143" i="190" s="1"/>
  <c r="G144" i="190"/>
  <c r="I144" i="190" s="1"/>
  <c r="G145" i="190"/>
  <c r="I145" i="190" s="1"/>
  <c r="G146" i="190"/>
  <c r="I146" i="190" s="1"/>
  <c r="G147" i="190"/>
  <c r="I147" i="190" s="1"/>
  <c r="G148" i="190"/>
  <c r="I148" i="190" s="1"/>
  <c r="G106" i="190"/>
  <c r="I106" i="190" s="1"/>
  <c r="G84" i="190"/>
  <c r="I84" i="190" s="1"/>
  <c r="G85" i="190"/>
  <c r="I85" i="190" s="1"/>
  <c r="G86" i="190"/>
  <c r="I86" i="190" s="1"/>
  <c r="G87" i="190"/>
  <c r="I87" i="190" s="1"/>
  <c r="G88" i="190"/>
  <c r="I88" i="190" s="1"/>
  <c r="G89" i="190"/>
  <c r="I89" i="190" s="1"/>
  <c r="G90" i="190"/>
  <c r="I90" i="190" s="1"/>
  <c r="G91" i="190"/>
  <c r="I91" i="190" s="1"/>
  <c r="G92" i="190"/>
  <c r="I92" i="190" s="1"/>
  <c r="G93" i="190"/>
  <c r="I93" i="190" s="1"/>
  <c r="G94" i="190"/>
  <c r="I94" i="190" s="1"/>
  <c r="G95" i="190"/>
  <c r="I95" i="190" s="1"/>
  <c r="G96" i="190"/>
  <c r="I96" i="190" s="1"/>
  <c r="G97" i="190"/>
  <c r="I97" i="190" s="1"/>
  <c r="G98" i="190"/>
  <c r="I98" i="190" s="1"/>
  <c r="G99" i="190"/>
  <c r="I99" i="190" s="1"/>
  <c r="G100" i="190"/>
  <c r="I100" i="190" s="1"/>
  <c r="G58" i="190"/>
  <c r="I58" i="190" s="1"/>
  <c r="G59" i="190"/>
  <c r="I59" i="190" s="1"/>
  <c r="G60" i="190"/>
  <c r="I60" i="190" s="1"/>
  <c r="G61" i="190"/>
  <c r="I61" i="190" s="1"/>
  <c r="G62" i="190"/>
  <c r="I62" i="190" s="1"/>
  <c r="G63" i="190"/>
  <c r="I63" i="190" s="1"/>
  <c r="G64" i="190"/>
  <c r="I64" i="190" s="1"/>
  <c r="G65" i="190"/>
  <c r="I65" i="190" s="1"/>
  <c r="G66" i="190"/>
  <c r="I66" i="190" s="1"/>
  <c r="G67" i="190"/>
  <c r="I67" i="190" s="1"/>
  <c r="G68" i="190"/>
  <c r="I68" i="190" s="1"/>
  <c r="G69" i="190"/>
  <c r="I69" i="190" s="1"/>
  <c r="G70" i="190"/>
  <c r="I70" i="190" s="1"/>
  <c r="G71" i="190"/>
  <c r="I71" i="190" s="1"/>
  <c r="G72" i="190"/>
  <c r="I72" i="190" s="1"/>
  <c r="G73" i="190"/>
  <c r="I73" i="190" s="1"/>
  <c r="G74" i="190"/>
  <c r="I74" i="190" s="1"/>
  <c r="G75" i="190"/>
  <c r="I75" i="190" s="1"/>
  <c r="G76" i="190"/>
  <c r="I76" i="190" s="1"/>
  <c r="G77" i="190"/>
  <c r="I77" i="190" s="1"/>
  <c r="G78" i="190"/>
  <c r="I78" i="190" s="1"/>
  <c r="G79" i="190"/>
  <c r="I79" i="190" s="1"/>
  <c r="G80" i="190"/>
  <c r="I80" i="190" s="1"/>
  <c r="G81" i="190"/>
  <c r="I81" i="190" s="1"/>
  <c r="G82" i="190"/>
  <c r="I82" i="190" s="1"/>
  <c r="G83" i="190"/>
  <c r="I83" i="190" s="1"/>
  <c r="G57" i="190"/>
  <c r="M149" i="190"/>
  <c r="H149" i="190"/>
  <c r="D148" i="190"/>
  <c r="C148" i="190"/>
  <c r="B148" i="190"/>
  <c r="D147" i="190"/>
  <c r="C147" i="190"/>
  <c r="B147" i="190"/>
  <c r="D146" i="190"/>
  <c r="C146" i="190"/>
  <c r="B146" i="190"/>
  <c r="D145" i="190"/>
  <c r="C145" i="190"/>
  <c r="B145" i="190"/>
  <c r="D144" i="190"/>
  <c r="C144" i="190"/>
  <c r="B144" i="190"/>
  <c r="D143" i="190"/>
  <c r="C143" i="190"/>
  <c r="B143" i="190"/>
  <c r="D142" i="190"/>
  <c r="C142" i="190"/>
  <c r="B142" i="190"/>
  <c r="D141" i="190"/>
  <c r="C141" i="190"/>
  <c r="B141" i="190"/>
  <c r="D140" i="190"/>
  <c r="C140" i="190"/>
  <c r="B140" i="190"/>
  <c r="D139" i="190"/>
  <c r="C139" i="190"/>
  <c r="B139" i="190"/>
  <c r="D138" i="190"/>
  <c r="C138" i="190"/>
  <c r="B138" i="190"/>
  <c r="D137" i="190"/>
  <c r="C137" i="190"/>
  <c r="B137" i="190"/>
  <c r="D136" i="190"/>
  <c r="C136" i="190"/>
  <c r="B136" i="190"/>
  <c r="D135" i="190"/>
  <c r="C135" i="190"/>
  <c r="B135" i="190"/>
  <c r="D134" i="190"/>
  <c r="C134" i="190"/>
  <c r="B134" i="190"/>
  <c r="D133" i="190"/>
  <c r="C133" i="190"/>
  <c r="B133" i="190"/>
  <c r="D132" i="190"/>
  <c r="C132" i="190"/>
  <c r="B132" i="190"/>
  <c r="D131" i="190"/>
  <c r="C131" i="190"/>
  <c r="B131" i="190"/>
  <c r="D130" i="190"/>
  <c r="C130" i="190"/>
  <c r="B130" i="190"/>
  <c r="D129" i="190"/>
  <c r="C129" i="190"/>
  <c r="B129" i="190"/>
  <c r="D128" i="190"/>
  <c r="C128" i="190"/>
  <c r="B128" i="190"/>
  <c r="D127" i="190"/>
  <c r="C127" i="190"/>
  <c r="B127" i="190"/>
  <c r="D126" i="190"/>
  <c r="C126" i="190"/>
  <c r="B126" i="190"/>
  <c r="D125" i="190"/>
  <c r="C125" i="190"/>
  <c r="B125" i="190"/>
  <c r="D124" i="190"/>
  <c r="C124" i="190"/>
  <c r="B124" i="190"/>
  <c r="D123" i="190"/>
  <c r="C123" i="190"/>
  <c r="B123" i="190"/>
  <c r="D122" i="190"/>
  <c r="C122" i="190"/>
  <c r="B122" i="190"/>
  <c r="D121" i="190"/>
  <c r="C121" i="190"/>
  <c r="B121" i="190"/>
  <c r="D120" i="190"/>
  <c r="C120" i="190"/>
  <c r="B120" i="190"/>
  <c r="D119" i="190"/>
  <c r="C119" i="190"/>
  <c r="B119" i="190"/>
  <c r="D118" i="190"/>
  <c r="C118" i="190"/>
  <c r="B118" i="190"/>
  <c r="D117" i="190"/>
  <c r="C117" i="190"/>
  <c r="B117" i="190"/>
  <c r="D116" i="190"/>
  <c r="C116" i="190"/>
  <c r="B116" i="190"/>
  <c r="D115" i="190"/>
  <c r="C115" i="190"/>
  <c r="B115" i="190"/>
  <c r="D114" i="190"/>
  <c r="C114" i="190"/>
  <c r="B114" i="190"/>
  <c r="D113" i="190"/>
  <c r="C113" i="190"/>
  <c r="B113" i="190"/>
  <c r="D112" i="190"/>
  <c r="C112" i="190"/>
  <c r="B112" i="190"/>
  <c r="D111" i="190"/>
  <c r="C111" i="190"/>
  <c r="B111" i="190"/>
  <c r="D110" i="190"/>
  <c r="C110" i="190"/>
  <c r="B110" i="190"/>
  <c r="D109" i="190"/>
  <c r="C109" i="190"/>
  <c r="B109" i="190"/>
  <c r="D108" i="190"/>
  <c r="C108" i="190"/>
  <c r="B108" i="190"/>
  <c r="D107" i="190"/>
  <c r="C107" i="190"/>
  <c r="B107" i="190"/>
  <c r="D106" i="190"/>
  <c r="C106" i="190"/>
  <c r="B106" i="190"/>
  <c r="A106" i="190"/>
  <c r="A107" i="190" s="1"/>
  <c r="A108" i="190" s="1"/>
  <c r="A109" i="190" s="1"/>
  <c r="A110" i="190" s="1"/>
  <c r="A111" i="190" s="1"/>
  <c r="A112" i="190" s="1"/>
  <c r="A113" i="190" s="1"/>
  <c r="A114" i="190" s="1"/>
  <c r="A115" i="190" s="1"/>
  <c r="A116" i="190" s="1"/>
  <c r="A117" i="190" s="1"/>
  <c r="A118" i="190" s="1"/>
  <c r="A119" i="190" s="1"/>
  <c r="A120" i="190" s="1"/>
  <c r="A121" i="190" s="1"/>
  <c r="A122" i="190" s="1"/>
  <c r="A123" i="190" s="1"/>
  <c r="A124" i="190" s="1"/>
  <c r="A125" i="190" s="1"/>
  <c r="A126" i="190" s="1"/>
  <c r="A127" i="190" s="1"/>
  <c r="A128" i="190" s="1"/>
  <c r="A129" i="190" s="1"/>
  <c r="A130" i="190" s="1"/>
  <c r="A131" i="190" s="1"/>
  <c r="A132" i="190" s="1"/>
  <c r="A133" i="190" s="1"/>
  <c r="A134" i="190" s="1"/>
  <c r="A135" i="190" s="1"/>
  <c r="A136" i="190" s="1"/>
  <c r="A137" i="190" s="1"/>
  <c r="A138" i="190" s="1"/>
  <c r="A139" i="190" s="1"/>
  <c r="A140" i="190" s="1"/>
  <c r="A141" i="190" s="1"/>
  <c r="A142" i="190" s="1"/>
  <c r="A143" i="190" s="1"/>
  <c r="A144" i="190" s="1"/>
  <c r="A145" i="190" s="1"/>
  <c r="A146" i="190" s="1"/>
  <c r="A147" i="190" s="1"/>
  <c r="A148" i="190" s="1"/>
  <c r="N103" i="190"/>
  <c r="J103" i="190"/>
  <c r="H103" i="190"/>
  <c r="J102" i="190"/>
  <c r="H102" i="190"/>
  <c r="J101" i="190"/>
  <c r="D100" i="190"/>
  <c r="C100" i="190"/>
  <c r="B100" i="190"/>
  <c r="D99" i="190"/>
  <c r="C99" i="190"/>
  <c r="B99" i="190"/>
  <c r="D98" i="190"/>
  <c r="C98" i="190"/>
  <c r="B98" i="190"/>
  <c r="D97" i="190"/>
  <c r="C97" i="190"/>
  <c r="B97" i="190"/>
  <c r="D96" i="190"/>
  <c r="C96" i="190"/>
  <c r="B96" i="190"/>
  <c r="D95" i="190"/>
  <c r="C95" i="190"/>
  <c r="B95" i="190"/>
  <c r="D94" i="190"/>
  <c r="C94" i="190"/>
  <c r="B94" i="190"/>
  <c r="D93" i="190"/>
  <c r="C93" i="190"/>
  <c r="B93" i="190"/>
  <c r="D92" i="190"/>
  <c r="C92" i="190"/>
  <c r="B92" i="190"/>
  <c r="D91" i="190"/>
  <c r="C91" i="190"/>
  <c r="B91" i="190"/>
  <c r="D90" i="190"/>
  <c r="C90" i="190"/>
  <c r="B90" i="190"/>
  <c r="D89" i="190"/>
  <c r="C89" i="190"/>
  <c r="B89" i="190"/>
  <c r="D88" i="190"/>
  <c r="C88" i="190"/>
  <c r="B88" i="190"/>
  <c r="D87" i="190"/>
  <c r="C87" i="190"/>
  <c r="B87" i="190"/>
  <c r="D86" i="190"/>
  <c r="C86" i="190"/>
  <c r="B86" i="190"/>
  <c r="D85" i="190"/>
  <c r="C85" i="190"/>
  <c r="B85" i="190"/>
  <c r="D84" i="190"/>
  <c r="C84" i="190"/>
  <c r="B84" i="190"/>
  <c r="D83" i="190"/>
  <c r="C83" i="190"/>
  <c r="B83" i="190"/>
  <c r="D82" i="190"/>
  <c r="C82" i="190"/>
  <c r="B82" i="190"/>
  <c r="D81" i="190"/>
  <c r="C81" i="190"/>
  <c r="B81" i="190"/>
  <c r="D80" i="190"/>
  <c r="C80" i="190"/>
  <c r="B80" i="190"/>
  <c r="D79" i="190"/>
  <c r="C79" i="190"/>
  <c r="B79" i="190"/>
  <c r="D78" i="190"/>
  <c r="C78" i="190"/>
  <c r="B78" i="190"/>
  <c r="D77" i="190"/>
  <c r="C77" i="190"/>
  <c r="B77" i="190"/>
  <c r="D76" i="190"/>
  <c r="C76" i="190"/>
  <c r="B76" i="190"/>
  <c r="D75" i="190"/>
  <c r="C75" i="190"/>
  <c r="B75" i="190"/>
  <c r="D74" i="190"/>
  <c r="C74" i="190"/>
  <c r="B74" i="190"/>
  <c r="D73" i="190"/>
  <c r="C73" i="190"/>
  <c r="B73" i="190"/>
  <c r="D72" i="190"/>
  <c r="C72" i="190"/>
  <c r="B72" i="190"/>
  <c r="D71" i="190"/>
  <c r="C71" i="190"/>
  <c r="B71" i="190"/>
  <c r="D70" i="190"/>
  <c r="C70" i="190"/>
  <c r="B70" i="190"/>
  <c r="D69" i="190"/>
  <c r="C69" i="190"/>
  <c r="B69" i="190"/>
  <c r="D68" i="190"/>
  <c r="C68" i="190"/>
  <c r="B68" i="190"/>
  <c r="D67" i="190"/>
  <c r="C67" i="190"/>
  <c r="B67" i="190"/>
  <c r="D66" i="190"/>
  <c r="C66" i="190"/>
  <c r="B66" i="190"/>
  <c r="D65" i="190"/>
  <c r="C65" i="190"/>
  <c r="B65" i="190"/>
  <c r="D64" i="190"/>
  <c r="C64" i="190"/>
  <c r="B64" i="190"/>
  <c r="D63" i="190"/>
  <c r="C63" i="190"/>
  <c r="B63" i="190"/>
  <c r="D62" i="190"/>
  <c r="C62" i="190"/>
  <c r="B62" i="190"/>
  <c r="D61" i="190"/>
  <c r="C61" i="190"/>
  <c r="B61" i="190"/>
  <c r="D60" i="190"/>
  <c r="C60" i="190"/>
  <c r="B60" i="190"/>
  <c r="D59" i="190"/>
  <c r="C59" i="190"/>
  <c r="B59" i="190"/>
  <c r="D58" i="190"/>
  <c r="C58" i="190"/>
  <c r="B58" i="190"/>
  <c r="D57" i="190"/>
  <c r="C57" i="190"/>
  <c r="B57" i="190"/>
  <c r="N54" i="190"/>
  <c r="J54" i="190"/>
  <c r="H54" i="190"/>
  <c r="J53" i="190"/>
  <c r="H53" i="190"/>
  <c r="J52" i="190"/>
  <c r="H37" i="190"/>
  <c r="D21" i="190" a="1"/>
  <c r="D20" i="190" a="1"/>
  <c r="D19" i="190" a="1"/>
  <c r="D14" i="190" a="1"/>
  <c r="D103" i="190" s="1"/>
  <c r="D13" i="190" a="1"/>
  <c r="D12" i="190" a="1"/>
  <c r="D101" i="190" s="1"/>
  <c r="D10" i="190" a="1"/>
  <c r="D8" i="190"/>
  <c r="D7" i="190"/>
  <c r="D6" i="190"/>
  <c r="D5" i="190"/>
  <c r="N3" i="190"/>
  <c r="N1" i="190"/>
  <c r="G126" i="189"/>
  <c r="I126" i="189" s="1"/>
  <c r="G127" i="189"/>
  <c r="I127" i="189" s="1"/>
  <c r="G128" i="189"/>
  <c r="I128" i="189" s="1"/>
  <c r="G129" i="189"/>
  <c r="I129" i="189" s="1"/>
  <c r="G130" i="189"/>
  <c r="I130" i="189" s="1"/>
  <c r="G131" i="189"/>
  <c r="I131" i="189" s="1"/>
  <c r="G132" i="189"/>
  <c r="I132" i="189" s="1"/>
  <c r="G133" i="189"/>
  <c r="I133" i="189" s="1"/>
  <c r="G134" i="189"/>
  <c r="I134" i="189" s="1"/>
  <c r="G135" i="189"/>
  <c r="I135" i="189" s="1"/>
  <c r="G136" i="189"/>
  <c r="I136" i="189" s="1"/>
  <c r="G137" i="189"/>
  <c r="I137" i="189" s="1"/>
  <c r="G138" i="189"/>
  <c r="I138" i="189" s="1"/>
  <c r="G139" i="189"/>
  <c r="I139" i="189" s="1"/>
  <c r="G140" i="189"/>
  <c r="I140" i="189" s="1"/>
  <c r="G141" i="189"/>
  <c r="I141" i="189" s="1"/>
  <c r="G142" i="189"/>
  <c r="I142" i="189" s="1"/>
  <c r="G143" i="189"/>
  <c r="I143" i="189" s="1"/>
  <c r="G144" i="189"/>
  <c r="I144" i="189" s="1"/>
  <c r="G145" i="189"/>
  <c r="I145" i="189" s="1"/>
  <c r="G146" i="189"/>
  <c r="I146" i="189" s="1"/>
  <c r="G147" i="189"/>
  <c r="I147" i="189" s="1"/>
  <c r="G148" i="189"/>
  <c r="I148" i="189" s="1"/>
  <c r="G107" i="189"/>
  <c r="I107" i="189" s="1"/>
  <c r="G108" i="189"/>
  <c r="I108" i="189" s="1"/>
  <c r="G109" i="189"/>
  <c r="I109" i="189" s="1"/>
  <c r="G110" i="189"/>
  <c r="I110" i="189" s="1"/>
  <c r="G111" i="189"/>
  <c r="I111" i="189" s="1"/>
  <c r="G112" i="189"/>
  <c r="I112" i="189" s="1"/>
  <c r="G113" i="189"/>
  <c r="I113" i="189" s="1"/>
  <c r="G114" i="189"/>
  <c r="I114" i="189" s="1"/>
  <c r="G115" i="189"/>
  <c r="I115" i="189" s="1"/>
  <c r="G116" i="189"/>
  <c r="I116" i="189" s="1"/>
  <c r="G117" i="189"/>
  <c r="I117" i="189" s="1"/>
  <c r="G118" i="189"/>
  <c r="I118" i="189" s="1"/>
  <c r="G119" i="189"/>
  <c r="I119" i="189" s="1"/>
  <c r="G120" i="189"/>
  <c r="I120" i="189" s="1"/>
  <c r="G121" i="189"/>
  <c r="I121" i="189" s="1"/>
  <c r="G122" i="189"/>
  <c r="I122" i="189" s="1"/>
  <c r="G123" i="189"/>
  <c r="I123" i="189" s="1"/>
  <c r="G124" i="189"/>
  <c r="I124" i="189" s="1"/>
  <c r="G125" i="189"/>
  <c r="I125" i="189" s="1"/>
  <c r="G106" i="189"/>
  <c r="I106" i="189" s="1"/>
  <c r="G84" i="189"/>
  <c r="I84" i="189" s="1"/>
  <c r="G85" i="189"/>
  <c r="I85" i="189" s="1"/>
  <c r="G86" i="189"/>
  <c r="I86" i="189" s="1"/>
  <c r="G87" i="189"/>
  <c r="I87" i="189" s="1"/>
  <c r="G88" i="189"/>
  <c r="I88" i="189" s="1"/>
  <c r="G89" i="189"/>
  <c r="I89" i="189" s="1"/>
  <c r="G90" i="189"/>
  <c r="I90" i="189" s="1"/>
  <c r="G91" i="189"/>
  <c r="I91" i="189" s="1"/>
  <c r="G92" i="189"/>
  <c r="I92" i="189" s="1"/>
  <c r="G93" i="189"/>
  <c r="I93" i="189" s="1"/>
  <c r="G94" i="189"/>
  <c r="I94" i="189" s="1"/>
  <c r="G95" i="189"/>
  <c r="I95" i="189" s="1"/>
  <c r="G96" i="189"/>
  <c r="I96" i="189" s="1"/>
  <c r="G97" i="189"/>
  <c r="I97" i="189" s="1"/>
  <c r="G98" i="189"/>
  <c r="I98" i="189" s="1"/>
  <c r="G99" i="189"/>
  <c r="I99" i="189" s="1"/>
  <c r="G100" i="189"/>
  <c r="I100" i="189" s="1"/>
  <c r="G58" i="189"/>
  <c r="I58" i="189" s="1"/>
  <c r="G59" i="189"/>
  <c r="I59" i="189" s="1"/>
  <c r="G60" i="189"/>
  <c r="I60" i="189" s="1"/>
  <c r="G61" i="189"/>
  <c r="I61" i="189" s="1"/>
  <c r="G62" i="189"/>
  <c r="I62" i="189" s="1"/>
  <c r="G63" i="189"/>
  <c r="I63" i="189" s="1"/>
  <c r="G64" i="189"/>
  <c r="I64" i="189" s="1"/>
  <c r="G65" i="189"/>
  <c r="I65" i="189" s="1"/>
  <c r="G66" i="189"/>
  <c r="I66" i="189" s="1"/>
  <c r="G67" i="189"/>
  <c r="I67" i="189" s="1"/>
  <c r="G68" i="189"/>
  <c r="I68" i="189" s="1"/>
  <c r="G69" i="189"/>
  <c r="I69" i="189" s="1"/>
  <c r="G70" i="189"/>
  <c r="I70" i="189" s="1"/>
  <c r="G71" i="189"/>
  <c r="I71" i="189" s="1"/>
  <c r="G72" i="189"/>
  <c r="I72" i="189" s="1"/>
  <c r="G73" i="189"/>
  <c r="I73" i="189" s="1"/>
  <c r="G74" i="189"/>
  <c r="I74" i="189" s="1"/>
  <c r="G75" i="189"/>
  <c r="I75" i="189" s="1"/>
  <c r="G76" i="189"/>
  <c r="I76" i="189" s="1"/>
  <c r="G77" i="189"/>
  <c r="I77" i="189" s="1"/>
  <c r="G78" i="189"/>
  <c r="I78" i="189" s="1"/>
  <c r="G79" i="189"/>
  <c r="I79" i="189" s="1"/>
  <c r="G80" i="189"/>
  <c r="I80" i="189" s="1"/>
  <c r="G81" i="189"/>
  <c r="I81" i="189" s="1"/>
  <c r="G82" i="189"/>
  <c r="I82" i="189" s="1"/>
  <c r="G83" i="189"/>
  <c r="I83" i="189" s="1"/>
  <c r="G57" i="189"/>
  <c r="M149" i="189"/>
  <c r="H149" i="189"/>
  <c r="D148" i="189"/>
  <c r="C148" i="189"/>
  <c r="B148" i="189"/>
  <c r="D147" i="189"/>
  <c r="C147" i="189"/>
  <c r="B147" i="189"/>
  <c r="D146" i="189"/>
  <c r="C146" i="189"/>
  <c r="B146" i="189"/>
  <c r="D145" i="189"/>
  <c r="C145" i="189"/>
  <c r="B145" i="189"/>
  <c r="D144" i="189"/>
  <c r="C144" i="189"/>
  <c r="B144" i="189"/>
  <c r="D143" i="189"/>
  <c r="C143" i="189"/>
  <c r="B143" i="189"/>
  <c r="D142" i="189"/>
  <c r="C142" i="189"/>
  <c r="B142" i="189"/>
  <c r="D141" i="189"/>
  <c r="C141" i="189"/>
  <c r="B141" i="189"/>
  <c r="D140" i="189"/>
  <c r="C140" i="189"/>
  <c r="B140" i="189"/>
  <c r="D139" i="189"/>
  <c r="C139" i="189"/>
  <c r="B139" i="189"/>
  <c r="D138" i="189"/>
  <c r="C138" i="189"/>
  <c r="B138" i="189"/>
  <c r="D137" i="189"/>
  <c r="C137" i="189"/>
  <c r="B137" i="189"/>
  <c r="D136" i="189"/>
  <c r="C136" i="189"/>
  <c r="B136" i="189"/>
  <c r="D135" i="189"/>
  <c r="C135" i="189"/>
  <c r="B135" i="189"/>
  <c r="D134" i="189"/>
  <c r="C134" i="189"/>
  <c r="B134" i="189"/>
  <c r="D133" i="189"/>
  <c r="C133" i="189"/>
  <c r="B133" i="189"/>
  <c r="D132" i="189"/>
  <c r="C132" i="189"/>
  <c r="B132" i="189"/>
  <c r="D131" i="189"/>
  <c r="C131" i="189"/>
  <c r="B131" i="189"/>
  <c r="D130" i="189"/>
  <c r="C130" i="189"/>
  <c r="B130" i="189"/>
  <c r="D129" i="189"/>
  <c r="C129" i="189"/>
  <c r="B129" i="189"/>
  <c r="D128" i="189"/>
  <c r="C128" i="189"/>
  <c r="B128" i="189"/>
  <c r="D127" i="189"/>
  <c r="C127" i="189"/>
  <c r="B127" i="189"/>
  <c r="D126" i="189"/>
  <c r="C126" i="189"/>
  <c r="B126" i="189"/>
  <c r="D125" i="189"/>
  <c r="C125" i="189"/>
  <c r="B125" i="189"/>
  <c r="D124" i="189"/>
  <c r="C124" i="189"/>
  <c r="B124" i="189"/>
  <c r="D123" i="189"/>
  <c r="C123" i="189"/>
  <c r="B123" i="189"/>
  <c r="D122" i="189"/>
  <c r="C122" i="189"/>
  <c r="B122" i="189"/>
  <c r="D121" i="189"/>
  <c r="C121" i="189"/>
  <c r="B121" i="189"/>
  <c r="D120" i="189"/>
  <c r="C120" i="189"/>
  <c r="B120" i="189"/>
  <c r="D119" i="189"/>
  <c r="C119" i="189"/>
  <c r="B119" i="189"/>
  <c r="D118" i="189"/>
  <c r="C118" i="189"/>
  <c r="B118" i="189"/>
  <c r="D117" i="189"/>
  <c r="C117" i="189"/>
  <c r="B117" i="189"/>
  <c r="D116" i="189"/>
  <c r="C116" i="189"/>
  <c r="B116" i="189"/>
  <c r="D115" i="189"/>
  <c r="C115" i="189"/>
  <c r="B115" i="189"/>
  <c r="D114" i="189"/>
  <c r="C114" i="189"/>
  <c r="B114" i="189"/>
  <c r="D113" i="189"/>
  <c r="C113" i="189"/>
  <c r="B113" i="189"/>
  <c r="D112" i="189"/>
  <c r="C112" i="189"/>
  <c r="B112" i="189"/>
  <c r="D111" i="189"/>
  <c r="C111" i="189"/>
  <c r="B111" i="189"/>
  <c r="D110" i="189"/>
  <c r="C110" i="189"/>
  <c r="B110" i="189"/>
  <c r="D109" i="189"/>
  <c r="C109" i="189"/>
  <c r="B109" i="189"/>
  <c r="D108" i="189"/>
  <c r="C108" i="189"/>
  <c r="B108" i="189"/>
  <c r="D107" i="189"/>
  <c r="C107" i="189"/>
  <c r="B107" i="189"/>
  <c r="D106" i="189"/>
  <c r="C106" i="189"/>
  <c r="B106" i="189"/>
  <c r="A106" i="189"/>
  <c r="A107" i="189" s="1"/>
  <c r="A108" i="189" s="1"/>
  <c r="A109" i="189" s="1"/>
  <c r="A110" i="189" s="1"/>
  <c r="A111" i="189" s="1"/>
  <c r="A112" i="189" s="1"/>
  <c r="A113" i="189" s="1"/>
  <c r="A114" i="189" s="1"/>
  <c r="A115" i="189" s="1"/>
  <c r="A116" i="189" s="1"/>
  <c r="A117" i="189" s="1"/>
  <c r="A118" i="189" s="1"/>
  <c r="A119" i="189" s="1"/>
  <c r="A120" i="189" s="1"/>
  <c r="A121" i="189" s="1"/>
  <c r="A122" i="189" s="1"/>
  <c r="A123" i="189" s="1"/>
  <c r="A124" i="189" s="1"/>
  <c r="A125" i="189" s="1"/>
  <c r="A126" i="189" s="1"/>
  <c r="A127" i="189" s="1"/>
  <c r="A128" i="189" s="1"/>
  <c r="A129" i="189" s="1"/>
  <c r="A130" i="189" s="1"/>
  <c r="A131" i="189" s="1"/>
  <c r="A132" i="189" s="1"/>
  <c r="A133" i="189" s="1"/>
  <c r="A134" i="189" s="1"/>
  <c r="A135" i="189" s="1"/>
  <c r="A136" i="189" s="1"/>
  <c r="A137" i="189" s="1"/>
  <c r="A138" i="189" s="1"/>
  <c r="A139" i="189" s="1"/>
  <c r="A140" i="189" s="1"/>
  <c r="A141" i="189" s="1"/>
  <c r="A142" i="189" s="1"/>
  <c r="A143" i="189" s="1"/>
  <c r="A144" i="189" s="1"/>
  <c r="A145" i="189" s="1"/>
  <c r="A146" i="189" s="1"/>
  <c r="A147" i="189" s="1"/>
  <c r="A148" i="189" s="1"/>
  <c r="N103" i="189"/>
  <c r="J103" i="189"/>
  <c r="H103" i="189"/>
  <c r="J102" i="189"/>
  <c r="H102" i="189"/>
  <c r="J101" i="189"/>
  <c r="D100" i="189"/>
  <c r="C100" i="189"/>
  <c r="B100" i="189"/>
  <c r="D99" i="189"/>
  <c r="C99" i="189"/>
  <c r="B99" i="189"/>
  <c r="D98" i="189"/>
  <c r="C98" i="189"/>
  <c r="B98" i="189"/>
  <c r="D97" i="189"/>
  <c r="C97" i="189"/>
  <c r="B97" i="189"/>
  <c r="D96" i="189"/>
  <c r="C96" i="189"/>
  <c r="B96" i="189"/>
  <c r="D95" i="189"/>
  <c r="C95" i="189"/>
  <c r="B95" i="189"/>
  <c r="D94" i="189"/>
  <c r="C94" i="189"/>
  <c r="B94" i="189"/>
  <c r="D93" i="189"/>
  <c r="C93" i="189"/>
  <c r="B93" i="189"/>
  <c r="D92" i="189"/>
  <c r="C92" i="189"/>
  <c r="B92" i="189"/>
  <c r="D91" i="189"/>
  <c r="C91" i="189"/>
  <c r="B91" i="189"/>
  <c r="D90" i="189"/>
  <c r="C90" i="189"/>
  <c r="B90" i="189"/>
  <c r="D89" i="189"/>
  <c r="C89" i="189"/>
  <c r="B89" i="189"/>
  <c r="D88" i="189"/>
  <c r="C88" i="189"/>
  <c r="B88" i="189"/>
  <c r="D87" i="189"/>
  <c r="C87" i="189"/>
  <c r="B87" i="189"/>
  <c r="D86" i="189"/>
  <c r="C86" i="189"/>
  <c r="B86" i="189"/>
  <c r="D85" i="189"/>
  <c r="C85" i="189"/>
  <c r="B85" i="189"/>
  <c r="D84" i="189"/>
  <c r="C84" i="189"/>
  <c r="B84" i="189"/>
  <c r="D83" i="189"/>
  <c r="C83" i="189"/>
  <c r="B83" i="189"/>
  <c r="D82" i="189"/>
  <c r="C82" i="189"/>
  <c r="B82" i="189"/>
  <c r="D81" i="189"/>
  <c r="C81" i="189"/>
  <c r="B81" i="189"/>
  <c r="D80" i="189"/>
  <c r="C80" i="189"/>
  <c r="B80" i="189"/>
  <c r="D79" i="189"/>
  <c r="C79" i="189"/>
  <c r="B79" i="189"/>
  <c r="D78" i="189"/>
  <c r="C78" i="189"/>
  <c r="B78" i="189"/>
  <c r="D77" i="189"/>
  <c r="C77" i="189"/>
  <c r="B77" i="189"/>
  <c r="D76" i="189"/>
  <c r="C76" i="189"/>
  <c r="B76" i="189"/>
  <c r="D75" i="189"/>
  <c r="C75" i="189"/>
  <c r="B75" i="189"/>
  <c r="D74" i="189"/>
  <c r="C74" i="189"/>
  <c r="B74" i="189"/>
  <c r="D73" i="189"/>
  <c r="C73" i="189"/>
  <c r="B73" i="189"/>
  <c r="D72" i="189"/>
  <c r="C72" i="189"/>
  <c r="B72" i="189"/>
  <c r="D71" i="189"/>
  <c r="C71" i="189"/>
  <c r="B71" i="189"/>
  <c r="D70" i="189"/>
  <c r="C70" i="189"/>
  <c r="B70" i="189"/>
  <c r="D69" i="189"/>
  <c r="C69" i="189"/>
  <c r="B69" i="189"/>
  <c r="D68" i="189"/>
  <c r="C68" i="189"/>
  <c r="B68" i="189"/>
  <c r="D67" i="189"/>
  <c r="C67" i="189"/>
  <c r="B67" i="189"/>
  <c r="D66" i="189"/>
  <c r="C66" i="189"/>
  <c r="B66" i="189"/>
  <c r="D65" i="189"/>
  <c r="C65" i="189"/>
  <c r="B65" i="189"/>
  <c r="D64" i="189"/>
  <c r="C64" i="189"/>
  <c r="B64" i="189"/>
  <c r="D63" i="189"/>
  <c r="C63" i="189"/>
  <c r="B63" i="189"/>
  <c r="D62" i="189"/>
  <c r="C62" i="189"/>
  <c r="B62" i="189"/>
  <c r="D61" i="189"/>
  <c r="C61" i="189"/>
  <c r="B61" i="189"/>
  <c r="D60" i="189"/>
  <c r="C60" i="189"/>
  <c r="B60" i="189"/>
  <c r="D59" i="189"/>
  <c r="C59" i="189"/>
  <c r="B59" i="189"/>
  <c r="D58" i="189"/>
  <c r="C58" i="189"/>
  <c r="B58" i="189"/>
  <c r="D57" i="189"/>
  <c r="C57" i="189"/>
  <c r="B57" i="189"/>
  <c r="N54" i="189"/>
  <c r="J54" i="189"/>
  <c r="H54" i="189"/>
  <c r="J53" i="189"/>
  <c r="H53" i="189"/>
  <c r="J52" i="189"/>
  <c r="D21" i="189" a="1"/>
  <c r="D20" i="189" a="1"/>
  <c r="D19" i="189" a="1"/>
  <c r="D14" i="189" a="1"/>
  <c r="D54" i="189" s="1"/>
  <c r="D13" i="189" a="1"/>
  <c r="D12" i="189" a="1"/>
  <c r="D10" i="189" a="1"/>
  <c r="D8" i="189"/>
  <c r="D7" i="189"/>
  <c r="D6" i="189"/>
  <c r="D5" i="189"/>
  <c r="N3" i="189"/>
  <c r="N1" i="189"/>
  <c r="G107" i="188"/>
  <c r="I107" i="188" s="1"/>
  <c r="G108" i="188"/>
  <c r="I108" i="188" s="1"/>
  <c r="G109" i="188"/>
  <c r="I109" i="188" s="1"/>
  <c r="G110" i="188"/>
  <c r="I110" i="188" s="1"/>
  <c r="G111" i="188"/>
  <c r="I111" i="188" s="1"/>
  <c r="G112" i="188"/>
  <c r="I112" i="188" s="1"/>
  <c r="G113" i="188"/>
  <c r="I113" i="188" s="1"/>
  <c r="G114" i="188"/>
  <c r="I114" i="188" s="1"/>
  <c r="G115" i="188"/>
  <c r="I115" i="188" s="1"/>
  <c r="G116" i="188"/>
  <c r="I116" i="188" s="1"/>
  <c r="G117" i="188"/>
  <c r="I117" i="188" s="1"/>
  <c r="G118" i="188"/>
  <c r="I118" i="188" s="1"/>
  <c r="G119" i="188"/>
  <c r="I119" i="188" s="1"/>
  <c r="G120" i="188"/>
  <c r="I120" i="188" s="1"/>
  <c r="G121" i="188"/>
  <c r="I121" i="188" s="1"/>
  <c r="G122" i="188"/>
  <c r="I122" i="188" s="1"/>
  <c r="G123" i="188"/>
  <c r="I123" i="188" s="1"/>
  <c r="G124" i="188"/>
  <c r="I124" i="188" s="1"/>
  <c r="G125" i="188"/>
  <c r="I125" i="188" s="1"/>
  <c r="G126" i="188"/>
  <c r="I126" i="188" s="1"/>
  <c r="G127" i="188"/>
  <c r="I127" i="188" s="1"/>
  <c r="G128" i="188"/>
  <c r="I128" i="188" s="1"/>
  <c r="G129" i="188"/>
  <c r="I129" i="188" s="1"/>
  <c r="G130" i="188"/>
  <c r="I130" i="188" s="1"/>
  <c r="G131" i="188"/>
  <c r="I131" i="188" s="1"/>
  <c r="G132" i="188"/>
  <c r="I132" i="188" s="1"/>
  <c r="G133" i="188"/>
  <c r="I133" i="188" s="1"/>
  <c r="G134" i="188"/>
  <c r="I134" i="188" s="1"/>
  <c r="G135" i="188"/>
  <c r="I135" i="188" s="1"/>
  <c r="G136" i="188"/>
  <c r="I136" i="188" s="1"/>
  <c r="G137" i="188"/>
  <c r="I137" i="188" s="1"/>
  <c r="G138" i="188"/>
  <c r="I138" i="188" s="1"/>
  <c r="G139" i="188"/>
  <c r="I139" i="188" s="1"/>
  <c r="G140" i="188"/>
  <c r="I140" i="188" s="1"/>
  <c r="G141" i="188"/>
  <c r="I141" i="188" s="1"/>
  <c r="G142" i="188"/>
  <c r="I142" i="188" s="1"/>
  <c r="G143" i="188"/>
  <c r="I143" i="188" s="1"/>
  <c r="G144" i="188"/>
  <c r="I144" i="188" s="1"/>
  <c r="G145" i="188"/>
  <c r="I145" i="188" s="1"/>
  <c r="G146" i="188"/>
  <c r="I146" i="188" s="1"/>
  <c r="G147" i="188"/>
  <c r="I147" i="188" s="1"/>
  <c r="G148" i="188"/>
  <c r="I148" i="188" s="1"/>
  <c r="G106" i="188"/>
  <c r="I106" i="188" s="1"/>
  <c r="G58" i="188"/>
  <c r="I58" i="188" s="1"/>
  <c r="G59" i="188"/>
  <c r="I59" i="188" s="1"/>
  <c r="G60" i="188"/>
  <c r="G61" i="188"/>
  <c r="I61" i="188" s="1"/>
  <c r="G62" i="188"/>
  <c r="I62" i="188" s="1"/>
  <c r="G63" i="188"/>
  <c r="I63" i="188" s="1"/>
  <c r="G64" i="188"/>
  <c r="I64" i="188" s="1"/>
  <c r="G65" i="188"/>
  <c r="I65" i="188" s="1"/>
  <c r="G66" i="188"/>
  <c r="I66" i="188" s="1"/>
  <c r="G67" i="188"/>
  <c r="I67" i="188" s="1"/>
  <c r="G68" i="188"/>
  <c r="I68" i="188" s="1"/>
  <c r="G69" i="188"/>
  <c r="I69" i="188" s="1"/>
  <c r="G70" i="188"/>
  <c r="I70" i="188" s="1"/>
  <c r="G71" i="188"/>
  <c r="I71" i="188" s="1"/>
  <c r="G72" i="188"/>
  <c r="I72" i="188" s="1"/>
  <c r="G73" i="188"/>
  <c r="I73" i="188" s="1"/>
  <c r="G74" i="188"/>
  <c r="I74" i="188" s="1"/>
  <c r="G75" i="188"/>
  <c r="I75" i="188" s="1"/>
  <c r="G76" i="188"/>
  <c r="I76" i="188" s="1"/>
  <c r="G77" i="188"/>
  <c r="I77" i="188" s="1"/>
  <c r="G78" i="188"/>
  <c r="I78" i="188" s="1"/>
  <c r="G79" i="188"/>
  <c r="I79" i="188" s="1"/>
  <c r="G80" i="188"/>
  <c r="I80" i="188" s="1"/>
  <c r="G81" i="188"/>
  <c r="I81" i="188" s="1"/>
  <c r="G82" i="188"/>
  <c r="I82" i="188" s="1"/>
  <c r="G83" i="188"/>
  <c r="I83" i="188" s="1"/>
  <c r="G84" i="188"/>
  <c r="I84" i="188" s="1"/>
  <c r="G85" i="188"/>
  <c r="I85" i="188" s="1"/>
  <c r="G86" i="188"/>
  <c r="I86" i="188" s="1"/>
  <c r="G87" i="188"/>
  <c r="I87" i="188" s="1"/>
  <c r="G88" i="188"/>
  <c r="I88" i="188" s="1"/>
  <c r="G89" i="188"/>
  <c r="I89" i="188" s="1"/>
  <c r="G90" i="188"/>
  <c r="I90" i="188" s="1"/>
  <c r="G91" i="188"/>
  <c r="I91" i="188" s="1"/>
  <c r="G92" i="188"/>
  <c r="I92" i="188" s="1"/>
  <c r="G93" i="188"/>
  <c r="I93" i="188" s="1"/>
  <c r="G94" i="188"/>
  <c r="I94" i="188" s="1"/>
  <c r="G95" i="188"/>
  <c r="I95" i="188" s="1"/>
  <c r="G96" i="188"/>
  <c r="I96" i="188" s="1"/>
  <c r="G97" i="188"/>
  <c r="I97" i="188" s="1"/>
  <c r="G98" i="188"/>
  <c r="I98" i="188" s="1"/>
  <c r="G99" i="188"/>
  <c r="I99" i="188" s="1"/>
  <c r="G100" i="188"/>
  <c r="I100" i="188" s="1"/>
  <c r="G57" i="188"/>
  <c r="M149" i="188"/>
  <c r="H149" i="188"/>
  <c r="D148" i="188"/>
  <c r="C148" i="188"/>
  <c r="B148" i="188"/>
  <c r="D147" i="188"/>
  <c r="C147" i="188"/>
  <c r="B147" i="188"/>
  <c r="D146" i="188"/>
  <c r="C146" i="188"/>
  <c r="B146" i="188"/>
  <c r="D145" i="188"/>
  <c r="C145" i="188"/>
  <c r="B145" i="188"/>
  <c r="D144" i="188"/>
  <c r="C144" i="188"/>
  <c r="B144" i="188"/>
  <c r="D143" i="188"/>
  <c r="C143" i="188"/>
  <c r="B143" i="188"/>
  <c r="D142" i="188"/>
  <c r="C142" i="188"/>
  <c r="B142" i="188"/>
  <c r="D141" i="188"/>
  <c r="C141" i="188"/>
  <c r="B141" i="188"/>
  <c r="D140" i="188"/>
  <c r="C140" i="188"/>
  <c r="B140" i="188"/>
  <c r="D139" i="188"/>
  <c r="C139" i="188"/>
  <c r="B139" i="188"/>
  <c r="D138" i="188"/>
  <c r="C138" i="188"/>
  <c r="B138" i="188"/>
  <c r="D137" i="188"/>
  <c r="C137" i="188"/>
  <c r="B137" i="188"/>
  <c r="D136" i="188"/>
  <c r="C136" i="188"/>
  <c r="B136" i="188"/>
  <c r="D135" i="188"/>
  <c r="C135" i="188"/>
  <c r="B135" i="188"/>
  <c r="D134" i="188"/>
  <c r="C134" i="188"/>
  <c r="B134" i="188"/>
  <c r="D133" i="188"/>
  <c r="C133" i="188"/>
  <c r="B133" i="188"/>
  <c r="D132" i="188"/>
  <c r="C132" i="188"/>
  <c r="B132" i="188"/>
  <c r="D131" i="188"/>
  <c r="C131" i="188"/>
  <c r="B131" i="188"/>
  <c r="D130" i="188"/>
  <c r="C130" i="188"/>
  <c r="B130" i="188"/>
  <c r="D129" i="188"/>
  <c r="C129" i="188"/>
  <c r="B129" i="188"/>
  <c r="D128" i="188"/>
  <c r="C128" i="188"/>
  <c r="B128" i="188"/>
  <c r="D127" i="188"/>
  <c r="C127" i="188"/>
  <c r="B127" i="188"/>
  <c r="D126" i="188"/>
  <c r="C126" i="188"/>
  <c r="B126" i="188"/>
  <c r="D125" i="188"/>
  <c r="C125" i="188"/>
  <c r="B125" i="188"/>
  <c r="D124" i="188"/>
  <c r="C124" i="188"/>
  <c r="B124" i="188"/>
  <c r="D123" i="188"/>
  <c r="C123" i="188"/>
  <c r="B123" i="188"/>
  <c r="D122" i="188"/>
  <c r="C122" i="188"/>
  <c r="B122" i="188"/>
  <c r="D121" i="188"/>
  <c r="C121" i="188"/>
  <c r="B121" i="188"/>
  <c r="D120" i="188"/>
  <c r="C120" i="188"/>
  <c r="B120" i="188"/>
  <c r="D119" i="188"/>
  <c r="C119" i="188"/>
  <c r="B119" i="188"/>
  <c r="D118" i="188"/>
  <c r="C118" i="188"/>
  <c r="B118" i="188"/>
  <c r="D117" i="188"/>
  <c r="C117" i="188"/>
  <c r="B117" i="188"/>
  <c r="D116" i="188"/>
  <c r="C116" i="188"/>
  <c r="B116" i="188"/>
  <c r="D115" i="188"/>
  <c r="C115" i="188"/>
  <c r="B115" i="188"/>
  <c r="D114" i="188"/>
  <c r="C114" i="188"/>
  <c r="B114" i="188"/>
  <c r="D113" i="188"/>
  <c r="C113" i="188"/>
  <c r="B113" i="188"/>
  <c r="D112" i="188"/>
  <c r="C112" i="188"/>
  <c r="B112" i="188"/>
  <c r="D111" i="188"/>
  <c r="C111" i="188"/>
  <c r="B111" i="188"/>
  <c r="D110" i="188"/>
  <c r="C110" i="188"/>
  <c r="B110" i="188"/>
  <c r="D109" i="188"/>
  <c r="C109" i="188"/>
  <c r="B109" i="188"/>
  <c r="D108" i="188"/>
  <c r="C108" i="188"/>
  <c r="B108" i="188"/>
  <c r="D107" i="188"/>
  <c r="C107" i="188"/>
  <c r="B107" i="188"/>
  <c r="D106" i="188"/>
  <c r="C106" i="188"/>
  <c r="B106" i="188"/>
  <c r="A106" i="188"/>
  <c r="A107" i="188" s="1"/>
  <c r="A108" i="188" s="1"/>
  <c r="A109" i="188" s="1"/>
  <c r="A110" i="188" s="1"/>
  <c r="A111" i="188" s="1"/>
  <c r="A112" i="188" s="1"/>
  <c r="A113" i="188" s="1"/>
  <c r="A114" i="188" s="1"/>
  <c r="A115" i="188" s="1"/>
  <c r="A116" i="188" s="1"/>
  <c r="A117" i="188" s="1"/>
  <c r="A118" i="188" s="1"/>
  <c r="A119" i="188" s="1"/>
  <c r="A120" i="188" s="1"/>
  <c r="A121" i="188" s="1"/>
  <c r="A122" i="188" s="1"/>
  <c r="A123" i="188" s="1"/>
  <c r="A124" i="188" s="1"/>
  <c r="A125" i="188" s="1"/>
  <c r="A126" i="188" s="1"/>
  <c r="A127" i="188" s="1"/>
  <c r="A128" i="188" s="1"/>
  <c r="A129" i="188" s="1"/>
  <c r="A130" i="188" s="1"/>
  <c r="A131" i="188" s="1"/>
  <c r="A132" i="188" s="1"/>
  <c r="A133" i="188" s="1"/>
  <c r="A134" i="188" s="1"/>
  <c r="A135" i="188" s="1"/>
  <c r="A136" i="188" s="1"/>
  <c r="A137" i="188" s="1"/>
  <c r="A138" i="188" s="1"/>
  <c r="A139" i="188" s="1"/>
  <c r="A140" i="188" s="1"/>
  <c r="A141" i="188" s="1"/>
  <c r="A142" i="188" s="1"/>
  <c r="A143" i="188" s="1"/>
  <c r="A144" i="188" s="1"/>
  <c r="A145" i="188" s="1"/>
  <c r="A146" i="188" s="1"/>
  <c r="A147" i="188" s="1"/>
  <c r="A148" i="188" s="1"/>
  <c r="N103" i="188"/>
  <c r="J103" i="188"/>
  <c r="H103" i="188"/>
  <c r="J102" i="188"/>
  <c r="H102" i="188"/>
  <c r="J101" i="188"/>
  <c r="D100" i="188"/>
  <c r="C100" i="188"/>
  <c r="B100" i="188"/>
  <c r="D99" i="188"/>
  <c r="C99" i="188"/>
  <c r="B99" i="188"/>
  <c r="D98" i="188"/>
  <c r="C98" i="188"/>
  <c r="B98" i="188"/>
  <c r="D97" i="188"/>
  <c r="C97" i="188"/>
  <c r="B97" i="188"/>
  <c r="D96" i="188"/>
  <c r="C96" i="188"/>
  <c r="B96" i="188"/>
  <c r="D95" i="188"/>
  <c r="C95" i="188"/>
  <c r="B95" i="188"/>
  <c r="D94" i="188"/>
  <c r="C94" i="188"/>
  <c r="B94" i="188"/>
  <c r="D93" i="188"/>
  <c r="C93" i="188"/>
  <c r="B93" i="188"/>
  <c r="D92" i="188"/>
  <c r="C92" i="188"/>
  <c r="B92" i="188"/>
  <c r="D91" i="188"/>
  <c r="C91" i="188"/>
  <c r="B91" i="188"/>
  <c r="D90" i="188"/>
  <c r="C90" i="188"/>
  <c r="B90" i="188"/>
  <c r="D89" i="188"/>
  <c r="C89" i="188"/>
  <c r="B89" i="188"/>
  <c r="D88" i="188"/>
  <c r="C88" i="188"/>
  <c r="B88" i="188"/>
  <c r="D87" i="188"/>
  <c r="C87" i="188"/>
  <c r="B87" i="188"/>
  <c r="D86" i="188"/>
  <c r="C86" i="188"/>
  <c r="B86" i="188"/>
  <c r="D85" i="188"/>
  <c r="C85" i="188"/>
  <c r="B85" i="188"/>
  <c r="D84" i="188"/>
  <c r="C84" i="188"/>
  <c r="B84" i="188"/>
  <c r="D83" i="188"/>
  <c r="C83" i="188"/>
  <c r="B83" i="188"/>
  <c r="D82" i="188"/>
  <c r="C82" i="188"/>
  <c r="B82" i="188"/>
  <c r="D81" i="188"/>
  <c r="C81" i="188"/>
  <c r="B81" i="188"/>
  <c r="D80" i="188"/>
  <c r="C80" i="188"/>
  <c r="B80" i="188"/>
  <c r="D79" i="188"/>
  <c r="C79" i="188"/>
  <c r="B79" i="188"/>
  <c r="D78" i="188"/>
  <c r="C78" i="188"/>
  <c r="B78" i="188"/>
  <c r="D77" i="188"/>
  <c r="C77" i="188"/>
  <c r="B77" i="188"/>
  <c r="D76" i="188"/>
  <c r="C76" i="188"/>
  <c r="B76" i="188"/>
  <c r="D75" i="188"/>
  <c r="C75" i="188"/>
  <c r="B75" i="188"/>
  <c r="D74" i="188"/>
  <c r="C74" i="188"/>
  <c r="B74" i="188"/>
  <c r="D73" i="188"/>
  <c r="C73" i="188"/>
  <c r="B73" i="188"/>
  <c r="D72" i="188"/>
  <c r="C72" i="188"/>
  <c r="B72" i="188"/>
  <c r="D71" i="188"/>
  <c r="C71" i="188"/>
  <c r="B71" i="188"/>
  <c r="D70" i="188"/>
  <c r="C70" i="188"/>
  <c r="B70" i="188"/>
  <c r="D69" i="188"/>
  <c r="C69" i="188"/>
  <c r="B69" i="188"/>
  <c r="D68" i="188"/>
  <c r="C68" i="188"/>
  <c r="B68" i="188"/>
  <c r="D67" i="188"/>
  <c r="C67" i="188"/>
  <c r="B67" i="188"/>
  <c r="D66" i="188"/>
  <c r="C66" i="188"/>
  <c r="B66" i="188"/>
  <c r="D65" i="188"/>
  <c r="C65" i="188"/>
  <c r="B65" i="188"/>
  <c r="D64" i="188"/>
  <c r="C64" i="188"/>
  <c r="B64" i="188"/>
  <c r="D63" i="188"/>
  <c r="C63" i="188"/>
  <c r="B63" i="188"/>
  <c r="D62" i="188"/>
  <c r="C62" i="188"/>
  <c r="B62" i="188"/>
  <c r="D61" i="188"/>
  <c r="C61" i="188"/>
  <c r="B61" i="188"/>
  <c r="D60" i="188"/>
  <c r="C60" i="188"/>
  <c r="B60" i="188"/>
  <c r="D59" i="188"/>
  <c r="C59" i="188"/>
  <c r="B59" i="188"/>
  <c r="D58" i="188"/>
  <c r="C58" i="188"/>
  <c r="B58" i="188"/>
  <c r="D57" i="188"/>
  <c r="C57" i="188"/>
  <c r="B57" i="188"/>
  <c r="N54" i="188"/>
  <c r="J54" i="188"/>
  <c r="H54" i="188"/>
  <c r="J53" i="188"/>
  <c r="H53" i="188"/>
  <c r="J52" i="188"/>
  <c r="D21" i="188" a="1"/>
  <c r="D20" i="188" a="1"/>
  <c r="D19" i="188" a="1"/>
  <c r="D14" i="188" a="1"/>
  <c r="D54" i="188" s="1"/>
  <c r="D13" i="188" a="1"/>
  <c r="D12" i="188" a="1"/>
  <c r="D101" i="188" s="1"/>
  <c r="D10" i="188" a="1"/>
  <c r="D8" i="188"/>
  <c r="D7" i="188"/>
  <c r="D6" i="188"/>
  <c r="D5" i="188"/>
  <c r="N3" i="188"/>
  <c r="N1" i="188"/>
  <c r="G107" i="187"/>
  <c r="I107" i="187" s="1"/>
  <c r="G108" i="187"/>
  <c r="I108" i="187" s="1"/>
  <c r="G109" i="187"/>
  <c r="I109" i="187" s="1"/>
  <c r="G110" i="187"/>
  <c r="I110" i="187" s="1"/>
  <c r="G111" i="187"/>
  <c r="I111" i="187" s="1"/>
  <c r="G112" i="187"/>
  <c r="I112" i="187" s="1"/>
  <c r="G113" i="187"/>
  <c r="I113" i="187" s="1"/>
  <c r="G114" i="187"/>
  <c r="I114" i="187" s="1"/>
  <c r="G115" i="187"/>
  <c r="I115" i="187" s="1"/>
  <c r="G116" i="187"/>
  <c r="I116" i="187" s="1"/>
  <c r="G117" i="187"/>
  <c r="I117" i="187" s="1"/>
  <c r="G118" i="187"/>
  <c r="I118" i="187" s="1"/>
  <c r="G119" i="187"/>
  <c r="I119" i="187" s="1"/>
  <c r="G120" i="187"/>
  <c r="I120" i="187" s="1"/>
  <c r="G121" i="187"/>
  <c r="I121" i="187" s="1"/>
  <c r="G122" i="187"/>
  <c r="I122" i="187" s="1"/>
  <c r="G123" i="187"/>
  <c r="I123" i="187" s="1"/>
  <c r="G124" i="187"/>
  <c r="I124" i="187" s="1"/>
  <c r="G125" i="187"/>
  <c r="I125" i="187" s="1"/>
  <c r="G126" i="187"/>
  <c r="I126" i="187" s="1"/>
  <c r="G127" i="187"/>
  <c r="I127" i="187" s="1"/>
  <c r="G128" i="187"/>
  <c r="I128" i="187" s="1"/>
  <c r="G129" i="187"/>
  <c r="I129" i="187" s="1"/>
  <c r="G130" i="187"/>
  <c r="I130" i="187" s="1"/>
  <c r="G131" i="187"/>
  <c r="I131" i="187" s="1"/>
  <c r="G132" i="187"/>
  <c r="I132" i="187" s="1"/>
  <c r="G133" i="187"/>
  <c r="I133" i="187" s="1"/>
  <c r="G134" i="187"/>
  <c r="I134" i="187" s="1"/>
  <c r="G135" i="187"/>
  <c r="I135" i="187" s="1"/>
  <c r="G136" i="187"/>
  <c r="I136" i="187" s="1"/>
  <c r="G137" i="187"/>
  <c r="I137" i="187" s="1"/>
  <c r="G138" i="187"/>
  <c r="I138" i="187" s="1"/>
  <c r="G139" i="187"/>
  <c r="I139" i="187" s="1"/>
  <c r="G140" i="187"/>
  <c r="I140" i="187" s="1"/>
  <c r="G141" i="187"/>
  <c r="I141" i="187" s="1"/>
  <c r="G142" i="187"/>
  <c r="I142" i="187" s="1"/>
  <c r="G143" i="187"/>
  <c r="I143" i="187" s="1"/>
  <c r="G144" i="187"/>
  <c r="I144" i="187" s="1"/>
  <c r="G145" i="187"/>
  <c r="I145" i="187" s="1"/>
  <c r="G146" i="187"/>
  <c r="I146" i="187" s="1"/>
  <c r="G147" i="187"/>
  <c r="I147" i="187" s="1"/>
  <c r="G148" i="187"/>
  <c r="I148" i="187" s="1"/>
  <c r="G106" i="187"/>
  <c r="I106" i="187" s="1"/>
  <c r="G58" i="187"/>
  <c r="I58" i="187" s="1"/>
  <c r="G59" i="187"/>
  <c r="I59" i="187" s="1"/>
  <c r="G60" i="187"/>
  <c r="I60" i="187" s="1"/>
  <c r="G61" i="187"/>
  <c r="I61" i="187" s="1"/>
  <c r="G62" i="187"/>
  <c r="I62" i="187" s="1"/>
  <c r="G63" i="187"/>
  <c r="I63" i="187" s="1"/>
  <c r="G64" i="187"/>
  <c r="I64" i="187" s="1"/>
  <c r="G65" i="187"/>
  <c r="I65" i="187" s="1"/>
  <c r="G66" i="187"/>
  <c r="I66" i="187" s="1"/>
  <c r="G67" i="187"/>
  <c r="I67" i="187" s="1"/>
  <c r="G68" i="187"/>
  <c r="I68" i="187" s="1"/>
  <c r="G69" i="187"/>
  <c r="I69" i="187" s="1"/>
  <c r="G70" i="187"/>
  <c r="I70" i="187" s="1"/>
  <c r="G71" i="187"/>
  <c r="I71" i="187" s="1"/>
  <c r="G72" i="187"/>
  <c r="I72" i="187" s="1"/>
  <c r="G73" i="187"/>
  <c r="I73" i="187" s="1"/>
  <c r="G74" i="187"/>
  <c r="I74" i="187" s="1"/>
  <c r="G75" i="187"/>
  <c r="I75" i="187" s="1"/>
  <c r="G76" i="187"/>
  <c r="I76" i="187" s="1"/>
  <c r="G77" i="187"/>
  <c r="I77" i="187" s="1"/>
  <c r="G78" i="187"/>
  <c r="I78" i="187" s="1"/>
  <c r="G79" i="187"/>
  <c r="I79" i="187" s="1"/>
  <c r="G80" i="187"/>
  <c r="I80" i="187" s="1"/>
  <c r="G81" i="187"/>
  <c r="I81" i="187" s="1"/>
  <c r="G82" i="187"/>
  <c r="I82" i="187" s="1"/>
  <c r="G83" i="187"/>
  <c r="I83" i="187" s="1"/>
  <c r="G84" i="187"/>
  <c r="I84" i="187" s="1"/>
  <c r="G85" i="187"/>
  <c r="I85" i="187" s="1"/>
  <c r="G86" i="187"/>
  <c r="I86" i="187" s="1"/>
  <c r="G87" i="187"/>
  <c r="I87" i="187" s="1"/>
  <c r="G88" i="187"/>
  <c r="I88" i="187" s="1"/>
  <c r="G89" i="187"/>
  <c r="I89" i="187" s="1"/>
  <c r="G90" i="187"/>
  <c r="I90" i="187" s="1"/>
  <c r="G91" i="187"/>
  <c r="I91" i="187" s="1"/>
  <c r="G92" i="187"/>
  <c r="I92" i="187" s="1"/>
  <c r="G93" i="187"/>
  <c r="I93" i="187" s="1"/>
  <c r="G94" i="187"/>
  <c r="I94" i="187" s="1"/>
  <c r="G95" i="187"/>
  <c r="I95" i="187" s="1"/>
  <c r="G96" i="187"/>
  <c r="I96" i="187" s="1"/>
  <c r="G97" i="187"/>
  <c r="I97" i="187" s="1"/>
  <c r="G98" i="187"/>
  <c r="I98" i="187" s="1"/>
  <c r="G99" i="187"/>
  <c r="I99" i="187" s="1"/>
  <c r="G100" i="187"/>
  <c r="I100" i="187" s="1"/>
  <c r="G57" i="187"/>
  <c r="M149" i="187"/>
  <c r="H149" i="187"/>
  <c r="D148" i="187"/>
  <c r="C148" i="187"/>
  <c r="B148" i="187"/>
  <c r="D147" i="187"/>
  <c r="C147" i="187"/>
  <c r="B147" i="187"/>
  <c r="D146" i="187"/>
  <c r="C146" i="187"/>
  <c r="B146" i="187"/>
  <c r="D145" i="187"/>
  <c r="C145" i="187"/>
  <c r="B145" i="187"/>
  <c r="D144" i="187"/>
  <c r="C144" i="187"/>
  <c r="B144" i="187"/>
  <c r="D143" i="187"/>
  <c r="C143" i="187"/>
  <c r="B143" i="187"/>
  <c r="D142" i="187"/>
  <c r="C142" i="187"/>
  <c r="B142" i="187"/>
  <c r="D141" i="187"/>
  <c r="C141" i="187"/>
  <c r="B141" i="187"/>
  <c r="D140" i="187"/>
  <c r="C140" i="187"/>
  <c r="B140" i="187"/>
  <c r="D139" i="187"/>
  <c r="C139" i="187"/>
  <c r="B139" i="187"/>
  <c r="D138" i="187"/>
  <c r="C138" i="187"/>
  <c r="B138" i="187"/>
  <c r="D137" i="187"/>
  <c r="C137" i="187"/>
  <c r="B137" i="187"/>
  <c r="D136" i="187"/>
  <c r="C136" i="187"/>
  <c r="B136" i="187"/>
  <c r="D135" i="187"/>
  <c r="C135" i="187"/>
  <c r="B135" i="187"/>
  <c r="D134" i="187"/>
  <c r="C134" i="187"/>
  <c r="B134" i="187"/>
  <c r="D133" i="187"/>
  <c r="C133" i="187"/>
  <c r="B133" i="187"/>
  <c r="D132" i="187"/>
  <c r="C132" i="187"/>
  <c r="B132" i="187"/>
  <c r="D131" i="187"/>
  <c r="C131" i="187"/>
  <c r="B131" i="187"/>
  <c r="D130" i="187"/>
  <c r="C130" i="187"/>
  <c r="B130" i="187"/>
  <c r="D129" i="187"/>
  <c r="C129" i="187"/>
  <c r="B129" i="187"/>
  <c r="D128" i="187"/>
  <c r="C128" i="187"/>
  <c r="B128" i="187"/>
  <c r="D127" i="187"/>
  <c r="C127" i="187"/>
  <c r="B127" i="187"/>
  <c r="D126" i="187"/>
  <c r="C126" i="187"/>
  <c r="B126" i="187"/>
  <c r="D125" i="187"/>
  <c r="C125" i="187"/>
  <c r="B125" i="187"/>
  <c r="D124" i="187"/>
  <c r="C124" i="187"/>
  <c r="B124" i="187"/>
  <c r="D123" i="187"/>
  <c r="C123" i="187"/>
  <c r="B123" i="187"/>
  <c r="D122" i="187"/>
  <c r="C122" i="187"/>
  <c r="B122" i="187"/>
  <c r="D121" i="187"/>
  <c r="C121" i="187"/>
  <c r="B121" i="187"/>
  <c r="D120" i="187"/>
  <c r="C120" i="187"/>
  <c r="B120" i="187"/>
  <c r="D119" i="187"/>
  <c r="C119" i="187"/>
  <c r="B119" i="187"/>
  <c r="D118" i="187"/>
  <c r="C118" i="187"/>
  <c r="B118" i="187"/>
  <c r="D117" i="187"/>
  <c r="C117" i="187"/>
  <c r="B117" i="187"/>
  <c r="D116" i="187"/>
  <c r="C116" i="187"/>
  <c r="B116" i="187"/>
  <c r="D115" i="187"/>
  <c r="C115" i="187"/>
  <c r="B115" i="187"/>
  <c r="D114" i="187"/>
  <c r="C114" i="187"/>
  <c r="B114" i="187"/>
  <c r="D113" i="187"/>
  <c r="C113" i="187"/>
  <c r="B113" i="187"/>
  <c r="D112" i="187"/>
  <c r="C112" i="187"/>
  <c r="B112" i="187"/>
  <c r="D111" i="187"/>
  <c r="C111" i="187"/>
  <c r="B111" i="187"/>
  <c r="D110" i="187"/>
  <c r="C110" i="187"/>
  <c r="B110" i="187"/>
  <c r="D109" i="187"/>
  <c r="C109" i="187"/>
  <c r="B109" i="187"/>
  <c r="D108" i="187"/>
  <c r="C108" i="187"/>
  <c r="B108" i="187"/>
  <c r="D107" i="187"/>
  <c r="C107" i="187"/>
  <c r="B107" i="187"/>
  <c r="D106" i="187"/>
  <c r="C106" i="187"/>
  <c r="B106" i="187"/>
  <c r="A106" i="187"/>
  <c r="A107" i="187" s="1"/>
  <c r="A108" i="187" s="1"/>
  <c r="A109" i="187" s="1"/>
  <c r="A110" i="187" s="1"/>
  <c r="A111" i="187" s="1"/>
  <c r="A112" i="187" s="1"/>
  <c r="A113" i="187" s="1"/>
  <c r="A114" i="187" s="1"/>
  <c r="A115" i="187" s="1"/>
  <c r="A116" i="187" s="1"/>
  <c r="A117" i="187" s="1"/>
  <c r="A118" i="187" s="1"/>
  <c r="A119" i="187" s="1"/>
  <c r="A120" i="187" s="1"/>
  <c r="A121" i="187" s="1"/>
  <c r="A122" i="187" s="1"/>
  <c r="A123" i="187" s="1"/>
  <c r="A124" i="187" s="1"/>
  <c r="A125" i="187" s="1"/>
  <c r="A126" i="187" s="1"/>
  <c r="A127" i="187" s="1"/>
  <c r="A128" i="187" s="1"/>
  <c r="A129" i="187" s="1"/>
  <c r="A130" i="187" s="1"/>
  <c r="A131" i="187" s="1"/>
  <c r="A132" i="187" s="1"/>
  <c r="A133" i="187" s="1"/>
  <c r="A134" i="187" s="1"/>
  <c r="A135" i="187" s="1"/>
  <c r="A136" i="187" s="1"/>
  <c r="A137" i="187" s="1"/>
  <c r="A138" i="187" s="1"/>
  <c r="A139" i="187" s="1"/>
  <c r="A140" i="187" s="1"/>
  <c r="A141" i="187" s="1"/>
  <c r="A142" i="187" s="1"/>
  <c r="A143" i="187" s="1"/>
  <c r="A144" i="187" s="1"/>
  <c r="A145" i="187" s="1"/>
  <c r="A146" i="187" s="1"/>
  <c r="A147" i="187" s="1"/>
  <c r="A148" i="187" s="1"/>
  <c r="N103" i="187"/>
  <c r="J103" i="187"/>
  <c r="H103" i="187"/>
  <c r="J102" i="187"/>
  <c r="H102" i="187"/>
  <c r="J101" i="187"/>
  <c r="D100" i="187"/>
  <c r="C100" i="187"/>
  <c r="B100" i="187"/>
  <c r="D99" i="187"/>
  <c r="C99" i="187"/>
  <c r="B99" i="187"/>
  <c r="D98" i="187"/>
  <c r="C98" i="187"/>
  <c r="B98" i="187"/>
  <c r="D97" i="187"/>
  <c r="C97" i="187"/>
  <c r="B97" i="187"/>
  <c r="D96" i="187"/>
  <c r="C96" i="187"/>
  <c r="B96" i="187"/>
  <c r="D95" i="187"/>
  <c r="C95" i="187"/>
  <c r="B95" i="187"/>
  <c r="D94" i="187"/>
  <c r="C94" i="187"/>
  <c r="B94" i="187"/>
  <c r="D93" i="187"/>
  <c r="C93" i="187"/>
  <c r="B93" i="187"/>
  <c r="D92" i="187"/>
  <c r="C92" i="187"/>
  <c r="B92" i="187"/>
  <c r="D91" i="187"/>
  <c r="C91" i="187"/>
  <c r="B91" i="187"/>
  <c r="D90" i="187"/>
  <c r="C90" i="187"/>
  <c r="B90" i="187"/>
  <c r="D89" i="187"/>
  <c r="C89" i="187"/>
  <c r="B89" i="187"/>
  <c r="D88" i="187"/>
  <c r="C88" i="187"/>
  <c r="B88" i="187"/>
  <c r="D87" i="187"/>
  <c r="C87" i="187"/>
  <c r="B87" i="187"/>
  <c r="D86" i="187"/>
  <c r="C86" i="187"/>
  <c r="B86" i="187"/>
  <c r="D85" i="187"/>
  <c r="C85" i="187"/>
  <c r="B85" i="187"/>
  <c r="D84" i="187"/>
  <c r="C84" i="187"/>
  <c r="B84" i="187"/>
  <c r="D83" i="187"/>
  <c r="C83" i="187"/>
  <c r="B83" i="187"/>
  <c r="D82" i="187"/>
  <c r="C82" i="187"/>
  <c r="B82" i="187"/>
  <c r="D81" i="187"/>
  <c r="C81" i="187"/>
  <c r="B81" i="187"/>
  <c r="D80" i="187"/>
  <c r="C80" i="187"/>
  <c r="B80" i="187"/>
  <c r="D79" i="187"/>
  <c r="C79" i="187"/>
  <c r="B79" i="187"/>
  <c r="D78" i="187"/>
  <c r="C78" i="187"/>
  <c r="B78" i="187"/>
  <c r="D77" i="187"/>
  <c r="C77" i="187"/>
  <c r="B77" i="187"/>
  <c r="D76" i="187"/>
  <c r="C76" i="187"/>
  <c r="B76" i="187"/>
  <c r="D75" i="187"/>
  <c r="C75" i="187"/>
  <c r="B75" i="187"/>
  <c r="D74" i="187"/>
  <c r="C74" i="187"/>
  <c r="B74" i="187"/>
  <c r="D73" i="187"/>
  <c r="C73" i="187"/>
  <c r="B73" i="187"/>
  <c r="D72" i="187"/>
  <c r="C72" i="187"/>
  <c r="B72" i="187"/>
  <c r="D71" i="187"/>
  <c r="C71" i="187"/>
  <c r="B71" i="187"/>
  <c r="D70" i="187"/>
  <c r="C70" i="187"/>
  <c r="B70" i="187"/>
  <c r="D69" i="187"/>
  <c r="C69" i="187"/>
  <c r="B69" i="187"/>
  <c r="D68" i="187"/>
  <c r="C68" i="187"/>
  <c r="B68" i="187"/>
  <c r="D67" i="187"/>
  <c r="C67" i="187"/>
  <c r="B67" i="187"/>
  <c r="D66" i="187"/>
  <c r="C66" i="187"/>
  <c r="B66" i="187"/>
  <c r="D65" i="187"/>
  <c r="C65" i="187"/>
  <c r="B65" i="187"/>
  <c r="D64" i="187"/>
  <c r="C64" i="187"/>
  <c r="B64" i="187"/>
  <c r="D63" i="187"/>
  <c r="C63" i="187"/>
  <c r="B63" i="187"/>
  <c r="D62" i="187"/>
  <c r="C62" i="187"/>
  <c r="B62" i="187"/>
  <c r="D61" i="187"/>
  <c r="C61" i="187"/>
  <c r="B61" i="187"/>
  <c r="D60" i="187"/>
  <c r="C60" i="187"/>
  <c r="B60" i="187"/>
  <c r="D59" i="187"/>
  <c r="C59" i="187"/>
  <c r="B59" i="187"/>
  <c r="D58" i="187"/>
  <c r="C58" i="187"/>
  <c r="B58" i="187"/>
  <c r="D57" i="187"/>
  <c r="C57" i="187"/>
  <c r="B57" i="187"/>
  <c r="N54" i="187"/>
  <c r="J54" i="187"/>
  <c r="H54" i="187"/>
  <c r="J53" i="187"/>
  <c r="H53" i="187"/>
  <c r="J52" i="187"/>
  <c r="D21" i="187" a="1"/>
  <c r="D20" i="187" a="1"/>
  <c r="D19" i="187" a="1"/>
  <c r="D14" i="187" a="1"/>
  <c r="D54" i="187" s="1"/>
  <c r="D13" i="187" a="1"/>
  <c r="D12" i="187" a="1"/>
  <c r="D10" i="187" a="1"/>
  <c r="D8" i="187"/>
  <c r="D7" i="187"/>
  <c r="D6" i="187"/>
  <c r="D5" i="187"/>
  <c r="N3" i="187"/>
  <c r="N1" i="187"/>
  <c r="G107" i="186"/>
  <c r="I107" i="186" s="1"/>
  <c r="G108" i="186"/>
  <c r="I108" i="186" s="1"/>
  <c r="G109" i="186"/>
  <c r="I109" i="186" s="1"/>
  <c r="G110" i="186"/>
  <c r="I110" i="186" s="1"/>
  <c r="G111" i="186"/>
  <c r="I111" i="186" s="1"/>
  <c r="G112" i="186"/>
  <c r="I112" i="186" s="1"/>
  <c r="G113" i="186"/>
  <c r="I113" i="186" s="1"/>
  <c r="G114" i="186"/>
  <c r="I114" i="186" s="1"/>
  <c r="G115" i="186"/>
  <c r="I115" i="186" s="1"/>
  <c r="G116" i="186"/>
  <c r="I116" i="186" s="1"/>
  <c r="G117" i="186"/>
  <c r="I117" i="186" s="1"/>
  <c r="G118" i="186"/>
  <c r="I118" i="186" s="1"/>
  <c r="G119" i="186"/>
  <c r="I119" i="186" s="1"/>
  <c r="G120" i="186"/>
  <c r="I120" i="186" s="1"/>
  <c r="G121" i="186"/>
  <c r="I121" i="186" s="1"/>
  <c r="G122" i="186"/>
  <c r="I122" i="186" s="1"/>
  <c r="G123" i="186"/>
  <c r="I123" i="186" s="1"/>
  <c r="G124" i="186"/>
  <c r="I124" i="186" s="1"/>
  <c r="G125" i="186"/>
  <c r="I125" i="186" s="1"/>
  <c r="G126" i="186"/>
  <c r="I126" i="186" s="1"/>
  <c r="G127" i="186"/>
  <c r="I127" i="186" s="1"/>
  <c r="G128" i="186"/>
  <c r="I128" i="186" s="1"/>
  <c r="G129" i="186"/>
  <c r="I129" i="186" s="1"/>
  <c r="G130" i="186"/>
  <c r="I130" i="186" s="1"/>
  <c r="G131" i="186"/>
  <c r="I131" i="186" s="1"/>
  <c r="G132" i="186"/>
  <c r="I132" i="186" s="1"/>
  <c r="G133" i="186"/>
  <c r="I133" i="186" s="1"/>
  <c r="G134" i="186"/>
  <c r="I134" i="186" s="1"/>
  <c r="G135" i="186"/>
  <c r="I135" i="186" s="1"/>
  <c r="G136" i="186"/>
  <c r="I136" i="186" s="1"/>
  <c r="G137" i="186"/>
  <c r="I137" i="186" s="1"/>
  <c r="G138" i="186"/>
  <c r="I138" i="186" s="1"/>
  <c r="G139" i="186"/>
  <c r="I139" i="186" s="1"/>
  <c r="G140" i="186"/>
  <c r="I140" i="186" s="1"/>
  <c r="G141" i="186"/>
  <c r="I141" i="186" s="1"/>
  <c r="G142" i="186"/>
  <c r="I142" i="186" s="1"/>
  <c r="G143" i="186"/>
  <c r="I143" i="186" s="1"/>
  <c r="G144" i="186"/>
  <c r="I144" i="186" s="1"/>
  <c r="G145" i="186"/>
  <c r="I145" i="186" s="1"/>
  <c r="G146" i="186"/>
  <c r="I146" i="186" s="1"/>
  <c r="G147" i="186"/>
  <c r="I147" i="186" s="1"/>
  <c r="G148" i="186"/>
  <c r="I148" i="186" s="1"/>
  <c r="G106" i="186"/>
  <c r="I106" i="186" s="1"/>
  <c r="G58" i="186"/>
  <c r="I58" i="186" s="1"/>
  <c r="G59" i="186"/>
  <c r="I59" i="186" s="1"/>
  <c r="G60" i="186"/>
  <c r="I60" i="186" s="1"/>
  <c r="G61" i="186"/>
  <c r="I61" i="186" s="1"/>
  <c r="G62" i="186"/>
  <c r="I62" i="186" s="1"/>
  <c r="G63" i="186"/>
  <c r="I63" i="186" s="1"/>
  <c r="G64" i="186"/>
  <c r="I64" i="186" s="1"/>
  <c r="G65" i="186"/>
  <c r="I65" i="186" s="1"/>
  <c r="G66" i="186"/>
  <c r="I66" i="186" s="1"/>
  <c r="G67" i="186"/>
  <c r="I67" i="186" s="1"/>
  <c r="G68" i="186"/>
  <c r="I68" i="186" s="1"/>
  <c r="G69" i="186"/>
  <c r="I69" i="186" s="1"/>
  <c r="G70" i="186"/>
  <c r="I70" i="186" s="1"/>
  <c r="G71" i="186"/>
  <c r="I71" i="186" s="1"/>
  <c r="G72" i="186"/>
  <c r="I72" i="186" s="1"/>
  <c r="G73" i="186"/>
  <c r="I73" i="186" s="1"/>
  <c r="G74" i="186"/>
  <c r="I74" i="186" s="1"/>
  <c r="G75" i="186"/>
  <c r="I75" i="186" s="1"/>
  <c r="G76" i="186"/>
  <c r="I76" i="186" s="1"/>
  <c r="G77" i="186"/>
  <c r="I77" i="186" s="1"/>
  <c r="G78" i="186"/>
  <c r="I78" i="186" s="1"/>
  <c r="G79" i="186"/>
  <c r="I79" i="186" s="1"/>
  <c r="G80" i="186"/>
  <c r="I80" i="186" s="1"/>
  <c r="G81" i="186"/>
  <c r="I81" i="186" s="1"/>
  <c r="G82" i="186"/>
  <c r="I82" i="186" s="1"/>
  <c r="G83" i="186"/>
  <c r="I83" i="186" s="1"/>
  <c r="G84" i="186"/>
  <c r="I84" i="186" s="1"/>
  <c r="G85" i="186"/>
  <c r="I85" i="186" s="1"/>
  <c r="G86" i="186"/>
  <c r="I86" i="186" s="1"/>
  <c r="G87" i="186"/>
  <c r="I87" i="186" s="1"/>
  <c r="G88" i="186"/>
  <c r="I88" i="186" s="1"/>
  <c r="G89" i="186"/>
  <c r="I89" i="186" s="1"/>
  <c r="G90" i="186"/>
  <c r="I90" i="186" s="1"/>
  <c r="G91" i="186"/>
  <c r="I91" i="186" s="1"/>
  <c r="G92" i="186"/>
  <c r="I92" i="186" s="1"/>
  <c r="G93" i="186"/>
  <c r="I93" i="186" s="1"/>
  <c r="G94" i="186"/>
  <c r="I94" i="186" s="1"/>
  <c r="G95" i="186"/>
  <c r="I95" i="186" s="1"/>
  <c r="G96" i="186"/>
  <c r="I96" i="186" s="1"/>
  <c r="G97" i="186"/>
  <c r="I97" i="186" s="1"/>
  <c r="G98" i="186"/>
  <c r="I98" i="186" s="1"/>
  <c r="G99" i="186"/>
  <c r="I99" i="186" s="1"/>
  <c r="G100" i="186"/>
  <c r="I100" i="186" s="1"/>
  <c r="G57" i="186"/>
  <c r="M149" i="186"/>
  <c r="H149" i="186"/>
  <c r="D148" i="186"/>
  <c r="C148" i="186"/>
  <c r="B148" i="186"/>
  <c r="D147" i="186"/>
  <c r="C147" i="186"/>
  <c r="B147" i="186"/>
  <c r="D146" i="186"/>
  <c r="C146" i="186"/>
  <c r="B146" i="186"/>
  <c r="D145" i="186"/>
  <c r="C145" i="186"/>
  <c r="B145" i="186"/>
  <c r="D144" i="186"/>
  <c r="C144" i="186"/>
  <c r="B144" i="186"/>
  <c r="D143" i="186"/>
  <c r="C143" i="186"/>
  <c r="B143" i="186"/>
  <c r="D142" i="186"/>
  <c r="C142" i="186"/>
  <c r="B142" i="186"/>
  <c r="D141" i="186"/>
  <c r="C141" i="186"/>
  <c r="B141" i="186"/>
  <c r="D140" i="186"/>
  <c r="C140" i="186"/>
  <c r="B140" i="186"/>
  <c r="D139" i="186"/>
  <c r="C139" i="186"/>
  <c r="B139" i="186"/>
  <c r="D138" i="186"/>
  <c r="C138" i="186"/>
  <c r="B138" i="186"/>
  <c r="D137" i="186"/>
  <c r="C137" i="186"/>
  <c r="B137" i="186"/>
  <c r="D136" i="186"/>
  <c r="C136" i="186"/>
  <c r="B136" i="186"/>
  <c r="D135" i="186"/>
  <c r="C135" i="186"/>
  <c r="B135" i="186"/>
  <c r="D134" i="186"/>
  <c r="C134" i="186"/>
  <c r="B134" i="186"/>
  <c r="D133" i="186"/>
  <c r="C133" i="186"/>
  <c r="B133" i="186"/>
  <c r="D132" i="186"/>
  <c r="C132" i="186"/>
  <c r="B132" i="186"/>
  <c r="D131" i="186"/>
  <c r="C131" i="186"/>
  <c r="B131" i="186"/>
  <c r="D130" i="186"/>
  <c r="C130" i="186"/>
  <c r="B130" i="186"/>
  <c r="D129" i="186"/>
  <c r="C129" i="186"/>
  <c r="B129" i="186"/>
  <c r="D128" i="186"/>
  <c r="C128" i="186"/>
  <c r="B128" i="186"/>
  <c r="D127" i="186"/>
  <c r="C127" i="186"/>
  <c r="B127" i="186"/>
  <c r="D126" i="186"/>
  <c r="C126" i="186"/>
  <c r="B126" i="186"/>
  <c r="D125" i="186"/>
  <c r="C125" i="186"/>
  <c r="B125" i="186"/>
  <c r="D124" i="186"/>
  <c r="C124" i="186"/>
  <c r="B124" i="186"/>
  <c r="D123" i="186"/>
  <c r="C123" i="186"/>
  <c r="B123" i="186"/>
  <c r="D122" i="186"/>
  <c r="C122" i="186"/>
  <c r="B122" i="186"/>
  <c r="D121" i="186"/>
  <c r="C121" i="186"/>
  <c r="B121" i="186"/>
  <c r="D120" i="186"/>
  <c r="C120" i="186"/>
  <c r="B120" i="186"/>
  <c r="D119" i="186"/>
  <c r="C119" i="186"/>
  <c r="B119" i="186"/>
  <c r="D118" i="186"/>
  <c r="C118" i="186"/>
  <c r="B118" i="186"/>
  <c r="D117" i="186"/>
  <c r="C117" i="186"/>
  <c r="B117" i="186"/>
  <c r="D116" i="186"/>
  <c r="C116" i="186"/>
  <c r="B116" i="186"/>
  <c r="D115" i="186"/>
  <c r="C115" i="186"/>
  <c r="B115" i="186"/>
  <c r="D114" i="186"/>
  <c r="C114" i="186"/>
  <c r="B114" i="186"/>
  <c r="D113" i="186"/>
  <c r="C113" i="186"/>
  <c r="B113" i="186"/>
  <c r="D112" i="186"/>
  <c r="C112" i="186"/>
  <c r="B112" i="186"/>
  <c r="D111" i="186"/>
  <c r="C111" i="186"/>
  <c r="B111" i="186"/>
  <c r="D110" i="186"/>
  <c r="C110" i="186"/>
  <c r="B110" i="186"/>
  <c r="D109" i="186"/>
  <c r="C109" i="186"/>
  <c r="B109" i="186"/>
  <c r="D108" i="186"/>
  <c r="C108" i="186"/>
  <c r="B108" i="186"/>
  <c r="D107" i="186"/>
  <c r="C107" i="186"/>
  <c r="B107" i="186"/>
  <c r="D106" i="186"/>
  <c r="C106" i="186"/>
  <c r="B106" i="186"/>
  <c r="A106" i="186"/>
  <c r="A107" i="186" s="1"/>
  <c r="A108" i="186" s="1"/>
  <c r="A109" i="186" s="1"/>
  <c r="A110" i="186" s="1"/>
  <c r="A111" i="186" s="1"/>
  <c r="A112" i="186" s="1"/>
  <c r="A113" i="186" s="1"/>
  <c r="A114" i="186" s="1"/>
  <c r="A115" i="186" s="1"/>
  <c r="A116" i="186" s="1"/>
  <c r="A117" i="186" s="1"/>
  <c r="A118" i="186" s="1"/>
  <c r="A119" i="186" s="1"/>
  <c r="A120" i="186" s="1"/>
  <c r="A121" i="186" s="1"/>
  <c r="A122" i="186" s="1"/>
  <c r="A123" i="186" s="1"/>
  <c r="A124" i="186" s="1"/>
  <c r="A125" i="186" s="1"/>
  <c r="A126" i="186" s="1"/>
  <c r="A127" i="186" s="1"/>
  <c r="A128" i="186" s="1"/>
  <c r="A129" i="186" s="1"/>
  <c r="A130" i="186" s="1"/>
  <c r="A131" i="186" s="1"/>
  <c r="A132" i="186" s="1"/>
  <c r="A133" i="186" s="1"/>
  <c r="A134" i="186" s="1"/>
  <c r="A135" i="186" s="1"/>
  <c r="A136" i="186" s="1"/>
  <c r="A137" i="186" s="1"/>
  <c r="A138" i="186" s="1"/>
  <c r="A139" i="186" s="1"/>
  <c r="A140" i="186" s="1"/>
  <c r="A141" i="186" s="1"/>
  <c r="A142" i="186" s="1"/>
  <c r="A143" i="186" s="1"/>
  <c r="A144" i="186" s="1"/>
  <c r="A145" i="186" s="1"/>
  <c r="A146" i="186" s="1"/>
  <c r="A147" i="186" s="1"/>
  <c r="A148" i="186" s="1"/>
  <c r="N103" i="186"/>
  <c r="J103" i="186"/>
  <c r="H103" i="186"/>
  <c r="J102" i="186"/>
  <c r="H102" i="186"/>
  <c r="J101" i="186"/>
  <c r="D100" i="186"/>
  <c r="C100" i="186"/>
  <c r="B100" i="186"/>
  <c r="D99" i="186"/>
  <c r="C99" i="186"/>
  <c r="B99" i="186"/>
  <c r="D98" i="186"/>
  <c r="C98" i="186"/>
  <c r="B98" i="186"/>
  <c r="D97" i="186"/>
  <c r="C97" i="186"/>
  <c r="B97" i="186"/>
  <c r="D96" i="186"/>
  <c r="C96" i="186"/>
  <c r="B96" i="186"/>
  <c r="D95" i="186"/>
  <c r="C95" i="186"/>
  <c r="B95" i="186"/>
  <c r="D94" i="186"/>
  <c r="C94" i="186"/>
  <c r="B94" i="186"/>
  <c r="D93" i="186"/>
  <c r="C93" i="186"/>
  <c r="B93" i="186"/>
  <c r="D92" i="186"/>
  <c r="C92" i="186"/>
  <c r="B92" i="186"/>
  <c r="D91" i="186"/>
  <c r="C91" i="186"/>
  <c r="B91" i="186"/>
  <c r="D90" i="186"/>
  <c r="C90" i="186"/>
  <c r="B90" i="186"/>
  <c r="D89" i="186"/>
  <c r="C89" i="186"/>
  <c r="B89" i="186"/>
  <c r="D88" i="186"/>
  <c r="C88" i="186"/>
  <c r="B88" i="186"/>
  <c r="D87" i="186"/>
  <c r="C87" i="186"/>
  <c r="B87" i="186"/>
  <c r="D86" i="186"/>
  <c r="C86" i="186"/>
  <c r="B86" i="186"/>
  <c r="D85" i="186"/>
  <c r="C85" i="186"/>
  <c r="B85" i="186"/>
  <c r="D84" i="186"/>
  <c r="C84" i="186"/>
  <c r="B84" i="186"/>
  <c r="D83" i="186"/>
  <c r="C83" i="186"/>
  <c r="B83" i="186"/>
  <c r="D82" i="186"/>
  <c r="C82" i="186"/>
  <c r="B82" i="186"/>
  <c r="D81" i="186"/>
  <c r="C81" i="186"/>
  <c r="B81" i="186"/>
  <c r="D80" i="186"/>
  <c r="C80" i="186"/>
  <c r="B80" i="186"/>
  <c r="D79" i="186"/>
  <c r="C79" i="186"/>
  <c r="B79" i="186"/>
  <c r="D78" i="186"/>
  <c r="C78" i="186"/>
  <c r="B78" i="186"/>
  <c r="D77" i="186"/>
  <c r="C77" i="186"/>
  <c r="B77" i="186"/>
  <c r="D76" i="186"/>
  <c r="C76" i="186"/>
  <c r="B76" i="186"/>
  <c r="D75" i="186"/>
  <c r="C75" i="186"/>
  <c r="B75" i="186"/>
  <c r="D74" i="186"/>
  <c r="C74" i="186"/>
  <c r="B74" i="186"/>
  <c r="D73" i="186"/>
  <c r="C73" i="186"/>
  <c r="B73" i="186"/>
  <c r="D72" i="186"/>
  <c r="C72" i="186"/>
  <c r="B72" i="186"/>
  <c r="D71" i="186"/>
  <c r="C71" i="186"/>
  <c r="B71" i="186"/>
  <c r="D70" i="186"/>
  <c r="C70" i="186"/>
  <c r="B70" i="186"/>
  <c r="D69" i="186"/>
  <c r="C69" i="186"/>
  <c r="B69" i="186"/>
  <c r="D68" i="186"/>
  <c r="C68" i="186"/>
  <c r="B68" i="186"/>
  <c r="D67" i="186"/>
  <c r="C67" i="186"/>
  <c r="B67" i="186"/>
  <c r="D66" i="186"/>
  <c r="C66" i="186"/>
  <c r="B66" i="186"/>
  <c r="D65" i="186"/>
  <c r="C65" i="186"/>
  <c r="B65" i="186"/>
  <c r="D64" i="186"/>
  <c r="C64" i="186"/>
  <c r="B64" i="186"/>
  <c r="D63" i="186"/>
  <c r="C63" i="186"/>
  <c r="B63" i="186"/>
  <c r="D62" i="186"/>
  <c r="C62" i="186"/>
  <c r="B62" i="186"/>
  <c r="D61" i="186"/>
  <c r="C61" i="186"/>
  <c r="B61" i="186"/>
  <c r="D60" i="186"/>
  <c r="C60" i="186"/>
  <c r="B60" i="186"/>
  <c r="D59" i="186"/>
  <c r="C59" i="186"/>
  <c r="B59" i="186"/>
  <c r="D58" i="186"/>
  <c r="C58" i="186"/>
  <c r="B58" i="186"/>
  <c r="D57" i="186"/>
  <c r="C57" i="186"/>
  <c r="B57" i="186"/>
  <c r="N54" i="186"/>
  <c r="J54" i="186"/>
  <c r="H54" i="186"/>
  <c r="J53" i="186"/>
  <c r="H53" i="186"/>
  <c r="J52" i="186"/>
  <c r="D21" i="186" a="1"/>
  <c r="D20" i="186" a="1"/>
  <c r="D19" i="186" a="1"/>
  <c r="D14" i="186" a="1"/>
  <c r="D54" i="186" s="1"/>
  <c r="D13" i="186" a="1"/>
  <c r="D102" i="186" s="1"/>
  <c r="D12" i="186" a="1"/>
  <c r="D10" i="186" a="1"/>
  <c r="D8" i="186"/>
  <c r="D7" i="186"/>
  <c r="D6" i="186"/>
  <c r="D5" i="186"/>
  <c r="N3" i="186"/>
  <c r="N1" i="186"/>
  <c r="G107" i="185"/>
  <c r="I107" i="185" s="1"/>
  <c r="G108" i="185"/>
  <c r="I108" i="185" s="1"/>
  <c r="G109" i="185"/>
  <c r="I109" i="185" s="1"/>
  <c r="G110" i="185"/>
  <c r="I110" i="185" s="1"/>
  <c r="G111" i="185"/>
  <c r="I111" i="185" s="1"/>
  <c r="G112" i="185"/>
  <c r="I112" i="185" s="1"/>
  <c r="G113" i="185"/>
  <c r="I113" i="185" s="1"/>
  <c r="G114" i="185"/>
  <c r="I114" i="185" s="1"/>
  <c r="G115" i="185"/>
  <c r="I115" i="185" s="1"/>
  <c r="G116" i="185"/>
  <c r="I116" i="185" s="1"/>
  <c r="G117" i="185"/>
  <c r="I117" i="185" s="1"/>
  <c r="G118" i="185"/>
  <c r="I118" i="185" s="1"/>
  <c r="G119" i="185"/>
  <c r="I119" i="185" s="1"/>
  <c r="G120" i="185"/>
  <c r="I120" i="185" s="1"/>
  <c r="G121" i="185"/>
  <c r="I121" i="185" s="1"/>
  <c r="G122" i="185"/>
  <c r="I122" i="185" s="1"/>
  <c r="G123" i="185"/>
  <c r="I123" i="185" s="1"/>
  <c r="G124" i="185"/>
  <c r="I124" i="185" s="1"/>
  <c r="G125" i="185"/>
  <c r="I125" i="185" s="1"/>
  <c r="G126" i="185"/>
  <c r="I126" i="185" s="1"/>
  <c r="G127" i="185"/>
  <c r="I127" i="185" s="1"/>
  <c r="G128" i="185"/>
  <c r="I128" i="185" s="1"/>
  <c r="G129" i="185"/>
  <c r="I129" i="185" s="1"/>
  <c r="G130" i="185"/>
  <c r="I130" i="185" s="1"/>
  <c r="G131" i="185"/>
  <c r="I131" i="185" s="1"/>
  <c r="G132" i="185"/>
  <c r="I132" i="185" s="1"/>
  <c r="G133" i="185"/>
  <c r="I133" i="185" s="1"/>
  <c r="G134" i="185"/>
  <c r="I134" i="185" s="1"/>
  <c r="G135" i="185"/>
  <c r="I135" i="185" s="1"/>
  <c r="G136" i="185"/>
  <c r="I136" i="185" s="1"/>
  <c r="G137" i="185"/>
  <c r="I137" i="185" s="1"/>
  <c r="G138" i="185"/>
  <c r="I138" i="185" s="1"/>
  <c r="G139" i="185"/>
  <c r="I139" i="185" s="1"/>
  <c r="G140" i="185"/>
  <c r="I140" i="185" s="1"/>
  <c r="G141" i="185"/>
  <c r="I141" i="185" s="1"/>
  <c r="G142" i="185"/>
  <c r="I142" i="185" s="1"/>
  <c r="G143" i="185"/>
  <c r="I143" i="185" s="1"/>
  <c r="G144" i="185"/>
  <c r="I144" i="185" s="1"/>
  <c r="G145" i="185"/>
  <c r="I145" i="185" s="1"/>
  <c r="G146" i="185"/>
  <c r="I146" i="185" s="1"/>
  <c r="G147" i="185"/>
  <c r="I147" i="185" s="1"/>
  <c r="G148" i="185"/>
  <c r="I148" i="185" s="1"/>
  <c r="G106" i="185"/>
  <c r="I106" i="185" s="1"/>
  <c r="G58" i="185"/>
  <c r="I58" i="185" s="1"/>
  <c r="G59" i="185"/>
  <c r="I59" i="185" s="1"/>
  <c r="G60" i="185"/>
  <c r="I60" i="185" s="1"/>
  <c r="G61" i="185"/>
  <c r="I61" i="185" s="1"/>
  <c r="G62" i="185"/>
  <c r="I62" i="185" s="1"/>
  <c r="G63" i="185"/>
  <c r="I63" i="185" s="1"/>
  <c r="G64" i="185"/>
  <c r="I64" i="185" s="1"/>
  <c r="G65" i="185"/>
  <c r="I65" i="185" s="1"/>
  <c r="G66" i="185"/>
  <c r="I66" i="185" s="1"/>
  <c r="G67" i="185"/>
  <c r="I67" i="185" s="1"/>
  <c r="G68" i="185"/>
  <c r="I68" i="185" s="1"/>
  <c r="G69" i="185"/>
  <c r="I69" i="185" s="1"/>
  <c r="G70" i="185"/>
  <c r="I70" i="185" s="1"/>
  <c r="G71" i="185"/>
  <c r="I71" i="185" s="1"/>
  <c r="G72" i="185"/>
  <c r="I72" i="185" s="1"/>
  <c r="G73" i="185"/>
  <c r="I73" i="185" s="1"/>
  <c r="G74" i="185"/>
  <c r="I74" i="185" s="1"/>
  <c r="G75" i="185"/>
  <c r="I75" i="185" s="1"/>
  <c r="G76" i="185"/>
  <c r="I76" i="185" s="1"/>
  <c r="G77" i="185"/>
  <c r="I77" i="185" s="1"/>
  <c r="G78" i="185"/>
  <c r="I78" i="185" s="1"/>
  <c r="G79" i="185"/>
  <c r="I79" i="185" s="1"/>
  <c r="G80" i="185"/>
  <c r="I80" i="185" s="1"/>
  <c r="G81" i="185"/>
  <c r="I81" i="185" s="1"/>
  <c r="G82" i="185"/>
  <c r="I82" i="185" s="1"/>
  <c r="G83" i="185"/>
  <c r="I83" i="185" s="1"/>
  <c r="G84" i="185"/>
  <c r="I84" i="185" s="1"/>
  <c r="G85" i="185"/>
  <c r="I85" i="185" s="1"/>
  <c r="G86" i="185"/>
  <c r="I86" i="185" s="1"/>
  <c r="G87" i="185"/>
  <c r="I87" i="185" s="1"/>
  <c r="G88" i="185"/>
  <c r="I88" i="185" s="1"/>
  <c r="G89" i="185"/>
  <c r="I89" i="185" s="1"/>
  <c r="G90" i="185"/>
  <c r="I90" i="185" s="1"/>
  <c r="G91" i="185"/>
  <c r="I91" i="185" s="1"/>
  <c r="G92" i="185"/>
  <c r="I92" i="185" s="1"/>
  <c r="G93" i="185"/>
  <c r="I93" i="185" s="1"/>
  <c r="G94" i="185"/>
  <c r="I94" i="185" s="1"/>
  <c r="G95" i="185"/>
  <c r="I95" i="185" s="1"/>
  <c r="G96" i="185"/>
  <c r="I96" i="185" s="1"/>
  <c r="G97" i="185"/>
  <c r="I97" i="185" s="1"/>
  <c r="G98" i="185"/>
  <c r="I98" i="185" s="1"/>
  <c r="G99" i="185"/>
  <c r="I99" i="185" s="1"/>
  <c r="G100" i="185"/>
  <c r="I100" i="185" s="1"/>
  <c r="G57" i="185"/>
  <c r="M149" i="185"/>
  <c r="H149" i="185"/>
  <c r="D148" i="185"/>
  <c r="C148" i="185"/>
  <c r="B148" i="185"/>
  <c r="D147" i="185"/>
  <c r="C147" i="185"/>
  <c r="B147" i="185"/>
  <c r="D146" i="185"/>
  <c r="C146" i="185"/>
  <c r="B146" i="185"/>
  <c r="D145" i="185"/>
  <c r="C145" i="185"/>
  <c r="B145" i="185"/>
  <c r="D144" i="185"/>
  <c r="C144" i="185"/>
  <c r="B144" i="185"/>
  <c r="D143" i="185"/>
  <c r="C143" i="185"/>
  <c r="B143" i="185"/>
  <c r="D142" i="185"/>
  <c r="C142" i="185"/>
  <c r="B142" i="185"/>
  <c r="D141" i="185"/>
  <c r="C141" i="185"/>
  <c r="B141" i="185"/>
  <c r="D140" i="185"/>
  <c r="C140" i="185"/>
  <c r="B140" i="185"/>
  <c r="D139" i="185"/>
  <c r="C139" i="185"/>
  <c r="B139" i="185"/>
  <c r="D138" i="185"/>
  <c r="C138" i="185"/>
  <c r="B138" i="185"/>
  <c r="D137" i="185"/>
  <c r="C137" i="185"/>
  <c r="B137" i="185"/>
  <c r="D136" i="185"/>
  <c r="C136" i="185"/>
  <c r="B136" i="185"/>
  <c r="D135" i="185"/>
  <c r="C135" i="185"/>
  <c r="B135" i="185"/>
  <c r="D134" i="185"/>
  <c r="C134" i="185"/>
  <c r="B134" i="185"/>
  <c r="D133" i="185"/>
  <c r="C133" i="185"/>
  <c r="B133" i="185"/>
  <c r="D132" i="185"/>
  <c r="C132" i="185"/>
  <c r="B132" i="185"/>
  <c r="D131" i="185"/>
  <c r="C131" i="185"/>
  <c r="B131" i="185"/>
  <c r="D130" i="185"/>
  <c r="C130" i="185"/>
  <c r="B130" i="185"/>
  <c r="D129" i="185"/>
  <c r="C129" i="185"/>
  <c r="B129" i="185"/>
  <c r="D128" i="185"/>
  <c r="C128" i="185"/>
  <c r="B128" i="185"/>
  <c r="D127" i="185"/>
  <c r="C127" i="185"/>
  <c r="B127" i="185"/>
  <c r="D126" i="185"/>
  <c r="C126" i="185"/>
  <c r="B126" i="185"/>
  <c r="D125" i="185"/>
  <c r="C125" i="185"/>
  <c r="B125" i="185"/>
  <c r="D124" i="185"/>
  <c r="C124" i="185"/>
  <c r="B124" i="185"/>
  <c r="D123" i="185"/>
  <c r="C123" i="185"/>
  <c r="B123" i="185"/>
  <c r="D122" i="185"/>
  <c r="C122" i="185"/>
  <c r="B122" i="185"/>
  <c r="D121" i="185"/>
  <c r="C121" i="185"/>
  <c r="B121" i="185"/>
  <c r="D120" i="185"/>
  <c r="C120" i="185"/>
  <c r="B120" i="185"/>
  <c r="D119" i="185"/>
  <c r="C119" i="185"/>
  <c r="B119" i="185"/>
  <c r="D118" i="185"/>
  <c r="C118" i="185"/>
  <c r="B118" i="185"/>
  <c r="D117" i="185"/>
  <c r="C117" i="185"/>
  <c r="B117" i="185"/>
  <c r="D116" i="185"/>
  <c r="C116" i="185"/>
  <c r="B116" i="185"/>
  <c r="D115" i="185"/>
  <c r="C115" i="185"/>
  <c r="B115" i="185"/>
  <c r="D114" i="185"/>
  <c r="C114" i="185"/>
  <c r="B114" i="185"/>
  <c r="D113" i="185"/>
  <c r="C113" i="185"/>
  <c r="B113" i="185"/>
  <c r="D112" i="185"/>
  <c r="C112" i="185"/>
  <c r="B112" i="185"/>
  <c r="D111" i="185"/>
  <c r="C111" i="185"/>
  <c r="B111" i="185"/>
  <c r="D110" i="185"/>
  <c r="C110" i="185"/>
  <c r="B110" i="185"/>
  <c r="D109" i="185"/>
  <c r="C109" i="185"/>
  <c r="B109" i="185"/>
  <c r="D108" i="185"/>
  <c r="C108" i="185"/>
  <c r="B108" i="185"/>
  <c r="D107" i="185"/>
  <c r="C107" i="185"/>
  <c r="B107" i="185"/>
  <c r="D106" i="185"/>
  <c r="C106" i="185"/>
  <c r="B106" i="185"/>
  <c r="A106" i="185"/>
  <c r="A107" i="185" s="1"/>
  <c r="A108" i="185" s="1"/>
  <c r="A109" i="185" s="1"/>
  <c r="A110" i="185" s="1"/>
  <c r="A111" i="185" s="1"/>
  <c r="A112" i="185" s="1"/>
  <c r="A113" i="185" s="1"/>
  <c r="A114" i="185" s="1"/>
  <c r="A115" i="185" s="1"/>
  <c r="A116" i="185" s="1"/>
  <c r="A117" i="185" s="1"/>
  <c r="A118" i="185" s="1"/>
  <c r="A119" i="185" s="1"/>
  <c r="A120" i="185" s="1"/>
  <c r="A121" i="185" s="1"/>
  <c r="A122" i="185" s="1"/>
  <c r="A123" i="185" s="1"/>
  <c r="A124" i="185" s="1"/>
  <c r="A125" i="185" s="1"/>
  <c r="A126" i="185" s="1"/>
  <c r="A127" i="185" s="1"/>
  <c r="A128" i="185" s="1"/>
  <c r="A129" i="185" s="1"/>
  <c r="A130" i="185" s="1"/>
  <c r="A131" i="185" s="1"/>
  <c r="A132" i="185" s="1"/>
  <c r="A133" i="185" s="1"/>
  <c r="A134" i="185" s="1"/>
  <c r="A135" i="185" s="1"/>
  <c r="A136" i="185" s="1"/>
  <c r="A137" i="185" s="1"/>
  <c r="A138" i="185" s="1"/>
  <c r="A139" i="185" s="1"/>
  <c r="A140" i="185" s="1"/>
  <c r="A141" i="185" s="1"/>
  <c r="A142" i="185" s="1"/>
  <c r="A143" i="185" s="1"/>
  <c r="A144" i="185" s="1"/>
  <c r="A145" i="185" s="1"/>
  <c r="A146" i="185" s="1"/>
  <c r="A147" i="185" s="1"/>
  <c r="A148" i="185" s="1"/>
  <c r="N103" i="185"/>
  <c r="J103" i="185"/>
  <c r="H103" i="185"/>
  <c r="J102" i="185"/>
  <c r="H102" i="185"/>
  <c r="J101" i="185"/>
  <c r="D100" i="185"/>
  <c r="C100" i="185"/>
  <c r="B100" i="185"/>
  <c r="D99" i="185"/>
  <c r="C99" i="185"/>
  <c r="B99" i="185"/>
  <c r="D98" i="185"/>
  <c r="C98" i="185"/>
  <c r="B98" i="185"/>
  <c r="D97" i="185"/>
  <c r="C97" i="185"/>
  <c r="B97" i="185"/>
  <c r="D96" i="185"/>
  <c r="C96" i="185"/>
  <c r="B96" i="185"/>
  <c r="D95" i="185"/>
  <c r="C95" i="185"/>
  <c r="B95" i="185"/>
  <c r="D94" i="185"/>
  <c r="C94" i="185"/>
  <c r="B94" i="185"/>
  <c r="D93" i="185"/>
  <c r="C93" i="185"/>
  <c r="B93" i="185"/>
  <c r="D92" i="185"/>
  <c r="C92" i="185"/>
  <c r="B92" i="185"/>
  <c r="D91" i="185"/>
  <c r="C91" i="185"/>
  <c r="B91" i="185"/>
  <c r="D90" i="185"/>
  <c r="C90" i="185"/>
  <c r="B90" i="185"/>
  <c r="D89" i="185"/>
  <c r="C89" i="185"/>
  <c r="B89" i="185"/>
  <c r="D88" i="185"/>
  <c r="C88" i="185"/>
  <c r="B88" i="185"/>
  <c r="D87" i="185"/>
  <c r="C87" i="185"/>
  <c r="B87" i="185"/>
  <c r="D86" i="185"/>
  <c r="C86" i="185"/>
  <c r="B86" i="185"/>
  <c r="D85" i="185"/>
  <c r="C85" i="185"/>
  <c r="B85" i="185"/>
  <c r="D84" i="185"/>
  <c r="C84" i="185"/>
  <c r="B84" i="185"/>
  <c r="D83" i="185"/>
  <c r="C83" i="185"/>
  <c r="B83" i="185"/>
  <c r="D82" i="185"/>
  <c r="C82" i="185"/>
  <c r="B82" i="185"/>
  <c r="D81" i="185"/>
  <c r="C81" i="185"/>
  <c r="B81" i="185"/>
  <c r="D80" i="185"/>
  <c r="C80" i="185"/>
  <c r="B80" i="185"/>
  <c r="D79" i="185"/>
  <c r="C79" i="185"/>
  <c r="B79" i="185"/>
  <c r="D78" i="185"/>
  <c r="C78" i="185"/>
  <c r="B78" i="185"/>
  <c r="D77" i="185"/>
  <c r="C77" i="185"/>
  <c r="B77" i="185"/>
  <c r="D76" i="185"/>
  <c r="C76" i="185"/>
  <c r="B76" i="185"/>
  <c r="D75" i="185"/>
  <c r="C75" i="185"/>
  <c r="B75" i="185"/>
  <c r="D74" i="185"/>
  <c r="C74" i="185"/>
  <c r="B74" i="185"/>
  <c r="D73" i="185"/>
  <c r="C73" i="185"/>
  <c r="B73" i="185"/>
  <c r="D72" i="185"/>
  <c r="C72" i="185"/>
  <c r="B72" i="185"/>
  <c r="D71" i="185"/>
  <c r="C71" i="185"/>
  <c r="B71" i="185"/>
  <c r="D70" i="185"/>
  <c r="C70" i="185"/>
  <c r="B70" i="185"/>
  <c r="D69" i="185"/>
  <c r="C69" i="185"/>
  <c r="B69" i="185"/>
  <c r="D68" i="185"/>
  <c r="C68" i="185"/>
  <c r="B68" i="185"/>
  <c r="D67" i="185"/>
  <c r="C67" i="185"/>
  <c r="B67" i="185"/>
  <c r="D66" i="185"/>
  <c r="C66" i="185"/>
  <c r="B66" i="185"/>
  <c r="D65" i="185"/>
  <c r="C65" i="185"/>
  <c r="B65" i="185"/>
  <c r="D64" i="185"/>
  <c r="C64" i="185"/>
  <c r="B64" i="185"/>
  <c r="D63" i="185"/>
  <c r="C63" i="185"/>
  <c r="B63" i="185"/>
  <c r="D62" i="185"/>
  <c r="C62" i="185"/>
  <c r="B62" i="185"/>
  <c r="D61" i="185"/>
  <c r="C61" i="185"/>
  <c r="B61" i="185"/>
  <c r="D60" i="185"/>
  <c r="C60" i="185"/>
  <c r="B60" i="185"/>
  <c r="D59" i="185"/>
  <c r="C59" i="185"/>
  <c r="B59" i="185"/>
  <c r="D58" i="185"/>
  <c r="C58" i="185"/>
  <c r="B58" i="185"/>
  <c r="D57" i="185"/>
  <c r="C57" i="185"/>
  <c r="B57" i="185"/>
  <c r="N54" i="185"/>
  <c r="J54" i="185"/>
  <c r="H54" i="185"/>
  <c r="J53" i="185"/>
  <c r="H53" i="185"/>
  <c r="J52" i="185"/>
  <c r="D21" i="185" a="1"/>
  <c r="D20" i="185" a="1"/>
  <c r="D19" i="185" a="1"/>
  <c r="D14" i="185" a="1"/>
  <c r="D54" i="185" s="1"/>
  <c r="D13" i="185" a="1"/>
  <c r="D12" i="185" a="1"/>
  <c r="D10" i="185" a="1"/>
  <c r="D8" i="185"/>
  <c r="D7" i="185"/>
  <c r="D6" i="185"/>
  <c r="D5" i="185"/>
  <c r="N3" i="185"/>
  <c r="N1" i="185"/>
  <c r="G107" i="184"/>
  <c r="I107" i="184" s="1"/>
  <c r="G108" i="184"/>
  <c r="I108" i="184" s="1"/>
  <c r="G109" i="184"/>
  <c r="I109" i="184" s="1"/>
  <c r="G110" i="184"/>
  <c r="I110" i="184" s="1"/>
  <c r="G111" i="184"/>
  <c r="I111" i="184" s="1"/>
  <c r="G112" i="184"/>
  <c r="I112" i="184" s="1"/>
  <c r="G113" i="184"/>
  <c r="I113" i="184" s="1"/>
  <c r="G114" i="184"/>
  <c r="I114" i="184" s="1"/>
  <c r="G115" i="184"/>
  <c r="I115" i="184" s="1"/>
  <c r="G116" i="184"/>
  <c r="I116" i="184" s="1"/>
  <c r="G117" i="184"/>
  <c r="I117" i="184" s="1"/>
  <c r="G118" i="184"/>
  <c r="I118" i="184" s="1"/>
  <c r="G119" i="184"/>
  <c r="I119" i="184" s="1"/>
  <c r="G120" i="184"/>
  <c r="I120" i="184" s="1"/>
  <c r="G121" i="184"/>
  <c r="I121" i="184" s="1"/>
  <c r="G122" i="184"/>
  <c r="I122" i="184" s="1"/>
  <c r="G123" i="184"/>
  <c r="I123" i="184" s="1"/>
  <c r="G124" i="184"/>
  <c r="I124" i="184" s="1"/>
  <c r="G125" i="184"/>
  <c r="I125" i="184" s="1"/>
  <c r="G126" i="184"/>
  <c r="I126" i="184" s="1"/>
  <c r="G127" i="184"/>
  <c r="I127" i="184" s="1"/>
  <c r="G128" i="184"/>
  <c r="I128" i="184" s="1"/>
  <c r="G129" i="184"/>
  <c r="I129" i="184" s="1"/>
  <c r="G130" i="184"/>
  <c r="I130" i="184" s="1"/>
  <c r="G131" i="184"/>
  <c r="I131" i="184" s="1"/>
  <c r="G132" i="184"/>
  <c r="I132" i="184" s="1"/>
  <c r="G133" i="184"/>
  <c r="I133" i="184" s="1"/>
  <c r="G134" i="184"/>
  <c r="I134" i="184" s="1"/>
  <c r="G135" i="184"/>
  <c r="I135" i="184" s="1"/>
  <c r="G136" i="184"/>
  <c r="I136" i="184" s="1"/>
  <c r="G137" i="184"/>
  <c r="I137" i="184" s="1"/>
  <c r="G138" i="184"/>
  <c r="I138" i="184" s="1"/>
  <c r="G139" i="184"/>
  <c r="I139" i="184" s="1"/>
  <c r="G140" i="184"/>
  <c r="I140" i="184" s="1"/>
  <c r="G141" i="184"/>
  <c r="I141" i="184" s="1"/>
  <c r="G142" i="184"/>
  <c r="I142" i="184" s="1"/>
  <c r="G143" i="184"/>
  <c r="I143" i="184" s="1"/>
  <c r="G144" i="184"/>
  <c r="I144" i="184" s="1"/>
  <c r="G145" i="184"/>
  <c r="I145" i="184" s="1"/>
  <c r="G146" i="184"/>
  <c r="I146" i="184" s="1"/>
  <c r="G147" i="184"/>
  <c r="I147" i="184" s="1"/>
  <c r="G148" i="184"/>
  <c r="I148" i="184" s="1"/>
  <c r="G106" i="184"/>
  <c r="I106" i="184" s="1"/>
  <c r="G58" i="184"/>
  <c r="I58" i="184" s="1"/>
  <c r="G59" i="184"/>
  <c r="I59" i="184" s="1"/>
  <c r="G60" i="184"/>
  <c r="I60" i="184" s="1"/>
  <c r="G61" i="184"/>
  <c r="I61" i="184" s="1"/>
  <c r="G62" i="184"/>
  <c r="I62" i="184" s="1"/>
  <c r="G63" i="184"/>
  <c r="I63" i="184" s="1"/>
  <c r="G64" i="184"/>
  <c r="I64" i="184" s="1"/>
  <c r="G65" i="184"/>
  <c r="I65" i="184" s="1"/>
  <c r="G66" i="184"/>
  <c r="I66" i="184" s="1"/>
  <c r="G67" i="184"/>
  <c r="I67" i="184" s="1"/>
  <c r="G68" i="184"/>
  <c r="I68" i="184" s="1"/>
  <c r="G69" i="184"/>
  <c r="I69" i="184" s="1"/>
  <c r="G70" i="184"/>
  <c r="I70" i="184" s="1"/>
  <c r="G71" i="184"/>
  <c r="I71" i="184" s="1"/>
  <c r="G72" i="184"/>
  <c r="I72" i="184" s="1"/>
  <c r="G73" i="184"/>
  <c r="I73" i="184" s="1"/>
  <c r="G74" i="184"/>
  <c r="I74" i="184" s="1"/>
  <c r="G75" i="184"/>
  <c r="I75" i="184" s="1"/>
  <c r="G76" i="184"/>
  <c r="I76" i="184" s="1"/>
  <c r="G77" i="184"/>
  <c r="I77" i="184" s="1"/>
  <c r="G78" i="184"/>
  <c r="I78" i="184" s="1"/>
  <c r="G79" i="184"/>
  <c r="I79" i="184" s="1"/>
  <c r="G80" i="184"/>
  <c r="I80" i="184" s="1"/>
  <c r="G81" i="184"/>
  <c r="I81" i="184" s="1"/>
  <c r="G82" i="184"/>
  <c r="I82" i="184" s="1"/>
  <c r="G83" i="184"/>
  <c r="I83" i="184" s="1"/>
  <c r="G84" i="184"/>
  <c r="I84" i="184" s="1"/>
  <c r="G85" i="184"/>
  <c r="I85" i="184" s="1"/>
  <c r="G86" i="184"/>
  <c r="I86" i="184" s="1"/>
  <c r="G87" i="184"/>
  <c r="I87" i="184" s="1"/>
  <c r="G88" i="184"/>
  <c r="I88" i="184" s="1"/>
  <c r="G89" i="184"/>
  <c r="I89" i="184" s="1"/>
  <c r="G90" i="184"/>
  <c r="I90" i="184" s="1"/>
  <c r="G91" i="184"/>
  <c r="I91" i="184" s="1"/>
  <c r="G92" i="184"/>
  <c r="I92" i="184" s="1"/>
  <c r="G93" i="184"/>
  <c r="I93" i="184" s="1"/>
  <c r="G94" i="184"/>
  <c r="I94" i="184" s="1"/>
  <c r="G95" i="184"/>
  <c r="I95" i="184" s="1"/>
  <c r="G96" i="184"/>
  <c r="I96" i="184" s="1"/>
  <c r="G97" i="184"/>
  <c r="I97" i="184" s="1"/>
  <c r="G98" i="184"/>
  <c r="I98" i="184" s="1"/>
  <c r="G99" i="184"/>
  <c r="I99" i="184" s="1"/>
  <c r="G100" i="184"/>
  <c r="I100" i="184" s="1"/>
  <c r="G57" i="184"/>
  <c r="M149" i="184"/>
  <c r="H149" i="184"/>
  <c r="D148" i="184"/>
  <c r="C148" i="184"/>
  <c r="B148" i="184"/>
  <c r="D147" i="184"/>
  <c r="C147" i="184"/>
  <c r="B147" i="184"/>
  <c r="D146" i="184"/>
  <c r="C146" i="184"/>
  <c r="B146" i="184"/>
  <c r="D145" i="184"/>
  <c r="C145" i="184"/>
  <c r="B145" i="184"/>
  <c r="D144" i="184"/>
  <c r="C144" i="184"/>
  <c r="B144" i="184"/>
  <c r="D143" i="184"/>
  <c r="C143" i="184"/>
  <c r="B143" i="184"/>
  <c r="D142" i="184"/>
  <c r="C142" i="184"/>
  <c r="B142" i="184"/>
  <c r="D141" i="184"/>
  <c r="C141" i="184"/>
  <c r="B141" i="184"/>
  <c r="D140" i="184"/>
  <c r="C140" i="184"/>
  <c r="B140" i="184"/>
  <c r="D139" i="184"/>
  <c r="C139" i="184"/>
  <c r="B139" i="184"/>
  <c r="D138" i="184"/>
  <c r="C138" i="184"/>
  <c r="B138" i="184"/>
  <c r="D137" i="184"/>
  <c r="C137" i="184"/>
  <c r="B137" i="184"/>
  <c r="D136" i="184"/>
  <c r="C136" i="184"/>
  <c r="B136" i="184"/>
  <c r="D135" i="184"/>
  <c r="C135" i="184"/>
  <c r="B135" i="184"/>
  <c r="D134" i="184"/>
  <c r="C134" i="184"/>
  <c r="B134" i="184"/>
  <c r="D133" i="184"/>
  <c r="C133" i="184"/>
  <c r="B133" i="184"/>
  <c r="D132" i="184"/>
  <c r="C132" i="184"/>
  <c r="B132" i="184"/>
  <c r="D131" i="184"/>
  <c r="C131" i="184"/>
  <c r="B131" i="184"/>
  <c r="D130" i="184"/>
  <c r="C130" i="184"/>
  <c r="B130" i="184"/>
  <c r="D129" i="184"/>
  <c r="C129" i="184"/>
  <c r="B129" i="184"/>
  <c r="D128" i="184"/>
  <c r="C128" i="184"/>
  <c r="B128" i="184"/>
  <c r="D127" i="184"/>
  <c r="C127" i="184"/>
  <c r="B127" i="184"/>
  <c r="D126" i="184"/>
  <c r="C126" i="184"/>
  <c r="B126" i="184"/>
  <c r="D125" i="184"/>
  <c r="C125" i="184"/>
  <c r="B125" i="184"/>
  <c r="D124" i="184"/>
  <c r="C124" i="184"/>
  <c r="B124" i="184"/>
  <c r="D123" i="184"/>
  <c r="C123" i="184"/>
  <c r="B123" i="184"/>
  <c r="D122" i="184"/>
  <c r="C122" i="184"/>
  <c r="B122" i="184"/>
  <c r="D121" i="184"/>
  <c r="C121" i="184"/>
  <c r="B121" i="184"/>
  <c r="D120" i="184"/>
  <c r="C120" i="184"/>
  <c r="B120" i="184"/>
  <c r="D119" i="184"/>
  <c r="C119" i="184"/>
  <c r="B119" i="184"/>
  <c r="D118" i="184"/>
  <c r="C118" i="184"/>
  <c r="B118" i="184"/>
  <c r="D117" i="184"/>
  <c r="C117" i="184"/>
  <c r="B117" i="184"/>
  <c r="D116" i="184"/>
  <c r="C116" i="184"/>
  <c r="B116" i="184"/>
  <c r="D115" i="184"/>
  <c r="C115" i="184"/>
  <c r="B115" i="184"/>
  <c r="D114" i="184"/>
  <c r="C114" i="184"/>
  <c r="B114" i="184"/>
  <c r="D113" i="184"/>
  <c r="C113" i="184"/>
  <c r="B113" i="184"/>
  <c r="D112" i="184"/>
  <c r="C112" i="184"/>
  <c r="B112" i="184"/>
  <c r="D111" i="184"/>
  <c r="C111" i="184"/>
  <c r="B111" i="184"/>
  <c r="D110" i="184"/>
  <c r="C110" i="184"/>
  <c r="B110" i="184"/>
  <c r="D109" i="184"/>
  <c r="C109" i="184"/>
  <c r="B109" i="184"/>
  <c r="D108" i="184"/>
  <c r="C108" i="184"/>
  <c r="B108" i="184"/>
  <c r="D107" i="184"/>
  <c r="C107" i="184"/>
  <c r="B107" i="184"/>
  <c r="D106" i="184"/>
  <c r="C106" i="184"/>
  <c r="B106" i="184"/>
  <c r="A106" i="184"/>
  <c r="A107" i="184" s="1"/>
  <c r="A108" i="184" s="1"/>
  <c r="A109" i="184" s="1"/>
  <c r="A110" i="184" s="1"/>
  <c r="A111" i="184" s="1"/>
  <c r="A112" i="184" s="1"/>
  <c r="A113" i="184" s="1"/>
  <c r="A114" i="184" s="1"/>
  <c r="A115" i="184" s="1"/>
  <c r="A116" i="184" s="1"/>
  <c r="A117" i="184" s="1"/>
  <c r="A118" i="184" s="1"/>
  <c r="A119" i="184" s="1"/>
  <c r="A120" i="184" s="1"/>
  <c r="A121" i="184" s="1"/>
  <c r="A122" i="184" s="1"/>
  <c r="A123" i="184" s="1"/>
  <c r="A124" i="184" s="1"/>
  <c r="A125" i="184" s="1"/>
  <c r="A126" i="184" s="1"/>
  <c r="A127" i="184" s="1"/>
  <c r="A128" i="184" s="1"/>
  <c r="A129" i="184" s="1"/>
  <c r="A130" i="184" s="1"/>
  <c r="A131" i="184" s="1"/>
  <c r="A132" i="184" s="1"/>
  <c r="A133" i="184" s="1"/>
  <c r="A134" i="184" s="1"/>
  <c r="A135" i="184" s="1"/>
  <c r="A136" i="184" s="1"/>
  <c r="A137" i="184" s="1"/>
  <c r="A138" i="184" s="1"/>
  <c r="A139" i="184" s="1"/>
  <c r="A140" i="184" s="1"/>
  <c r="A141" i="184" s="1"/>
  <c r="A142" i="184" s="1"/>
  <c r="A143" i="184" s="1"/>
  <c r="A144" i="184" s="1"/>
  <c r="A145" i="184" s="1"/>
  <c r="A146" i="184" s="1"/>
  <c r="A147" i="184" s="1"/>
  <c r="A148" i="184" s="1"/>
  <c r="N103" i="184"/>
  <c r="J103" i="184"/>
  <c r="H103" i="184"/>
  <c r="J102" i="184"/>
  <c r="H102" i="184"/>
  <c r="J101" i="184"/>
  <c r="D100" i="184"/>
  <c r="C100" i="184"/>
  <c r="B100" i="184"/>
  <c r="D99" i="184"/>
  <c r="C99" i="184"/>
  <c r="B99" i="184"/>
  <c r="D98" i="184"/>
  <c r="C98" i="184"/>
  <c r="B98" i="184"/>
  <c r="D97" i="184"/>
  <c r="C97" i="184"/>
  <c r="B97" i="184"/>
  <c r="D96" i="184"/>
  <c r="C96" i="184"/>
  <c r="B96" i="184"/>
  <c r="D95" i="184"/>
  <c r="C95" i="184"/>
  <c r="B95" i="184"/>
  <c r="D94" i="184"/>
  <c r="C94" i="184"/>
  <c r="B94" i="184"/>
  <c r="D93" i="184"/>
  <c r="C93" i="184"/>
  <c r="B93" i="184"/>
  <c r="D92" i="184"/>
  <c r="C92" i="184"/>
  <c r="B92" i="184"/>
  <c r="D91" i="184"/>
  <c r="C91" i="184"/>
  <c r="B91" i="184"/>
  <c r="D90" i="184"/>
  <c r="C90" i="184"/>
  <c r="B90" i="184"/>
  <c r="D89" i="184"/>
  <c r="C89" i="184"/>
  <c r="B89" i="184"/>
  <c r="D88" i="184"/>
  <c r="C88" i="184"/>
  <c r="B88" i="184"/>
  <c r="D87" i="184"/>
  <c r="C87" i="184"/>
  <c r="B87" i="184"/>
  <c r="D86" i="184"/>
  <c r="C86" i="184"/>
  <c r="B86" i="184"/>
  <c r="D85" i="184"/>
  <c r="C85" i="184"/>
  <c r="B85" i="184"/>
  <c r="D84" i="184"/>
  <c r="C84" i="184"/>
  <c r="B84" i="184"/>
  <c r="D83" i="184"/>
  <c r="C83" i="184"/>
  <c r="B83" i="184"/>
  <c r="D82" i="184"/>
  <c r="C82" i="184"/>
  <c r="B82" i="184"/>
  <c r="D81" i="184"/>
  <c r="C81" i="184"/>
  <c r="B81" i="184"/>
  <c r="D80" i="184"/>
  <c r="C80" i="184"/>
  <c r="B80" i="184"/>
  <c r="D79" i="184"/>
  <c r="C79" i="184"/>
  <c r="B79" i="184"/>
  <c r="D78" i="184"/>
  <c r="C78" i="184"/>
  <c r="B78" i="184"/>
  <c r="D77" i="184"/>
  <c r="C77" i="184"/>
  <c r="B77" i="184"/>
  <c r="D76" i="184"/>
  <c r="C76" i="184"/>
  <c r="B76" i="184"/>
  <c r="D75" i="184"/>
  <c r="C75" i="184"/>
  <c r="B75" i="184"/>
  <c r="D74" i="184"/>
  <c r="C74" i="184"/>
  <c r="B74" i="184"/>
  <c r="D73" i="184"/>
  <c r="C73" i="184"/>
  <c r="B73" i="184"/>
  <c r="D72" i="184"/>
  <c r="C72" i="184"/>
  <c r="B72" i="184"/>
  <c r="D71" i="184"/>
  <c r="C71" i="184"/>
  <c r="B71" i="184"/>
  <c r="D70" i="184"/>
  <c r="C70" i="184"/>
  <c r="B70" i="184"/>
  <c r="D69" i="184"/>
  <c r="C69" i="184"/>
  <c r="B69" i="184"/>
  <c r="D68" i="184"/>
  <c r="C68" i="184"/>
  <c r="B68" i="184"/>
  <c r="D67" i="184"/>
  <c r="C67" i="184"/>
  <c r="B67" i="184"/>
  <c r="D66" i="184"/>
  <c r="C66" i="184"/>
  <c r="B66" i="184"/>
  <c r="D65" i="184"/>
  <c r="C65" i="184"/>
  <c r="B65" i="184"/>
  <c r="D64" i="184"/>
  <c r="C64" i="184"/>
  <c r="B64" i="184"/>
  <c r="D63" i="184"/>
  <c r="C63" i="184"/>
  <c r="B63" i="184"/>
  <c r="D62" i="184"/>
  <c r="C62" i="184"/>
  <c r="B62" i="184"/>
  <c r="D61" i="184"/>
  <c r="C61" i="184"/>
  <c r="B61" i="184"/>
  <c r="D60" i="184"/>
  <c r="C60" i="184"/>
  <c r="B60" i="184"/>
  <c r="D59" i="184"/>
  <c r="C59" i="184"/>
  <c r="B59" i="184"/>
  <c r="D58" i="184"/>
  <c r="C58" i="184"/>
  <c r="B58" i="184"/>
  <c r="D57" i="184"/>
  <c r="C57" i="184"/>
  <c r="B57" i="184"/>
  <c r="N54" i="184"/>
  <c r="J54" i="184"/>
  <c r="H54" i="184"/>
  <c r="J53" i="184"/>
  <c r="H53" i="184"/>
  <c r="J52" i="184"/>
  <c r="D21" i="184" a="1"/>
  <c r="D20" i="184" a="1"/>
  <c r="D19" i="184" a="1"/>
  <c r="D14" i="184" a="1"/>
  <c r="D54" i="184" s="1"/>
  <c r="D13" i="184" a="1"/>
  <c r="D102" i="184" s="1"/>
  <c r="D12" i="184" a="1"/>
  <c r="D10" i="184" a="1"/>
  <c r="D8" i="184"/>
  <c r="D7" i="184"/>
  <c r="D6" i="184"/>
  <c r="D5" i="184"/>
  <c r="N3" i="184"/>
  <c r="N1" i="184"/>
  <c r="G107" i="183"/>
  <c r="I107" i="183" s="1"/>
  <c r="G108" i="183"/>
  <c r="I108" i="183" s="1"/>
  <c r="G109" i="183"/>
  <c r="I109" i="183" s="1"/>
  <c r="G110" i="183"/>
  <c r="I110" i="183" s="1"/>
  <c r="G111" i="183"/>
  <c r="I111" i="183" s="1"/>
  <c r="G112" i="183"/>
  <c r="I112" i="183" s="1"/>
  <c r="G113" i="183"/>
  <c r="I113" i="183" s="1"/>
  <c r="G114" i="183"/>
  <c r="I114" i="183" s="1"/>
  <c r="G115" i="183"/>
  <c r="I115" i="183" s="1"/>
  <c r="G116" i="183"/>
  <c r="I116" i="183" s="1"/>
  <c r="G117" i="183"/>
  <c r="I117" i="183" s="1"/>
  <c r="G118" i="183"/>
  <c r="I118" i="183" s="1"/>
  <c r="G119" i="183"/>
  <c r="I119" i="183" s="1"/>
  <c r="G120" i="183"/>
  <c r="I120" i="183" s="1"/>
  <c r="G121" i="183"/>
  <c r="I121" i="183" s="1"/>
  <c r="G122" i="183"/>
  <c r="I122" i="183" s="1"/>
  <c r="G123" i="183"/>
  <c r="I123" i="183" s="1"/>
  <c r="G124" i="183"/>
  <c r="I124" i="183" s="1"/>
  <c r="G125" i="183"/>
  <c r="I125" i="183" s="1"/>
  <c r="G126" i="183"/>
  <c r="I126" i="183" s="1"/>
  <c r="G127" i="183"/>
  <c r="I127" i="183" s="1"/>
  <c r="G128" i="183"/>
  <c r="I128" i="183" s="1"/>
  <c r="G129" i="183"/>
  <c r="I129" i="183" s="1"/>
  <c r="G130" i="183"/>
  <c r="I130" i="183" s="1"/>
  <c r="G131" i="183"/>
  <c r="I131" i="183" s="1"/>
  <c r="G132" i="183"/>
  <c r="I132" i="183" s="1"/>
  <c r="G133" i="183"/>
  <c r="I133" i="183" s="1"/>
  <c r="G134" i="183"/>
  <c r="I134" i="183" s="1"/>
  <c r="G135" i="183"/>
  <c r="I135" i="183" s="1"/>
  <c r="G136" i="183"/>
  <c r="I136" i="183" s="1"/>
  <c r="G137" i="183"/>
  <c r="I137" i="183" s="1"/>
  <c r="G138" i="183"/>
  <c r="I138" i="183" s="1"/>
  <c r="G139" i="183"/>
  <c r="I139" i="183" s="1"/>
  <c r="G140" i="183"/>
  <c r="I140" i="183" s="1"/>
  <c r="G141" i="183"/>
  <c r="I141" i="183" s="1"/>
  <c r="G142" i="183"/>
  <c r="I142" i="183" s="1"/>
  <c r="G143" i="183"/>
  <c r="I143" i="183" s="1"/>
  <c r="G144" i="183"/>
  <c r="I144" i="183" s="1"/>
  <c r="G145" i="183"/>
  <c r="I145" i="183" s="1"/>
  <c r="G146" i="183"/>
  <c r="I146" i="183" s="1"/>
  <c r="G147" i="183"/>
  <c r="I147" i="183" s="1"/>
  <c r="G148" i="183"/>
  <c r="I148" i="183" s="1"/>
  <c r="G106" i="183"/>
  <c r="I106" i="183" s="1"/>
  <c r="G58" i="183"/>
  <c r="I58" i="183" s="1"/>
  <c r="G59" i="183"/>
  <c r="I59" i="183" s="1"/>
  <c r="G60" i="183"/>
  <c r="I60" i="183" s="1"/>
  <c r="G61" i="183"/>
  <c r="I61" i="183" s="1"/>
  <c r="G62" i="183"/>
  <c r="I62" i="183" s="1"/>
  <c r="G63" i="183"/>
  <c r="I63" i="183" s="1"/>
  <c r="G64" i="183"/>
  <c r="I64" i="183" s="1"/>
  <c r="G65" i="183"/>
  <c r="I65" i="183" s="1"/>
  <c r="G66" i="183"/>
  <c r="I66" i="183" s="1"/>
  <c r="G67" i="183"/>
  <c r="I67" i="183" s="1"/>
  <c r="G68" i="183"/>
  <c r="I68" i="183" s="1"/>
  <c r="G69" i="183"/>
  <c r="I69" i="183" s="1"/>
  <c r="G70" i="183"/>
  <c r="I70" i="183" s="1"/>
  <c r="G71" i="183"/>
  <c r="I71" i="183" s="1"/>
  <c r="G72" i="183"/>
  <c r="I72" i="183" s="1"/>
  <c r="G73" i="183"/>
  <c r="I73" i="183" s="1"/>
  <c r="G74" i="183"/>
  <c r="I74" i="183" s="1"/>
  <c r="G75" i="183"/>
  <c r="I75" i="183" s="1"/>
  <c r="G76" i="183"/>
  <c r="I76" i="183" s="1"/>
  <c r="G77" i="183"/>
  <c r="I77" i="183" s="1"/>
  <c r="G78" i="183"/>
  <c r="I78" i="183" s="1"/>
  <c r="G79" i="183"/>
  <c r="I79" i="183" s="1"/>
  <c r="G80" i="183"/>
  <c r="I80" i="183" s="1"/>
  <c r="G81" i="183"/>
  <c r="I81" i="183" s="1"/>
  <c r="G82" i="183"/>
  <c r="I82" i="183" s="1"/>
  <c r="G83" i="183"/>
  <c r="I83" i="183" s="1"/>
  <c r="G84" i="183"/>
  <c r="I84" i="183" s="1"/>
  <c r="G85" i="183"/>
  <c r="I85" i="183" s="1"/>
  <c r="G86" i="183"/>
  <c r="I86" i="183" s="1"/>
  <c r="G87" i="183"/>
  <c r="I87" i="183" s="1"/>
  <c r="G88" i="183"/>
  <c r="I88" i="183" s="1"/>
  <c r="G89" i="183"/>
  <c r="I89" i="183" s="1"/>
  <c r="G90" i="183"/>
  <c r="I90" i="183" s="1"/>
  <c r="G91" i="183"/>
  <c r="I91" i="183" s="1"/>
  <c r="G92" i="183"/>
  <c r="I92" i="183" s="1"/>
  <c r="G93" i="183"/>
  <c r="I93" i="183" s="1"/>
  <c r="G94" i="183"/>
  <c r="I94" i="183" s="1"/>
  <c r="G95" i="183"/>
  <c r="I95" i="183" s="1"/>
  <c r="G96" i="183"/>
  <c r="I96" i="183" s="1"/>
  <c r="G97" i="183"/>
  <c r="I97" i="183" s="1"/>
  <c r="G98" i="183"/>
  <c r="I98" i="183" s="1"/>
  <c r="G99" i="183"/>
  <c r="I99" i="183" s="1"/>
  <c r="G100" i="183"/>
  <c r="I100" i="183" s="1"/>
  <c r="G57" i="183"/>
  <c r="I57" i="183" s="1"/>
  <c r="M149" i="183"/>
  <c r="H149" i="183"/>
  <c r="D148" i="183"/>
  <c r="C148" i="183"/>
  <c r="B148" i="183"/>
  <c r="D147" i="183"/>
  <c r="C147" i="183"/>
  <c r="B147" i="183"/>
  <c r="D146" i="183"/>
  <c r="C146" i="183"/>
  <c r="B146" i="183"/>
  <c r="D145" i="183"/>
  <c r="C145" i="183"/>
  <c r="B145" i="183"/>
  <c r="D144" i="183"/>
  <c r="C144" i="183"/>
  <c r="B144" i="183"/>
  <c r="D143" i="183"/>
  <c r="C143" i="183"/>
  <c r="B143" i="183"/>
  <c r="D142" i="183"/>
  <c r="C142" i="183"/>
  <c r="B142" i="183"/>
  <c r="D141" i="183"/>
  <c r="C141" i="183"/>
  <c r="B141" i="183"/>
  <c r="D140" i="183"/>
  <c r="C140" i="183"/>
  <c r="B140" i="183"/>
  <c r="D139" i="183"/>
  <c r="C139" i="183"/>
  <c r="B139" i="183"/>
  <c r="D138" i="183"/>
  <c r="C138" i="183"/>
  <c r="B138" i="183"/>
  <c r="D137" i="183"/>
  <c r="C137" i="183"/>
  <c r="B137" i="183"/>
  <c r="D136" i="183"/>
  <c r="C136" i="183"/>
  <c r="B136" i="183"/>
  <c r="D135" i="183"/>
  <c r="C135" i="183"/>
  <c r="B135" i="183"/>
  <c r="D134" i="183"/>
  <c r="C134" i="183"/>
  <c r="B134" i="183"/>
  <c r="D133" i="183"/>
  <c r="C133" i="183"/>
  <c r="B133" i="183"/>
  <c r="D132" i="183"/>
  <c r="C132" i="183"/>
  <c r="B132" i="183"/>
  <c r="D131" i="183"/>
  <c r="C131" i="183"/>
  <c r="B131" i="183"/>
  <c r="D130" i="183"/>
  <c r="C130" i="183"/>
  <c r="B130" i="183"/>
  <c r="D129" i="183"/>
  <c r="C129" i="183"/>
  <c r="B129" i="183"/>
  <c r="D128" i="183"/>
  <c r="C128" i="183"/>
  <c r="B128" i="183"/>
  <c r="D127" i="183"/>
  <c r="C127" i="183"/>
  <c r="B127" i="183"/>
  <c r="D126" i="183"/>
  <c r="C126" i="183"/>
  <c r="B126" i="183"/>
  <c r="D125" i="183"/>
  <c r="C125" i="183"/>
  <c r="B125" i="183"/>
  <c r="D124" i="183"/>
  <c r="C124" i="183"/>
  <c r="B124" i="183"/>
  <c r="D123" i="183"/>
  <c r="C123" i="183"/>
  <c r="B123" i="183"/>
  <c r="D122" i="183"/>
  <c r="C122" i="183"/>
  <c r="B122" i="183"/>
  <c r="D121" i="183"/>
  <c r="C121" i="183"/>
  <c r="B121" i="183"/>
  <c r="D120" i="183"/>
  <c r="C120" i="183"/>
  <c r="B120" i="183"/>
  <c r="D119" i="183"/>
  <c r="C119" i="183"/>
  <c r="B119" i="183"/>
  <c r="D118" i="183"/>
  <c r="C118" i="183"/>
  <c r="B118" i="183"/>
  <c r="D117" i="183"/>
  <c r="C117" i="183"/>
  <c r="B117" i="183"/>
  <c r="D116" i="183"/>
  <c r="C116" i="183"/>
  <c r="B116" i="183"/>
  <c r="D115" i="183"/>
  <c r="C115" i="183"/>
  <c r="B115" i="183"/>
  <c r="D114" i="183"/>
  <c r="C114" i="183"/>
  <c r="B114" i="183"/>
  <c r="D113" i="183"/>
  <c r="C113" i="183"/>
  <c r="B113" i="183"/>
  <c r="D112" i="183"/>
  <c r="C112" i="183"/>
  <c r="B112" i="183"/>
  <c r="D111" i="183"/>
  <c r="C111" i="183"/>
  <c r="B111" i="183"/>
  <c r="D110" i="183"/>
  <c r="C110" i="183"/>
  <c r="B110" i="183"/>
  <c r="D109" i="183"/>
  <c r="C109" i="183"/>
  <c r="B109" i="183"/>
  <c r="D108" i="183"/>
  <c r="C108" i="183"/>
  <c r="B108" i="183"/>
  <c r="D107" i="183"/>
  <c r="C107" i="183"/>
  <c r="B107" i="183"/>
  <c r="D106" i="183"/>
  <c r="C106" i="183"/>
  <c r="B106" i="183"/>
  <c r="A106" i="183"/>
  <c r="A107" i="183" s="1"/>
  <c r="A108" i="183" s="1"/>
  <c r="A109" i="183" s="1"/>
  <c r="A110" i="183" s="1"/>
  <c r="A111" i="183" s="1"/>
  <c r="A112" i="183" s="1"/>
  <c r="A113" i="183" s="1"/>
  <c r="A114" i="183" s="1"/>
  <c r="A115" i="183" s="1"/>
  <c r="A116" i="183" s="1"/>
  <c r="A117" i="183" s="1"/>
  <c r="A118" i="183" s="1"/>
  <c r="A119" i="183" s="1"/>
  <c r="A120" i="183" s="1"/>
  <c r="A121" i="183" s="1"/>
  <c r="A122" i="183" s="1"/>
  <c r="A123" i="183" s="1"/>
  <c r="A124" i="183" s="1"/>
  <c r="A125" i="183" s="1"/>
  <c r="A126" i="183" s="1"/>
  <c r="A127" i="183" s="1"/>
  <c r="A128" i="183" s="1"/>
  <c r="A129" i="183" s="1"/>
  <c r="A130" i="183" s="1"/>
  <c r="A131" i="183" s="1"/>
  <c r="A132" i="183" s="1"/>
  <c r="A133" i="183" s="1"/>
  <c r="A134" i="183" s="1"/>
  <c r="A135" i="183" s="1"/>
  <c r="A136" i="183" s="1"/>
  <c r="A137" i="183" s="1"/>
  <c r="A138" i="183" s="1"/>
  <c r="A139" i="183" s="1"/>
  <c r="A140" i="183" s="1"/>
  <c r="A141" i="183" s="1"/>
  <c r="A142" i="183" s="1"/>
  <c r="A143" i="183" s="1"/>
  <c r="A144" i="183" s="1"/>
  <c r="A145" i="183" s="1"/>
  <c r="A146" i="183" s="1"/>
  <c r="A147" i="183" s="1"/>
  <c r="A148" i="183" s="1"/>
  <c r="N103" i="183"/>
  <c r="J103" i="183"/>
  <c r="H103" i="183"/>
  <c r="J102" i="183"/>
  <c r="H102" i="183"/>
  <c r="J101" i="183"/>
  <c r="D100" i="183"/>
  <c r="C100" i="183"/>
  <c r="B100" i="183"/>
  <c r="D99" i="183"/>
  <c r="C99" i="183"/>
  <c r="B99" i="183"/>
  <c r="D98" i="183"/>
  <c r="C98" i="183"/>
  <c r="B98" i="183"/>
  <c r="D97" i="183"/>
  <c r="C97" i="183"/>
  <c r="B97" i="183"/>
  <c r="D96" i="183"/>
  <c r="C96" i="183"/>
  <c r="B96" i="183"/>
  <c r="D95" i="183"/>
  <c r="C95" i="183"/>
  <c r="B95" i="183"/>
  <c r="D94" i="183"/>
  <c r="C94" i="183"/>
  <c r="B94" i="183"/>
  <c r="D93" i="183"/>
  <c r="C93" i="183"/>
  <c r="B93" i="183"/>
  <c r="D92" i="183"/>
  <c r="C92" i="183"/>
  <c r="B92" i="183"/>
  <c r="D91" i="183"/>
  <c r="C91" i="183"/>
  <c r="B91" i="183"/>
  <c r="D90" i="183"/>
  <c r="C90" i="183"/>
  <c r="B90" i="183"/>
  <c r="D89" i="183"/>
  <c r="C89" i="183"/>
  <c r="B89" i="183"/>
  <c r="D88" i="183"/>
  <c r="C88" i="183"/>
  <c r="B88" i="183"/>
  <c r="D87" i="183"/>
  <c r="C87" i="183"/>
  <c r="B87" i="183"/>
  <c r="D86" i="183"/>
  <c r="C86" i="183"/>
  <c r="B86" i="183"/>
  <c r="D85" i="183"/>
  <c r="C85" i="183"/>
  <c r="B85" i="183"/>
  <c r="D84" i="183"/>
  <c r="C84" i="183"/>
  <c r="B84" i="183"/>
  <c r="D83" i="183"/>
  <c r="C83" i="183"/>
  <c r="B83" i="183"/>
  <c r="D82" i="183"/>
  <c r="C82" i="183"/>
  <c r="B82" i="183"/>
  <c r="D81" i="183"/>
  <c r="C81" i="183"/>
  <c r="B81" i="183"/>
  <c r="D80" i="183"/>
  <c r="C80" i="183"/>
  <c r="B80" i="183"/>
  <c r="D79" i="183"/>
  <c r="C79" i="183"/>
  <c r="B79" i="183"/>
  <c r="D78" i="183"/>
  <c r="C78" i="183"/>
  <c r="B78" i="183"/>
  <c r="D77" i="183"/>
  <c r="C77" i="183"/>
  <c r="B77" i="183"/>
  <c r="D76" i="183"/>
  <c r="C76" i="183"/>
  <c r="B76" i="183"/>
  <c r="D75" i="183"/>
  <c r="C75" i="183"/>
  <c r="B75" i="183"/>
  <c r="D74" i="183"/>
  <c r="C74" i="183"/>
  <c r="B74" i="183"/>
  <c r="D73" i="183"/>
  <c r="C73" i="183"/>
  <c r="B73" i="183"/>
  <c r="D72" i="183"/>
  <c r="C72" i="183"/>
  <c r="B72" i="183"/>
  <c r="D71" i="183"/>
  <c r="C71" i="183"/>
  <c r="B71" i="183"/>
  <c r="D70" i="183"/>
  <c r="C70" i="183"/>
  <c r="B70" i="183"/>
  <c r="D69" i="183"/>
  <c r="C69" i="183"/>
  <c r="B69" i="183"/>
  <c r="D68" i="183"/>
  <c r="C68" i="183"/>
  <c r="B68" i="183"/>
  <c r="D67" i="183"/>
  <c r="C67" i="183"/>
  <c r="B67" i="183"/>
  <c r="D66" i="183"/>
  <c r="C66" i="183"/>
  <c r="B66" i="183"/>
  <c r="D65" i="183"/>
  <c r="C65" i="183"/>
  <c r="B65" i="183"/>
  <c r="D64" i="183"/>
  <c r="C64" i="183"/>
  <c r="B64" i="183"/>
  <c r="D63" i="183"/>
  <c r="C63" i="183"/>
  <c r="B63" i="183"/>
  <c r="D62" i="183"/>
  <c r="C62" i="183"/>
  <c r="B62" i="183"/>
  <c r="D61" i="183"/>
  <c r="C61" i="183"/>
  <c r="B61" i="183"/>
  <c r="D60" i="183"/>
  <c r="C60" i="183"/>
  <c r="B60" i="183"/>
  <c r="D59" i="183"/>
  <c r="C59" i="183"/>
  <c r="B59" i="183"/>
  <c r="D58" i="183"/>
  <c r="C58" i="183"/>
  <c r="B58" i="183"/>
  <c r="D57" i="183"/>
  <c r="C57" i="183"/>
  <c r="B57" i="183"/>
  <c r="N54" i="183"/>
  <c r="J54" i="183"/>
  <c r="H54" i="183"/>
  <c r="J53" i="183"/>
  <c r="H53" i="183"/>
  <c r="J52" i="183"/>
  <c r="D21" i="183" a="1"/>
  <c r="D20" i="183" a="1"/>
  <c r="D19" i="183" a="1"/>
  <c r="D14" i="183" a="1"/>
  <c r="D54" i="183" s="1"/>
  <c r="D13" i="183" a="1"/>
  <c r="D102" i="183" s="1"/>
  <c r="D12" i="183" a="1"/>
  <c r="D10" i="183" a="1"/>
  <c r="D8" i="183"/>
  <c r="D7" i="183"/>
  <c r="D6" i="183"/>
  <c r="D5" i="183"/>
  <c r="N3" i="183"/>
  <c r="N1" i="183"/>
  <c r="G107" i="182"/>
  <c r="I107" i="182" s="1"/>
  <c r="G108" i="182"/>
  <c r="I108" i="182" s="1"/>
  <c r="G109" i="182"/>
  <c r="I109" i="182" s="1"/>
  <c r="G110" i="182"/>
  <c r="I110" i="182" s="1"/>
  <c r="G111" i="182"/>
  <c r="I111" i="182" s="1"/>
  <c r="G112" i="182"/>
  <c r="I112" i="182" s="1"/>
  <c r="G113" i="182"/>
  <c r="I113" i="182" s="1"/>
  <c r="G114" i="182"/>
  <c r="I114" i="182" s="1"/>
  <c r="G115" i="182"/>
  <c r="I115" i="182" s="1"/>
  <c r="G116" i="182"/>
  <c r="I116" i="182" s="1"/>
  <c r="G117" i="182"/>
  <c r="I117" i="182" s="1"/>
  <c r="G118" i="182"/>
  <c r="I118" i="182" s="1"/>
  <c r="G119" i="182"/>
  <c r="I119" i="182" s="1"/>
  <c r="G120" i="182"/>
  <c r="I120" i="182" s="1"/>
  <c r="G121" i="182"/>
  <c r="I121" i="182" s="1"/>
  <c r="G122" i="182"/>
  <c r="I122" i="182" s="1"/>
  <c r="G123" i="182"/>
  <c r="I123" i="182" s="1"/>
  <c r="G124" i="182"/>
  <c r="I124" i="182" s="1"/>
  <c r="G125" i="182"/>
  <c r="I125" i="182" s="1"/>
  <c r="G126" i="182"/>
  <c r="I126" i="182" s="1"/>
  <c r="G127" i="182"/>
  <c r="I127" i="182" s="1"/>
  <c r="G128" i="182"/>
  <c r="I128" i="182" s="1"/>
  <c r="G129" i="182"/>
  <c r="I129" i="182" s="1"/>
  <c r="G130" i="182"/>
  <c r="I130" i="182" s="1"/>
  <c r="G131" i="182"/>
  <c r="I131" i="182" s="1"/>
  <c r="G132" i="182"/>
  <c r="I132" i="182" s="1"/>
  <c r="G133" i="182"/>
  <c r="I133" i="182" s="1"/>
  <c r="G134" i="182"/>
  <c r="I134" i="182" s="1"/>
  <c r="G135" i="182"/>
  <c r="I135" i="182" s="1"/>
  <c r="G136" i="182"/>
  <c r="I136" i="182" s="1"/>
  <c r="G137" i="182"/>
  <c r="I137" i="182" s="1"/>
  <c r="G138" i="182"/>
  <c r="I138" i="182" s="1"/>
  <c r="G139" i="182"/>
  <c r="I139" i="182" s="1"/>
  <c r="G140" i="182"/>
  <c r="I140" i="182" s="1"/>
  <c r="G141" i="182"/>
  <c r="I141" i="182" s="1"/>
  <c r="G142" i="182"/>
  <c r="I142" i="182" s="1"/>
  <c r="G143" i="182"/>
  <c r="I143" i="182" s="1"/>
  <c r="G144" i="182"/>
  <c r="I144" i="182" s="1"/>
  <c r="G145" i="182"/>
  <c r="I145" i="182" s="1"/>
  <c r="G146" i="182"/>
  <c r="I146" i="182" s="1"/>
  <c r="G147" i="182"/>
  <c r="I147" i="182" s="1"/>
  <c r="G148" i="182"/>
  <c r="I148" i="182" s="1"/>
  <c r="G106" i="182"/>
  <c r="I106" i="182" s="1"/>
  <c r="G58" i="182"/>
  <c r="I58" i="182" s="1"/>
  <c r="G59" i="182"/>
  <c r="I59" i="182" s="1"/>
  <c r="G60" i="182"/>
  <c r="I60" i="182" s="1"/>
  <c r="G61" i="182"/>
  <c r="I61" i="182" s="1"/>
  <c r="G62" i="182"/>
  <c r="G63" i="182"/>
  <c r="I63" i="182" s="1"/>
  <c r="G64" i="182"/>
  <c r="I64" i="182" s="1"/>
  <c r="G65" i="182"/>
  <c r="I65" i="182" s="1"/>
  <c r="G66" i="182"/>
  <c r="I66" i="182" s="1"/>
  <c r="G67" i="182"/>
  <c r="I67" i="182" s="1"/>
  <c r="G68" i="182"/>
  <c r="I68" i="182" s="1"/>
  <c r="G69" i="182"/>
  <c r="I69" i="182" s="1"/>
  <c r="G70" i="182"/>
  <c r="I70" i="182" s="1"/>
  <c r="G71" i="182"/>
  <c r="I71" i="182" s="1"/>
  <c r="G72" i="182"/>
  <c r="I72" i="182" s="1"/>
  <c r="G73" i="182"/>
  <c r="I73" i="182" s="1"/>
  <c r="G74" i="182"/>
  <c r="I74" i="182" s="1"/>
  <c r="G75" i="182"/>
  <c r="I75" i="182" s="1"/>
  <c r="G76" i="182"/>
  <c r="I76" i="182" s="1"/>
  <c r="G77" i="182"/>
  <c r="I77" i="182" s="1"/>
  <c r="G78" i="182"/>
  <c r="I78" i="182" s="1"/>
  <c r="G79" i="182"/>
  <c r="I79" i="182" s="1"/>
  <c r="G80" i="182"/>
  <c r="I80" i="182" s="1"/>
  <c r="G81" i="182"/>
  <c r="I81" i="182" s="1"/>
  <c r="G82" i="182"/>
  <c r="I82" i="182" s="1"/>
  <c r="G83" i="182"/>
  <c r="I83" i="182" s="1"/>
  <c r="G84" i="182"/>
  <c r="I84" i="182" s="1"/>
  <c r="G85" i="182"/>
  <c r="I85" i="182" s="1"/>
  <c r="G86" i="182"/>
  <c r="I86" i="182" s="1"/>
  <c r="G87" i="182"/>
  <c r="I87" i="182" s="1"/>
  <c r="G88" i="182"/>
  <c r="I88" i="182" s="1"/>
  <c r="G89" i="182"/>
  <c r="I89" i="182" s="1"/>
  <c r="G90" i="182"/>
  <c r="I90" i="182" s="1"/>
  <c r="G91" i="182"/>
  <c r="I91" i="182" s="1"/>
  <c r="G92" i="182"/>
  <c r="I92" i="182" s="1"/>
  <c r="G93" i="182"/>
  <c r="I93" i="182" s="1"/>
  <c r="G94" i="182"/>
  <c r="I94" i="182" s="1"/>
  <c r="G95" i="182"/>
  <c r="I95" i="182" s="1"/>
  <c r="G96" i="182"/>
  <c r="I96" i="182" s="1"/>
  <c r="G97" i="182"/>
  <c r="I97" i="182" s="1"/>
  <c r="G98" i="182"/>
  <c r="I98" i="182" s="1"/>
  <c r="G99" i="182"/>
  <c r="I99" i="182" s="1"/>
  <c r="G100" i="182"/>
  <c r="I100" i="182" s="1"/>
  <c r="G57" i="182"/>
  <c r="M149" i="182"/>
  <c r="H149" i="182"/>
  <c r="D148" i="182"/>
  <c r="C148" i="182"/>
  <c r="B148" i="182"/>
  <c r="D147" i="182"/>
  <c r="C147" i="182"/>
  <c r="B147" i="182"/>
  <c r="D146" i="182"/>
  <c r="C146" i="182"/>
  <c r="B146" i="182"/>
  <c r="D145" i="182"/>
  <c r="C145" i="182"/>
  <c r="B145" i="182"/>
  <c r="D144" i="182"/>
  <c r="C144" i="182"/>
  <c r="B144" i="182"/>
  <c r="D143" i="182"/>
  <c r="C143" i="182"/>
  <c r="B143" i="182"/>
  <c r="D142" i="182"/>
  <c r="C142" i="182"/>
  <c r="B142" i="182"/>
  <c r="D141" i="182"/>
  <c r="C141" i="182"/>
  <c r="B141" i="182"/>
  <c r="D140" i="182"/>
  <c r="C140" i="182"/>
  <c r="B140" i="182"/>
  <c r="D139" i="182"/>
  <c r="C139" i="182"/>
  <c r="B139" i="182"/>
  <c r="D138" i="182"/>
  <c r="C138" i="182"/>
  <c r="B138" i="182"/>
  <c r="D137" i="182"/>
  <c r="C137" i="182"/>
  <c r="B137" i="182"/>
  <c r="D136" i="182"/>
  <c r="C136" i="182"/>
  <c r="B136" i="182"/>
  <c r="D135" i="182"/>
  <c r="C135" i="182"/>
  <c r="B135" i="182"/>
  <c r="D134" i="182"/>
  <c r="C134" i="182"/>
  <c r="B134" i="182"/>
  <c r="D133" i="182"/>
  <c r="C133" i="182"/>
  <c r="B133" i="182"/>
  <c r="D132" i="182"/>
  <c r="C132" i="182"/>
  <c r="B132" i="182"/>
  <c r="D131" i="182"/>
  <c r="C131" i="182"/>
  <c r="B131" i="182"/>
  <c r="D130" i="182"/>
  <c r="C130" i="182"/>
  <c r="B130" i="182"/>
  <c r="D129" i="182"/>
  <c r="C129" i="182"/>
  <c r="B129" i="182"/>
  <c r="D128" i="182"/>
  <c r="C128" i="182"/>
  <c r="B128" i="182"/>
  <c r="D127" i="182"/>
  <c r="C127" i="182"/>
  <c r="B127" i="182"/>
  <c r="D126" i="182"/>
  <c r="C126" i="182"/>
  <c r="B126" i="182"/>
  <c r="D125" i="182"/>
  <c r="C125" i="182"/>
  <c r="B125" i="182"/>
  <c r="D124" i="182"/>
  <c r="C124" i="182"/>
  <c r="B124" i="182"/>
  <c r="D123" i="182"/>
  <c r="C123" i="182"/>
  <c r="B123" i="182"/>
  <c r="D122" i="182"/>
  <c r="C122" i="182"/>
  <c r="B122" i="182"/>
  <c r="D121" i="182"/>
  <c r="C121" i="182"/>
  <c r="B121" i="182"/>
  <c r="D120" i="182"/>
  <c r="C120" i="182"/>
  <c r="B120" i="182"/>
  <c r="D119" i="182"/>
  <c r="C119" i="182"/>
  <c r="B119" i="182"/>
  <c r="D118" i="182"/>
  <c r="C118" i="182"/>
  <c r="B118" i="182"/>
  <c r="D117" i="182"/>
  <c r="C117" i="182"/>
  <c r="B117" i="182"/>
  <c r="D116" i="182"/>
  <c r="C116" i="182"/>
  <c r="B116" i="182"/>
  <c r="D115" i="182"/>
  <c r="C115" i="182"/>
  <c r="B115" i="182"/>
  <c r="D114" i="182"/>
  <c r="C114" i="182"/>
  <c r="B114" i="182"/>
  <c r="D113" i="182"/>
  <c r="C113" i="182"/>
  <c r="B113" i="182"/>
  <c r="D112" i="182"/>
  <c r="C112" i="182"/>
  <c r="B112" i="182"/>
  <c r="D111" i="182"/>
  <c r="C111" i="182"/>
  <c r="B111" i="182"/>
  <c r="D110" i="182"/>
  <c r="C110" i="182"/>
  <c r="B110" i="182"/>
  <c r="D109" i="182"/>
  <c r="C109" i="182"/>
  <c r="B109" i="182"/>
  <c r="D108" i="182"/>
  <c r="C108" i="182"/>
  <c r="B108" i="182"/>
  <c r="D107" i="182"/>
  <c r="C107" i="182"/>
  <c r="B107" i="182"/>
  <c r="D106" i="182"/>
  <c r="C106" i="182"/>
  <c r="B106" i="182"/>
  <c r="A106" i="182"/>
  <c r="A107" i="182" s="1"/>
  <c r="A108" i="182" s="1"/>
  <c r="A109" i="182" s="1"/>
  <c r="A110" i="182" s="1"/>
  <c r="A111" i="182" s="1"/>
  <c r="A112" i="182" s="1"/>
  <c r="A113" i="182" s="1"/>
  <c r="A114" i="182" s="1"/>
  <c r="A115" i="182" s="1"/>
  <c r="A116" i="182" s="1"/>
  <c r="A117" i="182" s="1"/>
  <c r="A118" i="182" s="1"/>
  <c r="A119" i="182" s="1"/>
  <c r="A120" i="182" s="1"/>
  <c r="A121" i="182" s="1"/>
  <c r="A122" i="182" s="1"/>
  <c r="A123" i="182" s="1"/>
  <c r="A124" i="182" s="1"/>
  <c r="A125" i="182" s="1"/>
  <c r="A126" i="182" s="1"/>
  <c r="A127" i="182" s="1"/>
  <c r="A128" i="182" s="1"/>
  <c r="A129" i="182" s="1"/>
  <c r="A130" i="182" s="1"/>
  <c r="A131" i="182" s="1"/>
  <c r="A132" i="182" s="1"/>
  <c r="A133" i="182" s="1"/>
  <c r="A134" i="182" s="1"/>
  <c r="A135" i="182" s="1"/>
  <c r="A136" i="182" s="1"/>
  <c r="A137" i="182" s="1"/>
  <c r="A138" i="182" s="1"/>
  <c r="A139" i="182" s="1"/>
  <c r="A140" i="182" s="1"/>
  <c r="A141" i="182" s="1"/>
  <c r="A142" i="182" s="1"/>
  <c r="A143" i="182" s="1"/>
  <c r="A144" i="182" s="1"/>
  <c r="A145" i="182" s="1"/>
  <c r="A146" i="182" s="1"/>
  <c r="A147" i="182" s="1"/>
  <c r="A148" i="182" s="1"/>
  <c r="N103" i="182"/>
  <c r="J103" i="182"/>
  <c r="H103" i="182"/>
  <c r="J102" i="182"/>
  <c r="H102" i="182"/>
  <c r="J101" i="182"/>
  <c r="D100" i="182"/>
  <c r="C100" i="182"/>
  <c r="B100" i="182"/>
  <c r="D99" i="182"/>
  <c r="C99" i="182"/>
  <c r="B99" i="182"/>
  <c r="D98" i="182"/>
  <c r="C98" i="182"/>
  <c r="B98" i="182"/>
  <c r="D97" i="182"/>
  <c r="C97" i="182"/>
  <c r="B97" i="182"/>
  <c r="D96" i="182"/>
  <c r="C96" i="182"/>
  <c r="B96" i="182"/>
  <c r="D95" i="182"/>
  <c r="C95" i="182"/>
  <c r="B95" i="182"/>
  <c r="D94" i="182"/>
  <c r="C94" i="182"/>
  <c r="B94" i="182"/>
  <c r="D93" i="182"/>
  <c r="C93" i="182"/>
  <c r="B93" i="182"/>
  <c r="D92" i="182"/>
  <c r="C92" i="182"/>
  <c r="B92" i="182"/>
  <c r="D91" i="182"/>
  <c r="C91" i="182"/>
  <c r="B91" i="182"/>
  <c r="D90" i="182"/>
  <c r="C90" i="182"/>
  <c r="B90" i="182"/>
  <c r="D89" i="182"/>
  <c r="C89" i="182"/>
  <c r="B89" i="182"/>
  <c r="D88" i="182"/>
  <c r="C88" i="182"/>
  <c r="B88" i="182"/>
  <c r="D87" i="182"/>
  <c r="C87" i="182"/>
  <c r="B87" i="182"/>
  <c r="D86" i="182"/>
  <c r="C86" i="182"/>
  <c r="B86" i="182"/>
  <c r="D85" i="182"/>
  <c r="C85" i="182"/>
  <c r="B85" i="182"/>
  <c r="D84" i="182"/>
  <c r="C84" i="182"/>
  <c r="B84" i="182"/>
  <c r="D83" i="182"/>
  <c r="C83" i="182"/>
  <c r="B83" i="182"/>
  <c r="D82" i="182"/>
  <c r="C82" i="182"/>
  <c r="B82" i="182"/>
  <c r="D81" i="182"/>
  <c r="C81" i="182"/>
  <c r="B81" i="182"/>
  <c r="D80" i="182"/>
  <c r="C80" i="182"/>
  <c r="B80" i="182"/>
  <c r="D79" i="182"/>
  <c r="C79" i="182"/>
  <c r="B79" i="182"/>
  <c r="D78" i="182"/>
  <c r="C78" i="182"/>
  <c r="B78" i="182"/>
  <c r="D77" i="182"/>
  <c r="C77" i="182"/>
  <c r="B77" i="182"/>
  <c r="D76" i="182"/>
  <c r="C76" i="182"/>
  <c r="B76" i="182"/>
  <c r="D75" i="182"/>
  <c r="C75" i="182"/>
  <c r="B75" i="182"/>
  <c r="D74" i="182"/>
  <c r="C74" i="182"/>
  <c r="B74" i="182"/>
  <c r="D73" i="182"/>
  <c r="C73" i="182"/>
  <c r="B73" i="182"/>
  <c r="D72" i="182"/>
  <c r="C72" i="182"/>
  <c r="B72" i="182"/>
  <c r="D71" i="182"/>
  <c r="C71" i="182"/>
  <c r="B71" i="182"/>
  <c r="D70" i="182"/>
  <c r="C70" i="182"/>
  <c r="B70" i="182"/>
  <c r="D69" i="182"/>
  <c r="C69" i="182"/>
  <c r="B69" i="182"/>
  <c r="D68" i="182"/>
  <c r="C68" i="182"/>
  <c r="B68" i="182"/>
  <c r="D67" i="182"/>
  <c r="C67" i="182"/>
  <c r="B67" i="182"/>
  <c r="D66" i="182"/>
  <c r="C66" i="182"/>
  <c r="B66" i="182"/>
  <c r="D65" i="182"/>
  <c r="C65" i="182"/>
  <c r="B65" i="182"/>
  <c r="D64" i="182"/>
  <c r="C64" i="182"/>
  <c r="B64" i="182"/>
  <c r="D63" i="182"/>
  <c r="C63" i="182"/>
  <c r="B63" i="182"/>
  <c r="D62" i="182"/>
  <c r="C62" i="182"/>
  <c r="B62" i="182"/>
  <c r="D61" i="182"/>
  <c r="C61" i="182"/>
  <c r="B61" i="182"/>
  <c r="D60" i="182"/>
  <c r="C60" i="182"/>
  <c r="B60" i="182"/>
  <c r="D59" i="182"/>
  <c r="C59" i="182"/>
  <c r="B59" i="182"/>
  <c r="D58" i="182"/>
  <c r="C58" i="182"/>
  <c r="B58" i="182"/>
  <c r="D57" i="182"/>
  <c r="C57" i="182"/>
  <c r="B57" i="182"/>
  <c r="N54" i="182"/>
  <c r="J54" i="182"/>
  <c r="H54" i="182"/>
  <c r="J53" i="182"/>
  <c r="H53" i="182"/>
  <c r="J52" i="182"/>
  <c r="D21" i="182" a="1"/>
  <c r="D20" i="182" a="1"/>
  <c r="D19" i="182" a="1"/>
  <c r="D14" i="182" a="1"/>
  <c r="D54" i="182" s="1"/>
  <c r="D13" i="182" a="1"/>
  <c r="D102" i="182" s="1"/>
  <c r="D12" i="182" a="1"/>
  <c r="D10" i="182" a="1"/>
  <c r="D8" i="182"/>
  <c r="D7" i="182"/>
  <c r="D6" i="182"/>
  <c r="D5" i="182"/>
  <c r="N3" i="182"/>
  <c r="N1" i="182"/>
  <c r="G107" i="181"/>
  <c r="I107" i="181" s="1"/>
  <c r="G108" i="181"/>
  <c r="I108" i="181" s="1"/>
  <c r="G109" i="181"/>
  <c r="I109" i="181" s="1"/>
  <c r="G110" i="181"/>
  <c r="I110" i="181" s="1"/>
  <c r="G111" i="181"/>
  <c r="I111" i="181" s="1"/>
  <c r="G112" i="181"/>
  <c r="I112" i="181" s="1"/>
  <c r="G113" i="181"/>
  <c r="I113" i="181" s="1"/>
  <c r="G114" i="181"/>
  <c r="I114" i="181" s="1"/>
  <c r="G115" i="181"/>
  <c r="I115" i="181" s="1"/>
  <c r="G116" i="181"/>
  <c r="I116" i="181" s="1"/>
  <c r="G117" i="181"/>
  <c r="I117" i="181" s="1"/>
  <c r="G118" i="181"/>
  <c r="I118" i="181" s="1"/>
  <c r="G119" i="181"/>
  <c r="I119" i="181" s="1"/>
  <c r="G120" i="181"/>
  <c r="I120" i="181" s="1"/>
  <c r="G121" i="181"/>
  <c r="I121" i="181" s="1"/>
  <c r="G122" i="181"/>
  <c r="I122" i="181" s="1"/>
  <c r="G123" i="181"/>
  <c r="I123" i="181" s="1"/>
  <c r="G124" i="181"/>
  <c r="I124" i="181" s="1"/>
  <c r="G125" i="181"/>
  <c r="I125" i="181" s="1"/>
  <c r="G126" i="181"/>
  <c r="I126" i="181" s="1"/>
  <c r="G127" i="181"/>
  <c r="I127" i="181" s="1"/>
  <c r="G128" i="181"/>
  <c r="I128" i="181" s="1"/>
  <c r="G129" i="181"/>
  <c r="I129" i="181" s="1"/>
  <c r="G130" i="181"/>
  <c r="I130" i="181" s="1"/>
  <c r="G131" i="181"/>
  <c r="I131" i="181" s="1"/>
  <c r="G132" i="181"/>
  <c r="I132" i="181" s="1"/>
  <c r="G133" i="181"/>
  <c r="I133" i="181" s="1"/>
  <c r="G134" i="181"/>
  <c r="I134" i="181" s="1"/>
  <c r="G135" i="181"/>
  <c r="I135" i="181" s="1"/>
  <c r="G136" i="181"/>
  <c r="I136" i="181" s="1"/>
  <c r="G137" i="181"/>
  <c r="I137" i="181" s="1"/>
  <c r="G138" i="181"/>
  <c r="I138" i="181" s="1"/>
  <c r="G139" i="181"/>
  <c r="I139" i="181" s="1"/>
  <c r="G140" i="181"/>
  <c r="I140" i="181" s="1"/>
  <c r="G141" i="181"/>
  <c r="I141" i="181" s="1"/>
  <c r="G142" i="181"/>
  <c r="I142" i="181" s="1"/>
  <c r="G143" i="181"/>
  <c r="I143" i="181" s="1"/>
  <c r="G144" i="181"/>
  <c r="I144" i="181" s="1"/>
  <c r="G145" i="181"/>
  <c r="I145" i="181" s="1"/>
  <c r="G146" i="181"/>
  <c r="I146" i="181" s="1"/>
  <c r="G147" i="181"/>
  <c r="I147" i="181" s="1"/>
  <c r="G148" i="181"/>
  <c r="I148" i="181" s="1"/>
  <c r="G106" i="181"/>
  <c r="I106" i="181" s="1"/>
  <c r="G58" i="181"/>
  <c r="I58" i="181" s="1"/>
  <c r="G59" i="181"/>
  <c r="I59" i="181" s="1"/>
  <c r="G60" i="181"/>
  <c r="I60" i="181" s="1"/>
  <c r="G61" i="181"/>
  <c r="I61" i="181" s="1"/>
  <c r="G62" i="181"/>
  <c r="I62" i="181" s="1"/>
  <c r="G63" i="181"/>
  <c r="I63" i="181" s="1"/>
  <c r="G64" i="181"/>
  <c r="I64" i="181" s="1"/>
  <c r="G65" i="181"/>
  <c r="I65" i="181" s="1"/>
  <c r="G66" i="181"/>
  <c r="I66" i="181" s="1"/>
  <c r="G67" i="181"/>
  <c r="I67" i="181" s="1"/>
  <c r="G68" i="181"/>
  <c r="I68" i="181" s="1"/>
  <c r="G69" i="181"/>
  <c r="I69" i="181" s="1"/>
  <c r="G70" i="181"/>
  <c r="I70" i="181" s="1"/>
  <c r="G71" i="181"/>
  <c r="I71" i="181" s="1"/>
  <c r="G72" i="181"/>
  <c r="I72" i="181" s="1"/>
  <c r="G73" i="181"/>
  <c r="I73" i="181" s="1"/>
  <c r="G74" i="181"/>
  <c r="I74" i="181" s="1"/>
  <c r="G75" i="181"/>
  <c r="I75" i="181" s="1"/>
  <c r="G76" i="181"/>
  <c r="I76" i="181" s="1"/>
  <c r="G77" i="181"/>
  <c r="I77" i="181" s="1"/>
  <c r="G78" i="181"/>
  <c r="I78" i="181" s="1"/>
  <c r="G79" i="181"/>
  <c r="I79" i="181" s="1"/>
  <c r="G80" i="181"/>
  <c r="I80" i="181" s="1"/>
  <c r="G81" i="181"/>
  <c r="I81" i="181" s="1"/>
  <c r="G82" i="181"/>
  <c r="I82" i="181" s="1"/>
  <c r="G83" i="181"/>
  <c r="I83" i="181" s="1"/>
  <c r="G84" i="181"/>
  <c r="I84" i="181" s="1"/>
  <c r="G85" i="181"/>
  <c r="I85" i="181" s="1"/>
  <c r="G86" i="181"/>
  <c r="I86" i="181" s="1"/>
  <c r="G87" i="181"/>
  <c r="I87" i="181" s="1"/>
  <c r="G88" i="181"/>
  <c r="I88" i="181" s="1"/>
  <c r="G89" i="181"/>
  <c r="I89" i="181" s="1"/>
  <c r="G90" i="181"/>
  <c r="I90" i="181" s="1"/>
  <c r="G91" i="181"/>
  <c r="I91" i="181" s="1"/>
  <c r="G92" i="181"/>
  <c r="I92" i="181" s="1"/>
  <c r="G93" i="181"/>
  <c r="I93" i="181" s="1"/>
  <c r="G94" i="181"/>
  <c r="I94" i="181" s="1"/>
  <c r="G95" i="181"/>
  <c r="I95" i="181" s="1"/>
  <c r="G96" i="181"/>
  <c r="I96" i="181" s="1"/>
  <c r="G97" i="181"/>
  <c r="I97" i="181" s="1"/>
  <c r="G98" i="181"/>
  <c r="I98" i="181" s="1"/>
  <c r="G99" i="181"/>
  <c r="I99" i="181" s="1"/>
  <c r="G100" i="181"/>
  <c r="I100" i="181" s="1"/>
  <c r="G57" i="181"/>
  <c r="M149" i="181"/>
  <c r="H149" i="181"/>
  <c r="D148" i="181"/>
  <c r="C148" i="181"/>
  <c r="B148" i="181"/>
  <c r="D147" i="181"/>
  <c r="C147" i="181"/>
  <c r="B147" i="181"/>
  <c r="D146" i="181"/>
  <c r="C146" i="181"/>
  <c r="B146" i="181"/>
  <c r="D145" i="181"/>
  <c r="C145" i="181"/>
  <c r="B145" i="181"/>
  <c r="D144" i="181"/>
  <c r="C144" i="181"/>
  <c r="B144" i="181"/>
  <c r="D143" i="181"/>
  <c r="C143" i="181"/>
  <c r="B143" i="181"/>
  <c r="D142" i="181"/>
  <c r="C142" i="181"/>
  <c r="B142" i="181"/>
  <c r="D141" i="181"/>
  <c r="C141" i="181"/>
  <c r="B141" i="181"/>
  <c r="D140" i="181"/>
  <c r="C140" i="181"/>
  <c r="B140" i="181"/>
  <c r="D139" i="181"/>
  <c r="C139" i="181"/>
  <c r="B139" i="181"/>
  <c r="D138" i="181"/>
  <c r="C138" i="181"/>
  <c r="B138" i="181"/>
  <c r="D137" i="181"/>
  <c r="C137" i="181"/>
  <c r="B137" i="181"/>
  <c r="D136" i="181"/>
  <c r="C136" i="181"/>
  <c r="B136" i="181"/>
  <c r="D135" i="181"/>
  <c r="C135" i="181"/>
  <c r="B135" i="181"/>
  <c r="D134" i="181"/>
  <c r="C134" i="181"/>
  <c r="B134" i="181"/>
  <c r="D133" i="181"/>
  <c r="C133" i="181"/>
  <c r="B133" i="181"/>
  <c r="D132" i="181"/>
  <c r="C132" i="181"/>
  <c r="B132" i="181"/>
  <c r="D131" i="181"/>
  <c r="C131" i="181"/>
  <c r="B131" i="181"/>
  <c r="D130" i="181"/>
  <c r="C130" i="181"/>
  <c r="B130" i="181"/>
  <c r="D129" i="181"/>
  <c r="C129" i="181"/>
  <c r="B129" i="181"/>
  <c r="D128" i="181"/>
  <c r="C128" i="181"/>
  <c r="B128" i="181"/>
  <c r="D127" i="181"/>
  <c r="C127" i="181"/>
  <c r="B127" i="181"/>
  <c r="D126" i="181"/>
  <c r="C126" i="181"/>
  <c r="B126" i="181"/>
  <c r="D125" i="181"/>
  <c r="C125" i="181"/>
  <c r="B125" i="181"/>
  <c r="D124" i="181"/>
  <c r="C124" i="181"/>
  <c r="B124" i="181"/>
  <c r="D123" i="181"/>
  <c r="C123" i="181"/>
  <c r="B123" i="181"/>
  <c r="D122" i="181"/>
  <c r="C122" i="181"/>
  <c r="B122" i="181"/>
  <c r="D121" i="181"/>
  <c r="C121" i="181"/>
  <c r="B121" i="181"/>
  <c r="D120" i="181"/>
  <c r="C120" i="181"/>
  <c r="B120" i="181"/>
  <c r="D119" i="181"/>
  <c r="C119" i="181"/>
  <c r="B119" i="181"/>
  <c r="D118" i="181"/>
  <c r="C118" i="181"/>
  <c r="B118" i="181"/>
  <c r="D117" i="181"/>
  <c r="C117" i="181"/>
  <c r="B117" i="181"/>
  <c r="D116" i="181"/>
  <c r="C116" i="181"/>
  <c r="B116" i="181"/>
  <c r="D115" i="181"/>
  <c r="C115" i="181"/>
  <c r="B115" i="181"/>
  <c r="D114" i="181"/>
  <c r="C114" i="181"/>
  <c r="B114" i="181"/>
  <c r="D113" i="181"/>
  <c r="C113" i="181"/>
  <c r="B113" i="181"/>
  <c r="D112" i="181"/>
  <c r="C112" i="181"/>
  <c r="B112" i="181"/>
  <c r="D111" i="181"/>
  <c r="C111" i="181"/>
  <c r="B111" i="181"/>
  <c r="D110" i="181"/>
  <c r="C110" i="181"/>
  <c r="B110" i="181"/>
  <c r="D109" i="181"/>
  <c r="C109" i="181"/>
  <c r="B109" i="181"/>
  <c r="D108" i="181"/>
  <c r="C108" i="181"/>
  <c r="B108" i="181"/>
  <c r="D107" i="181"/>
  <c r="C107" i="181"/>
  <c r="B107" i="181"/>
  <c r="D106" i="181"/>
  <c r="C106" i="181"/>
  <c r="B106" i="181"/>
  <c r="A106" i="181"/>
  <c r="A107" i="181" s="1"/>
  <c r="A108" i="181" s="1"/>
  <c r="A109" i="181" s="1"/>
  <c r="A110" i="181" s="1"/>
  <c r="A111" i="181" s="1"/>
  <c r="A112" i="181" s="1"/>
  <c r="A113" i="181" s="1"/>
  <c r="A114" i="181" s="1"/>
  <c r="A115" i="181" s="1"/>
  <c r="A116" i="181" s="1"/>
  <c r="A117" i="181" s="1"/>
  <c r="A118" i="181" s="1"/>
  <c r="A119" i="181" s="1"/>
  <c r="A120" i="181" s="1"/>
  <c r="A121" i="181" s="1"/>
  <c r="A122" i="181" s="1"/>
  <c r="A123" i="181" s="1"/>
  <c r="A124" i="181" s="1"/>
  <c r="A125" i="181" s="1"/>
  <c r="A126" i="181" s="1"/>
  <c r="A127" i="181" s="1"/>
  <c r="A128" i="181" s="1"/>
  <c r="A129" i="181" s="1"/>
  <c r="A130" i="181" s="1"/>
  <c r="A131" i="181" s="1"/>
  <c r="A132" i="181" s="1"/>
  <c r="A133" i="181" s="1"/>
  <c r="A134" i="181" s="1"/>
  <c r="A135" i="181" s="1"/>
  <c r="A136" i="181" s="1"/>
  <c r="A137" i="181" s="1"/>
  <c r="A138" i="181" s="1"/>
  <c r="A139" i="181" s="1"/>
  <c r="A140" i="181" s="1"/>
  <c r="A141" i="181" s="1"/>
  <c r="A142" i="181" s="1"/>
  <c r="A143" i="181" s="1"/>
  <c r="A144" i="181" s="1"/>
  <c r="A145" i="181" s="1"/>
  <c r="A146" i="181" s="1"/>
  <c r="A147" i="181" s="1"/>
  <c r="A148" i="181" s="1"/>
  <c r="N103" i="181"/>
  <c r="J103" i="181"/>
  <c r="H103" i="181"/>
  <c r="J102" i="181"/>
  <c r="H102" i="181"/>
  <c r="J101" i="181"/>
  <c r="D100" i="181"/>
  <c r="C100" i="181"/>
  <c r="B100" i="181"/>
  <c r="D99" i="181"/>
  <c r="C99" i="181"/>
  <c r="B99" i="181"/>
  <c r="D98" i="181"/>
  <c r="C98" i="181"/>
  <c r="B98" i="181"/>
  <c r="D97" i="181"/>
  <c r="C97" i="181"/>
  <c r="B97" i="181"/>
  <c r="D96" i="181"/>
  <c r="C96" i="181"/>
  <c r="B96" i="181"/>
  <c r="D95" i="181"/>
  <c r="C95" i="181"/>
  <c r="B95" i="181"/>
  <c r="D94" i="181"/>
  <c r="C94" i="181"/>
  <c r="B94" i="181"/>
  <c r="D93" i="181"/>
  <c r="C93" i="181"/>
  <c r="B93" i="181"/>
  <c r="D92" i="181"/>
  <c r="C92" i="181"/>
  <c r="B92" i="181"/>
  <c r="D91" i="181"/>
  <c r="C91" i="181"/>
  <c r="B91" i="181"/>
  <c r="D90" i="181"/>
  <c r="C90" i="181"/>
  <c r="B90" i="181"/>
  <c r="D89" i="181"/>
  <c r="C89" i="181"/>
  <c r="B89" i="181"/>
  <c r="D88" i="181"/>
  <c r="C88" i="181"/>
  <c r="B88" i="181"/>
  <c r="D87" i="181"/>
  <c r="C87" i="181"/>
  <c r="B87" i="181"/>
  <c r="D86" i="181"/>
  <c r="C86" i="181"/>
  <c r="B86" i="181"/>
  <c r="D85" i="181"/>
  <c r="C85" i="181"/>
  <c r="B85" i="181"/>
  <c r="D84" i="181"/>
  <c r="C84" i="181"/>
  <c r="B84" i="181"/>
  <c r="D83" i="181"/>
  <c r="C83" i="181"/>
  <c r="B83" i="181"/>
  <c r="D82" i="181"/>
  <c r="C82" i="181"/>
  <c r="B82" i="181"/>
  <c r="D81" i="181"/>
  <c r="C81" i="181"/>
  <c r="B81" i="181"/>
  <c r="D80" i="181"/>
  <c r="C80" i="181"/>
  <c r="B80" i="181"/>
  <c r="D79" i="181"/>
  <c r="C79" i="181"/>
  <c r="B79" i="181"/>
  <c r="D78" i="181"/>
  <c r="C78" i="181"/>
  <c r="B78" i="181"/>
  <c r="D77" i="181"/>
  <c r="C77" i="181"/>
  <c r="B77" i="181"/>
  <c r="D76" i="181"/>
  <c r="C76" i="181"/>
  <c r="B76" i="181"/>
  <c r="D75" i="181"/>
  <c r="C75" i="181"/>
  <c r="B75" i="181"/>
  <c r="D74" i="181"/>
  <c r="C74" i="181"/>
  <c r="B74" i="181"/>
  <c r="D73" i="181"/>
  <c r="C73" i="181"/>
  <c r="B73" i="181"/>
  <c r="D72" i="181"/>
  <c r="C72" i="181"/>
  <c r="B72" i="181"/>
  <c r="D71" i="181"/>
  <c r="C71" i="181"/>
  <c r="B71" i="181"/>
  <c r="D70" i="181"/>
  <c r="C70" i="181"/>
  <c r="B70" i="181"/>
  <c r="D69" i="181"/>
  <c r="C69" i="181"/>
  <c r="B69" i="181"/>
  <c r="D68" i="181"/>
  <c r="C68" i="181"/>
  <c r="B68" i="181"/>
  <c r="D67" i="181"/>
  <c r="C67" i="181"/>
  <c r="B67" i="181"/>
  <c r="D66" i="181"/>
  <c r="C66" i="181"/>
  <c r="B66" i="181"/>
  <c r="D65" i="181"/>
  <c r="C65" i="181"/>
  <c r="B65" i="181"/>
  <c r="D64" i="181"/>
  <c r="C64" i="181"/>
  <c r="B64" i="181"/>
  <c r="D63" i="181"/>
  <c r="C63" i="181"/>
  <c r="B63" i="181"/>
  <c r="D62" i="181"/>
  <c r="C62" i="181"/>
  <c r="B62" i="181"/>
  <c r="D61" i="181"/>
  <c r="C61" i="181"/>
  <c r="B61" i="181"/>
  <c r="D60" i="181"/>
  <c r="C60" i="181"/>
  <c r="B60" i="181"/>
  <c r="D59" i="181"/>
  <c r="C59" i="181"/>
  <c r="B59" i="181"/>
  <c r="D58" i="181"/>
  <c r="C58" i="181"/>
  <c r="B58" i="181"/>
  <c r="D57" i="181"/>
  <c r="C57" i="181"/>
  <c r="B57" i="181"/>
  <c r="N54" i="181"/>
  <c r="J54" i="181"/>
  <c r="H54" i="181"/>
  <c r="J53" i="181"/>
  <c r="H53" i="181"/>
  <c r="J52" i="181"/>
  <c r="D21" i="181" a="1"/>
  <c r="D20" i="181" a="1"/>
  <c r="D19" i="181" a="1"/>
  <c r="D14" i="181" a="1"/>
  <c r="D13" i="181" a="1"/>
  <c r="D102" i="181" s="1"/>
  <c r="D12" i="181" a="1"/>
  <c r="D101" i="181" s="1"/>
  <c r="D10" i="181" a="1"/>
  <c r="D8" i="181"/>
  <c r="D7" i="181"/>
  <c r="D6" i="181"/>
  <c r="D5" i="181"/>
  <c r="N3" i="181"/>
  <c r="N1" i="181"/>
  <c r="G107" i="180"/>
  <c r="I107" i="180" s="1"/>
  <c r="G108" i="180"/>
  <c r="I108" i="180" s="1"/>
  <c r="G109" i="180"/>
  <c r="I109" i="180" s="1"/>
  <c r="G110" i="180"/>
  <c r="I110" i="180" s="1"/>
  <c r="G111" i="180"/>
  <c r="I111" i="180" s="1"/>
  <c r="G112" i="180"/>
  <c r="I112" i="180" s="1"/>
  <c r="G113" i="180"/>
  <c r="I113" i="180" s="1"/>
  <c r="G114" i="180"/>
  <c r="I114" i="180" s="1"/>
  <c r="G115" i="180"/>
  <c r="I115" i="180" s="1"/>
  <c r="G116" i="180"/>
  <c r="I116" i="180" s="1"/>
  <c r="G117" i="180"/>
  <c r="I117" i="180" s="1"/>
  <c r="G118" i="180"/>
  <c r="I118" i="180" s="1"/>
  <c r="G119" i="180"/>
  <c r="I119" i="180" s="1"/>
  <c r="G120" i="180"/>
  <c r="I120" i="180" s="1"/>
  <c r="G121" i="180"/>
  <c r="I121" i="180" s="1"/>
  <c r="G122" i="180"/>
  <c r="I122" i="180" s="1"/>
  <c r="G123" i="180"/>
  <c r="I123" i="180" s="1"/>
  <c r="G124" i="180"/>
  <c r="I124" i="180" s="1"/>
  <c r="G125" i="180"/>
  <c r="I125" i="180" s="1"/>
  <c r="G126" i="180"/>
  <c r="I126" i="180" s="1"/>
  <c r="G127" i="180"/>
  <c r="I127" i="180" s="1"/>
  <c r="G128" i="180"/>
  <c r="I128" i="180" s="1"/>
  <c r="G129" i="180"/>
  <c r="I129" i="180" s="1"/>
  <c r="G130" i="180"/>
  <c r="I130" i="180" s="1"/>
  <c r="G131" i="180"/>
  <c r="I131" i="180" s="1"/>
  <c r="G132" i="180"/>
  <c r="I132" i="180" s="1"/>
  <c r="G133" i="180"/>
  <c r="I133" i="180" s="1"/>
  <c r="G134" i="180"/>
  <c r="I134" i="180" s="1"/>
  <c r="G135" i="180"/>
  <c r="I135" i="180" s="1"/>
  <c r="G136" i="180"/>
  <c r="I136" i="180" s="1"/>
  <c r="G137" i="180"/>
  <c r="I137" i="180" s="1"/>
  <c r="G138" i="180"/>
  <c r="I138" i="180" s="1"/>
  <c r="G139" i="180"/>
  <c r="I139" i="180" s="1"/>
  <c r="G140" i="180"/>
  <c r="I140" i="180" s="1"/>
  <c r="G141" i="180"/>
  <c r="I141" i="180" s="1"/>
  <c r="G142" i="180"/>
  <c r="I142" i="180" s="1"/>
  <c r="G143" i="180"/>
  <c r="I143" i="180" s="1"/>
  <c r="G144" i="180"/>
  <c r="I144" i="180" s="1"/>
  <c r="G145" i="180"/>
  <c r="I145" i="180" s="1"/>
  <c r="G146" i="180"/>
  <c r="I146" i="180" s="1"/>
  <c r="G147" i="180"/>
  <c r="I147" i="180" s="1"/>
  <c r="G148" i="180"/>
  <c r="I148" i="180" s="1"/>
  <c r="G106" i="180"/>
  <c r="I106" i="180" s="1"/>
  <c r="G58" i="180"/>
  <c r="I58" i="180" s="1"/>
  <c r="G59" i="180"/>
  <c r="I59" i="180" s="1"/>
  <c r="G60" i="180"/>
  <c r="I60" i="180" s="1"/>
  <c r="G61" i="180"/>
  <c r="I61" i="180" s="1"/>
  <c r="G62" i="180"/>
  <c r="G63" i="180"/>
  <c r="I63" i="180" s="1"/>
  <c r="G64" i="180"/>
  <c r="I64" i="180" s="1"/>
  <c r="G65" i="180"/>
  <c r="I65" i="180" s="1"/>
  <c r="G66" i="180"/>
  <c r="I66" i="180" s="1"/>
  <c r="G67" i="180"/>
  <c r="I67" i="180" s="1"/>
  <c r="G68" i="180"/>
  <c r="I68" i="180" s="1"/>
  <c r="G69" i="180"/>
  <c r="I69" i="180" s="1"/>
  <c r="G70" i="180"/>
  <c r="I70" i="180" s="1"/>
  <c r="G71" i="180"/>
  <c r="I71" i="180" s="1"/>
  <c r="G72" i="180"/>
  <c r="I72" i="180" s="1"/>
  <c r="G73" i="180"/>
  <c r="I73" i="180" s="1"/>
  <c r="G74" i="180"/>
  <c r="I74" i="180" s="1"/>
  <c r="G75" i="180"/>
  <c r="I75" i="180" s="1"/>
  <c r="G76" i="180"/>
  <c r="I76" i="180" s="1"/>
  <c r="G77" i="180"/>
  <c r="I77" i="180" s="1"/>
  <c r="G78" i="180"/>
  <c r="I78" i="180" s="1"/>
  <c r="G79" i="180"/>
  <c r="I79" i="180" s="1"/>
  <c r="G80" i="180"/>
  <c r="I80" i="180" s="1"/>
  <c r="G81" i="180"/>
  <c r="I81" i="180" s="1"/>
  <c r="G82" i="180"/>
  <c r="I82" i="180" s="1"/>
  <c r="G83" i="180"/>
  <c r="I83" i="180" s="1"/>
  <c r="G84" i="180"/>
  <c r="I84" i="180" s="1"/>
  <c r="G85" i="180"/>
  <c r="I85" i="180" s="1"/>
  <c r="G86" i="180"/>
  <c r="I86" i="180" s="1"/>
  <c r="G87" i="180"/>
  <c r="I87" i="180" s="1"/>
  <c r="G88" i="180"/>
  <c r="I88" i="180" s="1"/>
  <c r="G89" i="180"/>
  <c r="I89" i="180" s="1"/>
  <c r="G90" i="180"/>
  <c r="I90" i="180" s="1"/>
  <c r="G91" i="180"/>
  <c r="I91" i="180" s="1"/>
  <c r="G92" i="180"/>
  <c r="I92" i="180" s="1"/>
  <c r="G93" i="180"/>
  <c r="I93" i="180" s="1"/>
  <c r="G94" i="180"/>
  <c r="I94" i="180" s="1"/>
  <c r="G95" i="180"/>
  <c r="I95" i="180" s="1"/>
  <c r="G96" i="180"/>
  <c r="I96" i="180" s="1"/>
  <c r="G97" i="180"/>
  <c r="I97" i="180" s="1"/>
  <c r="G98" i="180"/>
  <c r="I98" i="180" s="1"/>
  <c r="G99" i="180"/>
  <c r="I99" i="180" s="1"/>
  <c r="G100" i="180"/>
  <c r="I100" i="180" s="1"/>
  <c r="G57" i="180"/>
  <c r="M149" i="180"/>
  <c r="H149" i="180"/>
  <c r="D148" i="180"/>
  <c r="C148" i="180"/>
  <c r="B148" i="180"/>
  <c r="D147" i="180"/>
  <c r="C147" i="180"/>
  <c r="B147" i="180"/>
  <c r="D146" i="180"/>
  <c r="C146" i="180"/>
  <c r="B146" i="180"/>
  <c r="D145" i="180"/>
  <c r="C145" i="180"/>
  <c r="B145" i="180"/>
  <c r="D144" i="180"/>
  <c r="C144" i="180"/>
  <c r="B144" i="180"/>
  <c r="D143" i="180"/>
  <c r="C143" i="180"/>
  <c r="B143" i="180"/>
  <c r="D142" i="180"/>
  <c r="C142" i="180"/>
  <c r="B142" i="180"/>
  <c r="D141" i="180"/>
  <c r="C141" i="180"/>
  <c r="B141" i="180"/>
  <c r="D140" i="180"/>
  <c r="C140" i="180"/>
  <c r="B140" i="180"/>
  <c r="D139" i="180"/>
  <c r="C139" i="180"/>
  <c r="B139" i="180"/>
  <c r="D138" i="180"/>
  <c r="C138" i="180"/>
  <c r="B138" i="180"/>
  <c r="D137" i="180"/>
  <c r="C137" i="180"/>
  <c r="B137" i="180"/>
  <c r="D136" i="180"/>
  <c r="C136" i="180"/>
  <c r="B136" i="180"/>
  <c r="D135" i="180"/>
  <c r="C135" i="180"/>
  <c r="B135" i="180"/>
  <c r="D134" i="180"/>
  <c r="C134" i="180"/>
  <c r="B134" i="180"/>
  <c r="D133" i="180"/>
  <c r="C133" i="180"/>
  <c r="B133" i="180"/>
  <c r="D132" i="180"/>
  <c r="C132" i="180"/>
  <c r="B132" i="180"/>
  <c r="D131" i="180"/>
  <c r="C131" i="180"/>
  <c r="B131" i="180"/>
  <c r="D130" i="180"/>
  <c r="C130" i="180"/>
  <c r="B130" i="180"/>
  <c r="D129" i="180"/>
  <c r="C129" i="180"/>
  <c r="B129" i="180"/>
  <c r="D128" i="180"/>
  <c r="C128" i="180"/>
  <c r="B128" i="180"/>
  <c r="D127" i="180"/>
  <c r="C127" i="180"/>
  <c r="B127" i="180"/>
  <c r="D126" i="180"/>
  <c r="C126" i="180"/>
  <c r="B126" i="180"/>
  <c r="D125" i="180"/>
  <c r="C125" i="180"/>
  <c r="B125" i="180"/>
  <c r="D124" i="180"/>
  <c r="C124" i="180"/>
  <c r="B124" i="180"/>
  <c r="D123" i="180"/>
  <c r="C123" i="180"/>
  <c r="B123" i="180"/>
  <c r="D122" i="180"/>
  <c r="C122" i="180"/>
  <c r="B122" i="180"/>
  <c r="D121" i="180"/>
  <c r="C121" i="180"/>
  <c r="B121" i="180"/>
  <c r="D120" i="180"/>
  <c r="C120" i="180"/>
  <c r="B120" i="180"/>
  <c r="D119" i="180"/>
  <c r="C119" i="180"/>
  <c r="B119" i="180"/>
  <c r="D118" i="180"/>
  <c r="C118" i="180"/>
  <c r="B118" i="180"/>
  <c r="D117" i="180"/>
  <c r="C117" i="180"/>
  <c r="B117" i="180"/>
  <c r="D116" i="180"/>
  <c r="C116" i="180"/>
  <c r="B116" i="180"/>
  <c r="D115" i="180"/>
  <c r="C115" i="180"/>
  <c r="B115" i="180"/>
  <c r="D114" i="180"/>
  <c r="C114" i="180"/>
  <c r="B114" i="180"/>
  <c r="D113" i="180"/>
  <c r="C113" i="180"/>
  <c r="B113" i="180"/>
  <c r="D112" i="180"/>
  <c r="C112" i="180"/>
  <c r="B112" i="180"/>
  <c r="D111" i="180"/>
  <c r="C111" i="180"/>
  <c r="B111" i="180"/>
  <c r="D110" i="180"/>
  <c r="C110" i="180"/>
  <c r="B110" i="180"/>
  <c r="D109" i="180"/>
  <c r="C109" i="180"/>
  <c r="B109" i="180"/>
  <c r="D108" i="180"/>
  <c r="C108" i="180"/>
  <c r="B108" i="180"/>
  <c r="D107" i="180"/>
  <c r="C107" i="180"/>
  <c r="B107" i="180"/>
  <c r="D106" i="180"/>
  <c r="C106" i="180"/>
  <c r="B106" i="180"/>
  <c r="A106" i="180"/>
  <c r="A107" i="180" s="1"/>
  <c r="A108" i="180" s="1"/>
  <c r="A109" i="180" s="1"/>
  <c r="A110" i="180" s="1"/>
  <c r="A111" i="180" s="1"/>
  <c r="A112" i="180" s="1"/>
  <c r="A113" i="180" s="1"/>
  <c r="A114" i="180" s="1"/>
  <c r="A115" i="180" s="1"/>
  <c r="A116" i="180" s="1"/>
  <c r="A117" i="180" s="1"/>
  <c r="A118" i="180" s="1"/>
  <c r="A119" i="180" s="1"/>
  <c r="A120" i="180" s="1"/>
  <c r="A121" i="180" s="1"/>
  <c r="A122" i="180" s="1"/>
  <c r="A123" i="180" s="1"/>
  <c r="A124" i="180" s="1"/>
  <c r="A125" i="180" s="1"/>
  <c r="A126" i="180" s="1"/>
  <c r="A127" i="180" s="1"/>
  <c r="A128" i="180" s="1"/>
  <c r="A129" i="180" s="1"/>
  <c r="A130" i="180" s="1"/>
  <c r="A131" i="180" s="1"/>
  <c r="A132" i="180" s="1"/>
  <c r="A133" i="180" s="1"/>
  <c r="A134" i="180" s="1"/>
  <c r="A135" i="180" s="1"/>
  <c r="A136" i="180" s="1"/>
  <c r="A137" i="180" s="1"/>
  <c r="A138" i="180" s="1"/>
  <c r="A139" i="180" s="1"/>
  <c r="A140" i="180" s="1"/>
  <c r="A141" i="180" s="1"/>
  <c r="A142" i="180" s="1"/>
  <c r="A143" i="180" s="1"/>
  <c r="A144" i="180" s="1"/>
  <c r="A145" i="180" s="1"/>
  <c r="A146" i="180" s="1"/>
  <c r="A147" i="180" s="1"/>
  <c r="A148" i="180" s="1"/>
  <c r="N103" i="180"/>
  <c r="J103" i="180"/>
  <c r="H103" i="180"/>
  <c r="J102" i="180"/>
  <c r="H102" i="180"/>
  <c r="J101" i="180"/>
  <c r="D100" i="180"/>
  <c r="C100" i="180"/>
  <c r="B100" i="180"/>
  <c r="D99" i="180"/>
  <c r="C99" i="180"/>
  <c r="B99" i="180"/>
  <c r="D98" i="180"/>
  <c r="C98" i="180"/>
  <c r="B98" i="180"/>
  <c r="D97" i="180"/>
  <c r="C97" i="180"/>
  <c r="B97" i="180"/>
  <c r="D96" i="180"/>
  <c r="C96" i="180"/>
  <c r="B96" i="180"/>
  <c r="D95" i="180"/>
  <c r="C95" i="180"/>
  <c r="B95" i="180"/>
  <c r="D94" i="180"/>
  <c r="C94" i="180"/>
  <c r="B94" i="180"/>
  <c r="D93" i="180"/>
  <c r="C93" i="180"/>
  <c r="B93" i="180"/>
  <c r="D92" i="180"/>
  <c r="C92" i="180"/>
  <c r="B92" i="180"/>
  <c r="D91" i="180"/>
  <c r="C91" i="180"/>
  <c r="B91" i="180"/>
  <c r="D90" i="180"/>
  <c r="C90" i="180"/>
  <c r="B90" i="180"/>
  <c r="D89" i="180"/>
  <c r="C89" i="180"/>
  <c r="B89" i="180"/>
  <c r="D88" i="180"/>
  <c r="C88" i="180"/>
  <c r="B88" i="180"/>
  <c r="D87" i="180"/>
  <c r="C87" i="180"/>
  <c r="B87" i="180"/>
  <c r="D86" i="180"/>
  <c r="C86" i="180"/>
  <c r="B86" i="180"/>
  <c r="D85" i="180"/>
  <c r="C85" i="180"/>
  <c r="B85" i="180"/>
  <c r="D84" i="180"/>
  <c r="C84" i="180"/>
  <c r="B84" i="180"/>
  <c r="D83" i="180"/>
  <c r="C83" i="180"/>
  <c r="B83" i="180"/>
  <c r="D82" i="180"/>
  <c r="C82" i="180"/>
  <c r="B82" i="180"/>
  <c r="D81" i="180"/>
  <c r="C81" i="180"/>
  <c r="B81" i="180"/>
  <c r="D80" i="180"/>
  <c r="C80" i="180"/>
  <c r="B80" i="180"/>
  <c r="D79" i="180"/>
  <c r="C79" i="180"/>
  <c r="B79" i="180"/>
  <c r="D78" i="180"/>
  <c r="C78" i="180"/>
  <c r="B78" i="180"/>
  <c r="D77" i="180"/>
  <c r="C77" i="180"/>
  <c r="B77" i="180"/>
  <c r="D76" i="180"/>
  <c r="C76" i="180"/>
  <c r="B76" i="180"/>
  <c r="D75" i="180"/>
  <c r="C75" i="180"/>
  <c r="B75" i="180"/>
  <c r="D74" i="180"/>
  <c r="C74" i="180"/>
  <c r="B74" i="180"/>
  <c r="D73" i="180"/>
  <c r="C73" i="180"/>
  <c r="B73" i="180"/>
  <c r="D72" i="180"/>
  <c r="C72" i="180"/>
  <c r="B72" i="180"/>
  <c r="D71" i="180"/>
  <c r="C71" i="180"/>
  <c r="B71" i="180"/>
  <c r="D70" i="180"/>
  <c r="C70" i="180"/>
  <c r="B70" i="180"/>
  <c r="D69" i="180"/>
  <c r="C69" i="180"/>
  <c r="B69" i="180"/>
  <c r="D68" i="180"/>
  <c r="C68" i="180"/>
  <c r="B68" i="180"/>
  <c r="D67" i="180"/>
  <c r="C67" i="180"/>
  <c r="B67" i="180"/>
  <c r="D66" i="180"/>
  <c r="C66" i="180"/>
  <c r="B66" i="180"/>
  <c r="D65" i="180"/>
  <c r="C65" i="180"/>
  <c r="B65" i="180"/>
  <c r="D64" i="180"/>
  <c r="C64" i="180"/>
  <c r="B64" i="180"/>
  <c r="D63" i="180"/>
  <c r="C63" i="180"/>
  <c r="B63" i="180"/>
  <c r="D62" i="180"/>
  <c r="C62" i="180"/>
  <c r="B62" i="180"/>
  <c r="D61" i="180"/>
  <c r="C61" i="180"/>
  <c r="B61" i="180"/>
  <c r="D60" i="180"/>
  <c r="C60" i="180"/>
  <c r="B60" i="180"/>
  <c r="D59" i="180"/>
  <c r="C59" i="180"/>
  <c r="B59" i="180"/>
  <c r="D58" i="180"/>
  <c r="C58" i="180"/>
  <c r="B58" i="180"/>
  <c r="D57" i="180"/>
  <c r="C57" i="180"/>
  <c r="B57" i="180"/>
  <c r="N54" i="180"/>
  <c r="J54" i="180"/>
  <c r="H54" i="180"/>
  <c r="J53" i="180"/>
  <c r="H53" i="180"/>
  <c r="J52" i="180"/>
  <c r="D21" i="180" a="1"/>
  <c r="D20" i="180" a="1"/>
  <c r="D19" i="180" a="1"/>
  <c r="D14" i="180" a="1"/>
  <c r="D54" i="180" s="1"/>
  <c r="D13" i="180" a="1"/>
  <c r="D12" i="180" a="1"/>
  <c r="D10" i="180" a="1"/>
  <c r="D8" i="180"/>
  <c r="D7" i="180"/>
  <c r="D6" i="180"/>
  <c r="D5" i="180"/>
  <c r="N3" i="180"/>
  <c r="N1" i="180"/>
  <c r="C107" i="177"/>
  <c r="C108" i="177"/>
  <c r="C109" i="177"/>
  <c r="C110" i="177"/>
  <c r="C111" i="177"/>
  <c r="C112" i="177"/>
  <c r="C113" i="177"/>
  <c r="C114" i="177"/>
  <c r="C115" i="177"/>
  <c r="C116" i="177"/>
  <c r="C117" i="177"/>
  <c r="C118" i="177"/>
  <c r="C119" i="177"/>
  <c r="C120" i="177"/>
  <c r="C121" i="177"/>
  <c r="C122" i="177"/>
  <c r="C123" i="177"/>
  <c r="C124" i="177"/>
  <c r="C125" i="177"/>
  <c r="C126" i="177"/>
  <c r="C127" i="177"/>
  <c r="C128" i="177"/>
  <c r="C129" i="177"/>
  <c r="C130" i="177"/>
  <c r="C131" i="177"/>
  <c r="C132" i="177"/>
  <c r="C133" i="177"/>
  <c r="C134" i="177"/>
  <c r="C135" i="177"/>
  <c r="C136" i="177"/>
  <c r="C137" i="177"/>
  <c r="C138" i="177"/>
  <c r="C139" i="177"/>
  <c r="C140" i="177"/>
  <c r="C141" i="177"/>
  <c r="C142" i="177"/>
  <c r="C143" i="177"/>
  <c r="C144" i="177"/>
  <c r="C145" i="177"/>
  <c r="C146" i="177"/>
  <c r="C147" i="177"/>
  <c r="C148" i="177"/>
  <c r="C106" i="177"/>
  <c r="C107" i="176"/>
  <c r="C108" i="176"/>
  <c r="C109" i="176"/>
  <c r="C110" i="176"/>
  <c r="C111" i="176"/>
  <c r="C112" i="176"/>
  <c r="C113" i="176"/>
  <c r="C114" i="176"/>
  <c r="C115" i="176"/>
  <c r="C116" i="176"/>
  <c r="C117" i="176"/>
  <c r="C118" i="176"/>
  <c r="C119" i="176"/>
  <c r="C120" i="176"/>
  <c r="C121" i="176"/>
  <c r="C122" i="176"/>
  <c r="C123" i="176"/>
  <c r="C124" i="176"/>
  <c r="C125" i="176"/>
  <c r="C126" i="176"/>
  <c r="C127" i="176"/>
  <c r="C128" i="176"/>
  <c r="C129" i="176"/>
  <c r="C130" i="176"/>
  <c r="C131" i="176"/>
  <c r="C132" i="176"/>
  <c r="C133" i="176"/>
  <c r="C134" i="176"/>
  <c r="C135" i="176"/>
  <c r="C136" i="176"/>
  <c r="C137" i="176"/>
  <c r="C138" i="176"/>
  <c r="C139" i="176"/>
  <c r="C140" i="176"/>
  <c r="C141" i="176"/>
  <c r="C142" i="176"/>
  <c r="C143" i="176"/>
  <c r="C144" i="176"/>
  <c r="C145" i="176"/>
  <c r="C146" i="176"/>
  <c r="C147" i="176"/>
  <c r="C148" i="176"/>
  <c r="C106" i="176"/>
  <c r="B107" i="176"/>
  <c r="B108" i="176"/>
  <c r="B109" i="176"/>
  <c r="B110" i="176"/>
  <c r="B111" i="176"/>
  <c r="B112" i="176"/>
  <c r="B113" i="176"/>
  <c r="B114" i="176"/>
  <c r="B115" i="176"/>
  <c r="B116" i="176"/>
  <c r="B117" i="176"/>
  <c r="B118" i="176"/>
  <c r="B119" i="176"/>
  <c r="B120" i="176"/>
  <c r="B121" i="176"/>
  <c r="B122" i="176"/>
  <c r="B123" i="176"/>
  <c r="B124" i="176"/>
  <c r="B125" i="176"/>
  <c r="B126" i="176"/>
  <c r="B127" i="176"/>
  <c r="B128" i="176"/>
  <c r="B129" i="176"/>
  <c r="B130" i="176"/>
  <c r="B131" i="176"/>
  <c r="B132" i="176"/>
  <c r="B133" i="176"/>
  <c r="B134" i="176"/>
  <c r="B135" i="176"/>
  <c r="B136" i="176"/>
  <c r="B137" i="176"/>
  <c r="B138" i="176"/>
  <c r="B139" i="176"/>
  <c r="B140" i="176"/>
  <c r="B141" i="176"/>
  <c r="B142" i="176"/>
  <c r="B143" i="176"/>
  <c r="B144" i="176"/>
  <c r="B145" i="176"/>
  <c r="B146" i="176"/>
  <c r="B147" i="176"/>
  <c r="B148" i="176"/>
  <c r="B106" i="176"/>
  <c r="D107" i="177"/>
  <c r="D108" i="177"/>
  <c r="D109" i="177"/>
  <c r="D110" i="177"/>
  <c r="D111" i="177"/>
  <c r="D112" i="177"/>
  <c r="D113" i="177"/>
  <c r="D114" i="177"/>
  <c r="D115" i="177"/>
  <c r="D116" i="177"/>
  <c r="D117" i="177"/>
  <c r="D118" i="177"/>
  <c r="D119" i="177"/>
  <c r="D120" i="177"/>
  <c r="D121" i="177"/>
  <c r="D122" i="177"/>
  <c r="D123" i="177"/>
  <c r="D124" i="177"/>
  <c r="D125" i="177"/>
  <c r="D126" i="177"/>
  <c r="D127" i="177"/>
  <c r="D128" i="177"/>
  <c r="D129" i="177"/>
  <c r="D130" i="177"/>
  <c r="D131" i="177"/>
  <c r="D132" i="177"/>
  <c r="D133" i="177"/>
  <c r="D134" i="177"/>
  <c r="D135" i="177"/>
  <c r="D136" i="177"/>
  <c r="D137" i="177"/>
  <c r="D138" i="177"/>
  <c r="D139" i="177"/>
  <c r="D140" i="177"/>
  <c r="D141" i="177"/>
  <c r="D142" i="177"/>
  <c r="D143" i="177"/>
  <c r="D144" i="177"/>
  <c r="D145" i="177"/>
  <c r="D146" i="177"/>
  <c r="D147" i="177"/>
  <c r="D148" i="177"/>
  <c r="D106" i="177"/>
  <c r="D58" i="177"/>
  <c r="D59" i="177"/>
  <c r="D60" i="177"/>
  <c r="D61" i="177"/>
  <c r="D62" i="177"/>
  <c r="D63" i="177"/>
  <c r="D64" i="177"/>
  <c r="D65" i="177"/>
  <c r="D66" i="177"/>
  <c r="D67" i="177"/>
  <c r="D68" i="177"/>
  <c r="D69" i="177"/>
  <c r="D70" i="177"/>
  <c r="D71" i="177"/>
  <c r="D72" i="177"/>
  <c r="D73" i="177"/>
  <c r="D74" i="177"/>
  <c r="D75" i="177"/>
  <c r="D76" i="177"/>
  <c r="D77" i="177"/>
  <c r="D78" i="177"/>
  <c r="D79" i="177"/>
  <c r="D80" i="177"/>
  <c r="D81" i="177"/>
  <c r="D82" i="177"/>
  <c r="D83" i="177"/>
  <c r="D84" i="177"/>
  <c r="D85" i="177"/>
  <c r="D86" i="177"/>
  <c r="D87" i="177"/>
  <c r="D88" i="177"/>
  <c r="D89" i="177"/>
  <c r="D90" i="177"/>
  <c r="D91" i="177"/>
  <c r="D92" i="177"/>
  <c r="D93" i="177"/>
  <c r="D94" i="177"/>
  <c r="D95" i="177"/>
  <c r="D96" i="177"/>
  <c r="D97" i="177"/>
  <c r="D98" i="177"/>
  <c r="D99" i="177"/>
  <c r="D100" i="177"/>
  <c r="D57" i="177"/>
  <c r="D107" i="176"/>
  <c r="D108" i="176"/>
  <c r="D109" i="176"/>
  <c r="D110" i="176"/>
  <c r="D111" i="176"/>
  <c r="D112" i="176"/>
  <c r="D113" i="176"/>
  <c r="D114" i="176"/>
  <c r="D115" i="176"/>
  <c r="D116" i="176"/>
  <c r="D117" i="176"/>
  <c r="D118" i="176"/>
  <c r="D119" i="176"/>
  <c r="D120" i="176"/>
  <c r="D121" i="176"/>
  <c r="D122" i="176"/>
  <c r="D123" i="176"/>
  <c r="D124" i="176"/>
  <c r="D125" i="176"/>
  <c r="D126" i="176"/>
  <c r="D127" i="176"/>
  <c r="D128" i="176"/>
  <c r="D129" i="176"/>
  <c r="D130" i="176"/>
  <c r="D131" i="176"/>
  <c r="D132" i="176"/>
  <c r="D133" i="176"/>
  <c r="D134" i="176"/>
  <c r="D135" i="176"/>
  <c r="D136" i="176"/>
  <c r="D137" i="176"/>
  <c r="D138" i="176"/>
  <c r="D139" i="176"/>
  <c r="D140" i="176"/>
  <c r="D141" i="176"/>
  <c r="D142" i="176"/>
  <c r="D143" i="176"/>
  <c r="D144" i="176"/>
  <c r="D145" i="176"/>
  <c r="D146" i="176"/>
  <c r="D147" i="176"/>
  <c r="D148" i="176"/>
  <c r="D106" i="176"/>
  <c r="D58" i="176"/>
  <c r="D59" i="176"/>
  <c r="D60" i="176"/>
  <c r="D61" i="176"/>
  <c r="D62" i="176"/>
  <c r="D63" i="176"/>
  <c r="D64" i="176"/>
  <c r="D65" i="176"/>
  <c r="D66" i="176"/>
  <c r="D67" i="176"/>
  <c r="D68" i="176"/>
  <c r="D69" i="176"/>
  <c r="D70" i="176"/>
  <c r="D71" i="176"/>
  <c r="D72" i="176"/>
  <c r="D73" i="176"/>
  <c r="D74" i="176"/>
  <c r="D75" i="176"/>
  <c r="D76" i="176"/>
  <c r="D77" i="176"/>
  <c r="D78" i="176"/>
  <c r="D79" i="176"/>
  <c r="D80" i="176"/>
  <c r="D81" i="176"/>
  <c r="D82" i="176"/>
  <c r="D83" i="176"/>
  <c r="D84" i="176"/>
  <c r="D85" i="176"/>
  <c r="D86" i="176"/>
  <c r="D87" i="176"/>
  <c r="D88" i="176"/>
  <c r="D89" i="176"/>
  <c r="D90" i="176"/>
  <c r="D91" i="176"/>
  <c r="D92" i="176"/>
  <c r="D93" i="176"/>
  <c r="D94" i="176"/>
  <c r="D95" i="176"/>
  <c r="D96" i="176"/>
  <c r="D97" i="176"/>
  <c r="D98" i="176"/>
  <c r="D99" i="176"/>
  <c r="D100" i="176"/>
  <c r="D57" i="176"/>
  <c r="L37" i="174"/>
  <c r="H36" i="174"/>
  <c r="L5" i="174"/>
  <c r="L36" i="174" s="1"/>
  <c r="H2" i="115"/>
  <c r="H3" i="115"/>
  <c r="H4" i="115"/>
  <c r="H5" i="115"/>
  <c r="H6" i="115"/>
  <c r="H7" i="115"/>
  <c r="H8" i="115"/>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168" i="115"/>
  <c r="H169" i="115"/>
  <c r="H170" i="115"/>
  <c r="H171" i="115"/>
  <c r="H172" i="115"/>
  <c r="H173" i="115"/>
  <c r="H174" i="115"/>
  <c r="H175" i="115"/>
  <c r="H176" i="115"/>
  <c r="H177" i="115"/>
  <c r="H178" i="115"/>
  <c r="H179" i="115"/>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228" i="115"/>
  <c r="H229" i="115"/>
  <c r="H230" i="115"/>
  <c r="H231" i="115"/>
  <c r="H232" i="115"/>
  <c r="H233" i="115"/>
  <c r="H234" i="115"/>
  <c r="H235" i="115"/>
  <c r="H236" i="115"/>
  <c r="H237" i="115"/>
  <c r="H238" i="115"/>
  <c r="H239" i="115"/>
  <c r="H240" i="115"/>
  <c r="H241" i="115"/>
  <c r="H242" i="115"/>
  <c r="H243" i="115"/>
  <c r="H244" i="115"/>
  <c r="H245" i="115"/>
  <c r="H246" i="115"/>
  <c r="H247" i="115"/>
  <c r="H248" i="115"/>
  <c r="H249" i="115"/>
  <c r="H250" i="115"/>
  <c r="H251" i="115"/>
  <c r="H252" i="115"/>
  <c r="H253" i="115"/>
  <c r="H254" i="115"/>
  <c r="H255" i="115"/>
  <c r="H256" i="115"/>
  <c r="H257" i="115"/>
  <c r="H258" i="115"/>
  <c r="H259" i="115"/>
  <c r="H260" i="115"/>
  <c r="H261" i="115"/>
  <c r="H262" i="115"/>
  <c r="H263" i="115"/>
  <c r="H264" i="115"/>
  <c r="H265" i="115"/>
  <c r="H266" i="115"/>
  <c r="H267" i="115"/>
  <c r="H268" i="115"/>
  <c r="H269" i="115"/>
  <c r="H270" i="115"/>
  <c r="H271" i="115"/>
  <c r="H272" i="115"/>
  <c r="H273" i="115"/>
  <c r="H274" i="115"/>
  <c r="H275" i="115"/>
  <c r="H276" i="115"/>
  <c r="H277" i="115"/>
  <c r="H278" i="115"/>
  <c r="H279" i="115"/>
  <c r="H280" i="115"/>
  <c r="H281" i="115"/>
  <c r="H282" i="115"/>
  <c r="H283" i="115"/>
  <c r="H284" i="115"/>
  <c r="H285" i="115"/>
  <c r="H286" i="115"/>
  <c r="H287" i="115"/>
  <c r="H288" i="115"/>
  <c r="H289" i="115"/>
  <c r="H290" i="115"/>
  <c r="H291" i="115"/>
  <c r="H292" i="115"/>
  <c r="H293" i="115"/>
  <c r="H294" i="115"/>
  <c r="H295" i="115"/>
  <c r="H296" i="115"/>
  <c r="H297" i="115"/>
  <c r="H298" i="115"/>
  <c r="H299" i="115"/>
  <c r="H300" i="115"/>
  <c r="H301" i="115"/>
  <c r="H302" i="115"/>
  <c r="H303" i="115"/>
  <c r="H304" i="115"/>
  <c r="H305" i="115"/>
  <c r="H306" i="115"/>
  <c r="H307" i="115"/>
  <c r="H308" i="115"/>
  <c r="H309" i="115"/>
  <c r="H310" i="115"/>
  <c r="H311" i="115"/>
  <c r="H312" i="115"/>
  <c r="H313" i="115"/>
  <c r="H314" i="115"/>
  <c r="H315" i="115"/>
  <c r="H316" i="115"/>
  <c r="H317" i="115"/>
  <c r="H318" i="115"/>
  <c r="H319" i="115"/>
  <c r="H320" i="115"/>
  <c r="H321" i="115"/>
  <c r="H322" i="115"/>
  <c r="H323" i="115"/>
  <c r="H324" i="115"/>
  <c r="H325" i="115"/>
  <c r="H326" i="115"/>
  <c r="H327" i="115"/>
  <c r="H328" i="115"/>
  <c r="H329" i="115"/>
  <c r="H330" i="115"/>
  <c r="H331" i="115"/>
  <c r="H332" i="115"/>
  <c r="H333" i="115"/>
  <c r="H334" i="115"/>
  <c r="H335" i="115"/>
  <c r="H336" i="115"/>
  <c r="H337" i="115"/>
  <c r="H338" i="115"/>
  <c r="H339" i="115"/>
  <c r="H340" i="115"/>
  <c r="H341" i="115"/>
  <c r="H342" i="115"/>
  <c r="H343" i="115"/>
  <c r="H344" i="115"/>
  <c r="H345" i="115"/>
  <c r="H346" i="115"/>
  <c r="H347" i="115"/>
  <c r="H348" i="115"/>
  <c r="H349" i="115"/>
  <c r="H350" i="115"/>
  <c r="H351" i="115"/>
  <c r="H352" i="115"/>
  <c r="H353" i="115"/>
  <c r="H354" i="115"/>
  <c r="H355" i="115"/>
  <c r="H356" i="115"/>
  <c r="H357" i="115"/>
  <c r="H358" i="115"/>
  <c r="H359" i="115"/>
  <c r="H360" i="115"/>
  <c r="H361" i="115"/>
  <c r="H362" i="115"/>
  <c r="H363" i="115"/>
  <c r="H364" i="115"/>
  <c r="H365" i="115"/>
  <c r="H366" i="115"/>
  <c r="H367" i="115"/>
  <c r="H368" i="115"/>
  <c r="H369" i="115"/>
  <c r="H370" i="115"/>
  <c r="H371" i="115"/>
  <c r="H372" i="115"/>
  <c r="H373" i="115"/>
  <c r="H374" i="115"/>
  <c r="H375" i="115"/>
  <c r="H376" i="115"/>
  <c r="H377" i="115"/>
  <c r="H378" i="115"/>
  <c r="H379" i="115"/>
  <c r="H380" i="115"/>
  <c r="H381" i="115"/>
  <c r="H382" i="115"/>
  <c r="H383" i="115"/>
  <c r="H384" i="115"/>
  <c r="H385" i="115"/>
  <c r="H386" i="115"/>
  <c r="H387" i="115"/>
  <c r="H388" i="115"/>
  <c r="H389" i="115"/>
  <c r="H390" i="115"/>
  <c r="H391" i="115"/>
  <c r="H392" i="115"/>
  <c r="H393" i="115"/>
  <c r="H394" i="115"/>
  <c r="H395" i="115"/>
  <c r="H396" i="115"/>
  <c r="H397" i="115"/>
  <c r="H398" i="115"/>
  <c r="H399" i="115"/>
  <c r="H400" i="115"/>
  <c r="H401" i="115"/>
  <c r="H402" i="115"/>
  <c r="H403" i="115"/>
  <c r="H404" i="115"/>
  <c r="H405" i="115"/>
  <c r="H406" i="115"/>
  <c r="H407" i="115"/>
  <c r="H408" i="115"/>
  <c r="H409" i="115"/>
  <c r="H410" i="115"/>
  <c r="H411" i="115"/>
  <c r="H412" i="115"/>
  <c r="H413" i="115"/>
  <c r="H414" i="115"/>
  <c r="H415" i="115"/>
  <c r="H416" i="115"/>
  <c r="H417" i="115"/>
  <c r="H418" i="115"/>
  <c r="H419" i="115"/>
  <c r="H420" i="115"/>
  <c r="H421" i="115"/>
  <c r="H422" i="115"/>
  <c r="H423" i="115"/>
  <c r="H424" i="115"/>
  <c r="H425" i="115"/>
  <c r="H426" i="115"/>
  <c r="H427" i="115"/>
  <c r="H428" i="115"/>
  <c r="H429" i="115"/>
  <c r="H430" i="115"/>
  <c r="H431" i="115"/>
  <c r="H432" i="115"/>
  <c r="H433" i="115"/>
  <c r="H434" i="115"/>
  <c r="H435" i="115"/>
  <c r="H436" i="115"/>
  <c r="H437" i="115"/>
  <c r="H438" i="115"/>
  <c r="H439" i="115"/>
  <c r="H440" i="115"/>
  <c r="H441" i="115"/>
  <c r="H442" i="115"/>
  <c r="H443" i="115"/>
  <c r="H444" i="115"/>
  <c r="H445" i="115"/>
  <c r="H446" i="115"/>
  <c r="H447" i="115"/>
  <c r="H448" i="115"/>
  <c r="H449" i="115"/>
  <c r="H450" i="115"/>
  <c r="H451" i="115"/>
  <c r="H452" i="115"/>
  <c r="H453" i="115"/>
  <c r="H454" i="115"/>
  <c r="H455" i="115"/>
  <c r="H456" i="115"/>
  <c r="H457" i="115"/>
  <c r="H458" i="115"/>
  <c r="H459" i="115"/>
  <c r="H460" i="115"/>
  <c r="H461" i="115"/>
  <c r="H462" i="115"/>
  <c r="H463" i="115"/>
  <c r="H464" i="115"/>
  <c r="H465" i="115"/>
  <c r="H466" i="115"/>
  <c r="H467" i="115"/>
  <c r="H468" i="115"/>
  <c r="H469" i="115"/>
  <c r="H470" i="115"/>
  <c r="H471" i="115"/>
  <c r="H472" i="115"/>
  <c r="H473" i="115"/>
  <c r="H474" i="115"/>
  <c r="H475" i="115"/>
  <c r="H476" i="115"/>
  <c r="H477" i="115"/>
  <c r="H478" i="115"/>
  <c r="H479" i="115"/>
  <c r="H480" i="115"/>
  <c r="H481" i="115"/>
  <c r="H482" i="115"/>
  <c r="H483" i="115"/>
  <c r="H484" i="115"/>
  <c r="H485" i="115"/>
  <c r="H486" i="115"/>
  <c r="H487" i="115"/>
  <c r="H488" i="115"/>
  <c r="H489" i="115"/>
  <c r="H490" i="115"/>
  <c r="H491" i="115"/>
  <c r="H492" i="115"/>
  <c r="H493" i="115"/>
  <c r="H494" i="115"/>
  <c r="H495" i="115"/>
  <c r="H496" i="115"/>
  <c r="H497" i="115"/>
  <c r="H498" i="115"/>
  <c r="H499" i="115"/>
  <c r="H500" i="115"/>
  <c r="H501" i="115"/>
  <c r="BT62" i="237" l="1"/>
  <c r="BT78" i="237"/>
  <c r="BT6" i="237"/>
  <c r="BT22" i="237"/>
  <c r="BT38" i="237"/>
  <c r="BT64" i="237"/>
  <c r="BT80" i="237"/>
  <c r="BT8" i="237"/>
  <c r="BT24" i="237"/>
  <c r="BT40" i="237"/>
  <c r="BT50" i="237"/>
  <c r="BT66" i="237"/>
  <c r="BT82" i="237"/>
  <c r="BT10" i="237"/>
  <c r="BT26" i="237"/>
  <c r="BT42" i="237"/>
  <c r="BT51" i="237"/>
  <c r="BT67" i="237"/>
  <c r="BT83" i="237"/>
  <c r="BT11" i="237"/>
  <c r="BT27" i="237"/>
  <c r="BT43" i="237"/>
  <c r="BT54" i="237"/>
  <c r="BT70" i="237"/>
  <c r="BT86" i="237"/>
  <c r="BT14" i="237"/>
  <c r="BT30" i="237"/>
  <c r="BT46" i="237"/>
  <c r="BT56" i="237"/>
  <c r="BT72" i="237"/>
  <c r="BT88" i="237"/>
  <c r="BT16" i="237"/>
  <c r="BT32" i="237"/>
  <c r="BT4" i="237"/>
  <c r="BT57" i="237"/>
  <c r="BT73" i="237"/>
  <c r="BT89" i="237"/>
  <c r="BT17" i="237"/>
  <c r="BT33" i="237"/>
  <c r="BT58" i="237"/>
  <c r="BT74" i="237"/>
  <c r="BT90" i="237"/>
  <c r="BT18" i="237"/>
  <c r="BT34" i="237"/>
  <c r="BT75" i="237"/>
  <c r="BT19" i="237"/>
  <c r="BT76" i="237"/>
  <c r="BT20" i="237"/>
  <c r="BT77" i="237"/>
  <c r="BT21" i="237"/>
  <c r="BT79" i="237"/>
  <c r="BT23" i="237"/>
  <c r="BT53" i="237"/>
  <c r="BT85" i="237"/>
  <c r="BT29" i="237"/>
  <c r="BT55" i="237"/>
  <c r="BT87" i="237"/>
  <c r="BT31" i="237"/>
  <c r="BT60" i="237"/>
  <c r="BT48" i="237"/>
  <c r="BT36" i="237"/>
  <c r="BT63" i="237"/>
  <c r="BT7" i="237"/>
  <c r="BT39" i="237"/>
  <c r="BT65" i="237"/>
  <c r="BT9" i="237"/>
  <c r="BT41" i="237"/>
  <c r="BT68" i="237"/>
  <c r="BT12" i="237"/>
  <c r="BT44" i="237"/>
  <c r="BT28" i="237"/>
  <c r="BT35" i="237"/>
  <c r="BT37" i="237"/>
  <c r="BT59" i="237"/>
  <c r="BT13" i="237"/>
  <c r="BT61" i="237"/>
  <c r="BT69" i="237"/>
  <c r="BT71" i="237"/>
  <c r="BT25" i="237"/>
  <c r="BT81" i="237"/>
  <c r="BT84" i="237"/>
  <c r="BT91" i="237"/>
  <c r="BT5" i="237"/>
  <c r="BT15" i="237"/>
  <c r="BT49" i="237"/>
  <c r="BT52" i="237"/>
  <c r="BT45" i="237"/>
  <c r="BT47" i="237"/>
  <c r="H37" i="193"/>
  <c r="AL64" i="237"/>
  <c r="AL80" i="237"/>
  <c r="AL8" i="237"/>
  <c r="AL24" i="237"/>
  <c r="AL40" i="237"/>
  <c r="AL49" i="237"/>
  <c r="AL65" i="237"/>
  <c r="AL81" i="237"/>
  <c r="AL9" i="237"/>
  <c r="AL25" i="237"/>
  <c r="AL41" i="237"/>
  <c r="AL50" i="237"/>
  <c r="AL66" i="237"/>
  <c r="AL82" i="237"/>
  <c r="AL10" i="237"/>
  <c r="AL26" i="237"/>
  <c r="AL42" i="237"/>
  <c r="AL51" i="237"/>
  <c r="AL67" i="237"/>
  <c r="AL83" i="237"/>
  <c r="AL11" i="237"/>
  <c r="AL27" i="237"/>
  <c r="AL43" i="237"/>
  <c r="AL54" i="237"/>
  <c r="AL70" i="237"/>
  <c r="AL86" i="237"/>
  <c r="AL14" i="237"/>
  <c r="AL30" i="237"/>
  <c r="AL46" i="237"/>
  <c r="AL55" i="237"/>
  <c r="AL71" i="237"/>
  <c r="AL87" i="237"/>
  <c r="AL15" i="237"/>
  <c r="AL31" i="237"/>
  <c r="AL47" i="237"/>
  <c r="AL57" i="237"/>
  <c r="AL73" i="237"/>
  <c r="AL89" i="237"/>
  <c r="AL17" i="237"/>
  <c r="AL33" i="237"/>
  <c r="AL59" i="237"/>
  <c r="AL75" i="237"/>
  <c r="AL91" i="237"/>
  <c r="AL19" i="237"/>
  <c r="AL35" i="237"/>
  <c r="AL60" i="237"/>
  <c r="AL76" i="237"/>
  <c r="AL48" i="237"/>
  <c r="AL20" i="237"/>
  <c r="AL36" i="237"/>
  <c r="AL79" i="237"/>
  <c r="AL29" i="237"/>
  <c r="AL84" i="237"/>
  <c r="AL32" i="237"/>
  <c r="AL85" i="237"/>
  <c r="AL34" i="237"/>
  <c r="AL56" i="237"/>
  <c r="AL5" i="237"/>
  <c r="AL39" i="237"/>
  <c r="AL61" i="237"/>
  <c r="AL74" i="237"/>
  <c r="AL58" i="237"/>
  <c r="AL6" i="237"/>
  <c r="AL44" i="237"/>
  <c r="AL7" i="237"/>
  <c r="AL45" i="237"/>
  <c r="AL77" i="237"/>
  <c r="AL62" i="237"/>
  <c r="AL12" i="237"/>
  <c r="AL4" i="237"/>
  <c r="AL28" i="237"/>
  <c r="AL63" i="237"/>
  <c r="AL13" i="237"/>
  <c r="AL68" i="237"/>
  <c r="AL16" i="237"/>
  <c r="AL69" i="237"/>
  <c r="AL18" i="237"/>
  <c r="AL78" i="237"/>
  <c r="AL72" i="237"/>
  <c r="AL21" i="237"/>
  <c r="AL22" i="237"/>
  <c r="AL23" i="237"/>
  <c r="AL38" i="237"/>
  <c r="AL52" i="237"/>
  <c r="AL53" i="237"/>
  <c r="AL88" i="237"/>
  <c r="AL37" i="237"/>
  <c r="AL90" i="237"/>
  <c r="M34" i="115"/>
  <c r="BR54" i="237"/>
  <c r="BR70" i="237"/>
  <c r="BR86" i="237"/>
  <c r="BR14" i="237"/>
  <c r="BR30" i="237"/>
  <c r="BR46" i="237"/>
  <c r="BR56" i="237"/>
  <c r="BR72" i="237"/>
  <c r="BR88" i="237"/>
  <c r="BR16" i="237"/>
  <c r="BR32" i="237"/>
  <c r="BR4" i="237"/>
  <c r="BR58" i="237"/>
  <c r="BR74" i="237"/>
  <c r="BR90" i="237"/>
  <c r="BR18" i="237"/>
  <c r="BR34" i="237"/>
  <c r="BR59" i="237"/>
  <c r="BR75" i="237"/>
  <c r="BR91" i="237"/>
  <c r="BR19" i="237"/>
  <c r="BR35" i="237"/>
  <c r="BR62" i="237"/>
  <c r="BR78" i="237"/>
  <c r="BR6" i="237"/>
  <c r="BR22" i="237"/>
  <c r="BR38" i="237"/>
  <c r="BR64" i="237"/>
  <c r="BR80" i="237"/>
  <c r="BR8" i="237"/>
  <c r="BR24" i="237"/>
  <c r="BR40" i="237"/>
  <c r="BR49" i="237"/>
  <c r="BR65" i="237"/>
  <c r="BR81" i="237"/>
  <c r="BR9" i="237"/>
  <c r="BR25" i="237"/>
  <c r="BR41" i="237"/>
  <c r="BR50" i="237"/>
  <c r="BR66" i="237"/>
  <c r="BR82" i="237"/>
  <c r="BR10" i="237"/>
  <c r="BR51" i="237"/>
  <c r="BR83" i="237"/>
  <c r="BR26" i="237"/>
  <c r="BR52" i="237"/>
  <c r="BR84" i="237"/>
  <c r="BR27" i="237"/>
  <c r="BR53" i="237"/>
  <c r="BR85" i="237"/>
  <c r="BR28" i="237"/>
  <c r="BR55" i="237"/>
  <c r="BR87" i="237"/>
  <c r="BR29" i="237"/>
  <c r="BR61" i="237"/>
  <c r="BR5" i="237"/>
  <c r="BR36" i="237"/>
  <c r="BR63" i="237"/>
  <c r="BR7" i="237"/>
  <c r="BR37" i="237"/>
  <c r="BR68" i="237"/>
  <c r="BR12" i="237"/>
  <c r="BR42" i="237"/>
  <c r="BR71" i="237"/>
  <c r="BR15" i="237"/>
  <c r="BR44" i="237"/>
  <c r="BR73" i="237"/>
  <c r="BR17" i="237"/>
  <c r="BR45" i="237"/>
  <c r="BR76" i="237"/>
  <c r="BR20" i="237"/>
  <c r="BR47" i="237"/>
  <c r="BR23" i="237"/>
  <c r="BR31" i="237"/>
  <c r="BR33" i="237"/>
  <c r="BR57" i="237"/>
  <c r="BR60" i="237"/>
  <c r="BR67" i="237"/>
  <c r="BR69" i="237"/>
  <c r="BR77" i="237"/>
  <c r="BR79" i="237"/>
  <c r="BR13" i="237"/>
  <c r="BR89" i="237"/>
  <c r="BR11" i="237"/>
  <c r="BR21" i="237"/>
  <c r="BR48" i="237"/>
  <c r="BR39" i="237"/>
  <c r="BR43" i="237"/>
  <c r="M51" i="115"/>
  <c r="CZ53" i="237"/>
  <c r="CZ69" i="237"/>
  <c r="CZ85" i="237"/>
  <c r="CZ13" i="237"/>
  <c r="CZ29" i="237"/>
  <c r="CZ45" i="237"/>
  <c r="CZ62" i="237"/>
  <c r="CZ78" i="237"/>
  <c r="CZ6" i="237"/>
  <c r="CZ22" i="237"/>
  <c r="CZ38" i="237"/>
  <c r="CZ64" i="237"/>
  <c r="CZ80" i="237"/>
  <c r="CZ8" i="237"/>
  <c r="CZ24" i="237"/>
  <c r="CZ40" i="237"/>
  <c r="CZ50" i="237"/>
  <c r="CZ66" i="237"/>
  <c r="CZ82" i="237"/>
  <c r="CZ10" i="237"/>
  <c r="CZ26" i="237"/>
  <c r="CZ42" i="237"/>
  <c r="CZ56" i="237"/>
  <c r="CZ76" i="237"/>
  <c r="CZ11" i="237"/>
  <c r="CZ32" i="237"/>
  <c r="CZ59" i="237"/>
  <c r="CZ81" i="237"/>
  <c r="CZ15" i="237"/>
  <c r="CZ35" i="237"/>
  <c r="CZ60" i="237"/>
  <c r="CZ83" i="237"/>
  <c r="CZ16" i="237"/>
  <c r="CZ36" i="237"/>
  <c r="CZ63" i="237"/>
  <c r="CZ86" i="237"/>
  <c r="CZ18" i="237"/>
  <c r="CZ39" i="237"/>
  <c r="CZ65" i="237"/>
  <c r="CZ87" i="237"/>
  <c r="CZ19" i="237"/>
  <c r="CZ41" i="237"/>
  <c r="CZ67" i="237"/>
  <c r="CZ88" i="237"/>
  <c r="CZ20" i="237"/>
  <c r="CZ43" i="237"/>
  <c r="CZ68" i="237"/>
  <c r="CZ89" i="237"/>
  <c r="CZ21" i="237"/>
  <c r="CZ44" i="237"/>
  <c r="CZ70" i="237"/>
  <c r="CZ90" i="237"/>
  <c r="CZ23" i="237"/>
  <c r="CZ46" i="237"/>
  <c r="CZ51" i="237"/>
  <c r="CZ72" i="237"/>
  <c r="CZ48" i="237"/>
  <c r="CZ27" i="237"/>
  <c r="CZ4" i="237"/>
  <c r="CZ52" i="237"/>
  <c r="CZ9" i="237"/>
  <c r="CZ55" i="237"/>
  <c r="CZ14" i="237"/>
  <c r="CZ57" i="237"/>
  <c r="CZ17" i="237"/>
  <c r="CZ58" i="237"/>
  <c r="CZ25" i="237"/>
  <c r="CZ61" i="237"/>
  <c r="CZ28" i="237"/>
  <c r="CZ71" i="237"/>
  <c r="CZ30" i="237"/>
  <c r="CZ74" i="237"/>
  <c r="CZ33" i="237"/>
  <c r="CZ75" i="237"/>
  <c r="CZ34" i="237"/>
  <c r="CZ77" i="237"/>
  <c r="CZ37" i="237"/>
  <c r="CZ79" i="237"/>
  <c r="CZ47" i="237"/>
  <c r="CZ84" i="237"/>
  <c r="CZ12" i="237"/>
  <c r="CZ31" i="237"/>
  <c r="CZ54" i="237"/>
  <c r="CZ73" i="237"/>
  <c r="CZ91" i="237"/>
  <c r="CZ49" i="237"/>
  <c r="CZ5" i="237"/>
  <c r="CZ7" i="237"/>
  <c r="H37" i="192"/>
  <c r="AJ56" i="237"/>
  <c r="AJ72" i="237"/>
  <c r="AJ88" i="237"/>
  <c r="AJ16" i="237"/>
  <c r="AJ57" i="237"/>
  <c r="AJ73" i="237"/>
  <c r="AJ89" i="237"/>
  <c r="AJ17" i="237"/>
  <c r="AJ33" i="237"/>
  <c r="AJ58" i="237"/>
  <c r="AJ74" i="237"/>
  <c r="AJ90" i="237"/>
  <c r="AJ18" i="237"/>
  <c r="AJ34" i="237"/>
  <c r="AJ59" i="237"/>
  <c r="AJ75" i="237"/>
  <c r="AJ91" i="237"/>
  <c r="AJ19" i="237"/>
  <c r="AJ35" i="237"/>
  <c r="AJ62" i="237"/>
  <c r="AJ78" i="237"/>
  <c r="AJ6" i="237"/>
  <c r="AJ22" i="237"/>
  <c r="AJ38" i="237"/>
  <c r="AJ63" i="237"/>
  <c r="AJ79" i="237"/>
  <c r="AJ7" i="237"/>
  <c r="AJ23" i="237"/>
  <c r="AJ39" i="237"/>
  <c r="AJ49" i="237"/>
  <c r="AJ65" i="237"/>
  <c r="AJ81" i="237"/>
  <c r="AJ9" i="237"/>
  <c r="AJ25" i="237"/>
  <c r="AJ41" i="237"/>
  <c r="AJ51" i="237"/>
  <c r="AJ67" i="237"/>
  <c r="AJ83" i="237"/>
  <c r="AJ11" i="237"/>
  <c r="AJ27" i="237"/>
  <c r="AJ43" i="237"/>
  <c r="AJ52" i="237"/>
  <c r="AJ68" i="237"/>
  <c r="AJ84" i="237"/>
  <c r="AJ12" i="237"/>
  <c r="AJ28" i="237"/>
  <c r="AJ44" i="237"/>
  <c r="AJ66" i="237"/>
  <c r="AJ14" i="237"/>
  <c r="AJ47" i="237"/>
  <c r="AJ69" i="237"/>
  <c r="AJ15" i="237"/>
  <c r="AJ4" i="237"/>
  <c r="AJ70" i="237"/>
  <c r="AJ20" i="237"/>
  <c r="AJ77" i="237"/>
  <c r="AJ26" i="237"/>
  <c r="AJ61" i="237"/>
  <c r="AJ80" i="237"/>
  <c r="AJ29" i="237"/>
  <c r="AJ82" i="237"/>
  <c r="AJ30" i="237"/>
  <c r="AJ8" i="237"/>
  <c r="AJ64" i="237"/>
  <c r="AJ85" i="237"/>
  <c r="AJ31" i="237"/>
  <c r="AJ60" i="237"/>
  <c r="AJ10" i="237"/>
  <c r="AJ50" i="237"/>
  <c r="AJ86" i="237"/>
  <c r="AJ32" i="237"/>
  <c r="AJ53" i="237"/>
  <c r="AJ87" i="237"/>
  <c r="AJ36" i="237"/>
  <c r="AJ13" i="237"/>
  <c r="AJ54" i="237"/>
  <c r="AJ48" i="237"/>
  <c r="AJ37" i="237"/>
  <c r="AJ42" i="237"/>
  <c r="AJ45" i="237"/>
  <c r="AJ46" i="237"/>
  <c r="AJ55" i="237"/>
  <c r="AJ5" i="237"/>
  <c r="AJ40" i="237"/>
  <c r="AJ71" i="237"/>
  <c r="AJ76" i="237"/>
  <c r="AJ24" i="237"/>
  <c r="AJ21" i="237"/>
  <c r="M32" i="115"/>
  <c r="BN64" i="237"/>
  <c r="BN80" i="237"/>
  <c r="BN8" i="237"/>
  <c r="BN24" i="237"/>
  <c r="BN40" i="237"/>
  <c r="BN49" i="237"/>
  <c r="BN65" i="237"/>
  <c r="BN81" i="237"/>
  <c r="BN9" i="237"/>
  <c r="BN25" i="237"/>
  <c r="BN41" i="237"/>
  <c r="BN50" i="237"/>
  <c r="BN66" i="237"/>
  <c r="BN82" i="237"/>
  <c r="BN10" i="237"/>
  <c r="BN26" i="237"/>
  <c r="BN42" i="237"/>
  <c r="BN51" i="237"/>
  <c r="BN67" i="237"/>
  <c r="BN83" i="237"/>
  <c r="BN11" i="237"/>
  <c r="BN27" i="237"/>
  <c r="BN43" i="237"/>
  <c r="BN54" i="237"/>
  <c r="BN70" i="237"/>
  <c r="BN86" i="237"/>
  <c r="BN14" i="237"/>
  <c r="BN30" i="237"/>
  <c r="BN46" i="237"/>
  <c r="BN55" i="237"/>
  <c r="BN71" i="237"/>
  <c r="BN87" i="237"/>
  <c r="BN15" i="237"/>
  <c r="BN31" i="237"/>
  <c r="BN47" i="237"/>
  <c r="BN57" i="237"/>
  <c r="BN73" i="237"/>
  <c r="BN89" i="237"/>
  <c r="BN17" i="237"/>
  <c r="BN33" i="237"/>
  <c r="BN59" i="237"/>
  <c r="BN75" i="237"/>
  <c r="BN91" i="237"/>
  <c r="BN19" i="237"/>
  <c r="BN35" i="237"/>
  <c r="BN60" i="237"/>
  <c r="BN76" i="237"/>
  <c r="BN48" i="237"/>
  <c r="BN20" i="237"/>
  <c r="BN36" i="237"/>
  <c r="BN61" i="237"/>
  <c r="BN77" i="237"/>
  <c r="BN5" i="237"/>
  <c r="BN21" i="237"/>
  <c r="BN37" i="237"/>
  <c r="BN69" i="237"/>
  <c r="BN23" i="237"/>
  <c r="BN72" i="237"/>
  <c r="BN28" i="237"/>
  <c r="BN74" i="237"/>
  <c r="BN29" i="237"/>
  <c r="BN84" i="237"/>
  <c r="BN38" i="237"/>
  <c r="BN22" i="237"/>
  <c r="BN85" i="237"/>
  <c r="BN39" i="237"/>
  <c r="BN88" i="237"/>
  <c r="BN44" i="237"/>
  <c r="BN18" i="237"/>
  <c r="BN68" i="237"/>
  <c r="BN90" i="237"/>
  <c r="BN45" i="237"/>
  <c r="BN52" i="237"/>
  <c r="BN6" i="237"/>
  <c r="BN4" i="237"/>
  <c r="BN53" i="237"/>
  <c r="BN7" i="237"/>
  <c r="BN62" i="237"/>
  <c r="BN56" i="237"/>
  <c r="BN12" i="237"/>
  <c r="BN58" i="237"/>
  <c r="BN13" i="237"/>
  <c r="BN16" i="237"/>
  <c r="BN63" i="237"/>
  <c r="BN34" i="237"/>
  <c r="BN32" i="237"/>
  <c r="BN78" i="237"/>
  <c r="BN79" i="237"/>
  <c r="M33" i="115"/>
  <c r="BP62" i="237"/>
  <c r="BP78" i="237"/>
  <c r="BP6" i="237"/>
  <c r="BP22" i="237"/>
  <c r="BP38" i="237"/>
  <c r="BP64" i="237"/>
  <c r="BP80" i="237"/>
  <c r="BP8" i="237"/>
  <c r="BP24" i="237"/>
  <c r="BP40" i="237"/>
  <c r="BP50" i="237"/>
  <c r="BP66" i="237"/>
  <c r="BP82" i="237"/>
  <c r="BP10" i="237"/>
  <c r="BP26" i="237"/>
  <c r="BP42" i="237"/>
  <c r="BP51" i="237"/>
  <c r="BP67" i="237"/>
  <c r="BP83" i="237"/>
  <c r="BP11" i="237"/>
  <c r="BP27" i="237"/>
  <c r="BP43" i="237"/>
  <c r="BP54" i="237"/>
  <c r="BP70" i="237"/>
  <c r="BP86" i="237"/>
  <c r="BP14" i="237"/>
  <c r="BP30" i="237"/>
  <c r="BP56" i="237"/>
  <c r="BP72" i="237"/>
  <c r="BP88" i="237"/>
  <c r="BP16" i="237"/>
  <c r="BP32" i="237"/>
  <c r="BP57" i="237"/>
  <c r="BP73" i="237"/>
  <c r="BP89" i="237"/>
  <c r="BP17" i="237"/>
  <c r="BP33" i="237"/>
  <c r="BP53" i="237"/>
  <c r="BP81" i="237"/>
  <c r="BP21" i="237"/>
  <c r="BP4" i="237"/>
  <c r="BP55" i="237"/>
  <c r="BP84" i="237"/>
  <c r="BP23" i="237"/>
  <c r="BP58" i="237"/>
  <c r="BP85" i="237"/>
  <c r="BP25" i="237"/>
  <c r="BP59" i="237"/>
  <c r="BP87" i="237"/>
  <c r="BP28" i="237"/>
  <c r="BP63" i="237"/>
  <c r="BP48" i="237"/>
  <c r="BP34" i="237"/>
  <c r="BP65" i="237"/>
  <c r="BP5" i="237"/>
  <c r="BP35" i="237"/>
  <c r="BP69" i="237"/>
  <c r="BP9" i="237"/>
  <c r="BP37" i="237"/>
  <c r="BP74" i="237"/>
  <c r="BP13" i="237"/>
  <c r="BP41" i="237"/>
  <c r="BP75" i="237"/>
  <c r="BP15" i="237"/>
  <c r="BP44" i="237"/>
  <c r="BP76" i="237"/>
  <c r="BP18" i="237"/>
  <c r="BP45" i="237"/>
  <c r="BP12" i="237"/>
  <c r="BP19" i="237"/>
  <c r="BP20" i="237"/>
  <c r="BP49" i="237"/>
  <c r="BP36" i="237"/>
  <c r="BP52" i="237"/>
  <c r="BP39" i="237"/>
  <c r="BP60" i="237"/>
  <c r="BP46" i="237"/>
  <c r="BP61" i="237"/>
  <c r="BP47" i="237"/>
  <c r="BP68" i="237"/>
  <c r="BP71" i="237"/>
  <c r="BP77" i="237"/>
  <c r="BP91" i="237"/>
  <c r="BP79" i="237"/>
  <c r="BP90" i="237"/>
  <c r="BP7" i="237"/>
  <c r="BP29" i="237"/>
  <c r="BP31" i="237"/>
  <c r="M50" i="115"/>
  <c r="CX61" i="237"/>
  <c r="CX77" i="237"/>
  <c r="CX5" i="237"/>
  <c r="CX21" i="237"/>
  <c r="CX37" i="237"/>
  <c r="CX54" i="237"/>
  <c r="CX56" i="237"/>
  <c r="CX72" i="237"/>
  <c r="CX88" i="237"/>
  <c r="CX16" i="237"/>
  <c r="CX32" i="237"/>
  <c r="CX4" i="237"/>
  <c r="CX58" i="237"/>
  <c r="CX52" i="237"/>
  <c r="CX73" i="237"/>
  <c r="CX91" i="237"/>
  <c r="CX22" i="237"/>
  <c r="CX40" i="237"/>
  <c r="CX57" i="237"/>
  <c r="CX76" i="237"/>
  <c r="CX7" i="237"/>
  <c r="CX25" i="237"/>
  <c r="CX43" i="237"/>
  <c r="CX59" i="237"/>
  <c r="CX78" i="237"/>
  <c r="CX8" i="237"/>
  <c r="CX26" i="237"/>
  <c r="CX44" i="237"/>
  <c r="CX62" i="237"/>
  <c r="CX80" i="237"/>
  <c r="CX10" i="237"/>
  <c r="CX28" i="237"/>
  <c r="CX46" i="237"/>
  <c r="CX63" i="237"/>
  <c r="CX81" i="237"/>
  <c r="CX11" i="237"/>
  <c r="CX29" i="237"/>
  <c r="CX47" i="237"/>
  <c r="CX64" i="237"/>
  <c r="CX82" i="237"/>
  <c r="CX12" i="237"/>
  <c r="CX30" i="237"/>
  <c r="CX65" i="237"/>
  <c r="CX83" i="237"/>
  <c r="CX13" i="237"/>
  <c r="CX31" i="237"/>
  <c r="CX66" i="237"/>
  <c r="CX84" i="237"/>
  <c r="CX14" i="237"/>
  <c r="CX33" i="237"/>
  <c r="CX68" i="237"/>
  <c r="CX86" i="237"/>
  <c r="CX17" i="237"/>
  <c r="CX35" i="237"/>
  <c r="CX55" i="237"/>
  <c r="CX15" i="237"/>
  <c r="CX67" i="237"/>
  <c r="CX19" i="237"/>
  <c r="CX69" i="237"/>
  <c r="CX20" i="237"/>
  <c r="CX70" i="237"/>
  <c r="CX23" i="237"/>
  <c r="CX71" i="237"/>
  <c r="CX24" i="237"/>
  <c r="CX74" i="237"/>
  <c r="CX27" i="237"/>
  <c r="CX79" i="237"/>
  <c r="CX36" i="237"/>
  <c r="CX85" i="237"/>
  <c r="CX38" i="237"/>
  <c r="CX87" i="237"/>
  <c r="CX39" i="237"/>
  <c r="CX89" i="237"/>
  <c r="CX41" i="237"/>
  <c r="CX49" i="237"/>
  <c r="CX90" i="237"/>
  <c r="CX42" i="237"/>
  <c r="CX50" i="237"/>
  <c r="CX51" i="237"/>
  <c r="CX75" i="237"/>
  <c r="CX48" i="237"/>
  <c r="CX9" i="237"/>
  <c r="CX34" i="237"/>
  <c r="CX45" i="237"/>
  <c r="CX60" i="237"/>
  <c r="CX6" i="237"/>
  <c r="CX18" i="237"/>
  <c r="CX53" i="237"/>
  <c r="AH49" i="237"/>
  <c r="AH65" i="237"/>
  <c r="AH81" i="237"/>
  <c r="AH9" i="237"/>
  <c r="AH25" i="237"/>
  <c r="AH41" i="237"/>
  <c r="AH50" i="237"/>
  <c r="AH66" i="237"/>
  <c r="AH82" i="237"/>
  <c r="AH10" i="237"/>
  <c r="AH26" i="237"/>
  <c r="AH42" i="237"/>
  <c r="AH51" i="237"/>
  <c r="AH67" i="237"/>
  <c r="AH83" i="237"/>
  <c r="AH11" i="237"/>
  <c r="AH27" i="237"/>
  <c r="AH43" i="237"/>
  <c r="AH54" i="237"/>
  <c r="AH70" i="237"/>
  <c r="AH86" i="237"/>
  <c r="AH14" i="237"/>
  <c r="AH30" i="237"/>
  <c r="AH46" i="237"/>
  <c r="AH55" i="237"/>
  <c r="AH71" i="237"/>
  <c r="AH87" i="237"/>
  <c r="AH15" i="237"/>
  <c r="AH31" i="237"/>
  <c r="AH47" i="237"/>
  <c r="AH57" i="237"/>
  <c r="AH73" i="237"/>
  <c r="AH89" i="237"/>
  <c r="AH17" i="237"/>
  <c r="AH33" i="237"/>
  <c r="AH59" i="237"/>
  <c r="AH75" i="237"/>
  <c r="AH91" i="237"/>
  <c r="AH19" i="237"/>
  <c r="AH35" i="237"/>
  <c r="AH60" i="237"/>
  <c r="AH76" i="237"/>
  <c r="AH48" i="237"/>
  <c r="AH20" i="237"/>
  <c r="AH36" i="237"/>
  <c r="AH79" i="237"/>
  <c r="AH23" i="237"/>
  <c r="AH80" i="237"/>
  <c r="AH24" i="237"/>
  <c r="AH52" i="237"/>
  <c r="AH84" i="237"/>
  <c r="AH28" i="237"/>
  <c r="AH58" i="237"/>
  <c r="AH90" i="237"/>
  <c r="AH34" i="237"/>
  <c r="AH61" i="237"/>
  <c r="AH5" i="237"/>
  <c r="AH37" i="237"/>
  <c r="AH62" i="237"/>
  <c r="AH6" i="237"/>
  <c r="AH38" i="237"/>
  <c r="AH63" i="237"/>
  <c r="AH7" i="237"/>
  <c r="AH39" i="237"/>
  <c r="AH64" i="237"/>
  <c r="AH8" i="237"/>
  <c r="AH40" i="237"/>
  <c r="AH68" i="237"/>
  <c r="AH12" i="237"/>
  <c r="AH44" i="237"/>
  <c r="AH69" i="237"/>
  <c r="AH13" i="237"/>
  <c r="AH45" i="237"/>
  <c r="AH18" i="237"/>
  <c r="AH21" i="237"/>
  <c r="AH72" i="237"/>
  <c r="AH16" i="237"/>
  <c r="AH4" i="237"/>
  <c r="AH74" i="237"/>
  <c r="AH77" i="237"/>
  <c r="AH78" i="237"/>
  <c r="AH53" i="237"/>
  <c r="AH32" i="237"/>
  <c r="AH56" i="237"/>
  <c r="AH85" i="237"/>
  <c r="AH88" i="237"/>
  <c r="AH22" i="237"/>
  <c r="AH29" i="237"/>
  <c r="M49" i="115"/>
  <c r="CV57" i="237"/>
  <c r="CV73" i="237"/>
  <c r="CV89" i="237"/>
  <c r="CV17" i="237"/>
  <c r="CV33" i="237"/>
  <c r="CV60" i="237"/>
  <c r="CV76" i="237"/>
  <c r="CV48" i="237"/>
  <c r="CV20" i="237"/>
  <c r="CV36" i="237"/>
  <c r="CV61" i="237"/>
  <c r="CV77" i="237"/>
  <c r="CV5" i="237"/>
  <c r="CV21" i="237"/>
  <c r="CV37" i="237"/>
  <c r="CV63" i="237"/>
  <c r="CV79" i="237"/>
  <c r="CV7" i="237"/>
  <c r="CV23" i="237"/>
  <c r="CV39" i="237"/>
  <c r="CV64" i="237"/>
  <c r="CV80" i="237"/>
  <c r="CV8" i="237"/>
  <c r="CV24" i="237"/>
  <c r="CV40" i="237"/>
  <c r="CV49" i="237"/>
  <c r="CV65" i="237"/>
  <c r="CV81" i="237"/>
  <c r="CV9" i="237"/>
  <c r="CV25" i="237"/>
  <c r="CV41" i="237"/>
  <c r="CV50" i="237"/>
  <c r="CV66" i="237"/>
  <c r="CV82" i="237"/>
  <c r="CV10" i="237"/>
  <c r="CV26" i="237"/>
  <c r="CV42" i="237"/>
  <c r="CV51" i="237"/>
  <c r="CV67" i="237"/>
  <c r="CV83" i="237"/>
  <c r="CV11" i="237"/>
  <c r="CV27" i="237"/>
  <c r="CV43" i="237"/>
  <c r="CV53" i="237"/>
  <c r="CV69" i="237"/>
  <c r="CV85" i="237"/>
  <c r="CV13" i="237"/>
  <c r="CV29" i="237"/>
  <c r="CV45" i="237"/>
  <c r="CV55" i="237"/>
  <c r="CV90" i="237"/>
  <c r="CV38" i="237"/>
  <c r="CV58" i="237"/>
  <c r="CV6" i="237"/>
  <c r="CV46" i="237"/>
  <c r="CV59" i="237"/>
  <c r="CV12" i="237"/>
  <c r="CV47" i="237"/>
  <c r="CV62" i="237"/>
  <c r="CV14" i="237"/>
  <c r="CV4" i="237"/>
  <c r="CV68" i="237"/>
  <c r="CV15" i="237"/>
  <c r="CV70" i="237"/>
  <c r="CV16" i="237"/>
  <c r="CV72" i="237"/>
  <c r="CV19" i="237"/>
  <c r="CV74" i="237"/>
  <c r="CV22" i="237"/>
  <c r="CV75" i="237"/>
  <c r="CV28" i="237"/>
  <c r="CV78" i="237"/>
  <c r="CV30" i="237"/>
  <c r="CV84" i="237"/>
  <c r="CV31" i="237"/>
  <c r="CV71" i="237"/>
  <c r="CV86" i="237"/>
  <c r="CV87" i="237"/>
  <c r="CV88" i="237"/>
  <c r="CV32" i="237"/>
  <c r="CV34" i="237"/>
  <c r="CV44" i="237"/>
  <c r="CV52" i="237"/>
  <c r="CV91" i="237"/>
  <c r="CV18" i="237"/>
  <c r="CV35" i="237"/>
  <c r="CV54" i="237"/>
  <c r="CV56" i="237"/>
  <c r="AD49" i="237"/>
  <c r="AD65" i="237"/>
  <c r="AD81" i="237"/>
  <c r="AD9" i="237"/>
  <c r="AD25" i="237"/>
  <c r="AD41" i="237"/>
  <c r="AD50" i="237"/>
  <c r="AD66" i="237"/>
  <c r="AD82" i="237"/>
  <c r="AD10" i="237"/>
  <c r="AD26" i="237"/>
  <c r="AD42" i="237"/>
  <c r="AD51" i="237"/>
  <c r="AD67" i="237"/>
  <c r="AD83" i="237"/>
  <c r="AD11" i="237"/>
  <c r="AD27" i="237"/>
  <c r="AD43" i="237"/>
  <c r="AD54" i="237"/>
  <c r="AD55" i="237"/>
  <c r="AD71" i="237"/>
  <c r="AD87" i="237"/>
  <c r="AD15" i="237"/>
  <c r="AD31" i="237"/>
  <c r="AD47" i="237"/>
  <c r="AD57" i="237"/>
  <c r="AD73" i="237"/>
  <c r="AD89" i="237"/>
  <c r="AD17" i="237"/>
  <c r="AD33" i="237"/>
  <c r="AD59" i="237"/>
  <c r="AD75" i="237"/>
  <c r="AD91" i="237"/>
  <c r="AD19" i="237"/>
  <c r="AD35" i="237"/>
  <c r="AD60" i="237"/>
  <c r="AD76" i="237"/>
  <c r="AD48" i="237"/>
  <c r="AD20" i="237"/>
  <c r="AD36" i="237"/>
  <c r="AD63" i="237"/>
  <c r="AD5" i="237"/>
  <c r="AD32" i="237"/>
  <c r="AD64" i="237"/>
  <c r="AD6" i="237"/>
  <c r="AD34" i="237"/>
  <c r="AD68" i="237"/>
  <c r="AD7" i="237"/>
  <c r="AD37" i="237"/>
  <c r="AD72" i="237"/>
  <c r="AD13" i="237"/>
  <c r="AD40" i="237"/>
  <c r="AD16" i="237"/>
  <c r="AD45" i="237"/>
  <c r="AD28" i="237"/>
  <c r="AD74" i="237"/>
  <c r="AD14" i="237"/>
  <c r="AD44" i="237"/>
  <c r="AD77" i="237"/>
  <c r="AD86" i="237"/>
  <c r="AD78" i="237"/>
  <c r="AD18" i="237"/>
  <c r="AD46" i="237"/>
  <c r="AD58" i="237"/>
  <c r="AD29" i="237"/>
  <c r="AD79" i="237"/>
  <c r="AD21" i="237"/>
  <c r="AD4" i="237"/>
  <c r="AD52" i="237"/>
  <c r="AD80" i="237"/>
  <c r="AD22" i="237"/>
  <c r="AD61" i="237"/>
  <c r="AD53" i="237"/>
  <c r="AD84" i="237"/>
  <c r="AD23" i="237"/>
  <c r="AD88" i="237"/>
  <c r="AD56" i="237"/>
  <c r="AD85" i="237"/>
  <c r="AD24" i="237"/>
  <c r="AD69" i="237"/>
  <c r="AD70" i="237"/>
  <c r="AD8" i="237"/>
  <c r="AD90" i="237"/>
  <c r="AD62" i="237"/>
  <c r="AD12" i="237"/>
  <c r="AD30" i="237"/>
  <c r="AD38" i="237"/>
  <c r="AD39" i="237"/>
  <c r="AF57" i="237"/>
  <c r="AF73" i="237"/>
  <c r="AF89" i="237"/>
  <c r="AF17" i="237"/>
  <c r="AF33" i="237"/>
  <c r="AF58" i="237"/>
  <c r="AF74" i="237"/>
  <c r="AF90" i="237"/>
  <c r="AF18" i="237"/>
  <c r="AF34" i="237"/>
  <c r="AF59" i="237"/>
  <c r="AF75" i="237"/>
  <c r="AF91" i="237"/>
  <c r="AF19" i="237"/>
  <c r="AF35" i="237"/>
  <c r="AF62" i="237"/>
  <c r="AF78" i="237"/>
  <c r="AF6" i="237"/>
  <c r="AF22" i="237"/>
  <c r="AF38" i="237"/>
  <c r="AF63" i="237"/>
  <c r="AF79" i="237"/>
  <c r="AF7" i="237"/>
  <c r="AF23" i="237"/>
  <c r="AF39" i="237"/>
  <c r="AF49" i="237"/>
  <c r="AF65" i="237"/>
  <c r="AF81" i="237"/>
  <c r="AF9" i="237"/>
  <c r="AF25" i="237"/>
  <c r="AF41" i="237"/>
  <c r="AF51" i="237"/>
  <c r="AF67" i="237"/>
  <c r="AF83" i="237"/>
  <c r="AF11" i="237"/>
  <c r="AF27" i="237"/>
  <c r="AF43" i="237"/>
  <c r="AF52" i="237"/>
  <c r="AF68" i="237"/>
  <c r="AF84" i="237"/>
  <c r="AF12" i="237"/>
  <c r="AF28" i="237"/>
  <c r="AF44" i="237"/>
  <c r="AF55" i="237"/>
  <c r="AF87" i="237"/>
  <c r="AF31" i="237"/>
  <c r="AF56" i="237"/>
  <c r="AF88" i="237"/>
  <c r="AF32" i="237"/>
  <c r="AF60" i="237"/>
  <c r="AF48" i="237"/>
  <c r="AF36" i="237"/>
  <c r="AF66" i="237"/>
  <c r="AF10" i="237"/>
  <c r="AF42" i="237"/>
  <c r="AF46" i="237"/>
  <c r="AF53" i="237"/>
  <c r="AF69" i="237"/>
  <c r="AF13" i="237"/>
  <c r="AF45" i="237"/>
  <c r="AF70" i="237"/>
  <c r="AF14" i="237"/>
  <c r="AF29" i="237"/>
  <c r="AF71" i="237"/>
  <c r="AF15" i="237"/>
  <c r="AF47" i="237"/>
  <c r="AF72" i="237"/>
  <c r="AF16" i="237"/>
  <c r="AF4" i="237"/>
  <c r="AF76" i="237"/>
  <c r="AF20" i="237"/>
  <c r="AF50" i="237"/>
  <c r="AF77" i="237"/>
  <c r="AF21" i="237"/>
  <c r="AF26" i="237"/>
  <c r="AF54" i="237"/>
  <c r="AF80" i="237"/>
  <c r="AF24" i="237"/>
  <c r="AF82" i="237"/>
  <c r="AF85" i="237"/>
  <c r="AF30" i="237"/>
  <c r="AF8" i="237"/>
  <c r="AF40" i="237"/>
  <c r="AF37" i="237"/>
  <c r="AF61" i="237"/>
  <c r="AF64" i="237"/>
  <c r="AF86" i="237"/>
  <c r="AF5" i="237"/>
  <c r="M31" i="115"/>
  <c r="BL56" i="237"/>
  <c r="BL72" i="237"/>
  <c r="BL88" i="237"/>
  <c r="BL16" i="237"/>
  <c r="BL32" i="237"/>
  <c r="BL4" i="237"/>
  <c r="BL57" i="237"/>
  <c r="BL73" i="237"/>
  <c r="BL89" i="237"/>
  <c r="BL17" i="237"/>
  <c r="BL33" i="237"/>
  <c r="BL58" i="237"/>
  <c r="BL74" i="237"/>
  <c r="BL90" i="237"/>
  <c r="BL18" i="237"/>
  <c r="BL34" i="237"/>
  <c r="BL59" i="237"/>
  <c r="BL75" i="237"/>
  <c r="BL91" i="237"/>
  <c r="BL19" i="237"/>
  <c r="BL35" i="237"/>
  <c r="BL62" i="237"/>
  <c r="BL78" i="237"/>
  <c r="BL6" i="237"/>
  <c r="BL22" i="237"/>
  <c r="BL38" i="237"/>
  <c r="BL63" i="237"/>
  <c r="BL79" i="237"/>
  <c r="BL7" i="237"/>
  <c r="BL23" i="237"/>
  <c r="BL39" i="237"/>
  <c r="BL49" i="237"/>
  <c r="BL65" i="237"/>
  <c r="BL81" i="237"/>
  <c r="BL9" i="237"/>
  <c r="BL25" i="237"/>
  <c r="BL41" i="237"/>
  <c r="BL51" i="237"/>
  <c r="BL67" i="237"/>
  <c r="BL83" i="237"/>
  <c r="BL11" i="237"/>
  <c r="BL27" i="237"/>
  <c r="BL43" i="237"/>
  <c r="BL52" i="237"/>
  <c r="BL68" i="237"/>
  <c r="BL84" i="237"/>
  <c r="BL12" i="237"/>
  <c r="BL28" i="237"/>
  <c r="BL44" i="237"/>
  <c r="BL53" i="237"/>
  <c r="BL69" i="237"/>
  <c r="BL85" i="237"/>
  <c r="BL13" i="237"/>
  <c r="BL29" i="237"/>
  <c r="BL45" i="237"/>
  <c r="BL66" i="237"/>
  <c r="BL21" i="237"/>
  <c r="BL70" i="237"/>
  <c r="BL24" i="237"/>
  <c r="BL71" i="237"/>
  <c r="BL26" i="237"/>
  <c r="BL80" i="237"/>
  <c r="BL36" i="237"/>
  <c r="BL61" i="237"/>
  <c r="BL82" i="237"/>
  <c r="BL37" i="237"/>
  <c r="BL86" i="237"/>
  <c r="BL40" i="237"/>
  <c r="BL14" i="237"/>
  <c r="BL87" i="237"/>
  <c r="BL42" i="237"/>
  <c r="BL15" i="237"/>
  <c r="BL48" i="237"/>
  <c r="BL46" i="237"/>
  <c r="BL50" i="237"/>
  <c r="BL5" i="237"/>
  <c r="BL47" i="237"/>
  <c r="BL20" i="237"/>
  <c r="BL54" i="237"/>
  <c r="BL8" i="237"/>
  <c r="BL60" i="237"/>
  <c r="BL64" i="237"/>
  <c r="BL55" i="237"/>
  <c r="BL10" i="237"/>
  <c r="BL76" i="237"/>
  <c r="BL77" i="237"/>
  <c r="BL31" i="237"/>
  <c r="BL30" i="237"/>
  <c r="M48" i="115"/>
  <c r="CT49" i="237"/>
  <c r="CT65" i="237"/>
  <c r="CT81" i="237"/>
  <c r="CT9" i="237"/>
  <c r="CT25" i="237"/>
  <c r="CT41" i="237"/>
  <c r="CT52" i="237"/>
  <c r="CT68" i="237"/>
  <c r="CT84" i="237"/>
  <c r="CT12" i="237"/>
  <c r="CT28" i="237"/>
  <c r="CT44" i="237"/>
  <c r="CT53" i="237"/>
  <c r="CT69" i="237"/>
  <c r="CT85" i="237"/>
  <c r="CT13" i="237"/>
  <c r="CT29" i="237"/>
  <c r="CT45" i="237"/>
  <c r="CT55" i="237"/>
  <c r="CT71" i="237"/>
  <c r="CT87" i="237"/>
  <c r="CT15" i="237"/>
  <c r="CT31" i="237"/>
  <c r="CT47" i="237"/>
  <c r="CT56" i="237"/>
  <c r="CT72" i="237"/>
  <c r="CT88" i="237"/>
  <c r="CT16" i="237"/>
  <c r="CT32" i="237"/>
  <c r="CT4" i="237"/>
  <c r="CT57" i="237"/>
  <c r="CT73" i="237"/>
  <c r="CT89" i="237"/>
  <c r="CT17" i="237"/>
  <c r="CT33" i="237"/>
  <c r="CT58" i="237"/>
  <c r="CT74" i="237"/>
  <c r="CT90" i="237"/>
  <c r="CT18" i="237"/>
  <c r="CT34" i="237"/>
  <c r="CT59" i="237"/>
  <c r="CT75" i="237"/>
  <c r="CT91" i="237"/>
  <c r="CT19" i="237"/>
  <c r="CT35" i="237"/>
  <c r="CT61" i="237"/>
  <c r="CT77" i="237"/>
  <c r="CT5" i="237"/>
  <c r="CT21" i="237"/>
  <c r="CT37" i="237"/>
  <c r="CT78" i="237"/>
  <c r="CT24" i="237"/>
  <c r="CT80" i="237"/>
  <c r="CT27" i="237"/>
  <c r="CT82" i="237"/>
  <c r="CT30" i="237"/>
  <c r="CT83" i="237"/>
  <c r="CT36" i="237"/>
  <c r="CT50" i="237"/>
  <c r="CT86" i="237"/>
  <c r="CT38" i="237"/>
  <c r="CT51" i="237"/>
  <c r="CT48" i="237"/>
  <c r="CT39" i="237"/>
  <c r="CT60" i="237"/>
  <c r="CT7" i="237"/>
  <c r="CT42" i="237"/>
  <c r="CT62" i="237"/>
  <c r="CT8" i="237"/>
  <c r="CT43" i="237"/>
  <c r="CT63" i="237"/>
  <c r="CT10" i="237"/>
  <c r="CT46" i="237"/>
  <c r="CT64" i="237"/>
  <c r="CT11" i="237"/>
  <c r="CT66" i="237"/>
  <c r="CT14" i="237"/>
  <c r="CT20" i="237"/>
  <c r="CT22" i="237"/>
  <c r="CT23" i="237"/>
  <c r="CT26" i="237"/>
  <c r="CT67" i="237"/>
  <c r="CT70" i="237"/>
  <c r="CT76" i="237"/>
  <c r="CT54" i="237"/>
  <c r="CT79" i="237"/>
  <c r="CT6" i="237"/>
  <c r="CT40" i="237"/>
  <c r="H37" i="188"/>
  <c r="AB57" i="237"/>
  <c r="AB73" i="237"/>
  <c r="AB89" i="237"/>
  <c r="AB17" i="237"/>
  <c r="AB33" i="237"/>
  <c r="AB58" i="237"/>
  <c r="AB74" i="237"/>
  <c r="AB90" i="237"/>
  <c r="AB18" i="237"/>
  <c r="AB34" i="237"/>
  <c r="AB59" i="237"/>
  <c r="AB75" i="237"/>
  <c r="AB91" i="237"/>
  <c r="AB19" i="237"/>
  <c r="AB35" i="237"/>
  <c r="AB63" i="237"/>
  <c r="AB79" i="237"/>
  <c r="AB7" i="237"/>
  <c r="AB23" i="237"/>
  <c r="AB39" i="237"/>
  <c r="AB49" i="237"/>
  <c r="AB65" i="237"/>
  <c r="AB81" i="237"/>
  <c r="AB9" i="237"/>
  <c r="AB25" i="237"/>
  <c r="AB41" i="237"/>
  <c r="AB51" i="237"/>
  <c r="AB67" i="237"/>
  <c r="AB83" i="237"/>
  <c r="AB11" i="237"/>
  <c r="AB27" i="237"/>
  <c r="AB52" i="237"/>
  <c r="AB68" i="237"/>
  <c r="AB84" i="237"/>
  <c r="AB12" i="237"/>
  <c r="AB28" i="237"/>
  <c r="AB61" i="237"/>
  <c r="AB88" i="237"/>
  <c r="AB30" i="237"/>
  <c r="AB62" i="237"/>
  <c r="AB48" i="237"/>
  <c r="AB31" i="237"/>
  <c r="AB64" i="237"/>
  <c r="AB5" i="237"/>
  <c r="AB32" i="237"/>
  <c r="AB70" i="237"/>
  <c r="AB10" i="237"/>
  <c r="AB38" i="237"/>
  <c r="AB14" i="237"/>
  <c r="AB42" i="237"/>
  <c r="AB86" i="237"/>
  <c r="AB71" i="237"/>
  <c r="AB13" i="237"/>
  <c r="AB40" i="237"/>
  <c r="AB72" i="237"/>
  <c r="AB76" i="237"/>
  <c r="AB15" i="237"/>
  <c r="AB43" i="237"/>
  <c r="AB77" i="237"/>
  <c r="AB16" i="237"/>
  <c r="AB44" i="237"/>
  <c r="AB50" i="237"/>
  <c r="AB78" i="237"/>
  <c r="AB20" i="237"/>
  <c r="AB45" i="237"/>
  <c r="AB4" i="237"/>
  <c r="AB53" i="237"/>
  <c r="AB80" i="237"/>
  <c r="AB21" i="237"/>
  <c r="AB46" i="237"/>
  <c r="AB55" i="237"/>
  <c r="AB24" i="237"/>
  <c r="AB26" i="237"/>
  <c r="AB54" i="237"/>
  <c r="AB82" i="237"/>
  <c r="AB22" i="237"/>
  <c r="AB47" i="237"/>
  <c r="AB85" i="237"/>
  <c r="AB56" i="237"/>
  <c r="AB6" i="237"/>
  <c r="AB8" i="237"/>
  <c r="AB29" i="237"/>
  <c r="AB36" i="237"/>
  <c r="AB37" i="237"/>
  <c r="AB87" i="237"/>
  <c r="AB60" i="237"/>
  <c r="AB66" i="237"/>
  <c r="AB69" i="237"/>
  <c r="M30" i="115"/>
  <c r="BJ64" i="237"/>
  <c r="BJ80" i="237"/>
  <c r="BJ8" i="237"/>
  <c r="BJ24" i="237"/>
  <c r="BJ40" i="237"/>
  <c r="BJ49" i="237"/>
  <c r="BJ65" i="237"/>
  <c r="BJ81" i="237"/>
  <c r="BJ9" i="237"/>
  <c r="BJ25" i="237"/>
  <c r="BJ41" i="237"/>
  <c r="BJ50" i="237"/>
  <c r="BJ66" i="237"/>
  <c r="BJ82" i="237"/>
  <c r="BJ10" i="237"/>
  <c r="BJ26" i="237"/>
  <c r="BJ42" i="237"/>
  <c r="BJ51" i="237"/>
  <c r="BJ67" i="237"/>
  <c r="BJ83" i="237"/>
  <c r="BJ11" i="237"/>
  <c r="BJ27" i="237"/>
  <c r="BJ43" i="237"/>
  <c r="BJ54" i="237"/>
  <c r="BJ70" i="237"/>
  <c r="BJ86" i="237"/>
  <c r="BJ14" i="237"/>
  <c r="BJ30" i="237"/>
  <c r="BJ46" i="237"/>
  <c r="BJ55" i="237"/>
  <c r="BJ71" i="237"/>
  <c r="BJ87" i="237"/>
  <c r="BJ15" i="237"/>
  <c r="BJ31" i="237"/>
  <c r="BJ47" i="237"/>
  <c r="BJ57" i="237"/>
  <c r="BJ73" i="237"/>
  <c r="BJ89" i="237"/>
  <c r="BJ17" i="237"/>
  <c r="BJ33" i="237"/>
  <c r="BJ59" i="237"/>
  <c r="BJ75" i="237"/>
  <c r="BJ91" i="237"/>
  <c r="BJ19" i="237"/>
  <c r="BJ35" i="237"/>
  <c r="BJ60" i="237"/>
  <c r="BJ76" i="237"/>
  <c r="BJ48" i="237"/>
  <c r="BJ20" i="237"/>
  <c r="BJ36" i="237"/>
  <c r="BJ61" i="237"/>
  <c r="BJ77" i="237"/>
  <c r="BJ5" i="237"/>
  <c r="BJ21" i="237"/>
  <c r="BJ37" i="237"/>
  <c r="BJ63" i="237"/>
  <c r="BJ18" i="237"/>
  <c r="BJ68" i="237"/>
  <c r="BJ22" i="237"/>
  <c r="BJ69" i="237"/>
  <c r="BJ23" i="237"/>
  <c r="BJ78" i="237"/>
  <c r="BJ32" i="237"/>
  <c r="BJ79" i="237"/>
  <c r="BJ34" i="237"/>
  <c r="BJ84" i="237"/>
  <c r="BJ38" i="237"/>
  <c r="BJ85" i="237"/>
  <c r="BJ39" i="237"/>
  <c r="BJ16" i="237"/>
  <c r="BJ88" i="237"/>
  <c r="BJ44" i="237"/>
  <c r="BJ90" i="237"/>
  <c r="BJ45" i="237"/>
  <c r="BJ52" i="237"/>
  <c r="BJ6" i="237"/>
  <c r="BJ4" i="237"/>
  <c r="BJ12" i="237"/>
  <c r="BJ58" i="237"/>
  <c r="BJ53" i="237"/>
  <c r="BJ7" i="237"/>
  <c r="BJ56" i="237"/>
  <c r="BJ13" i="237"/>
  <c r="BJ62" i="237"/>
  <c r="BJ72" i="237"/>
  <c r="BJ74" i="237"/>
  <c r="BJ28" i="237"/>
  <c r="BJ29" i="237"/>
  <c r="M47" i="115"/>
  <c r="CR57" i="237"/>
  <c r="CR73" i="237"/>
  <c r="CR89" i="237"/>
  <c r="CR17" i="237"/>
  <c r="CR33" i="237"/>
  <c r="CR60" i="237"/>
  <c r="CR76" i="237"/>
  <c r="CR48" i="237"/>
  <c r="CR20" i="237"/>
  <c r="CR36" i="237"/>
  <c r="CR61" i="237"/>
  <c r="CR77" i="237"/>
  <c r="CR5" i="237"/>
  <c r="CR21" i="237"/>
  <c r="CR37" i="237"/>
  <c r="CR63" i="237"/>
  <c r="CR79" i="237"/>
  <c r="CR7" i="237"/>
  <c r="CR23" i="237"/>
  <c r="CR39" i="237"/>
  <c r="CR64" i="237"/>
  <c r="CR80" i="237"/>
  <c r="CR8" i="237"/>
  <c r="CR24" i="237"/>
  <c r="CR40" i="237"/>
  <c r="CR49" i="237"/>
  <c r="CR65" i="237"/>
  <c r="CR81" i="237"/>
  <c r="CR9" i="237"/>
  <c r="CR25" i="237"/>
  <c r="CR41" i="237"/>
  <c r="CR50" i="237"/>
  <c r="CR66" i="237"/>
  <c r="CR82" i="237"/>
  <c r="CR10" i="237"/>
  <c r="CR26" i="237"/>
  <c r="CR42" i="237"/>
  <c r="CR51" i="237"/>
  <c r="CR67" i="237"/>
  <c r="CR83" i="237"/>
  <c r="CR11" i="237"/>
  <c r="CR27" i="237"/>
  <c r="CR43" i="237"/>
  <c r="CR53" i="237"/>
  <c r="CR69" i="237"/>
  <c r="CR85" i="237"/>
  <c r="CR13" i="237"/>
  <c r="CR29" i="237"/>
  <c r="CR45" i="237"/>
  <c r="CR59" i="237"/>
  <c r="CR12" i="237"/>
  <c r="CR47" i="237"/>
  <c r="CR68" i="237"/>
  <c r="CR15" i="237"/>
  <c r="CR70" i="237"/>
  <c r="CR16" i="237"/>
  <c r="CR71" i="237"/>
  <c r="CR18" i="237"/>
  <c r="CR72" i="237"/>
  <c r="CR19" i="237"/>
  <c r="CR74" i="237"/>
  <c r="CR22" i="237"/>
  <c r="CR78" i="237"/>
  <c r="CR30" i="237"/>
  <c r="CR84" i="237"/>
  <c r="CR31" i="237"/>
  <c r="CR86" i="237"/>
  <c r="CR32" i="237"/>
  <c r="CR52" i="237"/>
  <c r="CR87" i="237"/>
  <c r="CR34" i="237"/>
  <c r="CR54" i="237"/>
  <c r="CR88" i="237"/>
  <c r="CR35" i="237"/>
  <c r="CR44" i="237"/>
  <c r="CR46" i="237"/>
  <c r="CR4" i="237"/>
  <c r="CR56" i="237"/>
  <c r="CR58" i="237"/>
  <c r="CR75" i="237"/>
  <c r="CR91" i="237"/>
  <c r="CR6" i="237"/>
  <c r="CR14" i="237"/>
  <c r="CR38" i="237"/>
  <c r="CR62" i="237"/>
  <c r="CR28" i="237"/>
  <c r="CR90" i="237"/>
  <c r="CR55" i="237"/>
  <c r="H37" i="187"/>
  <c r="Z51" i="237"/>
  <c r="Z67" i="237"/>
  <c r="Z83" i="237"/>
  <c r="Z11" i="237"/>
  <c r="Z27" i="237"/>
  <c r="Z43" i="237"/>
  <c r="Z52" i="237"/>
  <c r="Z68" i="237"/>
  <c r="Z84" i="237"/>
  <c r="Z12" i="237"/>
  <c r="Z28" i="237"/>
  <c r="Z44" i="237"/>
  <c r="Z53" i="237"/>
  <c r="Z69" i="237"/>
  <c r="Z85" i="237"/>
  <c r="Z13" i="237"/>
  <c r="Z29" i="237"/>
  <c r="Z45" i="237"/>
  <c r="Z56" i="237"/>
  <c r="Z72" i="237"/>
  <c r="Z88" i="237"/>
  <c r="Z16" i="237"/>
  <c r="Z32" i="237"/>
  <c r="Z4" i="237"/>
  <c r="Z58" i="237"/>
  <c r="Z90" i="237"/>
  <c r="Z18" i="237"/>
  <c r="Z34" i="237"/>
  <c r="Z40" i="237"/>
  <c r="Z25" i="237"/>
  <c r="Z57" i="237"/>
  <c r="Z73" i="237"/>
  <c r="Z89" i="237"/>
  <c r="Z17" i="237"/>
  <c r="Z33" i="237"/>
  <c r="Z74" i="237"/>
  <c r="Z24" i="237"/>
  <c r="Z9" i="237"/>
  <c r="Z59" i="237"/>
  <c r="Z75" i="237"/>
  <c r="Z91" i="237"/>
  <c r="Z19" i="237"/>
  <c r="Z35" i="237"/>
  <c r="Z80" i="237"/>
  <c r="Z60" i="237"/>
  <c r="Z76" i="237"/>
  <c r="Z48" i="237"/>
  <c r="Z20" i="237"/>
  <c r="Z36" i="237"/>
  <c r="Z61" i="237"/>
  <c r="Z77" i="237"/>
  <c r="Z5" i="237"/>
  <c r="Z21" i="237"/>
  <c r="Z37" i="237"/>
  <c r="Z62" i="237"/>
  <c r="Z78" i="237"/>
  <c r="Z6" i="237"/>
  <c r="Z22" i="237"/>
  <c r="Z38" i="237"/>
  <c r="Z8" i="237"/>
  <c r="Z65" i="237"/>
  <c r="Z41" i="237"/>
  <c r="Z63" i="237"/>
  <c r="Z79" i="237"/>
  <c r="Z7" i="237"/>
  <c r="Z23" i="237"/>
  <c r="Z39" i="237"/>
  <c r="Z64" i="237"/>
  <c r="Z49" i="237"/>
  <c r="Z81" i="237"/>
  <c r="Z15" i="237"/>
  <c r="Z26" i="237"/>
  <c r="Z30" i="237"/>
  <c r="Z50" i="237"/>
  <c r="Z46" i="237"/>
  <c r="Z54" i="237"/>
  <c r="Z47" i="237"/>
  <c r="Z55" i="237"/>
  <c r="Z14" i="237"/>
  <c r="Z66" i="237"/>
  <c r="Z31" i="237"/>
  <c r="Z70" i="237"/>
  <c r="Z82" i="237"/>
  <c r="Z71" i="237"/>
  <c r="Z86" i="237"/>
  <c r="Z87" i="237"/>
  <c r="Z10" i="237"/>
  <c r="Z42" i="237"/>
  <c r="M29" i="115"/>
  <c r="BH56" i="237"/>
  <c r="BH72" i="237"/>
  <c r="BH88" i="237"/>
  <c r="BH16" i="237"/>
  <c r="BH32" i="237"/>
  <c r="BH4" i="237"/>
  <c r="BH57" i="237"/>
  <c r="BH73" i="237"/>
  <c r="BH89" i="237"/>
  <c r="BH17" i="237"/>
  <c r="BH33" i="237"/>
  <c r="BH58" i="237"/>
  <c r="BH74" i="237"/>
  <c r="BH90" i="237"/>
  <c r="BH18" i="237"/>
  <c r="BH34" i="237"/>
  <c r="BH59" i="237"/>
  <c r="BH75" i="237"/>
  <c r="BH91" i="237"/>
  <c r="BH19" i="237"/>
  <c r="BH35" i="237"/>
  <c r="BH62" i="237"/>
  <c r="BH78" i="237"/>
  <c r="BH6" i="237"/>
  <c r="BH22" i="237"/>
  <c r="BH38" i="237"/>
  <c r="BH63" i="237"/>
  <c r="BH79" i="237"/>
  <c r="BH7" i="237"/>
  <c r="BH23" i="237"/>
  <c r="BH39" i="237"/>
  <c r="BH49" i="237"/>
  <c r="BH65" i="237"/>
  <c r="BH81" i="237"/>
  <c r="BH9" i="237"/>
  <c r="BH25" i="237"/>
  <c r="BH41" i="237"/>
  <c r="BH51" i="237"/>
  <c r="BH67" i="237"/>
  <c r="BH83" i="237"/>
  <c r="BH11" i="237"/>
  <c r="BH27" i="237"/>
  <c r="BH43" i="237"/>
  <c r="BH52" i="237"/>
  <c r="BH68" i="237"/>
  <c r="BH84" i="237"/>
  <c r="BH12" i="237"/>
  <c r="BH28" i="237"/>
  <c r="BH44" i="237"/>
  <c r="BH53" i="237"/>
  <c r="BH69" i="237"/>
  <c r="BH85" i="237"/>
  <c r="BH13" i="237"/>
  <c r="BH29" i="237"/>
  <c r="BH45" i="237"/>
  <c r="BH61" i="237"/>
  <c r="BH15" i="237"/>
  <c r="BH64" i="237"/>
  <c r="BH20" i="237"/>
  <c r="BH66" i="237"/>
  <c r="BH21" i="237"/>
  <c r="BH76" i="237"/>
  <c r="BH30" i="237"/>
  <c r="BH55" i="237"/>
  <c r="BH77" i="237"/>
  <c r="BH31" i="237"/>
  <c r="BH80" i="237"/>
  <c r="BH36" i="237"/>
  <c r="BH14" i="237"/>
  <c r="BH82" i="237"/>
  <c r="BH37" i="237"/>
  <c r="BH54" i="237"/>
  <c r="BH86" i="237"/>
  <c r="BH40" i="237"/>
  <c r="BH87" i="237"/>
  <c r="BH42" i="237"/>
  <c r="BH48" i="237"/>
  <c r="BH46" i="237"/>
  <c r="BH60" i="237"/>
  <c r="BH50" i="237"/>
  <c r="BH5" i="237"/>
  <c r="BH47" i="237"/>
  <c r="BH8" i="237"/>
  <c r="BH10" i="237"/>
  <c r="BH24" i="237"/>
  <c r="BH70" i="237"/>
  <c r="BH71" i="237"/>
  <c r="BH26" i="237"/>
  <c r="M46" i="115"/>
  <c r="CP49" i="237"/>
  <c r="CP65" i="237"/>
  <c r="CP81" i="237"/>
  <c r="CP9" i="237"/>
  <c r="CP25" i="237"/>
  <c r="CP41" i="237"/>
  <c r="CP52" i="237"/>
  <c r="CP68" i="237"/>
  <c r="CP84" i="237"/>
  <c r="CP12" i="237"/>
  <c r="CP28" i="237"/>
  <c r="CP44" i="237"/>
  <c r="CP53" i="237"/>
  <c r="CP69" i="237"/>
  <c r="CP85" i="237"/>
  <c r="CP13" i="237"/>
  <c r="CP29" i="237"/>
  <c r="CP45" i="237"/>
  <c r="CP55" i="237"/>
  <c r="CP71" i="237"/>
  <c r="CP87" i="237"/>
  <c r="CP15" i="237"/>
  <c r="CP31" i="237"/>
  <c r="CP47" i="237"/>
  <c r="CP56" i="237"/>
  <c r="CP72" i="237"/>
  <c r="CP88" i="237"/>
  <c r="CP16" i="237"/>
  <c r="CP57" i="237"/>
  <c r="CP73" i="237"/>
  <c r="CP89" i="237"/>
  <c r="CP17" i="237"/>
  <c r="CP33" i="237"/>
  <c r="CP58" i="237"/>
  <c r="CP74" i="237"/>
  <c r="CP90" i="237"/>
  <c r="CP18" i="237"/>
  <c r="CP34" i="237"/>
  <c r="CP59" i="237"/>
  <c r="CP75" i="237"/>
  <c r="CP91" i="237"/>
  <c r="CP19" i="237"/>
  <c r="CP35" i="237"/>
  <c r="CP61" i="237"/>
  <c r="CP77" i="237"/>
  <c r="CP5" i="237"/>
  <c r="CP21" i="237"/>
  <c r="CP37" i="237"/>
  <c r="CP82" i="237"/>
  <c r="CP30" i="237"/>
  <c r="CP50" i="237"/>
  <c r="CP86" i="237"/>
  <c r="CP36" i="237"/>
  <c r="CP51" i="237"/>
  <c r="CP48" i="237"/>
  <c r="CP38" i="237"/>
  <c r="CP54" i="237"/>
  <c r="CP6" i="237"/>
  <c r="CP39" i="237"/>
  <c r="CP60" i="237"/>
  <c r="CP7" i="237"/>
  <c r="CP40" i="237"/>
  <c r="CP62" i="237"/>
  <c r="CP64" i="237"/>
  <c r="CP11" i="237"/>
  <c r="CP46" i="237"/>
  <c r="CP66" i="237"/>
  <c r="CP14" i="237"/>
  <c r="CP4" i="237"/>
  <c r="CP67" i="237"/>
  <c r="CP20" i="237"/>
  <c r="CP70" i="237"/>
  <c r="CP22" i="237"/>
  <c r="CP76" i="237"/>
  <c r="CP23" i="237"/>
  <c r="CP63" i="237"/>
  <c r="CP80" i="237"/>
  <c r="CP83" i="237"/>
  <c r="CP10" i="237"/>
  <c r="CP26" i="237"/>
  <c r="CP27" i="237"/>
  <c r="CP32" i="237"/>
  <c r="CP78" i="237"/>
  <c r="CP79" i="237"/>
  <c r="CP42" i="237"/>
  <c r="CP43" i="237"/>
  <c r="CP8" i="237"/>
  <c r="CP24" i="237"/>
  <c r="M28" i="115"/>
  <c r="BF64" i="237"/>
  <c r="BF80" i="237"/>
  <c r="BF8" i="237"/>
  <c r="BF24" i="237"/>
  <c r="BF40" i="237"/>
  <c r="BF49" i="237"/>
  <c r="BF65" i="237"/>
  <c r="BF81" i="237"/>
  <c r="BF9" i="237"/>
  <c r="BF25" i="237"/>
  <c r="BF41" i="237"/>
  <c r="BF50" i="237"/>
  <c r="BF66" i="237"/>
  <c r="BF82" i="237"/>
  <c r="BF10" i="237"/>
  <c r="BF26" i="237"/>
  <c r="BF42" i="237"/>
  <c r="BF51" i="237"/>
  <c r="BF67" i="237"/>
  <c r="BF83" i="237"/>
  <c r="BF11" i="237"/>
  <c r="BF27" i="237"/>
  <c r="BF43" i="237"/>
  <c r="BF54" i="237"/>
  <c r="BF70" i="237"/>
  <c r="BF86" i="237"/>
  <c r="BF14" i="237"/>
  <c r="BF30" i="237"/>
  <c r="BF46" i="237"/>
  <c r="BF55" i="237"/>
  <c r="BF71" i="237"/>
  <c r="BF87" i="237"/>
  <c r="BF15" i="237"/>
  <c r="BF31" i="237"/>
  <c r="BF47" i="237"/>
  <c r="BF57" i="237"/>
  <c r="BF73" i="237"/>
  <c r="BF89" i="237"/>
  <c r="BF17" i="237"/>
  <c r="BF33" i="237"/>
  <c r="BF59" i="237"/>
  <c r="BF75" i="237"/>
  <c r="BF91" i="237"/>
  <c r="BF19" i="237"/>
  <c r="BF35" i="237"/>
  <c r="BF60" i="237"/>
  <c r="BF76" i="237"/>
  <c r="BF48" i="237"/>
  <c r="BF20" i="237"/>
  <c r="BF36" i="237"/>
  <c r="BF61" i="237"/>
  <c r="BF77" i="237"/>
  <c r="BF5" i="237"/>
  <c r="BF21" i="237"/>
  <c r="BF37" i="237"/>
  <c r="BF58" i="237"/>
  <c r="BF13" i="237"/>
  <c r="BF62" i="237"/>
  <c r="BF16" i="237"/>
  <c r="BF63" i="237"/>
  <c r="BF18" i="237"/>
  <c r="BF72" i="237"/>
  <c r="BF28" i="237"/>
  <c r="BF56" i="237"/>
  <c r="BF74" i="237"/>
  <c r="BF29" i="237"/>
  <c r="BF78" i="237"/>
  <c r="BF32" i="237"/>
  <c r="BF4" i="237"/>
  <c r="BF79" i="237"/>
  <c r="BF34" i="237"/>
  <c r="BF84" i="237"/>
  <c r="BF38" i="237"/>
  <c r="BF85" i="237"/>
  <c r="BF39" i="237"/>
  <c r="BF6" i="237"/>
  <c r="BF7" i="237"/>
  <c r="BF88" i="237"/>
  <c r="BF44" i="237"/>
  <c r="BF52" i="237"/>
  <c r="BF53" i="237"/>
  <c r="BF90" i="237"/>
  <c r="BF45" i="237"/>
  <c r="BF12" i="237"/>
  <c r="BF23" i="237"/>
  <c r="BF22" i="237"/>
  <c r="BF68" i="237"/>
  <c r="BF69" i="237"/>
  <c r="M45" i="115"/>
  <c r="CN57" i="237"/>
  <c r="CN73" i="237"/>
  <c r="CN89" i="237"/>
  <c r="CN60" i="237"/>
  <c r="CN76" i="237"/>
  <c r="CN48" i="237"/>
  <c r="CN20" i="237"/>
  <c r="CN36" i="237"/>
  <c r="CN61" i="237"/>
  <c r="CN77" i="237"/>
  <c r="CN5" i="237"/>
  <c r="CN21" i="237"/>
  <c r="CN37" i="237"/>
  <c r="CN63" i="237"/>
  <c r="CN79" i="237"/>
  <c r="CN7" i="237"/>
  <c r="CN23" i="237"/>
  <c r="CN39" i="237"/>
  <c r="CN49" i="237"/>
  <c r="CN65" i="237"/>
  <c r="CN81" i="237"/>
  <c r="CN9" i="237"/>
  <c r="CN25" i="237"/>
  <c r="CN41" i="237"/>
  <c r="CN50" i="237"/>
  <c r="CN66" i="237"/>
  <c r="CN82" i="237"/>
  <c r="CN10" i="237"/>
  <c r="CN26" i="237"/>
  <c r="CN42" i="237"/>
  <c r="CN51" i="237"/>
  <c r="CN67" i="237"/>
  <c r="CN83" i="237"/>
  <c r="CN11" i="237"/>
  <c r="CN27" i="237"/>
  <c r="CN43" i="237"/>
  <c r="CN53" i="237"/>
  <c r="CN62" i="237"/>
  <c r="CN90" i="237"/>
  <c r="CN30" i="237"/>
  <c r="CN68" i="237"/>
  <c r="CN6" i="237"/>
  <c r="CN32" i="237"/>
  <c r="CN69" i="237"/>
  <c r="CN8" i="237"/>
  <c r="CN33" i="237"/>
  <c r="CN70" i="237"/>
  <c r="CN12" i="237"/>
  <c r="CN34" i="237"/>
  <c r="CN71" i="237"/>
  <c r="CN13" i="237"/>
  <c r="CN35" i="237"/>
  <c r="CN75" i="237"/>
  <c r="CN16" i="237"/>
  <c r="CN44" i="237"/>
  <c r="CN78" i="237"/>
  <c r="CN17" i="237"/>
  <c r="CN45" i="237"/>
  <c r="CN52" i="237"/>
  <c r="CN80" i="237"/>
  <c r="CN18" i="237"/>
  <c r="CN46" i="237"/>
  <c r="CN54" i="237"/>
  <c r="CN84" i="237"/>
  <c r="CN19" i="237"/>
  <c r="CN47" i="237"/>
  <c r="CN55" i="237"/>
  <c r="CN85" i="237"/>
  <c r="CN22" i="237"/>
  <c r="CN4" i="237"/>
  <c r="CN56" i="237"/>
  <c r="CN38" i="237"/>
  <c r="CN58" i="237"/>
  <c r="CN40" i="237"/>
  <c r="CN59" i="237"/>
  <c r="CN64" i="237"/>
  <c r="CN86" i="237"/>
  <c r="CN87" i="237"/>
  <c r="CN91" i="237"/>
  <c r="CN15" i="237"/>
  <c r="CN24" i="237"/>
  <c r="CN28" i="237"/>
  <c r="CN72" i="237"/>
  <c r="CN74" i="237"/>
  <c r="CN88" i="237"/>
  <c r="CN14" i="237"/>
  <c r="CN29" i="237"/>
  <c r="CN31" i="237"/>
  <c r="M27" i="115"/>
  <c r="BD56" i="237"/>
  <c r="BD72" i="237"/>
  <c r="BD88" i="237"/>
  <c r="BD16" i="237"/>
  <c r="BD32" i="237"/>
  <c r="BD4" i="237"/>
  <c r="BD57" i="237"/>
  <c r="BD73" i="237"/>
  <c r="BD89" i="237"/>
  <c r="BD17" i="237"/>
  <c r="BD33" i="237"/>
  <c r="BD58" i="237"/>
  <c r="BD74" i="237"/>
  <c r="BD90" i="237"/>
  <c r="BD18" i="237"/>
  <c r="BD34" i="237"/>
  <c r="BD59" i="237"/>
  <c r="BD75" i="237"/>
  <c r="BD91" i="237"/>
  <c r="BD19" i="237"/>
  <c r="BD35" i="237"/>
  <c r="BD62" i="237"/>
  <c r="BD78" i="237"/>
  <c r="BD6" i="237"/>
  <c r="BD22" i="237"/>
  <c r="BD38" i="237"/>
  <c r="BD63" i="237"/>
  <c r="BD79" i="237"/>
  <c r="BD7" i="237"/>
  <c r="BD23" i="237"/>
  <c r="BD39" i="237"/>
  <c r="BD49" i="237"/>
  <c r="BD65" i="237"/>
  <c r="BD81" i="237"/>
  <c r="BD9" i="237"/>
  <c r="BD25" i="237"/>
  <c r="BD41" i="237"/>
  <c r="BD51" i="237"/>
  <c r="BD67" i="237"/>
  <c r="BD83" i="237"/>
  <c r="BD11" i="237"/>
  <c r="BD27" i="237"/>
  <c r="BD43" i="237"/>
  <c r="BD52" i="237"/>
  <c r="BD68" i="237"/>
  <c r="BD84" i="237"/>
  <c r="BD12" i="237"/>
  <c r="BD28" i="237"/>
  <c r="BD44" i="237"/>
  <c r="BD53" i="237"/>
  <c r="BD69" i="237"/>
  <c r="BD85" i="237"/>
  <c r="BD13" i="237"/>
  <c r="BD29" i="237"/>
  <c r="BD45" i="237"/>
  <c r="BD55" i="237"/>
  <c r="BD10" i="237"/>
  <c r="BD60" i="237"/>
  <c r="BD14" i="237"/>
  <c r="BD61" i="237"/>
  <c r="BD15" i="237"/>
  <c r="BD70" i="237"/>
  <c r="BD24" i="237"/>
  <c r="BD71" i="237"/>
  <c r="BD26" i="237"/>
  <c r="BD76" i="237"/>
  <c r="BD30" i="237"/>
  <c r="BD5" i="237"/>
  <c r="BD77" i="237"/>
  <c r="BD31" i="237"/>
  <c r="BD50" i="237"/>
  <c r="BD80" i="237"/>
  <c r="BD36" i="237"/>
  <c r="BD82" i="237"/>
  <c r="BD37" i="237"/>
  <c r="BD54" i="237"/>
  <c r="BD86" i="237"/>
  <c r="BD40" i="237"/>
  <c r="BD48" i="237"/>
  <c r="BD8" i="237"/>
  <c r="BD87" i="237"/>
  <c r="BD42" i="237"/>
  <c r="BD46" i="237"/>
  <c r="BD47" i="237"/>
  <c r="BD20" i="237"/>
  <c r="BD64" i="237"/>
  <c r="BD66" i="237"/>
  <c r="BD21" i="237"/>
  <c r="M43" i="115"/>
  <c r="CJ60" i="237"/>
  <c r="CJ76" i="237"/>
  <c r="CJ48" i="237"/>
  <c r="CJ20" i="237"/>
  <c r="CJ36" i="237"/>
  <c r="CJ61" i="237"/>
  <c r="CJ77" i="237"/>
  <c r="CJ5" i="237"/>
  <c r="CJ21" i="237"/>
  <c r="CJ37" i="237"/>
  <c r="CJ63" i="237"/>
  <c r="CJ79" i="237"/>
  <c r="CJ7" i="237"/>
  <c r="CJ23" i="237"/>
  <c r="CJ39" i="237"/>
  <c r="CJ49" i="237"/>
  <c r="CJ65" i="237"/>
  <c r="CJ81" i="237"/>
  <c r="CJ9" i="237"/>
  <c r="CJ25" i="237"/>
  <c r="CJ41" i="237"/>
  <c r="CJ50" i="237"/>
  <c r="CJ66" i="237"/>
  <c r="CJ82" i="237"/>
  <c r="CJ10" i="237"/>
  <c r="CJ26" i="237"/>
  <c r="CJ42" i="237"/>
  <c r="CJ51" i="237"/>
  <c r="CJ67" i="237"/>
  <c r="CJ83" i="237"/>
  <c r="CJ11" i="237"/>
  <c r="CJ27" i="237"/>
  <c r="CJ43" i="237"/>
  <c r="CJ70" i="237"/>
  <c r="CJ6" i="237"/>
  <c r="CJ32" i="237"/>
  <c r="CJ72" i="237"/>
  <c r="CJ12" i="237"/>
  <c r="CJ34" i="237"/>
  <c r="CJ73" i="237"/>
  <c r="CJ13" i="237"/>
  <c r="CJ35" i="237"/>
  <c r="CJ52" i="237"/>
  <c r="CJ74" i="237"/>
  <c r="CJ14" i="237"/>
  <c r="CJ38" i="237"/>
  <c r="CJ53" i="237"/>
  <c r="CJ75" i="237"/>
  <c r="CJ15" i="237"/>
  <c r="CJ40" i="237"/>
  <c r="CJ56" i="237"/>
  <c r="CJ84" i="237"/>
  <c r="CJ18" i="237"/>
  <c r="CJ46" i="237"/>
  <c r="CJ57" i="237"/>
  <c r="CJ85" i="237"/>
  <c r="CJ19" i="237"/>
  <c r="CJ47" i="237"/>
  <c r="CJ58" i="237"/>
  <c r="CJ86" i="237"/>
  <c r="CJ22" i="237"/>
  <c r="CJ4" i="237"/>
  <c r="CJ59" i="237"/>
  <c r="CJ87" i="237"/>
  <c r="CJ24" i="237"/>
  <c r="CJ62" i="237"/>
  <c r="CJ88" i="237"/>
  <c r="CJ28" i="237"/>
  <c r="CJ89" i="237"/>
  <c r="CJ90" i="237"/>
  <c r="CJ91" i="237"/>
  <c r="CJ8" i="237"/>
  <c r="CJ29" i="237"/>
  <c r="CJ30" i="237"/>
  <c r="CJ55" i="237"/>
  <c r="CJ33" i="237"/>
  <c r="CJ68" i="237"/>
  <c r="CJ45" i="237"/>
  <c r="CJ69" i="237"/>
  <c r="CJ71" i="237"/>
  <c r="CJ54" i="237"/>
  <c r="CJ64" i="237"/>
  <c r="CJ78" i="237"/>
  <c r="CJ80" i="237"/>
  <c r="CJ16" i="237"/>
  <c r="CJ17" i="237"/>
  <c r="CJ31" i="237"/>
  <c r="CJ44" i="237"/>
  <c r="M44" i="115"/>
  <c r="CL52" i="237"/>
  <c r="CL68" i="237"/>
  <c r="CL84" i="237"/>
  <c r="CL12" i="237"/>
  <c r="CL28" i="237"/>
  <c r="CL44" i="237"/>
  <c r="CL53" i="237"/>
  <c r="CL69" i="237"/>
  <c r="CL85" i="237"/>
  <c r="CL13" i="237"/>
  <c r="CL29" i="237"/>
  <c r="CL45" i="237"/>
  <c r="CL55" i="237"/>
  <c r="CL71" i="237"/>
  <c r="CL87" i="237"/>
  <c r="CL15" i="237"/>
  <c r="CL31" i="237"/>
  <c r="CL47" i="237"/>
  <c r="CL57" i="237"/>
  <c r="CL73" i="237"/>
  <c r="CL89" i="237"/>
  <c r="CL17" i="237"/>
  <c r="CL33" i="237"/>
  <c r="CL58" i="237"/>
  <c r="CL74" i="237"/>
  <c r="CL90" i="237"/>
  <c r="CL18" i="237"/>
  <c r="CL34" i="237"/>
  <c r="CL59" i="237"/>
  <c r="CL75" i="237"/>
  <c r="CL91" i="237"/>
  <c r="CL19" i="237"/>
  <c r="CL35" i="237"/>
  <c r="CL54" i="237"/>
  <c r="CL80" i="237"/>
  <c r="CL20" i="237"/>
  <c r="CL42" i="237"/>
  <c r="CL60" i="237"/>
  <c r="CL82" i="237"/>
  <c r="CL22" i="237"/>
  <c r="CL46" i="237"/>
  <c r="CL61" i="237"/>
  <c r="CL83" i="237"/>
  <c r="CL23" i="237"/>
  <c r="CL4" i="237"/>
  <c r="CL62" i="237"/>
  <c r="CL86" i="237"/>
  <c r="CL24" i="237"/>
  <c r="CL63" i="237"/>
  <c r="CL88" i="237"/>
  <c r="CL25" i="237"/>
  <c r="CL66" i="237"/>
  <c r="CL6" i="237"/>
  <c r="CL30" i="237"/>
  <c r="CL67" i="237"/>
  <c r="CL7" i="237"/>
  <c r="CL32" i="237"/>
  <c r="CL70" i="237"/>
  <c r="CL8" i="237"/>
  <c r="CL36" i="237"/>
  <c r="CL72" i="237"/>
  <c r="CL9" i="237"/>
  <c r="CL37" i="237"/>
  <c r="CL76" i="237"/>
  <c r="CL10" i="237"/>
  <c r="CL38" i="237"/>
  <c r="CL16" i="237"/>
  <c r="CL21" i="237"/>
  <c r="CL49" i="237"/>
  <c r="CL26" i="237"/>
  <c r="CL50" i="237"/>
  <c r="CL27" i="237"/>
  <c r="CL64" i="237"/>
  <c r="CL41" i="237"/>
  <c r="CL65" i="237"/>
  <c r="CL43" i="237"/>
  <c r="CL78" i="237"/>
  <c r="CL81" i="237"/>
  <c r="CL48" i="237"/>
  <c r="CL5" i="237"/>
  <c r="CL79" i="237"/>
  <c r="CL11" i="237"/>
  <c r="CL14" i="237"/>
  <c r="CL56" i="237"/>
  <c r="CL51" i="237"/>
  <c r="CL77" i="237"/>
  <c r="CL39" i="237"/>
  <c r="CL40" i="237"/>
  <c r="M26" i="115"/>
  <c r="BB64" i="237"/>
  <c r="BB80" i="237"/>
  <c r="BB8" i="237"/>
  <c r="BB24" i="237"/>
  <c r="BB40" i="237"/>
  <c r="BB49" i="237"/>
  <c r="BB65" i="237"/>
  <c r="BB81" i="237"/>
  <c r="BB9" i="237"/>
  <c r="BB25" i="237"/>
  <c r="BB41" i="237"/>
  <c r="BB50" i="237"/>
  <c r="BB66" i="237"/>
  <c r="BB82" i="237"/>
  <c r="BB10" i="237"/>
  <c r="BB26" i="237"/>
  <c r="BB42" i="237"/>
  <c r="BB51" i="237"/>
  <c r="BB67" i="237"/>
  <c r="BB83" i="237"/>
  <c r="BB11" i="237"/>
  <c r="BB27" i="237"/>
  <c r="BB43" i="237"/>
  <c r="BB54" i="237"/>
  <c r="BB70" i="237"/>
  <c r="BB86" i="237"/>
  <c r="BB14" i="237"/>
  <c r="BB30" i="237"/>
  <c r="BB46" i="237"/>
  <c r="BB55" i="237"/>
  <c r="BB71" i="237"/>
  <c r="BB87" i="237"/>
  <c r="BB15" i="237"/>
  <c r="BB31" i="237"/>
  <c r="BB47" i="237"/>
  <c r="BB57" i="237"/>
  <c r="BB73" i="237"/>
  <c r="BB89" i="237"/>
  <c r="BB17" i="237"/>
  <c r="BB33" i="237"/>
  <c r="BB59" i="237"/>
  <c r="BB75" i="237"/>
  <c r="BB91" i="237"/>
  <c r="BB19" i="237"/>
  <c r="BB35" i="237"/>
  <c r="BB60" i="237"/>
  <c r="BB76" i="237"/>
  <c r="BB48" i="237"/>
  <c r="BB20" i="237"/>
  <c r="BB36" i="237"/>
  <c r="BB61" i="237"/>
  <c r="BB77" i="237"/>
  <c r="BB5" i="237"/>
  <c r="BB21" i="237"/>
  <c r="BB37" i="237"/>
  <c r="BB53" i="237"/>
  <c r="BB7" i="237"/>
  <c r="BB56" i="237"/>
  <c r="BB12" i="237"/>
  <c r="BB58" i="237"/>
  <c r="BB13" i="237"/>
  <c r="BB68" i="237"/>
  <c r="BB22" i="237"/>
  <c r="BB45" i="237"/>
  <c r="BB69" i="237"/>
  <c r="BB23" i="237"/>
  <c r="BB72" i="237"/>
  <c r="BB28" i="237"/>
  <c r="BB74" i="237"/>
  <c r="BB29" i="237"/>
  <c r="BB52" i="237"/>
  <c r="BB78" i="237"/>
  <c r="BB32" i="237"/>
  <c r="BB79" i="237"/>
  <c r="BB34" i="237"/>
  <c r="BB84" i="237"/>
  <c r="BB38" i="237"/>
  <c r="BB88" i="237"/>
  <c r="BB90" i="237"/>
  <c r="BB4" i="237"/>
  <c r="BB85" i="237"/>
  <c r="BB39" i="237"/>
  <c r="BB44" i="237"/>
  <c r="BB6" i="237"/>
  <c r="BB62" i="237"/>
  <c r="BB63" i="237"/>
  <c r="BB16" i="237"/>
  <c r="BB18" i="237"/>
  <c r="M42" i="115"/>
  <c r="CH52" i="237"/>
  <c r="CH68" i="237"/>
  <c r="CH84" i="237"/>
  <c r="CH53" i="237"/>
  <c r="CH69" i="237"/>
  <c r="CH85" i="237"/>
  <c r="CH55" i="237"/>
  <c r="CH71" i="237"/>
  <c r="CH87" i="237"/>
  <c r="CH57" i="237"/>
  <c r="CH73" i="237"/>
  <c r="CH58" i="237"/>
  <c r="CH74" i="237"/>
  <c r="CH90" i="237"/>
  <c r="CH59" i="237"/>
  <c r="CH75" i="237"/>
  <c r="CH60" i="237"/>
  <c r="CH82" i="237"/>
  <c r="CH14" i="237"/>
  <c r="CH30" i="237"/>
  <c r="CH46" i="237"/>
  <c r="CH62" i="237"/>
  <c r="CH86" i="237"/>
  <c r="CH16" i="237"/>
  <c r="CH32" i="237"/>
  <c r="CH4" i="237"/>
  <c r="CH63" i="237"/>
  <c r="CH88" i="237"/>
  <c r="CH17" i="237"/>
  <c r="CH33" i="237"/>
  <c r="CH64" i="237"/>
  <c r="CH89" i="237"/>
  <c r="CH18" i="237"/>
  <c r="CH34" i="237"/>
  <c r="CH65" i="237"/>
  <c r="CH91" i="237"/>
  <c r="CH19" i="237"/>
  <c r="CH35" i="237"/>
  <c r="CH70" i="237"/>
  <c r="CH6" i="237"/>
  <c r="CH22" i="237"/>
  <c r="CH38" i="237"/>
  <c r="CH72" i="237"/>
  <c r="CH7" i="237"/>
  <c r="CH23" i="237"/>
  <c r="CH39" i="237"/>
  <c r="CH76" i="237"/>
  <c r="CH8" i="237"/>
  <c r="CH24" i="237"/>
  <c r="CH40" i="237"/>
  <c r="CH49" i="237"/>
  <c r="CH77" i="237"/>
  <c r="CH9" i="237"/>
  <c r="CH25" i="237"/>
  <c r="CH41" i="237"/>
  <c r="CH50" i="237"/>
  <c r="CH78" i="237"/>
  <c r="CH10" i="237"/>
  <c r="CH26" i="237"/>
  <c r="CH42" i="237"/>
  <c r="CH66" i="237"/>
  <c r="CH29" i="237"/>
  <c r="CH67" i="237"/>
  <c r="CH31" i="237"/>
  <c r="CH79" i="237"/>
  <c r="CH36" i="237"/>
  <c r="CH80" i="237"/>
  <c r="CH37" i="237"/>
  <c r="CH48" i="237"/>
  <c r="CH45" i="237"/>
  <c r="CH5" i="237"/>
  <c r="CH47" i="237"/>
  <c r="CH12" i="237"/>
  <c r="CH15" i="237"/>
  <c r="CH51" i="237"/>
  <c r="CH20" i="237"/>
  <c r="CH54" i="237"/>
  <c r="CH21" i="237"/>
  <c r="CH83" i="237"/>
  <c r="CH11" i="237"/>
  <c r="CH13" i="237"/>
  <c r="CH43" i="237"/>
  <c r="CH44" i="237"/>
  <c r="CH81" i="237"/>
  <c r="CH56" i="237"/>
  <c r="CH61" i="237"/>
  <c r="CH27" i="237"/>
  <c r="CH28" i="237"/>
  <c r="M25" i="115"/>
  <c r="AZ56" i="237"/>
  <c r="AZ72" i="237"/>
  <c r="AZ88" i="237"/>
  <c r="AZ16" i="237"/>
  <c r="AZ32" i="237"/>
  <c r="AZ4" i="237"/>
  <c r="AZ57" i="237"/>
  <c r="AZ73" i="237"/>
  <c r="AZ89" i="237"/>
  <c r="AZ17" i="237"/>
  <c r="AZ33" i="237"/>
  <c r="AZ58" i="237"/>
  <c r="AZ74" i="237"/>
  <c r="AZ90" i="237"/>
  <c r="AZ18" i="237"/>
  <c r="AZ34" i="237"/>
  <c r="AZ59" i="237"/>
  <c r="AZ75" i="237"/>
  <c r="AZ91" i="237"/>
  <c r="AZ19" i="237"/>
  <c r="AZ35" i="237"/>
  <c r="AZ62" i="237"/>
  <c r="AZ78" i="237"/>
  <c r="AZ6" i="237"/>
  <c r="AZ22" i="237"/>
  <c r="AZ38" i="237"/>
  <c r="AZ63" i="237"/>
  <c r="AZ79" i="237"/>
  <c r="AZ7" i="237"/>
  <c r="AZ23" i="237"/>
  <c r="AZ39" i="237"/>
  <c r="AZ49" i="237"/>
  <c r="AZ65" i="237"/>
  <c r="AZ81" i="237"/>
  <c r="AZ9" i="237"/>
  <c r="AZ25" i="237"/>
  <c r="AZ41" i="237"/>
  <c r="AZ51" i="237"/>
  <c r="AZ67" i="237"/>
  <c r="AZ83" i="237"/>
  <c r="AZ11" i="237"/>
  <c r="AZ27" i="237"/>
  <c r="AZ43" i="237"/>
  <c r="AZ52" i="237"/>
  <c r="AZ68" i="237"/>
  <c r="AZ84" i="237"/>
  <c r="AZ12" i="237"/>
  <c r="AZ28" i="237"/>
  <c r="AZ44" i="237"/>
  <c r="AZ53" i="237"/>
  <c r="AZ69" i="237"/>
  <c r="AZ85" i="237"/>
  <c r="AZ13" i="237"/>
  <c r="AZ29" i="237"/>
  <c r="AZ45" i="237"/>
  <c r="AZ50" i="237"/>
  <c r="AZ5" i="237"/>
  <c r="AZ47" i="237"/>
  <c r="AZ54" i="237"/>
  <c r="AZ8" i="237"/>
  <c r="AZ55" i="237"/>
  <c r="AZ10" i="237"/>
  <c r="AZ64" i="237"/>
  <c r="AZ20" i="237"/>
  <c r="AZ40" i="237"/>
  <c r="AZ48" i="237"/>
  <c r="AZ66" i="237"/>
  <c r="AZ21" i="237"/>
  <c r="AZ70" i="237"/>
  <c r="AZ24" i="237"/>
  <c r="AZ46" i="237"/>
  <c r="AZ71" i="237"/>
  <c r="AZ26" i="237"/>
  <c r="AZ86" i="237"/>
  <c r="AZ76" i="237"/>
  <c r="AZ30" i="237"/>
  <c r="AZ77" i="237"/>
  <c r="AZ31" i="237"/>
  <c r="AZ80" i="237"/>
  <c r="AZ36" i="237"/>
  <c r="AZ42" i="237"/>
  <c r="AZ82" i="237"/>
  <c r="AZ37" i="237"/>
  <c r="AZ87" i="237"/>
  <c r="AZ14" i="237"/>
  <c r="AZ60" i="237"/>
  <c r="AZ61" i="237"/>
  <c r="AZ15" i="237"/>
  <c r="M41" i="115"/>
  <c r="CF62" i="237"/>
  <c r="CF78" i="237"/>
  <c r="CF6" i="237"/>
  <c r="CF22" i="237"/>
  <c r="CF38" i="237"/>
  <c r="CF64" i="237"/>
  <c r="CF80" i="237"/>
  <c r="CF8" i="237"/>
  <c r="CF24" i="237"/>
  <c r="CF40" i="237"/>
  <c r="CF49" i="237"/>
  <c r="CF65" i="237"/>
  <c r="CF81" i="237"/>
  <c r="CF9" i="237"/>
  <c r="CF25" i="237"/>
  <c r="CF41" i="237"/>
  <c r="CF50" i="237"/>
  <c r="CF66" i="237"/>
  <c r="CF82" i="237"/>
  <c r="CF10" i="237"/>
  <c r="CF26" i="237"/>
  <c r="CF42" i="237"/>
  <c r="CF51" i="237"/>
  <c r="CF67" i="237"/>
  <c r="CF83" i="237"/>
  <c r="CF11" i="237"/>
  <c r="CF27" i="237"/>
  <c r="CF43" i="237"/>
  <c r="CF54" i="237"/>
  <c r="CF70" i="237"/>
  <c r="CF86" i="237"/>
  <c r="CF14" i="237"/>
  <c r="CF30" i="237"/>
  <c r="CF46" i="237"/>
  <c r="CF55" i="237"/>
  <c r="CF71" i="237"/>
  <c r="CF87" i="237"/>
  <c r="CF15" i="237"/>
  <c r="CF31" i="237"/>
  <c r="CF47" i="237"/>
  <c r="CF56" i="237"/>
  <c r="CF72" i="237"/>
  <c r="CF88" i="237"/>
  <c r="CF16" i="237"/>
  <c r="CF32" i="237"/>
  <c r="CF4" i="237"/>
  <c r="CF57" i="237"/>
  <c r="CF73" i="237"/>
  <c r="CF89" i="237"/>
  <c r="CF17" i="237"/>
  <c r="CF33" i="237"/>
  <c r="CF58" i="237"/>
  <c r="CF74" i="237"/>
  <c r="CF90" i="237"/>
  <c r="CF18" i="237"/>
  <c r="CF34" i="237"/>
  <c r="CF75" i="237"/>
  <c r="CF28" i="237"/>
  <c r="CF76" i="237"/>
  <c r="CF29" i="237"/>
  <c r="CF77" i="237"/>
  <c r="CF35" i="237"/>
  <c r="CF79" i="237"/>
  <c r="CF36" i="237"/>
  <c r="CF91" i="237"/>
  <c r="CF44" i="237"/>
  <c r="CF48" i="237"/>
  <c r="CF45" i="237"/>
  <c r="CF53" i="237"/>
  <c r="CF7" i="237"/>
  <c r="CF60" i="237"/>
  <c r="CF13" i="237"/>
  <c r="CF61" i="237"/>
  <c r="CF19" i="237"/>
  <c r="CF63" i="237"/>
  <c r="CF20" i="237"/>
  <c r="CF23" i="237"/>
  <c r="CF37" i="237"/>
  <c r="CF39" i="237"/>
  <c r="CF52" i="237"/>
  <c r="CF12" i="237"/>
  <c r="CF21" i="237"/>
  <c r="CF59" i="237"/>
  <c r="CF68" i="237"/>
  <c r="CF69" i="237"/>
  <c r="CF84" i="237"/>
  <c r="CF5" i="237"/>
  <c r="CF85" i="237"/>
  <c r="M60" i="115"/>
  <c r="DR61" i="237"/>
  <c r="DR77" i="237"/>
  <c r="DR5" i="237"/>
  <c r="DR21" i="237"/>
  <c r="DR37" i="237"/>
  <c r="DR50" i="237"/>
  <c r="DR66" i="237"/>
  <c r="DR82" i="237"/>
  <c r="DR10" i="237"/>
  <c r="DR26" i="237"/>
  <c r="DR42" i="237"/>
  <c r="DR51" i="237"/>
  <c r="DR67" i="237"/>
  <c r="DR83" i="237"/>
  <c r="DR11" i="237"/>
  <c r="DR27" i="237"/>
  <c r="DR43" i="237"/>
  <c r="DR52" i="237"/>
  <c r="DR68" i="237"/>
  <c r="DR84" i="237"/>
  <c r="DR12" i="237"/>
  <c r="DR28" i="237"/>
  <c r="DR44" i="237"/>
  <c r="DR54" i="237"/>
  <c r="DR70" i="237"/>
  <c r="DR86" i="237"/>
  <c r="DR14" i="237"/>
  <c r="DR30" i="237"/>
  <c r="DR46" i="237"/>
  <c r="DR55" i="237"/>
  <c r="DR71" i="237"/>
  <c r="DR87" i="237"/>
  <c r="DR15" i="237"/>
  <c r="DR31" i="237"/>
  <c r="DR47" i="237"/>
  <c r="DR56" i="237"/>
  <c r="DR72" i="237"/>
  <c r="DR88" i="237"/>
  <c r="DR16" i="237"/>
  <c r="DR32" i="237"/>
  <c r="DR4" i="237"/>
  <c r="DR58" i="237"/>
  <c r="DR74" i="237"/>
  <c r="DR90" i="237"/>
  <c r="DR18" i="237"/>
  <c r="DR34" i="237"/>
  <c r="DR64" i="237"/>
  <c r="DR8" i="237"/>
  <c r="DR40" i="237"/>
  <c r="DR73" i="237"/>
  <c r="DR17" i="237"/>
  <c r="DR75" i="237"/>
  <c r="DR19" i="237"/>
  <c r="DR78" i="237"/>
  <c r="DR22" i="237"/>
  <c r="DR79" i="237"/>
  <c r="DR23" i="237"/>
  <c r="DR80" i="237"/>
  <c r="DR24" i="237"/>
  <c r="DR49" i="237"/>
  <c r="DR81" i="237"/>
  <c r="DR25" i="237"/>
  <c r="DR53" i="237"/>
  <c r="DR85" i="237"/>
  <c r="DR29" i="237"/>
  <c r="DR59" i="237"/>
  <c r="DR91" i="237"/>
  <c r="DR35" i="237"/>
  <c r="DR63" i="237"/>
  <c r="DR45" i="237"/>
  <c r="DR69" i="237"/>
  <c r="DR76" i="237"/>
  <c r="DR89" i="237"/>
  <c r="DR48" i="237"/>
  <c r="DR6" i="237"/>
  <c r="DR9" i="237"/>
  <c r="DR13" i="237"/>
  <c r="DR20" i="237"/>
  <c r="DR33" i="237"/>
  <c r="DR36" i="237"/>
  <c r="DR57" i="237"/>
  <c r="DR62" i="237"/>
  <c r="DR7" i="237"/>
  <c r="DR38" i="237"/>
  <c r="DR39" i="237"/>
  <c r="DR41" i="237"/>
  <c r="DR60" i="237"/>
  <c r="DR65" i="237"/>
  <c r="M61" i="115"/>
  <c r="DT53" i="237"/>
  <c r="DT69" i="237"/>
  <c r="DT85" i="237"/>
  <c r="DT13" i="237"/>
  <c r="DT29" i="237"/>
  <c r="DT45" i="237"/>
  <c r="DT57" i="237"/>
  <c r="DT73" i="237"/>
  <c r="DT89" i="237"/>
  <c r="DT17" i="237"/>
  <c r="DT58" i="237"/>
  <c r="DT74" i="237"/>
  <c r="DT90" i="237"/>
  <c r="DT18" i="237"/>
  <c r="DT34" i="237"/>
  <c r="DT59" i="237"/>
  <c r="DT75" i="237"/>
  <c r="DT91" i="237"/>
  <c r="DT19" i="237"/>
  <c r="DT35" i="237"/>
  <c r="DT60" i="237"/>
  <c r="DT76" i="237"/>
  <c r="DT48" i="237"/>
  <c r="DT20" i="237"/>
  <c r="DT36" i="237"/>
  <c r="DT62" i="237"/>
  <c r="DT78" i="237"/>
  <c r="DT6" i="237"/>
  <c r="DT22" i="237"/>
  <c r="DT38" i="237"/>
  <c r="DT63" i="237"/>
  <c r="DT79" i="237"/>
  <c r="DT7" i="237"/>
  <c r="DT23" i="237"/>
  <c r="DT39" i="237"/>
  <c r="DT64" i="237"/>
  <c r="DT80" i="237"/>
  <c r="DT8" i="237"/>
  <c r="DT24" i="237"/>
  <c r="DT40" i="237"/>
  <c r="DT50" i="237"/>
  <c r="DT66" i="237"/>
  <c r="DT82" i="237"/>
  <c r="DT10" i="237"/>
  <c r="DT26" i="237"/>
  <c r="DT42" i="237"/>
  <c r="DT51" i="237"/>
  <c r="DT86" i="237"/>
  <c r="DT32" i="237"/>
  <c r="DT55" i="237"/>
  <c r="DT5" i="237"/>
  <c r="DT41" i="237"/>
  <c r="DT56" i="237"/>
  <c r="DT9" i="237"/>
  <c r="DT43" i="237"/>
  <c r="DT65" i="237"/>
  <c r="DT12" i="237"/>
  <c r="DT46" i="237"/>
  <c r="DT67" i="237"/>
  <c r="DT14" i="237"/>
  <c r="DT47" i="237"/>
  <c r="DT68" i="237"/>
  <c r="DT15" i="237"/>
  <c r="DT4" i="237"/>
  <c r="DT70" i="237"/>
  <c r="DT16" i="237"/>
  <c r="DT71" i="237"/>
  <c r="DT21" i="237"/>
  <c r="DT77" i="237"/>
  <c r="DT27" i="237"/>
  <c r="DT81" i="237"/>
  <c r="DT84" i="237"/>
  <c r="DT87" i="237"/>
  <c r="DT88" i="237"/>
  <c r="DT11" i="237"/>
  <c r="DT25" i="237"/>
  <c r="DT30" i="237"/>
  <c r="DT31" i="237"/>
  <c r="DT33" i="237"/>
  <c r="DT49" i="237"/>
  <c r="DT37" i="237"/>
  <c r="DT52" i="237"/>
  <c r="DT44" i="237"/>
  <c r="DT54" i="237"/>
  <c r="DT61" i="237"/>
  <c r="DT28" i="237"/>
  <c r="DT72" i="237"/>
  <c r="DT83" i="237"/>
  <c r="M24" i="115"/>
  <c r="AX64" i="237"/>
  <c r="AX80" i="237"/>
  <c r="AX8" i="237"/>
  <c r="AX24" i="237"/>
  <c r="AX40" i="237"/>
  <c r="AX49" i="237"/>
  <c r="AX65" i="237"/>
  <c r="AX81" i="237"/>
  <c r="AX9" i="237"/>
  <c r="AX25" i="237"/>
  <c r="AX41" i="237"/>
  <c r="AX50" i="237"/>
  <c r="AX66" i="237"/>
  <c r="AX82" i="237"/>
  <c r="AX10" i="237"/>
  <c r="AX26" i="237"/>
  <c r="AX42" i="237"/>
  <c r="AX51" i="237"/>
  <c r="AX67" i="237"/>
  <c r="AX83" i="237"/>
  <c r="AX11" i="237"/>
  <c r="AX27" i="237"/>
  <c r="AX43" i="237"/>
  <c r="AX54" i="237"/>
  <c r="AX70" i="237"/>
  <c r="AX86" i="237"/>
  <c r="AX14" i="237"/>
  <c r="AX30" i="237"/>
  <c r="AX46" i="237"/>
  <c r="AX55" i="237"/>
  <c r="AX71" i="237"/>
  <c r="AX87" i="237"/>
  <c r="AX15" i="237"/>
  <c r="AX31" i="237"/>
  <c r="AX47" i="237"/>
  <c r="AX57" i="237"/>
  <c r="AX73" i="237"/>
  <c r="AX89" i="237"/>
  <c r="AX17" i="237"/>
  <c r="AX33" i="237"/>
  <c r="AX59" i="237"/>
  <c r="AX75" i="237"/>
  <c r="AX91" i="237"/>
  <c r="AX19" i="237"/>
  <c r="AX35" i="237"/>
  <c r="AX60" i="237"/>
  <c r="AX76" i="237"/>
  <c r="AX48" i="237"/>
  <c r="AX20" i="237"/>
  <c r="AX36" i="237"/>
  <c r="AX61" i="237"/>
  <c r="AX77" i="237"/>
  <c r="AX5" i="237"/>
  <c r="AX21" i="237"/>
  <c r="AX37" i="237"/>
  <c r="AX90" i="237"/>
  <c r="AX45" i="237"/>
  <c r="AX52" i="237"/>
  <c r="AX6" i="237"/>
  <c r="AX4" i="237"/>
  <c r="AX53" i="237"/>
  <c r="AX7" i="237"/>
  <c r="AX62" i="237"/>
  <c r="AX16" i="237"/>
  <c r="AX63" i="237"/>
  <c r="AX18" i="237"/>
  <c r="AX68" i="237"/>
  <c r="AX22" i="237"/>
  <c r="AX84" i="237"/>
  <c r="AX69" i="237"/>
  <c r="AX23" i="237"/>
  <c r="AX85" i="237"/>
  <c r="AX72" i="237"/>
  <c r="AX28" i="237"/>
  <c r="AX74" i="237"/>
  <c r="AX29" i="237"/>
  <c r="AX39" i="237"/>
  <c r="AX78" i="237"/>
  <c r="AX32" i="237"/>
  <c r="AX38" i="237"/>
  <c r="AX79" i="237"/>
  <c r="AX34" i="237"/>
  <c r="AX44" i="237"/>
  <c r="AX12" i="237"/>
  <c r="AX13" i="237"/>
  <c r="AX88" i="237"/>
  <c r="AX56" i="237"/>
  <c r="AX58" i="237"/>
  <c r="M40" i="115"/>
  <c r="CD54" i="237"/>
  <c r="CD70" i="237"/>
  <c r="CD86" i="237"/>
  <c r="CD14" i="237"/>
  <c r="CD30" i="237"/>
  <c r="CD46" i="237"/>
  <c r="CD56" i="237"/>
  <c r="CD72" i="237"/>
  <c r="CD88" i="237"/>
  <c r="CD16" i="237"/>
  <c r="CD32" i="237"/>
  <c r="CD4" i="237"/>
  <c r="CD57" i="237"/>
  <c r="CD73" i="237"/>
  <c r="CD89" i="237"/>
  <c r="CD17" i="237"/>
  <c r="CD33" i="237"/>
  <c r="CD58" i="237"/>
  <c r="CD74" i="237"/>
  <c r="CD90" i="237"/>
  <c r="CD18" i="237"/>
  <c r="CD34" i="237"/>
  <c r="CD59" i="237"/>
  <c r="CD75" i="237"/>
  <c r="CD91" i="237"/>
  <c r="CD19" i="237"/>
  <c r="CD35" i="237"/>
  <c r="CD62" i="237"/>
  <c r="CD78" i="237"/>
  <c r="CD6" i="237"/>
  <c r="CD22" i="237"/>
  <c r="CD38" i="237"/>
  <c r="CD63" i="237"/>
  <c r="CD79" i="237"/>
  <c r="CD7" i="237"/>
  <c r="CD23" i="237"/>
  <c r="CD39" i="237"/>
  <c r="CD64" i="237"/>
  <c r="CD80" i="237"/>
  <c r="CD8" i="237"/>
  <c r="CD24" i="237"/>
  <c r="CD40" i="237"/>
  <c r="CD49" i="237"/>
  <c r="CD65" i="237"/>
  <c r="CD81" i="237"/>
  <c r="CD9" i="237"/>
  <c r="CD25" i="237"/>
  <c r="CD41" i="237"/>
  <c r="CD50" i="237"/>
  <c r="CD66" i="237"/>
  <c r="CD82" i="237"/>
  <c r="CD10" i="237"/>
  <c r="CD26" i="237"/>
  <c r="CD42" i="237"/>
  <c r="CD69" i="237"/>
  <c r="CD27" i="237"/>
  <c r="CD71" i="237"/>
  <c r="CD28" i="237"/>
  <c r="CD76" i="237"/>
  <c r="CD29" i="237"/>
  <c r="CD77" i="237"/>
  <c r="CD31" i="237"/>
  <c r="CD85" i="237"/>
  <c r="CD43" i="237"/>
  <c r="CD87" i="237"/>
  <c r="CD44" i="237"/>
  <c r="CD52" i="237"/>
  <c r="CD5" i="237"/>
  <c r="CD47" i="237"/>
  <c r="CD55" i="237"/>
  <c r="CD12" i="237"/>
  <c r="CD60" i="237"/>
  <c r="CD13" i="237"/>
  <c r="CD61" i="237"/>
  <c r="CD15" i="237"/>
  <c r="CD67" i="237"/>
  <c r="CD68" i="237"/>
  <c r="CD83" i="237"/>
  <c r="CD84" i="237"/>
  <c r="CD48" i="237"/>
  <c r="CD11" i="237"/>
  <c r="CD20" i="237"/>
  <c r="CD45" i="237"/>
  <c r="CD21" i="237"/>
  <c r="CD36" i="237"/>
  <c r="CD37" i="237"/>
  <c r="CD51" i="237"/>
  <c r="CD53" i="237"/>
  <c r="M59" i="115"/>
  <c r="DP53" i="237"/>
  <c r="DP69" i="237"/>
  <c r="DP85" i="237"/>
  <c r="DP13" i="237"/>
  <c r="DP29" i="237"/>
  <c r="DP45" i="237"/>
  <c r="DP58" i="237"/>
  <c r="DP74" i="237"/>
  <c r="DP90" i="237"/>
  <c r="DP18" i="237"/>
  <c r="DP34" i="237"/>
  <c r="DP59" i="237"/>
  <c r="DP75" i="237"/>
  <c r="DP91" i="237"/>
  <c r="DP19" i="237"/>
  <c r="DP35" i="237"/>
  <c r="DP60" i="237"/>
  <c r="DP76" i="237"/>
  <c r="DP48" i="237"/>
  <c r="DP20" i="237"/>
  <c r="DP36" i="237"/>
  <c r="DP62" i="237"/>
  <c r="DP78" i="237"/>
  <c r="DP6" i="237"/>
  <c r="DP22" i="237"/>
  <c r="DP38" i="237"/>
  <c r="DP63" i="237"/>
  <c r="DP79" i="237"/>
  <c r="DP7" i="237"/>
  <c r="DP23" i="237"/>
  <c r="DP39" i="237"/>
  <c r="DP64" i="237"/>
  <c r="DP80" i="237"/>
  <c r="DP8" i="237"/>
  <c r="DP24" i="237"/>
  <c r="DP40" i="237"/>
  <c r="DP50" i="237"/>
  <c r="DP66" i="237"/>
  <c r="DP82" i="237"/>
  <c r="DP10" i="237"/>
  <c r="DP26" i="237"/>
  <c r="DP42" i="237"/>
  <c r="DP72" i="237"/>
  <c r="DP16" i="237"/>
  <c r="DP4" i="237"/>
  <c r="DP49" i="237"/>
  <c r="DP81" i="237"/>
  <c r="DP25" i="237"/>
  <c r="DP51" i="237"/>
  <c r="DP83" i="237"/>
  <c r="DP27" i="237"/>
  <c r="DP54" i="237"/>
  <c r="DP86" i="237"/>
  <c r="DP30" i="237"/>
  <c r="DP55" i="237"/>
  <c r="DP87" i="237"/>
  <c r="DP31" i="237"/>
  <c r="DP56" i="237"/>
  <c r="DP88" i="237"/>
  <c r="DP32" i="237"/>
  <c r="DP57" i="237"/>
  <c r="DP89" i="237"/>
  <c r="DP33" i="237"/>
  <c r="DP61" i="237"/>
  <c r="DP5" i="237"/>
  <c r="DP37" i="237"/>
  <c r="DP67" i="237"/>
  <c r="DP11" i="237"/>
  <c r="DP43" i="237"/>
  <c r="DP41" i="237"/>
  <c r="DP65" i="237"/>
  <c r="DP46" i="237"/>
  <c r="DP68" i="237"/>
  <c r="DP47" i="237"/>
  <c r="DP70" i="237"/>
  <c r="DP71" i="237"/>
  <c r="DP73" i="237"/>
  <c r="DP84" i="237"/>
  <c r="DP9" i="237"/>
  <c r="DP12" i="237"/>
  <c r="DP14" i="237"/>
  <c r="DP15" i="237"/>
  <c r="DP77" i="237"/>
  <c r="DP17" i="237"/>
  <c r="DP21" i="237"/>
  <c r="DP28" i="237"/>
  <c r="DP52" i="237"/>
  <c r="DP44" i="237"/>
  <c r="M52" i="115"/>
  <c r="DB61" i="237"/>
  <c r="DB77" i="237"/>
  <c r="DB5" i="237"/>
  <c r="DB21" i="237"/>
  <c r="DB37" i="237"/>
  <c r="DB54" i="237"/>
  <c r="DB70" i="237"/>
  <c r="DB86" i="237"/>
  <c r="DB14" i="237"/>
  <c r="DB30" i="237"/>
  <c r="DB46" i="237"/>
  <c r="DB56" i="237"/>
  <c r="DB72" i="237"/>
  <c r="DB88" i="237"/>
  <c r="DB16" i="237"/>
  <c r="DB32" i="237"/>
  <c r="DB4" i="237"/>
  <c r="DB58" i="237"/>
  <c r="DB74" i="237"/>
  <c r="DB90" i="237"/>
  <c r="DB18" i="237"/>
  <c r="DB34" i="237"/>
  <c r="DB59" i="237"/>
  <c r="DB80" i="237"/>
  <c r="DB12" i="237"/>
  <c r="DB35" i="237"/>
  <c r="DB63" i="237"/>
  <c r="DB83" i="237"/>
  <c r="DB17" i="237"/>
  <c r="DB39" i="237"/>
  <c r="DB64" i="237"/>
  <c r="DB84" i="237"/>
  <c r="DB19" i="237"/>
  <c r="DB40" i="237"/>
  <c r="DB66" i="237"/>
  <c r="DB87" i="237"/>
  <c r="DB22" i="237"/>
  <c r="DB42" i="237"/>
  <c r="DB67" i="237"/>
  <c r="DB89" i="237"/>
  <c r="DB23" i="237"/>
  <c r="DB43" i="237"/>
  <c r="DB68" i="237"/>
  <c r="DB91" i="237"/>
  <c r="DB24" i="237"/>
  <c r="DB44" i="237"/>
  <c r="DB49" i="237"/>
  <c r="DB69" i="237"/>
  <c r="DB48" i="237"/>
  <c r="DB25" i="237"/>
  <c r="DB45" i="237"/>
  <c r="DB50" i="237"/>
  <c r="DB71" i="237"/>
  <c r="DB6" i="237"/>
  <c r="DB26" i="237"/>
  <c r="DB47" i="237"/>
  <c r="DB52" i="237"/>
  <c r="DB75" i="237"/>
  <c r="DB8" i="237"/>
  <c r="DB28" i="237"/>
  <c r="DB85" i="237"/>
  <c r="DB9" i="237"/>
  <c r="DB51" i="237"/>
  <c r="DB10" i="237"/>
  <c r="DB53" i="237"/>
  <c r="DB11" i="237"/>
  <c r="DB55" i="237"/>
  <c r="DB13" i="237"/>
  <c r="DB57" i="237"/>
  <c r="DB15" i="237"/>
  <c r="DB62" i="237"/>
  <c r="DB27" i="237"/>
  <c r="DB65" i="237"/>
  <c r="DB29" i="237"/>
  <c r="DB73" i="237"/>
  <c r="DB31" i="237"/>
  <c r="DB76" i="237"/>
  <c r="DB33" i="237"/>
  <c r="DB78" i="237"/>
  <c r="DB36" i="237"/>
  <c r="DB60" i="237"/>
  <c r="DB79" i="237"/>
  <c r="DB7" i="237"/>
  <c r="DB20" i="237"/>
  <c r="DB41" i="237"/>
  <c r="DB81" i="237"/>
  <c r="DB82" i="237"/>
  <c r="DB38" i="237"/>
  <c r="M23" i="115"/>
  <c r="AV56" i="237"/>
  <c r="AV72" i="237"/>
  <c r="AV88" i="237"/>
  <c r="AV16" i="237"/>
  <c r="AV32" i="237"/>
  <c r="AV4" i="237"/>
  <c r="AV57" i="237"/>
  <c r="AV73" i="237"/>
  <c r="AV89" i="237"/>
  <c r="AV17" i="237"/>
  <c r="AV33" i="237"/>
  <c r="AV58" i="237"/>
  <c r="AV74" i="237"/>
  <c r="AV90" i="237"/>
  <c r="AV18" i="237"/>
  <c r="AV34" i="237"/>
  <c r="AV59" i="237"/>
  <c r="AV75" i="237"/>
  <c r="AV91" i="237"/>
  <c r="AV19" i="237"/>
  <c r="AV35" i="237"/>
  <c r="AV62" i="237"/>
  <c r="AV78" i="237"/>
  <c r="AV6" i="237"/>
  <c r="AV22" i="237"/>
  <c r="AV38" i="237"/>
  <c r="AV63" i="237"/>
  <c r="AV79" i="237"/>
  <c r="AV7" i="237"/>
  <c r="AV23" i="237"/>
  <c r="AV39" i="237"/>
  <c r="AV49" i="237"/>
  <c r="AV65" i="237"/>
  <c r="AV81" i="237"/>
  <c r="AV9" i="237"/>
  <c r="AV25" i="237"/>
  <c r="AV41" i="237"/>
  <c r="AV51" i="237"/>
  <c r="AV67" i="237"/>
  <c r="AV83" i="237"/>
  <c r="AV11" i="237"/>
  <c r="AV27" i="237"/>
  <c r="AV43" i="237"/>
  <c r="AV52" i="237"/>
  <c r="AV68" i="237"/>
  <c r="AV84" i="237"/>
  <c r="AV12" i="237"/>
  <c r="AV28" i="237"/>
  <c r="AV44" i="237"/>
  <c r="AV82" i="237"/>
  <c r="AV30" i="237"/>
  <c r="AV85" i="237"/>
  <c r="AV31" i="237"/>
  <c r="AV50" i="237"/>
  <c r="AV86" i="237"/>
  <c r="AV36" i="237"/>
  <c r="AV55" i="237"/>
  <c r="AV5" i="237"/>
  <c r="AV42" i="237"/>
  <c r="AV77" i="237"/>
  <c r="AV60" i="237"/>
  <c r="AV8" i="237"/>
  <c r="AV45" i="237"/>
  <c r="AV61" i="237"/>
  <c r="AV10" i="237"/>
  <c r="AV46" i="237"/>
  <c r="AV64" i="237"/>
  <c r="AV13" i="237"/>
  <c r="AV47" i="237"/>
  <c r="AV80" i="237"/>
  <c r="AV66" i="237"/>
  <c r="AV14" i="237"/>
  <c r="AV69" i="237"/>
  <c r="AV15" i="237"/>
  <c r="AV24" i="237"/>
  <c r="AV29" i="237"/>
  <c r="AV70" i="237"/>
  <c r="AV20" i="237"/>
  <c r="AV71" i="237"/>
  <c r="AV21" i="237"/>
  <c r="AV76" i="237"/>
  <c r="AV26" i="237"/>
  <c r="AV53" i="237"/>
  <c r="AV54" i="237"/>
  <c r="AV87" i="237"/>
  <c r="AV48" i="237"/>
  <c r="AV37" i="237"/>
  <c r="AV40" i="237"/>
  <c r="M39" i="115"/>
  <c r="CB62" i="237"/>
  <c r="CB78" i="237"/>
  <c r="CB6" i="237"/>
  <c r="CB22" i="237"/>
  <c r="CB38" i="237"/>
  <c r="CB64" i="237"/>
  <c r="CB80" i="237"/>
  <c r="CB8" i="237"/>
  <c r="CB24" i="237"/>
  <c r="CB40" i="237"/>
  <c r="CB49" i="237"/>
  <c r="CB65" i="237"/>
  <c r="CB81" i="237"/>
  <c r="CB9" i="237"/>
  <c r="CB25" i="237"/>
  <c r="CB41" i="237"/>
  <c r="CB50" i="237"/>
  <c r="CB66" i="237"/>
  <c r="CB82" i="237"/>
  <c r="CB10" i="237"/>
  <c r="CB26" i="237"/>
  <c r="CB42" i="237"/>
  <c r="CB51" i="237"/>
  <c r="CB67" i="237"/>
  <c r="CB83" i="237"/>
  <c r="CB11" i="237"/>
  <c r="CB27" i="237"/>
  <c r="CB43" i="237"/>
  <c r="CB54" i="237"/>
  <c r="CB70" i="237"/>
  <c r="CB86" i="237"/>
  <c r="CB14" i="237"/>
  <c r="CB30" i="237"/>
  <c r="CB46" i="237"/>
  <c r="CB55" i="237"/>
  <c r="CB71" i="237"/>
  <c r="CB87" i="237"/>
  <c r="CB15" i="237"/>
  <c r="CB31" i="237"/>
  <c r="CB47" i="237"/>
  <c r="CB56" i="237"/>
  <c r="CB72" i="237"/>
  <c r="CB88" i="237"/>
  <c r="CB16" i="237"/>
  <c r="CB32" i="237"/>
  <c r="CB4" i="237"/>
  <c r="CB57" i="237"/>
  <c r="CB73" i="237"/>
  <c r="CB89" i="237"/>
  <c r="CB17" i="237"/>
  <c r="CB33" i="237"/>
  <c r="CB58" i="237"/>
  <c r="CB74" i="237"/>
  <c r="CB90" i="237"/>
  <c r="CB18" i="237"/>
  <c r="CB34" i="237"/>
  <c r="CB68" i="237"/>
  <c r="CB21" i="237"/>
  <c r="CB69" i="237"/>
  <c r="CB23" i="237"/>
  <c r="CB75" i="237"/>
  <c r="CB28" i="237"/>
  <c r="CB76" i="237"/>
  <c r="CB29" i="237"/>
  <c r="CB84" i="237"/>
  <c r="CB37" i="237"/>
  <c r="CB85" i="237"/>
  <c r="CB39" i="237"/>
  <c r="CB48" i="237"/>
  <c r="CB45" i="237"/>
  <c r="CB53" i="237"/>
  <c r="CB7" i="237"/>
  <c r="CB59" i="237"/>
  <c r="CB12" i="237"/>
  <c r="CB60" i="237"/>
  <c r="CB13" i="237"/>
  <c r="CB52" i="237"/>
  <c r="CB61" i="237"/>
  <c r="CB63" i="237"/>
  <c r="CB91" i="237"/>
  <c r="CB5" i="237"/>
  <c r="CB19" i="237"/>
  <c r="CB20" i="237"/>
  <c r="CB35" i="237"/>
  <c r="CB36" i="237"/>
  <c r="CB44" i="237"/>
  <c r="CB79" i="237"/>
  <c r="CB77" i="237"/>
  <c r="M58" i="115"/>
  <c r="DN61" i="237"/>
  <c r="DN77" i="237"/>
  <c r="DN5" i="237"/>
  <c r="DN21" i="237"/>
  <c r="DN37" i="237"/>
  <c r="DN50" i="237"/>
  <c r="DN66" i="237"/>
  <c r="DN82" i="237"/>
  <c r="DN10" i="237"/>
  <c r="DN26" i="237"/>
  <c r="DN42" i="237"/>
  <c r="DN51" i="237"/>
  <c r="DN67" i="237"/>
  <c r="DN83" i="237"/>
  <c r="DN11" i="237"/>
  <c r="DN27" i="237"/>
  <c r="DN43" i="237"/>
  <c r="DN52" i="237"/>
  <c r="DN68" i="237"/>
  <c r="DN84" i="237"/>
  <c r="DN12" i="237"/>
  <c r="DN28" i="237"/>
  <c r="DN44" i="237"/>
  <c r="DN54" i="237"/>
  <c r="DN70" i="237"/>
  <c r="DN86" i="237"/>
  <c r="DN14" i="237"/>
  <c r="DN30" i="237"/>
  <c r="DN46" i="237"/>
  <c r="DN55" i="237"/>
  <c r="DN71" i="237"/>
  <c r="DN87" i="237"/>
  <c r="DN15" i="237"/>
  <c r="DN31" i="237"/>
  <c r="DN47" i="237"/>
  <c r="DN56" i="237"/>
  <c r="DN72" i="237"/>
  <c r="DN88" i="237"/>
  <c r="DN16" i="237"/>
  <c r="DN32" i="237"/>
  <c r="DN4" i="237"/>
  <c r="DN58" i="237"/>
  <c r="DN74" i="237"/>
  <c r="DN90" i="237"/>
  <c r="DN18" i="237"/>
  <c r="DN34" i="237"/>
  <c r="DN80" i="237"/>
  <c r="DN24" i="237"/>
  <c r="DN57" i="237"/>
  <c r="DN89" i="237"/>
  <c r="DN33" i="237"/>
  <c r="DN59" i="237"/>
  <c r="DN91" i="237"/>
  <c r="DN35" i="237"/>
  <c r="DN62" i="237"/>
  <c r="DN6" i="237"/>
  <c r="DN38" i="237"/>
  <c r="DN63" i="237"/>
  <c r="DN7" i="237"/>
  <c r="DN39" i="237"/>
  <c r="DN64" i="237"/>
  <c r="DN8" i="237"/>
  <c r="DN40" i="237"/>
  <c r="DN65" i="237"/>
  <c r="DN9" i="237"/>
  <c r="DN41" i="237"/>
  <c r="DN69" i="237"/>
  <c r="DN13" i="237"/>
  <c r="DN45" i="237"/>
  <c r="DN75" i="237"/>
  <c r="DN19" i="237"/>
  <c r="DN22" i="237"/>
  <c r="DN25" i="237"/>
  <c r="DN29" i="237"/>
  <c r="DN49" i="237"/>
  <c r="DN36" i="237"/>
  <c r="DN53" i="237"/>
  <c r="DN60" i="237"/>
  <c r="DN76" i="237"/>
  <c r="DN78" i="237"/>
  <c r="DN79" i="237"/>
  <c r="DN81" i="237"/>
  <c r="DN85" i="237"/>
  <c r="DN48" i="237"/>
  <c r="DN17" i="237"/>
  <c r="DN23" i="237"/>
  <c r="DN73" i="237"/>
  <c r="DN20" i="237"/>
  <c r="AN56" i="237"/>
  <c r="AN72" i="237"/>
  <c r="AN88" i="237"/>
  <c r="AN16" i="237"/>
  <c r="AN32" i="237"/>
  <c r="AN4" i="237"/>
  <c r="AN57" i="237"/>
  <c r="AN73" i="237"/>
  <c r="AN89" i="237"/>
  <c r="AN17" i="237"/>
  <c r="AN33" i="237"/>
  <c r="AN58" i="237"/>
  <c r="AN74" i="237"/>
  <c r="AN90" i="237"/>
  <c r="AN18" i="237"/>
  <c r="AN34" i="237"/>
  <c r="AN59" i="237"/>
  <c r="AN75" i="237"/>
  <c r="AN91" i="237"/>
  <c r="AN19" i="237"/>
  <c r="AN35" i="237"/>
  <c r="AN62" i="237"/>
  <c r="AN78" i="237"/>
  <c r="AN6" i="237"/>
  <c r="AN22" i="237"/>
  <c r="AN38" i="237"/>
  <c r="AN63" i="237"/>
  <c r="AN79" i="237"/>
  <c r="AN7" i="237"/>
  <c r="AN23" i="237"/>
  <c r="AN39" i="237"/>
  <c r="AN49" i="237"/>
  <c r="AN65" i="237"/>
  <c r="AN81" i="237"/>
  <c r="AN9" i="237"/>
  <c r="AN25" i="237"/>
  <c r="AN41" i="237"/>
  <c r="AN51" i="237"/>
  <c r="AN67" i="237"/>
  <c r="AN83" i="237"/>
  <c r="AN11" i="237"/>
  <c r="AN27" i="237"/>
  <c r="AN43" i="237"/>
  <c r="AN52" i="237"/>
  <c r="AN68" i="237"/>
  <c r="AN84" i="237"/>
  <c r="AN12" i="237"/>
  <c r="AN28" i="237"/>
  <c r="AN44" i="237"/>
  <c r="AN60" i="237"/>
  <c r="AN8" i="237"/>
  <c r="AN45" i="237"/>
  <c r="AN61" i="237"/>
  <c r="AN10" i="237"/>
  <c r="AN46" i="237"/>
  <c r="AN64" i="237"/>
  <c r="AN13" i="237"/>
  <c r="AN47" i="237"/>
  <c r="AN70" i="237"/>
  <c r="AN20" i="237"/>
  <c r="AN48" i="237"/>
  <c r="AN5" i="237"/>
  <c r="AN71" i="237"/>
  <c r="AN21" i="237"/>
  <c r="AN76" i="237"/>
  <c r="AN24" i="237"/>
  <c r="AN77" i="237"/>
  <c r="AN26" i="237"/>
  <c r="AN54" i="237"/>
  <c r="AN80" i="237"/>
  <c r="AN29" i="237"/>
  <c r="AN82" i="237"/>
  <c r="AN30" i="237"/>
  <c r="AN87" i="237"/>
  <c r="AN55" i="237"/>
  <c r="AN85" i="237"/>
  <c r="AN31" i="237"/>
  <c r="AN37" i="237"/>
  <c r="AN40" i="237"/>
  <c r="AN50" i="237"/>
  <c r="AN86" i="237"/>
  <c r="AN36" i="237"/>
  <c r="AN53" i="237"/>
  <c r="AN42" i="237"/>
  <c r="AN66" i="237"/>
  <c r="AN69" i="237"/>
  <c r="AN14" i="237"/>
  <c r="AN15" i="237"/>
  <c r="M53" i="115"/>
  <c r="DD53" i="237"/>
  <c r="DD69" i="237"/>
  <c r="DD85" i="237"/>
  <c r="DD13" i="237"/>
  <c r="DD29" i="237"/>
  <c r="DD45" i="237"/>
  <c r="DD62" i="237"/>
  <c r="DD78" i="237"/>
  <c r="DD6" i="237"/>
  <c r="DD22" i="237"/>
  <c r="DD38" i="237"/>
  <c r="DD64" i="237"/>
  <c r="DD80" i="237"/>
  <c r="DD8" i="237"/>
  <c r="DD24" i="237"/>
  <c r="DD40" i="237"/>
  <c r="DD50" i="237"/>
  <c r="DD66" i="237"/>
  <c r="DD82" i="237"/>
  <c r="DD10" i="237"/>
  <c r="DD26" i="237"/>
  <c r="DD42" i="237"/>
  <c r="DD60" i="237"/>
  <c r="DD83" i="237"/>
  <c r="DD16" i="237"/>
  <c r="DD36" i="237"/>
  <c r="DD65" i="237"/>
  <c r="DD87" i="237"/>
  <c r="DD19" i="237"/>
  <c r="DD41" i="237"/>
  <c r="DD67" i="237"/>
  <c r="DD88" i="237"/>
  <c r="DD20" i="237"/>
  <c r="DD43" i="237"/>
  <c r="DD70" i="237"/>
  <c r="DD90" i="237"/>
  <c r="DD23" i="237"/>
  <c r="DD46" i="237"/>
  <c r="DD49" i="237"/>
  <c r="DD71" i="237"/>
  <c r="DD91" i="237"/>
  <c r="DD25" i="237"/>
  <c r="DD47" i="237"/>
  <c r="DD51" i="237"/>
  <c r="DD72" i="237"/>
  <c r="DD48" i="237"/>
  <c r="DD27" i="237"/>
  <c r="DD4" i="237"/>
  <c r="DD52" i="237"/>
  <c r="DD73" i="237"/>
  <c r="DD5" i="237"/>
  <c r="DD28" i="237"/>
  <c r="DD54" i="237"/>
  <c r="DD74" i="237"/>
  <c r="DD7" i="237"/>
  <c r="DD30" i="237"/>
  <c r="DD56" i="237"/>
  <c r="DD76" i="237"/>
  <c r="DD11" i="237"/>
  <c r="DD32" i="237"/>
  <c r="DD79" i="237"/>
  <c r="DD37" i="237"/>
  <c r="DD84" i="237"/>
  <c r="DD44" i="237"/>
  <c r="DD86" i="237"/>
  <c r="DD89" i="237"/>
  <c r="DD9" i="237"/>
  <c r="DD12" i="237"/>
  <c r="DD57" i="237"/>
  <c r="DD15" i="237"/>
  <c r="DD58" i="237"/>
  <c r="DD17" i="237"/>
  <c r="DD59" i="237"/>
  <c r="DD18" i="237"/>
  <c r="DD61" i="237"/>
  <c r="DD21" i="237"/>
  <c r="DD63" i="237"/>
  <c r="DD31" i="237"/>
  <c r="DD35" i="237"/>
  <c r="DD39" i="237"/>
  <c r="DD68" i="237"/>
  <c r="DD77" i="237"/>
  <c r="DD81" i="237"/>
  <c r="DD14" i="237"/>
  <c r="DD55" i="237"/>
  <c r="DD75" i="237"/>
  <c r="DD33" i="237"/>
  <c r="DD34" i="237"/>
  <c r="M22" i="115"/>
  <c r="AT64" i="237"/>
  <c r="AT80" i="237"/>
  <c r="AT8" i="237"/>
  <c r="AT24" i="237"/>
  <c r="AT40" i="237"/>
  <c r="AT49" i="237"/>
  <c r="AT65" i="237"/>
  <c r="AT81" i="237"/>
  <c r="AT9" i="237"/>
  <c r="AT25" i="237"/>
  <c r="AT41" i="237"/>
  <c r="AT50" i="237"/>
  <c r="AT66" i="237"/>
  <c r="AT82" i="237"/>
  <c r="AT10" i="237"/>
  <c r="AT26" i="237"/>
  <c r="AT42" i="237"/>
  <c r="AT51" i="237"/>
  <c r="AT67" i="237"/>
  <c r="AT83" i="237"/>
  <c r="AT11" i="237"/>
  <c r="AT27" i="237"/>
  <c r="AT43" i="237"/>
  <c r="AT54" i="237"/>
  <c r="AT70" i="237"/>
  <c r="AT86" i="237"/>
  <c r="AT14" i="237"/>
  <c r="AT30" i="237"/>
  <c r="AT46" i="237"/>
  <c r="AT55" i="237"/>
  <c r="AT71" i="237"/>
  <c r="AT87" i="237"/>
  <c r="AT15" i="237"/>
  <c r="AT31" i="237"/>
  <c r="AT47" i="237"/>
  <c r="AT57" i="237"/>
  <c r="AT73" i="237"/>
  <c r="AT89" i="237"/>
  <c r="AT17" i="237"/>
  <c r="AT33" i="237"/>
  <c r="AT59" i="237"/>
  <c r="AT75" i="237"/>
  <c r="AT91" i="237"/>
  <c r="AT19" i="237"/>
  <c r="AT35" i="237"/>
  <c r="AT60" i="237"/>
  <c r="AT76" i="237"/>
  <c r="AT48" i="237"/>
  <c r="AT20" i="237"/>
  <c r="AT36" i="237"/>
  <c r="AT68" i="237"/>
  <c r="AT16" i="237"/>
  <c r="AT69" i="237"/>
  <c r="AT18" i="237"/>
  <c r="AT72" i="237"/>
  <c r="AT21" i="237"/>
  <c r="AT78" i="237"/>
  <c r="AT28" i="237"/>
  <c r="AT79" i="237"/>
  <c r="AT29" i="237"/>
  <c r="AT84" i="237"/>
  <c r="AT32" i="237"/>
  <c r="AT62" i="237"/>
  <c r="AT85" i="237"/>
  <c r="AT34" i="237"/>
  <c r="AT45" i="237"/>
  <c r="AT4" i="237"/>
  <c r="AT52" i="237"/>
  <c r="AT88" i="237"/>
  <c r="AT37" i="237"/>
  <c r="AT53" i="237"/>
  <c r="AT90" i="237"/>
  <c r="AT38" i="237"/>
  <c r="AT56" i="237"/>
  <c r="AT5" i="237"/>
  <c r="AT39" i="237"/>
  <c r="AT61" i="237"/>
  <c r="AT12" i="237"/>
  <c r="AT13" i="237"/>
  <c r="AT58" i="237"/>
  <c r="AT6" i="237"/>
  <c r="AT44" i="237"/>
  <c r="AT7" i="237"/>
  <c r="AT63" i="237"/>
  <c r="AT74" i="237"/>
  <c r="AT77" i="237"/>
  <c r="AT22" i="237"/>
  <c r="AT23" i="237"/>
  <c r="M38" i="115"/>
  <c r="BZ54" i="237"/>
  <c r="BZ70" i="237"/>
  <c r="BZ86" i="237"/>
  <c r="BZ14" i="237"/>
  <c r="BZ30" i="237"/>
  <c r="BZ46" i="237"/>
  <c r="BZ56" i="237"/>
  <c r="BZ72" i="237"/>
  <c r="BZ88" i="237"/>
  <c r="BZ16" i="237"/>
  <c r="BZ32" i="237"/>
  <c r="BZ4" i="237"/>
  <c r="BZ57" i="237"/>
  <c r="BZ73" i="237"/>
  <c r="BZ89" i="237"/>
  <c r="BZ17" i="237"/>
  <c r="BZ33" i="237"/>
  <c r="BZ58" i="237"/>
  <c r="BZ74" i="237"/>
  <c r="BZ90" i="237"/>
  <c r="BZ18" i="237"/>
  <c r="BZ34" i="237"/>
  <c r="BZ59" i="237"/>
  <c r="BZ75" i="237"/>
  <c r="BZ91" i="237"/>
  <c r="BZ19" i="237"/>
  <c r="BZ35" i="237"/>
  <c r="BZ62" i="237"/>
  <c r="BZ78" i="237"/>
  <c r="BZ6" i="237"/>
  <c r="BZ22" i="237"/>
  <c r="BZ38" i="237"/>
  <c r="BZ63" i="237"/>
  <c r="BZ79" i="237"/>
  <c r="BZ7" i="237"/>
  <c r="BZ23" i="237"/>
  <c r="BZ39" i="237"/>
  <c r="BZ64" i="237"/>
  <c r="BZ80" i="237"/>
  <c r="BZ8" i="237"/>
  <c r="BZ24" i="237"/>
  <c r="BZ40" i="237"/>
  <c r="BZ49" i="237"/>
  <c r="BZ65" i="237"/>
  <c r="BZ81" i="237"/>
  <c r="BZ9" i="237"/>
  <c r="BZ25" i="237"/>
  <c r="BZ41" i="237"/>
  <c r="BZ50" i="237"/>
  <c r="BZ66" i="237"/>
  <c r="BZ82" i="237"/>
  <c r="BZ10" i="237"/>
  <c r="BZ26" i="237"/>
  <c r="BZ42" i="237"/>
  <c r="BZ67" i="237"/>
  <c r="BZ20" i="237"/>
  <c r="BZ68" i="237"/>
  <c r="BZ21" i="237"/>
  <c r="BZ69" i="237"/>
  <c r="BZ27" i="237"/>
  <c r="BZ71" i="237"/>
  <c r="BZ28" i="237"/>
  <c r="BZ83" i="237"/>
  <c r="BZ36" i="237"/>
  <c r="BZ84" i="237"/>
  <c r="BZ37" i="237"/>
  <c r="BZ87" i="237"/>
  <c r="BZ44" i="237"/>
  <c r="BZ52" i="237"/>
  <c r="BZ5" i="237"/>
  <c r="BZ47" i="237"/>
  <c r="BZ53" i="237"/>
  <c r="BZ11" i="237"/>
  <c r="BZ55" i="237"/>
  <c r="BZ12" i="237"/>
  <c r="BZ77" i="237"/>
  <c r="BZ85" i="237"/>
  <c r="BZ48" i="237"/>
  <c r="BZ29" i="237"/>
  <c r="BZ76" i="237"/>
  <c r="BZ31" i="237"/>
  <c r="BZ43" i="237"/>
  <c r="BZ45" i="237"/>
  <c r="BZ60" i="237"/>
  <c r="BZ61" i="237"/>
  <c r="BZ51" i="237"/>
  <c r="BZ15" i="237"/>
  <c r="BZ13" i="237"/>
  <c r="M56" i="115"/>
  <c r="DJ61" i="237"/>
  <c r="DJ77" i="237"/>
  <c r="DJ5" i="237"/>
  <c r="DJ21" i="237"/>
  <c r="DJ37" i="237"/>
  <c r="DJ51" i="237"/>
  <c r="DJ67" i="237"/>
  <c r="DJ83" i="237"/>
  <c r="DJ11" i="237"/>
  <c r="DJ27" i="237"/>
  <c r="DJ43" i="237"/>
  <c r="DJ52" i="237"/>
  <c r="DJ68" i="237"/>
  <c r="DJ84" i="237"/>
  <c r="DJ12" i="237"/>
  <c r="DJ28" i="237"/>
  <c r="DJ44" i="237"/>
  <c r="DJ54" i="237"/>
  <c r="DJ70" i="237"/>
  <c r="DJ86" i="237"/>
  <c r="DJ14" i="237"/>
  <c r="DJ30" i="237"/>
  <c r="DJ46" i="237"/>
  <c r="DJ55" i="237"/>
  <c r="DJ71" i="237"/>
  <c r="DJ87" i="237"/>
  <c r="DJ15" i="237"/>
  <c r="DJ31" i="237"/>
  <c r="DJ47" i="237"/>
  <c r="DJ56" i="237"/>
  <c r="DJ72" i="237"/>
  <c r="DJ88" i="237"/>
  <c r="DJ16" i="237"/>
  <c r="DJ32" i="237"/>
  <c r="DJ4" i="237"/>
  <c r="DJ58" i="237"/>
  <c r="DJ74" i="237"/>
  <c r="DJ90" i="237"/>
  <c r="DJ18" i="237"/>
  <c r="DJ34" i="237"/>
  <c r="DJ60" i="237"/>
  <c r="DJ89" i="237"/>
  <c r="DJ26" i="237"/>
  <c r="DJ64" i="237"/>
  <c r="DJ6" i="237"/>
  <c r="DJ35" i="237"/>
  <c r="DJ65" i="237"/>
  <c r="DJ7" i="237"/>
  <c r="DJ36" i="237"/>
  <c r="DJ69" i="237"/>
  <c r="DJ9" i="237"/>
  <c r="DJ39" i="237"/>
  <c r="DJ73" i="237"/>
  <c r="DJ10" i="237"/>
  <c r="DJ40" i="237"/>
  <c r="DJ75" i="237"/>
  <c r="DJ13" i="237"/>
  <c r="DJ41" i="237"/>
  <c r="DJ76" i="237"/>
  <c r="DJ17" i="237"/>
  <c r="DJ42" i="237"/>
  <c r="DJ78" i="237"/>
  <c r="DJ19" i="237"/>
  <c r="DJ45" i="237"/>
  <c r="DJ50" i="237"/>
  <c r="DJ80" i="237"/>
  <c r="DJ22" i="237"/>
  <c r="DJ66" i="237"/>
  <c r="DJ81" i="237"/>
  <c r="DJ82" i="237"/>
  <c r="DJ85" i="237"/>
  <c r="DJ91" i="237"/>
  <c r="DJ48" i="237"/>
  <c r="DJ20" i="237"/>
  <c r="DJ23" i="237"/>
  <c r="DJ49" i="237"/>
  <c r="DJ24" i="237"/>
  <c r="DJ53" i="237"/>
  <c r="DJ25" i="237"/>
  <c r="DJ57" i="237"/>
  <c r="DJ29" i="237"/>
  <c r="DJ59" i="237"/>
  <c r="DJ62" i="237"/>
  <c r="DJ63" i="237"/>
  <c r="DJ79" i="237"/>
  <c r="DJ38" i="237"/>
  <c r="DJ33" i="237"/>
  <c r="DJ8" i="237"/>
  <c r="M57" i="115"/>
  <c r="DL53" i="237"/>
  <c r="DL69" i="237"/>
  <c r="DL85" i="237"/>
  <c r="DL13" i="237"/>
  <c r="DL29" i="237"/>
  <c r="DL45" i="237"/>
  <c r="DL58" i="237"/>
  <c r="DL74" i="237"/>
  <c r="DL90" i="237"/>
  <c r="DL59" i="237"/>
  <c r="DL75" i="237"/>
  <c r="DL91" i="237"/>
  <c r="DL19" i="237"/>
  <c r="DL35" i="237"/>
  <c r="DL60" i="237"/>
  <c r="DL76" i="237"/>
  <c r="DL48" i="237"/>
  <c r="DL20" i="237"/>
  <c r="DL36" i="237"/>
  <c r="DL62" i="237"/>
  <c r="DL78" i="237"/>
  <c r="DL6" i="237"/>
  <c r="DL22" i="237"/>
  <c r="DL38" i="237"/>
  <c r="DL63" i="237"/>
  <c r="DL79" i="237"/>
  <c r="DL7" i="237"/>
  <c r="DL23" i="237"/>
  <c r="DL39" i="237"/>
  <c r="DL64" i="237"/>
  <c r="DL80" i="237"/>
  <c r="DL8" i="237"/>
  <c r="DL24" i="237"/>
  <c r="DL40" i="237"/>
  <c r="DL50" i="237"/>
  <c r="DL66" i="237"/>
  <c r="DL82" i="237"/>
  <c r="DL10" i="237"/>
  <c r="DL26" i="237"/>
  <c r="DL42" i="237"/>
  <c r="DL56" i="237"/>
  <c r="DL88" i="237"/>
  <c r="DL31" i="237"/>
  <c r="DL65" i="237"/>
  <c r="DL9" i="237"/>
  <c r="DL34" i="237"/>
  <c r="DL67" i="237"/>
  <c r="DL11" i="237"/>
  <c r="DL37" i="237"/>
  <c r="DL70" i="237"/>
  <c r="DL14" i="237"/>
  <c r="DL43" i="237"/>
  <c r="DL71" i="237"/>
  <c r="DL15" i="237"/>
  <c r="DL44" i="237"/>
  <c r="DL72" i="237"/>
  <c r="DL16" i="237"/>
  <c r="DL46" i="237"/>
  <c r="DL73" i="237"/>
  <c r="DL17" i="237"/>
  <c r="DL47" i="237"/>
  <c r="DL77" i="237"/>
  <c r="DL18" i="237"/>
  <c r="DL4" i="237"/>
  <c r="DL51" i="237"/>
  <c r="DL83" i="237"/>
  <c r="DL25" i="237"/>
  <c r="DL89" i="237"/>
  <c r="DL12" i="237"/>
  <c r="DL21" i="237"/>
  <c r="DL27" i="237"/>
  <c r="DL49" i="237"/>
  <c r="DL28" i="237"/>
  <c r="DL52" i="237"/>
  <c r="DL30" i="237"/>
  <c r="DL55" i="237"/>
  <c r="DL33" i="237"/>
  <c r="DL57" i="237"/>
  <c r="DL41" i="237"/>
  <c r="DL61" i="237"/>
  <c r="DL68" i="237"/>
  <c r="DL81" i="237"/>
  <c r="DL84" i="237"/>
  <c r="DL86" i="237"/>
  <c r="DL87" i="237"/>
  <c r="DL54" i="237"/>
  <c r="DL5" i="237"/>
  <c r="DL32" i="237"/>
  <c r="X59" i="237"/>
  <c r="X75" i="237"/>
  <c r="X91" i="237"/>
  <c r="X19" i="237"/>
  <c r="X35" i="237"/>
  <c r="X60" i="237"/>
  <c r="X76" i="237"/>
  <c r="X48" i="237"/>
  <c r="X20" i="237"/>
  <c r="X36" i="237"/>
  <c r="X61" i="237"/>
  <c r="X77" i="237"/>
  <c r="X5" i="237"/>
  <c r="X21" i="237"/>
  <c r="X37" i="237"/>
  <c r="X64" i="237"/>
  <c r="X80" i="237"/>
  <c r="X8" i="237"/>
  <c r="X24" i="237"/>
  <c r="X40" i="237"/>
  <c r="X50" i="237"/>
  <c r="X82" i="237"/>
  <c r="X10" i="237"/>
  <c r="X26" i="237"/>
  <c r="X49" i="237"/>
  <c r="X65" i="237"/>
  <c r="X81" i="237"/>
  <c r="X9" i="237"/>
  <c r="X25" i="237"/>
  <c r="X41" i="237"/>
  <c r="X66" i="237"/>
  <c r="X42" i="237"/>
  <c r="X51" i="237"/>
  <c r="X67" i="237"/>
  <c r="X83" i="237"/>
  <c r="X11" i="237"/>
  <c r="X27" i="237"/>
  <c r="X43" i="237"/>
  <c r="X4" i="237"/>
  <c r="X57" i="237"/>
  <c r="X52" i="237"/>
  <c r="X68" i="237"/>
  <c r="X84" i="237"/>
  <c r="X12" i="237"/>
  <c r="X28" i="237"/>
  <c r="X44" i="237"/>
  <c r="X53" i="237"/>
  <c r="X69" i="237"/>
  <c r="X85" i="237"/>
  <c r="X13" i="237"/>
  <c r="X29" i="237"/>
  <c r="X45" i="237"/>
  <c r="X32" i="237"/>
  <c r="X89" i="237"/>
  <c r="X54" i="237"/>
  <c r="X70" i="237"/>
  <c r="X86" i="237"/>
  <c r="X14" i="237"/>
  <c r="X30" i="237"/>
  <c r="X46" i="237"/>
  <c r="X72" i="237"/>
  <c r="X16" i="237"/>
  <c r="X17" i="237"/>
  <c r="X55" i="237"/>
  <c r="X71" i="237"/>
  <c r="X87" i="237"/>
  <c r="X15" i="237"/>
  <c r="X31" i="237"/>
  <c r="X47" i="237"/>
  <c r="X56" i="237"/>
  <c r="X88" i="237"/>
  <c r="X73" i="237"/>
  <c r="X33" i="237"/>
  <c r="X18" i="237"/>
  <c r="X23" i="237"/>
  <c r="X22" i="237"/>
  <c r="X38" i="237"/>
  <c r="X39" i="237"/>
  <c r="X58" i="237"/>
  <c r="X7" i="237"/>
  <c r="X34" i="237"/>
  <c r="X78" i="237"/>
  <c r="X62" i="237"/>
  <c r="X63" i="237"/>
  <c r="X74" i="237"/>
  <c r="X79" i="237"/>
  <c r="X90" i="237"/>
  <c r="X6" i="237"/>
  <c r="AR56" i="237"/>
  <c r="AR72" i="237"/>
  <c r="AR88" i="237"/>
  <c r="AR16" i="237"/>
  <c r="AR32" i="237"/>
  <c r="AR4" i="237"/>
  <c r="AR57" i="237"/>
  <c r="AR73" i="237"/>
  <c r="AR89" i="237"/>
  <c r="AR17" i="237"/>
  <c r="AR33" i="237"/>
  <c r="AR58" i="237"/>
  <c r="AR74" i="237"/>
  <c r="AR90" i="237"/>
  <c r="AR18" i="237"/>
  <c r="AR34" i="237"/>
  <c r="AR59" i="237"/>
  <c r="AR75" i="237"/>
  <c r="AR91" i="237"/>
  <c r="AR19" i="237"/>
  <c r="AR35" i="237"/>
  <c r="AR62" i="237"/>
  <c r="AR78" i="237"/>
  <c r="AR6" i="237"/>
  <c r="AR22" i="237"/>
  <c r="AR38" i="237"/>
  <c r="AR63" i="237"/>
  <c r="AR79" i="237"/>
  <c r="AR7" i="237"/>
  <c r="AR23" i="237"/>
  <c r="AR39" i="237"/>
  <c r="AR49" i="237"/>
  <c r="AR65" i="237"/>
  <c r="AR81" i="237"/>
  <c r="AR9" i="237"/>
  <c r="AR25" i="237"/>
  <c r="AR41" i="237"/>
  <c r="AR51" i="237"/>
  <c r="AR67" i="237"/>
  <c r="AR83" i="237"/>
  <c r="AR11" i="237"/>
  <c r="AR27" i="237"/>
  <c r="AR43" i="237"/>
  <c r="AR52" i="237"/>
  <c r="AR68" i="237"/>
  <c r="AR84" i="237"/>
  <c r="AR12" i="237"/>
  <c r="AR28" i="237"/>
  <c r="AR44" i="237"/>
  <c r="AR53" i="237"/>
  <c r="AR87" i="237"/>
  <c r="AR37" i="237"/>
  <c r="AR54" i="237"/>
  <c r="AR48" i="237"/>
  <c r="AR40" i="237"/>
  <c r="AR55" i="237"/>
  <c r="AR5" i="237"/>
  <c r="AR42" i="237"/>
  <c r="AR64" i="237"/>
  <c r="AR13" i="237"/>
  <c r="AR47" i="237"/>
  <c r="AR85" i="237"/>
  <c r="AR50" i="237"/>
  <c r="AR66" i="237"/>
  <c r="AR14" i="237"/>
  <c r="AR69" i="237"/>
  <c r="AR15" i="237"/>
  <c r="AR30" i="237"/>
  <c r="AR36" i="237"/>
  <c r="AR70" i="237"/>
  <c r="AR20" i="237"/>
  <c r="AR71" i="237"/>
  <c r="AR21" i="237"/>
  <c r="AR76" i="237"/>
  <c r="AR24" i="237"/>
  <c r="AR77" i="237"/>
  <c r="AR26" i="237"/>
  <c r="AR82" i="237"/>
  <c r="AR31" i="237"/>
  <c r="AR80" i="237"/>
  <c r="AR29" i="237"/>
  <c r="AR86" i="237"/>
  <c r="AR10" i="237"/>
  <c r="AR45" i="237"/>
  <c r="AR46" i="237"/>
  <c r="AR8" i="237"/>
  <c r="AR60" i="237"/>
  <c r="AR61" i="237"/>
  <c r="M37" i="115"/>
  <c r="BX62" i="237"/>
  <c r="BX78" i="237"/>
  <c r="BX6" i="237"/>
  <c r="BX22" i="237"/>
  <c r="BX38" i="237"/>
  <c r="BX64" i="237"/>
  <c r="BX80" i="237"/>
  <c r="BX8" i="237"/>
  <c r="BX24" i="237"/>
  <c r="BX40" i="237"/>
  <c r="BX49" i="237"/>
  <c r="BX65" i="237"/>
  <c r="BX81" i="237"/>
  <c r="BX9" i="237"/>
  <c r="BX25" i="237"/>
  <c r="BX41" i="237"/>
  <c r="BX50" i="237"/>
  <c r="BX66" i="237"/>
  <c r="BX82" i="237"/>
  <c r="BX10" i="237"/>
  <c r="BX26" i="237"/>
  <c r="BX42" i="237"/>
  <c r="BX51" i="237"/>
  <c r="BX67" i="237"/>
  <c r="BX83" i="237"/>
  <c r="BX11" i="237"/>
  <c r="BX27" i="237"/>
  <c r="BX43" i="237"/>
  <c r="BX54" i="237"/>
  <c r="BX70" i="237"/>
  <c r="BX86" i="237"/>
  <c r="BX14" i="237"/>
  <c r="BX30" i="237"/>
  <c r="BX46" i="237"/>
  <c r="BX55" i="237"/>
  <c r="BX71" i="237"/>
  <c r="BX87" i="237"/>
  <c r="BX15" i="237"/>
  <c r="BX31" i="237"/>
  <c r="BX47" i="237"/>
  <c r="BX56" i="237"/>
  <c r="BX72" i="237"/>
  <c r="BX88" i="237"/>
  <c r="BX16" i="237"/>
  <c r="BX32" i="237"/>
  <c r="BX4" i="237"/>
  <c r="BX57" i="237"/>
  <c r="BX73" i="237"/>
  <c r="BX89" i="237"/>
  <c r="BX17" i="237"/>
  <c r="BX33" i="237"/>
  <c r="BX58" i="237"/>
  <c r="BX74" i="237"/>
  <c r="BX90" i="237"/>
  <c r="BX18" i="237"/>
  <c r="BX34" i="237"/>
  <c r="BX61" i="237"/>
  <c r="BX19" i="237"/>
  <c r="BX63" i="237"/>
  <c r="BX20" i="237"/>
  <c r="BX68" i="237"/>
  <c r="BX21" i="237"/>
  <c r="BX69" i="237"/>
  <c r="BX23" i="237"/>
  <c r="BX77" i="237"/>
  <c r="BX35" i="237"/>
  <c r="BX79" i="237"/>
  <c r="BX36" i="237"/>
  <c r="BX85" i="237"/>
  <c r="BX39" i="237"/>
  <c r="BX48" i="237"/>
  <c r="BX45" i="237"/>
  <c r="BX52" i="237"/>
  <c r="BX5" i="237"/>
  <c r="BX53" i="237"/>
  <c r="BX7" i="237"/>
  <c r="BX13" i="237"/>
  <c r="BX28" i="237"/>
  <c r="BX29" i="237"/>
  <c r="BX84" i="237"/>
  <c r="BX91" i="237"/>
  <c r="BX59" i="237"/>
  <c r="BX60" i="237"/>
  <c r="BX75" i="237"/>
  <c r="BX76" i="237"/>
  <c r="BX12" i="237"/>
  <c r="BX44" i="237"/>
  <c r="BX37" i="237"/>
  <c r="M55" i="115"/>
  <c r="DH53" i="237"/>
  <c r="DH69" i="237"/>
  <c r="DH85" i="237"/>
  <c r="DH13" i="237"/>
  <c r="DH29" i="237"/>
  <c r="DH45" i="237"/>
  <c r="DH59" i="237"/>
  <c r="DH75" i="237"/>
  <c r="DH91" i="237"/>
  <c r="DH19" i="237"/>
  <c r="DH35" i="237"/>
  <c r="DH60" i="237"/>
  <c r="DH62" i="237"/>
  <c r="DH78" i="237"/>
  <c r="DH6" i="237"/>
  <c r="DH22" i="237"/>
  <c r="DH38" i="237"/>
  <c r="DH63" i="237"/>
  <c r="DH79" i="237"/>
  <c r="DH64" i="237"/>
  <c r="DH80" i="237"/>
  <c r="DH8" i="237"/>
  <c r="DH24" i="237"/>
  <c r="DH40" i="237"/>
  <c r="DH50" i="237"/>
  <c r="DH66" i="237"/>
  <c r="DH82" i="237"/>
  <c r="DH10" i="237"/>
  <c r="DH26" i="237"/>
  <c r="DH42" i="237"/>
  <c r="DH56" i="237"/>
  <c r="DH84" i="237"/>
  <c r="DH18" i="237"/>
  <c r="DH43" i="237"/>
  <c r="DH61" i="237"/>
  <c r="DH88" i="237"/>
  <c r="DH23" i="237"/>
  <c r="DH47" i="237"/>
  <c r="DH65" i="237"/>
  <c r="DH89" i="237"/>
  <c r="DH25" i="237"/>
  <c r="DH4" i="237"/>
  <c r="DH68" i="237"/>
  <c r="DH48" i="237"/>
  <c r="DH28" i="237"/>
  <c r="DH70" i="237"/>
  <c r="DH5" i="237"/>
  <c r="DH30" i="237"/>
  <c r="DH71" i="237"/>
  <c r="DH7" i="237"/>
  <c r="DH31" i="237"/>
  <c r="DH72" i="237"/>
  <c r="DH9" i="237"/>
  <c r="DH32" i="237"/>
  <c r="DH73" i="237"/>
  <c r="DH11" i="237"/>
  <c r="DH33" i="237"/>
  <c r="DH51" i="237"/>
  <c r="DH76" i="237"/>
  <c r="DH14" i="237"/>
  <c r="DH36" i="237"/>
  <c r="DH52" i="237"/>
  <c r="DH17" i="237"/>
  <c r="DH55" i="237"/>
  <c r="DH21" i="237"/>
  <c r="DH57" i="237"/>
  <c r="DH27" i="237"/>
  <c r="DH58" i="237"/>
  <c r="DH34" i="237"/>
  <c r="DH67" i="237"/>
  <c r="DH37" i="237"/>
  <c r="DH74" i="237"/>
  <c r="DH39" i="237"/>
  <c r="DH81" i="237"/>
  <c r="DH44" i="237"/>
  <c r="DH83" i="237"/>
  <c r="DH46" i="237"/>
  <c r="DH86" i="237"/>
  <c r="DH87" i="237"/>
  <c r="DH90" i="237"/>
  <c r="DH49" i="237"/>
  <c r="DH77" i="237"/>
  <c r="DH15" i="237"/>
  <c r="DH16" i="237"/>
  <c r="DH20" i="237"/>
  <c r="DH12" i="237"/>
  <c r="DH41" i="237"/>
  <c r="DH54" i="237"/>
  <c r="AP64" i="237"/>
  <c r="AP80" i="237"/>
  <c r="AP8" i="237"/>
  <c r="AP24" i="237"/>
  <c r="AP40" i="237"/>
  <c r="AP49" i="237"/>
  <c r="AP65" i="237"/>
  <c r="AP81" i="237"/>
  <c r="AP9" i="237"/>
  <c r="AP25" i="237"/>
  <c r="AP41" i="237"/>
  <c r="AP50" i="237"/>
  <c r="AP66" i="237"/>
  <c r="AP82" i="237"/>
  <c r="AP10" i="237"/>
  <c r="AP26" i="237"/>
  <c r="AP42" i="237"/>
  <c r="AP51" i="237"/>
  <c r="AP67" i="237"/>
  <c r="AP83" i="237"/>
  <c r="AP11" i="237"/>
  <c r="AP27" i="237"/>
  <c r="AP43" i="237"/>
  <c r="AP54" i="237"/>
  <c r="AP70" i="237"/>
  <c r="AP86" i="237"/>
  <c r="AP14" i="237"/>
  <c r="AP30" i="237"/>
  <c r="AP46" i="237"/>
  <c r="AP55" i="237"/>
  <c r="AP71" i="237"/>
  <c r="AP87" i="237"/>
  <c r="AP15" i="237"/>
  <c r="AP31" i="237"/>
  <c r="AP47" i="237"/>
  <c r="AP57" i="237"/>
  <c r="AP73" i="237"/>
  <c r="AP89" i="237"/>
  <c r="AP17" i="237"/>
  <c r="AP33" i="237"/>
  <c r="AP59" i="237"/>
  <c r="AP75" i="237"/>
  <c r="AP91" i="237"/>
  <c r="AP19" i="237"/>
  <c r="AP35" i="237"/>
  <c r="AP60" i="237"/>
  <c r="AP76" i="237"/>
  <c r="AP48" i="237"/>
  <c r="AP20" i="237"/>
  <c r="AP36" i="237"/>
  <c r="AP74" i="237"/>
  <c r="AP22" i="237"/>
  <c r="AP77" i="237"/>
  <c r="AP23" i="237"/>
  <c r="AP78" i="237"/>
  <c r="AP28" i="237"/>
  <c r="AP85" i="237"/>
  <c r="AP34" i="237"/>
  <c r="AP52" i="237"/>
  <c r="AP88" i="237"/>
  <c r="AP37" i="237"/>
  <c r="AP53" i="237"/>
  <c r="AP90" i="237"/>
  <c r="AP38" i="237"/>
  <c r="AP56" i="237"/>
  <c r="AP5" i="237"/>
  <c r="AP39" i="237"/>
  <c r="AP72" i="237"/>
  <c r="AP58" i="237"/>
  <c r="AP6" i="237"/>
  <c r="AP44" i="237"/>
  <c r="AP61" i="237"/>
  <c r="AP7" i="237"/>
  <c r="AP45" i="237"/>
  <c r="AP18" i="237"/>
  <c r="AP62" i="237"/>
  <c r="AP12" i="237"/>
  <c r="AP4" i="237"/>
  <c r="AP16" i="237"/>
  <c r="AP21" i="237"/>
  <c r="AP63" i="237"/>
  <c r="AP13" i="237"/>
  <c r="AP68" i="237"/>
  <c r="AP69" i="237"/>
  <c r="AP29" i="237"/>
  <c r="AP32" i="237"/>
  <c r="AP79" i="237"/>
  <c r="AP84" i="237"/>
  <c r="M36" i="115"/>
  <c r="BV54" i="237"/>
  <c r="BV70" i="237"/>
  <c r="BV86" i="237"/>
  <c r="BV14" i="237"/>
  <c r="BV30" i="237"/>
  <c r="BV46" i="237"/>
  <c r="BV56" i="237"/>
  <c r="BV72" i="237"/>
  <c r="BV88" i="237"/>
  <c r="BV16" i="237"/>
  <c r="BV32" i="237"/>
  <c r="BV4" i="237"/>
  <c r="BV57" i="237"/>
  <c r="BV73" i="237"/>
  <c r="BV89" i="237"/>
  <c r="BV58" i="237"/>
  <c r="BV74" i="237"/>
  <c r="BV90" i="237"/>
  <c r="BV18" i="237"/>
  <c r="BV34" i="237"/>
  <c r="BV59" i="237"/>
  <c r="BV75" i="237"/>
  <c r="BV91" i="237"/>
  <c r="BV19" i="237"/>
  <c r="BV35" i="237"/>
  <c r="BV62" i="237"/>
  <c r="BV78" i="237"/>
  <c r="BV6" i="237"/>
  <c r="BV22" i="237"/>
  <c r="BV38" i="237"/>
  <c r="BV63" i="237"/>
  <c r="BV64" i="237"/>
  <c r="BV80" i="237"/>
  <c r="BV8" i="237"/>
  <c r="BV24" i="237"/>
  <c r="BV40" i="237"/>
  <c r="BV49" i="237"/>
  <c r="BV65" i="237"/>
  <c r="BV81" i="237"/>
  <c r="BV9" i="237"/>
  <c r="BV25" i="237"/>
  <c r="BV41" i="237"/>
  <c r="BV50" i="237"/>
  <c r="BV66" i="237"/>
  <c r="BV82" i="237"/>
  <c r="BV10" i="237"/>
  <c r="BV26" i="237"/>
  <c r="BV42" i="237"/>
  <c r="BV60" i="237"/>
  <c r="BV11" i="237"/>
  <c r="BV43" i="237"/>
  <c r="BV61" i="237"/>
  <c r="BV12" i="237"/>
  <c r="BV44" i="237"/>
  <c r="BV67" i="237"/>
  <c r="BV13" i="237"/>
  <c r="BV45" i="237"/>
  <c r="BV68" i="237"/>
  <c r="BV15" i="237"/>
  <c r="BV47" i="237"/>
  <c r="BV76" i="237"/>
  <c r="BV21" i="237"/>
  <c r="BV77" i="237"/>
  <c r="BV23" i="237"/>
  <c r="BV83" i="237"/>
  <c r="BV28" i="237"/>
  <c r="BV85" i="237"/>
  <c r="BV31" i="237"/>
  <c r="BV51" i="237"/>
  <c r="BV87" i="237"/>
  <c r="BV33" i="237"/>
  <c r="BV52" i="237"/>
  <c r="BV48" i="237"/>
  <c r="BV36" i="237"/>
  <c r="BV29" i="237"/>
  <c r="BV37" i="237"/>
  <c r="BV39" i="237"/>
  <c r="BV53" i="237"/>
  <c r="BV20" i="237"/>
  <c r="BV55" i="237"/>
  <c r="BV69" i="237"/>
  <c r="BV17" i="237"/>
  <c r="BV71" i="237"/>
  <c r="BV79" i="237"/>
  <c r="BV84" i="237"/>
  <c r="BV27" i="237"/>
  <c r="BV5" i="237"/>
  <c r="BV7" i="237"/>
  <c r="M54" i="115"/>
  <c r="DF61" i="237"/>
  <c r="DF77" i="237"/>
  <c r="DF5" i="237"/>
  <c r="DF21" i="237"/>
  <c r="DF37" i="237"/>
  <c r="DF54" i="237"/>
  <c r="DF70" i="237"/>
  <c r="DF86" i="237"/>
  <c r="DF14" i="237"/>
  <c r="DF30" i="237"/>
  <c r="DF46" i="237"/>
  <c r="DF56" i="237"/>
  <c r="DF72" i="237"/>
  <c r="DF88" i="237"/>
  <c r="DF16" i="237"/>
  <c r="DF32" i="237"/>
  <c r="DF4" i="237"/>
  <c r="DF58" i="237"/>
  <c r="DF74" i="237"/>
  <c r="DF90" i="237"/>
  <c r="DF18" i="237"/>
  <c r="DF34" i="237"/>
  <c r="DF64" i="237"/>
  <c r="DF84" i="237"/>
  <c r="DF19" i="237"/>
  <c r="DF40" i="237"/>
  <c r="DF67" i="237"/>
  <c r="DF89" i="237"/>
  <c r="DF23" i="237"/>
  <c r="DF43" i="237"/>
  <c r="DF68" i="237"/>
  <c r="DF91" i="237"/>
  <c r="DF24" i="237"/>
  <c r="DF44" i="237"/>
  <c r="DF50" i="237"/>
  <c r="DF71" i="237"/>
  <c r="DF6" i="237"/>
  <c r="DF26" i="237"/>
  <c r="DF47" i="237"/>
  <c r="DF51" i="237"/>
  <c r="DF73" i="237"/>
  <c r="DF7" i="237"/>
  <c r="DF27" i="237"/>
  <c r="DF52" i="237"/>
  <c r="DF75" i="237"/>
  <c r="DF8" i="237"/>
  <c r="DF28" i="237"/>
  <c r="DF53" i="237"/>
  <c r="DF76" i="237"/>
  <c r="DF9" i="237"/>
  <c r="DF29" i="237"/>
  <c r="DF55" i="237"/>
  <c r="DF78" i="237"/>
  <c r="DF10" i="237"/>
  <c r="DF31" i="237"/>
  <c r="DF59" i="237"/>
  <c r="DF80" i="237"/>
  <c r="DF12" i="237"/>
  <c r="DF35" i="237"/>
  <c r="DF66" i="237"/>
  <c r="DF33" i="237"/>
  <c r="DF79" i="237"/>
  <c r="DF38" i="237"/>
  <c r="DF81" i="237"/>
  <c r="DF39" i="237"/>
  <c r="DF82" i="237"/>
  <c r="DF41" i="237"/>
  <c r="DF83" i="237"/>
  <c r="DF42" i="237"/>
  <c r="DF85" i="237"/>
  <c r="DF45" i="237"/>
  <c r="DF48" i="237"/>
  <c r="DF11" i="237"/>
  <c r="DF49" i="237"/>
  <c r="DF13" i="237"/>
  <c r="DF57" i="237"/>
  <c r="DF15" i="237"/>
  <c r="DF60" i="237"/>
  <c r="DF17" i="237"/>
  <c r="DF63" i="237"/>
  <c r="DF65" i="237"/>
  <c r="DF69" i="237"/>
  <c r="DF87" i="237"/>
  <c r="DF25" i="237"/>
  <c r="DF36" i="237"/>
  <c r="DF62" i="237"/>
  <c r="DF20" i="237"/>
  <c r="DF22" i="237"/>
  <c r="H37" i="219"/>
  <c r="H37" i="218"/>
  <c r="M10" i="115"/>
  <c r="M11" i="115"/>
  <c r="M12" i="115"/>
  <c r="M6" i="115"/>
  <c r="M9" i="115"/>
  <c r="M13" i="115"/>
  <c r="M14" i="115"/>
  <c r="M15" i="115"/>
  <c r="M8" i="115"/>
  <c r="M16" i="115"/>
  <c r="H37" i="235"/>
  <c r="M17" i="115"/>
  <c r="M18" i="115"/>
  <c r="M19" i="115"/>
  <c r="M21" i="115"/>
  <c r="M20" i="115"/>
  <c r="H37" i="203"/>
  <c r="M5" i="115"/>
  <c r="H37" i="180"/>
  <c r="D149" i="187"/>
  <c r="D149" i="205"/>
  <c r="H37" i="217"/>
  <c r="H37" i="211"/>
  <c r="H37" i="209"/>
  <c r="H37" i="208"/>
  <c r="H37" i="204"/>
  <c r="H37" i="202"/>
  <c r="H37" i="201"/>
  <c r="H37" i="200"/>
  <c r="H37" i="197"/>
  <c r="H37" i="195"/>
  <c r="H37" i="194"/>
  <c r="H37" i="181"/>
  <c r="D149" i="198"/>
  <c r="D149" i="208"/>
  <c r="D149" i="209"/>
  <c r="D149" i="225"/>
  <c r="D149" i="224"/>
  <c r="D149" i="182"/>
  <c r="D149" i="189"/>
  <c r="D149" i="191"/>
  <c r="D149" i="181"/>
  <c r="D149" i="190"/>
  <c r="D149" i="214"/>
  <c r="D149" i="192"/>
  <c r="D149" i="218"/>
  <c r="D149" i="219"/>
  <c r="D149" i="199"/>
  <c r="D149" i="207"/>
  <c r="D149" i="210"/>
  <c r="D149" i="212"/>
  <c r="D149" i="203"/>
  <c r="H37" i="236"/>
  <c r="H37" i="234"/>
  <c r="H37" i="233"/>
  <c r="H37" i="232"/>
  <c r="H37" i="231"/>
  <c r="H37" i="230"/>
  <c r="H37" i="229"/>
  <c r="H37" i="228"/>
  <c r="H37" i="227"/>
  <c r="H37" i="226"/>
  <c r="H37" i="225"/>
  <c r="H37" i="224"/>
  <c r="H37" i="223"/>
  <c r="H37" i="222"/>
  <c r="H37" i="221"/>
  <c r="H37" i="220"/>
  <c r="H37" i="216"/>
  <c r="H37" i="215"/>
  <c r="H37" i="214"/>
  <c r="H37" i="213"/>
  <c r="H37" i="212"/>
  <c r="H37" i="210"/>
  <c r="M35" i="115"/>
  <c r="H37" i="207"/>
  <c r="H37" i="206"/>
  <c r="H37" i="205"/>
  <c r="H37" i="199"/>
  <c r="H37" i="198"/>
  <c r="H37" i="196"/>
  <c r="H37" i="191"/>
  <c r="H37" i="189"/>
  <c r="H37" i="186"/>
  <c r="H37" i="185"/>
  <c r="H37" i="184"/>
  <c r="H37" i="183"/>
  <c r="H37" i="182"/>
  <c r="M7" i="115"/>
  <c r="D149" i="195"/>
  <c r="D149" i="201"/>
  <c r="D149" i="222"/>
  <c r="D149" i="230"/>
  <c r="D149" i="186"/>
  <c r="D149" i="196"/>
  <c r="D149" i="197"/>
  <c r="D149" i="217"/>
  <c r="D149" i="213"/>
  <c r="D149" i="227"/>
  <c r="D149" i="180"/>
  <c r="D149" i="215"/>
  <c r="D149" i="206"/>
  <c r="D149" i="183"/>
  <c r="D149" i="228"/>
  <c r="D149" i="188"/>
  <c r="D149" i="200"/>
  <c r="D149" i="193"/>
  <c r="D149" i="202"/>
  <c r="D149" i="204"/>
  <c r="D149" i="223"/>
  <c r="D149" i="234"/>
  <c r="D149" i="231"/>
  <c r="D149" i="211"/>
  <c r="D149" i="226"/>
  <c r="D149" i="235"/>
  <c r="D149" i="233"/>
  <c r="D149" i="184"/>
  <c r="D149" i="185"/>
  <c r="D149" i="216"/>
  <c r="D149" i="229"/>
  <c r="D149" i="220"/>
  <c r="D149" i="221"/>
  <c r="D149" i="232"/>
  <c r="D149" i="236"/>
  <c r="D149" i="194"/>
  <c r="D54" i="231"/>
  <c r="D103" i="231"/>
  <c r="D102" i="201"/>
  <c r="D53" i="201"/>
  <c r="D101" i="204"/>
  <c r="D52" i="204"/>
  <c r="D101" i="215"/>
  <c r="D52" i="215"/>
  <c r="D101" i="194"/>
  <c r="D52" i="194"/>
  <c r="D101" i="203"/>
  <c r="D52" i="203"/>
  <c r="G149" i="236"/>
  <c r="D102" i="236"/>
  <c r="D53" i="236"/>
  <c r="D103" i="236"/>
  <c r="I57" i="236"/>
  <c r="D52" i="236"/>
  <c r="G149" i="235"/>
  <c r="L60" i="115" s="1"/>
  <c r="D102" i="235"/>
  <c r="D53" i="235"/>
  <c r="D103" i="235"/>
  <c r="I57" i="235"/>
  <c r="D52" i="235"/>
  <c r="G149" i="234"/>
  <c r="D102" i="234"/>
  <c r="D53" i="234"/>
  <c r="D103" i="234"/>
  <c r="I57" i="234"/>
  <c r="D52" i="234"/>
  <c r="G149" i="233"/>
  <c r="D102" i="233"/>
  <c r="D53" i="233"/>
  <c r="D103" i="233"/>
  <c r="I57" i="233"/>
  <c r="D52" i="233"/>
  <c r="G149" i="232"/>
  <c r="D102" i="232"/>
  <c r="D53" i="232"/>
  <c r="D103" i="232"/>
  <c r="I57" i="232"/>
  <c r="D52" i="232"/>
  <c r="G149" i="231"/>
  <c r="I62" i="231"/>
  <c r="D101" i="231"/>
  <c r="D52" i="231"/>
  <c r="D102" i="231"/>
  <c r="D53" i="231"/>
  <c r="I57" i="231"/>
  <c r="G149" i="230"/>
  <c r="L55" i="115" s="1"/>
  <c r="D102" i="230"/>
  <c r="D53" i="230"/>
  <c r="D103" i="230"/>
  <c r="I57" i="230"/>
  <c r="D52" i="230"/>
  <c r="G149" i="229"/>
  <c r="D102" i="229"/>
  <c r="D53" i="229"/>
  <c r="D103" i="229"/>
  <c r="I57" i="229"/>
  <c r="D52" i="229"/>
  <c r="G149" i="228"/>
  <c r="L53" i="115" s="1"/>
  <c r="D102" i="228"/>
  <c r="D53" i="228"/>
  <c r="D103" i="228"/>
  <c r="I57" i="228"/>
  <c r="D52" i="228"/>
  <c r="G149" i="227"/>
  <c r="I62" i="227"/>
  <c r="D102" i="227"/>
  <c r="D53" i="227"/>
  <c r="D103" i="227"/>
  <c r="I57" i="227"/>
  <c r="D52" i="227"/>
  <c r="G149" i="226"/>
  <c r="D101" i="226"/>
  <c r="D52" i="226"/>
  <c r="D102" i="226"/>
  <c r="D53" i="226"/>
  <c r="I57" i="226"/>
  <c r="D54" i="226"/>
  <c r="G149" i="225"/>
  <c r="I62" i="225"/>
  <c r="D102" i="225"/>
  <c r="D53" i="225"/>
  <c r="D103" i="225"/>
  <c r="I57" i="225"/>
  <c r="D52" i="225"/>
  <c r="G149" i="224"/>
  <c r="D101" i="224"/>
  <c r="D52" i="224"/>
  <c r="D102" i="224"/>
  <c r="D53" i="224"/>
  <c r="D103" i="224"/>
  <c r="I57" i="224"/>
  <c r="G149" i="223"/>
  <c r="I62" i="223"/>
  <c r="D101" i="223"/>
  <c r="D52" i="223"/>
  <c r="D102" i="223"/>
  <c r="D53" i="223"/>
  <c r="D103" i="223"/>
  <c r="I57" i="223"/>
  <c r="G149" i="222"/>
  <c r="I73" i="222"/>
  <c r="D102" i="222"/>
  <c r="D53" i="222"/>
  <c r="I57" i="222"/>
  <c r="D52" i="222"/>
  <c r="D54" i="222"/>
  <c r="G149" i="221"/>
  <c r="D101" i="221"/>
  <c r="D52" i="221"/>
  <c r="D102" i="221"/>
  <c r="D53" i="221"/>
  <c r="D103" i="221"/>
  <c r="I57" i="221"/>
  <c r="G149" i="220"/>
  <c r="D102" i="220"/>
  <c r="D53" i="220"/>
  <c r="D103" i="220"/>
  <c r="I57" i="220"/>
  <c r="D52" i="220"/>
  <c r="G149" i="219"/>
  <c r="D102" i="219"/>
  <c r="D53" i="219"/>
  <c r="I57" i="219"/>
  <c r="D52" i="219"/>
  <c r="D54" i="219"/>
  <c r="G149" i="218"/>
  <c r="D102" i="218"/>
  <c r="D53" i="218"/>
  <c r="D101" i="218"/>
  <c r="D52" i="218"/>
  <c r="D103" i="218"/>
  <c r="I57" i="218"/>
  <c r="G149" i="217"/>
  <c r="D101" i="217"/>
  <c r="D52" i="217"/>
  <c r="D102" i="217"/>
  <c r="D53" i="217"/>
  <c r="D103" i="217"/>
  <c r="I57" i="217"/>
  <c r="G149" i="216"/>
  <c r="D102" i="216"/>
  <c r="D53" i="216"/>
  <c r="D103" i="216"/>
  <c r="I57" i="216"/>
  <c r="D52" i="216"/>
  <c r="G149" i="215"/>
  <c r="I62" i="215"/>
  <c r="D102" i="215"/>
  <c r="D53" i="215"/>
  <c r="D103" i="215"/>
  <c r="I57" i="215"/>
  <c r="G149" i="214"/>
  <c r="D102" i="214"/>
  <c r="D53" i="214"/>
  <c r="I57" i="214"/>
  <c r="D52" i="214"/>
  <c r="D54" i="214"/>
  <c r="G149" i="213"/>
  <c r="D101" i="213"/>
  <c r="D52" i="213"/>
  <c r="D102" i="213"/>
  <c r="D53" i="213"/>
  <c r="D103" i="213"/>
  <c r="I57" i="213"/>
  <c r="G149" i="212"/>
  <c r="D101" i="212"/>
  <c r="D52" i="212"/>
  <c r="D102" i="212"/>
  <c r="D53" i="212"/>
  <c r="D103" i="212"/>
  <c r="I57" i="212"/>
  <c r="G149" i="211"/>
  <c r="D101" i="211"/>
  <c r="D52" i="211"/>
  <c r="D102" i="211"/>
  <c r="D53" i="211"/>
  <c r="I149" i="211"/>
  <c r="D103" i="211"/>
  <c r="G149" i="210"/>
  <c r="D102" i="210"/>
  <c r="D53" i="210"/>
  <c r="D101" i="210"/>
  <c r="D52" i="210"/>
  <c r="D103" i="210"/>
  <c r="I57" i="210"/>
  <c r="G149" i="209"/>
  <c r="I73" i="209"/>
  <c r="D101" i="209"/>
  <c r="D52" i="209"/>
  <c r="D102" i="209"/>
  <c r="D53" i="209"/>
  <c r="D103" i="209"/>
  <c r="I57" i="209"/>
  <c r="G149" i="208"/>
  <c r="D102" i="208"/>
  <c r="D53" i="208"/>
  <c r="I57" i="208"/>
  <c r="D103" i="208"/>
  <c r="D52" i="208"/>
  <c r="G149" i="207"/>
  <c r="D101" i="207"/>
  <c r="D52" i="207"/>
  <c r="D102" i="207"/>
  <c r="D53" i="207"/>
  <c r="D103" i="207"/>
  <c r="I57" i="207"/>
  <c r="G149" i="206"/>
  <c r="D102" i="206"/>
  <c r="D53" i="206"/>
  <c r="D103" i="206"/>
  <c r="I57" i="206"/>
  <c r="D52" i="206"/>
  <c r="G149" i="205"/>
  <c r="L30" i="115" s="1"/>
  <c r="D102" i="205"/>
  <c r="D53" i="205"/>
  <c r="I57" i="205"/>
  <c r="D52" i="205"/>
  <c r="D54" i="205"/>
  <c r="I149" i="204"/>
  <c r="D102" i="204"/>
  <c r="D53" i="204"/>
  <c r="D103" i="204"/>
  <c r="G149" i="204"/>
  <c r="G149" i="203"/>
  <c r="I59" i="203"/>
  <c r="D102" i="203"/>
  <c r="D53" i="203"/>
  <c r="I57" i="203"/>
  <c r="D54" i="203"/>
  <c r="G149" i="202"/>
  <c r="L27" i="115" s="1"/>
  <c r="D102" i="202"/>
  <c r="D53" i="202"/>
  <c r="D103" i="202"/>
  <c r="I57" i="202"/>
  <c r="D52" i="202"/>
  <c r="G149" i="201"/>
  <c r="D103" i="201"/>
  <c r="I57" i="201"/>
  <c r="D52" i="201"/>
  <c r="G149" i="200"/>
  <c r="L25" i="115" s="1"/>
  <c r="D101" i="200"/>
  <c r="D52" i="200"/>
  <c r="D102" i="200"/>
  <c r="D53" i="200"/>
  <c r="D103" i="200"/>
  <c r="I57" i="200"/>
  <c r="G149" i="199"/>
  <c r="D103" i="199"/>
  <c r="I57" i="199"/>
  <c r="D52" i="199"/>
  <c r="D53" i="199"/>
  <c r="G149" i="198"/>
  <c r="D101" i="198"/>
  <c r="D52" i="198"/>
  <c r="D102" i="198"/>
  <c r="D53" i="198"/>
  <c r="D103" i="198"/>
  <c r="I57" i="198"/>
  <c r="G149" i="197"/>
  <c r="D101" i="197"/>
  <c r="D52" i="197"/>
  <c r="D102" i="197"/>
  <c r="D53" i="197"/>
  <c r="D103" i="197"/>
  <c r="I57" i="197"/>
  <c r="G149" i="196"/>
  <c r="D102" i="196"/>
  <c r="D53" i="196"/>
  <c r="D103" i="196"/>
  <c r="I57" i="196"/>
  <c r="D52" i="196"/>
  <c r="G149" i="195"/>
  <c r="D101" i="195"/>
  <c r="D52" i="195"/>
  <c r="D102" i="195"/>
  <c r="D53" i="195"/>
  <c r="D103" i="195"/>
  <c r="I57" i="195"/>
  <c r="G149" i="194"/>
  <c r="D102" i="194"/>
  <c r="D53" i="194"/>
  <c r="I57" i="194"/>
  <c r="D54" i="194"/>
  <c r="G149" i="193"/>
  <c r="D101" i="193"/>
  <c r="D52" i="193"/>
  <c r="D102" i="193"/>
  <c r="D53" i="193"/>
  <c r="D103" i="193"/>
  <c r="I57" i="193"/>
  <c r="G149" i="192"/>
  <c r="D101" i="192"/>
  <c r="D52" i="192"/>
  <c r="D102" i="192"/>
  <c r="D53" i="192"/>
  <c r="I57" i="192"/>
  <c r="D54" i="192"/>
  <c r="G149" i="191"/>
  <c r="I73" i="191"/>
  <c r="D102" i="191"/>
  <c r="D53" i="191"/>
  <c r="D103" i="191"/>
  <c r="I57" i="191"/>
  <c r="D52" i="191"/>
  <c r="G149" i="190"/>
  <c r="D102" i="190"/>
  <c r="D53" i="190"/>
  <c r="I57" i="190"/>
  <c r="D52" i="190"/>
  <c r="D54" i="190"/>
  <c r="G149" i="189"/>
  <c r="D101" i="189"/>
  <c r="D52" i="189"/>
  <c r="D102" i="189"/>
  <c r="D53" i="189"/>
  <c r="I57" i="189"/>
  <c r="D103" i="189"/>
  <c r="G149" i="188"/>
  <c r="I60" i="188"/>
  <c r="D101" i="185"/>
  <c r="D52" i="185"/>
  <c r="D102" i="188"/>
  <c r="D53" i="188"/>
  <c r="I57" i="188"/>
  <c r="D52" i="188"/>
  <c r="D103" i="188"/>
  <c r="G149" i="187"/>
  <c r="D101" i="187"/>
  <c r="D52" i="187"/>
  <c r="D102" i="187"/>
  <c r="D53" i="187"/>
  <c r="D103" i="187"/>
  <c r="I57" i="187"/>
  <c r="G149" i="186"/>
  <c r="D101" i="186"/>
  <c r="D52" i="186"/>
  <c r="D103" i="186"/>
  <c r="I57" i="186"/>
  <c r="D53" i="186"/>
  <c r="G149" i="185"/>
  <c r="D102" i="185"/>
  <c r="D53" i="185"/>
  <c r="D103" i="185"/>
  <c r="I57" i="185"/>
  <c r="G149" i="184"/>
  <c r="D101" i="184"/>
  <c r="D52" i="184"/>
  <c r="I57" i="184"/>
  <c r="D53" i="184"/>
  <c r="D103" i="184"/>
  <c r="G149" i="183"/>
  <c r="I149" i="183"/>
  <c r="D101" i="183"/>
  <c r="D52" i="183"/>
  <c r="D103" i="183"/>
  <c r="D53" i="183"/>
  <c r="G149" i="182"/>
  <c r="I62" i="182"/>
  <c r="D101" i="182"/>
  <c r="D52" i="182"/>
  <c r="I57" i="182"/>
  <c r="D53" i="182"/>
  <c r="D103" i="182"/>
  <c r="G149" i="181"/>
  <c r="L6" i="115" s="1"/>
  <c r="D54" i="181"/>
  <c r="D103" i="181"/>
  <c r="I57" i="181"/>
  <c r="D52" i="181"/>
  <c r="D53" i="181"/>
  <c r="G149" i="180"/>
  <c r="I62" i="180"/>
  <c r="D102" i="180"/>
  <c r="D53" i="180"/>
  <c r="D101" i="180"/>
  <c r="D52" i="180"/>
  <c r="D103" i="180"/>
  <c r="I57" i="180"/>
  <c r="L59" i="115" l="1"/>
  <c r="L54" i="115"/>
  <c r="L31" i="115"/>
  <c r="L61" i="115"/>
  <c r="L58" i="115"/>
  <c r="L24" i="115"/>
  <c r="L19" i="115"/>
  <c r="L15" i="115"/>
  <c r="L12" i="115"/>
  <c r="L57" i="115"/>
  <c r="L56" i="115"/>
  <c r="L51" i="115"/>
  <c r="L48" i="115"/>
  <c r="L46" i="115"/>
  <c r="L45" i="115"/>
  <c r="L43" i="115"/>
  <c r="L42" i="115"/>
  <c r="L41" i="115"/>
  <c r="L39" i="115"/>
  <c r="L38" i="115"/>
  <c r="L36" i="115"/>
  <c r="L34" i="115"/>
  <c r="L33" i="115"/>
  <c r="L28" i="115"/>
  <c r="L22" i="115"/>
  <c r="L32" i="115"/>
  <c r="L44" i="115"/>
  <c r="L47" i="115"/>
  <c r="L40" i="115"/>
  <c r="L26" i="115"/>
  <c r="L21" i="115"/>
  <c r="L37" i="115"/>
  <c r="L49" i="115"/>
  <c r="L10" i="115"/>
  <c r="L52" i="115"/>
  <c r="L29" i="115"/>
  <c r="L20" i="115"/>
  <c r="L50" i="115"/>
  <c r="L23" i="115"/>
  <c r="L17" i="115"/>
  <c r="L11" i="115"/>
  <c r="L13" i="115"/>
  <c r="L16" i="115"/>
  <c r="L18" i="115"/>
  <c r="L9" i="115"/>
  <c r="L14" i="115"/>
  <c r="L8" i="115"/>
  <c r="L5" i="115"/>
  <c r="L7" i="115"/>
  <c r="L35" i="115"/>
  <c r="I149" i="236"/>
  <c r="I149" i="235"/>
  <c r="I149" i="234"/>
  <c r="I149" i="233"/>
  <c r="I149" i="232"/>
  <c r="I149" i="231"/>
  <c r="I149" i="230"/>
  <c r="I149" i="229"/>
  <c r="I149" i="228"/>
  <c r="I149" i="227"/>
  <c r="I149" i="226"/>
  <c r="I149" i="225"/>
  <c r="I149" i="224"/>
  <c r="I149" i="223"/>
  <c r="I149" i="222"/>
  <c r="I149" i="221"/>
  <c r="I149" i="220"/>
  <c r="I149" i="219"/>
  <c r="I149" i="218"/>
  <c r="I149" i="217"/>
  <c r="I149" i="216"/>
  <c r="I149" i="215"/>
  <c r="I149" i="214"/>
  <c r="I149" i="213"/>
  <c r="I149" i="212"/>
  <c r="H35" i="211"/>
  <c r="I149" i="210"/>
  <c r="I149" i="209"/>
  <c r="I149" i="208"/>
  <c r="I149" i="207"/>
  <c r="I149" i="206"/>
  <c r="I149" i="205"/>
  <c r="H35" i="204"/>
  <c r="I149" i="203"/>
  <c r="I149" i="202"/>
  <c r="I149" i="201"/>
  <c r="I149" i="200"/>
  <c r="I149" i="199"/>
  <c r="I149" i="198"/>
  <c r="I149" i="197"/>
  <c r="I149" i="196"/>
  <c r="I149" i="195"/>
  <c r="I149" i="194"/>
  <c r="I149" i="193"/>
  <c r="I149" i="192"/>
  <c r="I149" i="191"/>
  <c r="I149" i="190"/>
  <c r="I149" i="189"/>
  <c r="I149" i="188"/>
  <c r="I149" i="187"/>
  <c r="I149" i="186"/>
  <c r="I149" i="185"/>
  <c r="I149" i="184"/>
  <c r="H35" i="183"/>
  <c r="I149" i="182"/>
  <c r="I149" i="181"/>
  <c r="I149" i="180"/>
  <c r="H35" i="236" l="1"/>
  <c r="H35" i="235"/>
  <c r="H35" i="234"/>
  <c r="H35" i="233"/>
  <c r="H35" i="232"/>
  <c r="H35" i="231"/>
  <c r="H35" i="230"/>
  <c r="H35" i="229"/>
  <c r="H35" i="228"/>
  <c r="H35" i="227"/>
  <c r="H35" i="226"/>
  <c r="H35" i="225"/>
  <c r="H35" i="224"/>
  <c r="H35" i="223"/>
  <c r="H35" i="222"/>
  <c r="H35" i="221"/>
  <c r="H35" i="220"/>
  <c r="H35" i="219"/>
  <c r="H35" i="218"/>
  <c r="H35" i="217"/>
  <c r="H35" i="216"/>
  <c r="H35" i="215"/>
  <c r="H35" i="214"/>
  <c r="H35" i="213"/>
  <c r="H35" i="212"/>
  <c r="H35" i="210"/>
  <c r="H35" i="209"/>
  <c r="H35" i="208"/>
  <c r="H35" i="207"/>
  <c r="H35" i="206"/>
  <c r="H35" i="205"/>
  <c r="H35" i="203"/>
  <c r="H35" i="202"/>
  <c r="H35" i="201"/>
  <c r="H35" i="200"/>
  <c r="H35" i="199"/>
  <c r="H35" i="198"/>
  <c r="H35" i="197"/>
  <c r="H35" i="196"/>
  <c r="H35" i="195"/>
  <c r="H35" i="194"/>
  <c r="H35" i="193"/>
  <c r="H35" i="192"/>
  <c r="H35" i="191"/>
  <c r="H35" i="190"/>
  <c r="H35" i="189"/>
  <c r="H35" i="188"/>
  <c r="H35" i="187"/>
  <c r="H35" i="186"/>
  <c r="H35" i="185"/>
  <c r="H35" i="184"/>
  <c r="H35" i="182"/>
  <c r="H35" i="181"/>
  <c r="H35" i="180"/>
  <c r="G107" i="177" l="1"/>
  <c r="I107" i="177" s="1"/>
  <c r="G108" i="177"/>
  <c r="I108" i="177" s="1"/>
  <c r="G109" i="177"/>
  <c r="I109" i="177" s="1"/>
  <c r="G110" i="177"/>
  <c r="I110" i="177" s="1"/>
  <c r="G111" i="177"/>
  <c r="I111" i="177" s="1"/>
  <c r="G112" i="177"/>
  <c r="I112" i="177" s="1"/>
  <c r="G113" i="177"/>
  <c r="I113" i="177" s="1"/>
  <c r="G114" i="177"/>
  <c r="I114" i="177" s="1"/>
  <c r="G115" i="177"/>
  <c r="I115" i="177" s="1"/>
  <c r="G116" i="177"/>
  <c r="I116" i="177" s="1"/>
  <c r="G117" i="177"/>
  <c r="I117" i="177" s="1"/>
  <c r="G118" i="177"/>
  <c r="I118" i="177" s="1"/>
  <c r="G119" i="177"/>
  <c r="I119" i="177" s="1"/>
  <c r="G120" i="177"/>
  <c r="I120" i="177" s="1"/>
  <c r="G121" i="177"/>
  <c r="I121" i="177" s="1"/>
  <c r="G122" i="177"/>
  <c r="I122" i="177" s="1"/>
  <c r="G123" i="177"/>
  <c r="I123" i="177" s="1"/>
  <c r="G124" i="177"/>
  <c r="I124" i="177" s="1"/>
  <c r="G125" i="177"/>
  <c r="I125" i="177" s="1"/>
  <c r="G126" i="177"/>
  <c r="I126" i="177" s="1"/>
  <c r="G127" i="177"/>
  <c r="I127" i="177" s="1"/>
  <c r="G128" i="177"/>
  <c r="I128" i="177" s="1"/>
  <c r="G129" i="177"/>
  <c r="I129" i="177" s="1"/>
  <c r="G130" i="177"/>
  <c r="I130" i="177" s="1"/>
  <c r="G131" i="177"/>
  <c r="I131" i="177" s="1"/>
  <c r="G132" i="177"/>
  <c r="I132" i="177" s="1"/>
  <c r="G133" i="177"/>
  <c r="I133" i="177" s="1"/>
  <c r="G134" i="177"/>
  <c r="I134" i="177" s="1"/>
  <c r="G135" i="177"/>
  <c r="I135" i="177" s="1"/>
  <c r="G136" i="177"/>
  <c r="I136" i="177" s="1"/>
  <c r="G137" i="177"/>
  <c r="I137" i="177" s="1"/>
  <c r="G138" i="177"/>
  <c r="I138" i="177" s="1"/>
  <c r="G139" i="177"/>
  <c r="I139" i="177" s="1"/>
  <c r="G140" i="177"/>
  <c r="I140" i="177" s="1"/>
  <c r="G141" i="177"/>
  <c r="I141" i="177" s="1"/>
  <c r="G142" i="177"/>
  <c r="I142" i="177" s="1"/>
  <c r="G143" i="177"/>
  <c r="I143" i="177" s="1"/>
  <c r="G144" i="177"/>
  <c r="I144" i="177" s="1"/>
  <c r="G145" i="177"/>
  <c r="I145" i="177" s="1"/>
  <c r="G146" i="177"/>
  <c r="I146" i="177" s="1"/>
  <c r="G147" i="177"/>
  <c r="I147" i="177" s="1"/>
  <c r="G148" i="177"/>
  <c r="I148" i="177" s="1"/>
  <c r="G106" i="177"/>
  <c r="I106" i="177" s="1"/>
  <c r="G58" i="177"/>
  <c r="I58" i="177" s="1"/>
  <c r="G59" i="177"/>
  <c r="I59" i="177" s="1"/>
  <c r="G60" i="177"/>
  <c r="I60" i="177" s="1"/>
  <c r="G61" i="177"/>
  <c r="I61" i="177" s="1"/>
  <c r="G62" i="177"/>
  <c r="I62" i="177" s="1"/>
  <c r="G63" i="177"/>
  <c r="I63" i="177" s="1"/>
  <c r="G64" i="177"/>
  <c r="I64" i="177" s="1"/>
  <c r="G65" i="177"/>
  <c r="I65" i="177" s="1"/>
  <c r="G66" i="177"/>
  <c r="I66" i="177" s="1"/>
  <c r="G67" i="177"/>
  <c r="I67" i="177" s="1"/>
  <c r="G68" i="177"/>
  <c r="I68" i="177" s="1"/>
  <c r="G69" i="177"/>
  <c r="I69" i="177" s="1"/>
  <c r="G70" i="177"/>
  <c r="I70" i="177" s="1"/>
  <c r="G71" i="177"/>
  <c r="I71" i="177" s="1"/>
  <c r="G72" i="177"/>
  <c r="I72" i="177" s="1"/>
  <c r="G73" i="177"/>
  <c r="I73" i="177" s="1"/>
  <c r="G74" i="177"/>
  <c r="I74" i="177" s="1"/>
  <c r="G75" i="177"/>
  <c r="I75" i="177" s="1"/>
  <c r="G76" i="177"/>
  <c r="I76" i="177" s="1"/>
  <c r="G77" i="177"/>
  <c r="I77" i="177" s="1"/>
  <c r="G78" i="177"/>
  <c r="I78" i="177" s="1"/>
  <c r="G79" i="177"/>
  <c r="I79" i="177" s="1"/>
  <c r="G80" i="177"/>
  <c r="I80" i="177" s="1"/>
  <c r="G81" i="177"/>
  <c r="I81" i="177" s="1"/>
  <c r="G82" i="177"/>
  <c r="I82" i="177" s="1"/>
  <c r="G83" i="177"/>
  <c r="I83" i="177" s="1"/>
  <c r="G84" i="177"/>
  <c r="I84" i="177" s="1"/>
  <c r="G85" i="177"/>
  <c r="I85" i="177" s="1"/>
  <c r="G86" i="177"/>
  <c r="I86" i="177" s="1"/>
  <c r="G87" i="177"/>
  <c r="I87" i="177" s="1"/>
  <c r="G88" i="177"/>
  <c r="I88" i="177" s="1"/>
  <c r="G89" i="177"/>
  <c r="I89" i="177" s="1"/>
  <c r="G90" i="177"/>
  <c r="I90" i="177" s="1"/>
  <c r="G91" i="177"/>
  <c r="I91" i="177" s="1"/>
  <c r="G92" i="177"/>
  <c r="I92" i="177" s="1"/>
  <c r="G93" i="177"/>
  <c r="I93" i="177" s="1"/>
  <c r="G94" i="177"/>
  <c r="I94" i="177" s="1"/>
  <c r="G95" i="177"/>
  <c r="I95" i="177" s="1"/>
  <c r="G96" i="177"/>
  <c r="I96" i="177" s="1"/>
  <c r="G97" i="177"/>
  <c r="I97" i="177" s="1"/>
  <c r="G98" i="177"/>
  <c r="I98" i="177" s="1"/>
  <c r="G99" i="177"/>
  <c r="I99" i="177" s="1"/>
  <c r="G100" i="177"/>
  <c r="I100" i="177" s="1"/>
  <c r="G57" i="177"/>
  <c r="I57" i="177" s="1"/>
  <c r="M149" i="177"/>
  <c r="H149" i="177"/>
  <c r="D149" i="177"/>
  <c r="B148" i="177"/>
  <c r="B147" i="177"/>
  <c r="B146" i="177"/>
  <c r="B145" i="177"/>
  <c r="B144" i="177"/>
  <c r="B143" i="177"/>
  <c r="B142" i="177"/>
  <c r="B141" i="177"/>
  <c r="B140" i="177"/>
  <c r="B139" i="177"/>
  <c r="B138" i="177"/>
  <c r="B137" i="177"/>
  <c r="B136" i="177"/>
  <c r="B135" i="177"/>
  <c r="B134" i="177"/>
  <c r="B133" i="177"/>
  <c r="B132" i="177"/>
  <c r="B131" i="177"/>
  <c r="B130" i="177"/>
  <c r="B129" i="177"/>
  <c r="B128" i="177"/>
  <c r="B127" i="177"/>
  <c r="B126" i="177"/>
  <c r="B125" i="177"/>
  <c r="B124" i="177"/>
  <c r="B123" i="177"/>
  <c r="B122" i="177"/>
  <c r="B121" i="177"/>
  <c r="B120" i="177"/>
  <c r="B119" i="177"/>
  <c r="B118" i="177"/>
  <c r="B117" i="177"/>
  <c r="B116" i="177"/>
  <c r="B115" i="177"/>
  <c r="B114" i="177"/>
  <c r="B113" i="177"/>
  <c r="B112" i="177"/>
  <c r="B111" i="177"/>
  <c r="B110" i="177"/>
  <c r="B109" i="177"/>
  <c r="B108" i="177"/>
  <c r="B107" i="177"/>
  <c r="B106" i="177"/>
  <c r="A106" i="177"/>
  <c r="A107" i="177" s="1"/>
  <c r="A108" i="177" s="1"/>
  <c r="A109" i="177" s="1"/>
  <c r="A110" i="177" s="1"/>
  <c r="A111" i="177" s="1"/>
  <c r="A112" i="177" s="1"/>
  <c r="A113" i="177" s="1"/>
  <c r="A114" i="177" s="1"/>
  <c r="A115" i="177" s="1"/>
  <c r="A116" i="177" s="1"/>
  <c r="A117" i="177" s="1"/>
  <c r="A118" i="177" s="1"/>
  <c r="A119" i="177" s="1"/>
  <c r="A120" i="177" s="1"/>
  <c r="A121" i="177" s="1"/>
  <c r="A122" i="177" s="1"/>
  <c r="A123" i="177" s="1"/>
  <c r="A124" i="177" s="1"/>
  <c r="A125" i="177" s="1"/>
  <c r="A126" i="177" s="1"/>
  <c r="A127" i="177" s="1"/>
  <c r="A128" i="177" s="1"/>
  <c r="A129" i="177" s="1"/>
  <c r="A130" i="177" s="1"/>
  <c r="A131" i="177" s="1"/>
  <c r="A132" i="177" s="1"/>
  <c r="A133" i="177" s="1"/>
  <c r="A134" i="177" s="1"/>
  <c r="A135" i="177" s="1"/>
  <c r="A136" i="177" s="1"/>
  <c r="A137" i="177" s="1"/>
  <c r="A138" i="177" s="1"/>
  <c r="A139" i="177" s="1"/>
  <c r="A140" i="177" s="1"/>
  <c r="A141" i="177" s="1"/>
  <c r="A142" i="177" s="1"/>
  <c r="A143" i="177" s="1"/>
  <c r="A144" i="177" s="1"/>
  <c r="A145" i="177" s="1"/>
  <c r="A146" i="177" s="1"/>
  <c r="A147" i="177" s="1"/>
  <c r="A148" i="177" s="1"/>
  <c r="N103" i="177"/>
  <c r="J103" i="177"/>
  <c r="H103" i="177"/>
  <c r="J102" i="177"/>
  <c r="H102" i="177"/>
  <c r="J101" i="177"/>
  <c r="C100" i="177"/>
  <c r="B100" i="177"/>
  <c r="C99" i="177"/>
  <c r="B99" i="177"/>
  <c r="C98" i="177"/>
  <c r="B98" i="177"/>
  <c r="C97" i="177"/>
  <c r="B97" i="177"/>
  <c r="C96" i="177"/>
  <c r="B96" i="177"/>
  <c r="C95" i="177"/>
  <c r="B95" i="177"/>
  <c r="C94" i="177"/>
  <c r="B94" i="177"/>
  <c r="C93" i="177"/>
  <c r="B93" i="177"/>
  <c r="C92" i="177"/>
  <c r="B92" i="177"/>
  <c r="C91" i="177"/>
  <c r="B91" i="177"/>
  <c r="C90" i="177"/>
  <c r="B90" i="177"/>
  <c r="C89" i="177"/>
  <c r="B89" i="177"/>
  <c r="C88" i="177"/>
  <c r="B88" i="177"/>
  <c r="C87" i="177"/>
  <c r="B87" i="177"/>
  <c r="C86" i="177"/>
  <c r="B86" i="177"/>
  <c r="C85" i="177"/>
  <c r="B85" i="177"/>
  <c r="C84" i="177"/>
  <c r="B84" i="177"/>
  <c r="C83" i="177"/>
  <c r="B83" i="177"/>
  <c r="C82" i="177"/>
  <c r="B82" i="177"/>
  <c r="C81" i="177"/>
  <c r="B81" i="177"/>
  <c r="C80" i="177"/>
  <c r="B80" i="177"/>
  <c r="C79" i="177"/>
  <c r="B79" i="177"/>
  <c r="C78" i="177"/>
  <c r="B78" i="177"/>
  <c r="C77" i="177"/>
  <c r="B77" i="177"/>
  <c r="C76" i="177"/>
  <c r="B76" i="177"/>
  <c r="C75" i="177"/>
  <c r="B75" i="177"/>
  <c r="C74" i="177"/>
  <c r="B74" i="177"/>
  <c r="C73" i="177"/>
  <c r="B73" i="177"/>
  <c r="C72" i="177"/>
  <c r="B72" i="177"/>
  <c r="C71" i="177"/>
  <c r="B71" i="177"/>
  <c r="C70" i="177"/>
  <c r="B70" i="177"/>
  <c r="C69" i="177"/>
  <c r="B69" i="177"/>
  <c r="C68" i="177"/>
  <c r="B68" i="177"/>
  <c r="C67" i="177"/>
  <c r="B67" i="177"/>
  <c r="C66" i="177"/>
  <c r="B66" i="177"/>
  <c r="C65" i="177"/>
  <c r="B65" i="177"/>
  <c r="C64" i="177"/>
  <c r="B64" i="177"/>
  <c r="C63" i="177"/>
  <c r="B63" i="177"/>
  <c r="C62" i="177"/>
  <c r="B62" i="177"/>
  <c r="C61" i="177"/>
  <c r="B61" i="177"/>
  <c r="C60" i="177"/>
  <c r="B60" i="177"/>
  <c r="C59" i="177"/>
  <c r="B59" i="177"/>
  <c r="C58" i="177"/>
  <c r="B58" i="177"/>
  <c r="C57" i="177"/>
  <c r="B57" i="177"/>
  <c r="N54" i="177"/>
  <c r="J54" i="177"/>
  <c r="H54" i="177"/>
  <c r="J53" i="177"/>
  <c r="H53" i="177"/>
  <c r="J52" i="177"/>
  <c r="D21" i="177" a="1"/>
  <c r="D20" i="177" a="1"/>
  <c r="D19" i="177" a="1"/>
  <c r="D14" i="177" a="1"/>
  <c r="D13" i="177" a="1"/>
  <c r="D53" i="177" s="1"/>
  <c r="D12" i="177" a="1"/>
  <c r="D10" i="177" a="1"/>
  <c r="D8" i="177"/>
  <c r="D7" i="177"/>
  <c r="D6" i="177"/>
  <c r="D5" i="177"/>
  <c r="N3" i="177"/>
  <c r="N1" i="177"/>
  <c r="P138" i="115"/>
  <c r="P136" i="115"/>
  <c r="P137" i="115"/>
  <c r="G107" i="176"/>
  <c r="G108" i="176"/>
  <c r="G109" i="176"/>
  <c r="G110" i="176"/>
  <c r="G111" i="176"/>
  <c r="G112" i="176"/>
  <c r="G113" i="176"/>
  <c r="G114" i="176"/>
  <c r="G115" i="176"/>
  <c r="G116" i="176"/>
  <c r="G117" i="176"/>
  <c r="G118" i="176"/>
  <c r="G119" i="176"/>
  <c r="G120" i="176"/>
  <c r="G121" i="176"/>
  <c r="G122" i="176"/>
  <c r="G123" i="176"/>
  <c r="G124" i="176"/>
  <c r="G125" i="176"/>
  <c r="G126" i="176"/>
  <c r="G127" i="176"/>
  <c r="G128" i="176"/>
  <c r="G129" i="176"/>
  <c r="G130" i="176"/>
  <c r="G131" i="176"/>
  <c r="G132" i="176"/>
  <c r="G133" i="176"/>
  <c r="G134" i="176"/>
  <c r="G135" i="176"/>
  <c r="G136" i="176"/>
  <c r="G137" i="176"/>
  <c r="G138" i="176"/>
  <c r="G139" i="176"/>
  <c r="G140" i="176"/>
  <c r="G141" i="176"/>
  <c r="G142" i="176"/>
  <c r="G143" i="176"/>
  <c r="G144" i="176"/>
  <c r="G145" i="176"/>
  <c r="G146" i="176"/>
  <c r="G147" i="176"/>
  <c r="G148" i="176"/>
  <c r="G106" i="176"/>
  <c r="G58" i="176"/>
  <c r="G59" i="176"/>
  <c r="G60" i="176"/>
  <c r="G61" i="176"/>
  <c r="G62" i="176"/>
  <c r="G63" i="176"/>
  <c r="G64" i="176"/>
  <c r="G65" i="176"/>
  <c r="G66" i="176"/>
  <c r="G67" i="176"/>
  <c r="G68" i="176"/>
  <c r="G69" i="176"/>
  <c r="G70" i="176"/>
  <c r="G71" i="176"/>
  <c r="G72" i="176"/>
  <c r="G73" i="176"/>
  <c r="G74" i="176"/>
  <c r="G75" i="176"/>
  <c r="G76" i="176"/>
  <c r="G77" i="176"/>
  <c r="G78" i="176"/>
  <c r="G79" i="176"/>
  <c r="G80" i="176"/>
  <c r="G81" i="176"/>
  <c r="G82" i="176"/>
  <c r="G83" i="176"/>
  <c r="G84" i="176"/>
  <c r="G85" i="176"/>
  <c r="G86" i="176"/>
  <c r="G87" i="176"/>
  <c r="G88" i="176"/>
  <c r="G89" i="176"/>
  <c r="G90" i="176"/>
  <c r="G91" i="176"/>
  <c r="G92" i="176"/>
  <c r="G93" i="176"/>
  <c r="G94" i="176"/>
  <c r="G95" i="176"/>
  <c r="G96" i="176"/>
  <c r="G97" i="176"/>
  <c r="G98" i="176"/>
  <c r="G99" i="176"/>
  <c r="G100" i="176"/>
  <c r="G57" i="176"/>
  <c r="C58" i="176"/>
  <c r="C59" i="176"/>
  <c r="C60" i="176"/>
  <c r="C61" i="176"/>
  <c r="C62" i="176"/>
  <c r="C63" i="176"/>
  <c r="C64" i="176"/>
  <c r="C65" i="176"/>
  <c r="C66" i="176"/>
  <c r="C67" i="176"/>
  <c r="C68" i="176"/>
  <c r="C69" i="176"/>
  <c r="C70" i="176"/>
  <c r="C71" i="176"/>
  <c r="C72" i="176"/>
  <c r="C73" i="176"/>
  <c r="C74" i="176"/>
  <c r="C75" i="176"/>
  <c r="C76" i="176"/>
  <c r="C77" i="176"/>
  <c r="C78" i="176"/>
  <c r="C79" i="176"/>
  <c r="C80" i="176"/>
  <c r="C81" i="176"/>
  <c r="C82" i="176"/>
  <c r="C83" i="176"/>
  <c r="C84" i="176"/>
  <c r="C85" i="176"/>
  <c r="C86" i="176"/>
  <c r="C87" i="176"/>
  <c r="C88" i="176"/>
  <c r="C89" i="176"/>
  <c r="C90" i="176"/>
  <c r="C91" i="176"/>
  <c r="C92" i="176"/>
  <c r="C93" i="176"/>
  <c r="C94" i="176"/>
  <c r="C95" i="176"/>
  <c r="C96" i="176"/>
  <c r="C97" i="176"/>
  <c r="C98" i="176"/>
  <c r="C99" i="176"/>
  <c r="C100" i="176"/>
  <c r="C57" i="176"/>
  <c r="B58" i="176"/>
  <c r="B59" i="176"/>
  <c r="B60" i="176"/>
  <c r="B61" i="176"/>
  <c r="B62" i="176"/>
  <c r="B63" i="176"/>
  <c r="B64" i="176"/>
  <c r="B65" i="176"/>
  <c r="B66" i="176"/>
  <c r="B67" i="176"/>
  <c r="B68" i="176"/>
  <c r="B69" i="176"/>
  <c r="B70" i="176"/>
  <c r="B71" i="176"/>
  <c r="B72" i="176"/>
  <c r="B73" i="176"/>
  <c r="B74" i="176"/>
  <c r="B75" i="176"/>
  <c r="B76" i="176"/>
  <c r="B77" i="176"/>
  <c r="B78" i="176"/>
  <c r="B79" i="176"/>
  <c r="B80" i="176"/>
  <c r="B81" i="176"/>
  <c r="B82" i="176"/>
  <c r="B83" i="176"/>
  <c r="B84" i="176"/>
  <c r="B85" i="176"/>
  <c r="B86" i="176"/>
  <c r="B87" i="176"/>
  <c r="B88" i="176"/>
  <c r="B89" i="176"/>
  <c r="B90" i="176"/>
  <c r="B91" i="176"/>
  <c r="B92" i="176"/>
  <c r="B93" i="176"/>
  <c r="B94" i="176"/>
  <c r="B95" i="176"/>
  <c r="B96" i="176"/>
  <c r="B97" i="176"/>
  <c r="B98" i="176"/>
  <c r="B99" i="176"/>
  <c r="B100" i="176"/>
  <c r="B57" i="176"/>
  <c r="AS90" i="237" l="1"/>
  <c r="H37" i="177"/>
  <c r="M4" i="115"/>
  <c r="G149" i="177"/>
  <c r="I149" i="177"/>
  <c r="D52" i="177"/>
  <c r="D101" i="177"/>
  <c r="D54" i="177"/>
  <c r="D103" i="177"/>
  <c r="D102" i="177"/>
  <c r="L4" i="115" l="1"/>
  <c r="H35" i="177"/>
  <c r="M149" i="176" l="1"/>
  <c r="H149" i="176"/>
  <c r="G149" i="176"/>
  <c r="D149" i="176"/>
  <c r="I148" i="176"/>
  <c r="I147" i="176"/>
  <c r="I146" i="176"/>
  <c r="I145" i="176"/>
  <c r="I144" i="176"/>
  <c r="I143" i="176"/>
  <c r="I142" i="176"/>
  <c r="I141" i="176"/>
  <c r="I140" i="176"/>
  <c r="I139" i="176"/>
  <c r="I138" i="176"/>
  <c r="I137" i="176"/>
  <c r="I136" i="176"/>
  <c r="I135" i="176"/>
  <c r="I134" i="176"/>
  <c r="I133" i="176"/>
  <c r="I132" i="176"/>
  <c r="I131" i="176"/>
  <c r="I130" i="176"/>
  <c r="I129" i="176"/>
  <c r="I128" i="176"/>
  <c r="I127" i="176"/>
  <c r="I126" i="176"/>
  <c r="I125" i="176"/>
  <c r="I124" i="176"/>
  <c r="I123" i="176"/>
  <c r="I122" i="176"/>
  <c r="I121" i="176"/>
  <c r="I120" i="176"/>
  <c r="I119" i="176"/>
  <c r="I118" i="176"/>
  <c r="I117" i="176"/>
  <c r="I116" i="176"/>
  <c r="I115" i="176"/>
  <c r="I114" i="176"/>
  <c r="I113" i="176"/>
  <c r="I112" i="176"/>
  <c r="I111" i="176"/>
  <c r="I110" i="176"/>
  <c r="I109" i="176"/>
  <c r="I108" i="176"/>
  <c r="I107" i="176"/>
  <c r="I106" i="176"/>
  <c r="A106" i="176"/>
  <c r="A107" i="176" s="1"/>
  <c r="A108" i="176" s="1"/>
  <c r="A109" i="176" s="1"/>
  <c r="A110" i="176" s="1"/>
  <c r="A111" i="176" s="1"/>
  <c r="A112" i="176" s="1"/>
  <c r="A113" i="176" s="1"/>
  <c r="A114" i="176" s="1"/>
  <c r="A115" i="176" s="1"/>
  <c r="A116" i="176" s="1"/>
  <c r="A117" i="176" s="1"/>
  <c r="A118" i="176" s="1"/>
  <c r="A119" i="176" s="1"/>
  <c r="A120" i="176" s="1"/>
  <c r="A121" i="176" s="1"/>
  <c r="A122" i="176" s="1"/>
  <c r="A123" i="176" s="1"/>
  <c r="A124" i="176" s="1"/>
  <c r="A125" i="176" s="1"/>
  <c r="A126" i="176" s="1"/>
  <c r="A127" i="176" s="1"/>
  <c r="A128" i="176" s="1"/>
  <c r="A129" i="176" s="1"/>
  <c r="A130" i="176" s="1"/>
  <c r="A131" i="176" s="1"/>
  <c r="A132" i="176" s="1"/>
  <c r="A133" i="176" s="1"/>
  <c r="A134" i="176" s="1"/>
  <c r="A135" i="176" s="1"/>
  <c r="A136" i="176" s="1"/>
  <c r="A137" i="176" s="1"/>
  <c r="A138" i="176" s="1"/>
  <c r="A139" i="176" s="1"/>
  <c r="A140" i="176" s="1"/>
  <c r="A141" i="176" s="1"/>
  <c r="A142" i="176" s="1"/>
  <c r="A143" i="176" s="1"/>
  <c r="A144" i="176" s="1"/>
  <c r="A145" i="176" s="1"/>
  <c r="A146" i="176" s="1"/>
  <c r="A147" i="176" s="1"/>
  <c r="A148" i="176" s="1"/>
  <c r="N103" i="176"/>
  <c r="J103" i="176"/>
  <c r="H103" i="176"/>
  <c r="J102" i="176"/>
  <c r="H102" i="176"/>
  <c r="J101" i="176"/>
  <c r="I100" i="176"/>
  <c r="I99" i="176"/>
  <c r="I98" i="176"/>
  <c r="I97" i="176"/>
  <c r="I96" i="176"/>
  <c r="I95" i="176"/>
  <c r="I94" i="176"/>
  <c r="I93" i="176"/>
  <c r="I92" i="176"/>
  <c r="I91" i="176"/>
  <c r="I90" i="176"/>
  <c r="I89" i="176"/>
  <c r="I88" i="176"/>
  <c r="I87" i="176"/>
  <c r="I86" i="176"/>
  <c r="I85" i="176"/>
  <c r="I84" i="176"/>
  <c r="I83" i="176"/>
  <c r="I82" i="176"/>
  <c r="I81" i="176"/>
  <c r="I80" i="176"/>
  <c r="I79" i="176"/>
  <c r="I78" i="176"/>
  <c r="I77" i="176"/>
  <c r="I76" i="176"/>
  <c r="I75" i="176"/>
  <c r="I74" i="176"/>
  <c r="I73" i="176"/>
  <c r="I72" i="176"/>
  <c r="I71" i="176"/>
  <c r="I70" i="176"/>
  <c r="I69" i="176"/>
  <c r="I68" i="176"/>
  <c r="I67" i="176"/>
  <c r="I66" i="176"/>
  <c r="I65" i="176"/>
  <c r="I64" i="176"/>
  <c r="I63" i="176"/>
  <c r="I62" i="176"/>
  <c r="I61" i="176"/>
  <c r="I60" i="176"/>
  <c r="I59" i="176"/>
  <c r="I58" i="176"/>
  <c r="I57" i="176"/>
  <c r="N54" i="176"/>
  <c r="J54" i="176"/>
  <c r="H54" i="176"/>
  <c r="J53" i="176"/>
  <c r="H53" i="176"/>
  <c r="J52" i="176"/>
  <c r="D21" i="176" a="1"/>
  <c r="D20" i="176" a="1"/>
  <c r="D19" i="176" a="1"/>
  <c r="D14" i="176" a="1"/>
  <c r="D13" i="176" a="1"/>
  <c r="D12" i="176" a="1"/>
  <c r="D10" i="176" a="1"/>
  <c r="D8" i="176"/>
  <c r="D7" i="176"/>
  <c r="D6" i="176"/>
  <c r="D5" i="176"/>
  <c r="N3" i="176"/>
  <c r="N1" i="176"/>
  <c r="I57" i="22"/>
  <c r="M149" i="22"/>
  <c r="H149" i="22"/>
  <c r="M2" i="115" s="1"/>
  <c r="G149" i="22"/>
  <c r="D149" i="22"/>
  <c r="D28" i="5" s="1"/>
  <c r="B55" i="118"/>
  <c r="C55" i="118"/>
  <c r="B54" i="118"/>
  <c r="C54" i="118"/>
  <c r="Q44" i="115"/>
  <c r="R44" i="115"/>
  <c r="S44" i="115"/>
  <c r="T44" i="115"/>
  <c r="U44" i="115"/>
  <c r="V44" i="115"/>
  <c r="W44" i="115"/>
  <c r="X44" i="115"/>
  <c r="Y44" i="115"/>
  <c r="Z44" i="115"/>
  <c r="AA44" i="115"/>
  <c r="AB44" i="115"/>
  <c r="AC44" i="115"/>
  <c r="AD44" i="115"/>
  <c r="AE44" i="115"/>
  <c r="AF44" i="115"/>
  <c r="AG44" i="115"/>
  <c r="AH44" i="115"/>
  <c r="AI44" i="115"/>
  <c r="AJ44" i="115"/>
  <c r="AK44" i="115"/>
  <c r="AL44" i="115"/>
  <c r="AM44" i="115"/>
  <c r="AN44" i="115"/>
  <c r="AO44" i="115"/>
  <c r="AP44" i="115"/>
  <c r="AQ44" i="115"/>
  <c r="AR44" i="115"/>
  <c r="AS44" i="115"/>
  <c r="AT44" i="115"/>
  <c r="AU44" i="115"/>
  <c r="AV44" i="115"/>
  <c r="AW44" i="115"/>
  <c r="AX44" i="115"/>
  <c r="AY44" i="115"/>
  <c r="AZ44" i="115"/>
  <c r="BA44" i="115"/>
  <c r="BB44" i="115"/>
  <c r="BC44" i="115"/>
  <c r="BD44" i="115"/>
  <c r="BE44" i="115"/>
  <c r="BF44" i="115"/>
  <c r="BG44" i="115"/>
  <c r="BH44" i="115"/>
  <c r="BI44" i="115"/>
  <c r="BJ44" i="115"/>
  <c r="BK44" i="115"/>
  <c r="BL44" i="115"/>
  <c r="BM44" i="115"/>
  <c r="BN44" i="115"/>
  <c r="BO44" i="115"/>
  <c r="BP44" i="115"/>
  <c r="BQ44" i="115"/>
  <c r="BR44" i="115"/>
  <c r="BS44" i="115"/>
  <c r="BT44" i="115"/>
  <c r="BU44" i="115"/>
  <c r="BV44" i="115"/>
  <c r="BW44" i="115"/>
  <c r="BX44" i="115"/>
  <c r="Q45" i="115"/>
  <c r="R45" i="115"/>
  <c r="S45" i="115"/>
  <c r="T45" i="115"/>
  <c r="U45" i="115"/>
  <c r="V45" i="115"/>
  <c r="W45" i="115"/>
  <c r="X45" i="115"/>
  <c r="Y45" i="115"/>
  <c r="Z45" i="115"/>
  <c r="AA45" i="115"/>
  <c r="AB45" i="115"/>
  <c r="AC45" i="115"/>
  <c r="AD45" i="115"/>
  <c r="AE45" i="115"/>
  <c r="AF45" i="115"/>
  <c r="AG45" i="115"/>
  <c r="AH45" i="115"/>
  <c r="AI45" i="115"/>
  <c r="AJ45" i="115"/>
  <c r="AK45" i="115"/>
  <c r="AL45" i="115"/>
  <c r="AM45" i="115"/>
  <c r="AN45" i="115"/>
  <c r="AO45" i="115"/>
  <c r="AP45" i="115"/>
  <c r="AQ45" i="115"/>
  <c r="AR45" i="115"/>
  <c r="AS45" i="115"/>
  <c r="AT45" i="115"/>
  <c r="AU45" i="115"/>
  <c r="AV45" i="115"/>
  <c r="AW45" i="115"/>
  <c r="AX45" i="115"/>
  <c r="AY45" i="115"/>
  <c r="AZ45" i="115"/>
  <c r="BA45" i="115"/>
  <c r="BB45" i="115"/>
  <c r="BC45" i="115"/>
  <c r="BD45" i="115"/>
  <c r="BE45" i="115"/>
  <c r="BF45" i="115"/>
  <c r="BG45" i="115"/>
  <c r="BH45" i="115"/>
  <c r="BI45" i="115"/>
  <c r="BJ45" i="115"/>
  <c r="BK45" i="115"/>
  <c r="BL45" i="115"/>
  <c r="BM45" i="115"/>
  <c r="BN45" i="115"/>
  <c r="BO45" i="115"/>
  <c r="BP45" i="115"/>
  <c r="BQ45" i="115"/>
  <c r="BR45" i="115"/>
  <c r="BS45" i="115"/>
  <c r="BT45" i="115"/>
  <c r="BU45" i="115"/>
  <c r="BV45" i="115"/>
  <c r="BW45" i="115"/>
  <c r="BX45" i="115"/>
  <c r="Q46" i="115"/>
  <c r="R46" i="115"/>
  <c r="S46" i="115"/>
  <c r="T46" i="115"/>
  <c r="U46" i="115"/>
  <c r="V46" i="115"/>
  <c r="W46" i="115"/>
  <c r="X46" i="115"/>
  <c r="Y46" i="115"/>
  <c r="Z46" i="115"/>
  <c r="AA46" i="115"/>
  <c r="AB46" i="115"/>
  <c r="AC46" i="115"/>
  <c r="AD46" i="115"/>
  <c r="AE46" i="115"/>
  <c r="AF46" i="115"/>
  <c r="AG46" i="115"/>
  <c r="AH46" i="115"/>
  <c r="AI46" i="115"/>
  <c r="AJ46" i="115"/>
  <c r="AK46" i="115"/>
  <c r="AL46" i="115"/>
  <c r="AM46" i="115"/>
  <c r="AN46" i="115"/>
  <c r="AO46" i="115"/>
  <c r="AP46" i="115"/>
  <c r="AQ46" i="115"/>
  <c r="AR46" i="115"/>
  <c r="AS46" i="115"/>
  <c r="AT46" i="115"/>
  <c r="AU46" i="115"/>
  <c r="AV46" i="115"/>
  <c r="AW46" i="115"/>
  <c r="AX46" i="115"/>
  <c r="AY46" i="115"/>
  <c r="AZ46" i="115"/>
  <c r="BA46" i="115"/>
  <c r="BB46" i="115"/>
  <c r="BC46" i="115"/>
  <c r="BD46" i="115"/>
  <c r="BE46" i="115"/>
  <c r="BF46" i="115"/>
  <c r="BG46" i="115"/>
  <c r="BH46" i="115"/>
  <c r="BI46" i="115"/>
  <c r="BJ46" i="115"/>
  <c r="BK46" i="115"/>
  <c r="BL46" i="115"/>
  <c r="BM46" i="115"/>
  <c r="BN46" i="115"/>
  <c r="BO46" i="115"/>
  <c r="BP46" i="115"/>
  <c r="BQ46" i="115"/>
  <c r="BR46" i="115"/>
  <c r="BS46" i="115"/>
  <c r="BT46" i="115"/>
  <c r="BU46" i="115"/>
  <c r="BV46" i="115"/>
  <c r="BW46" i="115"/>
  <c r="BX46" i="115"/>
  <c r="P44" i="115"/>
  <c r="P45" i="115"/>
  <c r="O44" i="115"/>
  <c r="O45" i="115"/>
  <c r="A106" i="22"/>
  <c r="E10" i="118"/>
  <c r="F10" i="118"/>
  <c r="G10" i="118"/>
  <c r="H10" i="118"/>
  <c r="I10" i="118"/>
  <c r="J10" i="118"/>
  <c r="K10" i="118"/>
  <c r="L10" i="118"/>
  <c r="M10" i="118"/>
  <c r="N10" i="118"/>
  <c r="O10" i="118"/>
  <c r="P10" i="118"/>
  <c r="Q10" i="118"/>
  <c r="R10" i="118"/>
  <c r="S10" i="118"/>
  <c r="T10" i="118"/>
  <c r="U10" i="118"/>
  <c r="V10" i="118"/>
  <c r="W10" i="118"/>
  <c r="X10" i="118"/>
  <c r="Y10" i="118"/>
  <c r="Z10" i="118"/>
  <c r="AA10" i="118"/>
  <c r="AB10" i="118"/>
  <c r="AC10" i="118"/>
  <c r="AD10" i="118"/>
  <c r="AE10" i="118"/>
  <c r="AF10" i="118"/>
  <c r="AG10" i="118"/>
  <c r="AH10" i="118"/>
  <c r="AI10" i="118"/>
  <c r="AJ10" i="118"/>
  <c r="AK10" i="118"/>
  <c r="AL10" i="118"/>
  <c r="AM10" i="118"/>
  <c r="I100" i="22"/>
  <c r="I99" i="22"/>
  <c r="F77" i="115"/>
  <c r="F78" i="115"/>
  <c r="F79" i="115"/>
  <c r="F80" i="115"/>
  <c r="F81" i="115"/>
  <c r="F82" i="115"/>
  <c r="F83" i="115"/>
  <c r="F84" i="115"/>
  <c r="F85" i="115"/>
  <c r="F86" i="115"/>
  <c r="F87" i="115"/>
  <c r="F88" i="115"/>
  <c r="F89" i="115"/>
  <c r="F90" i="115"/>
  <c r="F91" i="115"/>
  <c r="F92" i="115"/>
  <c r="F93" i="115"/>
  <c r="F94" i="115"/>
  <c r="F95" i="115"/>
  <c r="F96" i="115"/>
  <c r="F97" i="115"/>
  <c r="F98" i="115"/>
  <c r="F99" i="115"/>
  <c r="F100" i="115"/>
  <c r="F101" i="115"/>
  <c r="F102" i="115"/>
  <c r="F103" i="115"/>
  <c r="F104" i="115"/>
  <c r="F105" i="115"/>
  <c r="F106" i="115"/>
  <c r="F107" i="115"/>
  <c r="F108" i="115"/>
  <c r="F109" i="115"/>
  <c r="F110" i="115"/>
  <c r="F111" i="115"/>
  <c r="F112" i="115"/>
  <c r="F113" i="115"/>
  <c r="F114" i="115"/>
  <c r="F115" i="115"/>
  <c r="F116" i="115"/>
  <c r="F117" i="115"/>
  <c r="F118" i="115"/>
  <c r="F119" i="115"/>
  <c r="F120" i="115"/>
  <c r="F121" i="115"/>
  <c r="F122" i="115"/>
  <c r="F123" i="115"/>
  <c r="F124" i="115"/>
  <c r="F125" i="115"/>
  <c r="F126" i="115"/>
  <c r="F127" i="115"/>
  <c r="F128" i="115"/>
  <c r="F129" i="115"/>
  <c r="F130" i="115"/>
  <c r="F131" i="115"/>
  <c r="F132" i="115"/>
  <c r="F133" i="115"/>
  <c r="F134" i="115"/>
  <c r="F135" i="115"/>
  <c r="F136" i="115"/>
  <c r="F137" i="115"/>
  <c r="F138" i="115"/>
  <c r="F139" i="115"/>
  <c r="F140" i="115"/>
  <c r="F141" i="115"/>
  <c r="F142" i="115"/>
  <c r="F143" i="115"/>
  <c r="F144" i="115"/>
  <c r="F145" i="115"/>
  <c r="F146" i="115"/>
  <c r="F147" i="115"/>
  <c r="F148" i="115"/>
  <c r="F149" i="115"/>
  <c r="F150" i="115"/>
  <c r="F151" i="115"/>
  <c r="F152" i="115"/>
  <c r="F153" i="115"/>
  <c r="F154" i="115"/>
  <c r="F155" i="115"/>
  <c r="F156" i="115"/>
  <c r="F157" i="115"/>
  <c r="F158" i="115"/>
  <c r="F159" i="115"/>
  <c r="F160" i="115"/>
  <c r="F161" i="115"/>
  <c r="F162" i="115"/>
  <c r="F163" i="115"/>
  <c r="F164" i="115"/>
  <c r="F165" i="115"/>
  <c r="F166" i="115"/>
  <c r="F167" i="115"/>
  <c r="F168" i="115"/>
  <c r="F169" i="115"/>
  <c r="F170" i="115"/>
  <c r="F171" i="115"/>
  <c r="F172" i="115"/>
  <c r="F173" i="115"/>
  <c r="F174" i="115"/>
  <c r="F175" i="115"/>
  <c r="F176" i="115"/>
  <c r="F177" i="115"/>
  <c r="F178" i="115"/>
  <c r="F179" i="115"/>
  <c r="F180" i="115"/>
  <c r="F181" i="115"/>
  <c r="F182" i="115"/>
  <c r="F183" i="115"/>
  <c r="F184" i="115"/>
  <c r="F185" i="115"/>
  <c r="F186" i="115"/>
  <c r="F187" i="115"/>
  <c r="F188" i="115"/>
  <c r="F189" i="115"/>
  <c r="F190" i="115"/>
  <c r="F191" i="115"/>
  <c r="F192" i="115"/>
  <c r="F193" i="115"/>
  <c r="F194" i="115"/>
  <c r="F195" i="115"/>
  <c r="F196" i="115"/>
  <c r="F197" i="115"/>
  <c r="F198" i="115"/>
  <c r="F199" i="115"/>
  <c r="F200" i="115"/>
  <c r="F201" i="115"/>
  <c r="F202" i="115"/>
  <c r="F203" i="115"/>
  <c r="F204" i="115"/>
  <c r="F205" i="115"/>
  <c r="F206" i="115"/>
  <c r="F207" i="115"/>
  <c r="F208" i="115"/>
  <c r="F209" i="115"/>
  <c r="F210" i="115"/>
  <c r="F211" i="115"/>
  <c r="F212" i="115"/>
  <c r="F213" i="115"/>
  <c r="F214" i="115"/>
  <c r="F215" i="115"/>
  <c r="F216" i="115"/>
  <c r="F217" i="115"/>
  <c r="F218" i="115"/>
  <c r="F219" i="115"/>
  <c r="F220" i="115"/>
  <c r="F221" i="115"/>
  <c r="F222" i="115"/>
  <c r="F223" i="115"/>
  <c r="F224" i="115"/>
  <c r="F225" i="115"/>
  <c r="F226" i="115"/>
  <c r="F227" i="115"/>
  <c r="F228" i="115"/>
  <c r="F229" i="115"/>
  <c r="F230" i="115"/>
  <c r="F231" i="115"/>
  <c r="F232" i="115"/>
  <c r="F233" i="115"/>
  <c r="F234" i="115"/>
  <c r="F235" i="115"/>
  <c r="F236" i="115"/>
  <c r="F237" i="115"/>
  <c r="F238" i="115"/>
  <c r="F239" i="115"/>
  <c r="F240" i="115"/>
  <c r="F241" i="115"/>
  <c r="F242" i="115"/>
  <c r="F243" i="115"/>
  <c r="F244" i="115"/>
  <c r="F245" i="115"/>
  <c r="F246" i="115"/>
  <c r="F247" i="115"/>
  <c r="F248" i="115"/>
  <c r="F249" i="115"/>
  <c r="F250" i="115"/>
  <c r="F251" i="115"/>
  <c r="F252" i="115"/>
  <c r="F253" i="115"/>
  <c r="F254" i="115"/>
  <c r="F255" i="115"/>
  <c r="F256" i="115"/>
  <c r="F257" i="115"/>
  <c r="F258" i="115"/>
  <c r="F259" i="115"/>
  <c r="F260" i="115"/>
  <c r="F261" i="115"/>
  <c r="F262" i="115"/>
  <c r="F263" i="115"/>
  <c r="F264" i="115"/>
  <c r="F265" i="115"/>
  <c r="F266" i="115"/>
  <c r="F267" i="115"/>
  <c r="F268" i="115"/>
  <c r="F269" i="115"/>
  <c r="F270" i="115"/>
  <c r="F271" i="115"/>
  <c r="F272" i="115"/>
  <c r="F273" i="115"/>
  <c r="F274" i="115"/>
  <c r="F275" i="115"/>
  <c r="F276" i="115"/>
  <c r="F277" i="115"/>
  <c r="F278" i="115"/>
  <c r="F279" i="115"/>
  <c r="F280" i="115"/>
  <c r="F281" i="115"/>
  <c r="F282" i="115"/>
  <c r="F283" i="115"/>
  <c r="F284" i="115"/>
  <c r="F285" i="115"/>
  <c r="F286" i="115"/>
  <c r="F287" i="115"/>
  <c r="F288" i="115"/>
  <c r="F289" i="115"/>
  <c r="F290" i="115"/>
  <c r="F291" i="115"/>
  <c r="F292" i="115"/>
  <c r="F293" i="115"/>
  <c r="F294" i="115"/>
  <c r="F295" i="115"/>
  <c r="F296" i="115"/>
  <c r="F297" i="115"/>
  <c r="F298" i="115"/>
  <c r="F299" i="115"/>
  <c r="F300" i="115"/>
  <c r="F301" i="115"/>
  <c r="F302" i="115"/>
  <c r="F303" i="115"/>
  <c r="F304" i="115"/>
  <c r="F305" i="115"/>
  <c r="F306" i="115"/>
  <c r="F307" i="115"/>
  <c r="F308" i="115"/>
  <c r="F309" i="115"/>
  <c r="F310" i="115"/>
  <c r="F311" i="115"/>
  <c r="F312" i="115"/>
  <c r="F313" i="115"/>
  <c r="F314" i="115"/>
  <c r="F315" i="115"/>
  <c r="F316" i="115"/>
  <c r="F317" i="115"/>
  <c r="F318" i="115"/>
  <c r="F319" i="115"/>
  <c r="F320" i="115"/>
  <c r="F321" i="115"/>
  <c r="F322" i="115"/>
  <c r="F323" i="115"/>
  <c r="F324" i="115"/>
  <c r="F325" i="115"/>
  <c r="F326" i="115"/>
  <c r="F327" i="115"/>
  <c r="F328" i="115"/>
  <c r="F329" i="115"/>
  <c r="F330" i="115"/>
  <c r="F331" i="115"/>
  <c r="F332" i="115"/>
  <c r="F333" i="115"/>
  <c r="F334" i="115"/>
  <c r="F335" i="115"/>
  <c r="F336" i="115"/>
  <c r="F337" i="115"/>
  <c r="F338" i="115"/>
  <c r="F339" i="115"/>
  <c r="F340" i="115"/>
  <c r="F341" i="115"/>
  <c r="F342" i="115"/>
  <c r="F343" i="115"/>
  <c r="F344" i="115"/>
  <c r="F345" i="115"/>
  <c r="F346" i="115"/>
  <c r="F347" i="115"/>
  <c r="F348" i="115"/>
  <c r="F349" i="115"/>
  <c r="F350" i="115"/>
  <c r="F351" i="115"/>
  <c r="F352" i="115"/>
  <c r="F353" i="115"/>
  <c r="F354" i="115"/>
  <c r="F355" i="115"/>
  <c r="F356" i="115"/>
  <c r="F357" i="115"/>
  <c r="F358" i="115"/>
  <c r="F359" i="115"/>
  <c r="F360" i="115"/>
  <c r="F361" i="115"/>
  <c r="F362" i="115"/>
  <c r="F363" i="115"/>
  <c r="F364" i="115"/>
  <c r="F365" i="115"/>
  <c r="F366" i="115"/>
  <c r="F367" i="115"/>
  <c r="F368" i="115"/>
  <c r="F369" i="115"/>
  <c r="F370" i="115"/>
  <c r="F371" i="115"/>
  <c r="F372" i="115"/>
  <c r="F373" i="115"/>
  <c r="F374" i="115"/>
  <c r="F375" i="115"/>
  <c r="F376" i="115"/>
  <c r="F377" i="115"/>
  <c r="F378" i="115"/>
  <c r="F379" i="115"/>
  <c r="F380" i="115"/>
  <c r="F381" i="115"/>
  <c r="F382" i="115"/>
  <c r="F383" i="115"/>
  <c r="F384" i="115"/>
  <c r="F385" i="115"/>
  <c r="F386" i="115"/>
  <c r="F387" i="115"/>
  <c r="F388" i="115"/>
  <c r="F389" i="115"/>
  <c r="F390" i="115"/>
  <c r="F391" i="115"/>
  <c r="F392" i="115"/>
  <c r="F393" i="115"/>
  <c r="F394" i="115"/>
  <c r="F395" i="115"/>
  <c r="F396" i="115"/>
  <c r="F397" i="115"/>
  <c r="F398" i="115"/>
  <c r="F399" i="115"/>
  <c r="F400" i="115"/>
  <c r="F401" i="115"/>
  <c r="F402" i="115"/>
  <c r="F403" i="115"/>
  <c r="F404" i="115"/>
  <c r="F405" i="115"/>
  <c r="F406" i="115"/>
  <c r="F407" i="115"/>
  <c r="F408" i="115"/>
  <c r="F409" i="115"/>
  <c r="F410" i="115"/>
  <c r="F411" i="115"/>
  <c r="F412" i="115"/>
  <c r="F413" i="115"/>
  <c r="F414" i="115"/>
  <c r="F415" i="115"/>
  <c r="F416" i="115"/>
  <c r="F417" i="115"/>
  <c r="F418" i="115"/>
  <c r="F419" i="115"/>
  <c r="F420" i="115"/>
  <c r="F421" i="115"/>
  <c r="F422" i="115"/>
  <c r="F423" i="115"/>
  <c r="F424" i="115"/>
  <c r="F425" i="115"/>
  <c r="F426" i="115"/>
  <c r="F427" i="115"/>
  <c r="F428" i="115"/>
  <c r="F429" i="115"/>
  <c r="F430" i="115"/>
  <c r="F431" i="115"/>
  <c r="F432" i="115"/>
  <c r="F433" i="115"/>
  <c r="F434" i="115"/>
  <c r="F435" i="115"/>
  <c r="F436" i="115"/>
  <c r="F437" i="115"/>
  <c r="F438" i="115"/>
  <c r="F439" i="115"/>
  <c r="F440" i="115"/>
  <c r="F441" i="115"/>
  <c r="F442" i="115"/>
  <c r="F443" i="115"/>
  <c r="F444" i="115"/>
  <c r="F445" i="115"/>
  <c r="F446" i="115"/>
  <c r="F447" i="115"/>
  <c r="F448" i="115"/>
  <c r="F449" i="115"/>
  <c r="F450" i="115"/>
  <c r="F451" i="115"/>
  <c r="F452" i="115"/>
  <c r="F453" i="115"/>
  <c r="F454" i="115"/>
  <c r="F455" i="115"/>
  <c r="F456" i="115"/>
  <c r="F457" i="115"/>
  <c r="F458" i="115"/>
  <c r="F459" i="115"/>
  <c r="F460" i="115"/>
  <c r="F461" i="115"/>
  <c r="F462" i="115"/>
  <c r="F463" i="115"/>
  <c r="F464" i="115"/>
  <c r="F465" i="115"/>
  <c r="F466" i="115"/>
  <c r="F467" i="115"/>
  <c r="F468" i="115"/>
  <c r="F469" i="115"/>
  <c r="F470" i="115"/>
  <c r="F471" i="115"/>
  <c r="F472" i="115"/>
  <c r="F473" i="115"/>
  <c r="F474" i="115"/>
  <c r="F475" i="115"/>
  <c r="F476" i="115"/>
  <c r="F477" i="115"/>
  <c r="F478" i="115"/>
  <c r="F479" i="115"/>
  <c r="F480" i="115"/>
  <c r="F481" i="115"/>
  <c r="F482" i="115"/>
  <c r="F483" i="115"/>
  <c r="F484" i="115"/>
  <c r="F485" i="115"/>
  <c r="F486" i="115"/>
  <c r="F487" i="115"/>
  <c r="F488" i="115"/>
  <c r="F489" i="115"/>
  <c r="F490" i="115"/>
  <c r="F491" i="115"/>
  <c r="F492" i="115"/>
  <c r="F493" i="115"/>
  <c r="F494" i="115"/>
  <c r="F495" i="115"/>
  <c r="F496" i="115"/>
  <c r="F497" i="115"/>
  <c r="F498" i="115"/>
  <c r="F499" i="115"/>
  <c r="F500" i="115"/>
  <c r="F501" i="115"/>
  <c r="E77" i="115"/>
  <c r="E78" i="115"/>
  <c r="E79" i="115"/>
  <c r="E80" i="115"/>
  <c r="E81" i="115"/>
  <c r="E82" i="115"/>
  <c r="E83" i="115"/>
  <c r="E84" i="115"/>
  <c r="E85" i="115"/>
  <c r="E86" i="115"/>
  <c r="E87" i="115"/>
  <c r="E88" i="115"/>
  <c r="E89" i="115"/>
  <c r="E90" i="115"/>
  <c r="E91" i="115"/>
  <c r="E92" i="115"/>
  <c r="E93" i="115"/>
  <c r="E94" i="115"/>
  <c r="E95" i="115"/>
  <c r="E96" i="115"/>
  <c r="E97" i="115"/>
  <c r="E98" i="115"/>
  <c r="E99" i="115"/>
  <c r="E100" i="115"/>
  <c r="E101" i="115"/>
  <c r="E102" i="115"/>
  <c r="E103" i="115"/>
  <c r="E104" i="115"/>
  <c r="E105" i="115"/>
  <c r="E106" i="115"/>
  <c r="E107" i="115"/>
  <c r="E108" i="115"/>
  <c r="E109" i="115"/>
  <c r="E110" i="115"/>
  <c r="E111" i="115"/>
  <c r="E112" i="115"/>
  <c r="E113" i="115"/>
  <c r="E114" i="115"/>
  <c r="E115" i="115"/>
  <c r="E116" i="115"/>
  <c r="E117" i="115"/>
  <c r="E118" i="115"/>
  <c r="E119" i="115"/>
  <c r="E120" i="115"/>
  <c r="E121" i="115"/>
  <c r="E122" i="115"/>
  <c r="E123" i="115"/>
  <c r="E124" i="115"/>
  <c r="E125" i="115"/>
  <c r="E126" i="115"/>
  <c r="E127" i="115"/>
  <c r="E128" i="115"/>
  <c r="E129" i="115"/>
  <c r="E130" i="115"/>
  <c r="E131" i="115"/>
  <c r="E132" i="115"/>
  <c r="E133" i="115"/>
  <c r="E134" i="115"/>
  <c r="E135" i="115"/>
  <c r="E136" i="115"/>
  <c r="E137" i="115"/>
  <c r="E138" i="115"/>
  <c r="E139" i="115"/>
  <c r="E140" i="115"/>
  <c r="E141" i="115"/>
  <c r="E142" i="115"/>
  <c r="E143" i="115"/>
  <c r="E144" i="115"/>
  <c r="E145" i="115"/>
  <c r="E146" i="115"/>
  <c r="E147" i="115"/>
  <c r="E148" i="115"/>
  <c r="E149" i="115"/>
  <c r="E150" i="115"/>
  <c r="E151" i="115"/>
  <c r="E152" i="115"/>
  <c r="E153" i="115"/>
  <c r="E154" i="115"/>
  <c r="E155" i="115"/>
  <c r="E156" i="115"/>
  <c r="E157" i="115"/>
  <c r="E158" i="115"/>
  <c r="E159" i="115"/>
  <c r="E160" i="115"/>
  <c r="E161" i="115"/>
  <c r="E162" i="115"/>
  <c r="E163" i="115"/>
  <c r="E164" i="115"/>
  <c r="E165" i="115"/>
  <c r="E166" i="115"/>
  <c r="E167" i="115"/>
  <c r="E168" i="115"/>
  <c r="E169" i="115"/>
  <c r="E170" i="115"/>
  <c r="E171" i="115"/>
  <c r="E172" i="115"/>
  <c r="E173" i="115"/>
  <c r="E174" i="115"/>
  <c r="E175" i="115"/>
  <c r="E176" i="115"/>
  <c r="E177" i="115"/>
  <c r="E178" i="115"/>
  <c r="E179" i="115"/>
  <c r="E180" i="115"/>
  <c r="E181" i="115"/>
  <c r="E182" i="115"/>
  <c r="E183" i="115"/>
  <c r="E184" i="115"/>
  <c r="E185" i="115"/>
  <c r="E186" i="115"/>
  <c r="E187" i="115"/>
  <c r="E188" i="115"/>
  <c r="E189" i="115"/>
  <c r="E190" i="115"/>
  <c r="E191" i="115"/>
  <c r="E192" i="115"/>
  <c r="E193" i="115"/>
  <c r="E194" i="115"/>
  <c r="E195" i="115"/>
  <c r="E196" i="115"/>
  <c r="E197" i="115"/>
  <c r="E198" i="115"/>
  <c r="E199" i="115"/>
  <c r="E200" i="115"/>
  <c r="E201" i="115"/>
  <c r="E202" i="115"/>
  <c r="E203" i="115"/>
  <c r="E204" i="115"/>
  <c r="E205" i="115"/>
  <c r="E206" i="115"/>
  <c r="E207" i="115"/>
  <c r="E208" i="115"/>
  <c r="E209" i="115"/>
  <c r="E210" i="115"/>
  <c r="E211" i="115"/>
  <c r="E212" i="115"/>
  <c r="E213" i="115"/>
  <c r="E214" i="115"/>
  <c r="E215" i="115"/>
  <c r="E216" i="115"/>
  <c r="E217" i="115"/>
  <c r="E218" i="115"/>
  <c r="E219" i="115"/>
  <c r="E220" i="115"/>
  <c r="E221" i="115"/>
  <c r="E222" i="115"/>
  <c r="E223" i="115"/>
  <c r="E224" i="115"/>
  <c r="E225" i="115"/>
  <c r="E226" i="115"/>
  <c r="E227" i="115"/>
  <c r="E228" i="115"/>
  <c r="E229" i="115"/>
  <c r="E230" i="115"/>
  <c r="E231" i="115"/>
  <c r="E232" i="115"/>
  <c r="E233" i="115"/>
  <c r="E234" i="115"/>
  <c r="E235" i="115"/>
  <c r="E236" i="115"/>
  <c r="E237" i="115"/>
  <c r="E238" i="115"/>
  <c r="E239" i="115"/>
  <c r="E240" i="115"/>
  <c r="E241" i="115"/>
  <c r="E242" i="115"/>
  <c r="E243" i="115"/>
  <c r="E244" i="115"/>
  <c r="E245" i="115"/>
  <c r="E246" i="115"/>
  <c r="E247" i="115"/>
  <c r="E248" i="115"/>
  <c r="E249" i="115"/>
  <c r="E250" i="115"/>
  <c r="E251" i="115"/>
  <c r="E252" i="115"/>
  <c r="E253" i="115"/>
  <c r="E254" i="115"/>
  <c r="E255" i="115"/>
  <c r="E256" i="115"/>
  <c r="E257" i="115"/>
  <c r="E258" i="115"/>
  <c r="E259" i="115"/>
  <c r="E260" i="115"/>
  <c r="E261" i="115"/>
  <c r="E262" i="115"/>
  <c r="E263" i="115"/>
  <c r="E264" i="115"/>
  <c r="E265" i="115"/>
  <c r="E266" i="115"/>
  <c r="E267" i="115"/>
  <c r="E268" i="115"/>
  <c r="E269" i="115"/>
  <c r="E270" i="115"/>
  <c r="E271" i="115"/>
  <c r="E272" i="115"/>
  <c r="E273" i="115"/>
  <c r="E274" i="115"/>
  <c r="E275" i="115"/>
  <c r="E276" i="115"/>
  <c r="E277" i="115"/>
  <c r="E278" i="115"/>
  <c r="E279" i="115"/>
  <c r="E280" i="115"/>
  <c r="E281" i="115"/>
  <c r="E282" i="115"/>
  <c r="E283" i="115"/>
  <c r="E284" i="115"/>
  <c r="E285" i="115"/>
  <c r="E286" i="115"/>
  <c r="E287" i="115"/>
  <c r="E288" i="115"/>
  <c r="E289" i="115"/>
  <c r="E290" i="115"/>
  <c r="E291" i="115"/>
  <c r="E292" i="115"/>
  <c r="E293" i="115"/>
  <c r="E294" i="115"/>
  <c r="E295" i="115"/>
  <c r="E296" i="115"/>
  <c r="E297" i="115"/>
  <c r="E298" i="115"/>
  <c r="E299" i="115"/>
  <c r="E300" i="115"/>
  <c r="E301" i="115"/>
  <c r="E302" i="115"/>
  <c r="E303" i="115"/>
  <c r="E304" i="115"/>
  <c r="E305" i="115"/>
  <c r="E306" i="115"/>
  <c r="E307" i="115"/>
  <c r="E308" i="115"/>
  <c r="E309" i="115"/>
  <c r="E310" i="115"/>
  <c r="E311" i="115"/>
  <c r="E312" i="115"/>
  <c r="E313" i="115"/>
  <c r="E314" i="115"/>
  <c r="E315" i="115"/>
  <c r="E316" i="115"/>
  <c r="E317" i="115"/>
  <c r="E318" i="115"/>
  <c r="E319" i="115"/>
  <c r="E320" i="115"/>
  <c r="E321" i="115"/>
  <c r="E322" i="115"/>
  <c r="E323" i="115"/>
  <c r="E324" i="115"/>
  <c r="E325" i="115"/>
  <c r="E326" i="115"/>
  <c r="E327" i="115"/>
  <c r="E328" i="115"/>
  <c r="E329" i="115"/>
  <c r="E330" i="115"/>
  <c r="E331" i="115"/>
  <c r="E332" i="115"/>
  <c r="E333" i="115"/>
  <c r="E334" i="115"/>
  <c r="E335" i="115"/>
  <c r="E336" i="115"/>
  <c r="E337" i="115"/>
  <c r="E338" i="115"/>
  <c r="E339" i="115"/>
  <c r="E340" i="115"/>
  <c r="E341" i="115"/>
  <c r="E342" i="115"/>
  <c r="E343" i="115"/>
  <c r="E344" i="115"/>
  <c r="E345" i="115"/>
  <c r="E346" i="115"/>
  <c r="E347" i="115"/>
  <c r="E348" i="115"/>
  <c r="E349" i="115"/>
  <c r="E350" i="115"/>
  <c r="E351" i="115"/>
  <c r="E352" i="115"/>
  <c r="E353" i="115"/>
  <c r="E354" i="115"/>
  <c r="E355" i="115"/>
  <c r="E356" i="115"/>
  <c r="E357" i="115"/>
  <c r="E358" i="115"/>
  <c r="E359" i="115"/>
  <c r="E360" i="115"/>
  <c r="E361" i="115"/>
  <c r="E362" i="115"/>
  <c r="E363" i="115"/>
  <c r="E364" i="115"/>
  <c r="E365" i="115"/>
  <c r="E366" i="115"/>
  <c r="E367" i="115"/>
  <c r="E368" i="115"/>
  <c r="E369" i="115"/>
  <c r="E370" i="115"/>
  <c r="E371" i="115"/>
  <c r="E372" i="115"/>
  <c r="E373" i="115"/>
  <c r="E374" i="115"/>
  <c r="E375" i="115"/>
  <c r="E376" i="115"/>
  <c r="E377" i="115"/>
  <c r="E378" i="115"/>
  <c r="E379" i="115"/>
  <c r="E380" i="115"/>
  <c r="E381" i="115"/>
  <c r="E382" i="115"/>
  <c r="E383" i="115"/>
  <c r="E384" i="115"/>
  <c r="E385" i="115"/>
  <c r="E386" i="115"/>
  <c r="E387" i="115"/>
  <c r="E388" i="115"/>
  <c r="E389" i="115"/>
  <c r="E390" i="115"/>
  <c r="E391" i="115"/>
  <c r="E392" i="115"/>
  <c r="E393" i="115"/>
  <c r="E394" i="115"/>
  <c r="E395" i="115"/>
  <c r="E396" i="115"/>
  <c r="E397" i="115"/>
  <c r="E398" i="115"/>
  <c r="E399" i="115"/>
  <c r="E400" i="115"/>
  <c r="E401" i="115"/>
  <c r="E402" i="115"/>
  <c r="E403" i="115"/>
  <c r="E404" i="115"/>
  <c r="E405" i="115"/>
  <c r="E406" i="115"/>
  <c r="E407" i="115"/>
  <c r="E408" i="115"/>
  <c r="E409" i="115"/>
  <c r="E410" i="115"/>
  <c r="E411" i="115"/>
  <c r="E412" i="115"/>
  <c r="E413" i="115"/>
  <c r="E414" i="115"/>
  <c r="E415" i="115"/>
  <c r="E416" i="115"/>
  <c r="E417" i="115"/>
  <c r="E418" i="115"/>
  <c r="E419" i="115"/>
  <c r="E420" i="115"/>
  <c r="E421" i="115"/>
  <c r="E422" i="115"/>
  <c r="E423" i="115"/>
  <c r="E424" i="115"/>
  <c r="E425" i="115"/>
  <c r="E426" i="115"/>
  <c r="E427" i="115"/>
  <c r="E428" i="115"/>
  <c r="E429" i="115"/>
  <c r="E430" i="115"/>
  <c r="E431" i="115"/>
  <c r="E432" i="115"/>
  <c r="E433" i="115"/>
  <c r="E434" i="115"/>
  <c r="E435" i="115"/>
  <c r="E436" i="115"/>
  <c r="E437" i="115"/>
  <c r="E438" i="115"/>
  <c r="E439" i="115"/>
  <c r="E440" i="115"/>
  <c r="E441" i="115"/>
  <c r="E442" i="115"/>
  <c r="E443" i="115"/>
  <c r="E444" i="115"/>
  <c r="E445" i="115"/>
  <c r="E446" i="115"/>
  <c r="E447" i="115"/>
  <c r="E448" i="115"/>
  <c r="E449" i="115"/>
  <c r="E450" i="115"/>
  <c r="E451" i="115"/>
  <c r="E452" i="115"/>
  <c r="E453" i="115"/>
  <c r="E454" i="115"/>
  <c r="E455" i="115"/>
  <c r="E456" i="115"/>
  <c r="E457" i="115"/>
  <c r="E458" i="115"/>
  <c r="E459" i="115"/>
  <c r="E460" i="115"/>
  <c r="E461" i="115"/>
  <c r="E462" i="115"/>
  <c r="E463" i="115"/>
  <c r="E464" i="115"/>
  <c r="E465" i="115"/>
  <c r="E466" i="115"/>
  <c r="E467" i="115"/>
  <c r="E468" i="115"/>
  <c r="E469" i="115"/>
  <c r="E470" i="115"/>
  <c r="E471" i="115"/>
  <c r="E472" i="115"/>
  <c r="E473" i="115"/>
  <c r="E474" i="115"/>
  <c r="E475" i="115"/>
  <c r="E476" i="115"/>
  <c r="E477" i="115"/>
  <c r="E478" i="115"/>
  <c r="E479" i="115"/>
  <c r="E480" i="115"/>
  <c r="E481" i="115"/>
  <c r="E482" i="115"/>
  <c r="E483" i="115"/>
  <c r="E484" i="115"/>
  <c r="E485" i="115"/>
  <c r="E486" i="115"/>
  <c r="E487" i="115"/>
  <c r="E488" i="115"/>
  <c r="E489" i="115"/>
  <c r="E490" i="115"/>
  <c r="E491" i="115"/>
  <c r="E492" i="115"/>
  <c r="E493" i="115"/>
  <c r="E494" i="115"/>
  <c r="E495" i="115"/>
  <c r="E496" i="115"/>
  <c r="E497" i="115"/>
  <c r="E498" i="115"/>
  <c r="E499" i="115"/>
  <c r="E500" i="115"/>
  <c r="E501" i="115"/>
  <c r="C77" i="115"/>
  <c r="C78" i="115"/>
  <c r="C79" i="115"/>
  <c r="C80" i="115"/>
  <c r="C81" i="115"/>
  <c r="C82" i="115"/>
  <c r="C83" i="115"/>
  <c r="C84" i="115"/>
  <c r="C85" i="115"/>
  <c r="C86" i="115"/>
  <c r="C87" i="115"/>
  <c r="C88" i="115"/>
  <c r="C89" i="115"/>
  <c r="C90" i="115"/>
  <c r="C91" i="115"/>
  <c r="C92" i="115"/>
  <c r="C93" i="115"/>
  <c r="C94" i="115"/>
  <c r="C95" i="115"/>
  <c r="C96" i="115"/>
  <c r="C97" i="115"/>
  <c r="C98" i="115"/>
  <c r="C99" i="115"/>
  <c r="C100" i="115"/>
  <c r="C101" i="115"/>
  <c r="C102" i="115"/>
  <c r="C103" i="115"/>
  <c r="C104" i="115"/>
  <c r="C105" i="115"/>
  <c r="C106" i="115"/>
  <c r="C107" i="115"/>
  <c r="C108" i="115"/>
  <c r="C109" i="115"/>
  <c r="C110" i="115"/>
  <c r="C111" i="115"/>
  <c r="C112" i="115"/>
  <c r="C113" i="115"/>
  <c r="C114" i="115"/>
  <c r="C115" i="115"/>
  <c r="C116" i="115"/>
  <c r="C117" i="115"/>
  <c r="C118" i="115"/>
  <c r="C119" i="115"/>
  <c r="C120" i="115"/>
  <c r="C121" i="115"/>
  <c r="C122" i="115"/>
  <c r="C123" i="115"/>
  <c r="C124" i="115"/>
  <c r="C125" i="115"/>
  <c r="C126" i="115"/>
  <c r="C127" i="115"/>
  <c r="C128" i="115"/>
  <c r="C129" i="115"/>
  <c r="C130" i="115"/>
  <c r="C131" i="115"/>
  <c r="C132" i="115"/>
  <c r="C133" i="115"/>
  <c r="C134" i="115"/>
  <c r="C135" i="115"/>
  <c r="C136" i="115"/>
  <c r="C137" i="115"/>
  <c r="C138" i="115"/>
  <c r="C139" i="115"/>
  <c r="C140" i="115"/>
  <c r="C141" i="115"/>
  <c r="C142" i="115"/>
  <c r="C143" i="115"/>
  <c r="C144" i="115"/>
  <c r="C145" i="115"/>
  <c r="C146" i="115"/>
  <c r="C147" i="115"/>
  <c r="C148" i="115"/>
  <c r="C149" i="115"/>
  <c r="C150" i="115"/>
  <c r="C151" i="115"/>
  <c r="C152" i="115"/>
  <c r="C153" i="115"/>
  <c r="C154" i="115"/>
  <c r="C155" i="115"/>
  <c r="C156" i="115"/>
  <c r="C157" i="115"/>
  <c r="C158" i="115"/>
  <c r="C159" i="115"/>
  <c r="C160" i="115"/>
  <c r="C161" i="115"/>
  <c r="C162" i="115"/>
  <c r="C163" i="115"/>
  <c r="C164" i="115"/>
  <c r="C165" i="115"/>
  <c r="C166" i="115"/>
  <c r="C167" i="115"/>
  <c r="C168" i="115"/>
  <c r="C169" i="115"/>
  <c r="C170" i="115"/>
  <c r="C171" i="115"/>
  <c r="C172" i="115"/>
  <c r="C173" i="115"/>
  <c r="C174" i="115"/>
  <c r="C175" i="115"/>
  <c r="C176" i="115"/>
  <c r="C177" i="115"/>
  <c r="C178" i="115"/>
  <c r="C179" i="115"/>
  <c r="C180" i="115"/>
  <c r="C181" i="115"/>
  <c r="C182" i="115"/>
  <c r="C183" i="115"/>
  <c r="C184" i="115"/>
  <c r="C185" i="115"/>
  <c r="C186" i="115"/>
  <c r="C187" i="115"/>
  <c r="C188" i="115"/>
  <c r="C189" i="115"/>
  <c r="C190" i="115"/>
  <c r="C191" i="115"/>
  <c r="C192" i="115"/>
  <c r="C193" i="115"/>
  <c r="C194" i="115"/>
  <c r="C195" i="115"/>
  <c r="C196" i="115"/>
  <c r="C197" i="115"/>
  <c r="C198" i="115"/>
  <c r="C199" i="115"/>
  <c r="C200" i="115"/>
  <c r="C201" i="115"/>
  <c r="C202" i="115"/>
  <c r="C203" i="115"/>
  <c r="C204" i="115"/>
  <c r="C205" i="115"/>
  <c r="C206" i="115"/>
  <c r="C207" i="115"/>
  <c r="C208" i="115"/>
  <c r="C209" i="115"/>
  <c r="C210" i="115"/>
  <c r="C211" i="115"/>
  <c r="C212" i="115"/>
  <c r="C213" i="115"/>
  <c r="C214" i="115"/>
  <c r="C215" i="115"/>
  <c r="C216" i="115"/>
  <c r="C217" i="115"/>
  <c r="C218" i="115"/>
  <c r="C219" i="115"/>
  <c r="C220" i="115"/>
  <c r="C221" i="115"/>
  <c r="C222" i="115"/>
  <c r="C223" i="115"/>
  <c r="C224" i="115"/>
  <c r="C225" i="115"/>
  <c r="C226" i="115"/>
  <c r="C227" i="115"/>
  <c r="C228" i="115"/>
  <c r="C229" i="115"/>
  <c r="C230" i="115"/>
  <c r="C231" i="115"/>
  <c r="C232" i="115"/>
  <c r="C233" i="115"/>
  <c r="C234" i="115"/>
  <c r="C235" i="115"/>
  <c r="C236" i="115"/>
  <c r="C237" i="115"/>
  <c r="C238" i="115"/>
  <c r="C239" i="115"/>
  <c r="C240" i="115"/>
  <c r="C241" i="115"/>
  <c r="C242" i="115"/>
  <c r="C243" i="115"/>
  <c r="C244" i="115"/>
  <c r="C245" i="115"/>
  <c r="C246" i="115"/>
  <c r="C247" i="115"/>
  <c r="C248" i="115"/>
  <c r="C249" i="115"/>
  <c r="C250" i="115"/>
  <c r="C251" i="115"/>
  <c r="C252" i="115"/>
  <c r="C253" i="115"/>
  <c r="C254" i="115"/>
  <c r="C255" i="115"/>
  <c r="C256" i="115"/>
  <c r="C257" i="115"/>
  <c r="C258" i="115"/>
  <c r="C259" i="115"/>
  <c r="C260" i="115"/>
  <c r="C261" i="115"/>
  <c r="C262" i="115"/>
  <c r="C263" i="115"/>
  <c r="C264" i="115"/>
  <c r="C265" i="115"/>
  <c r="C266" i="115"/>
  <c r="C267" i="115"/>
  <c r="C268" i="115"/>
  <c r="C269" i="115"/>
  <c r="C270" i="115"/>
  <c r="C271" i="115"/>
  <c r="C272" i="115"/>
  <c r="C273" i="115"/>
  <c r="C274" i="115"/>
  <c r="C275" i="115"/>
  <c r="C276" i="115"/>
  <c r="C277" i="115"/>
  <c r="C278" i="115"/>
  <c r="C279" i="115"/>
  <c r="C280" i="115"/>
  <c r="C281" i="115"/>
  <c r="C282" i="115"/>
  <c r="C283" i="115"/>
  <c r="C284" i="115"/>
  <c r="C285" i="115"/>
  <c r="C286" i="115"/>
  <c r="C287" i="115"/>
  <c r="C288" i="115"/>
  <c r="C289" i="115"/>
  <c r="C290" i="115"/>
  <c r="C291" i="115"/>
  <c r="C292" i="115"/>
  <c r="C293" i="115"/>
  <c r="C294" i="115"/>
  <c r="C295" i="115"/>
  <c r="C296" i="115"/>
  <c r="C297" i="115"/>
  <c r="C298" i="115"/>
  <c r="C299" i="115"/>
  <c r="C300" i="115"/>
  <c r="C301" i="115"/>
  <c r="C302" i="115"/>
  <c r="C303" i="115"/>
  <c r="C304" i="115"/>
  <c r="C305" i="115"/>
  <c r="C306" i="115"/>
  <c r="C307" i="115"/>
  <c r="C308" i="115"/>
  <c r="C309" i="115"/>
  <c r="C310" i="115"/>
  <c r="C311" i="115"/>
  <c r="C312" i="115"/>
  <c r="C313" i="115"/>
  <c r="C314" i="115"/>
  <c r="C315" i="115"/>
  <c r="C316" i="115"/>
  <c r="C317" i="115"/>
  <c r="C318" i="115"/>
  <c r="C319" i="115"/>
  <c r="C320" i="115"/>
  <c r="C321" i="115"/>
  <c r="C322" i="115"/>
  <c r="C323" i="115"/>
  <c r="C324" i="115"/>
  <c r="C325" i="115"/>
  <c r="C326" i="115"/>
  <c r="C327" i="115"/>
  <c r="C328" i="115"/>
  <c r="C329" i="115"/>
  <c r="C330" i="115"/>
  <c r="C331" i="115"/>
  <c r="C332" i="115"/>
  <c r="C333" i="115"/>
  <c r="C334" i="115"/>
  <c r="C335" i="115"/>
  <c r="C336" i="115"/>
  <c r="C337" i="115"/>
  <c r="C338" i="115"/>
  <c r="C339" i="115"/>
  <c r="C340" i="115"/>
  <c r="C341" i="115"/>
  <c r="C342" i="115"/>
  <c r="C343" i="115"/>
  <c r="C344" i="115"/>
  <c r="C345" i="115"/>
  <c r="C346" i="115"/>
  <c r="C347" i="115"/>
  <c r="C348" i="115"/>
  <c r="C349" i="115"/>
  <c r="C350" i="115"/>
  <c r="C351" i="115"/>
  <c r="C352" i="115"/>
  <c r="C353" i="115"/>
  <c r="C354" i="115"/>
  <c r="C355" i="115"/>
  <c r="C356" i="115"/>
  <c r="C357" i="115"/>
  <c r="C358" i="115"/>
  <c r="C359" i="115"/>
  <c r="C360" i="115"/>
  <c r="C361" i="115"/>
  <c r="C362" i="115"/>
  <c r="C363" i="115"/>
  <c r="C364" i="115"/>
  <c r="C365" i="115"/>
  <c r="C366" i="115"/>
  <c r="C367" i="115"/>
  <c r="C368" i="115"/>
  <c r="C369" i="115"/>
  <c r="C370" i="115"/>
  <c r="C371" i="115"/>
  <c r="C372" i="115"/>
  <c r="C373" i="115"/>
  <c r="C374" i="115"/>
  <c r="C375" i="115"/>
  <c r="C376" i="115"/>
  <c r="C377" i="115"/>
  <c r="C378" i="115"/>
  <c r="C379" i="115"/>
  <c r="C380" i="115"/>
  <c r="C381" i="115"/>
  <c r="C382" i="115"/>
  <c r="C383" i="115"/>
  <c r="C384" i="115"/>
  <c r="C385" i="115"/>
  <c r="C386" i="115"/>
  <c r="C387" i="115"/>
  <c r="C388" i="115"/>
  <c r="C389" i="115"/>
  <c r="C390" i="115"/>
  <c r="C391" i="115"/>
  <c r="C392" i="115"/>
  <c r="C393" i="115"/>
  <c r="C394" i="115"/>
  <c r="C395" i="115"/>
  <c r="C396" i="115"/>
  <c r="C397" i="115"/>
  <c r="C398" i="115"/>
  <c r="C399" i="115"/>
  <c r="C400" i="115"/>
  <c r="C401" i="115"/>
  <c r="C402" i="115"/>
  <c r="C403" i="115"/>
  <c r="C404" i="115"/>
  <c r="C405" i="115"/>
  <c r="C406" i="115"/>
  <c r="C407" i="115"/>
  <c r="C408" i="115"/>
  <c r="C409" i="115"/>
  <c r="C410" i="115"/>
  <c r="C411" i="115"/>
  <c r="C412" i="115"/>
  <c r="C413" i="115"/>
  <c r="C414" i="115"/>
  <c r="C415" i="115"/>
  <c r="C416" i="115"/>
  <c r="C417" i="115"/>
  <c r="C418" i="115"/>
  <c r="C419" i="115"/>
  <c r="C420" i="115"/>
  <c r="C421" i="115"/>
  <c r="C422" i="115"/>
  <c r="C423" i="115"/>
  <c r="C424" i="115"/>
  <c r="C425" i="115"/>
  <c r="C426" i="115"/>
  <c r="C427" i="115"/>
  <c r="C428" i="115"/>
  <c r="C429" i="115"/>
  <c r="C430" i="115"/>
  <c r="C431" i="115"/>
  <c r="C432" i="115"/>
  <c r="C433" i="115"/>
  <c r="C434" i="115"/>
  <c r="C435" i="115"/>
  <c r="C436" i="115"/>
  <c r="C437" i="115"/>
  <c r="C438" i="115"/>
  <c r="C439" i="115"/>
  <c r="C440" i="115"/>
  <c r="C441" i="115"/>
  <c r="C442" i="115"/>
  <c r="C443" i="115"/>
  <c r="C444" i="115"/>
  <c r="C445" i="115"/>
  <c r="C446" i="115"/>
  <c r="C447" i="115"/>
  <c r="C448" i="115"/>
  <c r="C449" i="115"/>
  <c r="C450" i="115"/>
  <c r="C451" i="115"/>
  <c r="C452" i="115"/>
  <c r="C453" i="115"/>
  <c r="C454" i="115"/>
  <c r="C455" i="115"/>
  <c r="C456" i="115"/>
  <c r="C457" i="115"/>
  <c r="C458" i="115"/>
  <c r="C459" i="115"/>
  <c r="C460" i="115"/>
  <c r="C461" i="115"/>
  <c r="C462" i="115"/>
  <c r="C463" i="115"/>
  <c r="C464" i="115"/>
  <c r="C465" i="115"/>
  <c r="C466" i="115"/>
  <c r="C467" i="115"/>
  <c r="C468" i="115"/>
  <c r="C469" i="115"/>
  <c r="C470" i="115"/>
  <c r="C471" i="115"/>
  <c r="C472" i="115"/>
  <c r="C473" i="115"/>
  <c r="C474" i="115"/>
  <c r="C475" i="115"/>
  <c r="C476" i="115"/>
  <c r="C477" i="115"/>
  <c r="C478" i="115"/>
  <c r="C479" i="115"/>
  <c r="C480" i="115"/>
  <c r="C481" i="115"/>
  <c r="C482" i="115"/>
  <c r="C483" i="115"/>
  <c r="C484" i="115"/>
  <c r="C485" i="115"/>
  <c r="C486" i="115"/>
  <c r="C487" i="115"/>
  <c r="C488" i="115"/>
  <c r="C489" i="115"/>
  <c r="C490" i="115"/>
  <c r="C491" i="115"/>
  <c r="C492" i="115"/>
  <c r="C493" i="115"/>
  <c r="C494" i="115"/>
  <c r="C495" i="115"/>
  <c r="C496" i="115"/>
  <c r="C497" i="115"/>
  <c r="C498" i="115"/>
  <c r="C499" i="115"/>
  <c r="C500" i="115"/>
  <c r="C501" i="115"/>
  <c r="B77" i="115"/>
  <c r="B78" i="115"/>
  <c r="B79" i="115"/>
  <c r="B80" i="115"/>
  <c r="B81" i="115"/>
  <c r="B82" i="115"/>
  <c r="B83" i="115"/>
  <c r="B84" i="115"/>
  <c r="B85" i="115"/>
  <c r="B86" i="115"/>
  <c r="B87" i="115"/>
  <c r="B88" i="115"/>
  <c r="B89" i="115"/>
  <c r="B90" i="115"/>
  <c r="B91" i="115"/>
  <c r="B92" i="115"/>
  <c r="B93" i="115"/>
  <c r="B94" i="115"/>
  <c r="B95" i="115"/>
  <c r="B96" i="115"/>
  <c r="B97" i="115"/>
  <c r="B98" i="115"/>
  <c r="B99" i="115"/>
  <c r="B100" i="115"/>
  <c r="B101" i="115"/>
  <c r="B102" i="115"/>
  <c r="B103" i="115"/>
  <c r="B104" i="115"/>
  <c r="B105" i="115"/>
  <c r="B106" i="115"/>
  <c r="B107" i="115"/>
  <c r="B108" i="115"/>
  <c r="B109" i="115"/>
  <c r="B110" i="115"/>
  <c r="B111" i="115"/>
  <c r="B112" i="115"/>
  <c r="B113" i="115"/>
  <c r="B114" i="115"/>
  <c r="B115" i="115"/>
  <c r="B116" i="115"/>
  <c r="B117" i="115"/>
  <c r="B118" i="115"/>
  <c r="B119" i="115"/>
  <c r="B120" i="115"/>
  <c r="B121" i="115"/>
  <c r="B122" i="115"/>
  <c r="B123" i="115"/>
  <c r="B124" i="115"/>
  <c r="B125" i="115"/>
  <c r="B126" i="115"/>
  <c r="B127" i="115"/>
  <c r="B128" i="115"/>
  <c r="B129" i="115"/>
  <c r="B130" i="115"/>
  <c r="B131" i="115"/>
  <c r="B132" i="115"/>
  <c r="B133" i="115"/>
  <c r="B134" i="115"/>
  <c r="B135" i="115"/>
  <c r="B136" i="115"/>
  <c r="B137" i="115"/>
  <c r="B138" i="115"/>
  <c r="B139" i="115"/>
  <c r="B140" i="115"/>
  <c r="B141" i="115"/>
  <c r="B142" i="115"/>
  <c r="B143" i="115"/>
  <c r="B144" i="115"/>
  <c r="B145" i="115"/>
  <c r="B146" i="115"/>
  <c r="B147" i="115"/>
  <c r="B148" i="115"/>
  <c r="B149" i="115"/>
  <c r="B150" i="115"/>
  <c r="B151" i="115"/>
  <c r="B152" i="115"/>
  <c r="B153" i="115"/>
  <c r="B154" i="115"/>
  <c r="B155" i="115"/>
  <c r="B156" i="115"/>
  <c r="B157" i="115"/>
  <c r="B158" i="115"/>
  <c r="B159" i="115"/>
  <c r="B160" i="115"/>
  <c r="B161" i="115"/>
  <c r="B162" i="115"/>
  <c r="B163" i="115"/>
  <c r="B164" i="115"/>
  <c r="B165" i="115"/>
  <c r="B166" i="115"/>
  <c r="B167" i="115"/>
  <c r="B168" i="115"/>
  <c r="B169" i="115"/>
  <c r="B170" i="115"/>
  <c r="B171" i="115"/>
  <c r="B172" i="115"/>
  <c r="B173" i="115"/>
  <c r="B174" i="115"/>
  <c r="B175" i="115"/>
  <c r="B176" i="115"/>
  <c r="B177" i="115"/>
  <c r="B178" i="115"/>
  <c r="B179" i="115"/>
  <c r="B180" i="115"/>
  <c r="B181" i="115"/>
  <c r="B182" i="115"/>
  <c r="B183" i="115"/>
  <c r="B184" i="115"/>
  <c r="B185" i="115"/>
  <c r="B186" i="115"/>
  <c r="B187" i="115"/>
  <c r="B188" i="115"/>
  <c r="B189" i="115"/>
  <c r="B190" i="115"/>
  <c r="B191" i="115"/>
  <c r="B192" i="115"/>
  <c r="B193" i="115"/>
  <c r="B194" i="115"/>
  <c r="B195" i="115"/>
  <c r="B196" i="115"/>
  <c r="B197" i="115"/>
  <c r="B198" i="115"/>
  <c r="B199" i="115"/>
  <c r="B200" i="115"/>
  <c r="B201" i="115"/>
  <c r="B202" i="115"/>
  <c r="B203" i="115"/>
  <c r="B204" i="115"/>
  <c r="B205" i="115"/>
  <c r="B206" i="115"/>
  <c r="B207" i="115"/>
  <c r="B208" i="115"/>
  <c r="B209" i="115"/>
  <c r="B210" i="115"/>
  <c r="B211" i="115"/>
  <c r="B212" i="115"/>
  <c r="B213" i="115"/>
  <c r="B214" i="115"/>
  <c r="B215" i="115"/>
  <c r="B216" i="115"/>
  <c r="B217" i="115"/>
  <c r="B218" i="115"/>
  <c r="B219" i="115"/>
  <c r="B220" i="115"/>
  <c r="B221" i="115"/>
  <c r="B222" i="115"/>
  <c r="B223" i="115"/>
  <c r="B224" i="115"/>
  <c r="B225" i="115"/>
  <c r="B226" i="115"/>
  <c r="B227" i="115"/>
  <c r="B228" i="115"/>
  <c r="B229" i="115"/>
  <c r="B230" i="115"/>
  <c r="B231" i="115"/>
  <c r="B232" i="115"/>
  <c r="B233" i="115"/>
  <c r="B234" i="115"/>
  <c r="B235" i="115"/>
  <c r="B236" i="115"/>
  <c r="B237" i="115"/>
  <c r="B238" i="115"/>
  <c r="B239" i="115"/>
  <c r="B240" i="115"/>
  <c r="B241" i="115"/>
  <c r="B242" i="115"/>
  <c r="B243" i="115"/>
  <c r="B244" i="115"/>
  <c r="B245" i="115"/>
  <c r="B246" i="115"/>
  <c r="B247" i="115"/>
  <c r="B248" i="115"/>
  <c r="B249" i="115"/>
  <c r="B250" i="115"/>
  <c r="B251" i="115"/>
  <c r="B252" i="115"/>
  <c r="B253" i="115"/>
  <c r="B254" i="115"/>
  <c r="B255" i="115"/>
  <c r="B256" i="115"/>
  <c r="B257" i="115"/>
  <c r="B258" i="115"/>
  <c r="B259" i="115"/>
  <c r="B260" i="115"/>
  <c r="B261" i="115"/>
  <c r="B262" i="115"/>
  <c r="B263" i="115"/>
  <c r="B264" i="115"/>
  <c r="B265" i="115"/>
  <c r="B266" i="115"/>
  <c r="B267" i="115"/>
  <c r="B268" i="115"/>
  <c r="B269" i="115"/>
  <c r="B270" i="115"/>
  <c r="B271" i="115"/>
  <c r="B272" i="115"/>
  <c r="B273" i="115"/>
  <c r="B274" i="115"/>
  <c r="B275" i="115"/>
  <c r="B276" i="115"/>
  <c r="B277" i="115"/>
  <c r="B278" i="115"/>
  <c r="B279" i="115"/>
  <c r="B280" i="115"/>
  <c r="B281" i="115"/>
  <c r="B282" i="115"/>
  <c r="B283" i="115"/>
  <c r="B284" i="115"/>
  <c r="B285" i="115"/>
  <c r="B286" i="115"/>
  <c r="B287" i="115"/>
  <c r="B288" i="115"/>
  <c r="B289" i="115"/>
  <c r="B290" i="115"/>
  <c r="B291" i="115"/>
  <c r="B292" i="115"/>
  <c r="B293" i="115"/>
  <c r="B294" i="115"/>
  <c r="B295" i="115"/>
  <c r="B296" i="115"/>
  <c r="B297" i="115"/>
  <c r="B298" i="115"/>
  <c r="B299" i="115"/>
  <c r="B300" i="115"/>
  <c r="B301" i="115"/>
  <c r="B302" i="115"/>
  <c r="B303" i="115"/>
  <c r="B304" i="115"/>
  <c r="B305" i="115"/>
  <c r="B306" i="115"/>
  <c r="B307" i="115"/>
  <c r="B308" i="115"/>
  <c r="B309" i="115"/>
  <c r="B310" i="115"/>
  <c r="B311" i="115"/>
  <c r="B312" i="115"/>
  <c r="B313" i="115"/>
  <c r="B314" i="115"/>
  <c r="B315" i="115"/>
  <c r="B316" i="115"/>
  <c r="B317" i="115"/>
  <c r="B318" i="115"/>
  <c r="B319" i="115"/>
  <c r="B320" i="115"/>
  <c r="B321" i="115"/>
  <c r="B322" i="115"/>
  <c r="B323" i="115"/>
  <c r="B324" i="115"/>
  <c r="B325" i="115"/>
  <c r="B326" i="115"/>
  <c r="B327" i="115"/>
  <c r="B328" i="115"/>
  <c r="B329" i="115"/>
  <c r="B330" i="115"/>
  <c r="B331" i="115"/>
  <c r="B332" i="115"/>
  <c r="B333" i="115"/>
  <c r="B334" i="115"/>
  <c r="B335" i="115"/>
  <c r="B336" i="115"/>
  <c r="B337" i="115"/>
  <c r="B338" i="115"/>
  <c r="B339" i="115"/>
  <c r="B340" i="115"/>
  <c r="B341" i="115"/>
  <c r="B342" i="115"/>
  <c r="B343" i="115"/>
  <c r="B344" i="115"/>
  <c r="B345" i="115"/>
  <c r="B346" i="115"/>
  <c r="B347" i="115"/>
  <c r="B348" i="115"/>
  <c r="B349" i="115"/>
  <c r="B350" i="115"/>
  <c r="B351" i="115"/>
  <c r="B352" i="115"/>
  <c r="B353" i="115"/>
  <c r="B354" i="115"/>
  <c r="B355" i="115"/>
  <c r="B356" i="115"/>
  <c r="B357" i="115"/>
  <c r="B358" i="115"/>
  <c r="B359" i="115"/>
  <c r="B360" i="115"/>
  <c r="B361" i="115"/>
  <c r="B362" i="115"/>
  <c r="B363" i="115"/>
  <c r="B364" i="115"/>
  <c r="B365" i="115"/>
  <c r="B366" i="115"/>
  <c r="B367" i="115"/>
  <c r="B368" i="115"/>
  <c r="B369" i="115"/>
  <c r="B370" i="115"/>
  <c r="B371" i="115"/>
  <c r="B372" i="115"/>
  <c r="B373" i="115"/>
  <c r="B374" i="115"/>
  <c r="B375" i="115"/>
  <c r="B376" i="115"/>
  <c r="B377" i="115"/>
  <c r="B378" i="115"/>
  <c r="B379" i="115"/>
  <c r="B380" i="115"/>
  <c r="B381" i="115"/>
  <c r="B382" i="115"/>
  <c r="B383" i="115"/>
  <c r="B384" i="115"/>
  <c r="B385" i="115"/>
  <c r="B386" i="115"/>
  <c r="B387" i="115"/>
  <c r="B388" i="115"/>
  <c r="B389" i="115"/>
  <c r="B390" i="115"/>
  <c r="B391" i="115"/>
  <c r="B392" i="115"/>
  <c r="B393" i="115"/>
  <c r="B394" i="115"/>
  <c r="B395" i="115"/>
  <c r="B396" i="115"/>
  <c r="B397" i="115"/>
  <c r="B398" i="115"/>
  <c r="B399" i="115"/>
  <c r="B400" i="115"/>
  <c r="B401" i="115"/>
  <c r="B402" i="115"/>
  <c r="B403" i="115"/>
  <c r="B404" i="115"/>
  <c r="B405" i="115"/>
  <c r="B406" i="115"/>
  <c r="B407" i="115"/>
  <c r="B408" i="115"/>
  <c r="B409" i="115"/>
  <c r="B410" i="115"/>
  <c r="B411" i="115"/>
  <c r="B412" i="115"/>
  <c r="B413" i="115"/>
  <c r="B414" i="115"/>
  <c r="B415" i="115"/>
  <c r="B416" i="115"/>
  <c r="B417" i="115"/>
  <c r="B418" i="115"/>
  <c r="B419" i="115"/>
  <c r="B420" i="115"/>
  <c r="B421" i="115"/>
  <c r="B422" i="115"/>
  <c r="B423" i="115"/>
  <c r="B424" i="115"/>
  <c r="B425" i="115"/>
  <c r="B426" i="115"/>
  <c r="B427" i="115"/>
  <c r="B428" i="115"/>
  <c r="B429" i="115"/>
  <c r="B430" i="115"/>
  <c r="B431" i="115"/>
  <c r="B432" i="115"/>
  <c r="B433" i="115"/>
  <c r="B434" i="115"/>
  <c r="B435" i="115"/>
  <c r="B436" i="115"/>
  <c r="B437" i="115"/>
  <c r="B438" i="115"/>
  <c r="B439" i="115"/>
  <c r="B440" i="115"/>
  <c r="B441" i="115"/>
  <c r="B442" i="115"/>
  <c r="B443" i="115"/>
  <c r="B444" i="115"/>
  <c r="B445" i="115"/>
  <c r="B446" i="115"/>
  <c r="B447" i="115"/>
  <c r="B448" i="115"/>
  <c r="B449" i="115"/>
  <c r="B450" i="115"/>
  <c r="B451" i="115"/>
  <c r="B452" i="115"/>
  <c r="B453" i="115"/>
  <c r="B454" i="115"/>
  <c r="B455" i="115"/>
  <c r="B456" i="115"/>
  <c r="B457" i="115"/>
  <c r="B458" i="115"/>
  <c r="B459" i="115"/>
  <c r="B460" i="115"/>
  <c r="B461" i="115"/>
  <c r="B462" i="115"/>
  <c r="B463" i="115"/>
  <c r="B464" i="115"/>
  <c r="B465" i="115"/>
  <c r="B466" i="115"/>
  <c r="B467" i="115"/>
  <c r="B468" i="115"/>
  <c r="B469" i="115"/>
  <c r="B470" i="115"/>
  <c r="B471" i="115"/>
  <c r="B472" i="115"/>
  <c r="B473" i="115"/>
  <c r="B474" i="115"/>
  <c r="B475" i="115"/>
  <c r="B476" i="115"/>
  <c r="B477" i="115"/>
  <c r="B478" i="115"/>
  <c r="B479" i="115"/>
  <c r="B480" i="115"/>
  <c r="B481" i="115"/>
  <c r="B482" i="115"/>
  <c r="B483" i="115"/>
  <c r="B484" i="115"/>
  <c r="B485" i="115"/>
  <c r="B486" i="115"/>
  <c r="B487" i="115"/>
  <c r="B488" i="115"/>
  <c r="B489" i="115"/>
  <c r="B490" i="115"/>
  <c r="B491" i="115"/>
  <c r="B492" i="115"/>
  <c r="B493" i="115"/>
  <c r="B494" i="115"/>
  <c r="B495" i="115"/>
  <c r="B496" i="115"/>
  <c r="B497" i="115"/>
  <c r="B498" i="115"/>
  <c r="B499" i="115"/>
  <c r="B500" i="115"/>
  <c r="B501" i="115"/>
  <c r="B121" i="118"/>
  <c r="C121" i="118" s="1" a="1"/>
  <c r="B122" i="118"/>
  <c r="C122" i="118" s="1" a="1"/>
  <c r="B123" i="118"/>
  <c r="C123" i="118" s="1" a="1"/>
  <c r="B124" i="118"/>
  <c r="C124" i="118" s="1" a="1"/>
  <c r="B125" i="118"/>
  <c r="C125" i="118" s="1" a="1"/>
  <c r="B126" i="118"/>
  <c r="D126" i="118" s="1"/>
  <c r="D103" i="118" l="1"/>
  <c r="M3" i="115"/>
  <c r="L3" i="115" s="1"/>
  <c r="H37" i="176"/>
  <c r="I149" i="176"/>
  <c r="H35" i="176" s="1"/>
  <c r="D52" i="176"/>
  <c r="D101" i="176"/>
  <c r="D102" i="176"/>
  <c r="D53" i="176"/>
  <c r="D103" i="176"/>
  <c r="D54" i="176"/>
  <c r="C126" i="118" a="1"/>
  <c r="B32" i="115"/>
  <c r="B33" i="115"/>
  <c r="B34" i="115"/>
  <c r="B35" i="115"/>
  <c r="B36" i="115"/>
  <c r="B37" i="115"/>
  <c r="B38" i="115"/>
  <c r="B39" i="115"/>
  <c r="B40" i="115"/>
  <c r="B41" i="115"/>
  <c r="B42" i="115"/>
  <c r="B43" i="115"/>
  <c r="B44" i="115"/>
  <c r="B45" i="115"/>
  <c r="B46" i="115"/>
  <c r="B47" i="115"/>
  <c r="B48" i="115"/>
  <c r="B49" i="115"/>
  <c r="B50" i="115"/>
  <c r="B51" i="115"/>
  <c r="B52" i="115"/>
  <c r="B53" i="115"/>
  <c r="B54" i="115"/>
  <c r="B55" i="115"/>
  <c r="B56" i="115"/>
  <c r="B57" i="115"/>
  <c r="B58" i="115"/>
  <c r="B59" i="115"/>
  <c r="B60" i="115"/>
  <c r="B61" i="115"/>
  <c r="B62" i="115"/>
  <c r="B63" i="115"/>
  <c r="B64" i="115"/>
  <c r="B65" i="115"/>
  <c r="B66" i="115"/>
  <c r="B67" i="115"/>
  <c r="B68" i="115"/>
  <c r="B69" i="115"/>
  <c r="B70" i="115"/>
  <c r="B71" i="115"/>
  <c r="B72" i="115"/>
  <c r="B73" i="115"/>
  <c r="B74" i="115"/>
  <c r="B75" i="115"/>
  <c r="B76" i="115"/>
  <c r="C32" i="115"/>
  <c r="C33" i="115"/>
  <c r="C34" i="115"/>
  <c r="C35" i="115"/>
  <c r="C36" i="115"/>
  <c r="C37" i="115"/>
  <c r="C38" i="115"/>
  <c r="C39" i="115"/>
  <c r="C40" i="115"/>
  <c r="C41" i="115"/>
  <c r="C42" i="115"/>
  <c r="C43" i="115"/>
  <c r="C44" i="115"/>
  <c r="C45" i="115"/>
  <c r="C46" i="115"/>
  <c r="C47" i="115"/>
  <c r="C48" i="115"/>
  <c r="C49" i="115"/>
  <c r="C50" i="115"/>
  <c r="C51" i="115"/>
  <c r="C52" i="115"/>
  <c r="C53" i="115"/>
  <c r="C54" i="115"/>
  <c r="C55" i="115"/>
  <c r="C56" i="115"/>
  <c r="C57" i="115"/>
  <c r="C58" i="115"/>
  <c r="C59" i="115"/>
  <c r="C60" i="115"/>
  <c r="C61" i="115"/>
  <c r="C62" i="115"/>
  <c r="C63" i="115"/>
  <c r="C64" i="115"/>
  <c r="C65" i="115"/>
  <c r="C66" i="115"/>
  <c r="C67" i="115"/>
  <c r="C68" i="115"/>
  <c r="C69" i="115"/>
  <c r="C70" i="115"/>
  <c r="C71" i="115"/>
  <c r="C72" i="115"/>
  <c r="C73" i="115"/>
  <c r="C74" i="115"/>
  <c r="C75" i="115"/>
  <c r="C76" i="115"/>
  <c r="E32" i="115"/>
  <c r="E33" i="115"/>
  <c r="E34" i="115"/>
  <c r="E35" i="115"/>
  <c r="E36" i="115"/>
  <c r="E37" i="115"/>
  <c r="E38" i="115"/>
  <c r="E39" i="115"/>
  <c r="E40" i="115"/>
  <c r="E41" i="115"/>
  <c r="E42" i="115"/>
  <c r="E43" i="115"/>
  <c r="E44" i="115"/>
  <c r="E45" i="115"/>
  <c r="E46" i="115"/>
  <c r="E47" i="115"/>
  <c r="E48" i="115"/>
  <c r="E49" i="115"/>
  <c r="E50" i="115"/>
  <c r="E51" i="115"/>
  <c r="E52" i="115"/>
  <c r="E53" i="115"/>
  <c r="E54" i="115"/>
  <c r="E55" i="115"/>
  <c r="E56" i="115"/>
  <c r="E57" i="115"/>
  <c r="E58" i="115"/>
  <c r="E59" i="115"/>
  <c r="E60" i="115"/>
  <c r="E61" i="115"/>
  <c r="E62" i="115"/>
  <c r="E63" i="115"/>
  <c r="E64" i="115"/>
  <c r="E65" i="115"/>
  <c r="E66" i="115"/>
  <c r="E67" i="115"/>
  <c r="E68" i="115"/>
  <c r="E69" i="115"/>
  <c r="E70" i="115"/>
  <c r="E71" i="115"/>
  <c r="E72" i="115"/>
  <c r="E73" i="115"/>
  <c r="E74" i="115"/>
  <c r="E75" i="115"/>
  <c r="E76" i="115"/>
  <c r="F32" i="115"/>
  <c r="F33" i="115"/>
  <c r="F34" i="115"/>
  <c r="F35" i="115"/>
  <c r="F36" i="115"/>
  <c r="F37" i="115"/>
  <c r="F38" i="115"/>
  <c r="F39" i="115"/>
  <c r="F40" i="115"/>
  <c r="F41" i="115"/>
  <c r="F42" i="115"/>
  <c r="F43" i="115"/>
  <c r="F44" i="115"/>
  <c r="F45" i="115"/>
  <c r="F46" i="115"/>
  <c r="F47" i="115"/>
  <c r="F48" i="115"/>
  <c r="F49" i="115"/>
  <c r="F50" i="115"/>
  <c r="F51" i="115"/>
  <c r="F52" i="115"/>
  <c r="F53" i="115"/>
  <c r="F54" i="115"/>
  <c r="F55" i="115"/>
  <c r="F56" i="115"/>
  <c r="F57" i="115"/>
  <c r="F58" i="115"/>
  <c r="F59" i="115"/>
  <c r="F60" i="115"/>
  <c r="F61" i="115"/>
  <c r="F62" i="115"/>
  <c r="F63" i="115"/>
  <c r="F64" i="115"/>
  <c r="F65" i="115"/>
  <c r="F66" i="115"/>
  <c r="F67" i="115"/>
  <c r="F68" i="115"/>
  <c r="F69" i="115"/>
  <c r="F70" i="115"/>
  <c r="F71" i="115"/>
  <c r="F72" i="115"/>
  <c r="F73" i="115"/>
  <c r="F74" i="115"/>
  <c r="F75" i="115"/>
  <c r="F76" i="115"/>
  <c r="F13" i="115"/>
  <c r="F14" i="115"/>
  <c r="F15" i="115"/>
  <c r="F16" i="115"/>
  <c r="F17" i="115"/>
  <c r="F18" i="115"/>
  <c r="F19" i="115"/>
  <c r="F20" i="115"/>
  <c r="F21" i="115"/>
  <c r="F22" i="115"/>
  <c r="F23" i="115"/>
  <c r="F24" i="115"/>
  <c r="F25" i="115"/>
  <c r="F26" i="115"/>
  <c r="F27" i="115"/>
  <c r="F28" i="115"/>
  <c r="F29" i="115"/>
  <c r="F30" i="115"/>
  <c r="F31" i="115"/>
  <c r="E13" i="115"/>
  <c r="E14" i="115"/>
  <c r="E15" i="115"/>
  <c r="E16" i="115"/>
  <c r="E17" i="115"/>
  <c r="E18" i="115"/>
  <c r="E19" i="115"/>
  <c r="E20" i="115"/>
  <c r="E21" i="115"/>
  <c r="E22" i="115"/>
  <c r="E23" i="115"/>
  <c r="E24" i="115"/>
  <c r="E25" i="115"/>
  <c r="E26" i="115"/>
  <c r="E27" i="115"/>
  <c r="E28" i="115"/>
  <c r="E29" i="115"/>
  <c r="E30" i="115"/>
  <c r="E31" i="115"/>
  <c r="C13" i="115"/>
  <c r="C14" i="115"/>
  <c r="C15" i="115"/>
  <c r="C16" i="115"/>
  <c r="C17" i="115"/>
  <c r="C18" i="115"/>
  <c r="C19" i="115"/>
  <c r="C20" i="115"/>
  <c r="C21" i="115"/>
  <c r="C22" i="115"/>
  <c r="C23" i="115"/>
  <c r="C24" i="115"/>
  <c r="C25" i="115"/>
  <c r="C26" i="115"/>
  <c r="C27" i="115"/>
  <c r="C28" i="115"/>
  <c r="C29" i="115"/>
  <c r="C30" i="115"/>
  <c r="C31" i="115"/>
  <c r="B31" i="115"/>
  <c r="B30" i="115"/>
  <c r="B29" i="115"/>
  <c r="B28" i="115"/>
  <c r="B27" i="115"/>
  <c r="B26" i="115"/>
  <c r="B25" i="115"/>
  <c r="B24" i="115"/>
  <c r="B23" i="115"/>
  <c r="B22" i="115"/>
  <c r="B21" i="115"/>
  <c r="B20" i="115"/>
  <c r="B19" i="115"/>
  <c r="B18" i="115"/>
  <c r="B17" i="115"/>
  <c r="B16" i="115"/>
  <c r="B15" i="115"/>
  <c r="B14" i="115"/>
  <c r="B13" i="115"/>
  <c r="B12" i="115"/>
  <c r="H47" i="174"/>
  <c r="G36" i="174"/>
  <c r="H27" i="208" l="1"/>
  <c r="H27" i="191"/>
  <c r="H27" i="223"/>
  <c r="H27" i="214"/>
  <c r="H27" i="197"/>
  <c r="H27" i="186"/>
  <c r="H27" i="234"/>
  <c r="H27" i="217"/>
  <c r="H27" i="209"/>
  <c r="H27" i="195"/>
  <c r="H27" i="235"/>
  <c r="H27" i="192"/>
  <c r="H27" i="221"/>
  <c r="H27" i="190"/>
  <c r="H27" i="200"/>
  <c r="H27" i="183"/>
  <c r="H27" i="233"/>
  <c r="H27" i="201"/>
  <c r="H27" i="204"/>
  <c r="H27" i="219"/>
  <c r="H27" i="181"/>
  <c r="H27" i="207"/>
  <c r="H27" i="226"/>
  <c r="H27" i="187"/>
  <c r="H27" i="180"/>
  <c r="H27" i="225"/>
  <c r="H27" i="230"/>
  <c r="H27" i="188"/>
  <c r="H27" i="189"/>
  <c r="H27" i="229"/>
  <c r="H27" i="232"/>
  <c r="H27" i="193"/>
  <c r="H27" i="194"/>
  <c r="H27" i="202"/>
  <c r="H27" i="212"/>
  <c r="H27" i="222"/>
  <c r="H27" i="198"/>
  <c r="H27" i="210"/>
  <c r="H27" i="184"/>
  <c r="H27" i="227"/>
  <c r="H27" i="182"/>
  <c r="H27" i="216"/>
  <c r="H27" i="211"/>
  <c r="H27" i="203"/>
  <c r="H27" i="205"/>
  <c r="H27" i="224"/>
  <c r="H27" i="218"/>
  <c r="H27" i="206"/>
  <c r="H27" i="228"/>
  <c r="H27" i="185"/>
  <c r="H27" i="220"/>
  <c r="H27" i="196"/>
  <c r="H27" i="199"/>
  <c r="H27" i="236"/>
  <c r="H27" i="213"/>
  <c r="H27" i="231"/>
  <c r="H27" i="215"/>
  <c r="F12" i="115"/>
  <c r="F11" i="115"/>
  <c r="F10" i="115"/>
  <c r="F9" i="115"/>
  <c r="F8" i="115"/>
  <c r="F7" i="115"/>
  <c r="F6" i="115"/>
  <c r="F5" i="115"/>
  <c r="F4" i="115"/>
  <c r="F3" i="115"/>
  <c r="F2" i="115"/>
  <c r="E12" i="115"/>
  <c r="E11" i="115"/>
  <c r="E10" i="115"/>
  <c r="E9" i="115"/>
  <c r="E8" i="115"/>
  <c r="E7" i="115"/>
  <c r="E6" i="115"/>
  <c r="E5" i="115"/>
  <c r="E4" i="115"/>
  <c r="E3" i="115"/>
  <c r="E2" i="115"/>
  <c r="C12" i="115"/>
  <c r="C11" i="115"/>
  <c r="C10" i="115"/>
  <c r="C9" i="115"/>
  <c r="C8" i="115"/>
  <c r="C7" i="115"/>
  <c r="C6" i="115"/>
  <c r="C5" i="115"/>
  <c r="C4" i="115"/>
  <c r="C3" i="115"/>
  <c r="C2" i="115"/>
  <c r="B11" i="115"/>
  <c r="B10" i="115"/>
  <c r="B9" i="115"/>
  <c r="B8" i="115"/>
  <c r="B7" i="115"/>
  <c r="B6" i="115"/>
  <c r="B5" i="115"/>
  <c r="B4" i="115"/>
  <c r="B3" i="115"/>
  <c r="B2" i="115"/>
  <c r="BC7" i="238" l="1" a="1"/>
  <c r="BC4" i="238" s="1"/>
  <c r="AM7" i="238" a="1"/>
  <c r="AM4" i="238" s="1"/>
  <c r="BB7" i="238" a="1"/>
  <c r="BB4" i="238" s="1"/>
  <c r="AL7" i="238" a="1"/>
  <c r="AL4" i="238" s="1"/>
  <c r="BA7" i="238" a="1"/>
  <c r="BA4" i="238" s="1"/>
  <c r="AK7" i="238" a="1"/>
  <c r="AK4" i="238" s="1"/>
  <c r="AZ7" i="238" a="1"/>
  <c r="AZ4" i="238" s="1"/>
  <c r="AJ7" i="238" a="1"/>
  <c r="AJ4" i="238" s="1"/>
  <c r="AN7" i="238" a="1"/>
  <c r="AN4" i="238" s="1"/>
  <c r="AY7" i="238" a="1"/>
  <c r="AY4" i="238" s="1"/>
  <c r="AI7" i="238" a="1"/>
  <c r="AI4" i="238" s="1"/>
  <c r="AX7" i="238" a="1"/>
  <c r="AX4" i="238" s="1"/>
  <c r="AH7" i="238" a="1"/>
  <c r="AH4" i="238" s="1"/>
  <c r="AW7" i="238" a="1"/>
  <c r="AW4" i="238" s="1"/>
  <c r="AV7" i="238" a="1"/>
  <c r="AV4" i="238" s="1"/>
  <c r="AU7" i="238" a="1"/>
  <c r="AU4" i="238" s="1"/>
  <c r="AO7" i="238" a="1"/>
  <c r="AO4" i="238" s="1"/>
  <c r="AT7" i="238" a="1"/>
  <c r="AT4" i="238" s="1"/>
  <c r="AS7" i="238" a="1"/>
  <c r="AS4" i="238" s="1"/>
  <c r="AR7" i="238" a="1"/>
  <c r="AR4" i="238" s="1"/>
  <c r="AQ7" i="238" a="1"/>
  <c r="AQ4" i="238" s="1"/>
  <c r="AP7" i="238" a="1"/>
  <c r="AP4" i="238" s="1"/>
  <c r="AG7" i="238" a="1"/>
  <c r="AG4" i="238" s="1"/>
  <c r="Q7" i="238" a="1"/>
  <c r="Q4" i="238" s="1"/>
  <c r="AF7" i="238" a="1"/>
  <c r="AF4" i="238" s="1"/>
  <c r="P7" i="238" a="1"/>
  <c r="P4" i="238" s="1"/>
  <c r="AE7" i="238" a="1"/>
  <c r="AE4" i="238" s="1"/>
  <c r="O7" i="238" a="1"/>
  <c r="O4" i="238" s="1"/>
  <c r="AD7" i="238" a="1"/>
  <c r="AD4" i="238" s="1"/>
  <c r="N7" i="238" a="1"/>
  <c r="N4" i="238" s="1"/>
  <c r="AC7" i="238" a="1"/>
  <c r="AC4" i="238" s="1"/>
  <c r="M7" i="238" a="1"/>
  <c r="M4" i="238" s="1"/>
  <c r="AB7" i="238" a="1"/>
  <c r="AB4" i="238" s="1"/>
  <c r="L7" i="238" a="1"/>
  <c r="L4" i="238" s="1"/>
  <c r="AA7" i="238" a="1"/>
  <c r="AA4" i="238" s="1"/>
  <c r="K7" i="238" a="1"/>
  <c r="K4" i="238" s="1"/>
  <c r="Z7" i="238" a="1"/>
  <c r="Z4" i="238" s="1"/>
  <c r="J7" i="238" a="1"/>
  <c r="J4" i="238" s="1"/>
  <c r="Y7" i="238" a="1"/>
  <c r="Y4" i="238" s="1"/>
  <c r="I7" i="238" a="1"/>
  <c r="I4" i="238" s="1"/>
  <c r="X7" i="238" a="1"/>
  <c r="X4" i="238" s="1"/>
  <c r="H7" i="238" a="1"/>
  <c r="H4" i="238" s="1"/>
  <c r="S7" i="238" a="1"/>
  <c r="S4" i="238" s="1"/>
  <c r="W7" i="238" a="1"/>
  <c r="W4" i="238" s="1"/>
  <c r="V7" i="238" a="1"/>
  <c r="V4" i="238" s="1"/>
  <c r="U7" i="238" a="1"/>
  <c r="U4" i="238" s="1"/>
  <c r="T7" i="238" a="1"/>
  <c r="T4" i="238" s="1"/>
  <c r="R7" i="238" a="1"/>
  <c r="R4" i="238" s="1"/>
  <c r="G7" i="238" a="1"/>
  <c r="G4" i="238" s="1"/>
  <c r="F7" i="238" a="1"/>
  <c r="B14" i="174" a="1"/>
  <c r="B30" i="174" a="1"/>
  <c r="B15" i="174" a="1"/>
  <c r="B31" i="174" a="1"/>
  <c r="B16" i="174" a="1"/>
  <c r="B17" i="174" a="1"/>
  <c r="B13" i="174" a="1"/>
  <c r="B18" i="174" a="1"/>
  <c r="B19" i="174" a="1"/>
  <c r="B20" i="174" a="1"/>
  <c r="B21" i="174" a="1"/>
  <c r="B22" i="174" a="1"/>
  <c r="B23" i="174" a="1"/>
  <c r="B24" i="174" a="1"/>
  <c r="B25" i="174" a="1"/>
  <c r="B26" i="174" a="1"/>
  <c r="B27" i="174" a="1"/>
  <c r="B32" i="174" a="1"/>
  <c r="B28" i="174" a="1"/>
  <c r="B29" i="174" a="1"/>
  <c r="P168" i="115"/>
  <c r="P169" i="115"/>
  <c r="P170" i="115"/>
  <c r="P171" i="115"/>
  <c r="P172" i="115"/>
  <c r="P173" i="115"/>
  <c r="P174" i="115"/>
  <c r="P175" i="115"/>
  <c r="P176" i="115"/>
  <c r="P177" i="115"/>
  <c r="P178" i="115"/>
  <c r="P179" i="115"/>
  <c r="P180" i="115"/>
  <c r="Q187" i="115"/>
  <c r="R187" i="115"/>
  <c r="S187" i="115"/>
  <c r="T187" i="115"/>
  <c r="U187" i="115"/>
  <c r="V187" i="115"/>
  <c r="W187" i="115"/>
  <c r="X187" i="115"/>
  <c r="Y187" i="115"/>
  <c r="Z187" i="115"/>
  <c r="AA187" i="115"/>
  <c r="AB187" i="115"/>
  <c r="AC187" i="115"/>
  <c r="AD187" i="115"/>
  <c r="AE187" i="115"/>
  <c r="AF187" i="115"/>
  <c r="AG187" i="115"/>
  <c r="AH187" i="115"/>
  <c r="AI187" i="115"/>
  <c r="AJ187" i="115"/>
  <c r="AK187" i="115"/>
  <c r="AL187" i="115"/>
  <c r="AM187" i="115"/>
  <c r="AN187" i="115"/>
  <c r="AO187" i="115"/>
  <c r="AP187" i="115"/>
  <c r="AQ187" i="115"/>
  <c r="AR187" i="115"/>
  <c r="AS187" i="115"/>
  <c r="AT187" i="115"/>
  <c r="AU187" i="115"/>
  <c r="AV187" i="115"/>
  <c r="AW187" i="115"/>
  <c r="AX187" i="115"/>
  <c r="AY187" i="115"/>
  <c r="AZ187" i="115"/>
  <c r="BA187" i="115"/>
  <c r="BB187" i="115"/>
  <c r="BC187" i="115"/>
  <c r="BD187" i="115"/>
  <c r="BE187" i="115"/>
  <c r="BF187" i="115"/>
  <c r="BG187" i="115"/>
  <c r="BH187" i="115"/>
  <c r="BI187" i="115"/>
  <c r="BJ187" i="115"/>
  <c r="BK187" i="115"/>
  <c r="BL187" i="115"/>
  <c r="BM187" i="115"/>
  <c r="BN187" i="115"/>
  <c r="BO187" i="115"/>
  <c r="BP187" i="115"/>
  <c r="BQ187" i="115"/>
  <c r="BR187" i="115"/>
  <c r="BS187" i="115"/>
  <c r="BT187" i="115"/>
  <c r="BU187" i="115"/>
  <c r="BV187" i="115"/>
  <c r="BW187" i="115"/>
  <c r="BX187" i="115"/>
  <c r="H9" i="174" a="1"/>
  <c r="H8" i="174" a="1"/>
  <c r="C10" i="174" a="1"/>
  <c r="C8" i="174" a="1"/>
  <c r="H7" i="174"/>
  <c r="T1" i="238" l="1"/>
  <c r="T2" i="238"/>
  <c r="AH1" i="238"/>
  <c r="AH2" i="238"/>
  <c r="W1" i="238"/>
  <c r="W2" i="238"/>
  <c r="O1" i="238"/>
  <c r="O2" i="238"/>
  <c r="AX1" i="238"/>
  <c r="AX2" i="238"/>
  <c r="AE1" i="238"/>
  <c r="AE2" i="238"/>
  <c r="AI1" i="238"/>
  <c r="AI2" i="238"/>
  <c r="H1" i="238"/>
  <c r="H2" i="238"/>
  <c r="P1" i="238"/>
  <c r="P2" i="238"/>
  <c r="AY1" i="238"/>
  <c r="AY2" i="238"/>
  <c r="N1" i="238"/>
  <c r="N2" i="238"/>
  <c r="X1" i="238"/>
  <c r="X2" i="238"/>
  <c r="AF1" i="238"/>
  <c r="AF2" i="238"/>
  <c r="AN1" i="238"/>
  <c r="AN2" i="238"/>
  <c r="AC1" i="238"/>
  <c r="AC2" i="238"/>
  <c r="S1" i="238"/>
  <c r="S2" i="238"/>
  <c r="I1" i="238"/>
  <c r="I2" i="238"/>
  <c r="Q1" i="238"/>
  <c r="Q2" i="238"/>
  <c r="AJ1" i="238"/>
  <c r="AJ2" i="238"/>
  <c r="AV1" i="238"/>
  <c r="AV2" i="238"/>
  <c r="Y1" i="238"/>
  <c r="Y2" i="238"/>
  <c r="AG1" i="238"/>
  <c r="AG2" i="238"/>
  <c r="AZ1" i="238"/>
  <c r="AZ2" i="238"/>
  <c r="AU1" i="238"/>
  <c r="AU2" i="238"/>
  <c r="V1" i="238"/>
  <c r="V2" i="238"/>
  <c r="J1" i="238"/>
  <c r="J2" i="238"/>
  <c r="AP1" i="238"/>
  <c r="AP2" i="238"/>
  <c r="AK1" i="238"/>
  <c r="AK2" i="238"/>
  <c r="M1" i="238"/>
  <c r="M2" i="238"/>
  <c r="AD1" i="238"/>
  <c r="AD2" i="238"/>
  <c r="Z1" i="238"/>
  <c r="Z2" i="238"/>
  <c r="AQ1" i="238"/>
  <c r="AQ2" i="238"/>
  <c r="BA1" i="238"/>
  <c r="BA2" i="238"/>
  <c r="R1" i="238"/>
  <c r="R2" i="238"/>
  <c r="AW1" i="238"/>
  <c r="AW2" i="238"/>
  <c r="K1" i="238"/>
  <c r="K2" i="238"/>
  <c r="AR1" i="238"/>
  <c r="AR2" i="238"/>
  <c r="AL1" i="238"/>
  <c r="AL2" i="238"/>
  <c r="U1" i="238"/>
  <c r="U2" i="238"/>
  <c r="AA1" i="238"/>
  <c r="AA2" i="238"/>
  <c r="AS1" i="238"/>
  <c r="AS2" i="238"/>
  <c r="BB1" i="238"/>
  <c r="BB2" i="238"/>
  <c r="L1" i="238"/>
  <c r="L2" i="238"/>
  <c r="AT1" i="238"/>
  <c r="AT2" i="238"/>
  <c r="AM1" i="238"/>
  <c r="AM2" i="238"/>
  <c r="G1" i="238"/>
  <c r="G2" i="238"/>
  <c r="AB1" i="238"/>
  <c r="AB2" i="238"/>
  <c r="AO1" i="238"/>
  <c r="AO2" i="238"/>
  <c r="BC1" i="238"/>
  <c r="BC2" i="238"/>
  <c r="F2" i="238"/>
  <c r="F1" i="238"/>
  <c r="C23" i="174"/>
  <c r="G23" i="174"/>
  <c r="L23" i="174"/>
  <c r="C22" i="174"/>
  <c r="G22" i="174"/>
  <c r="L22" i="174"/>
  <c r="C21" i="174"/>
  <c r="G21" i="174"/>
  <c r="L21" i="174"/>
  <c r="C24" i="174"/>
  <c r="G24" i="174"/>
  <c r="L24" i="174"/>
  <c r="G20" i="174"/>
  <c r="L20" i="174"/>
  <c r="C20" i="174"/>
  <c r="C13" i="174"/>
  <c r="L13" i="174"/>
  <c r="G19" i="174"/>
  <c r="L19" i="174"/>
  <c r="C19" i="174"/>
  <c r="G17" i="174"/>
  <c r="L17" i="174"/>
  <c r="C17" i="174"/>
  <c r="G18" i="174"/>
  <c r="L18" i="174"/>
  <c r="C18" i="174"/>
  <c r="L16" i="174"/>
  <c r="C16" i="174"/>
  <c r="G16" i="174"/>
  <c r="L15" i="174"/>
  <c r="C15" i="174"/>
  <c r="L14" i="174"/>
  <c r="C14" i="174"/>
  <c r="G25" i="174"/>
  <c r="L25" i="174"/>
  <c r="G29" i="174"/>
  <c r="L29" i="174"/>
  <c r="G32" i="174"/>
  <c r="L32" i="174"/>
  <c r="G27" i="174"/>
  <c r="L27" i="174"/>
  <c r="G31" i="174"/>
  <c r="L31" i="174"/>
  <c r="G28" i="174"/>
  <c r="L28" i="174"/>
  <c r="G30" i="174"/>
  <c r="L30" i="174"/>
  <c r="G26" i="174"/>
  <c r="L26" i="174"/>
  <c r="C25" i="174"/>
  <c r="C29" i="174"/>
  <c r="C31" i="174"/>
  <c r="C30" i="174"/>
  <c r="C32" i="174"/>
  <c r="C28" i="174"/>
  <c r="C27" i="174"/>
  <c r="C26" i="174"/>
  <c r="AU50" i="238"/>
  <c r="AU47" i="238"/>
  <c r="AU19" i="238"/>
  <c r="AU14" i="238"/>
  <c r="AU27" i="238"/>
  <c r="AU94" i="238"/>
  <c r="AU66" i="238"/>
  <c r="AU63" i="238"/>
  <c r="AU35" i="238"/>
  <c r="AU30" i="238"/>
  <c r="AU43" i="238"/>
  <c r="AU82" i="238"/>
  <c r="AU79" i="238"/>
  <c r="AU51" i="238"/>
  <c r="AU46" i="238"/>
  <c r="AU75" i="238"/>
  <c r="AU11" i="238"/>
  <c r="AU24" i="238"/>
  <c r="AU67" i="238"/>
  <c r="AU62" i="238"/>
  <c r="AU36" i="238"/>
  <c r="AU59" i="238"/>
  <c r="AU88" i="238"/>
  <c r="AU83" i="238"/>
  <c r="AU78" i="238"/>
  <c r="AU68" i="238"/>
  <c r="AU91" i="238"/>
  <c r="AU17" i="238"/>
  <c r="AU12" i="238"/>
  <c r="AU3" i="238"/>
  <c r="AU13" i="238"/>
  <c r="AU20" i="238"/>
  <c r="AU33" i="238"/>
  <c r="AU28" i="238"/>
  <c r="AU23" i="238"/>
  <c r="AU45" i="238"/>
  <c r="AU52" i="238"/>
  <c r="AU49" i="238"/>
  <c r="AU44" i="238"/>
  <c r="AU39" i="238"/>
  <c r="AU77" i="238"/>
  <c r="AU9" i="238"/>
  <c r="AU84" i="238"/>
  <c r="AU65" i="238"/>
  <c r="AU60" i="238"/>
  <c r="AU55" i="238"/>
  <c r="AU22" i="238"/>
  <c r="AU25" i="238"/>
  <c r="AU29" i="238"/>
  <c r="AU81" i="238"/>
  <c r="AU76" i="238"/>
  <c r="AU71" i="238"/>
  <c r="AU54" i="238"/>
  <c r="AU41" i="238"/>
  <c r="AU61" i="238"/>
  <c r="AU10" i="238"/>
  <c r="AU92" i="238"/>
  <c r="AU87" i="238"/>
  <c r="AU86" i="238"/>
  <c r="AU57" i="238"/>
  <c r="AU93" i="238"/>
  <c r="AU26" i="238"/>
  <c r="AU21" i="238"/>
  <c r="AU16" i="238"/>
  <c r="AU5" i="238"/>
  <c r="AU73" i="238"/>
  <c r="AU38" i="238"/>
  <c r="AU42" i="238"/>
  <c r="AU37" i="238"/>
  <c r="AU32" i="238"/>
  <c r="AU8" i="238"/>
  <c r="AU89" i="238"/>
  <c r="AU70" i="238"/>
  <c r="AU58" i="238"/>
  <c r="AU53" i="238"/>
  <c r="AU48" i="238"/>
  <c r="AU40" i="238"/>
  <c r="AU18" i="238"/>
  <c r="AU15" i="238"/>
  <c r="AU74" i="238"/>
  <c r="AU69" i="238"/>
  <c r="AU64" i="238"/>
  <c r="AU56" i="238"/>
  <c r="AU31" i="238"/>
  <c r="AU90" i="238"/>
  <c r="AU85" i="238"/>
  <c r="AU80" i="238"/>
  <c r="AU72" i="238"/>
  <c r="AU34" i="238"/>
  <c r="AV10" i="238"/>
  <c r="AV42" i="238"/>
  <c r="AV74" i="238"/>
  <c r="AV17" i="238"/>
  <c r="AV49" i="238"/>
  <c r="AV81" i="238"/>
  <c r="AV12" i="238"/>
  <c r="AV44" i="238"/>
  <c r="AV76" i="238"/>
  <c r="AV19" i="238"/>
  <c r="AV51" i="238"/>
  <c r="AV83" i="238"/>
  <c r="AV14" i="238"/>
  <c r="AV46" i="238"/>
  <c r="AV78" i="238"/>
  <c r="AV21" i="238"/>
  <c r="AV53" i="238"/>
  <c r="AV85" i="238"/>
  <c r="AV16" i="238"/>
  <c r="AV48" i="238"/>
  <c r="AV80" i="238"/>
  <c r="AV23" i="238"/>
  <c r="AV55" i="238"/>
  <c r="AV87" i="238"/>
  <c r="AV18" i="238"/>
  <c r="AV50" i="238"/>
  <c r="AV82" i="238"/>
  <c r="AV25" i="238"/>
  <c r="AV57" i="238"/>
  <c r="AV89" i="238"/>
  <c r="AV20" i="238"/>
  <c r="AV52" i="238"/>
  <c r="AV84" i="238"/>
  <c r="AV27" i="238"/>
  <c r="AV59" i="238"/>
  <c r="AV91" i="238"/>
  <c r="AV22" i="238"/>
  <c r="AV54" i="238"/>
  <c r="AV86" i="238"/>
  <c r="AV29" i="238"/>
  <c r="AV61" i="238"/>
  <c r="AV93" i="238"/>
  <c r="AV24" i="238"/>
  <c r="AV56" i="238"/>
  <c r="AV88" i="238"/>
  <c r="AV31" i="238"/>
  <c r="AV63" i="238"/>
  <c r="AV3" i="238"/>
  <c r="AV26" i="238"/>
  <c r="AV58" i="238"/>
  <c r="AV90" i="238"/>
  <c r="AV33" i="238"/>
  <c r="AV65" i="238"/>
  <c r="AV28" i="238"/>
  <c r="AV60" i="238"/>
  <c r="AV92" i="238"/>
  <c r="AV35" i="238"/>
  <c r="AV67" i="238"/>
  <c r="AV30" i="238"/>
  <c r="AV62" i="238"/>
  <c r="AV94" i="238"/>
  <c r="AV37" i="238"/>
  <c r="AV69" i="238"/>
  <c r="AV32" i="238"/>
  <c r="AV64" i="238"/>
  <c r="AV5" i="238"/>
  <c r="AV39" i="238"/>
  <c r="AV71" i="238"/>
  <c r="AV34" i="238"/>
  <c r="AV66" i="238"/>
  <c r="AV9" i="238"/>
  <c r="AV41" i="238"/>
  <c r="AV73" i="238"/>
  <c r="AV36" i="238"/>
  <c r="AV68" i="238"/>
  <c r="AV11" i="238"/>
  <c r="AV43" i="238"/>
  <c r="AV75" i="238"/>
  <c r="AV38" i="238"/>
  <c r="AV70" i="238"/>
  <c r="AV13" i="238"/>
  <c r="AV45" i="238"/>
  <c r="AV77" i="238"/>
  <c r="AV8" i="238"/>
  <c r="AV40" i="238"/>
  <c r="AV72" i="238"/>
  <c r="AV15" i="238"/>
  <c r="AV47" i="238"/>
  <c r="AV79" i="238"/>
  <c r="AW76" i="238"/>
  <c r="AW65" i="238"/>
  <c r="AW64" i="238"/>
  <c r="AW84" i="238"/>
  <c r="AW73" i="238"/>
  <c r="AW92" i="238"/>
  <c r="AW81" i="238"/>
  <c r="AW5" i="238"/>
  <c r="AW11" i="238"/>
  <c r="AW89" i="238"/>
  <c r="AW19" i="238"/>
  <c r="AW8" i="238"/>
  <c r="AW22" i="238"/>
  <c r="AW27" i="238"/>
  <c r="AW32" i="238"/>
  <c r="AW35" i="238"/>
  <c r="AW24" i="238"/>
  <c r="AW38" i="238"/>
  <c r="AW43" i="238"/>
  <c r="AW80" i="238"/>
  <c r="AW51" i="238"/>
  <c r="AW40" i="238"/>
  <c r="AW54" i="238"/>
  <c r="AW59" i="238"/>
  <c r="AW23" i="238"/>
  <c r="AW67" i="238"/>
  <c r="AW56" i="238"/>
  <c r="AW70" i="238"/>
  <c r="AW75" i="238"/>
  <c r="AW39" i="238"/>
  <c r="AW3" i="238"/>
  <c r="AW83" i="238"/>
  <c r="AW72" i="238"/>
  <c r="AW16" i="238"/>
  <c r="AW91" i="238"/>
  <c r="AW55" i="238"/>
  <c r="AW21" i="238"/>
  <c r="AW10" i="238"/>
  <c r="AW88" i="238"/>
  <c r="AW13" i="238"/>
  <c r="AW18" i="238"/>
  <c r="AW71" i="238"/>
  <c r="AW37" i="238"/>
  <c r="AW26" i="238"/>
  <c r="AW15" i="238"/>
  <c r="AW29" i="238"/>
  <c r="AW34" i="238"/>
  <c r="AW87" i="238"/>
  <c r="AW53" i="238"/>
  <c r="AW42" i="238"/>
  <c r="AW31" i="238"/>
  <c r="AW45" i="238"/>
  <c r="AW50" i="238"/>
  <c r="AW14" i="238"/>
  <c r="AW69" i="238"/>
  <c r="AW58" i="238"/>
  <c r="AW47" i="238"/>
  <c r="AW61" i="238"/>
  <c r="AW66" i="238"/>
  <c r="AW30" i="238"/>
  <c r="AW85" i="238"/>
  <c r="AW74" i="238"/>
  <c r="AW63" i="238"/>
  <c r="AW93" i="238"/>
  <c r="AW82" i="238"/>
  <c r="AW46" i="238"/>
  <c r="AW12" i="238"/>
  <c r="AW90" i="238"/>
  <c r="AW79" i="238"/>
  <c r="AW20" i="238"/>
  <c r="AW9" i="238"/>
  <c r="AW62" i="238"/>
  <c r="AW28" i="238"/>
  <c r="AW17" i="238"/>
  <c r="AW86" i="238"/>
  <c r="AW36" i="238"/>
  <c r="AW25" i="238"/>
  <c r="AW78" i="238"/>
  <c r="AW44" i="238"/>
  <c r="AW33" i="238"/>
  <c r="AW77" i="238"/>
  <c r="AW52" i="238"/>
  <c r="AW41" i="238"/>
  <c r="AW94" i="238"/>
  <c r="AW60" i="238"/>
  <c r="AW49" i="238"/>
  <c r="AW48" i="238"/>
  <c r="AW68" i="238"/>
  <c r="AW57" i="238"/>
  <c r="AH53" i="238"/>
  <c r="AH32" i="238"/>
  <c r="AH51" i="238"/>
  <c r="AH55" i="238"/>
  <c r="AH20" i="238"/>
  <c r="AH61" i="238"/>
  <c r="AH40" i="238"/>
  <c r="AH59" i="238"/>
  <c r="AH74" i="238"/>
  <c r="AH28" i="238"/>
  <c r="AH69" i="238"/>
  <c r="AH48" i="238"/>
  <c r="AH67" i="238"/>
  <c r="AH31" i="238"/>
  <c r="AH36" i="238"/>
  <c r="AH77" i="238"/>
  <c r="AH56" i="238"/>
  <c r="AH75" i="238"/>
  <c r="AH9" i="238"/>
  <c r="AH44" i="238"/>
  <c r="AH37" i="238"/>
  <c r="AH10" i="238"/>
  <c r="AH85" i="238"/>
  <c r="AH64" i="238"/>
  <c r="AH83" i="238"/>
  <c r="AH17" i="238"/>
  <c r="AH52" i="238"/>
  <c r="AH18" i="238"/>
  <c r="AH93" i="238"/>
  <c r="AH72" i="238"/>
  <c r="AH91" i="238"/>
  <c r="AH25" i="238"/>
  <c r="AH60" i="238"/>
  <c r="AH35" i="238"/>
  <c r="AH26" i="238"/>
  <c r="AH62" i="238"/>
  <c r="AH80" i="238"/>
  <c r="AH5" i="238"/>
  <c r="AH33" i="238"/>
  <c r="AH68" i="238"/>
  <c r="AH16" i="238"/>
  <c r="AH34" i="238"/>
  <c r="AH86" i="238"/>
  <c r="AH88" i="238"/>
  <c r="AH71" i="238"/>
  <c r="AH41" i="238"/>
  <c r="AH76" i="238"/>
  <c r="AH3" i="238"/>
  <c r="AH79" i="238"/>
  <c r="AH94" i="238"/>
  <c r="AH14" i="238"/>
  <c r="AH49" i="238"/>
  <c r="AH84" i="238"/>
  <c r="AH15" i="238"/>
  <c r="AH87" i="238"/>
  <c r="AH42" i="238"/>
  <c r="AH22" i="238"/>
  <c r="AH57" i="238"/>
  <c r="AH92" i="238"/>
  <c r="AH82" i="238"/>
  <c r="AH66" i="238"/>
  <c r="AH90" i="238"/>
  <c r="AH30" i="238"/>
  <c r="AH65" i="238"/>
  <c r="AH23" i="238"/>
  <c r="AH63" i="238"/>
  <c r="AH13" i="238"/>
  <c r="AH47" i="238"/>
  <c r="AH11" i="238"/>
  <c r="AH38" i="238"/>
  <c r="AH73" i="238"/>
  <c r="AH39" i="238"/>
  <c r="AH21" i="238"/>
  <c r="AH50" i="238"/>
  <c r="AH19" i="238"/>
  <c r="AH46" i="238"/>
  <c r="AH81" i="238"/>
  <c r="AH58" i="238"/>
  <c r="AH29" i="238"/>
  <c r="AH8" i="238"/>
  <c r="AH27" i="238"/>
  <c r="AH54" i="238"/>
  <c r="AH89" i="238"/>
  <c r="AH45" i="238"/>
  <c r="AH24" i="238"/>
  <c r="AH43" i="238"/>
  <c r="AH78" i="238"/>
  <c r="AH12" i="238"/>
  <c r="AH70" i="238"/>
  <c r="AX34" i="238"/>
  <c r="AX13" i="238"/>
  <c r="AX89" i="238"/>
  <c r="AX25" i="238"/>
  <c r="AX65" i="238"/>
  <c r="AX92" i="238"/>
  <c r="AX42" i="238"/>
  <c r="AX21" i="238"/>
  <c r="AX11" i="238"/>
  <c r="AX73" i="238"/>
  <c r="AX23" i="238"/>
  <c r="AX15" i="238"/>
  <c r="AX50" i="238"/>
  <c r="AX29" i="238"/>
  <c r="AX19" i="238"/>
  <c r="AX81" i="238"/>
  <c r="AX47" i="238"/>
  <c r="AX31" i="238"/>
  <c r="AX58" i="238"/>
  <c r="AX37" i="238"/>
  <c r="AX27" i="238"/>
  <c r="AX14" i="238"/>
  <c r="AX63" i="238"/>
  <c r="AX39" i="238"/>
  <c r="AX66" i="238"/>
  <c r="AX45" i="238"/>
  <c r="AX35" i="238"/>
  <c r="AX22" i="238"/>
  <c r="AX71" i="238"/>
  <c r="AX55" i="238"/>
  <c r="AX74" i="238"/>
  <c r="AX53" i="238"/>
  <c r="AX43" i="238"/>
  <c r="AX30" i="238"/>
  <c r="AX87" i="238"/>
  <c r="AX79" i="238"/>
  <c r="AX82" i="238"/>
  <c r="AX61" i="238"/>
  <c r="AX51" i="238"/>
  <c r="AX38" i="238"/>
  <c r="AX12" i="238"/>
  <c r="AX90" i="238"/>
  <c r="AX69" i="238"/>
  <c r="AX59" i="238"/>
  <c r="AX46" i="238"/>
  <c r="AX20" i="238"/>
  <c r="AX16" i="238"/>
  <c r="AX77" i="238"/>
  <c r="AX67" i="238"/>
  <c r="AX54" i="238"/>
  <c r="AX28" i="238"/>
  <c r="AX40" i="238"/>
  <c r="AX85" i="238"/>
  <c r="AX75" i="238"/>
  <c r="AX62" i="238"/>
  <c r="AX36" i="238"/>
  <c r="AX56" i="238"/>
  <c r="AX93" i="238"/>
  <c r="AX83" i="238"/>
  <c r="AX70" i="238"/>
  <c r="AX44" i="238"/>
  <c r="AX3" i="238"/>
  <c r="AX24" i="238"/>
  <c r="AX91" i="238"/>
  <c r="AX78" i="238"/>
  <c r="AX52" i="238"/>
  <c r="AX8" i="238"/>
  <c r="AX48" i="238"/>
  <c r="AX9" i="238"/>
  <c r="AX86" i="238"/>
  <c r="AX60" i="238"/>
  <c r="AX10" i="238"/>
  <c r="AX32" i="238"/>
  <c r="AX64" i="238"/>
  <c r="AX49" i="238"/>
  <c r="AX94" i="238"/>
  <c r="AX68" i="238"/>
  <c r="AX18" i="238"/>
  <c r="AX72" i="238"/>
  <c r="AX88" i="238"/>
  <c r="AX57" i="238"/>
  <c r="AX33" i="238"/>
  <c r="AX76" i="238"/>
  <c r="AX26" i="238"/>
  <c r="AX80" i="238"/>
  <c r="AX17" i="238"/>
  <c r="AX5" i="238"/>
  <c r="AX41" i="238"/>
  <c r="AX84" i="238"/>
  <c r="AI30" i="238"/>
  <c r="AI34" i="238"/>
  <c r="AI9" i="238"/>
  <c r="AI57" i="238"/>
  <c r="AI80" i="238"/>
  <c r="AI84" i="238"/>
  <c r="AI46" i="238"/>
  <c r="AI50" i="238"/>
  <c r="AI25" i="238"/>
  <c r="AI26" i="238"/>
  <c r="AI13" i="238"/>
  <c r="AI14" i="238"/>
  <c r="AI78" i="238"/>
  <c r="AI82" i="238"/>
  <c r="AI41" i="238"/>
  <c r="AI22" i="238"/>
  <c r="AI29" i="238"/>
  <c r="AI62" i="238"/>
  <c r="AI3" i="238"/>
  <c r="AI21" i="238"/>
  <c r="AI73" i="238"/>
  <c r="AI38" i="238"/>
  <c r="AI45" i="238"/>
  <c r="AI94" i="238"/>
  <c r="AI63" i="238"/>
  <c r="AI11" i="238"/>
  <c r="AI37" i="238"/>
  <c r="AI89" i="238"/>
  <c r="AI54" i="238"/>
  <c r="AI61" i="238"/>
  <c r="AI27" i="238"/>
  <c r="AI53" i="238"/>
  <c r="AI10" i="238"/>
  <c r="AI70" i="238"/>
  <c r="AI77" i="238"/>
  <c r="AI76" i="238"/>
  <c r="AI43" i="238"/>
  <c r="AI69" i="238"/>
  <c r="AI42" i="238"/>
  <c r="AI86" i="238"/>
  <c r="AI93" i="238"/>
  <c r="AI65" i="238"/>
  <c r="AI59" i="238"/>
  <c r="AI85" i="238"/>
  <c r="AI74" i="238"/>
  <c r="AI19" i="238"/>
  <c r="AI23" i="238"/>
  <c r="AI75" i="238"/>
  <c r="AI18" i="238"/>
  <c r="AI90" i="238"/>
  <c r="AI35" i="238"/>
  <c r="AI39" i="238"/>
  <c r="AI91" i="238"/>
  <c r="AI66" i="238"/>
  <c r="AI5" i="238"/>
  <c r="AI51" i="238"/>
  <c r="AI55" i="238"/>
  <c r="AI56" i="238"/>
  <c r="AI8" i="238"/>
  <c r="AI58" i="238"/>
  <c r="AI12" i="238"/>
  <c r="AI67" i="238"/>
  <c r="AI71" i="238"/>
  <c r="AI72" i="238"/>
  <c r="AI52" i="238"/>
  <c r="AI17" i="238"/>
  <c r="AI24" i="238"/>
  <c r="AI15" i="238"/>
  <c r="AI28" i="238"/>
  <c r="AI83" i="238"/>
  <c r="AI87" i="238"/>
  <c r="AI48" i="238"/>
  <c r="AI33" i="238"/>
  <c r="AI40" i="238"/>
  <c r="AI31" i="238"/>
  <c r="AI44" i="238"/>
  <c r="AI16" i="238"/>
  <c r="AI20" i="238"/>
  <c r="AI49" i="238"/>
  <c r="AI47" i="238"/>
  <c r="AI60" i="238"/>
  <c r="AI32" i="238"/>
  <c r="AI36" i="238"/>
  <c r="AI81" i="238"/>
  <c r="AI88" i="238"/>
  <c r="AI79" i="238"/>
  <c r="AI92" i="238"/>
  <c r="AI64" i="238"/>
  <c r="AI68" i="238"/>
  <c r="AY53" i="238"/>
  <c r="AY82" i="238"/>
  <c r="AY22" i="238"/>
  <c r="AY59" i="238"/>
  <c r="AY61" i="238"/>
  <c r="AY69" i="238"/>
  <c r="AY5" i="238"/>
  <c r="AY38" i="238"/>
  <c r="AY91" i="238"/>
  <c r="AY77" i="238"/>
  <c r="AY85" i="238"/>
  <c r="AY9" i="238"/>
  <c r="AY54" i="238"/>
  <c r="AY16" i="238"/>
  <c r="AY93" i="238"/>
  <c r="AY12" i="238"/>
  <c r="AY14" i="238"/>
  <c r="AY70" i="238"/>
  <c r="AY32" i="238"/>
  <c r="AY39" i="238"/>
  <c r="AY8" i="238"/>
  <c r="AY76" i="238"/>
  <c r="AY46" i="238"/>
  <c r="AY86" i="238"/>
  <c r="AY48" i="238"/>
  <c r="AY55" i="238"/>
  <c r="AY24" i="238"/>
  <c r="AY92" i="238"/>
  <c r="AY43" i="238"/>
  <c r="AY19" i="238"/>
  <c r="AY64" i="238"/>
  <c r="AY71" i="238"/>
  <c r="AY40" i="238"/>
  <c r="AY25" i="238"/>
  <c r="AY15" i="238"/>
  <c r="AY35" i="238"/>
  <c r="AY80" i="238"/>
  <c r="AY87" i="238"/>
  <c r="AY56" i="238"/>
  <c r="AY73" i="238"/>
  <c r="AY31" i="238"/>
  <c r="AY51" i="238"/>
  <c r="AY23" i="238"/>
  <c r="AY10" i="238"/>
  <c r="AY72" i="238"/>
  <c r="AY17" i="238"/>
  <c r="AY47" i="238"/>
  <c r="AY67" i="238"/>
  <c r="AY52" i="238"/>
  <c r="AY26" i="238"/>
  <c r="AY88" i="238"/>
  <c r="AY62" i="238"/>
  <c r="AY63" i="238"/>
  <c r="AY83" i="238"/>
  <c r="AY84" i="238"/>
  <c r="AY42" i="238"/>
  <c r="AY44" i="238"/>
  <c r="AY94" i="238"/>
  <c r="AY79" i="238"/>
  <c r="AY20" i="238"/>
  <c r="AY33" i="238"/>
  <c r="AY58" i="238"/>
  <c r="AY57" i="238"/>
  <c r="AY27" i="238"/>
  <c r="AY28" i="238"/>
  <c r="AY36" i="238"/>
  <c r="AY30" i="238"/>
  <c r="AY74" i="238"/>
  <c r="AY81" i="238"/>
  <c r="AY18" i="238"/>
  <c r="AY60" i="238"/>
  <c r="AY68" i="238"/>
  <c r="AY11" i="238"/>
  <c r="AY90" i="238"/>
  <c r="AY75" i="238"/>
  <c r="AY34" i="238"/>
  <c r="AY41" i="238"/>
  <c r="AY65" i="238"/>
  <c r="AY13" i="238"/>
  <c r="AY21" i="238"/>
  <c r="AY50" i="238"/>
  <c r="AY89" i="238"/>
  <c r="AY78" i="238"/>
  <c r="AY29" i="238"/>
  <c r="AY37" i="238"/>
  <c r="AY66" i="238"/>
  <c r="AY49" i="238"/>
  <c r="AY3" i="238"/>
  <c r="AY45" i="238"/>
  <c r="AN19" i="238"/>
  <c r="AN20" i="238"/>
  <c r="AN21" i="238"/>
  <c r="AN23" i="238"/>
  <c r="AN26" i="238"/>
  <c r="AN28" i="238"/>
  <c r="AN3" i="238"/>
  <c r="AN30" i="238"/>
  <c r="AN5" i="238"/>
  <c r="AN32" i="238"/>
  <c r="AN11" i="238"/>
  <c r="AN33" i="238"/>
  <c r="AN13" i="238"/>
  <c r="AN37" i="238"/>
  <c r="AN14" i="238"/>
  <c r="AN39" i="238"/>
  <c r="AN16" i="238"/>
  <c r="AN47" i="238"/>
  <c r="AN17" i="238"/>
  <c r="AN49" i="238"/>
  <c r="AN22" i="238"/>
  <c r="AN93" i="238"/>
  <c r="AN59" i="238"/>
  <c r="AN61" i="238"/>
  <c r="AN29" i="238"/>
  <c r="AN52" i="238"/>
  <c r="AN64" i="238"/>
  <c r="AN66" i="238"/>
  <c r="AN15" i="238"/>
  <c r="AN34" i="238"/>
  <c r="AN12" i="238"/>
  <c r="AN68" i="238"/>
  <c r="AN72" i="238"/>
  <c r="AN55" i="238"/>
  <c r="AN18" i="238"/>
  <c r="AN38" i="238"/>
  <c r="AN44" i="238"/>
  <c r="AN74" i="238"/>
  <c r="AN79" i="238"/>
  <c r="AN24" i="238"/>
  <c r="AN43" i="238"/>
  <c r="AN60" i="238"/>
  <c r="AN77" i="238"/>
  <c r="AN84" i="238"/>
  <c r="AN42" i="238"/>
  <c r="AN48" i="238"/>
  <c r="AN71" i="238"/>
  <c r="AN83" i="238"/>
  <c r="AN88" i="238"/>
  <c r="AN85" i="238"/>
  <c r="AN54" i="238"/>
  <c r="AN53" i="238"/>
  <c r="AN80" i="238"/>
  <c r="AN89" i="238"/>
  <c r="AN92" i="238"/>
  <c r="AN91" i="238"/>
  <c r="AN62" i="238"/>
  <c r="AN58" i="238"/>
  <c r="AN87" i="238"/>
  <c r="AN8" i="238"/>
  <c r="AN51" i="238"/>
  <c r="AN67" i="238"/>
  <c r="AN63" i="238"/>
  <c r="AN94" i="238"/>
  <c r="AN25" i="238"/>
  <c r="AN70" i="238"/>
  <c r="AN65" i="238"/>
  <c r="AN10" i="238"/>
  <c r="AN31" i="238"/>
  <c r="AN75" i="238"/>
  <c r="AN69" i="238"/>
  <c r="AN27" i="238"/>
  <c r="AN36" i="238"/>
  <c r="AN78" i="238"/>
  <c r="AN73" i="238"/>
  <c r="AN35" i="238"/>
  <c r="AN40" i="238"/>
  <c r="AN82" i="238"/>
  <c r="AN76" i="238"/>
  <c r="AN41" i="238"/>
  <c r="AN45" i="238"/>
  <c r="AN86" i="238"/>
  <c r="AN81" i="238"/>
  <c r="AN46" i="238"/>
  <c r="AN50" i="238"/>
  <c r="AN9" i="238"/>
  <c r="AN90" i="238"/>
  <c r="AN56" i="238"/>
  <c r="AN57" i="238"/>
  <c r="AJ17" i="238"/>
  <c r="AJ81" i="238"/>
  <c r="AJ54" i="238"/>
  <c r="AJ35" i="238"/>
  <c r="AJ16" i="238"/>
  <c r="AJ21" i="238"/>
  <c r="AJ85" i="238"/>
  <c r="AJ58" i="238"/>
  <c r="AJ39" i="238"/>
  <c r="AJ20" i="238"/>
  <c r="AJ8" i="238"/>
  <c r="AJ25" i="238"/>
  <c r="AJ89" i="238"/>
  <c r="AJ66" i="238"/>
  <c r="AJ43" i="238"/>
  <c r="AJ28" i="238"/>
  <c r="AJ24" i="238"/>
  <c r="AJ29" i="238"/>
  <c r="AJ93" i="238"/>
  <c r="AJ70" i="238"/>
  <c r="AJ47" i="238"/>
  <c r="AJ36" i="238"/>
  <c r="AJ9" i="238"/>
  <c r="AJ91" i="238"/>
  <c r="AJ32" i="238"/>
  <c r="AJ33" i="238"/>
  <c r="AJ38" i="238"/>
  <c r="AJ82" i="238"/>
  <c r="AJ51" i="238"/>
  <c r="AJ44" i="238"/>
  <c r="AJ40" i="238"/>
  <c r="AJ37" i="238"/>
  <c r="AJ42" i="238"/>
  <c r="AJ90" i="238"/>
  <c r="AJ55" i="238"/>
  <c r="AJ56" i="238"/>
  <c r="AJ73" i="238"/>
  <c r="AJ48" i="238"/>
  <c r="AJ41" i="238"/>
  <c r="AJ46" i="238"/>
  <c r="AJ94" i="238"/>
  <c r="AJ59" i="238"/>
  <c r="AJ64" i="238"/>
  <c r="AJ52" i="238"/>
  <c r="AJ45" i="238"/>
  <c r="AJ62" i="238"/>
  <c r="AJ22" i="238"/>
  <c r="AJ63" i="238"/>
  <c r="AJ72" i="238"/>
  <c r="AJ60" i="238"/>
  <c r="AJ49" i="238"/>
  <c r="AJ74" i="238"/>
  <c r="AJ30" i="238"/>
  <c r="AJ67" i="238"/>
  <c r="AJ80" i="238"/>
  <c r="AJ68" i="238"/>
  <c r="AJ53" i="238"/>
  <c r="AJ78" i="238"/>
  <c r="AJ10" i="238"/>
  <c r="AJ71" i="238"/>
  <c r="AJ84" i="238"/>
  <c r="AJ76" i="238"/>
  <c r="AJ57" i="238"/>
  <c r="AJ86" i="238"/>
  <c r="AJ11" i="238"/>
  <c r="AJ75" i="238"/>
  <c r="AJ92" i="238"/>
  <c r="AJ26" i="238"/>
  <c r="AJ34" i="238"/>
  <c r="AJ88" i="238"/>
  <c r="AJ61" i="238"/>
  <c r="AJ5" i="238"/>
  <c r="AJ15" i="238"/>
  <c r="AJ79" i="238"/>
  <c r="AJ23" i="238"/>
  <c r="AJ3" i="238"/>
  <c r="AJ65" i="238"/>
  <c r="AJ18" i="238"/>
  <c r="AJ19" i="238"/>
  <c r="AJ83" i="238"/>
  <c r="AJ87" i="238"/>
  <c r="AJ14" i="238"/>
  <c r="AJ69" i="238"/>
  <c r="AJ13" i="238"/>
  <c r="AJ77" i="238"/>
  <c r="AJ50" i="238"/>
  <c r="AJ31" i="238"/>
  <c r="AJ12" i="238"/>
  <c r="AJ27" i="238"/>
  <c r="AZ28" i="238"/>
  <c r="AZ92" i="238"/>
  <c r="AZ45" i="238"/>
  <c r="AZ55" i="238"/>
  <c r="AZ42" i="238"/>
  <c r="AZ59" i="238"/>
  <c r="AZ32" i="238"/>
  <c r="AZ51" i="238"/>
  <c r="AZ49" i="238"/>
  <c r="AZ87" i="238"/>
  <c r="AZ46" i="238"/>
  <c r="AZ83" i="238"/>
  <c r="AZ36" i="238"/>
  <c r="AZ3" i="238"/>
  <c r="AZ53" i="238"/>
  <c r="AZ31" i="238"/>
  <c r="AZ50" i="238"/>
  <c r="AZ35" i="238"/>
  <c r="AZ40" i="238"/>
  <c r="AZ11" i="238"/>
  <c r="AZ57" i="238"/>
  <c r="AZ63" i="238"/>
  <c r="AZ54" i="238"/>
  <c r="AZ67" i="238"/>
  <c r="AZ44" i="238"/>
  <c r="AZ71" i="238"/>
  <c r="AZ61" i="238"/>
  <c r="AZ91" i="238"/>
  <c r="AZ58" i="238"/>
  <c r="AZ48" i="238"/>
  <c r="AZ27" i="238"/>
  <c r="AZ65" i="238"/>
  <c r="AZ23" i="238"/>
  <c r="AZ62" i="238"/>
  <c r="AZ52" i="238"/>
  <c r="AZ79" i="238"/>
  <c r="AZ69" i="238"/>
  <c r="AZ43" i="238"/>
  <c r="AZ66" i="238"/>
  <c r="AZ56" i="238"/>
  <c r="AZ9" i="238"/>
  <c r="AZ73" i="238"/>
  <c r="AZ75" i="238"/>
  <c r="AZ70" i="238"/>
  <c r="AZ60" i="238"/>
  <c r="AZ13" i="238"/>
  <c r="AZ77" i="238"/>
  <c r="AZ10" i="238"/>
  <c r="AZ74" i="238"/>
  <c r="AZ64" i="238"/>
  <c r="AZ17" i="238"/>
  <c r="AZ81" i="238"/>
  <c r="AZ14" i="238"/>
  <c r="AZ78" i="238"/>
  <c r="AZ68" i="238"/>
  <c r="AZ21" i="238"/>
  <c r="AZ85" i="238"/>
  <c r="AZ18" i="238"/>
  <c r="AZ82" i="238"/>
  <c r="AZ8" i="238"/>
  <c r="AZ72" i="238"/>
  <c r="AZ25" i="238"/>
  <c r="AZ89" i="238"/>
  <c r="AZ22" i="238"/>
  <c r="AZ86" i="238"/>
  <c r="AZ12" i="238"/>
  <c r="AZ76" i="238"/>
  <c r="AZ29" i="238"/>
  <c r="AZ93" i="238"/>
  <c r="AZ26" i="238"/>
  <c r="AZ90" i="238"/>
  <c r="AZ16" i="238"/>
  <c r="AZ80" i="238"/>
  <c r="AZ33" i="238"/>
  <c r="AZ47" i="238"/>
  <c r="AZ30" i="238"/>
  <c r="AZ94" i="238"/>
  <c r="AZ20" i="238"/>
  <c r="AZ84" i="238"/>
  <c r="AZ37" i="238"/>
  <c r="AZ5" i="238"/>
  <c r="AZ34" i="238"/>
  <c r="AZ19" i="238"/>
  <c r="AZ24" i="238"/>
  <c r="AZ88" i="238"/>
  <c r="AZ41" i="238"/>
  <c r="AZ15" i="238"/>
  <c r="AZ38" i="238"/>
  <c r="AZ39" i="238"/>
  <c r="AP94" i="238"/>
  <c r="AP69" i="238"/>
  <c r="AP89" i="238"/>
  <c r="AP48" i="238"/>
  <c r="AP47" i="238"/>
  <c r="AP13" i="238"/>
  <c r="AP93" i="238"/>
  <c r="AP37" i="238"/>
  <c r="AP56" i="238"/>
  <c r="AP55" i="238"/>
  <c r="AP45" i="238"/>
  <c r="AP68" i="238"/>
  <c r="AP61" i="238"/>
  <c r="AP64" i="238"/>
  <c r="AP63" i="238"/>
  <c r="AP28" i="238"/>
  <c r="AP76" i="238"/>
  <c r="AP77" i="238"/>
  <c r="AP72" i="238"/>
  <c r="AP71" i="238"/>
  <c r="AP50" i="238"/>
  <c r="AP74" i="238"/>
  <c r="AP58" i="238"/>
  <c r="AP43" i="238"/>
  <c r="AP88" i="238"/>
  <c r="AP87" i="238"/>
  <c r="AP14" i="238"/>
  <c r="AP18" i="238"/>
  <c r="AP9" i="238"/>
  <c r="AP59" i="238"/>
  <c r="AP53" i="238"/>
  <c r="AP29" i="238"/>
  <c r="AP22" i="238"/>
  <c r="AP5" i="238"/>
  <c r="AP17" i="238"/>
  <c r="AP21" i="238"/>
  <c r="AP85" i="238"/>
  <c r="AP12" i="238"/>
  <c r="AP30" i="238"/>
  <c r="AP82" i="238"/>
  <c r="AP25" i="238"/>
  <c r="AP19" i="238"/>
  <c r="AP20" i="238"/>
  <c r="AP44" i="238"/>
  <c r="AP38" i="238"/>
  <c r="AP10" i="238"/>
  <c r="AP33" i="238"/>
  <c r="AP67" i="238"/>
  <c r="AP52" i="238"/>
  <c r="AP60" i="238"/>
  <c r="AP46" i="238"/>
  <c r="AP26" i="238"/>
  <c r="AP41" i="238"/>
  <c r="AP83" i="238"/>
  <c r="AP11" i="238"/>
  <c r="AP84" i="238"/>
  <c r="AP54" i="238"/>
  <c r="AP34" i="238"/>
  <c r="AP49" i="238"/>
  <c r="AP8" i="238"/>
  <c r="AP27" i="238"/>
  <c r="AP92" i="238"/>
  <c r="AP70" i="238"/>
  <c r="AP66" i="238"/>
  <c r="AP65" i="238"/>
  <c r="AP24" i="238"/>
  <c r="AP23" i="238"/>
  <c r="AP75" i="238"/>
  <c r="AP78" i="238"/>
  <c r="AP90" i="238"/>
  <c r="AP73" i="238"/>
  <c r="AP32" i="238"/>
  <c r="AP31" i="238"/>
  <c r="AP35" i="238"/>
  <c r="AP62" i="238"/>
  <c r="AP86" i="238"/>
  <c r="AP91" i="238"/>
  <c r="AP42" i="238"/>
  <c r="AP3" i="238"/>
  <c r="AP51" i="238"/>
  <c r="AP57" i="238"/>
  <c r="AP81" i="238"/>
  <c r="AP36" i="238"/>
  <c r="AP16" i="238"/>
  <c r="AP40" i="238"/>
  <c r="AP39" i="238"/>
  <c r="AP80" i="238"/>
  <c r="AP15" i="238"/>
  <c r="AP79" i="238"/>
  <c r="AK24" i="238"/>
  <c r="AK20" i="238"/>
  <c r="AK26" i="238"/>
  <c r="AK91" i="238"/>
  <c r="AK33" i="238"/>
  <c r="AK83" i="238"/>
  <c r="AK40" i="238"/>
  <c r="AK36" i="238"/>
  <c r="AK42" i="238"/>
  <c r="AK22" i="238"/>
  <c r="AK49" i="238"/>
  <c r="AK46" i="238"/>
  <c r="AK56" i="238"/>
  <c r="AK52" i="238"/>
  <c r="AK58" i="238"/>
  <c r="AK70" i="238"/>
  <c r="AK65" i="238"/>
  <c r="AK72" i="238"/>
  <c r="AK68" i="238"/>
  <c r="AK74" i="238"/>
  <c r="AK82" i="238"/>
  <c r="AK81" i="238"/>
  <c r="AK93" i="238"/>
  <c r="AK5" i="238"/>
  <c r="AK88" i="238"/>
  <c r="AK84" i="238"/>
  <c r="AK90" i="238"/>
  <c r="AK16" i="238"/>
  <c r="AK12" i="238"/>
  <c r="AK19" i="238"/>
  <c r="AK86" i="238"/>
  <c r="AK38" i="238"/>
  <c r="AK32" i="238"/>
  <c r="AK28" i="238"/>
  <c r="AK35" i="238"/>
  <c r="AK78" i="238"/>
  <c r="AK66" i="238"/>
  <c r="AK48" i="238"/>
  <c r="AK44" i="238"/>
  <c r="AK87" i="238"/>
  <c r="AK67" i="238"/>
  <c r="AK94" i="238"/>
  <c r="AK62" i="238"/>
  <c r="AK64" i="238"/>
  <c r="AK60" i="238"/>
  <c r="AK14" i="238"/>
  <c r="AK18" i="238"/>
  <c r="AK21" i="238"/>
  <c r="AK80" i="238"/>
  <c r="AK76" i="238"/>
  <c r="AK13" i="238"/>
  <c r="AK3" i="238"/>
  <c r="AK15" i="238"/>
  <c r="AK37" i="238"/>
  <c r="AK43" i="238"/>
  <c r="AK92" i="238"/>
  <c r="AK29" i="238"/>
  <c r="AK9" i="238"/>
  <c r="AK31" i="238"/>
  <c r="AK53" i="238"/>
  <c r="AK54" i="238"/>
  <c r="AK23" i="238"/>
  <c r="AK73" i="238"/>
  <c r="AK51" i="238"/>
  <c r="AK45" i="238"/>
  <c r="AK25" i="238"/>
  <c r="AK47" i="238"/>
  <c r="AK69" i="238"/>
  <c r="AK30" i="238"/>
  <c r="AK39" i="238"/>
  <c r="AK59" i="238"/>
  <c r="AK61" i="238"/>
  <c r="AK41" i="238"/>
  <c r="AK63" i="238"/>
  <c r="AK85" i="238"/>
  <c r="AK27" i="238"/>
  <c r="AK55" i="238"/>
  <c r="AK77" i="238"/>
  <c r="AK57" i="238"/>
  <c r="AK79" i="238"/>
  <c r="AK11" i="238"/>
  <c r="AK50" i="238"/>
  <c r="AK71" i="238"/>
  <c r="AK8" i="238"/>
  <c r="AK89" i="238"/>
  <c r="AK10" i="238"/>
  <c r="AK75" i="238"/>
  <c r="AK17" i="238"/>
  <c r="AK34" i="238"/>
  <c r="AQ81" i="238"/>
  <c r="AQ52" i="238"/>
  <c r="AQ19" i="238"/>
  <c r="AQ32" i="238"/>
  <c r="AQ39" i="238"/>
  <c r="AQ34" i="238"/>
  <c r="AQ22" i="238"/>
  <c r="AQ68" i="238"/>
  <c r="AQ35" i="238"/>
  <c r="AQ21" i="238"/>
  <c r="AQ87" i="238"/>
  <c r="AQ50" i="238"/>
  <c r="AQ38" i="238"/>
  <c r="AQ84" i="238"/>
  <c r="AQ51" i="238"/>
  <c r="AQ37" i="238"/>
  <c r="AQ12" i="238"/>
  <c r="AQ66" i="238"/>
  <c r="AQ54" i="238"/>
  <c r="AQ9" i="238"/>
  <c r="AQ67" i="238"/>
  <c r="AQ53" i="238"/>
  <c r="AQ28" i="238"/>
  <c r="AQ82" i="238"/>
  <c r="AQ70" i="238"/>
  <c r="AQ25" i="238"/>
  <c r="AQ83" i="238"/>
  <c r="AQ86" i="238"/>
  <c r="AQ41" i="238"/>
  <c r="AQ8" i="238"/>
  <c r="AQ42" i="238"/>
  <c r="AQ76" i="238"/>
  <c r="AQ11" i="238"/>
  <c r="AQ57" i="238"/>
  <c r="AQ24" i="238"/>
  <c r="AQ90" i="238"/>
  <c r="AQ91" i="238"/>
  <c r="AQ27" i="238"/>
  <c r="AQ73" i="238"/>
  <c r="AQ40" i="238"/>
  <c r="AQ31" i="238"/>
  <c r="AQ48" i="238"/>
  <c r="AQ43" i="238"/>
  <c r="AQ89" i="238"/>
  <c r="AQ56" i="238"/>
  <c r="AQ63" i="238"/>
  <c r="AQ80" i="238"/>
  <c r="AQ59" i="238"/>
  <c r="AQ14" i="238"/>
  <c r="AQ72" i="238"/>
  <c r="AQ79" i="238"/>
  <c r="AQ69" i="238"/>
  <c r="AQ75" i="238"/>
  <c r="AQ30" i="238"/>
  <c r="AQ88" i="238"/>
  <c r="AQ13" i="238"/>
  <c r="AQ85" i="238"/>
  <c r="AQ64" i="238"/>
  <c r="AQ46" i="238"/>
  <c r="AQ23" i="238"/>
  <c r="AQ29" i="238"/>
  <c r="AQ10" i="238"/>
  <c r="AQ17" i="238"/>
  <c r="AQ58" i="238"/>
  <c r="AQ62" i="238"/>
  <c r="AQ33" i="238"/>
  <c r="AQ5" i="238"/>
  <c r="AQ78" i="238"/>
  <c r="AQ71" i="238"/>
  <c r="AQ61" i="238"/>
  <c r="AQ15" i="238"/>
  <c r="AQ49" i="238"/>
  <c r="AQ20" i="238"/>
  <c r="AQ94" i="238"/>
  <c r="AQ44" i="238"/>
  <c r="AQ77" i="238"/>
  <c r="AQ47" i="238"/>
  <c r="AQ92" i="238"/>
  <c r="AQ65" i="238"/>
  <c r="AQ36" i="238"/>
  <c r="AQ3" i="238"/>
  <c r="AQ55" i="238"/>
  <c r="AQ16" i="238"/>
  <c r="AQ26" i="238"/>
  <c r="AQ74" i="238"/>
  <c r="AQ45" i="238"/>
  <c r="AQ93" i="238"/>
  <c r="AQ60" i="238"/>
  <c r="AQ18" i="238"/>
  <c r="BA9" i="238"/>
  <c r="BA51" i="238"/>
  <c r="BA43" i="238"/>
  <c r="BA91" i="238"/>
  <c r="BA22" i="238"/>
  <c r="BA25" i="238"/>
  <c r="BA78" i="238"/>
  <c r="BA59" i="238"/>
  <c r="BA34" i="238"/>
  <c r="BA38" i="238"/>
  <c r="BA46" i="238"/>
  <c r="BA41" i="238"/>
  <c r="BA94" i="238"/>
  <c r="BA86" i="238"/>
  <c r="BA67" i="238"/>
  <c r="BA54" i="238"/>
  <c r="BA13" i="238"/>
  <c r="BA57" i="238"/>
  <c r="BA20" i="238"/>
  <c r="BA28" i="238"/>
  <c r="BA14" i="238"/>
  <c r="BA70" i="238"/>
  <c r="BA29" i="238"/>
  <c r="BA73" i="238"/>
  <c r="BA36" i="238"/>
  <c r="BA92" i="238"/>
  <c r="BA16" i="238"/>
  <c r="BA87" i="238"/>
  <c r="BA45" i="238"/>
  <c r="BA89" i="238"/>
  <c r="BA52" i="238"/>
  <c r="BA39" i="238"/>
  <c r="BA32" i="238"/>
  <c r="BA82" i="238"/>
  <c r="BA61" i="238"/>
  <c r="BA84" i="238"/>
  <c r="BA68" i="238"/>
  <c r="BA71" i="238"/>
  <c r="BA48" i="238"/>
  <c r="BA17" i="238"/>
  <c r="BA77" i="238"/>
  <c r="BA15" i="238"/>
  <c r="BA76" i="238"/>
  <c r="BA50" i="238"/>
  <c r="BA64" i="238"/>
  <c r="BA33" i="238"/>
  <c r="BA93" i="238"/>
  <c r="BA31" i="238"/>
  <c r="BA66" i="238"/>
  <c r="BA83" i="238"/>
  <c r="BA80" i="238"/>
  <c r="BA49" i="238"/>
  <c r="BA8" i="238"/>
  <c r="BA47" i="238"/>
  <c r="BA5" i="238"/>
  <c r="BA62" i="238"/>
  <c r="BA27" i="238"/>
  <c r="BA65" i="238"/>
  <c r="BA24" i="238"/>
  <c r="BA63" i="238"/>
  <c r="BA10" i="238"/>
  <c r="BA21" i="238"/>
  <c r="BA75" i="238"/>
  <c r="BA81" i="238"/>
  <c r="BA40" i="238"/>
  <c r="BA79" i="238"/>
  <c r="BA26" i="238"/>
  <c r="BA37" i="238"/>
  <c r="BA12" i="238"/>
  <c r="BA56" i="238"/>
  <c r="BA44" i="238"/>
  <c r="BA42" i="238"/>
  <c r="BA53" i="238"/>
  <c r="BA60" i="238"/>
  <c r="BA72" i="238"/>
  <c r="BA23" i="238"/>
  <c r="BA58" i="238"/>
  <c r="BA69" i="238"/>
  <c r="BA55" i="238"/>
  <c r="BA88" i="238"/>
  <c r="BA18" i="238"/>
  <c r="BA74" i="238"/>
  <c r="BA85" i="238"/>
  <c r="BA35" i="238"/>
  <c r="BA3" i="238"/>
  <c r="BA19" i="238"/>
  <c r="BA90" i="238"/>
  <c r="BA11" i="238"/>
  <c r="BA30" i="238"/>
  <c r="AR42" i="238"/>
  <c r="AR5" i="238"/>
  <c r="AR48" i="238"/>
  <c r="AR55" i="238"/>
  <c r="AR89" i="238"/>
  <c r="AR46" i="238"/>
  <c r="AR12" i="238"/>
  <c r="AR52" i="238"/>
  <c r="AR59" i="238"/>
  <c r="AR15" i="238"/>
  <c r="AR50" i="238"/>
  <c r="AR20" i="238"/>
  <c r="AR56" i="238"/>
  <c r="AR67" i="238"/>
  <c r="AR43" i="238"/>
  <c r="AR9" i="238"/>
  <c r="AR54" i="238"/>
  <c r="AR24" i="238"/>
  <c r="AR68" i="238"/>
  <c r="AR71" i="238"/>
  <c r="AR75" i="238"/>
  <c r="AR29" i="238"/>
  <c r="AR58" i="238"/>
  <c r="AR28" i="238"/>
  <c r="AR76" i="238"/>
  <c r="AR83" i="238"/>
  <c r="AR87" i="238"/>
  <c r="AR53" i="238"/>
  <c r="AR62" i="238"/>
  <c r="AR40" i="238"/>
  <c r="AR80" i="238"/>
  <c r="AR33" i="238"/>
  <c r="AR17" i="238"/>
  <c r="AR65" i="238"/>
  <c r="AR66" i="238"/>
  <c r="AR44" i="238"/>
  <c r="AR92" i="238"/>
  <c r="AR69" i="238"/>
  <c r="AR25" i="238"/>
  <c r="AR85" i="238"/>
  <c r="AR70" i="238"/>
  <c r="AR60" i="238"/>
  <c r="AR3" i="238"/>
  <c r="AR81" i="238"/>
  <c r="AR49" i="238"/>
  <c r="AR10" i="238"/>
  <c r="AR74" i="238"/>
  <c r="AR64" i="238"/>
  <c r="AR19" i="238"/>
  <c r="AR11" i="238"/>
  <c r="AR57" i="238"/>
  <c r="AR14" i="238"/>
  <c r="AR78" i="238"/>
  <c r="AR72" i="238"/>
  <c r="AR23" i="238"/>
  <c r="AR63" i="238"/>
  <c r="AR73" i="238"/>
  <c r="AR18" i="238"/>
  <c r="AR82" i="238"/>
  <c r="AR84" i="238"/>
  <c r="AR27" i="238"/>
  <c r="AR79" i="238"/>
  <c r="AR77" i="238"/>
  <c r="AR22" i="238"/>
  <c r="AR86" i="238"/>
  <c r="AR88" i="238"/>
  <c r="AR31" i="238"/>
  <c r="AR91" i="238"/>
  <c r="AR93" i="238"/>
  <c r="AR26" i="238"/>
  <c r="AR90" i="238"/>
  <c r="AR8" i="238"/>
  <c r="AR35" i="238"/>
  <c r="AR13" i="238"/>
  <c r="AR30" i="238"/>
  <c r="AR94" i="238"/>
  <c r="AR16" i="238"/>
  <c r="AR39" i="238"/>
  <c r="AR37" i="238"/>
  <c r="AR34" i="238"/>
  <c r="AR41" i="238"/>
  <c r="AR32" i="238"/>
  <c r="AR47" i="238"/>
  <c r="AR45" i="238"/>
  <c r="AR38" i="238"/>
  <c r="AR21" i="238"/>
  <c r="AR36" i="238"/>
  <c r="AR51" i="238"/>
  <c r="AR61" i="238"/>
  <c r="AL8" i="238"/>
  <c r="AL89" i="238"/>
  <c r="AL67" i="238"/>
  <c r="AL20" i="238"/>
  <c r="AL21" i="238"/>
  <c r="AL63" i="238"/>
  <c r="AL16" i="238"/>
  <c r="AL10" i="238"/>
  <c r="AL75" i="238"/>
  <c r="AL28" i="238"/>
  <c r="AL29" i="238"/>
  <c r="AL71" i="238"/>
  <c r="AL24" i="238"/>
  <c r="AL90" i="238"/>
  <c r="AL83" i="238"/>
  <c r="AL36" i="238"/>
  <c r="AL37" i="238"/>
  <c r="AL79" i="238"/>
  <c r="AL32" i="238"/>
  <c r="AL3" i="238"/>
  <c r="AL91" i="238"/>
  <c r="AL44" i="238"/>
  <c r="AL45" i="238"/>
  <c r="AL87" i="238"/>
  <c r="AL49" i="238"/>
  <c r="AL40" i="238"/>
  <c r="AL30" i="238"/>
  <c r="AL77" i="238"/>
  <c r="AL52" i="238"/>
  <c r="AL53" i="238"/>
  <c r="AL17" i="238"/>
  <c r="AL48" i="238"/>
  <c r="AL62" i="238"/>
  <c r="AL22" i="238"/>
  <c r="AL60" i="238"/>
  <c r="AL61" i="238"/>
  <c r="AL33" i="238"/>
  <c r="AL58" i="238"/>
  <c r="AL56" i="238"/>
  <c r="AL42" i="238"/>
  <c r="AL5" i="238"/>
  <c r="AL68" i="238"/>
  <c r="AL69" i="238"/>
  <c r="AL57" i="238"/>
  <c r="AL66" i="238"/>
  <c r="AL64" i="238"/>
  <c r="AL74" i="238"/>
  <c r="AL14" i="238"/>
  <c r="AL76" i="238"/>
  <c r="AL85" i="238"/>
  <c r="AL65" i="238"/>
  <c r="AL72" i="238"/>
  <c r="AL82" i="238"/>
  <c r="AL38" i="238"/>
  <c r="AL84" i="238"/>
  <c r="AL93" i="238"/>
  <c r="AL81" i="238"/>
  <c r="AL80" i="238"/>
  <c r="AL11" i="238"/>
  <c r="AL54" i="238"/>
  <c r="AL92" i="238"/>
  <c r="AL34" i="238"/>
  <c r="AL88" i="238"/>
  <c r="AL19" i="238"/>
  <c r="AL70" i="238"/>
  <c r="AL46" i="238"/>
  <c r="AL15" i="238"/>
  <c r="AL51" i="238"/>
  <c r="AL47" i="238"/>
  <c r="AL9" i="238"/>
  <c r="AL27" i="238"/>
  <c r="AL94" i="238"/>
  <c r="AL78" i="238"/>
  <c r="AL23" i="238"/>
  <c r="AL25" i="238"/>
  <c r="AL35" i="238"/>
  <c r="AL26" i="238"/>
  <c r="AL86" i="238"/>
  <c r="AL31" i="238"/>
  <c r="AL41" i="238"/>
  <c r="AL43" i="238"/>
  <c r="AL50" i="238"/>
  <c r="AL18" i="238"/>
  <c r="AL39" i="238"/>
  <c r="AL73" i="238"/>
  <c r="AL59" i="238"/>
  <c r="AL12" i="238"/>
  <c r="AL13" i="238"/>
  <c r="AL55" i="238"/>
  <c r="AS93" i="238"/>
  <c r="AS72" i="238"/>
  <c r="AS37" i="238"/>
  <c r="AS3" i="238"/>
  <c r="AS39" i="238"/>
  <c r="AS12" i="238"/>
  <c r="AS16" i="238"/>
  <c r="AS28" i="238"/>
  <c r="AS53" i="238"/>
  <c r="AS17" i="238"/>
  <c r="AS55" i="238"/>
  <c r="AS44" i="238"/>
  <c r="AS32" i="238"/>
  <c r="AS15" i="238"/>
  <c r="AS69" i="238"/>
  <c r="AS33" i="238"/>
  <c r="AS71" i="238"/>
  <c r="AS76" i="238"/>
  <c r="AS48" i="238"/>
  <c r="AS31" i="238"/>
  <c r="AS85" i="238"/>
  <c r="AS49" i="238"/>
  <c r="AS87" i="238"/>
  <c r="AS64" i="238"/>
  <c r="AS47" i="238"/>
  <c r="AS11" i="238"/>
  <c r="AS65" i="238"/>
  <c r="AS10" i="238"/>
  <c r="AS80" i="238"/>
  <c r="AS63" i="238"/>
  <c r="AS27" i="238"/>
  <c r="AS81" i="238"/>
  <c r="AS26" i="238"/>
  <c r="AS19" i="238"/>
  <c r="AS79" i="238"/>
  <c r="AS43" i="238"/>
  <c r="AS20" i="238"/>
  <c r="AS42" i="238"/>
  <c r="AS35" i="238"/>
  <c r="AS50" i="238"/>
  <c r="AS59" i="238"/>
  <c r="AS36" i="238"/>
  <c r="AS58" i="238"/>
  <c r="AS51" i="238"/>
  <c r="AS66" i="238"/>
  <c r="AS75" i="238"/>
  <c r="AS52" i="238"/>
  <c r="AS74" i="238"/>
  <c r="AS83" i="238"/>
  <c r="AS82" i="238"/>
  <c r="AS91" i="238"/>
  <c r="AS68" i="238"/>
  <c r="AS90" i="238"/>
  <c r="AS88" i="238"/>
  <c r="AS38" i="238"/>
  <c r="AS8" i="238"/>
  <c r="AS14" i="238"/>
  <c r="AS84" i="238"/>
  <c r="AS67" i="238"/>
  <c r="AS13" i="238"/>
  <c r="AS70" i="238"/>
  <c r="AS56" i="238"/>
  <c r="AS30" i="238"/>
  <c r="AS86" i="238"/>
  <c r="AS22" i="238"/>
  <c r="AS29" i="238"/>
  <c r="AS41" i="238"/>
  <c r="AS5" i="238"/>
  <c r="AS46" i="238"/>
  <c r="AS9" i="238"/>
  <c r="AS54" i="238"/>
  <c r="AS45" i="238"/>
  <c r="AS73" i="238"/>
  <c r="AS18" i="238"/>
  <c r="AS62" i="238"/>
  <c r="AS60" i="238"/>
  <c r="AS25" i="238"/>
  <c r="AS61" i="238"/>
  <c r="AS92" i="238"/>
  <c r="AS34" i="238"/>
  <c r="AS78" i="238"/>
  <c r="AS40" i="238"/>
  <c r="AS57" i="238"/>
  <c r="AS23" i="238"/>
  <c r="AS77" i="238"/>
  <c r="AS24" i="238"/>
  <c r="AS21" i="238"/>
  <c r="AS94" i="238"/>
  <c r="AS89" i="238"/>
  <c r="BB64" i="238"/>
  <c r="BB51" i="238"/>
  <c r="BB41" i="238"/>
  <c r="BB45" i="238"/>
  <c r="BB78" i="238"/>
  <c r="BB50" i="238"/>
  <c r="BB72" i="238"/>
  <c r="BB59" i="238"/>
  <c r="BB81" i="238"/>
  <c r="BB69" i="238"/>
  <c r="BB86" i="238"/>
  <c r="BB90" i="238"/>
  <c r="BB80" i="238"/>
  <c r="BB67" i="238"/>
  <c r="BB18" i="238"/>
  <c r="BB85" i="238"/>
  <c r="BB94" i="238"/>
  <c r="BB88" i="238"/>
  <c r="BB75" i="238"/>
  <c r="BB66" i="238"/>
  <c r="BB17" i="238"/>
  <c r="BB15" i="238"/>
  <c r="BB3" i="238"/>
  <c r="BB83" i="238"/>
  <c r="BB12" i="238"/>
  <c r="BB49" i="238"/>
  <c r="BB23" i="238"/>
  <c r="BB53" i="238"/>
  <c r="BB91" i="238"/>
  <c r="BB20" i="238"/>
  <c r="BB89" i="238"/>
  <c r="BB31" i="238"/>
  <c r="BB93" i="238"/>
  <c r="BB13" i="238"/>
  <c r="BB28" i="238"/>
  <c r="BB42" i="238"/>
  <c r="BB39" i="238"/>
  <c r="BB9" i="238"/>
  <c r="BB37" i="238"/>
  <c r="BB36" i="238"/>
  <c r="BB82" i="238"/>
  <c r="BB47" i="238"/>
  <c r="BB65" i="238"/>
  <c r="BB77" i="238"/>
  <c r="BB44" i="238"/>
  <c r="BB14" i="238"/>
  <c r="BB55" i="238"/>
  <c r="BB8" i="238"/>
  <c r="BB34" i="238"/>
  <c r="BB33" i="238"/>
  <c r="BB52" i="238"/>
  <c r="BB22" i="238"/>
  <c r="BB63" i="238"/>
  <c r="BB16" i="238"/>
  <c r="BB74" i="238"/>
  <c r="BB73" i="238"/>
  <c r="BB60" i="238"/>
  <c r="BB30" i="238"/>
  <c r="BB71" i="238"/>
  <c r="BB24" i="238"/>
  <c r="BB11" i="238"/>
  <c r="BB26" i="238"/>
  <c r="BB68" i="238"/>
  <c r="BB38" i="238"/>
  <c r="BB79" i="238"/>
  <c r="BB32" i="238"/>
  <c r="BB19" i="238"/>
  <c r="BB58" i="238"/>
  <c r="BB76" i="238"/>
  <c r="BB46" i="238"/>
  <c r="BB87" i="238"/>
  <c r="BB40" i="238"/>
  <c r="BB27" i="238"/>
  <c r="BB5" i="238"/>
  <c r="BB84" i="238"/>
  <c r="BB54" i="238"/>
  <c r="BB25" i="238"/>
  <c r="BB48" i="238"/>
  <c r="BB35" i="238"/>
  <c r="BB21" i="238"/>
  <c r="BB92" i="238"/>
  <c r="BB62" i="238"/>
  <c r="BB57" i="238"/>
  <c r="BB56" i="238"/>
  <c r="BB43" i="238"/>
  <c r="BB61" i="238"/>
  <c r="BB29" i="238"/>
  <c r="BB70" i="238"/>
  <c r="BB10" i="238"/>
  <c r="AT9" i="238"/>
  <c r="AT70" i="238"/>
  <c r="AT59" i="238"/>
  <c r="AT85" i="238"/>
  <c r="AT79" i="238"/>
  <c r="AT24" i="238"/>
  <c r="AT25" i="238"/>
  <c r="AT78" i="238"/>
  <c r="AT67" i="238"/>
  <c r="AT93" i="238"/>
  <c r="AT87" i="238"/>
  <c r="AT72" i="238"/>
  <c r="AT57" i="238"/>
  <c r="AT86" i="238"/>
  <c r="AT75" i="238"/>
  <c r="AT82" i="238"/>
  <c r="AT17" i="238"/>
  <c r="AT58" i="238"/>
  <c r="AT73" i="238"/>
  <c r="AT94" i="238"/>
  <c r="AT83" i="238"/>
  <c r="AT3" i="238"/>
  <c r="AT41" i="238"/>
  <c r="AT74" i="238"/>
  <c r="AT89" i="238"/>
  <c r="AT8" i="238"/>
  <c r="AT91" i="238"/>
  <c r="AT33" i="238"/>
  <c r="AT49" i="238"/>
  <c r="AT12" i="238"/>
  <c r="AT56" i="238"/>
  <c r="AT80" i="238"/>
  <c r="AT88" i="238"/>
  <c r="AT65" i="238"/>
  <c r="AT81" i="238"/>
  <c r="AT20" i="238"/>
  <c r="AT48" i="238"/>
  <c r="AT18" i="238"/>
  <c r="AT42" i="238"/>
  <c r="AT5" i="238"/>
  <c r="AT16" i="238"/>
  <c r="AT28" i="238"/>
  <c r="AT34" i="238"/>
  <c r="AT90" i="238"/>
  <c r="AT13" i="238"/>
  <c r="AT10" i="238"/>
  <c r="AT40" i="238"/>
  <c r="AT36" i="238"/>
  <c r="AT66" i="238"/>
  <c r="AT32" i="238"/>
  <c r="AT21" i="238"/>
  <c r="AT15" i="238"/>
  <c r="AT64" i="238"/>
  <c r="AT44" i="238"/>
  <c r="AT14" i="238"/>
  <c r="AT26" i="238"/>
  <c r="AT29" i="238"/>
  <c r="AT23" i="238"/>
  <c r="AT50" i="238"/>
  <c r="AT52" i="238"/>
  <c r="AT22" i="238"/>
  <c r="AT11" i="238"/>
  <c r="AT37" i="238"/>
  <c r="AT31" i="238"/>
  <c r="AT60" i="238"/>
  <c r="AT30" i="238"/>
  <c r="AT19" i="238"/>
  <c r="AT45" i="238"/>
  <c r="AT39" i="238"/>
  <c r="AT68" i="238"/>
  <c r="AT38" i="238"/>
  <c r="AT27" i="238"/>
  <c r="AT53" i="238"/>
  <c r="AT47" i="238"/>
  <c r="AT76" i="238"/>
  <c r="AT46" i="238"/>
  <c r="AT35" i="238"/>
  <c r="AT61" i="238"/>
  <c r="AT55" i="238"/>
  <c r="AT84" i="238"/>
  <c r="AT54" i="238"/>
  <c r="AT43" i="238"/>
  <c r="AT69" i="238"/>
  <c r="AT63" i="238"/>
  <c r="AT92" i="238"/>
  <c r="AT62" i="238"/>
  <c r="AT51" i="238"/>
  <c r="AT77" i="238"/>
  <c r="AT71" i="238"/>
  <c r="AM31" i="238"/>
  <c r="AM42" i="238"/>
  <c r="AM74" i="238"/>
  <c r="AM53" i="238"/>
  <c r="AM55" i="238"/>
  <c r="AM21" i="238"/>
  <c r="AM47" i="238"/>
  <c r="AM59" i="238"/>
  <c r="AM90" i="238"/>
  <c r="AM69" i="238"/>
  <c r="AM71" i="238"/>
  <c r="AM80" i="238"/>
  <c r="AM63" i="238"/>
  <c r="AM76" i="238"/>
  <c r="AM43" i="238"/>
  <c r="AM85" i="238"/>
  <c r="AM87" i="238"/>
  <c r="AM79" i="238"/>
  <c r="AM30" i="238"/>
  <c r="AM75" i="238"/>
  <c r="AM22" i="238"/>
  <c r="AM8" i="238"/>
  <c r="AM20" i="238"/>
  <c r="AM17" i="238"/>
  <c r="AM44" i="238"/>
  <c r="AM38" i="238"/>
  <c r="AM24" i="238"/>
  <c r="AM3" i="238"/>
  <c r="AM68" i="238"/>
  <c r="AM33" i="238"/>
  <c r="AM13" i="238"/>
  <c r="AM54" i="238"/>
  <c r="AM40" i="238"/>
  <c r="AM26" i="238"/>
  <c r="AM49" i="238"/>
  <c r="AM61" i="238"/>
  <c r="AM70" i="238"/>
  <c r="AM56" i="238"/>
  <c r="AM9" i="238"/>
  <c r="AM46" i="238"/>
  <c r="AM65" i="238"/>
  <c r="AM94" i="238"/>
  <c r="AM86" i="238"/>
  <c r="AM72" i="238"/>
  <c r="AM25" i="238"/>
  <c r="AM78" i="238"/>
  <c r="AM81" i="238"/>
  <c r="AM19" i="238"/>
  <c r="AM91" i="238"/>
  <c r="AM88" i="238"/>
  <c r="AM23" i="238"/>
  <c r="AM41" i="238"/>
  <c r="AM5" i="238"/>
  <c r="AM18" i="238"/>
  <c r="AM35" i="238"/>
  <c r="AM12" i="238"/>
  <c r="AM10" i="238"/>
  <c r="AM52" i="238"/>
  <c r="AM57" i="238"/>
  <c r="AM16" i="238"/>
  <c r="AM34" i="238"/>
  <c r="AM51" i="238"/>
  <c r="AM60" i="238"/>
  <c r="AM58" i="238"/>
  <c r="AM73" i="238"/>
  <c r="AM32" i="238"/>
  <c r="AM50" i="238"/>
  <c r="AM67" i="238"/>
  <c r="AM77" i="238"/>
  <c r="AM11" i="238"/>
  <c r="AM89" i="238"/>
  <c r="AM48" i="238"/>
  <c r="AM66" i="238"/>
  <c r="AM83" i="238"/>
  <c r="AM93" i="238"/>
  <c r="AM27" i="238"/>
  <c r="AM45" i="238"/>
  <c r="AM28" i="238"/>
  <c r="AM64" i="238"/>
  <c r="AM82" i="238"/>
  <c r="AM29" i="238"/>
  <c r="AM62" i="238"/>
  <c r="AM92" i="238"/>
  <c r="AM15" i="238"/>
  <c r="AM36" i="238"/>
  <c r="AM84" i="238"/>
  <c r="AM37" i="238"/>
  <c r="AM39" i="238"/>
  <c r="AM14" i="238"/>
  <c r="AO53" i="238"/>
  <c r="AO30" i="238"/>
  <c r="AO52" i="238"/>
  <c r="AO43" i="238"/>
  <c r="AO56" i="238"/>
  <c r="AO70" i="238"/>
  <c r="AO69" i="238"/>
  <c r="AO46" i="238"/>
  <c r="AO19" i="238"/>
  <c r="AO59" i="238"/>
  <c r="AO72" i="238"/>
  <c r="AO86" i="238"/>
  <c r="AO85" i="238"/>
  <c r="AO62" i="238"/>
  <c r="AO34" i="238"/>
  <c r="AO75" i="238"/>
  <c r="AO88" i="238"/>
  <c r="AO36" i="238"/>
  <c r="AO20" i="238"/>
  <c r="AO78" i="238"/>
  <c r="AO12" i="238"/>
  <c r="AO91" i="238"/>
  <c r="AO68" i="238"/>
  <c r="AO67" i="238"/>
  <c r="AO32" i="238"/>
  <c r="AO3" i="238"/>
  <c r="AO44" i="238"/>
  <c r="AO84" i="238"/>
  <c r="AO50" i="238"/>
  <c r="AO49" i="238"/>
  <c r="AO48" i="238"/>
  <c r="AO13" i="238"/>
  <c r="AO60" i="238"/>
  <c r="AO17" i="238"/>
  <c r="AO66" i="238"/>
  <c r="AO81" i="238"/>
  <c r="AO64" i="238"/>
  <c r="AO29" i="238"/>
  <c r="AO76" i="238"/>
  <c r="AO9" i="238"/>
  <c r="AO65" i="238"/>
  <c r="AO80" i="238"/>
  <c r="AO45" i="238"/>
  <c r="AO92" i="238"/>
  <c r="AO25" i="238"/>
  <c r="AO23" i="238"/>
  <c r="AO15" i="238"/>
  <c r="AO61" i="238"/>
  <c r="AO26" i="238"/>
  <c r="AO41" i="238"/>
  <c r="AO39" i="238"/>
  <c r="AO31" i="238"/>
  <c r="AO77" i="238"/>
  <c r="AO35" i="238"/>
  <c r="AO57" i="238"/>
  <c r="AO55" i="238"/>
  <c r="AO47" i="238"/>
  <c r="AO93" i="238"/>
  <c r="AO83" i="238"/>
  <c r="AO73" i="238"/>
  <c r="AO71" i="238"/>
  <c r="AO79" i="238"/>
  <c r="AO58" i="238"/>
  <c r="AO33" i="238"/>
  <c r="AO8" i="238"/>
  <c r="AO22" i="238"/>
  <c r="AO21" i="238"/>
  <c r="AO5" i="238"/>
  <c r="AO74" i="238"/>
  <c r="AO11" i="238"/>
  <c r="AO24" i="238"/>
  <c r="AO38" i="238"/>
  <c r="AO54" i="238"/>
  <c r="AO37" i="238"/>
  <c r="AO18" i="238"/>
  <c r="AO16" i="238"/>
  <c r="AO63" i="238"/>
  <c r="AO14" i="238"/>
  <c r="AO94" i="238"/>
  <c r="AO42" i="238"/>
  <c r="AO90" i="238"/>
  <c r="AO28" i="238"/>
  <c r="AO82" i="238"/>
  <c r="AO27" i="238"/>
  <c r="AO10" i="238"/>
  <c r="AO89" i="238"/>
  <c r="AO40" i="238"/>
  <c r="AO87" i="238"/>
  <c r="AO51" i="238"/>
  <c r="BC9" i="238"/>
  <c r="BC30" i="238"/>
  <c r="BC5" i="238"/>
  <c r="BC91" i="238"/>
  <c r="BC44" i="238"/>
  <c r="BC38" i="238"/>
  <c r="BC25" i="238"/>
  <c r="BC46" i="238"/>
  <c r="BC16" i="238"/>
  <c r="BC28" i="238"/>
  <c r="BC29" i="238"/>
  <c r="BC54" i="238"/>
  <c r="BC41" i="238"/>
  <c r="BC62" i="238"/>
  <c r="BC32" i="238"/>
  <c r="BC61" i="238"/>
  <c r="BC20" i="238"/>
  <c r="BC70" i="238"/>
  <c r="BC57" i="238"/>
  <c r="BC78" i="238"/>
  <c r="BC48" i="238"/>
  <c r="BC18" i="238"/>
  <c r="BC36" i="238"/>
  <c r="BC86" i="238"/>
  <c r="BC73" i="238"/>
  <c r="BC94" i="238"/>
  <c r="BC64" i="238"/>
  <c r="BC34" i="238"/>
  <c r="BC52" i="238"/>
  <c r="BC23" i="238"/>
  <c r="BC89" i="238"/>
  <c r="BC3" i="238"/>
  <c r="BC80" i="238"/>
  <c r="BC50" i="238"/>
  <c r="BC68" i="238"/>
  <c r="BC56" i="238"/>
  <c r="BC10" i="238"/>
  <c r="BC15" i="238"/>
  <c r="BC39" i="238"/>
  <c r="BC66" i="238"/>
  <c r="BC84" i="238"/>
  <c r="BC75" i="238"/>
  <c r="BC26" i="238"/>
  <c r="BC31" i="238"/>
  <c r="BC8" i="238"/>
  <c r="BC82" i="238"/>
  <c r="BC88" i="238"/>
  <c r="BC12" i="238"/>
  <c r="BC42" i="238"/>
  <c r="BC47" i="238"/>
  <c r="BC13" i="238"/>
  <c r="BC55" i="238"/>
  <c r="BC76" i="238"/>
  <c r="BC45" i="238"/>
  <c r="BC58" i="238"/>
  <c r="BC63" i="238"/>
  <c r="BC17" i="238"/>
  <c r="BC60" i="238"/>
  <c r="BC77" i="238"/>
  <c r="BC74" i="238"/>
  <c r="BC79" i="238"/>
  <c r="BC33" i="238"/>
  <c r="BC19" i="238"/>
  <c r="BC21" i="238"/>
  <c r="BC90" i="238"/>
  <c r="BC71" i="238"/>
  <c r="BC49" i="238"/>
  <c r="BC35" i="238"/>
  <c r="BC37" i="238"/>
  <c r="BC11" i="238"/>
  <c r="BC24" i="238"/>
  <c r="BC65" i="238"/>
  <c r="BC51" i="238"/>
  <c r="BC53" i="238"/>
  <c r="BC27" i="238"/>
  <c r="BC59" i="238"/>
  <c r="BC81" i="238"/>
  <c r="BC67" i="238"/>
  <c r="BC69" i="238"/>
  <c r="BC43" i="238"/>
  <c r="BC92" i="238"/>
  <c r="BC87" i="238"/>
  <c r="BC83" i="238"/>
  <c r="BC85" i="238"/>
  <c r="BC14" i="238"/>
  <c r="BC93" i="238"/>
  <c r="BC40" i="238"/>
  <c r="BC72" i="238"/>
  <c r="BC22" i="238"/>
  <c r="Z35" i="238"/>
  <c r="Z50" i="238"/>
  <c r="Z41" i="238"/>
  <c r="Z32" i="238"/>
  <c r="Z31" i="238"/>
  <c r="Z12" i="238"/>
  <c r="Z51" i="238"/>
  <c r="Z66" i="238"/>
  <c r="Z57" i="238"/>
  <c r="Z48" i="238"/>
  <c r="Z47" i="238"/>
  <c r="Z20" i="238"/>
  <c r="Z59" i="238"/>
  <c r="Z74" i="238"/>
  <c r="Z65" i="238"/>
  <c r="Z56" i="238"/>
  <c r="Z55" i="238"/>
  <c r="Z36" i="238"/>
  <c r="Z75" i="238"/>
  <c r="Z90" i="238"/>
  <c r="Z81" i="238"/>
  <c r="Z72" i="238"/>
  <c r="Z71" i="238"/>
  <c r="Z44" i="238"/>
  <c r="Z83" i="238"/>
  <c r="Z38" i="238"/>
  <c r="Z89" i="238"/>
  <c r="Z80" i="238"/>
  <c r="Z79" i="238"/>
  <c r="Z52" i="238"/>
  <c r="Z91" i="238"/>
  <c r="Z62" i="238"/>
  <c r="Z54" i="238"/>
  <c r="Z88" i="238"/>
  <c r="Z87" i="238"/>
  <c r="Z60" i="238"/>
  <c r="Z27" i="238"/>
  <c r="Z18" i="238"/>
  <c r="Z70" i="238"/>
  <c r="Z15" i="238"/>
  <c r="Z28" i="238"/>
  <c r="Z42" i="238"/>
  <c r="Z77" i="238"/>
  <c r="Z63" i="238"/>
  <c r="Z76" i="238"/>
  <c r="Z82" i="238"/>
  <c r="Z8" i="238"/>
  <c r="Z30" i="238"/>
  <c r="Z92" i="238"/>
  <c r="Z37" i="238"/>
  <c r="Z24" i="238"/>
  <c r="Z11" i="238"/>
  <c r="Z69" i="238"/>
  <c r="Z40" i="238"/>
  <c r="Z19" i="238"/>
  <c r="Z85" i="238"/>
  <c r="Z64" i="238"/>
  <c r="Z43" i="238"/>
  <c r="Z9" i="238"/>
  <c r="Z46" i="238"/>
  <c r="Z10" i="238"/>
  <c r="Z73" i="238"/>
  <c r="Z78" i="238"/>
  <c r="Z68" i="238"/>
  <c r="Z94" i="238"/>
  <c r="Z84" i="238"/>
  <c r="Z16" i="238"/>
  <c r="Z67" i="238"/>
  <c r="Z86" i="238"/>
  <c r="Z61" i="238"/>
  <c r="Z21" i="238"/>
  <c r="Z5" i="238"/>
  <c r="Z29" i="238"/>
  <c r="Z3" i="238"/>
  <c r="Z45" i="238"/>
  <c r="Z26" i="238"/>
  <c r="Z23" i="238"/>
  <c r="Z34" i="238"/>
  <c r="Z39" i="238"/>
  <c r="Z58" i="238"/>
  <c r="Z14" i="238"/>
  <c r="Z13" i="238"/>
  <c r="Z17" i="238"/>
  <c r="Z25" i="238"/>
  <c r="Z49" i="238"/>
  <c r="Z22" i="238"/>
  <c r="Z93" i="238"/>
  <c r="Z53" i="238"/>
  <c r="Z33" i="238"/>
  <c r="K9" i="238"/>
  <c r="K72" i="238"/>
  <c r="K55" i="238"/>
  <c r="K33" i="238"/>
  <c r="K21" i="238"/>
  <c r="K41" i="238"/>
  <c r="K77" i="238"/>
  <c r="K12" i="238"/>
  <c r="K70" i="238"/>
  <c r="K48" i="238"/>
  <c r="K57" i="238"/>
  <c r="K93" i="238"/>
  <c r="K28" i="238"/>
  <c r="K86" i="238"/>
  <c r="K64" i="238"/>
  <c r="K73" i="238"/>
  <c r="K8" i="238"/>
  <c r="K44" i="238"/>
  <c r="K53" i="238"/>
  <c r="K80" i="238"/>
  <c r="K89" i="238"/>
  <c r="K13" i="238"/>
  <c r="K60" i="238"/>
  <c r="K69" i="238"/>
  <c r="K58" i="238"/>
  <c r="K15" i="238"/>
  <c r="K46" i="238"/>
  <c r="K29" i="238"/>
  <c r="K76" i="238"/>
  <c r="K42" i="238"/>
  <c r="K74" i="238"/>
  <c r="K31" i="238"/>
  <c r="K3" i="238"/>
  <c r="K45" i="238"/>
  <c r="K92" i="238"/>
  <c r="K11" i="238"/>
  <c r="K14" i="238"/>
  <c r="K47" i="238"/>
  <c r="K19" i="238"/>
  <c r="K18" i="238"/>
  <c r="K65" i="238"/>
  <c r="K27" i="238"/>
  <c r="K30" i="238"/>
  <c r="K63" i="238"/>
  <c r="K35" i="238"/>
  <c r="K34" i="238"/>
  <c r="K81" i="238"/>
  <c r="K43" i="238"/>
  <c r="K62" i="238"/>
  <c r="K79" i="238"/>
  <c r="K51" i="238"/>
  <c r="K50" i="238"/>
  <c r="K90" i="238"/>
  <c r="K59" i="238"/>
  <c r="K5" i="238"/>
  <c r="K67" i="238"/>
  <c r="K66" i="238"/>
  <c r="K78" i="238"/>
  <c r="K75" i="238"/>
  <c r="K20" i="238"/>
  <c r="K83" i="238"/>
  <c r="K82" i="238"/>
  <c r="K94" i="238"/>
  <c r="K91" i="238"/>
  <c r="K36" i="238"/>
  <c r="K24" i="238"/>
  <c r="K23" i="238"/>
  <c r="K17" i="238"/>
  <c r="K37" i="238"/>
  <c r="K68" i="238"/>
  <c r="K56" i="238"/>
  <c r="K71" i="238"/>
  <c r="K22" i="238"/>
  <c r="K10" i="238"/>
  <c r="K25" i="238"/>
  <c r="K61" i="238"/>
  <c r="K26" i="238"/>
  <c r="K54" i="238"/>
  <c r="K32" i="238"/>
  <c r="K52" i="238"/>
  <c r="K84" i="238"/>
  <c r="K40" i="238"/>
  <c r="K88" i="238"/>
  <c r="K39" i="238"/>
  <c r="K87" i="238"/>
  <c r="K49" i="238"/>
  <c r="K38" i="238"/>
  <c r="K85" i="238"/>
  <c r="K16" i="238"/>
  <c r="AA58" i="238"/>
  <c r="AA22" i="238"/>
  <c r="AA24" i="238"/>
  <c r="AA66" i="238"/>
  <c r="AA54" i="238"/>
  <c r="AA80" i="238"/>
  <c r="AA90" i="238"/>
  <c r="AA70" i="238"/>
  <c r="AA56" i="238"/>
  <c r="AA93" i="238"/>
  <c r="AA33" i="238"/>
  <c r="AA15" i="238"/>
  <c r="AA31" i="238"/>
  <c r="AA72" i="238"/>
  <c r="AA47" i="238"/>
  <c r="AA49" i="238"/>
  <c r="AA20" i="238"/>
  <c r="AA14" i="238"/>
  <c r="AA94" i="238"/>
  <c r="AA23" i="238"/>
  <c r="AA81" i="238"/>
  <c r="AA36" i="238"/>
  <c r="AA30" i="238"/>
  <c r="AA86" i="238"/>
  <c r="AA39" i="238"/>
  <c r="AA11" i="238"/>
  <c r="AA52" i="238"/>
  <c r="AA46" i="238"/>
  <c r="AA79" i="238"/>
  <c r="AA55" i="238"/>
  <c r="AA27" i="238"/>
  <c r="AA21" i="238"/>
  <c r="AA68" i="238"/>
  <c r="AA62" i="238"/>
  <c r="AA13" i="238"/>
  <c r="AA71" i="238"/>
  <c r="AA43" i="238"/>
  <c r="AA10" i="238"/>
  <c r="AA57" i="238"/>
  <c r="AA67" i="238"/>
  <c r="AA42" i="238"/>
  <c r="AA89" i="238"/>
  <c r="AA8" i="238"/>
  <c r="AA50" i="238"/>
  <c r="AA92" i="238"/>
  <c r="AA64" i="238"/>
  <c r="AA25" i="238"/>
  <c r="AA18" i="238"/>
  <c r="AA32" i="238"/>
  <c r="AA38" i="238"/>
  <c r="AA63" i="238"/>
  <c r="AA78" i="238"/>
  <c r="AA12" i="238"/>
  <c r="AA37" i="238"/>
  <c r="AA35" i="238"/>
  <c r="AA44" i="238"/>
  <c r="AA53" i="238"/>
  <c r="AA51" i="238"/>
  <c r="AA60" i="238"/>
  <c r="AA69" i="238"/>
  <c r="AA83" i="238"/>
  <c r="AA76" i="238"/>
  <c r="AA85" i="238"/>
  <c r="AA40" i="238"/>
  <c r="AA17" i="238"/>
  <c r="AA9" i="238"/>
  <c r="AA77" i="238"/>
  <c r="AA16" i="238"/>
  <c r="AA3" i="238"/>
  <c r="AA19" i="238"/>
  <c r="AA88" i="238"/>
  <c r="AA29" i="238"/>
  <c r="AA45" i="238"/>
  <c r="AA61" i="238"/>
  <c r="AA34" i="238"/>
  <c r="AA82" i="238"/>
  <c r="AA87" i="238"/>
  <c r="AA28" i="238"/>
  <c r="AA26" i="238"/>
  <c r="AA65" i="238"/>
  <c r="AA74" i="238"/>
  <c r="AA59" i="238"/>
  <c r="AA84" i="238"/>
  <c r="AA91" i="238"/>
  <c r="AA41" i="238"/>
  <c r="AA48" i="238"/>
  <c r="AA73" i="238"/>
  <c r="AA5" i="238"/>
  <c r="AA75" i="238"/>
  <c r="L25" i="238"/>
  <c r="L89" i="238"/>
  <c r="L60" i="238"/>
  <c r="L35" i="238"/>
  <c r="L10" i="238"/>
  <c r="L74" i="238"/>
  <c r="L73" i="238"/>
  <c r="L48" i="238"/>
  <c r="L27" i="238"/>
  <c r="L78" i="238"/>
  <c r="L82" i="238"/>
  <c r="L9" i="238"/>
  <c r="L77" i="238"/>
  <c r="L52" i="238"/>
  <c r="L31" i="238"/>
  <c r="L14" i="238"/>
  <c r="L86" i="238"/>
  <c r="L13" i="238"/>
  <c r="L81" i="238"/>
  <c r="L56" i="238"/>
  <c r="L39" i="238"/>
  <c r="L18" i="238"/>
  <c r="L90" i="238"/>
  <c r="L17" i="238"/>
  <c r="L85" i="238"/>
  <c r="L64" i="238"/>
  <c r="L43" i="238"/>
  <c r="L22" i="238"/>
  <c r="L94" i="238"/>
  <c r="L21" i="238"/>
  <c r="L93" i="238"/>
  <c r="L68" i="238"/>
  <c r="L47" i="238"/>
  <c r="L26" i="238"/>
  <c r="L29" i="238"/>
  <c r="L5" i="238"/>
  <c r="L72" i="238"/>
  <c r="L51" i="238"/>
  <c r="L30" i="238"/>
  <c r="L33" i="238"/>
  <c r="L8" i="238"/>
  <c r="L76" i="238"/>
  <c r="L55" i="238"/>
  <c r="L34" i="238"/>
  <c r="L37" i="238"/>
  <c r="L12" i="238"/>
  <c r="L80" i="238"/>
  <c r="L59" i="238"/>
  <c r="L38" i="238"/>
  <c r="L41" i="238"/>
  <c r="L16" i="238"/>
  <c r="L84" i="238"/>
  <c r="L63" i="238"/>
  <c r="L42" i="238"/>
  <c r="L45" i="238"/>
  <c r="L20" i="238"/>
  <c r="L88" i="238"/>
  <c r="L67" i="238"/>
  <c r="L46" i="238"/>
  <c r="L49" i="238"/>
  <c r="L24" i="238"/>
  <c r="L92" i="238"/>
  <c r="L71" i="238"/>
  <c r="L50" i="238"/>
  <c r="L53" i="238"/>
  <c r="L28" i="238"/>
  <c r="L3" i="238"/>
  <c r="L75" i="238"/>
  <c r="L54" i="238"/>
  <c r="L61" i="238"/>
  <c r="L36" i="238"/>
  <c r="L15" i="238"/>
  <c r="L83" i="238"/>
  <c r="L62" i="238"/>
  <c r="L69" i="238"/>
  <c r="L44" i="238"/>
  <c r="L23" i="238"/>
  <c r="L91" i="238"/>
  <c r="L70" i="238"/>
  <c r="L58" i="238"/>
  <c r="L66" i="238"/>
  <c r="L57" i="238"/>
  <c r="L11" i="238"/>
  <c r="L65" i="238"/>
  <c r="L32" i="238"/>
  <c r="L40" i="238"/>
  <c r="L19" i="238"/>
  <c r="L79" i="238"/>
  <c r="L87" i="238"/>
  <c r="AB17" i="238"/>
  <c r="AB69" i="238"/>
  <c r="AB48" i="238"/>
  <c r="AB74" i="238"/>
  <c r="AB70" i="238"/>
  <c r="AB26" i="238"/>
  <c r="AB25" i="238"/>
  <c r="AB89" i="238"/>
  <c r="AB56" i="238"/>
  <c r="AB11" i="238"/>
  <c r="AB14" i="238"/>
  <c r="AB50" i="238"/>
  <c r="AB33" i="238"/>
  <c r="AB5" i="238"/>
  <c r="AB60" i="238"/>
  <c r="AB27" i="238"/>
  <c r="AB18" i="238"/>
  <c r="AB54" i="238"/>
  <c r="AB49" i="238"/>
  <c r="AB3" i="238"/>
  <c r="AB68" i="238"/>
  <c r="AB43" i="238"/>
  <c r="AB66" i="238"/>
  <c r="AB90" i="238"/>
  <c r="AB53" i="238"/>
  <c r="AB8" i="238"/>
  <c r="AB72" i="238"/>
  <c r="AB51" i="238"/>
  <c r="AB86" i="238"/>
  <c r="AB57" i="238"/>
  <c r="AB12" i="238"/>
  <c r="AB76" i="238"/>
  <c r="AB63" i="238"/>
  <c r="AB15" i="238"/>
  <c r="AB65" i="238"/>
  <c r="AB16" i="238"/>
  <c r="AB80" i="238"/>
  <c r="AB67" i="238"/>
  <c r="AB19" i="238"/>
  <c r="AB94" i="238"/>
  <c r="AB41" i="238"/>
  <c r="AB36" i="238"/>
  <c r="AB59" i="238"/>
  <c r="AB30" i="238"/>
  <c r="AB71" i="238"/>
  <c r="AB13" i="238"/>
  <c r="AB61" i="238"/>
  <c r="AB44" i="238"/>
  <c r="AB62" i="238"/>
  <c r="AB58" i="238"/>
  <c r="AB22" i="238"/>
  <c r="AB52" i="238"/>
  <c r="AB31" i="238"/>
  <c r="AB9" i="238"/>
  <c r="AB37" i="238"/>
  <c r="AB88" i="238"/>
  <c r="AB55" i="238"/>
  <c r="AB73" i="238"/>
  <c r="AB77" i="238"/>
  <c r="AB23" i="238"/>
  <c r="AB38" i="238"/>
  <c r="AB29" i="238"/>
  <c r="AB82" i="238"/>
  <c r="AB45" i="238"/>
  <c r="AB35" i="238"/>
  <c r="AB81" i="238"/>
  <c r="AB75" i="238"/>
  <c r="AB93" i="238"/>
  <c r="AB79" i="238"/>
  <c r="AB40" i="238"/>
  <c r="AB42" i="238"/>
  <c r="AB92" i="238"/>
  <c r="AB46" i="238"/>
  <c r="AB87" i="238"/>
  <c r="AB10" i="238"/>
  <c r="AB34" i="238"/>
  <c r="AB83" i="238"/>
  <c r="AB39" i="238"/>
  <c r="AB47" i="238"/>
  <c r="AB21" i="238"/>
  <c r="AB91" i="238"/>
  <c r="AB85" i="238"/>
  <c r="AB78" i="238"/>
  <c r="AB20" i="238"/>
  <c r="AB24" i="238"/>
  <c r="AB32" i="238"/>
  <c r="AB64" i="238"/>
  <c r="AB84" i="238"/>
  <c r="AB28" i="238"/>
  <c r="R76" i="238"/>
  <c r="R92" i="238"/>
  <c r="R52" i="238"/>
  <c r="R87" i="238"/>
  <c r="R43" i="238"/>
  <c r="R61" i="238"/>
  <c r="R88" i="238"/>
  <c r="R84" i="238"/>
  <c r="R18" i="238"/>
  <c r="R5" i="238"/>
  <c r="R85" i="238"/>
  <c r="R51" i="238"/>
  <c r="R89" i="238"/>
  <c r="R34" i="238"/>
  <c r="R30" i="238"/>
  <c r="R17" i="238"/>
  <c r="R83" i="238"/>
  <c r="R25" i="238"/>
  <c r="R50" i="238"/>
  <c r="R62" i="238"/>
  <c r="R16" i="238"/>
  <c r="R22" i="238"/>
  <c r="R33" i="238"/>
  <c r="R15" i="238"/>
  <c r="R58" i="238"/>
  <c r="R86" i="238"/>
  <c r="R24" i="238"/>
  <c r="R38" i="238"/>
  <c r="R73" i="238"/>
  <c r="R23" i="238"/>
  <c r="R66" i="238"/>
  <c r="R94" i="238"/>
  <c r="R32" i="238"/>
  <c r="R54" i="238"/>
  <c r="R57" i="238"/>
  <c r="R31" i="238"/>
  <c r="R74" i="238"/>
  <c r="R13" i="238"/>
  <c r="R40" i="238"/>
  <c r="R70" i="238"/>
  <c r="R44" i="238"/>
  <c r="R79" i="238"/>
  <c r="R35" i="238"/>
  <c r="R53" i="238"/>
  <c r="R80" i="238"/>
  <c r="R49" i="238"/>
  <c r="R14" i="238"/>
  <c r="R59" i="238"/>
  <c r="R71" i="238"/>
  <c r="R46" i="238"/>
  <c r="R91" i="238"/>
  <c r="R39" i="238"/>
  <c r="R21" i="238"/>
  <c r="R78" i="238"/>
  <c r="R47" i="238"/>
  <c r="R29" i="238"/>
  <c r="R9" i="238"/>
  <c r="R55" i="238"/>
  <c r="R37" i="238"/>
  <c r="R41" i="238"/>
  <c r="R63" i="238"/>
  <c r="R45" i="238"/>
  <c r="R81" i="238"/>
  <c r="R65" i="238"/>
  <c r="R69" i="238"/>
  <c r="R10" i="238"/>
  <c r="R77" i="238"/>
  <c r="R26" i="238"/>
  <c r="R93" i="238"/>
  <c r="R42" i="238"/>
  <c r="R8" i="238"/>
  <c r="R12" i="238"/>
  <c r="R82" i="238"/>
  <c r="R48" i="238"/>
  <c r="R20" i="238"/>
  <c r="R90" i="238"/>
  <c r="R56" i="238"/>
  <c r="R36" i="238"/>
  <c r="R11" i="238"/>
  <c r="R72" i="238"/>
  <c r="R60" i="238"/>
  <c r="R67" i="238"/>
  <c r="R68" i="238"/>
  <c r="R75" i="238"/>
  <c r="R27" i="238"/>
  <c r="R28" i="238"/>
  <c r="R3" i="238"/>
  <c r="R64" i="238"/>
  <c r="R19" i="238"/>
  <c r="M88" i="238"/>
  <c r="M55" i="238"/>
  <c r="M78" i="238"/>
  <c r="M62" i="238"/>
  <c r="M44" i="238"/>
  <c r="M15" i="238"/>
  <c r="M3" i="238"/>
  <c r="M64" i="238"/>
  <c r="M45" i="238"/>
  <c r="M51" i="238"/>
  <c r="M17" i="238"/>
  <c r="M42" i="238"/>
  <c r="M48" i="238"/>
  <c r="M41" i="238"/>
  <c r="M46" i="238"/>
  <c r="M33" i="238"/>
  <c r="M58" i="238"/>
  <c r="M38" i="238"/>
  <c r="M57" i="238"/>
  <c r="M31" i="238"/>
  <c r="M49" i="238"/>
  <c r="M74" i="238"/>
  <c r="M86" i="238"/>
  <c r="M73" i="238"/>
  <c r="M47" i="238"/>
  <c r="M65" i="238"/>
  <c r="M90" i="238"/>
  <c r="M8" i="238"/>
  <c r="M89" i="238"/>
  <c r="M63" i="238"/>
  <c r="M81" i="238"/>
  <c r="M16" i="238"/>
  <c r="M56" i="238"/>
  <c r="M12" i="238"/>
  <c r="M79" i="238"/>
  <c r="M20" i="238"/>
  <c r="M80" i="238"/>
  <c r="M11" i="238"/>
  <c r="M28" i="238"/>
  <c r="M5" i="238"/>
  <c r="M36" i="238"/>
  <c r="M22" i="238"/>
  <c r="M59" i="238"/>
  <c r="M60" i="238"/>
  <c r="M18" i="238"/>
  <c r="M52" i="238"/>
  <c r="M24" i="238"/>
  <c r="M75" i="238"/>
  <c r="M76" i="238"/>
  <c r="M34" i="238"/>
  <c r="M68" i="238"/>
  <c r="M27" i="238"/>
  <c r="M19" i="238"/>
  <c r="M92" i="238"/>
  <c r="M50" i="238"/>
  <c r="M84" i="238"/>
  <c r="M43" i="238"/>
  <c r="M35" i="238"/>
  <c r="M37" i="238"/>
  <c r="M66" i="238"/>
  <c r="M23" i="238"/>
  <c r="M13" i="238"/>
  <c r="M67" i="238"/>
  <c r="M53" i="238"/>
  <c r="M82" i="238"/>
  <c r="M39" i="238"/>
  <c r="M29" i="238"/>
  <c r="M83" i="238"/>
  <c r="M69" i="238"/>
  <c r="M40" i="238"/>
  <c r="M87" i="238"/>
  <c r="M77" i="238"/>
  <c r="M70" i="238"/>
  <c r="M72" i="238"/>
  <c r="M94" i="238"/>
  <c r="M26" i="238"/>
  <c r="M32" i="238"/>
  <c r="M25" i="238"/>
  <c r="M30" i="238"/>
  <c r="M71" i="238"/>
  <c r="M10" i="238"/>
  <c r="M61" i="238"/>
  <c r="M93" i="238"/>
  <c r="M54" i="238"/>
  <c r="M9" i="238"/>
  <c r="M85" i="238"/>
  <c r="M14" i="238"/>
  <c r="M21" i="238"/>
  <c r="M91" i="238"/>
  <c r="T61" i="238"/>
  <c r="T34" i="238"/>
  <c r="T3" i="238"/>
  <c r="T71" i="238"/>
  <c r="T48" i="238"/>
  <c r="T69" i="238"/>
  <c r="T42" i="238"/>
  <c r="T15" i="238"/>
  <c r="T79" i="238"/>
  <c r="T56" i="238"/>
  <c r="T25" i="238"/>
  <c r="T5" i="238"/>
  <c r="T78" i="238"/>
  <c r="T59" i="238"/>
  <c r="T44" i="238"/>
  <c r="T37" i="238"/>
  <c r="T18" i="238"/>
  <c r="T90" i="238"/>
  <c r="T75" i="238"/>
  <c r="T64" i="238"/>
  <c r="T45" i="238"/>
  <c r="T26" i="238"/>
  <c r="T11" i="238"/>
  <c r="T87" i="238"/>
  <c r="T72" i="238"/>
  <c r="T53" i="238"/>
  <c r="T38" i="238"/>
  <c r="T23" i="238"/>
  <c r="T8" i="238"/>
  <c r="T80" i="238"/>
  <c r="T57" i="238"/>
  <c r="T46" i="238"/>
  <c r="T27" i="238"/>
  <c r="T12" i="238"/>
  <c r="T84" i="238"/>
  <c r="T65" i="238"/>
  <c r="T50" i="238"/>
  <c r="T31" i="238"/>
  <c r="T16" i="238"/>
  <c r="T88" i="238"/>
  <c r="T73" i="238"/>
  <c r="T54" i="238"/>
  <c r="T35" i="238"/>
  <c r="T20" i="238"/>
  <c r="T92" i="238"/>
  <c r="T21" i="238"/>
  <c r="T93" i="238"/>
  <c r="T74" i="238"/>
  <c r="T55" i="238"/>
  <c r="T40" i="238"/>
  <c r="T41" i="238"/>
  <c r="T94" i="238"/>
  <c r="T68" i="238"/>
  <c r="T49" i="238"/>
  <c r="T19" i="238"/>
  <c r="T76" i="238"/>
  <c r="T77" i="238"/>
  <c r="T39" i="238"/>
  <c r="T81" i="238"/>
  <c r="T43" i="238"/>
  <c r="T85" i="238"/>
  <c r="T47" i="238"/>
  <c r="T89" i="238"/>
  <c r="T51" i="238"/>
  <c r="T10" i="238"/>
  <c r="T63" i="238"/>
  <c r="T14" i="238"/>
  <c r="T67" i="238"/>
  <c r="T22" i="238"/>
  <c r="T83" i="238"/>
  <c r="T30" i="238"/>
  <c r="T91" i="238"/>
  <c r="T58" i="238"/>
  <c r="T24" i="238"/>
  <c r="T9" i="238"/>
  <c r="T62" i="238"/>
  <c r="T28" i="238"/>
  <c r="T17" i="238"/>
  <c r="T70" i="238"/>
  <c r="T36" i="238"/>
  <c r="T29" i="238"/>
  <c r="T82" i="238"/>
  <c r="T52" i="238"/>
  <c r="T33" i="238"/>
  <c r="T86" i="238"/>
  <c r="T60" i="238"/>
  <c r="T13" i="238"/>
  <c r="T66" i="238"/>
  <c r="T32" i="238"/>
  <c r="AC53" i="238"/>
  <c r="AC78" i="238"/>
  <c r="AC39" i="238"/>
  <c r="AC86" i="238"/>
  <c r="AC25" i="238"/>
  <c r="AC88" i="238"/>
  <c r="AC17" i="238"/>
  <c r="AC71" i="238"/>
  <c r="AC29" i="238"/>
  <c r="AC57" i="238"/>
  <c r="AC8" i="238"/>
  <c r="AC33" i="238"/>
  <c r="AC87" i="238"/>
  <c r="AC45" i="238"/>
  <c r="AC73" i="238"/>
  <c r="AC31" i="238"/>
  <c r="AC56" i="238"/>
  <c r="AC65" i="238"/>
  <c r="AC83" i="238"/>
  <c r="AC77" i="238"/>
  <c r="AC12" i="238"/>
  <c r="AC47" i="238"/>
  <c r="AC11" i="238"/>
  <c r="AC81" i="238"/>
  <c r="AC38" i="238"/>
  <c r="AC16" i="238"/>
  <c r="AC28" i="238"/>
  <c r="AC63" i="238"/>
  <c r="AC27" i="238"/>
  <c r="AC94" i="238"/>
  <c r="AC37" i="238"/>
  <c r="AC32" i="238"/>
  <c r="AC44" i="238"/>
  <c r="AC79" i="238"/>
  <c r="AC43" i="238"/>
  <c r="AC67" i="238"/>
  <c r="AC72" i="238"/>
  <c r="AC48" i="238"/>
  <c r="AC60" i="238"/>
  <c r="AC66" i="238"/>
  <c r="AC30" i="238"/>
  <c r="AC68" i="238"/>
  <c r="AC74" i="238"/>
  <c r="AC51" i="238"/>
  <c r="AC21" i="238"/>
  <c r="AC62" i="238"/>
  <c r="AC23" i="238"/>
  <c r="AC70" i="238"/>
  <c r="AC9" i="238"/>
  <c r="AC24" i="238"/>
  <c r="AC26" i="238"/>
  <c r="AC40" i="238"/>
  <c r="AC59" i="238"/>
  <c r="AC42" i="238"/>
  <c r="AC91" i="238"/>
  <c r="AC90" i="238"/>
  <c r="AC14" i="238"/>
  <c r="AC13" i="238"/>
  <c r="AC46" i="238"/>
  <c r="AC61" i="238"/>
  <c r="AC49" i="238"/>
  <c r="AC80" i="238"/>
  <c r="AC22" i="238"/>
  <c r="AC93" i="238"/>
  <c r="AC15" i="238"/>
  <c r="AC20" i="238"/>
  <c r="AC19" i="238"/>
  <c r="AC5" i="238"/>
  <c r="AC36" i="238"/>
  <c r="AC54" i="238"/>
  <c r="AC85" i="238"/>
  <c r="AC10" i="238"/>
  <c r="AC69" i="238"/>
  <c r="AC55" i="238"/>
  <c r="AC35" i="238"/>
  <c r="AC58" i="238"/>
  <c r="AC64" i="238"/>
  <c r="AC41" i="238"/>
  <c r="AC89" i="238"/>
  <c r="AC76" i="238"/>
  <c r="AC92" i="238"/>
  <c r="AC18" i="238"/>
  <c r="AC34" i="238"/>
  <c r="AC50" i="238"/>
  <c r="AC82" i="238"/>
  <c r="AC3" i="238"/>
  <c r="AC52" i="238"/>
  <c r="AC84" i="238"/>
  <c r="AC75" i="238"/>
  <c r="U47" i="238"/>
  <c r="U70" i="238"/>
  <c r="U56" i="238"/>
  <c r="U71" i="238"/>
  <c r="U89" i="238"/>
  <c r="U16" i="238"/>
  <c r="U79" i="238"/>
  <c r="U61" i="238"/>
  <c r="U12" i="238"/>
  <c r="U82" i="238"/>
  <c r="U36" i="238"/>
  <c r="U80" i="238"/>
  <c r="U48" i="238"/>
  <c r="U22" i="238"/>
  <c r="U45" i="238"/>
  <c r="U29" i="238"/>
  <c r="U84" i="238"/>
  <c r="U15" i="238"/>
  <c r="U86" i="238"/>
  <c r="U44" i="238"/>
  <c r="U40" i="238"/>
  <c r="U42" i="238"/>
  <c r="U63" i="238"/>
  <c r="U24" i="238"/>
  <c r="U76" i="238"/>
  <c r="U46" i="238"/>
  <c r="U74" i="238"/>
  <c r="U32" i="238"/>
  <c r="U35" i="238"/>
  <c r="U50" i="238"/>
  <c r="U3" i="238"/>
  <c r="U21" i="238"/>
  <c r="U62" i="238"/>
  <c r="U67" i="238"/>
  <c r="U66" i="238"/>
  <c r="U9" i="238"/>
  <c r="U37" i="238"/>
  <c r="U78" i="238"/>
  <c r="U17" i="238"/>
  <c r="U13" i="238"/>
  <c r="U25" i="238"/>
  <c r="U53" i="238"/>
  <c r="U11" i="238"/>
  <c r="U33" i="238"/>
  <c r="U72" i="238"/>
  <c r="U41" i="238"/>
  <c r="U69" i="238"/>
  <c r="U85" i="238"/>
  <c r="U91" i="238"/>
  <c r="U34" i="238"/>
  <c r="U87" i="238"/>
  <c r="U68" i="238"/>
  <c r="U93" i="238"/>
  <c r="U14" i="238"/>
  <c r="U19" i="238"/>
  <c r="U94" i="238"/>
  <c r="U49" i="238"/>
  <c r="U57" i="238"/>
  <c r="U65" i="238"/>
  <c r="U73" i="238"/>
  <c r="U81" i="238"/>
  <c r="U20" i="238"/>
  <c r="U18" i="238"/>
  <c r="U52" i="238"/>
  <c r="U83" i="238"/>
  <c r="U88" i="238"/>
  <c r="U10" i="238"/>
  <c r="U30" i="238"/>
  <c r="U28" i="238"/>
  <c r="U26" i="238"/>
  <c r="U31" i="238"/>
  <c r="U60" i="238"/>
  <c r="U58" i="238"/>
  <c r="U5" i="238"/>
  <c r="U92" i="238"/>
  <c r="U90" i="238"/>
  <c r="U27" i="238"/>
  <c r="U51" i="238"/>
  <c r="U64" i="238"/>
  <c r="U43" i="238"/>
  <c r="U23" i="238"/>
  <c r="U75" i="238"/>
  <c r="U55" i="238"/>
  <c r="U38" i="238"/>
  <c r="U77" i="238"/>
  <c r="U54" i="238"/>
  <c r="U8" i="238"/>
  <c r="U59" i="238"/>
  <c r="U39" i="238"/>
  <c r="N59" i="238"/>
  <c r="N82" i="238"/>
  <c r="N53" i="238"/>
  <c r="N33" i="238"/>
  <c r="N62" i="238"/>
  <c r="N13" i="238"/>
  <c r="N83" i="238"/>
  <c r="N20" i="238"/>
  <c r="N23" i="238"/>
  <c r="N69" i="238"/>
  <c r="N86" i="238"/>
  <c r="N18" i="238"/>
  <c r="N25" i="238"/>
  <c r="N52" i="238"/>
  <c r="N46" i="238"/>
  <c r="N77" i="238"/>
  <c r="N26" i="238"/>
  <c r="N49" i="238"/>
  <c r="N76" i="238"/>
  <c r="N54" i="238"/>
  <c r="N93" i="238"/>
  <c r="N34" i="238"/>
  <c r="N65" i="238"/>
  <c r="N92" i="238"/>
  <c r="N70" i="238"/>
  <c r="N42" i="238"/>
  <c r="N73" i="238"/>
  <c r="N17" i="238"/>
  <c r="N78" i="238"/>
  <c r="N11" i="238"/>
  <c r="N50" i="238"/>
  <c r="N81" i="238"/>
  <c r="N41" i="238"/>
  <c r="N94" i="238"/>
  <c r="N19" i="238"/>
  <c r="N58" i="238"/>
  <c r="N37" i="238"/>
  <c r="N29" i="238"/>
  <c r="N8" i="238"/>
  <c r="N27" i="238"/>
  <c r="N66" i="238"/>
  <c r="N85" i="238"/>
  <c r="N12" i="238"/>
  <c r="N16" i="238"/>
  <c r="N35" i="238"/>
  <c r="N74" i="238"/>
  <c r="N15" i="238"/>
  <c r="N68" i="238"/>
  <c r="N24" i="238"/>
  <c r="N43" i="238"/>
  <c r="N90" i="238"/>
  <c r="N31" i="238"/>
  <c r="N57" i="238"/>
  <c r="N32" i="238"/>
  <c r="N51" i="238"/>
  <c r="N3" i="238"/>
  <c r="N39" i="238"/>
  <c r="N89" i="238"/>
  <c r="N40" i="238"/>
  <c r="N67" i="238"/>
  <c r="N28" i="238"/>
  <c r="N47" i="238"/>
  <c r="N45" i="238"/>
  <c r="N48" i="238"/>
  <c r="N75" i="238"/>
  <c r="N36" i="238"/>
  <c r="N55" i="238"/>
  <c r="N61" i="238"/>
  <c r="N56" i="238"/>
  <c r="N5" i="238"/>
  <c r="N60" i="238"/>
  <c r="N71" i="238"/>
  <c r="N22" i="238"/>
  <c r="N72" i="238"/>
  <c r="N10" i="238"/>
  <c r="N9" i="238"/>
  <c r="N87" i="238"/>
  <c r="N38" i="238"/>
  <c r="N88" i="238"/>
  <c r="N64" i="238"/>
  <c r="N91" i="238"/>
  <c r="N21" i="238"/>
  <c r="N44" i="238"/>
  <c r="N84" i="238"/>
  <c r="N63" i="238"/>
  <c r="N79" i="238"/>
  <c r="N14" i="238"/>
  <c r="N30" i="238"/>
  <c r="N80" i="238"/>
  <c r="V28" i="238"/>
  <c r="V77" i="238"/>
  <c r="V31" i="238"/>
  <c r="V72" i="238"/>
  <c r="V26" i="238"/>
  <c r="V19" i="238"/>
  <c r="V44" i="238"/>
  <c r="V93" i="238"/>
  <c r="V47" i="238"/>
  <c r="V88" i="238"/>
  <c r="V42" i="238"/>
  <c r="V52" i="238"/>
  <c r="V22" i="238"/>
  <c r="V87" i="238"/>
  <c r="V57" i="238"/>
  <c r="V35" i="238"/>
  <c r="V76" i="238"/>
  <c r="V46" i="238"/>
  <c r="V24" i="238"/>
  <c r="V81" i="238"/>
  <c r="V51" i="238"/>
  <c r="V13" i="238"/>
  <c r="V62" i="238"/>
  <c r="V40" i="238"/>
  <c r="V10" i="238"/>
  <c r="V67" i="238"/>
  <c r="V29" i="238"/>
  <c r="V78" i="238"/>
  <c r="V56" i="238"/>
  <c r="V34" i="238"/>
  <c r="V75" i="238"/>
  <c r="V37" i="238"/>
  <c r="V86" i="238"/>
  <c r="V64" i="238"/>
  <c r="V50" i="238"/>
  <c r="V83" i="238"/>
  <c r="V45" i="238"/>
  <c r="V15" i="238"/>
  <c r="V80" i="238"/>
  <c r="V58" i="238"/>
  <c r="V91" i="238"/>
  <c r="V53" i="238"/>
  <c r="V23" i="238"/>
  <c r="V9" i="238"/>
  <c r="V66" i="238"/>
  <c r="V36" i="238"/>
  <c r="V14" i="238"/>
  <c r="V79" i="238"/>
  <c r="V49" i="238"/>
  <c r="V43" i="238"/>
  <c r="V54" i="238"/>
  <c r="V89" i="238"/>
  <c r="V59" i="238"/>
  <c r="V70" i="238"/>
  <c r="V18" i="238"/>
  <c r="V5" i="238"/>
  <c r="V39" i="238"/>
  <c r="V74" i="238"/>
  <c r="V92" i="238"/>
  <c r="V55" i="238"/>
  <c r="V82" i="238"/>
  <c r="V12" i="238"/>
  <c r="V63" i="238"/>
  <c r="V90" i="238"/>
  <c r="V20" i="238"/>
  <c r="V71" i="238"/>
  <c r="V3" i="238"/>
  <c r="V60" i="238"/>
  <c r="V8" i="238"/>
  <c r="V68" i="238"/>
  <c r="V16" i="238"/>
  <c r="V84" i="238"/>
  <c r="V32" i="238"/>
  <c r="V21" i="238"/>
  <c r="V48" i="238"/>
  <c r="V61" i="238"/>
  <c r="V17" i="238"/>
  <c r="V69" i="238"/>
  <c r="V25" i="238"/>
  <c r="V94" i="238"/>
  <c r="V41" i="238"/>
  <c r="V11" i="238"/>
  <c r="V30" i="238"/>
  <c r="V65" i="238"/>
  <c r="V27" i="238"/>
  <c r="V38" i="238"/>
  <c r="V73" i="238"/>
  <c r="V33" i="238"/>
  <c r="V85" i="238"/>
  <c r="AD51" i="238"/>
  <c r="AD80" i="238"/>
  <c r="AD42" i="238"/>
  <c r="AD79" i="238"/>
  <c r="AD62" i="238"/>
  <c r="AD38" i="238"/>
  <c r="AD67" i="238"/>
  <c r="AD13" i="238"/>
  <c r="AD58" i="238"/>
  <c r="AD22" i="238"/>
  <c r="AD93" i="238"/>
  <c r="AD70" i="238"/>
  <c r="AD75" i="238"/>
  <c r="AD21" i="238"/>
  <c r="AD66" i="238"/>
  <c r="AD30" i="238"/>
  <c r="AD78" i="238"/>
  <c r="AD86" i="238"/>
  <c r="AD91" i="238"/>
  <c r="AD37" i="238"/>
  <c r="AD82" i="238"/>
  <c r="AD20" i="238"/>
  <c r="AD17" i="238"/>
  <c r="AD5" i="238"/>
  <c r="AD45" i="238"/>
  <c r="AD90" i="238"/>
  <c r="AD28" i="238"/>
  <c r="AD25" i="238"/>
  <c r="AD8" i="238"/>
  <c r="AD53" i="238"/>
  <c r="AD3" i="238"/>
  <c r="AD36" i="238"/>
  <c r="AD33" i="238"/>
  <c r="AD16" i="238"/>
  <c r="AD61" i="238"/>
  <c r="AD15" i="238"/>
  <c r="AD44" i="238"/>
  <c r="AD41" i="238"/>
  <c r="AD27" i="238"/>
  <c r="AD56" i="238"/>
  <c r="AD18" i="238"/>
  <c r="AD55" i="238"/>
  <c r="AD84" i="238"/>
  <c r="AD81" i="238"/>
  <c r="AD43" i="238"/>
  <c r="AD72" i="238"/>
  <c r="AD34" i="238"/>
  <c r="AD71" i="238"/>
  <c r="AD46" i="238"/>
  <c r="AD14" i="238"/>
  <c r="AD85" i="238"/>
  <c r="AD92" i="238"/>
  <c r="AD10" i="238"/>
  <c r="AD94" i="238"/>
  <c r="AD19" i="238"/>
  <c r="AD50" i="238"/>
  <c r="AD49" i="238"/>
  <c r="AD35" i="238"/>
  <c r="AD74" i="238"/>
  <c r="AD57" i="238"/>
  <c r="AD59" i="238"/>
  <c r="AD23" i="238"/>
  <c r="AD65" i="238"/>
  <c r="AD24" i="238"/>
  <c r="AD39" i="238"/>
  <c r="AD89" i="238"/>
  <c r="AD32" i="238"/>
  <c r="AD47" i="238"/>
  <c r="AD54" i="238"/>
  <c r="AD40" i="238"/>
  <c r="AD63" i="238"/>
  <c r="AD48" i="238"/>
  <c r="AD87" i="238"/>
  <c r="AD77" i="238"/>
  <c r="AD76" i="238"/>
  <c r="AD26" i="238"/>
  <c r="AD31" i="238"/>
  <c r="AD12" i="238"/>
  <c r="AD52" i="238"/>
  <c r="AD60" i="238"/>
  <c r="AD68" i="238"/>
  <c r="AD9" i="238"/>
  <c r="AD73" i="238"/>
  <c r="AD11" i="238"/>
  <c r="AD83" i="238"/>
  <c r="AD88" i="238"/>
  <c r="AD29" i="238"/>
  <c r="AD69" i="238"/>
  <c r="AD64" i="238"/>
  <c r="W31" i="238"/>
  <c r="W64" i="238"/>
  <c r="W37" i="238"/>
  <c r="W41" i="238"/>
  <c r="W57" i="238"/>
  <c r="W93" i="238"/>
  <c r="W63" i="238"/>
  <c r="W92" i="238"/>
  <c r="W85" i="238"/>
  <c r="W23" i="238"/>
  <c r="W10" i="238"/>
  <c r="W79" i="238"/>
  <c r="W18" i="238"/>
  <c r="W33" i="238"/>
  <c r="W28" i="238"/>
  <c r="W38" i="238"/>
  <c r="W72" i="238"/>
  <c r="W77" i="238"/>
  <c r="W81" i="238"/>
  <c r="W51" i="238"/>
  <c r="W86" i="238"/>
  <c r="W89" i="238"/>
  <c r="W14" i="238"/>
  <c r="W60" i="238"/>
  <c r="W83" i="238"/>
  <c r="W73" i="238"/>
  <c r="W76" i="238"/>
  <c r="W46" i="238"/>
  <c r="W16" i="238"/>
  <c r="W69" i="238"/>
  <c r="W55" i="238"/>
  <c r="W27" i="238"/>
  <c r="W62" i="238"/>
  <c r="W32" i="238"/>
  <c r="W90" i="238"/>
  <c r="W71" i="238"/>
  <c r="W43" i="238"/>
  <c r="W78" i="238"/>
  <c r="W48" i="238"/>
  <c r="W20" i="238"/>
  <c r="W87" i="238"/>
  <c r="W59" i="238"/>
  <c r="W94" i="238"/>
  <c r="W42" i="238"/>
  <c r="W36" i="238"/>
  <c r="W26" i="238"/>
  <c r="W75" i="238"/>
  <c r="W17" i="238"/>
  <c r="W12" i="238"/>
  <c r="W22" i="238"/>
  <c r="W56" i="238"/>
  <c r="W61" i="238"/>
  <c r="W58" i="238"/>
  <c r="W9" i="238"/>
  <c r="W5" i="238"/>
  <c r="W39" i="238"/>
  <c r="W34" i="238"/>
  <c r="W74" i="238"/>
  <c r="W50" i="238"/>
  <c r="W8" i="238"/>
  <c r="W66" i="238"/>
  <c r="W24" i="238"/>
  <c r="W82" i="238"/>
  <c r="W40" i="238"/>
  <c r="W19" i="238"/>
  <c r="W88" i="238"/>
  <c r="W35" i="238"/>
  <c r="W25" i="238"/>
  <c r="W67" i="238"/>
  <c r="W44" i="238"/>
  <c r="W30" i="238"/>
  <c r="W21" i="238"/>
  <c r="W11" i="238"/>
  <c r="W3" i="238"/>
  <c r="W52" i="238"/>
  <c r="W91" i="238"/>
  <c r="W15" i="238"/>
  <c r="W68" i="238"/>
  <c r="W13" i="238"/>
  <c r="W80" i="238"/>
  <c r="W53" i="238"/>
  <c r="W45" i="238"/>
  <c r="W49" i="238"/>
  <c r="W54" i="238"/>
  <c r="W65" i="238"/>
  <c r="W70" i="238"/>
  <c r="W47" i="238"/>
  <c r="W84" i="238"/>
  <c r="W29" i="238"/>
  <c r="O65" i="238"/>
  <c r="O37" i="238"/>
  <c r="O41" i="238"/>
  <c r="O82" i="238"/>
  <c r="O20" i="238"/>
  <c r="O47" i="238"/>
  <c r="O26" i="238"/>
  <c r="O85" i="238"/>
  <c r="O16" i="238"/>
  <c r="O29" i="238"/>
  <c r="O13" i="238"/>
  <c r="O8" i="238"/>
  <c r="O90" i="238"/>
  <c r="O62" i="238"/>
  <c r="O80" i="238"/>
  <c r="O40" i="238"/>
  <c r="O92" i="238"/>
  <c r="O5" i="238"/>
  <c r="O44" i="238"/>
  <c r="O87" i="238"/>
  <c r="O61" i="238"/>
  <c r="O93" i="238"/>
  <c r="O24" i="238"/>
  <c r="O60" i="238"/>
  <c r="O73" i="238"/>
  <c r="O38" i="238"/>
  <c r="O22" i="238"/>
  <c r="O56" i="238"/>
  <c r="O76" i="238"/>
  <c r="O89" i="238"/>
  <c r="O54" i="238"/>
  <c r="O86" i="238"/>
  <c r="O72" i="238"/>
  <c r="O21" i="238"/>
  <c r="O32" i="238"/>
  <c r="O70" i="238"/>
  <c r="O67" i="238"/>
  <c r="O88" i="238"/>
  <c r="O53" i="238"/>
  <c r="O48" i="238"/>
  <c r="O35" i="238"/>
  <c r="O17" i="238"/>
  <c r="O69" i="238"/>
  <c r="O64" i="238"/>
  <c r="O51" i="238"/>
  <c r="O33" i="238"/>
  <c r="O14" i="238"/>
  <c r="O25" i="238"/>
  <c r="O11" i="238"/>
  <c r="O49" i="238"/>
  <c r="O30" i="238"/>
  <c r="O57" i="238"/>
  <c r="O27" i="238"/>
  <c r="O81" i="238"/>
  <c r="O46" i="238"/>
  <c r="O83" i="238"/>
  <c r="O43" i="238"/>
  <c r="O10" i="238"/>
  <c r="O78" i="238"/>
  <c r="O9" i="238"/>
  <c r="O59" i="238"/>
  <c r="O42" i="238"/>
  <c r="O94" i="238"/>
  <c r="O18" i="238"/>
  <c r="O75" i="238"/>
  <c r="O58" i="238"/>
  <c r="O3" i="238"/>
  <c r="O34" i="238"/>
  <c r="O91" i="238"/>
  <c r="O31" i="238"/>
  <c r="O19" i="238"/>
  <c r="O39" i="238"/>
  <c r="O66" i="238"/>
  <c r="O68" i="238"/>
  <c r="O79" i="238"/>
  <c r="O28" i="238"/>
  <c r="O71" i="238"/>
  <c r="O84" i="238"/>
  <c r="O77" i="238"/>
  <c r="O50" i="238"/>
  <c r="O52" i="238"/>
  <c r="O36" i="238"/>
  <c r="O45" i="238"/>
  <c r="O74" i="238"/>
  <c r="O15" i="238"/>
  <c r="O63" i="238"/>
  <c r="O12" i="238"/>
  <c r="O23" i="238"/>
  <c r="O55" i="238"/>
  <c r="S83" i="238"/>
  <c r="S57" i="238"/>
  <c r="S61" i="238"/>
  <c r="S52" i="238"/>
  <c r="S27" i="238"/>
  <c r="S18" i="238"/>
  <c r="S31" i="238"/>
  <c r="S89" i="238"/>
  <c r="S93" i="238"/>
  <c r="S84" i="238"/>
  <c r="S59" i="238"/>
  <c r="S50" i="238"/>
  <c r="S47" i="238"/>
  <c r="S54" i="238"/>
  <c r="S74" i="238"/>
  <c r="S30" i="238"/>
  <c r="S21" i="238"/>
  <c r="S5" i="238"/>
  <c r="S16" i="238"/>
  <c r="S39" i="238"/>
  <c r="S78" i="238"/>
  <c r="S69" i="238"/>
  <c r="S28" i="238"/>
  <c r="S48" i="238"/>
  <c r="S71" i="238"/>
  <c r="S3" i="238"/>
  <c r="S34" i="238"/>
  <c r="S60" i="238"/>
  <c r="S80" i="238"/>
  <c r="S20" i="238"/>
  <c r="S43" i="238"/>
  <c r="S82" i="238"/>
  <c r="S76" i="238"/>
  <c r="S13" i="238"/>
  <c r="S36" i="238"/>
  <c r="S75" i="238"/>
  <c r="S92" i="238"/>
  <c r="S29" i="238"/>
  <c r="S68" i="238"/>
  <c r="S91" i="238"/>
  <c r="S9" i="238"/>
  <c r="S45" i="238"/>
  <c r="S17" i="238"/>
  <c r="S8" i="238"/>
  <c r="S15" i="238"/>
  <c r="S38" i="238"/>
  <c r="S58" i="238"/>
  <c r="S14" i="238"/>
  <c r="S88" i="238"/>
  <c r="S32" i="238"/>
  <c r="S94" i="238"/>
  <c r="S64" i="238"/>
  <c r="S11" i="238"/>
  <c r="S19" i="238"/>
  <c r="S77" i="238"/>
  <c r="S24" i="238"/>
  <c r="S35" i="238"/>
  <c r="S10" i="238"/>
  <c r="S40" i="238"/>
  <c r="S51" i="238"/>
  <c r="S26" i="238"/>
  <c r="S56" i="238"/>
  <c r="S67" i="238"/>
  <c r="S42" i="238"/>
  <c r="S72" i="238"/>
  <c r="S63" i="238"/>
  <c r="S90" i="238"/>
  <c r="S37" i="238"/>
  <c r="S79" i="238"/>
  <c r="S23" i="238"/>
  <c r="S53" i="238"/>
  <c r="S12" i="238"/>
  <c r="S55" i="238"/>
  <c r="S85" i="238"/>
  <c r="S44" i="238"/>
  <c r="S87" i="238"/>
  <c r="S66" i="238"/>
  <c r="S25" i="238"/>
  <c r="S33" i="238"/>
  <c r="S41" i="238"/>
  <c r="S49" i="238"/>
  <c r="S22" i="238"/>
  <c r="S81" i="238"/>
  <c r="S70" i="238"/>
  <c r="S46" i="238"/>
  <c r="S86" i="238"/>
  <c r="S62" i="238"/>
  <c r="S73" i="238"/>
  <c r="S65" i="238"/>
  <c r="AE56" i="238"/>
  <c r="AE10" i="238"/>
  <c r="AE92" i="238"/>
  <c r="AE48" i="238"/>
  <c r="AE36" i="238"/>
  <c r="AE22" i="238"/>
  <c r="AE88" i="238"/>
  <c r="AE42" i="238"/>
  <c r="AE21" i="238"/>
  <c r="AE80" i="238"/>
  <c r="AE68" i="238"/>
  <c r="AE38" i="238"/>
  <c r="AE17" i="238"/>
  <c r="AE58" i="238"/>
  <c r="AE37" i="238"/>
  <c r="AE9" i="238"/>
  <c r="AE84" i="238"/>
  <c r="AE70" i="238"/>
  <c r="AE49" i="238"/>
  <c r="AE19" i="238"/>
  <c r="AE69" i="238"/>
  <c r="AE41" i="238"/>
  <c r="AE29" i="238"/>
  <c r="AE93" i="238"/>
  <c r="AE65" i="238"/>
  <c r="AE35" i="238"/>
  <c r="AE85" i="238"/>
  <c r="AE57" i="238"/>
  <c r="AE45" i="238"/>
  <c r="AE15" i="238"/>
  <c r="AE81" i="238"/>
  <c r="AE51" i="238"/>
  <c r="AE3" i="238"/>
  <c r="AE73" i="238"/>
  <c r="AE61" i="238"/>
  <c r="AE31" i="238"/>
  <c r="AE46" i="238"/>
  <c r="AE67" i="238"/>
  <c r="AE23" i="238"/>
  <c r="AE89" i="238"/>
  <c r="AE77" i="238"/>
  <c r="AE8" i="238"/>
  <c r="AE62" i="238"/>
  <c r="AE44" i="238"/>
  <c r="AE94" i="238"/>
  <c r="AE75" i="238"/>
  <c r="AE40" i="238"/>
  <c r="AE34" i="238"/>
  <c r="AE76" i="238"/>
  <c r="AE32" i="238"/>
  <c r="AE20" i="238"/>
  <c r="AE5" i="238"/>
  <c r="AE50" i="238"/>
  <c r="AE86" i="238"/>
  <c r="AE24" i="238"/>
  <c r="AE53" i="238"/>
  <c r="AE66" i="238"/>
  <c r="AE33" i="238"/>
  <c r="AE55" i="238"/>
  <c r="AE78" i="238"/>
  <c r="AE71" i="238"/>
  <c r="AE82" i="238"/>
  <c r="AE87" i="238"/>
  <c r="AE30" i="238"/>
  <c r="AE64" i="238"/>
  <c r="AE18" i="238"/>
  <c r="AE25" i="238"/>
  <c r="AE26" i="238"/>
  <c r="AE11" i="238"/>
  <c r="AE74" i="238"/>
  <c r="AE27" i="238"/>
  <c r="AE79" i="238"/>
  <c r="AE60" i="238"/>
  <c r="AE13" i="238"/>
  <c r="AE83" i="238"/>
  <c r="AE14" i="238"/>
  <c r="AE12" i="238"/>
  <c r="AE28" i="238"/>
  <c r="AE39" i="238"/>
  <c r="AE16" i="238"/>
  <c r="AE43" i="238"/>
  <c r="AE59" i="238"/>
  <c r="AE91" i="238"/>
  <c r="AE52" i="238"/>
  <c r="AE54" i="238"/>
  <c r="AE63" i="238"/>
  <c r="AE72" i="238"/>
  <c r="AE90" i="238"/>
  <c r="AE47" i="238"/>
  <c r="P24" i="238"/>
  <c r="P58" i="238"/>
  <c r="P93" i="238"/>
  <c r="P33" i="238"/>
  <c r="P65" i="238"/>
  <c r="P5" i="238"/>
  <c r="P30" i="238"/>
  <c r="P64" i="238"/>
  <c r="P91" i="238"/>
  <c r="P39" i="238"/>
  <c r="P75" i="238"/>
  <c r="P34" i="238"/>
  <c r="P68" i="238"/>
  <c r="P11" i="238"/>
  <c r="P43" i="238"/>
  <c r="P79" i="238"/>
  <c r="P38" i="238"/>
  <c r="P72" i="238"/>
  <c r="P15" i="238"/>
  <c r="P47" i="238"/>
  <c r="P89" i="238"/>
  <c r="P10" i="238"/>
  <c r="P42" i="238"/>
  <c r="P76" i="238"/>
  <c r="P19" i="238"/>
  <c r="P51" i="238"/>
  <c r="P78" i="238"/>
  <c r="P14" i="238"/>
  <c r="P60" i="238"/>
  <c r="P21" i="238"/>
  <c r="P63" i="238"/>
  <c r="P16" i="238"/>
  <c r="P62" i="238"/>
  <c r="P23" i="238"/>
  <c r="P67" i="238"/>
  <c r="P18" i="238"/>
  <c r="P66" i="238"/>
  <c r="P25" i="238"/>
  <c r="P69" i="238"/>
  <c r="P20" i="238"/>
  <c r="P70" i="238"/>
  <c r="P27" i="238"/>
  <c r="P77" i="238"/>
  <c r="P22" i="238"/>
  <c r="P74" i="238"/>
  <c r="P29" i="238"/>
  <c r="P81" i="238"/>
  <c r="P26" i="238"/>
  <c r="P82" i="238"/>
  <c r="P31" i="238"/>
  <c r="P3" i="238"/>
  <c r="P28" i="238"/>
  <c r="P90" i="238"/>
  <c r="P35" i="238"/>
  <c r="P80" i="238"/>
  <c r="P32" i="238"/>
  <c r="P94" i="238"/>
  <c r="P37" i="238"/>
  <c r="P84" i="238"/>
  <c r="P36" i="238"/>
  <c r="P73" i="238"/>
  <c r="P41" i="238"/>
  <c r="P88" i="238"/>
  <c r="P40" i="238"/>
  <c r="P85" i="238"/>
  <c r="P45" i="238"/>
  <c r="P86" i="238"/>
  <c r="P44" i="238"/>
  <c r="P87" i="238"/>
  <c r="P49" i="238"/>
  <c r="P48" i="238"/>
  <c r="P46" i="238"/>
  <c r="P71" i="238"/>
  <c r="P53" i="238"/>
  <c r="P92" i="238"/>
  <c r="P52" i="238"/>
  <c r="P9" i="238"/>
  <c r="P57" i="238"/>
  <c r="P12" i="238"/>
  <c r="P56" i="238"/>
  <c r="P17" i="238"/>
  <c r="P61" i="238"/>
  <c r="P8" i="238"/>
  <c r="P50" i="238"/>
  <c r="P54" i="238"/>
  <c r="P83" i="238"/>
  <c r="P13" i="238"/>
  <c r="P55" i="238"/>
  <c r="P59" i="238"/>
  <c r="X3" i="238"/>
  <c r="X93" i="238"/>
  <c r="X21" i="238"/>
  <c r="X37" i="238"/>
  <c r="X53" i="238"/>
  <c r="X69" i="238"/>
  <c r="X85" i="238"/>
  <c r="X23" i="238"/>
  <c r="X39" i="238"/>
  <c r="X55" i="238"/>
  <c r="X71" i="238"/>
  <c r="X87" i="238"/>
  <c r="X8" i="238"/>
  <c r="X24" i="238"/>
  <c r="X40" i="238"/>
  <c r="X56" i="238"/>
  <c r="X72" i="238"/>
  <c r="X88" i="238"/>
  <c r="X10" i="238"/>
  <c r="X94" i="238"/>
  <c r="X11" i="238"/>
  <c r="X27" i="238"/>
  <c r="X5" i="238"/>
  <c r="X28" i="238"/>
  <c r="X47" i="238"/>
  <c r="X66" i="238"/>
  <c r="X86" i="238"/>
  <c r="X9" i="238"/>
  <c r="X31" i="238"/>
  <c r="X50" i="238"/>
  <c r="X70" i="238"/>
  <c r="X91" i="238"/>
  <c r="X13" i="238"/>
  <c r="X33" i="238"/>
  <c r="X52" i="238"/>
  <c r="X74" i="238"/>
  <c r="X15" i="238"/>
  <c r="X35" i="238"/>
  <c r="X57" i="238"/>
  <c r="X76" i="238"/>
  <c r="X16" i="238"/>
  <c r="X36" i="238"/>
  <c r="X58" i="238"/>
  <c r="X77" i="238"/>
  <c r="X17" i="238"/>
  <c r="X38" i="238"/>
  <c r="X59" i="238"/>
  <c r="X78" i="238"/>
  <c r="X18" i="238"/>
  <c r="X41" i="238"/>
  <c r="X60" i="238"/>
  <c r="X79" i="238"/>
  <c r="X26" i="238"/>
  <c r="X46" i="238"/>
  <c r="X65" i="238"/>
  <c r="X84" i="238"/>
  <c r="X32" i="238"/>
  <c r="X73" i="238"/>
  <c r="X34" i="238"/>
  <c r="X75" i="238"/>
  <c r="X42" i="238"/>
  <c r="X80" i="238"/>
  <c r="X43" i="238"/>
  <c r="X81" i="238"/>
  <c r="X44" i="238"/>
  <c r="X82" i="238"/>
  <c r="X45" i="238"/>
  <c r="X83" i="238"/>
  <c r="X48" i="238"/>
  <c r="X89" i="238"/>
  <c r="X49" i="238"/>
  <c r="X90" i="238"/>
  <c r="X12" i="238"/>
  <c r="X51" i="238"/>
  <c r="X92" i="238"/>
  <c r="X14" i="238"/>
  <c r="X54" i="238"/>
  <c r="X19" i="238"/>
  <c r="X61" i="238"/>
  <c r="X20" i="238"/>
  <c r="X62" i="238"/>
  <c r="X25" i="238"/>
  <c r="X64" i="238"/>
  <c r="X29" i="238"/>
  <c r="X67" i="238"/>
  <c r="X30" i="238"/>
  <c r="X68" i="238"/>
  <c r="X22" i="238"/>
  <c r="X63" i="238"/>
  <c r="AF22" i="238"/>
  <c r="AF54" i="238"/>
  <c r="AF86" i="238"/>
  <c r="AF33" i="238"/>
  <c r="AF87" i="238"/>
  <c r="AF3" i="238"/>
  <c r="AF26" i="238"/>
  <c r="AF58" i="238"/>
  <c r="AF90" i="238"/>
  <c r="AF41" i="238"/>
  <c r="AF27" i="238"/>
  <c r="AF28" i="238"/>
  <c r="AF60" i="238"/>
  <c r="AF92" i="238"/>
  <c r="AF43" i="238"/>
  <c r="AF31" i="238"/>
  <c r="AF32" i="238"/>
  <c r="AF64" i="238"/>
  <c r="AF94" i="238"/>
  <c r="AF49" i="238"/>
  <c r="AF39" i="238"/>
  <c r="AF34" i="238"/>
  <c r="AF66" i="238"/>
  <c r="AF9" i="238"/>
  <c r="AF51" i="238"/>
  <c r="AF45" i="238"/>
  <c r="AF36" i="238"/>
  <c r="AF68" i="238"/>
  <c r="AF11" i="238"/>
  <c r="AF57" i="238"/>
  <c r="AF53" i="238"/>
  <c r="AF38" i="238"/>
  <c r="AF70" i="238"/>
  <c r="AF13" i="238"/>
  <c r="AF59" i="238"/>
  <c r="AF55" i="238"/>
  <c r="AF16" i="238"/>
  <c r="AF48" i="238"/>
  <c r="AF80" i="238"/>
  <c r="AF23" i="238"/>
  <c r="AF79" i="238"/>
  <c r="AF77" i="238"/>
  <c r="AF20" i="238"/>
  <c r="AF52" i="238"/>
  <c r="AF84" i="238"/>
  <c r="AF29" i="238"/>
  <c r="AF83" i="238"/>
  <c r="AF91" i="238"/>
  <c r="AF62" i="238"/>
  <c r="AF67" i="238"/>
  <c r="AF72" i="238"/>
  <c r="AF69" i="238"/>
  <c r="AF8" i="238"/>
  <c r="AF76" i="238"/>
  <c r="AF81" i="238"/>
  <c r="AF10" i="238"/>
  <c r="AF78" i="238"/>
  <c r="AF89" i="238"/>
  <c r="AF12" i="238"/>
  <c r="AF82" i="238"/>
  <c r="AF35" i="238"/>
  <c r="AF18" i="238"/>
  <c r="AF5" i="238"/>
  <c r="AF65" i="238"/>
  <c r="AF24" i="238"/>
  <c r="AF15" i="238"/>
  <c r="AF71" i="238"/>
  <c r="AF30" i="238"/>
  <c r="AF17" i="238"/>
  <c r="AF75" i="238"/>
  <c r="AF40" i="238"/>
  <c r="AF19" i="238"/>
  <c r="AF85" i="238"/>
  <c r="AF56" i="238"/>
  <c r="AF63" i="238"/>
  <c r="AF46" i="238"/>
  <c r="AF50" i="238"/>
  <c r="AF74" i="238"/>
  <c r="AF88" i="238"/>
  <c r="AF21" i="238"/>
  <c r="AF25" i="238"/>
  <c r="AF37" i="238"/>
  <c r="AF47" i="238"/>
  <c r="AF73" i="238"/>
  <c r="AF61" i="238"/>
  <c r="AF93" i="238"/>
  <c r="AF14" i="238"/>
  <c r="AF42" i="238"/>
  <c r="AF44" i="238"/>
  <c r="Q31" i="238"/>
  <c r="Q18" i="238"/>
  <c r="Q62" i="238"/>
  <c r="Q26" i="238"/>
  <c r="Q52" i="238"/>
  <c r="Q56" i="238"/>
  <c r="Q79" i="238"/>
  <c r="Q66" i="238"/>
  <c r="Q48" i="238"/>
  <c r="Q90" i="238"/>
  <c r="Q51" i="238"/>
  <c r="Q20" i="238"/>
  <c r="Q22" i="238"/>
  <c r="Q23" i="238"/>
  <c r="Q80" i="238"/>
  <c r="Q84" i="238"/>
  <c r="Q83" i="238"/>
  <c r="Q27" i="238"/>
  <c r="Q54" i="238"/>
  <c r="Q14" i="238"/>
  <c r="Q71" i="238"/>
  <c r="Q91" i="238"/>
  <c r="Q68" i="238"/>
  <c r="Q59" i="238"/>
  <c r="Q86" i="238"/>
  <c r="Q9" i="238"/>
  <c r="Q3" i="238"/>
  <c r="Q94" i="238"/>
  <c r="Q33" i="238"/>
  <c r="Q13" i="238"/>
  <c r="Q15" i="238"/>
  <c r="Q93" i="238"/>
  <c r="Q55" i="238"/>
  <c r="Q50" i="238"/>
  <c r="Q53" i="238"/>
  <c r="Q35" i="238"/>
  <c r="Q82" i="238"/>
  <c r="Q69" i="238"/>
  <c r="Q67" i="238"/>
  <c r="Q87" i="238"/>
  <c r="Q85" i="238"/>
  <c r="Q58" i="238"/>
  <c r="Q78" i="238"/>
  <c r="Q10" i="238"/>
  <c r="Q17" i="238"/>
  <c r="Q25" i="238"/>
  <c r="Q42" i="238"/>
  <c r="Q49" i="238"/>
  <c r="Q41" i="238"/>
  <c r="Q74" i="238"/>
  <c r="Q65" i="238"/>
  <c r="Q47" i="238"/>
  <c r="Q57" i="238"/>
  <c r="Q36" i="238"/>
  <c r="Q81" i="238"/>
  <c r="Q63" i="238"/>
  <c r="Q73" i="238"/>
  <c r="Q75" i="238"/>
  <c r="Q8" i="238"/>
  <c r="Q5" i="238"/>
  <c r="Q89" i="238"/>
  <c r="Q30" i="238"/>
  <c r="Q24" i="238"/>
  <c r="Q38" i="238"/>
  <c r="Q16" i="238"/>
  <c r="Q12" i="238"/>
  <c r="Q40" i="238"/>
  <c r="Q70" i="238"/>
  <c r="Q32" i="238"/>
  <c r="Q28" i="238"/>
  <c r="Q72" i="238"/>
  <c r="Q29" i="238"/>
  <c r="Q64" i="238"/>
  <c r="Q44" i="238"/>
  <c r="Q88" i="238"/>
  <c r="Q61" i="238"/>
  <c r="Q46" i="238"/>
  <c r="Q76" i="238"/>
  <c r="Q43" i="238"/>
  <c r="Q34" i="238"/>
  <c r="Q37" i="238"/>
  <c r="Q19" i="238"/>
  <c r="Q60" i="238"/>
  <c r="Q45" i="238"/>
  <c r="Q92" i="238"/>
  <c r="Q11" i="238"/>
  <c r="Q77" i="238"/>
  <c r="Q21" i="238"/>
  <c r="Q39" i="238"/>
  <c r="Y32" i="238"/>
  <c r="Y22" i="238"/>
  <c r="Y39" i="238"/>
  <c r="Y90" i="238"/>
  <c r="Y38" i="238"/>
  <c r="Y82" i="238"/>
  <c r="Y64" i="238"/>
  <c r="Y36" i="238"/>
  <c r="Y68" i="238"/>
  <c r="Y52" i="238"/>
  <c r="Y21" i="238"/>
  <c r="Y47" i="238"/>
  <c r="Y80" i="238"/>
  <c r="Y13" i="238"/>
  <c r="Y11" i="238"/>
  <c r="Y9" i="238"/>
  <c r="Y37" i="238"/>
  <c r="Y63" i="238"/>
  <c r="Y45" i="238"/>
  <c r="Y43" i="238"/>
  <c r="Y41" i="238"/>
  <c r="Y69" i="238"/>
  <c r="Y79" i="238"/>
  <c r="Y61" i="238"/>
  <c r="Y59" i="238"/>
  <c r="Y57" i="238"/>
  <c r="Y85" i="238"/>
  <c r="Y3" i="238"/>
  <c r="Y30" i="238"/>
  <c r="Y94" i="238"/>
  <c r="Y55" i="238"/>
  <c r="Y50" i="238"/>
  <c r="Y78" i="238"/>
  <c r="Y75" i="238"/>
  <c r="Y40" i="238"/>
  <c r="Y87" i="238"/>
  <c r="Y23" i="238"/>
  <c r="Y72" i="238"/>
  <c r="Y33" i="238"/>
  <c r="Y29" i="238"/>
  <c r="Y10" i="238"/>
  <c r="Y70" i="238"/>
  <c r="Y49" i="238"/>
  <c r="Y77" i="238"/>
  <c r="Y26" i="238"/>
  <c r="Y53" i="238"/>
  <c r="Y65" i="238"/>
  <c r="Y12" i="238"/>
  <c r="Y42" i="238"/>
  <c r="Y19" i="238"/>
  <c r="Y81" i="238"/>
  <c r="Y28" i="238"/>
  <c r="Y58" i="238"/>
  <c r="Y35" i="238"/>
  <c r="Y14" i="238"/>
  <c r="Y93" i="238"/>
  <c r="Y89" i="238"/>
  <c r="Y34" i="238"/>
  <c r="Y71" i="238"/>
  <c r="Y56" i="238"/>
  <c r="Y86" i="238"/>
  <c r="Y88" i="238"/>
  <c r="Y44" i="238"/>
  <c r="Y51" i="238"/>
  <c r="Y60" i="238"/>
  <c r="Y67" i="238"/>
  <c r="Y76" i="238"/>
  <c r="Y83" i="238"/>
  <c r="Y92" i="238"/>
  <c r="Y18" i="238"/>
  <c r="Y54" i="238"/>
  <c r="Y66" i="238"/>
  <c r="Y27" i="238"/>
  <c r="Y15" i="238"/>
  <c r="Y91" i="238"/>
  <c r="Y17" i="238"/>
  <c r="Y84" i="238"/>
  <c r="Y16" i="238"/>
  <c r="Y74" i="238"/>
  <c r="Y48" i="238"/>
  <c r="Y20" i="238"/>
  <c r="Y5" i="238"/>
  <c r="Y73" i="238"/>
  <c r="Y46" i="238"/>
  <c r="Y8" i="238"/>
  <c r="Y62" i="238"/>
  <c r="Y24" i="238"/>
  <c r="Y31" i="238"/>
  <c r="Y25" i="238"/>
  <c r="AG28" i="238"/>
  <c r="AG13" i="238"/>
  <c r="AG75" i="238"/>
  <c r="AG16" i="238"/>
  <c r="AG74" i="238"/>
  <c r="AG65" i="238"/>
  <c r="AG44" i="238"/>
  <c r="AG15" i="238"/>
  <c r="AG45" i="238"/>
  <c r="AG91" i="238"/>
  <c r="AG48" i="238"/>
  <c r="AG21" i="238"/>
  <c r="AG8" i="238"/>
  <c r="AG31" i="238"/>
  <c r="AG61" i="238"/>
  <c r="AG18" i="238"/>
  <c r="AG64" i="238"/>
  <c r="AG37" i="238"/>
  <c r="AG24" i="238"/>
  <c r="AG47" i="238"/>
  <c r="AG63" i="238"/>
  <c r="AG62" i="238"/>
  <c r="AG50" i="238"/>
  <c r="AG14" i="238"/>
  <c r="AG69" i="238"/>
  <c r="AG56" i="238"/>
  <c r="AG79" i="238"/>
  <c r="AG10" i="238"/>
  <c r="AG66" i="238"/>
  <c r="AG12" i="238"/>
  <c r="AG85" i="238"/>
  <c r="AG72" i="238"/>
  <c r="AG5" i="238"/>
  <c r="AG20" i="238"/>
  <c r="AG82" i="238"/>
  <c r="AG60" i="238"/>
  <c r="AG94" i="238"/>
  <c r="AG88" i="238"/>
  <c r="AG22" i="238"/>
  <c r="AG36" i="238"/>
  <c r="AG9" i="238"/>
  <c r="AG23" i="238"/>
  <c r="AG19" i="238"/>
  <c r="AG26" i="238"/>
  <c r="AG76" i="238"/>
  <c r="AG27" i="238"/>
  <c r="AG89" i="238"/>
  <c r="AG30" i="238"/>
  <c r="AG17" i="238"/>
  <c r="AG58" i="238"/>
  <c r="AG59" i="238"/>
  <c r="AG42" i="238"/>
  <c r="AG92" i="238"/>
  <c r="AG49" i="238"/>
  <c r="AG38" i="238"/>
  <c r="AG57" i="238"/>
  <c r="AG33" i="238"/>
  <c r="AG54" i="238"/>
  <c r="AG73" i="238"/>
  <c r="AG81" i="238"/>
  <c r="AG86" i="238"/>
  <c r="AG32" i="238"/>
  <c r="AG90" i="238"/>
  <c r="AG80" i="238"/>
  <c r="AG29" i="238"/>
  <c r="AG39" i="238"/>
  <c r="AG52" i="238"/>
  <c r="AG71" i="238"/>
  <c r="AG68" i="238"/>
  <c r="AG87" i="238"/>
  <c r="AG84" i="238"/>
  <c r="AG46" i="238"/>
  <c r="AG93" i="238"/>
  <c r="AG3" i="238"/>
  <c r="AG41" i="238"/>
  <c r="AG83" i="238"/>
  <c r="AG70" i="238"/>
  <c r="AG77" i="238"/>
  <c r="AG43" i="238"/>
  <c r="AG11" i="238"/>
  <c r="AG34" i="238"/>
  <c r="AG25" i="238"/>
  <c r="AG78" i="238"/>
  <c r="AG55" i="238"/>
  <c r="AG53" i="238"/>
  <c r="AG35" i="238"/>
  <c r="AG51" i="238"/>
  <c r="AG67" i="238"/>
  <c r="AG40" i="238"/>
  <c r="I5" i="238"/>
  <c r="I3" i="238"/>
  <c r="G5" i="238"/>
  <c r="G3" i="238"/>
  <c r="H5" i="238"/>
  <c r="H3" i="238"/>
  <c r="J5" i="238"/>
  <c r="J3" i="238"/>
  <c r="F5" i="238"/>
  <c r="F3" i="238"/>
  <c r="AT192" i="115"/>
  <c r="AT196" i="115"/>
  <c r="AT200" i="115"/>
  <c r="AT204" i="115"/>
  <c r="AT208" i="115"/>
  <c r="AT191" i="115"/>
  <c r="AT195" i="115"/>
  <c r="AT199" i="115"/>
  <c r="AT203" i="115"/>
  <c r="AT207" i="115"/>
  <c r="AT190" i="115"/>
  <c r="AT194" i="115"/>
  <c r="AT198" i="115"/>
  <c r="AT201" i="115"/>
  <c r="AT211" i="115"/>
  <c r="AT215" i="115"/>
  <c r="AT219" i="115"/>
  <c r="AT193" i="115"/>
  <c r="AT206" i="115"/>
  <c r="AT202" i="115"/>
  <c r="AT214" i="115"/>
  <c r="AT218" i="115"/>
  <c r="AT222" i="115"/>
  <c r="AT189" i="115"/>
  <c r="AT210" i="115"/>
  <c r="AT213" i="115"/>
  <c r="AT205" i="115"/>
  <c r="AT226" i="115"/>
  <c r="AT230" i="115"/>
  <c r="AT234" i="115"/>
  <c r="AT209" i="115"/>
  <c r="AT217" i="115"/>
  <c r="AT225" i="115"/>
  <c r="AT229" i="115"/>
  <c r="AT233" i="115"/>
  <c r="AT221" i="115"/>
  <c r="AT224" i="115"/>
  <c r="AT197" i="115"/>
  <c r="AT216" i="115"/>
  <c r="AT237" i="115"/>
  <c r="AT241" i="115"/>
  <c r="AT245" i="115"/>
  <c r="AT249" i="115"/>
  <c r="AT236" i="115"/>
  <c r="AT240" i="115"/>
  <c r="AT244" i="115"/>
  <c r="AT227" i="115"/>
  <c r="AT232" i="115"/>
  <c r="AT223" i="115"/>
  <c r="AT228" i="115"/>
  <c r="AT235" i="115"/>
  <c r="AT239" i="115"/>
  <c r="AT243" i="115"/>
  <c r="AT212" i="115"/>
  <c r="AT220" i="115"/>
  <c r="AT231" i="115"/>
  <c r="AT242" i="115"/>
  <c r="AT246" i="115"/>
  <c r="AT238" i="115"/>
  <c r="AT253" i="115"/>
  <c r="AT264" i="115"/>
  <c r="AT268" i="115"/>
  <c r="AT272" i="115"/>
  <c r="AT188" i="115"/>
  <c r="AT258" i="115"/>
  <c r="AT251" i="115"/>
  <c r="AT260" i="115"/>
  <c r="AT263" i="115"/>
  <c r="AT267" i="115"/>
  <c r="AT271" i="115"/>
  <c r="AT248" i="115"/>
  <c r="AT256" i="115"/>
  <c r="AT247" i="115"/>
  <c r="AT255" i="115"/>
  <c r="AT257" i="115"/>
  <c r="AT262" i="115"/>
  <c r="AT266" i="115"/>
  <c r="AT250" i="115"/>
  <c r="AT254" i="115"/>
  <c r="AT252" i="115"/>
  <c r="AT261" i="115"/>
  <c r="AT270" i="115"/>
  <c r="AT274" i="115"/>
  <c r="AT259" i="115"/>
  <c r="AT269" i="115"/>
  <c r="AT265" i="115"/>
  <c r="AT273" i="115"/>
  <c r="AD192" i="115"/>
  <c r="AD196" i="115"/>
  <c r="AD200" i="115"/>
  <c r="AD204" i="115"/>
  <c r="AD208" i="115"/>
  <c r="AD191" i="115"/>
  <c r="AD195" i="115"/>
  <c r="AD199" i="115"/>
  <c r="AD203" i="115"/>
  <c r="AD207" i="115"/>
  <c r="AD211" i="115"/>
  <c r="AD190" i="115"/>
  <c r="AD194" i="115"/>
  <c r="AD198" i="115"/>
  <c r="AD215" i="115"/>
  <c r="AD219" i="115"/>
  <c r="AD189" i="115"/>
  <c r="AD209" i="115"/>
  <c r="AD214" i="115"/>
  <c r="AD218" i="115"/>
  <c r="AD222" i="115"/>
  <c r="AD197" i="115"/>
  <c r="AD201" i="115"/>
  <c r="AD206" i="115"/>
  <c r="AD213" i="115"/>
  <c r="AD202" i="115"/>
  <c r="AD216" i="115"/>
  <c r="AD226" i="115"/>
  <c r="AD230" i="115"/>
  <c r="AD234" i="115"/>
  <c r="AD193" i="115"/>
  <c r="AD205" i="115"/>
  <c r="AD220" i="115"/>
  <c r="AD225" i="115"/>
  <c r="AD229" i="115"/>
  <c r="AD233" i="115"/>
  <c r="AD212" i="115"/>
  <c r="AD217" i="115"/>
  <c r="AD224" i="115"/>
  <c r="AD221" i="115"/>
  <c r="AD223" i="115"/>
  <c r="AD237" i="115"/>
  <c r="AD241" i="115"/>
  <c r="AD245" i="115"/>
  <c r="AD249" i="115"/>
  <c r="AD231" i="115"/>
  <c r="AD236" i="115"/>
  <c r="AD240" i="115"/>
  <c r="AD244" i="115"/>
  <c r="AD235" i="115"/>
  <c r="AD239" i="115"/>
  <c r="AD243" i="115"/>
  <c r="AD247" i="115"/>
  <c r="AD253" i="115"/>
  <c r="AD228" i="115"/>
  <c r="AD232" i="115"/>
  <c r="AD242" i="115"/>
  <c r="AD246" i="115"/>
  <c r="AD210" i="115"/>
  <c r="AD238" i="115"/>
  <c r="AD257" i="115"/>
  <c r="AD255" i="115"/>
  <c r="AD264" i="115"/>
  <c r="AD268" i="115"/>
  <c r="AD272" i="115"/>
  <c r="AD188" i="115"/>
  <c r="AD259" i="115"/>
  <c r="AD254" i="115"/>
  <c r="AD248" i="115"/>
  <c r="AD250" i="115"/>
  <c r="AD263" i="115"/>
  <c r="AD267" i="115"/>
  <c r="AD271" i="115"/>
  <c r="AD252" i="115"/>
  <c r="AD258" i="115"/>
  <c r="AD262" i="115"/>
  <c r="AD266" i="115"/>
  <c r="AD260" i="115"/>
  <c r="AD227" i="115"/>
  <c r="AD274" i="115"/>
  <c r="AD270" i="115"/>
  <c r="AD269" i="115"/>
  <c r="AD273" i="115"/>
  <c r="AD251" i="115"/>
  <c r="AD265" i="115"/>
  <c r="AD256" i="115"/>
  <c r="AD261" i="115"/>
  <c r="AS192" i="115"/>
  <c r="AS196" i="115"/>
  <c r="AS200" i="115"/>
  <c r="AS204" i="115"/>
  <c r="AS208" i="115"/>
  <c r="AS191" i="115"/>
  <c r="AS195" i="115"/>
  <c r="AS199" i="115"/>
  <c r="AS203" i="115"/>
  <c r="AS207" i="115"/>
  <c r="AS211" i="115"/>
  <c r="AS190" i="115"/>
  <c r="AS194" i="115"/>
  <c r="AS198" i="115"/>
  <c r="AS202" i="115"/>
  <c r="AS193" i="115"/>
  <c r="AS206" i="115"/>
  <c r="AS189" i="115"/>
  <c r="AS210" i="115"/>
  <c r="AS205" i="115"/>
  <c r="AS212" i="115"/>
  <c r="AS209" i="115"/>
  <c r="AS217" i="115"/>
  <c r="AS215" i="115"/>
  <c r="AS219" i="115"/>
  <c r="AS221" i="115"/>
  <c r="AS201" i="115"/>
  <c r="AS224" i="115"/>
  <c r="AS197" i="115"/>
  <c r="AS213" i="115"/>
  <c r="AS216" i="115"/>
  <c r="AS233" i="115"/>
  <c r="AS218" i="115"/>
  <c r="AS234" i="115"/>
  <c r="AS225" i="115"/>
  <c r="AS236" i="115"/>
  <c r="AS240" i="115"/>
  <c r="AS244" i="115"/>
  <c r="AS248" i="115"/>
  <c r="AS226" i="115"/>
  <c r="AS227" i="115"/>
  <c r="AS230" i="115"/>
  <c r="AS232" i="115"/>
  <c r="AS223" i="115"/>
  <c r="AS228" i="115"/>
  <c r="AS235" i="115"/>
  <c r="AS214" i="115"/>
  <c r="AS220" i="115"/>
  <c r="AS231" i="115"/>
  <c r="AS242" i="115"/>
  <c r="AS250" i="115"/>
  <c r="AS254" i="115"/>
  <c r="AS258" i="115"/>
  <c r="AS239" i="115"/>
  <c r="AS246" i="115"/>
  <c r="AS238" i="115"/>
  <c r="AS253" i="115"/>
  <c r="AS257" i="115"/>
  <c r="AS243" i="115"/>
  <c r="AS229" i="115"/>
  <c r="AS222" i="115"/>
  <c r="AS252" i="115"/>
  <c r="AS245" i="115"/>
  <c r="AS237" i="115"/>
  <c r="AS264" i="115"/>
  <c r="AS268" i="115"/>
  <c r="AS272" i="115"/>
  <c r="AS188" i="115"/>
  <c r="AS251" i="115"/>
  <c r="AS260" i="115"/>
  <c r="AS263" i="115"/>
  <c r="AS267" i="115"/>
  <c r="AS271" i="115"/>
  <c r="AS256" i="115"/>
  <c r="AS247" i="115"/>
  <c r="AS249" i="115"/>
  <c r="AS255" i="115"/>
  <c r="AS262" i="115"/>
  <c r="AS266" i="115"/>
  <c r="AS270" i="115"/>
  <c r="AS241" i="115"/>
  <c r="AS261" i="115"/>
  <c r="AS274" i="115"/>
  <c r="AS259" i="115"/>
  <c r="AS269" i="115"/>
  <c r="AS265" i="115"/>
  <c r="AS273" i="115"/>
  <c r="BX191" i="115"/>
  <c r="BX195" i="115"/>
  <c r="BX199" i="115"/>
  <c r="BX203" i="115"/>
  <c r="BX207" i="115"/>
  <c r="BX190" i="115"/>
  <c r="BX194" i="115"/>
  <c r="BX196" i="115"/>
  <c r="BX200" i="115"/>
  <c r="BX201" i="115"/>
  <c r="BX214" i="115"/>
  <c r="BX218" i="115"/>
  <c r="BX198" i="115"/>
  <c r="BX204" i="115"/>
  <c r="BX206" i="115"/>
  <c r="BX213" i="115"/>
  <c r="BX217" i="115"/>
  <c r="BX221" i="115"/>
  <c r="BX202" i="115"/>
  <c r="BX197" i="115"/>
  <c r="BX192" i="115"/>
  <c r="BX193" i="115"/>
  <c r="BX208" i="115"/>
  <c r="BX210" i="115"/>
  <c r="BX211" i="115"/>
  <c r="BX225" i="115"/>
  <c r="BX229" i="115"/>
  <c r="BX233" i="115"/>
  <c r="BX189" i="115"/>
  <c r="BX224" i="115"/>
  <c r="BX228" i="115"/>
  <c r="BX232" i="115"/>
  <c r="BX215" i="115"/>
  <c r="BX209" i="115"/>
  <c r="BX205" i="115"/>
  <c r="BX216" i="115"/>
  <c r="BX220" i="115"/>
  <c r="BX231" i="115"/>
  <c r="BX219" i="115"/>
  <c r="BX223" i="115"/>
  <c r="BX226" i="115"/>
  <c r="BX227" i="115"/>
  <c r="BX235" i="115"/>
  <c r="BX239" i="115"/>
  <c r="BX243" i="115"/>
  <c r="BX222" i="115"/>
  <c r="BX241" i="115"/>
  <c r="BX250" i="115"/>
  <c r="BX254" i="115"/>
  <c r="BX258" i="115"/>
  <c r="BX238" i="115"/>
  <c r="BX242" i="115"/>
  <c r="BX247" i="115"/>
  <c r="BX253" i="115"/>
  <c r="BX257" i="115"/>
  <c r="BX244" i="115"/>
  <c r="BX248" i="115"/>
  <c r="BX246" i="115"/>
  <c r="BX249" i="115"/>
  <c r="BX230" i="115"/>
  <c r="BX252" i="115"/>
  <c r="BX256" i="115"/>
  <c r="BX237" i="115"/>
  <c r="BX240" i="115"/>
  <c r="BX212" i="115"/>
  <c r="BX234" i="115"/>
  <c r="BX260" i="115"/>
  <c r="BX264" i="115"/>
  <c r="BX268" i="115"/>
  <c r="BX272" i="115"/>
  <c r="BX188" i="115"/>
  <c r="BX251" i="115"/>
  <c r="BX259" i="115"/>
  <c r="BX263" i="115"/>
  <c r="BX267" i="115"/>
  <c r="BX271" i="115"/>
  <c r="BX255" i="115"/>
  <c r="BX262" i="115"/>
  <c r="BX266" i="115"/>
  <c r="BX270" i="115"/>
  <c r="BX236" i="115"/>
  <c r="BX245" i="115"/>
  <c r="BX269" i="115"/>
  <c r="BX265" i="115"/>
  <c r="BX261" i="115"/>
  <c r="BX274" i="115"/>
  <c r="BX273" i="115"/>
  <c r="X190" i="115"/>
  <c r="X194" i="115"/>
  <c r="X198" i="115"/>
  <c r="X202" i="115"/>
  <c r="X206" i="115"/>
  <c r="X210" i="115"/>
  <c r="X189" i="115"/>
  <c r="X193" i="115"/>
  <c r="X197" i="115"/>
  <c r="X201" i="115"/>
  <c r="X204" i="115"/>
  <c r="X213" i="115"/>
  <c r="X217" i="115"/>
  <c r="X221" i="115"/>
  <c r="X195" i="115"/>
  <c r="X200" i="115"/>
  <c r="X208" i="115"/>
  <c r="X212" i="115"/>
  <c r="X216" i="115"/>
  <c r="X220" i="115"/>
  <c r="X191" i="115"/>
  <c r="X192" i="115"/>
  <c r="X196" i="115"/>
  <c r="X199" i="115"/>
  <c r="X205" i="115"/>
  <c r="X214" i="115"/>
  <c r="X224" i="115"/>
  <c r="X228" i="115"/>
  <c r="X232" i="115"/>
  <c r="X222" i="115"/>
  <c r="X215" i="115"/>
  <c r="X219" i="115"/>
  <c r="X223" i="115"/>
  <c r="X227" i="115"/>
  <c r="X231" i="115"/>
  <c r="X203" i="115"/>
  <c r="X209" i="115"/>
  <c r="X207" i="115"/>
  <c r="X229" i="115"/>
  <c r="X211" i="115"/>
  <c r="X233" i="115"/>
  <c r="X235" i="115"/>
  <c r="X230" i="115"/>
  <c r="X226" i="115"/>
  <c r="X238" i="115"/>
  <c r="X242" i="115"/>
  <c r="X246" i="115"/>
  <c r="X225" i="115"/>
  <c r="X237" i="115"/>
  <c r="X253" i="115"/>
  <c r="X257" i="115"/>
  <c r="X244" i="115"/>
  <c r="X234" i="115"/>
  <c r="X252" i="115"/>
  <c r="X256" i="115"/>
  <c r="X260" i="115"/>
  <c r="X239" i="115"/>
  <c r="X251" i="115"/>
  <c r="X255" i="115"/>
  <c r="X218" i="115"/>
  <c r="X236" i="115"/>
  <c r="X240" i="115"/>
  <c r="X243" i="115"/>
  <c r="X245" i="115"/>
  <c r="X254" i="115"/>
  <c r="X263" i="115"/>
  <c r="X267" i="115"/>
  <c r="X271" i="115"/>
  <c r="X249" i="115"/>
  <c r="X248" i="115"/>
  <c r="X250" i="115"/>
  <c r="X247" i="115"/>
  <c r="X262" i="115"/>
  <c r="X266" i="115"/>
  <c r="X270" i="115"/>
  <c r="X274" i="115"/>
  <c r="X258" i="115"/>
  <c r="X241" i="115"/>
  <c r="X261" i="115"/>
  <c r="X265" i="115"/>
  <c r="X269" i="115"/>
  <c r="X273" i="115"/>
  <c r="X268" i="115"/>
  <c r="X259" i="115"/>
  <c r="X264" i="115"/>
  <c r="X272" i="115"/>
  <c r="X188" i="115"/>
  <c r="AU192" i="115"/>
  <c r="AU196" i="115"/>
  <c r="AU200" i="115"/>
  <c r="AU191" i="115"/>
  <c r="AU195" i="115"/>
  <c r="AU199" i="115"/>
  <c r="AU190" i="115"/>
  <c r="AU209" i="115"/>
  <c r="AU201" i="115"/>
  <c r="AU204" i="115"/>
  <c r="AU211" i="115"/>
  <c r="AU215" i="115"/>
  <c r="AU219" i="115"/>
  <c r="AU193" i="115"/>
  <c r="AU194" i="115"/>
  <c r="AU202" i="115"/>
  <c r="AU214" i="115"/>
  <c r="AU198" i="115"/>
  <c r="AU208" i="115"/>
  <c r="AU189" i="115"/>
  <c r="AU210" i="115"/>
  <c r="AU203" i="115"/>
  <c r="AU205" i="115"/>
  <c r="AU207" i="115"/>
  <c r="AU220" i="115"/>
  <c r="AU226" i="115"/>
  <c r="AU230" i="115"/>
  <c r="AU234" i="115"/>
  <c r="AU206" i="115"/>
  <c r="AU217" i="115"/>
  <c r="AU222" i="115"/>
  <c r="AU225" i="115"/>
  <c r="AU229" i="115"/>
  <c r="AU221" i="115"/>
  <c r="AU213" i="115"/>
  <c r="AU197" i="115"/>
  <c r="AU218" i="115"/>
  <c r="AU231" i="115"/>
  <c r="AU233" i="115"/>
  <c r="AU237" i="115"/>
  <c r="AU241" i="115"/>
  <c r="AU245" i="115"/>
  <c r="AU249" i="115"/>
  <c r="AU224" i="115"/>
  <c r="AU236" i="115"/>
  <c r="AU227" i="115"/>
  <c r="AU232" i="115"/>
  <c r="AU223" i="115"/>
  <c r="AU228" i="115"/>
  <c r="AU235" i="115"/>
  <c r="AU239" i="115"/>
  <c r="AU212" i="115"/>
  <c r="AU244" i="115"/>
  <c r="AU242" i="115"/>
  <c r="AU250" i="115"/>
  <c r="AU254" i="115"/>
  <c r="AU258" i="115"/>
  <c r="AU216" i="115"/>
  <c r="AU246" i="115"/>
  <c r="AU238" i="115"/>
  <c r="AU240" i="115"/>
  <c r="AU243" i="115"/>
  <c r="AU253" i="115"/>
  <c r="AU264" i="115"/>
  <c r="AU268" i="115"/>
  <c r="AU272" i="115"/>
  <c r="AU188" i="115"/>
  <c r="AU251" i="115"/>
  <c r="AU260" i="115"/>
  <c r="AU263" i="115"/>
  <c r="AU267" i="115"/>
  <c r="AU248" i="115"/>
  <c r="AU256" i="115"/>
  <c r="AU247" i="115"/>
  <c r="AU255" i="115"/>
  <c r="AU257" i="115"/>
  <c r="AU262" i="115"/>
  <c r="AU266" i="115"/>
  <c r="AU270" i="115"/>
  <c r="AU274" i="115"/>
  <c r="AU261" i="115"/>
  <c r="AU259" i="115"/>
  <c r="AU269" i="115"/>
  <c r="AU252" i="115"/>
  <c r="AU271" i="115"/>
  <c r="AU265" i="115"/>
  <c r="AU273" i="115"/>
  <c r="AE192" i="115"/>
  <c r="AE196" i="115"/>
  <c r="AE200" i="115"/>
  <c r="AE191" i="115"/>
  <c r="AE195" i="115"/>
  <c r="AE199" i="115"/>
  <c r="AE190" i="115"/>
  <c r="AE194" i="115"/>
  <c r="AE203" i="115"/>
  <c r="AE205" i="115"/>
  <c r="AE207" i="115"/>
  <c r="AE215" i="115"/>
  <c r="AE219" i="115"/>
  <c r="AE189" i="115"/>
  <c r="AE209" i="115"/>
  <c r="AE211" i="115"/>
  <c r="AE214" i="115"/>
  <c r="AE197" i="115"/>
  <c r="AE204" i="115"/>
  <c r="AE201" i="115"/>
  <c r="AE206" i="115"/>
  <c r="AE202" i="115"/>
  <c r="AE208" i="115"/>
  <c r="AE213" i="115"/>
  <c r="AE216" i="115"/>
  <c r="AE218" i="115"/>
  <c r="AE226" i="115"/>
  <c r="AE230" i="115"/>
  <c r="AE234" i="115"/>
  <c r="AE193" i="115"/>
  <c r="AE220" i="115"/>
  <c r="AE225" i="115"/>
  <c r="AE229" i="115"/>
  <c r="AE212" i="115"/>
  <c r="AE217" i="115"/>
  <c r="AE222" i="115"/>
  <c r="AE223" i="115"/>
  <c r="AE237" i="115"/>
  <c r="AE241" i="115"/>
  <c r="AE245" i="115"/>
  <c r="AE249" i="115"/>
  <c r="AE221" i="115"/>
  <c r="AE231" i="115"/>
  <c r="AE233" i="115"/>
  <c r="AE236" i="115"/>
  <c r="AE235" i="115"/>
  <c r="AE239" i="115"/>
  <c r="AE198" i="115"/>
  <c r="AE248" i="115"/>
  <c r="AE247" i="115"/>
  <c r="AE250" i="115"/>
  <c r="AE254" i="115"/>
  <c r="AE258" i="115"/>
  <c r="AE224" i="115"/>
  <c r="AE244" i="115"/>
  <c r="AE253" i="115"/>
  <c r="AE228" i="115"/>
  <c r="AE232" i="115"/>
  <c r="AE242" i="115"/>
  <c r="AE246" i="115"/>
  <c r="AE210" i="115"/>
  <c r="AE251" i="115"/>
  <c r="AE238" i="115"/>
  <c r="AE257" i="115"/>
  <c r="AE255" i="115"/>
  <c r="AE264" i="115"/>
  <c r="AE268" i="115"/>
  <c r="AE272" i="115"/>
  <c r="AE188" i="115"/>
  <c r="AE259" i="115"/>
  <c r="AE263" i="115"/>
  <c r="AE267" i="115"/>
  <c r="AE271" i="115"/>
  <c r="AE252" i="115"/>
  <c r="AE243" i="115"/>
  <c r="AE262" i="115"/>
  <c r="AE266" i="115"/>
  <c r="AE270" i="115"/>
  <c r="AE274" i="115"/>
  <c r="AE227" i="115"/>
  <c r="AE260" i="115"/>
  <c r="AE240" i="115"/>
  <c r="AE269" i="115"/>
  <c r="AE273" i="115"/>
  <c r="AE265" i="115"/>
  <c r="AE256" i="115"/>
  <c r="AE261" i="115"/>
  <c r="BJ192" i="115"/>
  <c r="BJ196" i="115"/>
  <c r="BJ200" i="115"/>
  <c r="BJ204" i="115"/>
  <c r="BJ208" i="115"/>
  <c r="BJ191" i="115"/>
  <c r="BJ195" i="115"/>
  <c r="BJ199" i="115"/>
  <c r="BJ203" i="115"/>
  <c r="BJ207" i="115"/>
  <c r="BJ190" i="115"/>
  <c r="BJ194" i="115"/>
  <c r="BJ198" i="115"/>
  <c r="BJ211" i="115"/>
  <c r="BJ215" i="115"/>
  <c r="BJ219" i="115"/>
  <c r="BJ210" i="115"/>
  <c r="BJ197" i="115"/>
  <c r="BJ214" i="115"/>
  <c r="BJ218" i="115"/>
  <c r="BJ205" i="115"/>
  <c r="BJ193" i="115"/>
  <c r="BJ201" i="115"/>
  <c r="BJ189" i="115"/>
  <c r="BJ222" i="115"/>
  <c r="BJ226" i="115"/>
  <c r="BJ230" i="115"/>
  <c r="BJ213" i="115"/>
  <c r="BJ221" i="115"/>
  <c r="BJ202" i="115"/>
  <c r="BJ225" i="115"/>
  <c r="BJ229" i="115"/>
  <c r="BJ206" i="115"/>
  <c r="BJ209" i="115"/>
  <c r="BJ212" i="115"/>
  <c r="BJ216" i="115"/>
  <c r="BJ224" i="115"/>
  <c r="BJ220" i="115"/>
  <c r="BJ223" i="115"/>
  <c r="BJ237" i="115"/>
  <c r="BJ241" i="115"/>
  <c r="BJ245" i="115"/>
  <c r="BJ249" i="115"/>
  <c r="BJ228" i="115"/>
  <c r="BJ232" i="115"/>
  <c r="BJ236" i="115"/>
  <c r="BJ240" i="115"/>
  <c r="BJ244" i="115"/>
  <c r="BJ217" i="115"/>
  <c r="BJ235" i="115"/>
  <c r="BJ239" i="115"/>
  <c r="BJ231" i="115"/>
  <c r="BJ243" i="115"/>
  <c r="BJ227" i="115"/>
  <c r="BJ253" i="115"/>
  <c r="BJ247" i="115"/>
  <c r="BJ248" i="115"/>
  <c r="BJ233" i="115"/>
  <c r="BJ238" i="115"/>
  <c r="BJ242" i="115"/>
  <c r="BJ246" i="115"/>
  <c r="BJ256" i="115"/>
  <c r="BJ255" i="115"/>
  <c r="BJ260" i="115"/>
  <c r="BJ264" i="115"/>
  <c r="BJ268" i="115"/>
  <c r="BJ272" i="115"/>
  <c r="BJ188" i="115"/>
  <c r="BJ250" i="115"/>
  <c r="BJ254" i="115"/>
  <c r="BJ257" i="115"/>
  <c r="BJ252" i="115"/>
  <c r="BJ263" i="115"/>
  <c r="BJ267" i="115"/>
  <c r="BJ271" i="115"/>
  <c r="BJ259" i="115"/>
  <c r="BJ262" i="115"/>
  <c r="BJ266" i="115"/>
  <c r="BJ274" i="115"/>
  <c r="BJ265" i="115"/>
  <c r="BJ234" i="115"/>
  <c r="BJ258" i="115"/>
  <c r="BJ273" i="115"/>
  <c r="BJ261" i="115"/>
  <c r="BJ251" i="115"/>
  <c r="BJ269" i="115"/>
  <c r="BJ270" i="115"/>
  <c r="AC192" i="115"/>
  <c r="AC196" i="115"/>
  <c r="AC200" i="115"/>
  <c r="AC204" i="115"/>
  <c r="AC208" i="115"/>
  <c r="AC191" i="115"/>
  <c r="AC195" i="115"/>
  <c r="AC199" i="115"/>
  <c r="AC203" i="115"/>
  <c r="AC207" i="115"/>
  <c r="AC211" i="115"/>
  <c r="AC190" i="115"/>
  <c r="AC194" i="115"/>
  <c r="AC198" i="115"/>
  <c r="AC202" i="115"/>
  <c r="AC189" i="115"/>
  <c r="AC197" i="115"/>
  <c r="AC201" i="115"/>
  <c r="AC206" i="115"/>
  <c r="AC213" i="115"/>
  <c r="AC210" i="115"/>
  <c r="AC212" i="115"/>
  <c r="AC193" i="115"/>
  <c r="AC218" i="115"/>
  <c r="AC205" i="115"/>
  <c r="AC214" i="115"/>
  <c r="AC217" i="115"/>
  <c r="AC222" i="115"/>
  <c r="AC224" i="115"/>
  <c r="AC209" i="115"/>
  <c r="AC215" i="115"/>
  <c r="AC231" i="115"/>
  <c r="AC221" i="115"/>
  <c r="AC229" i="115"/>
  <c r="AC234" i="115"/>
  <c r="AC236" i="115"/>
  <c r="AC240" i="115"/>
  <c r="AC244" i="115"/>
  <c r="AC248" i="115"/>
  <c r="AC233" i="115"/>
  <c r="AC235" i="115"/>
  <c r="AC239" i="115"/>
  <c r="AC220" i="115"/>
  <c r="AC216" i="115"/>
  <c r="AC219" i="115"/>
  <c r="AC247" i="115"/>
  <c r="AC249" i="115"/>
  <c r="AC250" i="115"/>
  <c r="AC254" i="115"/>
  <c r="AC258" i="115"/>
  <c r="AC241" i="115"/>
  <c r="AC226" i="115"/>
  <c r="AC237" i="115"/>
  <c r="AC253" i="115"/>
  <c r="AC257" i="115"/>
  <c r="AC228" i="115"/>
  <c r="AC232" i="115"/>
  <c r="AC242" i="115"/>
  <c r="AC246" i="115"/>
  <c r="AC252" i="115"/>
  <c r="AC225" i="115"/>
  <c r="AC227" i="115"/>
  <c r="AC243" i="115"/>
  <c r="AC245" i="115"/>
  <c r="AC255" i="115"/>
  <c r="AC264" i="115"/>
  <c r="AC268" i="115"/>
  <c r="AC272" i="115"/>
  <c r="AC188" i="115"/>
  <c r="AC259" i="115"/>
  <c r="AC230" i="115"/>
  <c r="AC263" i="115"/>
  <c r="AC267" i="115"/>
  <c r="AC271" i="115"/>
  <c r="AC223" i="115"/>
  <c r="AC262" i="115"/>
  <c r="AC266" i="115"/>
  <c r="AC270" i="115"/>
  <c r="AC260" i="115"/>
  <c r="AC251" i="115"/>
  <c r="AC274" i="115"/>
  <c r="AC238" i="115"/>
  <c r="AC269" i="115"/>
  <c r="AC273" i="115"/>
  <c r="AC265" i="115"/>
  <c r="AC256" i="115"/>
  <c r="AC261" i="115"/>
  <c r="AR191" i="115"/>
  <c r="AR195" i="115"/>
  <c r="AR199" i="115"/>
  <c r="AR203" i="115"/>
  <c r="AR207" i="115"/>
  <c r="AR211" i="115"/>
  <c r="AR190" i="115"/>
  <c r="AR194" i="115"/>
  <c r="AR192" i="115"/>
  <c r="AR193" i="115"/>
  <c r="AR204" i="115"/>
  <c r="AR206" i="115"/>
  <c r="AR200" i="115"/>
  <c r="AR214" i="115"/>
  <c r="AR218" i="115"/>
  <c r="AR222" i="115"/>
  <c r="AR196" i="115"/>
  <c r="AR189" i="115"/>
  <c r="AR198" i="115"/>
  <c r="AR208" i="115"/>
  <c r="AR210" i="115"/>
  <c r="AR213" i="115"/>
  <c r="AR217" i="115"/>
  <c r="AR221" i="115"/>
  <c r="AR205" i="115"/>
  <c r="AR197" i="115"/>
  <c r="AR209" i="115"/>
  <c r="AR202" i="115"/>
  <c r="AR225" i="115"/>
  <c r="AR229" i="115"/>
  <c r="AR233" i="115"/>
  <c r="AR215" i="115"/>
  <c r="AR219" i="115"/>
  <c r="AR201" i="115"/>
  <c r="AR224" i="115"/>
  <c r="AR228" i="115"/>
  <c r="AR232" i="115"/>
  <c r="AR216" i="115"/>
  <c r="AR234" i="115"/>
  <c r="AR226" i="115"/>
  <c r="AR227" i="115"/>
  <c r="AR230" i="115"/>
  <c r="AR223" i="115"/>
  <c r="AR235" i="115"/>
  <c r="AR239" i="115"/>
  <c r="AR243" i="115"/>
  <c r="AR212" i="115"/>
  <c r="AR220" i="115"/>
  <c r="AR242" i="115"/>
  <c r="AR250" i="115"/>
  <c r="AR254" i="115"/>
  <c r="AR258" i="115"/>
  <c r="AR236" i="115"/>
  <c r="AR246" i="115"/>
  <c r="AR238" i="115"/>
  <c r="AR253" i="115"/>
  <c r="AR257" i="115"/>
  <c r="AR240" i="115"/>
  <c r="AR252" i="115"/>
  <c r="AR256" i="115"/>
  <c r="AR245" i="115"/>
  <c r="AR241" i="115"/>
  <c r="AR264" i="115"/>
  <c r="AR268" i="115"/>
  <c r="AR272" i="115"/>
  <c r="AR188" i="115"/>
  <c r="AR251" i="115"/>
  <c r="AR260" i="115"/>
  <c r="AR263" i="115"/>
  <c r="AR267" i="115"/>
  <c r="AR271" i="115"/>
  <c r="AR248" i="115"/>
  <c r="AR231" i="115"/>
  <c r="AR247" i="115"/>
  <c r="AR249" i="115"/>
  <c r="AR255" i="115"/>
  <c r="AR262" i="115"/>
  <c r="AR266" i="115"/>
  <c r="AR270" i="115"/>
  <c r="AR244" i="115"/>
  <c r="AR237" i="115"/>
  <c r="AR261" i="115"/>
  <c r="AR274" i="115"/>
  <c r="AR259" i="115"/>
  <c r="AR269" i="115"/>
  <c r="AR265" i="115"/>
  <c r="AR273" i="115"/>
  <c r="BG191" i="115"/>
  <c r="BG195" i="115"/>
  <c r="BG199" i="115"/>
  <c r="BG190" i="115"/>
  <c r="BG194" i="115"/>
  <c r="BG198" i="115"/>
  <c r="BG189" i="115"/>
  <c r="BG193" i="115"/>
  <c r="BG197" i="115"/>
  <c r="BG214" i="115"/>
  <c r="BG218" i="115"/>
  <c r="BG222" i="115"/>
  <c r="BG205" i="115"/>
  <c r="BG192" i="115"/>
  <c r="BG207" i="115"/>
  <c r="BG213" i="115"/>
  <c r="BG201" i="115"/>
  <c r="BG209" i="115"/>
  <c r="BG200" i="115"/>
  <c r="BG196" i="115"/>
  <c r="BG204" i="115"/>
  <c r="BG206" i="115"/>
  <c r="BG203" i="115"/>
  <c r="BG221" i="115"/>
  <c r="BG225" i="115"/>
  <c r="BG229" i="115"/>
  <c r="BG233" i="115"/>
  <c r="BG202" i="115"/>
  <c r="BG216" i="115"/>
  <c r="BG212" i="115"/>
  <c r="BG208" i="115"/>
  <c r="BG224" i="115"/>
  <c r="BG228" i="115"/>
  <c r="BG210" i="115"/>
  <c r="BG220" i="115"/>
  <c r="BG211" i="115"/>
  <c r="BG232" i="115"/>
  <c r="BG236" i="115"/>
  <c r="BG240" i="115"/>
  <c r="BG244" i="115"/>
  <c r="BG248" i="115"/>
  <c r="BG219" i="115"/>
  <c r="BG215" i="115"/>
  <c r="BG235" i="115"/>
  <c r="BG231" i="115"/>
  <c r="BG217" i="115"/>
  <c r="BG238" i="115"/>
  <c r="BG223" i="115"/>
  <c r="BG227" i="115"/>
  <c r="BG237" i="115"/>
  <c r="BG245" i="115"/>
  <c r="BG253" i="115"/>
  <c r="BG257" i="115"/>
  <c r="BG241" i="115"/>
  <c r="BG247" i="115"/>
  <c r="BG230" i="115"/>
  <c r="BG252" i="115"/>
  <c r="BG256" i="115"/>
  <c r="BG226" i="115"/>
  <c r="BG242" i="115"/>
  <c r="BG249" i="115"/>
  <c r="BG239" i="115"/>
  <c r="BG234" i="115"/>
  <c r="BG243" i="115"/>
  <c r="BG250" i="115"/>
  <c r="BG254" i="115"/>
  <c r="BG263" i="115"/>
  <c r="BG267" i="115"/>
  <c r="BG271" i="115"/>
  <c r="BG259" i="115"/>
  <c r="BG262" i="115"/>
  <c r="BG266" i="115"/>
  <c r="BG270" i="115"/>
  <c r="BG251" i="115"/>
  <c r="BG261" i="115"/>
  <c r="BG265" i="115"/>
  <c r="BG269" i="115"/>
  <c r="BG273" i="115"/>
  <c r="BG246" i="115"/>
  <c r="BG188" i="115"/>
  <c r="BG258" i="115"/>
  <c r="BG264" i="115"/>
  <c r="BG260" i="115"/>
  <c r="BG272" i="115"/>
  <c r="BG255" i="115"/>
  <c r="BG274" i="115"/>
  <c r="BG268" i="115"/>
  <c r="AB191" i="115"/>
  <c r="AB195" i="115"/>
  <c r="AB199" i="115"/>
  <c r="AB203" i="115"/>
  <c r="AB207" i="115"/>
  <c r="AB211" i="115"/>
  <c r="AB190" i="115"/>
  <c r="AB194" i="115"/>
  <c r="AB189" i="115"/>
  <c r="AB209" i="115"/>
  <c r="AB214" i="115"/>
  <c r="AB218" i="115"/>
  <c r="AB222" i="115"/>
  <c r="AB197" i="115"/>
  <c r="AB201" i="115"/>
  <c r="AB206" i="115"/>
  <c r="AB204" i="115"/>
  <c r="AB213" i="115"/>
  <c r="AB217" i="115"/>
  <c r="AB221" i="115"/>
  <c r="AB200" i="115"/>
  <c r="AB202" i="115"/>
  <c r="AB192" i="115"/>
  <c r="AB193" i="115"/>
  <c r="AB196" i="115"/>
  <c r="AB205" i="115"/>
  <c r="AB220" i="115"/>
  <c r="AB225" i="115"/>
  <c r="AB229" i="115"/>
  <c r="AB233" i="115"/>
  <c r="AB212" i="115"/>
  <c r="AB224" i="115"/>
  <c r="AB228" i="115"/>
  <c r="AB232" i="115"/>
  <c r="AB208" i="115"/>
  <c r="AB215" i="115"/>
  <c r="AB219" i="115"/>
  <c r="AB210" i="115"/>
  <c r="AB231" i="115"/>
  <c r="AB234" i="115"/>
  <c r="AB235" i="115"/>
  <c r="AB239" i="115"/>
  <c r="AB243" i="115"/>
  <c r="AB198" i="115"/>
  <c r="AB216" i="115"/>
  <c r="AB230" i="115"/>
  <c r="AB226" i="115"/>
  <c r="AB227" i="115"/>
  <c r="AB249" i="115"/>
  <c r="AB250" i="115"/>
  <c r="AB254" i="115"/>
  <c r="AB258" i="115"/>
  <c r="AB241" i="115"/>
  <c r="AB237" i="115"/>
  <c r="AB244" i="115"/>
  <c r="AB253" i="115"/>
  <c r="AB257" i="115"/>
  <c r="AB242" i="115"/>
  <c r="AB246" i="115"/>
  <c r="AB252" i="115"/>
  <c r="AB256" i="115"/>
  <c r="AB236" i="115"/>
  <c r="AB238" i="115"/>
  <c r="AB240" i="115"/>
  <c r="AB245" i="115"/>
  <c r="AB255" i="115"/>
  <c r="AB264" i="115"/>
  <c r="AB268" i="115"/>
  <c r="AB272" i="115"/>
  <c r="AB188" i="115"/>
  <c r="AB259" i="115"/>
  <c r="AB248" i="115"/>
  <c r="AB263" i="115"/>
  <c r="AB267" i="115"/>
  <c r="AB271" i="115"/>
  <c r="AB247" i="115"/>
  <c r="AB223" i="115"/>
  <c r="AB262" i="115"/>
  <c r="AB266" i="115"/>
  <c r="AB270" i="115"/>
  <c r="AB260" i="115"/>
  <c r="AB269" i="115"/>
  <c r="AB273" i="115"/>
  <c r="AB251" i="115"/>
  <c r="AB265" i="115"/>
  <c r="AB261" i="115"/>
  <c r="AB274" i="115"/>
  <c r="AQ191" i="115"/>
  <c r="AQ195" i="115"/>
  <c r="AQ199" i="115"/>
  <c r="AQ190" i="115"/>
  <c r="AQ194" i="115"/>
  <c r="AQ198" i="115"/>
  <c r="AQ189" i="115"/>
  <c r="AQ193" i="115"/>
  <c r="AQ200" i="115"/>
  <c r="AQ214" i="115"/>
  <c r="AQ218" i="115"/>
  <c r="AQ222" i="115"/>
  <c r="AQ196" i="115"/>
  <c r="AQ202" i="115"/>
  <c r="AQ208" i="115"/>
  <c r="AQ210" i="115"/>
  <c r="AQ213" i="115"/>
  <c r="AQ205" i="115"/>
  <c r="AQ203" i="115"/>
  <c r="AQ197" i="115"/>
  <c r="AQ207" i="115"/>
  <c r="AQ217" i="115"/>
  <c r="AQ225" i="115"/>
  <c r="AQ229" i="115"/>
  <c r="AQ233" i="115"/>
  <c r="AQ206" i="115"/>
  <c r="AQ215" i="115"/>
  <c r="AQ219" i="115"/>
  <c r="AQ201" i="115"/>
  <c r="AQ211" i="115"/>
  <c r="AQ221" i="115"/>
  <c r="AQ224" i="115"/>
  <c r="AQ228" i="115"/>
  <c r="AQ216" i="115"/>
  <c r="AQ204" i="115"/>
  <c r="AQ212" i="115"/>
  <c r="AQ220" i="115"/>
  <c r="AQ236" i="115"/>
  <c r="AQ240" i="115"/>
  <c r="AQ244" i="115"/>
  <c r="AQ248" i="115"/>
  <c r="AQ192" i="115"/>
  <c r="AQ226" i="115"/>
  <c r="AQ227" i="115"/>
  <c r="AQ230" i="115"/>
  <c r="AQ223" i="115"/>
  <c r="AQ232" i="115"/>
  <c r="AQ235" i="115"/>
  <c r="AQ238" i="115"/>
  <c r="AQ209" i="115"/>
  <c r="AQ246" i="115"/>
  <c r="AQ239" i="115"/>
  <c r="AQ253" i="115"/>
  <c r="AQ257" i="115"/>
  <c r="AQ243" i="115"/>
  <c r="AQ252" i="115"/>
  <c r="AQ256" i="115"/>
  <c r="AQ245" i="115"/>
  <c r="AQ234" i="115"/>
  <c r="AQ237" i="115"/>
  <c r="AQ247" i="115"/>
  <c r="AQ251" i="115"/>
  <c r="AQ258" i="115"/>
  <c r="AQ260" i="115"/>
  <c r="AQ263" i="115"/>
  <c r="AQ267" i="115"/>
  <c r="AQ271" i="115"/>
  <c r="AQ242" i="115"/>
  <c r="AQ231" i="115"/>
  <c r="AQ249" i="115"/>
  <c r="AQ255" i="115"/>
  <c r="AQ262" i="115"/>
  <c r="AQ266" i="115"/>
  <c r="AQ270" i="115"/>
  <c r="AQ241" i="115"/>
  <c r="AQ250" i="115"/>
  <c r="AQ254" i="115"/>
  <c r="AQ259" i="115"/>
  <c r="AQ261" i="115"/>
  <c r="AQ265" i="115"/>
  <c r="AQ269" i="115"/>
  <c r="AQ273" i="115"/>
  <c r="AQ272" i="115"/>
  <c r="AQ274" i="115"/>
  <c r="AQ188" i="115"/>
  <c r="AQ268" i="115"/>
  <c r="AQ264" i="115"/>
  <c r="BF191" i="115"/>
  <c r="BF195" i="115"/>
  <c r="BF199" i="115"/>
  <c r="BF203" i="115"/>
  <c r="BF207" i="115"/>
  <c r="BF190" i="115"/>
  <c r="BF194" i="115"/>
  <c r="BF198" i="115"/>
  <c r="BF202" i="115"/>
  <c r="BF206" i="115"/>
  <c r="BF210" i="115"/>
  <c r="BF189" i="115"/>
  <c r="BF193" i="115"/>
  <c r="BF197" i="115"/>
  <c r="BF214" i="115"/>
  <c r="BF218" i="115"/>
  <c r="BF205" i="115"/>
  <c r="BF192" i="115"/>
  <c r="BF213" i="115"/>
  <c r="BF217" i="115"/>
  <c r="BF221" i="115"/>
  <c r="BF201" i="115"/>
  <c r="BF209" i="115"/>
  <c r="BF200" i="115"/>
  <c r="BF196" i="115"/>
  <c r="BF212" i="115"/>
  <c r="BF204" i="115"/>
  <c r="BF225" i="115"/>
  <c r="BF229" i="115"/>
  <c r="BF233" i="115"/>
  <c r="BF216" i="115"/>
  <c r="BF208" i="115"/>
  <c r="BF224" i="115"/>
  <c r="BF228" i="115"/>
  <c r="BF232" i="115"/>
  <c r="BF220" i="115"/>
  <c r="BF223" i="115"/>
  <c r="BF227" i="115"/>
  <c r="BF211" i="115"/>
  <c r="BF215" i="115"/>
  <c r="BF236" i="115"/>
  <c r="BF240" i="115"/>
  <c r="BF244" i="115"/>
  <c r="BF248" i="115"/>
  <c r="BF219" i="115"/>
  <c r="BF222" i="115"/>
  <c r="BF235" i="115"/>
  <c r="BF239" i="115"/>
  <c r="BF243" i="115"/>
  <c r="BF247" i="115"/>
  <c r="BF231" i="115"/>
  <c r="BF238" i="115"/>
  <c r="BF242" i="115"/>
  <c r="BF226" i="115"/>
  <c r="BF237" i="115"/>
  <c r="BF245" i="115"/>
  <c r="BF241" i="115"/>
  <c r="BF230" i="115"/>
  <c r="BF252" i="115"/>
  <c r="BF249" i="115"/>
  <c r="BF234" i="115"/>
  <c r="BF246" i="115"/>
  <c r="BF250" i="115"/>
  <c r="BF254" i="115"/>
  <c r="BF263" i="115"/>
  <c r="BF267" i="115"/>
  <c r="BF271" i="115"/>
  <c r="BF257" i="115"/>
  <c r="BF253" i="115"/>
  <c r="BF259" i="115"/>
  <c r="BF262" i="115"/>
  <c r="BF266" i="115"/>
  <c r="BF270" i="115"/>
  <c r="BF274" i="115"/>
  <c r="BF251" i="115"/>
  <c r="BF261" i="115"/>
  <c r="BF265" i="115"/>
  <c r="BF269" i="115"/>
  <c r="BF188" i="115"/>
  <c r="BF256" i="115"/>
  <c r="BF258" i="115"/>
  <c r="BF264" i="115"/>
  <c r="BF273" i="115"/>
  <c r="BF260" i="115"/>
  <c r="BF272" i="115"/>
  <c r="BF255" i="115"/>
  <c r="BF268" i="115"/>
  <c r="BE191" i="115"/>
  <c r="BE195" i="115"/>
  <c r="BE199" i="115"/>
  <c r="BE203" i="115"/>
  <c r="BE207" i="115"/>
  <c r="BE190" i="115"/>
  <c r="BE194" i="115"/>
  <c r="BE198" i="115"/>
  <c r="BE202" i="115"/>
  <c r="BE206" i="115"/>
  <c r="BE210" i="115"/>
  <c r="BE189" i="115"/>
  <c r="BE193" i="115"/>
  <c r="BE197" i="115"/>
  <c r="BE201" i="115"/>
  <c r="BE205" i="115"/>
  <c r="BE192" i="115"/>
  <c r="BE209" i="115"/>
  <c r="BE200" i="115"/>
  <c r="BE196" i="115"/>
  <c r="BE212" i="115"/>
  <c r="BE204" i="115"/>
  <c r="BE211" i="115"/>
  <c r="BE213" i="115"/>
  <c r="BE216" i="115"/>
  <c r="BE208" i="115"/>
  <c r="BE218" i="115"/>
  <c r="BE220" i="115"/>
  <c r="BE214" i="115"/>
  <c r="BE223" i="115"/>
  <c r="BE217" i="115"/>
  <c r="BE228" i="115"/>
  <c r="BE219" i="115"/>
  <c r="BE222" i="115"/>
  <c r="BE215" i="115"/>
  <c r="BE235" i="115"/>
  <c r="BE239" i="115"/>
  <c r="BE243" i="115"/>
  <c r="BE247" i="115"/>
  <c r="BE231" i="115"/>
  <c r="BE229" i="115"/>
  <c r="BE238" i="115"/>
  <c r="BE226" i="115"/>
  <c r="BE233" i="115"/>
  <c r="BE234" i="115"/>
  <c r="BE225" i="115"/>
  <c r="BE227" i="115"/>
  <c r="BE232" i="115"/>
  <c r="BE245" i="115"/>
  <c r="BE253" i="115"/>
  <c r="BE257" i="115"/>
  <c r="BE241" i="115"/>
  <c r="BE230" i="115"/>
  <c r="BE252" i="115"/>
  <c r="BE256" i="115"/>
  <c r="BE260" i="115"/>
  <c r="BE221" i="115"/>
  <c r="BE236" i="115"/>
  <c r="BE248" i="115"/>
  <c r="BE249" i="115"/>
  <c r="BE224" i="115"/>
  <c r="BE242" i="115"/>
  <c r="BE244" i="115"/>
  <c r="BE246" i="115"/>
  <c r="BE251" i="115"/>
  <c r="BE250" i="115"/>
  <c r="BE254" i="115"/>
  <c r="BE263" i="115"/>
  <c r="BE267" i="115"/>
  <c r="BE271" i="115"/>
  <c r="BE259" i="115"/>
  <c r="BE240" i="115"/>
  <c r="BE262" i="115"/>
  <c r="BE266" i="115"/>
  <c r="BE270" i="115"/>
  <c r="BE274" i="115"/>
  <c r="BE261" i="115"/>
  <c r="BE265" i="115"/>
  <c r="BE269" i="115"/>
  <c r="BE258" i="115"/>
  <c r="BE264" i="115"/>
  <c r="BE273" i="115"/>
  <c r="BE237" i="115"/>
  <c r="BE272" i="115"/>
  <c r="BE255" i="115"/>
  <c r="BE268" i="115"/>
  <c r="BE188" i="115"/>
  <c r="BS190" i="115"/>
  <c r="BS194" i="115"/>
  <c r="BS198" i="115"/>
  <c r="BS189" i="115"/>
  <c r="BS193" i="115"/>
  <c r="BS197" i="115"/>
  <c r="BS192" i="115"/>
  <c r="BS199" i="115"/>
  <c r="BS204" i="115"/>
  <c r="BS213" i="115"/>
  <c r="BS217" i="115"/>
  <c r="BS221" i="115"/>
  <c r="BS206" i="115"/>
  <c r="BS191" i="115"/>
  <c r="BS202" i="115"/>
  <c r="BS212" i="115"/>
  <c r="BS195" i="115"/>
  <c r="BS208" i="115"/>
  <c r="BS205" i="115"/>
  <c r="BS203" i="115"/>
  <c r="BS200" i="115"/>
  <c r="BS224" i="115"/>
  <c r="BS228" i="115"/>
  <c r="BS232" i="115"/>
  <c r="BS215" i="115"/>
  <c r="BS196" i="115"/>
  <c r="BS207" i="115"/>
  <c r="BS223" i="115"/>
  <c r="BS227" i="115"/>
  <c r="BS219" i="115"/>
  <c r="BS209" i="115"/>
  <c r="BS210" i="115"/>
  <c r="BS201" i="115"/>
  <c r="BS216" i="115"/>
  <c r="BS225" i="115"/>
  <c r="BS226" i="115"/>
  <c r="BS220" i="115"/>
  <c r="BS235" i="115"/>
  <c r="BS239" i="115"/>
  <c r="BS243" i="115"/>
  <c r="BS247" i="115"/>
  <c r="BS222" i="115"/>
  <c r="BS233" i="115"/>
  <c r="BS211" i="115"/>
  <c r="BS230" i="115"/>
  <c r="BS234" i="115"/>
  <c r="BS218" i="115"/>
  <c r="BS237" i="115"/>
  <c r="BS238" i="115"/>
  <c r="BS242" i="115"/>
  <c r="BS244" i="115"/>
  <c r="BS248" i="115"/>
  <c r="BS214" i="115"/>
  <c r="BS246" i="115"/>
  <c r="BS252" i="115"/>
  <c r="BS256" i="115"/>
  <c r="BS231" i="115"/>
  <c r="BS240" i="115"/>
  <c r="BS251" i="115"/>
  <c r="BS255" i="115"/>
  <c r="BS245" i="115"/>
  <c r="BS236" i="115"/>
  <c r="BS249" i="115"/>
  <c r="BS229" i="115"/>
  <c r="BS262" i="115"/>
  <c r="BS266" i="115"/>
  <c r="BS270" i="115"/>
  <c r="BS274" i="115"/>
  <c r="BS250" i="115"/>
  <c r="BS258" i="115"/>
  <c r="BS254" i="115"/>
  <c r="BS261" i="115"/>
  <c r="BS265" i="115"/>
  <c r="BS269" i="115"/>
  <c r="BS253" i="115"/>
  <c r="BS260" i="115"/>
  <c r="BS264" i="115"/>
  <c r="BS268" i="115"/>
  <c r="BS272" i="115"/>
  <c r="BS241" i="115"/>
  <c r="BS267" i="115"/>
  <c r="BS188" i="115"/>
  <c r="BS263" i="115"/>
  <c r="BS273" i="115"/>
  <c r="BS271" i="115"/>
  <c r="BS257" i="115"/>
  <c r="BS259" i="115"/>
  <c r="BW191" i="115"/>
  <c r="BW195" i="115"/>
  <c r="BW199" i="115"/>
  <c r="BW190" i="115"/>
  <c r="BW194" i="115"/>
  <c r="BW198" i="115"/>
  <c r="BW189" i="115"/>
  <c r="BW193" i="115"/>
  <c r="BW196" i="115"/>
  <c r="BW200" i="115"/>
  <c r="BW207" i="115"/>
  <c r="BW201" i="115"/>
  <c r="BW214" i="115"/>
  <c r="BW218" i="115"/>
  <c r="BW209" i="115"/>
  <c r="BW204" i="115"/>
  <c r="BW206" i="115"/>
  <c r="BW213" i="115"/>
  <c r="BW202" i="115"/>
  <c r="BW197" i="115"/>
  <c r="BW192" i="115"/>
  <c r="BW211" i="115"/>
  <c r="BW225" i="115"/>
  <c r="BW229" i="115"/>
  <c r="BW233" i="115"/>
  <c r="BW203" i="115"/>
  <c r="BW220" i="115"/>
  <c r="BW224" i="115"/>
  <c r="BW228" i="115"/>
  <c r="BW217" i="115"/>
  <c r="BW208" i="115"/>
  <c r="BW215" i="115"/>
  <c r="BW210" i="115"/>
  <c r="BW212" i="115"/>
  <c r="BW219" i="115"/>
  <c r="BW221" i="115"/>
  <c r="BW216" i="115"/>
  <c r="BW231" i="115"/>
  <c r="BW236" i="115"/>
  <c r="BW240" i="115"/>
  <c r="BW244" i="115"/>
  <c r="BW248" i="115"/>
  <c r="BW223" i="115"/>
  <c r="BW226" i="115"/>
  <c r="BW227" i="115"/>
  <c r="BW235" i="115"/>
  <c r="BW222" i="115"/>
  <c r="BW230" i="115"/>
  <c r="BW234" i="115"/>
  <c r="BW238" i="115"/>
  <c r="BW232" i="115"/>
  <c r="BW239" i="115"/>
  <c r="BW242" i="115"/>
  <c r="BW247" i="115"/>
  <c r="BW253" i="115"/>
  <c r="BW257" i="115"/>
  <c r="BW205" i="115"/>
  <c r="BW246" i="115"/>
  <c r="BW249" i="115"/>
  <c r="BW252" i="115"/>
  <c r="BW256" i="115"/>
  <c r="BW237" i="115"/>
  <c r="BW243" i="115"/>
  <c r="BW241" i="115"/>
  <c r="BW251" i="115"/>
  <c r="BW259" i="115"/>
  <c r="BW263" i="115"/>
  <c r="BW267" i="115"/>
  <c r="BW271" i="115"/>
  <c r="BW255" i="115"/>
  <c r="BW262" i="115"/>
  <c r="BW266" i="115"/>
  <c r="BW270" i="115"/>
  <c r="BW245" i="115"/>
  <c r="BW250" i="115"/>
  <c r="BW258" i="115"/>
  <c r="BW254" i="115"/>
  <c r="BW261" i="115"/>
  <c r="BW265" i="115"/>
  <c r="BW269" i="115"/>
  <c r="BW273" i="115"/>
  <c r="BW272" i="115"/>
  <c r="BW268" i="115"/>
  <c r="BW264" i="115"/>
  <c r="BW274" i="115"/>
  <c r="BW188" i="115"/>
  <c r="BW260" i="115"/>
  <c r="BV191" i="115"/>
  <c r="BV195" i="115"/>
  <c r="BV199" i="115"/>
  <c r="BV203" i="115"/>
  <c r="BV207" i="115"/>
  <c r="BV190" i="115"/>
  <c r="BV194" i="115"/>
  <c r="BV198" i="115"/>
  <c r="BV202" i="115"/>
  <c r="BV206" i="115"/>
  <c r="BV210" i="115"/>
  <c r="BV189" i="115"/>
  <c r="BV193" i="115"/>
  <c r="BV197" i="115"/>
  <c r="BV201" i="115"/>
  <c r="BV214" i="115"/>
  <c r="BV218" i="115"/>
  <c r="BV209" i="115"/>
  <c r="BV204" i="115"/>
  <c r="BV213" i="115"/>
  <c r="BV217" i="115"/>
  <c r="BV221" i="115"/>
  <c r="BV192" i="115"/>
  <c r="BV212" i="115"/>
  <c r="BV211" i="115"/>
  <c r="BV225" i="115"/>
  <c r="BV229" i="115"/>
  <c r="BV233" i="115"/>
  <c r="BV220" i="115"/>
  <c r="BV200" i="115"/>
  <c r="BV224" i="115"/>
  <c r="BV228" i="115"/>
  <c r="BV232" i="115"/>
  <c r="BV208" i="115"/>
  <c r="BV215" i="115"/>
  <c r="BV196" i="115"/>
  <c r="BV223" i="115"/>
  <c r="BV227" i="115"/>
  <c r="BV219" i="115"/>
  <c r="BV205" i="115"/>
  <c r="BV216" i="115"/>
  <c r="BV231" i="115"/>
  <c r="BV236" i="115"/>
  <c r="BV240" i="115"/>
  <c r="BV244" i="115"/>
  <c r="BV248" i="115"/>
  <c r="BV226" i="115"/>
  <c r="BV235" i="115"/>
  <c r="BV239" i="115"/>
  <c r="BV243" i="115"/>
  <c r="BV222" i="115"/>
  <c r="BV230" i="115"/>
  <c r="BV234" i="115"/>
  <c r="BV238" i="115"/>
  <c r="BV242" i="115"/>
  <c r="BV247" i="115"/>
  <c r="BV246" i="115"/>
  <c r="BV249" i="115"/>
  <c r="BV252" i="115"/>
  <c r="BV237" i="115"/>
  <c r="BV241" i="115"/>
  <c r="BV251" i="115"/>
  <c r="BV259" i="115"/>
  <c r="BV263" i="115"/>
  <c r="BV267" i="115"/>
  <c r="BV271" i="115"/>
  <c r="BV255" i="115"/>
  <c r="BV262" i="115"/>
  <c r="BV266" i="115"/>
  <c r="BV270" i="115"/>
  <c r="BV274" i="115"/>
  <c r="BV245" i="115"/>
  <c r="BV256" i="115"/>
  <c r="BV250" i="115"/>
  <c r="BV258" i="115"/>
  <c r="BV254" i="115"/>
  <c r="BV261" i="115"/>
  <c r="BV265" i="115"/>
  <c r="BV269" i="115"/>
  <c r="BV253" i="115"/>
  <c r="BV272" i="115"/>
  <c r="BV268" i="115"/>
  <c r="BV264" i="115"/>
  <c r="BV273" i="115"/>
  <c r="BV188" i="115"/>
  <c r="BV257" i="115"/>
  <c r="BV260" i="115"/>
  <c r="Z191" i="115"/>
  <c r="Z195" i="115"/>
  <c r="Z199" i="115"/>
  <c r="Z203" i="115"/>
  <c r="Z207" i="115"/>
  <c r="Z211" i="115"/>
  <c r="Z190" i="115"/>
  <c r="Z194" i="115"/>
  <c r="Z198" i="115"/>
  <c r="Z202" i="115"/>
  <c r="Z206" i="115"/>
  <c r="Z210" i="115"/>
  <c r="Z189" i="115"/>
  <c r="Z193" i="115"/>
  <c r="Z197" i="115"/>
  <c r="Z209" i="115"/>
  <c r="Z214" i="115"/>
  <c r="Z218" i="115"/>
  <c r="Z201" i="115"/>
  <c r="Z204" i="115"/>
  <c r="Z213" i="115"/>
  <c r="Z217" i="115"/>
  <c r="Z221" i="115"/>
  <c r="Z200" i="115"/>
  <c r="Z208" i="115"/>
  <c r="Z212" i="115"/>
  <c r="Z192" i="115"/>
  <c r="Z196" i="115"/>
  <c r="Z205" i="115"/>
  <c r="Z220" i="115"/>
  <c r="Z225" i="115"/>
  <c r="Z229" i="115"/>
  <c r="Z233" i="115"/>
  <c r="Z224" i="115"/>
  <c r="Z228" i="115"/>
  <c r="Z232" i="115"/>
  <c r="Z222" i="115"/>
  <c r="Z215" i="115"/>
  <c r="Z219" i="115"/>
  <c r="Z223" i="115"/>
  <c r="Z227" i="115"/>
  <c r="Z216" i="115"/>
  <c r="Z231" i="115"/>
  <c r="Z234" i="115"/>
  <c r="Z236" i="115"/>
  <c r="Z240" i="115"/>
  <c r="Z244" i="115"/>
  <c r="Z248" i="115"/>
  <c r="Z235" i="115"/>
  <c r="Z239" i="115"/>
  <c r="Z243" i="115"/>
  <c r="Z247" i="115"/>
  <c r="Z230" i="115"/>
  <c r="Z226" i="115"/>
  <c r="Z238" i="115"/>
  <c r="Z242" i="115"/>
  <c r="Z241" i="115"/>
  <c r="Z237" i="115"/>
  <c r="Z246" i="115"/>
  <c r="Z252" i="115"/>
  <c r="Z256" i="115"/>
  <c r="Z245" i="115"/>
  <c r="Z254" i="115"/>
  <c r="Z263" i="115"/>
  <c r="Z267" i="115"/>
  <c r="Z271" i="115"/>
  <c r="Z249" i="115"/>
  <c r="Z250" i="115"/>
  <c r="Z253" i="115"/>
  <c r="Z262" i="115"/>
  <c r="Z266" i="115"/>
  <c r="Z270" i="115"/>
  <c r="Z274" i="115"/>
  <c r="Z258" i="115"/>
  <c r="Z260" i="115"/>
  <c r="Z261" i="115"/>
  <c r="Z265" i="115"/>
  <c r="Z269" i="115"/>
  <c r="Z251" i="115"/>
  <c r="Z273" i="115"/>
  <c r="Z257" i="115"/>
  <c r="Z268" i="115"/>
  <c r="Z259" i="115"/>
  <c r="Z255" i="115"/>
  <c r="Z264" i="115"/>
  <c r="Z272" i="115"/>
  <c r="Z188" i="115"/>
  <c r="BD190" i="115"/>
  <c r="BD194" i="115"/>
  <c r="BD198" i="115"/>
  <c r="BD202" i="115"/>
  <c r="BD206" i="115"/>
  <c r="BD210" i="115"/>
  <c r="BD189" i="115"/>
  <c r="BD193" i="115"/>
  <c r="BD197" i="115"/>
  <c r="BD191" i="115"/>
  <c r="BD192" i="115"/>
  <c r="BD195" i="115"/>
  <c r="BD203" i="115"/>
  <c r="BD213" i="115"/>
  <c r="BD217" i="115"/>
  <c r="BD221" i="115"/>
  <c r="BD207" i="115"/>
  <c r="BD209" i="115"/>
  <c r="BD200" i="115"/>
  <c r="BD201" i="115"/>
  <c r="BD196" i="115"/>
  <c r="BD212" i="115"/>
  <c r="BD216" i="115"/>
  <c r="BD220" i="115"/>
  <c r="BD204" i="115"/>
  <c r="BD199" i="115"/>
  <c r="BD208" i="115"/>
  <c r="BD224" i="115"/>
  <c r="BD228" i="115"/>
  <c r="BD232" i="115"/>
  <c r="BD218" i="115"/>
  <c r="BD214" i="115"/>
  <c r="BD223" i="115"/>
  <c r="BD227" i="115"/>
  <c r="BD231" i="115"/>
  <c r="BD205" i="115"/>
  <c r="BD211" i="115"/>
  <c r="BD215" i="115"/>
  <c r="BD219" i="115"/>
  <c r="BD222" i="115"/>
  <c r="BD229" i="115"/>
  <c r="BD238" i="115"/>
  <c r="BD242" i="115"/>
  <c r="BD246" i="115"/>
  <c r="BD226" i="115"/>
  <c r="BD233" i="115"/>
  <c r="BD234" i="115"/>
  <c r="BD225" i="115"/>
  <c r="BD245" i="115"/>
  <c r="BD253" i="115"/>
  <c r="BD257" i="115"/>
  <c r="BD241" i="115"/>
  <c r="BD230" i="115"/>
  <c r="BD252" i="115"/>
  <c r="BD256" i="115"/>
  <c r="BD260" i="115"/>
  <c r="BD247" i="115"/>
  <c r="BD236" i="115"/>
  <c r="BD248" i="115"/>
  <c r="BD249" i="115"/>
  <c r="BD244" i="115"/>
  <c r="BD251" i="115"/>
  <c r="BD255" i="115"/>
  <c r="BD239" i="115"/>
  <c r="BD243" i="115"/>
  <c r="BD254" i="115"/>
  <c r="BD263" i="115"/>
  <c r="BD267" i="115"/>
  <c r="BD271" i="115"/>
  <c r="BD235" i="115"/>
  <c r="BD259" i="115"/>
  <c r="BD240" i="115"/>
  <c r="BD262" i="115"/>
  <c r="BD266" i="115"/>
  <c r="BD270" i="115"/>
  <c r="BD274" i="115"/>
  <c r="BD261" i="115"/>
  <c r="BD265" i="115"/>
  <c r="BD269" i="115"/>
  <c r="BD273" i="115"/>
  <c r="BD258" i="115"/>
  <c r="BD237" i="115"/>
  <c r="BD264" i="115"/>
  <c r="BD250" i="115"/>
  <c r="BD272" i="115"/>
  <c r="BD268" i="115"/>
  <c r="BD188" i="115"/>
  <c r="BC190" i="115"/>
  <c r="BC194" i="115"/>
  <c r="BC198" i="115"/>
  <c r="BC189" i="115"/>
  <c r="BC193" i="115"/>
  <c r="BC197" i="115"/>
  <c r="BC192" i="115"/>
  <c r="BC191" i="115"/>
  <c r="BC195" i="115"/>
  <c r="BC203" i="115"/>
  <c r="BC213" i="115"/>
  <c r="BC217" i="115"/>
  <c r="BC221" i="115"/>
  <c r="BC200" i="115"/>
  <c r="BC201" i="115"/>
  <c r="BC196" i="115"/>
  <c r="BC212" i="115"/>
  <c r="BC204" i="115"/>
  <c r="BC199" i="115"/>
  <c r="BC206" i="115"/>
  <c r="BC202" i="115"/>
  <c r="BC208" i="115"/>
  <c r="BC224" i="115"/>
  <c r="BC228" i="115"/>
  <c r="BC232" i="115"/>
  <c r="BC207" i="115"/>
  <c r="BC209" i="115"/>
  <c r="BC220" i="115"/>
  <c r="BC214" i="115"/>
  <c r="BC223" i="115"/>
  <c r="BC227" i="115"/>
  <c r="BC210" i="115"/>
  <c r="BC205" i="115"/>
  <c r="BC211" i="115"/>
  <c r="BC215" i="115"/>
  <c r="BC219" i="115"/>
  <c r="BC222" i="115"/>
  <c r="BC235" i="115"/>
  <c r="BC239" i="115"/>
  <c r="BC243" i="115"/>
  <c r="BC247" i="115"/>
  <c r="BC231" i="115"/>
  <c r="BC218" i="115"/>
  <c r="BC229" i="115"/>
  <c r="BC238" i="115"/>
  <c r="BC226" i="115"/>
  <c r="BC233" i="115"/>
  <c r="BC234" i="115"/>
  <c r="BC225" i="115"/>
  <c r="BC237" i="115"/>
  <c r="BC241" i="115"/>
  <c r="BC230" i="115"/>
  <c r="BC252" i="115"/>
  <c r="BC256" i="115"/>
  <c r="BC236" i="115"/>
  <c r="BC248" i="115"/>
  <c r="BC249" i="115"/>
  <c r="BC216" i="115"/>
  <c r="BC242" i="115"/>
  <c r="BC244" i="115"/>
  <c r="BC251" i="115"/>
  <c r="BC255" i="115"/>
  <c r="BC246" i="115"/>
  <c r="BC257" i="115"/>
  <c r="BC259" i="115"/>
  <c r="BC240" i="115"/>
  <c r="BC253" i="115"/>
  <c r="BC262" i="115"/>
  <c r="BC266" i="115"/>
  <c r="BC270" i="115"/>
  <c r="BC274" i="115"/>
  <c r="BC245" i="115"/>
  <c r="BC261" i="115"/>
  <c r="BC265" i="115"/>
  <c r="BC269" i="115"/>
  <c r="BC258" i="115"/>
  <c r="BC264" i="115"/>
  <c r="BC268" i="115"/>
  <c r="BC272" i="115"/>
  <c r="BC250" i="115"/>
  <c r="BC273" i="115"/>
  <c r="BC271" i="115"/>
  <c r="BC263" i="115"/>
  <c r="BC260" i="115"/>
  <c r="BC254" i="115"/>
  <c r="BC188" i="115"/>
  <c r="BC267" i="115"/>
  <c r="BR190" i="115"/>
  <c r="BR194" i="115"/>
  <c r="BR198" i="115"/>
  <c r="BR202" i="115"/>
  <c r="BR206" i="115"/>
  <c r="BR210" i="115"/>
  <c r="BR189" i="115"/>
  <c r="BR193" i="115"/>
  <c r="BR197" i="115"/>
  <c r="BR201" i="115"/>
  <c r="BR205" i="115"/>
  <c r="BR209" i="115"/>
  <c r="BR192" i="115"/>
  <c r="BR196" i="115"/>
  <c r="BR204" i="115"/>
  <c r="BR213" i="115"/>
  <c r="BR217" i="115"/>
  <c r="BR191" i="115"/>
  <c r="BR212" i="115"/>
  <c r="BR216" i="115"/>
  <c r="BR220" i="115"/>
  <c r="BR195" i="115"/>
  <c r="BR208" i="115"/>
  <c r="BR211" i="115"/>
  <c r="BR203" i="115"/>
  <c r="BR200" i="115"/>
  <c r="BR224" i="115"/>
  <c r="BR228" i="115"/>
  <c r="BR232" i="115"/>
  <c r="BR215" i="115"/>
  <c r="BR207" i="115"/>
  <c r="BR223" i="115"/>
  <c r="BR227" i="115"/>
  <c r="BR231" i="115"/>
  <c r="BR219" i="115"/>
  <c r="BR222" i="115"/>
  <c r="BR226" i="115"/>
  <c r="BR225" i="115"/>
  <c r="BR221" i="115"/>
  <c r="BR235" i="115"/>
  <c r="BR239" i="115"/>
  <c r="BR243" i="115"/>
  <c r="BR247" i="115"/>
  <c r="BR233" i="115"/>
  <c r="BR230" i="115"/>
  <c r="BR234" i="115"/>
  <c r="BR238" i="115"/>
  <c r="BR242" i="115"/>
  <c r="BR246" i="115"/>
  <c r="BR218" i="115"/>
  <c r="BR237" i="115"/>
  <c r="BR241" i="115"/>
  <c r="BR199" i="115"/>
  <c r="BR244" i="115"/>
  <c r="BR248" i="115"/>
  <c r="BR249" i="115"/>
  <c r="BR214" i="115"/>
  <c r="BR240" i="115"/>
  <c r="BR251" i="115"/>
  <c r="BR255" i="115"/>
  <c r="BR245" i="115"/>
  <c r="BR236" i="115"/>
  <c r="BR229" i="115"/>
  <c r="BR262" i="115"/>
  <c r="BR266" i="115"/>
  <c r="BR270" i="115"/>
  <c r="BR274" i="115"/>
  <c r="BR250" i="115"/>
  <c r="BR258" i="115"/>
  <c r="BR254" i="115"/>
  <c r="BR256" i="115"/>
  <c r="BR261" i="115"/>
  <c r="BR265" i="115"/>
  <c r="BR269" i="115"/>
  <c r="BR273" i="115"/>
  <c r="BR253" i="115"/>
  <c r="BR260" i="115"/>
  <c r="BR264" i="115"/>
  <c r="BR268" i="115"/>
  <c r="BR252" i="115"/>
  <c r="BR257" i="115"/>
  <c r="BR267" i="115"/>
  <c r="BR188" i="115"/>
  <c r="BR263" i="115"/>
  <c r="BR271" i="115"/>
  <c r="BR259" i="115"/>
  <c r="BR272" i="115"/>
  <c r="AL190" i="115"/>
  <c r="AL194" i="115"/>
  <c r="AL198" i="115"/>
  <c r="AL202" i="115"/>
  <c r="AL206" i="115"/>
  <c r="AL210" i="115"/>
  <c r="AL189" i="115"/>
  <c r="AL193" i="115"/>
  <c r="AL197" i="115"/>
  <c r="AL201" i="115"/>
  <c r="AL205" i="115"/>
  <c r="AL209" i="115"/>
  <c r="AL192" i="115"/>
  <c r="AL196" i="115"/>
  <c r="AL213" i="115"/>
  <c r="AL217" i="115"/>
  <c r="AL221" i="115"/>
  <c r="AL212" i="115"/>
  <c r="AL216" i="115"/>
  <c r="AL220" i="115"/>
  <c r="AL203" i="115"/>
  <c r="AL207" i="115"/>
  <c r="AL195" i="115"/>
  <c r="AL191" i="115"/>
  <c r="AL204" i="115"/>
  <c r="AL200" i="115"/>
  <c r="AL224" i="115"/>
  <c r="AL228" i="115"/>
  <c r="AL232" i="115"/>
  <c r="AL211" i="115"/>
  <c r="AL223" i="115"/>
  <c r="AL227" i="115"/>
  <c r="AL231" i="115"/>
  <c r="AL199" i="115"/>
  <c r="AL218" i="115"/>
  <c r="AL226" i="115"/>
  <c r="AL214" i="115"/>
  <c r="AL225" i="115"/>
  <c r="AL235" i="115"/>
  <c r="AL239" i="115"/>
  <c r="AL243" i="115"/>
  <c r="AL247" i="115"/>
  <c r="AL215" i="115"/>
  <c r="AL208" i="115"/>
  <c r="AL238" i="115"/>
  <c r="AL242" i="115"/>
  <c r="AL246" i="115"/>
  <c r="AL237" i="115"/>
  <c r="AL241" i="115"/>
  <c r="AL229" i="115"/>
  <c r="AL234" i="115"/>
  <c r="AL222" i="115"/>
  <c r="AL230" i="115"/>
  <c r="AL240" i="115"/>
  <c r="AL245" i="115"/>
  <c r="AL251" i="115"/>
  <c r="AL255" i="115"/>
  <c r="AL233" i="115"/>
  <c r="AL248" i="115"/>
  <c r="AL249" i="115"/>
  <c r="AL250" i="115"/>
  <c r="AL260" i="115"/>
  <c r="AL262" i="115"/>
  <c r="AL266" i="115"/>
  <c r="AL270" i="115"/>
  <c r="AL274" i="115"/>
  <c r="AL219" i="115"/>
  <c r="AL256" i="115"/>
  <c r="AL236" i="115"/>
  <c r="AL244" i="115"/>
  <c r="AL254" i="115"/>
  <c r="AL259" i="115"/>
  <c r="AL261" i="115"/>
  <c r="AL265" i="115"/>
  <c r="AL269" i="115"/>
  <c r="AL273" i="115"/>
  <c r="AL257" i="115"/>
  <c r="AL253" i="115"/>
  <c r="AL264" i="115"/>
  <c r="AL268" i="115"/>
  <c r="AL272" i="115"/>
  <c r="AL188" i="115"/>
  <c r="AL267" i="115"/>
  <c r="AL271" i="115"/>
  <c r="AL252" i="115"/>
  <c r="AL258" i="115"/>
  <c r="AL263" i="115"/>
  <c r="V190" i="115"/>
  <c r="V194" i="115"/>
  <c r="V198" i="115"/>
  <c r="V202" i="115"/>
  <c r="V206" i="115"/>
  <c r="V210" i="115"/>
  <c r="V189" i="115"/>
  <c r="V193" i="115"/>
  <c r="V197" i="115"/>
  <c r="V201" i="115"/>
  <c r="V205" i="115"/>
  <c r="V209" i="115"/>
  <c r="V192" i="115"/>
  <c r="V196" i="115"/>
  <c r="V204" i="115"/>
  <c r="V213" i="115"/>
  <c r="V217" i="115"/>
  <c r="V221" i="115"/>
  <c r="V211" i="115"/>
  <c r="V195" i="115"/>
  <c r="V200" i="115"/>
  <c r="V208" i="115"/>
  <c r="V212" i="115"/>
  <c r="V216" i="115"/>
  <c r="V220" i="115"/>
  <c r="V191" i="115"/>
  <c r="V199" i="115"/>
  <c r="V214" i="115"/>
  <c r="V224" i="115"/>
  <c r="V228" i="115"/>
  <c r="V232" i="115"/>
  <c r="V222" i="115"/>
  <c r="V215" i="115"/>
  <c r="V219" i="115"/>
  <c r="V223" i="115"/>
  <c r="V227" i="115"/>
  <c r="V231" i="115"/>
  <c r="V203" i="115"/>
  <c r="V226" i="115"/>
  <c r="V207" i="115"/>
  <c r="V218" i="115"/>
  <c r="V229" i="115"/>
  <c r="V233" i="115"/>
  <c r="V235" i="115"/>
  <c r="V239" i="115"/>
  <c r="V243" i="115"/>
  <c r="V247" i="115"/>
  <c r="V230" i="115"/>
  <c r="V238" i="115"/>
  <c r="V242" i="115"/>
  <c r="V246" i="115"/>
  <c r="V225" i="115"/>
  <c r="V237" i="115"/>
  <c r="V241" i="115"/>
  <c r="V244" i="115"/>
  <c r="V234" i="115"/>
  <c r="V251" i="115"/>
  <c r="V255" i="115"/>
  <c r="V236" i="115"/>
  <c r="V240" i="115"/>
  <c r="V245" i="115"/>
  <c r="V248" i="115"/>
  <c r="V249" i="115"/>
  <c r="V250" i="115"/>
  <c r="V253" i="115"/>
  <c r="V262" i="115"/>
  <c r="V266" i="115"/>
  <c r="V270" i="115"/>
  <c r="V274" i="115"/>
  <c r="V258" i="115"/>
  <c r="V252" i="115"/>
  <c r="V260" i="115"/>
  <c r="V261" i="115"/>
  <c r="V265" i="115"/>
  <c r="V269" i="115"/>
  <c r="V273" i="115"/>
  <c r="V264" i="115"/>
  <c r="V268" i="115"/>
  <c r="V259" i="115"/>
  <c r="V256" i="115"/>
  <c r="V254" i="115"/>
  <c r="V257" i="115"/>
  <c r="V267" i="115"/>
  <c r="V271" i="115"/>
  <c r="V263" i="115"/>
  <c r="V272" i="115"/>
  <c r="V188" i="115"/>
  <c r="AJ189" i="115"/>
  <c r="AJ193" i="115"/>
  <c r="AJ197" i="115"/>
  <c r="AJ201" i="115"/>
  <c r="AJ205" i="115"/>
  <c r="AJ209" i="115"/>
  <c r="AJ192" i="115"/>
  <c r="AJ196" i="115"/>
  <c r="AJ202" i="115"/>
  <c r="AJ210" i="115"/>
  <c r="AJ212" i="115"/>
  <c r="AJ216" i="115"/>
  <c r="AJ220" i="115"/>
  <c r="AJ194" i="115"/>
  <c r="AJ198" i="115"/>
  <c r="AJ203" i="115"/>
  <c r="AJ207" i="115"/>
  <c r="AJ215" i="115"/>
  <c r="AJ219" i="115"/>
  <c r="AJ195" i="115"/>
  <c r="AJ190" i="115"/>
  <c r="AJ191" i="115"/>
  <c r="AJ204" i="115"/>
  <c r="AJ200" i="115"/>
  <c r="AJ206" i="115"/>
  <c r="AJ211" i="115"/>
  <c r="AJ221" i="115"/>
  <c r="AJ223" i="115"/>
  <c r="AJ227" i="115"/>
  <c r="AJ231" i="115"/>
  <c r="AJ199" i="115"/>
  <c r="AJ213" i="115"/>
  <c r="AJ218" i="115"/>
  <c r="AJ226" i="115"/>
  <c r="AJ230" i="115"/>
  <c r="AJ214" i="115"/>
  <c r="AJ222" i="115"/>
  <c r="AJ224" i="115"/>
  <c r="AJ232" i="115"/>
  <c r="AJ208" i="115"/>
  <c r="AJ228" i="115"/>
  <c r="AJ217" i="115"/>
  <c r="AJ237" i="115"/>
  <c r="AJ241" i="115"/>
  <c r="AJ245" i="115"/>
  <c r="AJ229" i="115"/>
  <c r="AJ234" i="115"/>
  <c r="AJ233" i="115"/>
  <c r="AJ240" i="115"/>
  <c r="AJ252" i="115"/>
  <c r="AJ256" i="115"/>
  <c r="AJ260" i="115"/>
  <c r="AJ238" i="115"/>
  <c r="AJ243" i="115"/>
  <c r="AJ251" i="115"/>
  <c r="AJ255" i="115"/>
  <c r="AJ259" i="115"/>
  <c r="AJ248" i="115"/>
  <c r="AJ249" i="115"/>
  <c r="AJ247" i="115"/>
  <c r="AJ235" i="115"/>
  <c r="AJ250" i="115"/>
  <c r="AJ254" i="115"/>
  <c r="AJ244" i="115"/>
  <c r="AJ236" i="115"/>
  <c r="AJ242" i="115"/>
  <c r="AJ246" i="115"/>
  <c r="AJ262" i="115"/>
  <c r="AJ266" i="115"/>
  <c r="AJ270" i="115"/>
  <c r="AJ274" i="115"/>
  <c r="AJ261" i="115"/>
  <c r="AJ265" i="115"/>
  <c r="AJ269" i="115"/>
  <c r="AJ273" i="115"/>
  <c r="AJ257" i="115"/>
  <c r="AJ239" i="115"/>
  <c r="AJ253" i="115"/>
  <c r="AJ264" i="115"/>
  <c r="AJ268" i="115"/>
  <c r="AJ272" i="115"/>
  <c r="AJ225" i="115"/>
  <c r="AJ188" i="115"/>
  <c r="AJ267" i="115"/>
  <c r="AJ271" i="115"/>
  <c r="AJ258" i="115"/>
  <c r="AJ263" i="115"/>
  <c r="AI189" i="115"/>
  <c r="AI193" i="115"/>
  <c r="AI197" i="115"/>
  <c r="AI201" i="115"/>
  <c r="AI192" i="115"/>
  <c r="AI196" i="115"/>
  <c r="AI200" i="115"/>
  <c r="AI191" i="115"/>
  <c r="AI210" i="115"/>
  <c r="AI212" i="115"/>
  <c r="AI216" i="115"/>
  <c r="AI220" i="115"/>
  <c r="AI194" i="115"/>
  <c r="AI205" i="115"/>
  <c r="AI198" i="115"/>
  <c r="AI207" i="115"/>
  <c r="AI215" i="115"/>
  <c r="AI195" i="115"/>
  <c r="AI190" i="115"/>
  <c r="AI209" i="115"/>
  <c r="AI204" i="115"/>
  <c r="AI202" i="115"/>
  <c r="AI211" i="115"/>
  <c r="AI221" i="115"/>
  <c r="AI223" i="115"/>
  <c r="AI227" i="115"/>
  <c r="AI231" i="115"/>
  <c r="AI199" i="115"/>
  <c r="AI213" i="115"/>
  <c r="AI218" i="115"/>
  <c r="AI226" i="115"/>
  <c r="AI214" i="115"/>
  <c r="AI208" i="115"/>
  <c r="AI217" i="115"/>
  <c r="AI224" i="115"/>
  <c r="AI232" i="115"/>
  <c r="AI238" i="115"/>
  <c r="AI242" i="115"/>
  <c r="AI246" i="115"/>
  <c r="AI228" i="115"/>
  <c r="AI203" i="115"/>
  <c r="AI237" i="115"/>
  <c r="AI229" i="115"/>
  <c r="AI234" i="115"/>
  <c r="AI222" i="115"/>
  <c r="AI233" i="115"/>
  <c r="AI236" i="115"/>
  <c r="AI230" i="115"/>
  <c r="AI243" i="115"/>
  <c r="AI245" i="115"/>
  <c r="AI251" i="115"/>
  <c r="AI255" i="115"/>
  <c r="AI259" i="115"/>
  <c r="AI248" i="115"/>
  <c r="AI249" i="115"/>
  <c r="AI241" i="115"/>
  <c r="AI247" i="115"/>
  <c r="AI206" i="115"/>
  <c r="AI235" i="115"/>
  <c r="AI250" i="115"/>
  <c r="AI254" i="115"/>
  <c r="AI244" i="115"/>
  <c r="AI219" i="115"/>
  <c r="AI260" i="115"/>
  <c r="AI240" i="115"/>
  <c r="AI256" i="115"/>
  <c r="AI261" i="115"/>
  <c r="AI265" i="115"/>
  <c r="AI269" i="115"/>
  <c r="AI273" i="115"/>
  <c r="AI257" i="115"/>
  <c r="AI239" i="115"/>
  <c r="AI253" i="115"/>
  <c r="AI264" i="115"/>
  <c r="AI268" i="115"/>
  <c r="AI225" i="115"/>
  <c r="AI258" i="115"/>
  <c r="AI263" i="115"/>
  <c r="AI267" i="115"/>
  <c r="AI271" i="115"/>
  <c r="AI252" i="115"/>
  <c r="AI188" i="115"/>
  <c r="AI274" i="115"/>
  <c r="AI270" i="115"/>
  <c r="AI266" i="115"/>
  <c r="AI272" i="115"/>
  <c r="AI262" i="115"/>
  <c r="BI192" i="115"/>
  <c r="BI196" i="115"/>
  <c r="BI200" i="115"/>
  <c r="BI204" i="115"/>
  <c r="BI208" i="115"/>
  <c r="BI191" i="115"/>
  <c r="BI195" i="115"/>
  <c r="BI199" i="115"/>
  <c r="BI203" i="115"/>
  <c r="BI207" i="115"/>
  <c r="BI190" i="115"/>
  <c r="BI194" i="115"/>
  <c r="BI198" i="115"/>
  <c r="BI202" i="115"/>
  <c r="BI210" i="115"/>
  <c r="BI197" i="115"/>
  <c r="BI205" i="115"/>
  <c r="BI193" i="115"/>
  <c r="BI201" i="115"/>
  <c r="BI189" i="115"/>
  <c r="BI212" i="115"/>
  <c r="BI213" i="115"/>
  <c r="BI219" i="115"/>
  <c r="BI221" i="115"/>
  <c r="BI206" i="115"/>
  <c r="BI209" i="115"/>
  <c r="BI216" i="115"/>
  <c r="BI218" i="115"/>
  <c r="BI224" i="115"/>
  <c r="BI214" i="115"/>
  <c r="BI220" i="115"/>
  <c r="BI211" i="115"/>
  <c r="BI217" i="115"/>
  <c r="BI228" i="115"/>
  <c r="BI230" i="115"/>
  <c r="BI232" i="115"/>
  <c r="BI222" i="115"/>
  <c r="BI236" i="115"/>
  <c r="BI240" i="115"/>
  <c r="BI244" i="115"/>
  <c r="BI248" i="115"/>
  <c r="BI215" i="115"/>
  <c r="BI229" i="115"/>
  <c r="BI235" i="115"/>
  <c r="BI231" i="115"/>
  <c r="BI225" i="115"/>
  <c r="BI243" i="115"/>
  <c r="BI250" i="115"/>
  <c r="BI254" i="115"/>
  <c r="BI258" i="115"/>
  <c r="BI223" i="115"/>
  <c r="BI227" i="115"/>
  <c r="BI237" i="115"/>
  <c r="BI245" i="115"/>
  <c r="BI253" i="115"/>
  <c r="BI257" i="115"/>
  <c r="BI241" i="115"/>
  <c r="BI247" i="115"/>
  <c r="BI226" i="115"/>
  <c r="BI233" i="115"/>
  <c r="BI255" i="115"/>
  <c r="BI260" i="115"/>
  <c r="BI264" i="115"/>
  <c r="BI268" i="115"/>
  <c r="BI272" i="115"/>
  <c r="BI188" i="115"/>
  <c r="BI238" i="115"/>
  <c r="BI252" i="115"/>
  <c r="BI263" i="115"/>
  <c r="BI267" i="115"/>
  <c r="BI271" i="115"/>
  <c r="BI242" i="115"/>
  <c r="BI259" i="115"/>
  <c r="BI262" i="115"/>
  <c r="BI266" i="115"/>
  <c r="BI270" i="115"/>
  <c r="BI239" i="115"/>
  <c r="BI249" i="115"/>
  <c r="BI251" i="115"/>
  <c r="BI234" i="115"/>
  <c r="BI274" i="115"/>
  <c r="BI265" i="115"/>
  <c r="BI256" i="115"/>
  <c r="BI273" i="115"/>
  <c r="BI261" i="115"/>
  <c r="BI269" i="115"/>
  <c r="BI246" i="115"/>
  <c r="AA191" i="115"/>
  <c r="AA195" i="115"/>
  <c r="AA199" i="115"/>
  <c r="AA190" i="115"/>
  <c r="AA194" i="115"/>
  <c r="AA198" i="115"/>
  <c r="AA189" i="115"/>
  <c r="AA193" i="115"/>
  <c r="AA209" i="115"/>
  <c r="AA214" i="115"/>
  <c r="AA218" i="115"/>
  <c r="AA222" i="115"/>
  <c r="AA197" i="115"/>
  <c r="AA201" i="115"/>
  <c r="AA206" i="115"/>
  <c r="AA211" i="115"/>
  <c r="AA204" i="115"/>
  <c r="AA213" i="115"/>
  <c r="AA200" i="115"/>
  <c r="AA202" i="115"/>
  <c r="AA192" i="115"/>
  <c r="AA196" i="115"/>
  <c r="AA205" i="115"/>
  <c r="AA220" i="115"/>
  <c r="AA225" i="115"/>
  <c r="AA229" i="115"/>
  <c r="AA233" i="115"/>
  <c r="AA212" i="115"/>
  <c r="AA217" i="115"/>
  <c r="AA224" i="115"/>
  <c r="AA228" i="115"/>
  <c r="AA208" i="115"/>
  <c r="AA215" i="115"/>
  <c r="AA219" i="115"/>
  <c r="AA203" i="115"/>
  <c r="AA221" i="115"/>
  <c r="AA207" i="115"/>
  <c r="AA231" i="115"/>
  <c r="AA234" i="115"/>
  <c r="AA236" i="115"/>
  <c r="AA240" i="115"/>
  <c r="AA244" i="115"/>
  <c r="AA248" i="115"/>
  <c r="AA235" i="115"/>
  <c r="AA216" i="115"/>
  <c r="AA230" i="115"/>
  <c r="AA226" i="115"/>
  <c r="AA227" i="115"/>
  <c r="AA232" i="115"/>
  <c r="AA238" i="115"/>
  <c r="AA241" i="115"/>
  <c r="AA237" i="115"/>
  <c r="AA253" i="115"/>
  <c r="AA257" i="115"/>
  <c r="AA242" i="115"/>
  <c r="AA246" i="115"/>
  <c r="AA252" i="115"/>
  <c r="AA256" i="115"/>
  <c r="AA210" i="115"/>
  <c r="AA239" i="115"/>
  <c r="AA259" i="115"/>
  <c r="AA254" i="115"/>
  <c r="AA263" i="115"/>
  <c r="AA267" i="115"/>
  <c r="AA271" i="115"/>
  <c r="AA249" i="115"/>
  <c r="AA247" i="115"/>
  <c r="AA250" i="115"/>
  <c r="AA223" i="115"/>
  <c r="AA262" i="115"/>
  <c r="AA266" i="115"/>
  <c r="AA270" i="115"/>
  <c r="AA258" i="115"/>
  <c r="AA260" i="115"/>
  <c r="AA243" i="115"/>
  <c r="AA261" i="115"/>
  <c r="AA265" i="115"/>
  <c r="AA269" i="115"/>
  <c r="AA273" i="115"/>
  <c r="AA251" i="115"/>
  <c r="AA268" i="115"/>
  <c r="AA255" i="115"/>
  <c r="AA264" i="115"/>
  <c r="AA245" i="115"/>
  <c r="AA272" i="115"/>
  <c r="AA274" i="115"/>
  <c r="AA188" i="115"/>
  <c r="AO191" i="115"/>
  <c r="AO195" i="115"/>
  <c r="AO199" i="115"/>
  <c r="AO203" i="115"/>
  <c r="AO207" i="115"/>
  <c r="AO211" i="115"/>
  <c r="AO190" i="115"/>
  <c r="AO194" i="115"/>
  <c r="AO198" i="115"/>
  <c r="AO202" i="115"/>
  <c r="AO206" i="115"/>
  <c r="AO210" i="115"/>
  <c r="AO189" i="115"/>
  <c r="AO193" i="115"/>
  <c r="AO197" i="115"/>
  <c r="AO201" i="115"/>
  <c r="AO196" i="115"/>
  <c r="AO208" i="115"/>
  <c r="AO205" i="115"/>
  <c r="AO212" i="115"/>
  <c r="AO215" i="115"/>
  <c r="AO222" i="115"/>
  <c r="AO219" i="115"/>
  <c r="AO221" i="115"/>
  <c r="AO216" i="115"/>
  <c r="AO204" i="115"/>
  <c r="AO213" i="115"/>
  <c r="AO223" i="115"/>
  <c r="AO218" i="115"/>
  <c r="AO220" i="115"/>
  <c r="AO236" i="115"/>
  <c r="AO192" i="115"/>
  <c r="AO226" i="115"/>
  <c r="AO227" i="115"/>
  <c r="AO230" i="115"/>
  <c r="AO225" i="115"/>
  <c r="AO224" i="115"/>
  <c r="AO232" i="115"/>
  <c r="AO235" i="115"/>
  <c r="AO239" i="115"/>
  <c r="AO243" i="115"/>
  <c r="AO247" i="115"/>
  <c r="AO228" i="115"/>
  <c r="AO217" i="115"/>
  <c r="AO238" i="115"/>
  <c r="AO214" i="115"/>
  <c r="AO209" i="115"/>
  <c r="AO231" i="115"/>
  <c r="AO253" i="115"/>
  <c r="AO257" i="115"/>
  <c r="AO200" i="115"/>
  <c r="AO240" i="115"/>
  <c r="AO252" i="115"/>
  <c r="AO256" i="115"/>
  <c r="AO260" i="115"/>
  <c r="AO229" i="115"/>
  <c r="AO245" i="115"/>
  <c r="AO234" i="115"/>
  <c r="AO237" i="115"/>
  <c r="AO241" i="115"/>
  <c r="AO251" i="115"/>
  <c r="AO233" i="115"/>
  <c r="AO248" i="115"/>
  <c r="AO249" i="115"/>
  <c r="AO258" i="115"/>
  <c r="AO263" i="115"/>
  <c r="AO267" i="115"/>
  <c r="AO271" i="115"/>
  <c r="AO242" i="115"/>
  <c r="AO255" i="115"/>
  <c r="AO262" i="115"/>
  <c r="AO266" i="115"/>
  <c r="AO270" i="115"/>
  <c r="AO274" i="115"/>
  <c r="AO244" i="115"/>
  <c r="AO250" i="115"/>
  <c r="AO254" i="115"/>
  <c r="AO259" i="115"/>
  <c r="AO261" i="115"/>
  <c r="AO265" i="115"/>
  <c r="AO269" i="115"/>
  <c r="AO246" i="115"/>
  <c r="AO272" i="115"/>
  <c r="AO188" i="115"/>
  <c r="AO268" i="115"/>
  <c r="AO273" i="115"/>
  <c r="AO264" i="115"/>
  <c r="AX189" i="115"/>
  <c r="AX193" i="115"/>
  <c r="AX197" i="115"/>
  <c r="AX201" i="115"/>
  <c r="AX205" i="115"/>
  <c r="AX209" i="115"/>
  <c r="AX192" i="115"/>
  <c r="AX196" i="115"/>
  <c r="AX200" i="115"/>
  <c r="AX204" i="115"/>
  <c r="AX208" i="115"/>
  <c r="AX191" i="115"/>
  <c r="AX195" i="115"/>
  <c r="AX212" i="115"/>
  <c r="AX216" i="115"/>
  <c r="AX220" i="115"/>
  <c r="AX199" i="115"/>
  <c r="AX211" i="115"/>
  <c r="AX215" i="115"/>
  <c r="AX219" i="115"/>
  <c r="AX206" i="115"/>
  <c r="AX194" i="115"/>
  <c r="AX202" i="115"/>
  <c r="AX198" i="115"/>
  <c r="AX190" i="115"/>
  <c r="AX210" i="115"/>
  <c r="AX207" i="115"/>
  <c r="AX214" i="115"/>
  <c r="AX223" i="115"/>
  <c r="AX227" i="115"/>
  <c r="AX231" i="115"/>
  <c r="AX226" i="115"/>
  <c r="AX230" i="115"/>
  <c r="AX217" i="115"/>
  <c r="AX222" i="115"/>
  <c r="AX225" i="115"/>
  <c r="AX203" i="115"/>
  <c r="AX213" i="115"/>
  <c r="AX229" i="115"/>
  <c r="AX238" i="115"/>
  <c r="AX242" i="115"/>
  <c r="AX246" i="115"/>
  <c r="AX218" i="115"/>
  <c r="AX233" i="115"/>
  <c r="AX234" i="115"/>
  <c r="AX237" i="115"/>
  <c r="AX241" i="115"/>
  <c r="AX245" i="115"/>
  <c r="AX224" i="115"/>
  <c r="AX236" i="115"/>
  <c r="AX240" i="115"/>
  <c r="AX221" i="115"/>
  <c r="AX248" i="115"/>
  <c r="AX249" i="115"/>
  <c r="AX247" i="115"/>
  <c r="AX244" i="115"/>
  <c r="AX239" i="115"/>
  <c r="AX250" i="115"/>
  <c r="AX254" i="115"/>
  <c r="AX243" i="115"/>
  <c r="AX228" i="115"/>
  <c r="AX232" i="115"/>
  <c r="AX235" i="115"/>
  <c r="AX259" i="115"/>
  <c r="AX252" i="115"/>
  <c r="AX261" i="115"/>
  <c r="AX265" i="115"/>
  <c r="AX269" i="115"/>
  <c r="AX273" i="115"/>
  <c r="AX258" i="115"/>
  <c r="AX264" i="115"/>
  <c r="AX268" i="115"/>
  <c r="AX272" i="115"/>
  <c r="AX188" i="115"/>
  <c r="AX251" i="115"/>
  <c r="AX260" i="115"/>
  <c r="AX263" i="115"/>
  <c r="AX267" i="115"/>
  <c r="AX256" i="115"/>
  <c r="AX255" i="115"/>
  <c r="AX253" i="115"/>
  <c r="AX262" i="115"/>
  <c r="AX257" i="115"/>
  <c r="AX270" i="115"/>
  <c r="AX274" i="115"/>
  <c r="AX266" i="115"/>
  <c r="AX271" i="115"/>
  <c r="AH189" i="115"/>
  <c r="AH193" i="115"/>
  <c r="AH197" i="115"/>
  <c r="AH201" i="115"/>
  <c r="AH205" i="115"/>
  <c r="AH209" i="115"/>
  <c r="AH192" i="115"/>
  <c r="AH196" i="115"/>
  <c r="AH200" i="115"/>
  <c r="AH204" i="115"/>
  <c r="AH208" i="115"/>
  <c r="AH191" i="115"/>
  <c r="AH195" i="115"/>
  <c r="AH210" i="115"/>
  <c r="AH212" i="115"/>
  <c r="AH216" i="115"/>
  <c r="AH220" i="115"/>
  <c r="AH194" i="115"/>
  <c r="AH198" i="115"/>
  <c r="AH203" i="115"/>
  <c r="AH215" i="115"/>
  <c r="AH219" i="115"/>
  <c r="AH190" i="115"/>
  <c r="AH211" i="115"/>
  <c r="AH199" i="115"/>
  <c r="AH206" i="115"/>
  <c r="AH221" i="115"/>
  <c r="AH223" i="115"/>
  <c r="AH227" i="115"/>
  <c r="AH231" i="115"/>
  <c r="AH213" i="115"/>
  <c r="AH226" i="115"/>
  <c r="AH230" i="115"/>
  <c r="AH214" i="115"/>
  <c r="AH225" i="115"/>
  <c r="AH218" i="115"/>
  <c r="AH224" i="115"/>
  <c r="AH232" i="115"/>
  <c r="AH207" i="115"/>
  <c r="AH238" i="115"/>
  <c r="AH242" i="115"/>
  <c r="AH246" i="115"/>
  <c r="AH228" i="115"/>
  <c r="AH202" i="115"/>
  <c r="AH217" i="115"/>
  <c r="AH237" i="115"/>
  <c r="AH241" i="115"/>
  <c r="AH245" i="115"/>
  <c r="AH229" i="115"/>
  <c r="AH234" i="115"/>
  <c r="AH222" i="115"/>
  <c r="AH233" i="115"/>
  <c r="AH236" i="115"/>
  <c r="AH240" i="115"/>
  <c r="AH243" i="115"/>
  <c r="AH248" i="115"/>
  <c r="AH249" i="115"/>
  <c r="AH247" i="115"/>
  <c r="AH235" i="115"/>
  <c r="AH250" i="115"/>
  <c r="AH254" i="115"/>
  <c r="AH244" i="115"/>
  <c r="AH239" i="115"/>
  <c r="AH251" i="115"/>
  <c r="AH256" i="115"/>
  <c r="AH261" i="115"/>
  <c r="AH265" i="115"/>
  <c r="AH269" i="115"/>
  <c r="AH273" i="115"/>
  <c r="AH257" i="115"/>
  <c r="AH255" i="115"/>
  <c r="AH259" i="115"/>
  <c r="AH253" i="115"/>
  <c r="AH264" i="115"/>
  <c r="AH268" i="115"/>
  <c r="AH272" i="115"/>
  <c r="AH188" i="115"/>
  <c r="AH258" i="115"/>
  <c r="AH263" i="115"/>
  <c r="AH267" i="115"/>
  <c r="AH252" i="115"/>
  <c r="AH260" i="115"/>
  <c r="AH274" i="115"/>
  <c r="AH270" i="115"/>
  <c r="AH271" i="115"/>
  <c r="AH266" i="115"/>
  <c r="AH262" i="115"/>
  <c r="R189" i="115"/>
  <c r="R193" i="115"/>
  <c r="R197" i="115"/>
  <c r="R201" i="115"/>
  <c r="R205" i="115"/>
  <c r="R209" i="115"/>
  <c r="R192" i="115"/>
  <c r="R196" i="115"/>
  <c r="R200" i="115"/>
  <c r="R204" i="115"/>
  <c r="R208" i="115"/>
  <c r="R191" i="115"/>
  <c r="R195" i="115"/>
  <c r="R199" i="115"/>
  <c r="R206" i="115"/>
  <c r="R212" i="115"/>
  <c r="R216" i="115"/>
  <c r="R220" i="115"/>
  <c r="R190" i="115"/>
  <c r="R202" i="115"/>
  <c r="R215" i="115"/>
  <c r="R219" i="115"/>
  <c r="R210" i="115"/>
  <c r="R203" i="115"/>
  <c r="R207" i="115"/>
  <c r="R198" i="115"/>
  <c r="R217" i="115"/>
  <c r="R223" i="115"/>
  <c r="R227" i="115"/>
  <c r="R231" i="115"/>
  <c r="R194" i="115"/>
  <c r="R226" i="115"/>
  <c r="R230" i="115"/>
  <c r="R221" i="115"/>
  <c r="R218" i="115"/>
  <c r="R225" i="115"/>
  <c r="R211" i="115"/>
  <c r="R213" i="115"/>
  <c r="R214" i="115"/>
  <c r="R238" i="115"/>
  <c r="R242" i="115"/>
  <c r="R246" i="115"/>
  <c r="R250" i="115"/>
  <c r="R222" i="115"/>
  <c r="R232" i="115"/>
  <c r="R237" i="115"/>
  <c r="R241" i="115"/>
  <c r="R245" i="115"/>
  <c r="R224" i="115"/>
  <c r="R228" i="115"/>
  <c r="R234" i="115"/>
  <c r="R236" i="115"/>
  <c r="R240" i="115"/>
  <c r="R229" i="115"/>
  <c r="R235" i="115"/>
  <c r="R233" i="115"/>
  <c r="R239" i="115"/>
  <c r="R243" i="115"/>
  <c r="R248" i="115"/>
  <c r="R249" i="115"/>
  <c r="R254" i="115"/>
  <c r="R247" i="115"/>
  <c r="R244" i="115"/>
  <c r="R188" i="115"/>
  <c r="R261" i="115"/>
  <c r="R265" i="115"/>
  <c r="R269" i="115"/>
  <c r="R273" i="115"/>
  <c r="R252" i="115"/>
  <c r="R260" i="115"/>
  <c r="R264" i="115"/>
  <c r="R268" i="115"/>
  <c r="R272" i="115"/>
  <c r="R257" i="115"/>
  <c r="R251" i="115"/>
  <c r="R256" i="115"/>
  <c r="R259" i="115"/>
  <c r="R263" i="115"/>
  <c r="R267" i="115"/>
  <c r="R255" i="115"/>
  <c r="R253" i="115"/>
  <c r="R270" i="115"/>
  <c r="R271" i="115"/>
  <c r="R266" i="115"/>
  <c r="R262" i="115"/>
  <c r="R258" i="115"/>
  <c r="R274" i="115"/>
  <c r="BH191" i="115"/>
  <c r="BH195" i="115"/>
  <c r="BH199" i="115"/>
  <c r="BH203" i="115"/>
  <c r="BH207" i="115"/>
  <c r="BH190" i="115"/>
  <c r="BH194" i="115"/>
  <c r="BH208" i="115"/>
  <c r="BH210" i="115"/>
  <c r="BH197" i="115"/>
  <c r="BH214" i="115"/>
  <c r="BH218" i="115"/>
  <c r="BH222" i="115"/>
  <c r="BH192" i="115"/>
  <c r="BH193" i="115"/>
  <c r="BH213" i="115"/>
  <c r="BH217" i="115"/>
  <c r="BH221" i="115"/>
  <c r="BH201" i="115"/>
  <c r="BH209" i="115"/>
  <c r="BH200" i="115"/>
  <c r="BH189" i="115"/>
  <c r="BH196" i="115"/>
  <c r="BH204" i="115"/>
  <c r="BH206" i="115"/>
  <c r="BH198" i="115"/>
  <c r="BH219" i="115"/>
  <c r="BH225" i="115"/>
  <c r="BH229" i="115"/>
  <c r="BH233" i="115"/>
  <c r="BH202" i="115"/>
  <c r="BH216" i="115"/>
  <c r="BH212" i="115"/>
  <c r="BH224" i="115"/>
  <c r="BH228" i="115"/>
  <c r="BH232" i="115"/>
  <c r="BH220" i="115"/>
  <c r="BH205" i="115"/>
  <c r="BH230" i="115"/>
  <c r="BH211" i="115"/>
  <c r="BH215" i="115"/>
  <c r="BH235" i="115"/>
  <c r="BH239" i="115"/>
  <c r="BH243" i="115"/>
  <c r="BH231" i="115"/>
  <c r="BH240" i="115"/>
  <c r="BH250" i="115"/>
  <c r="BH254" i="115"/>
  <c r="BH258" i="115"/>
  <c r="BH223" i="115"/>
  <c r="BH227" i="115"/>
  <c r="BH237" i="115"/>
  <c r="BH245" i="115"/>
  <c r="BH253" i="115"/>
  <c r="BH257" i="115"/>
  <c r="BH241" i="115"/>
  <c r="BH247" i="115"/>
  <c r="BH236" i="115"/>
  <c r="BH248" i="115"/>
  <c r="BH252" i="115"/>
  <c r="BH256" i="115"/>
  <c r="BH226" i="115"/>
  <c r="BH238" i="115"/>
  <c r="BH242" i="115"/>
  <c r="BH244" i="115"/>
  <c r="BH249" i="115"/>
  <c r="BH234" i="115"/>
  <c r="BH246" i="115"/>
  <c r="BH255" i="115"/>
  <c r="BH260" i="115"/>
  <c r="BH264" i="115"/>
  <c r="BH268" i="115"/>
  <c r="BH272" i="115"/>
  <c r="BH188" i="115"/>
  <c r="BH263" i="115"/>
  <c r="BH267" i="115"/>
  <c r="BH271" i="115"/>
  <c r="BH259" i="115"/>
  <c r="BH262" i="115"/>
  <c r="BH266" i="115"/>
  <c r="BH270" i="115"/>
  <c r="BH251" i="115"/>
  <c r="BH265" i="115"/>
  <c r="BH273" i="115"/>
  <c r="BH261" i="115"/>
  <c r="BH269" i="115"/>
  <c r="BH274" i="115"/>
  <c r="AP191" i="115"/>
  <c r="AP195" i="115"/>
  <c r="AP199" i="115"/>
  <c r="AP203" i="115"/>
  <c r="AP207" i="115"/>
  <c r="AP211" i="115"/>
  <c r="AP190" i="115"/>
  <c r="AP194" i="115"/>
  <c r="AP198" i="115"/>
  <c r="AP202" i="115"/>
  <c r="AP206" i="115"/>
  <c r="AP210" i="115"/>
  <c r="AP189" i="115"/>
  <c r="AP193" i="115"/>
  <c r="AP197" i="115"/>
  <c r="AP214" i="115"/>
  <c r="AP218" i="115"/>
  <c r="AP196" i="115"/>
  <c r="AP213" i="115"/>
  <c r="AP217" i="115"/>
  <c r="AP221" i="115"/>
  <c r="AP205" i="115"/>
  <c r="AP212" i="115"/>
  <c r="AP209" i="115"/>
  <c r="AP225" i="115"/>
  <c r="AP229" i="115"/>
  <c r="AP233" i="115"/>
  <c r="AP215" i="115"/>
  <c r="AP222" i="115"/>
  <c r="AP201" i="115"/>
  <c r="AP224" i="115"/>
  <c r="AP228" i="115"/>
  <c r="AP232" i="115"/>
  <c r="AP216" i="115"/>
  <c r="AP204" i="115"/>
  <c r="AP223" i="115"/>
  <c r="AP227" i="115"/>
  <c r="AP236" i="115"/>
  <c r="AP240" i="115"/>
  <c r="AP244" i="115"/>
  <c r="AP248" i="115"/>
  <c r="AP192" i="115"/>
  <c r="AP226" i="115"/>
  <c r="AP230" i="115"/>
  <c r="AP235" i="115"/>
  <c r="AP239" i="115"/>
  <c r="AP243" i="115"/>
  <c r="AP247" i="115"/>
  <c r="AP208" i="115"/>
  <c r="AP238" i="115"/>
  <c r="AP242" i="115"/>
  <c r="AP220" i="115"/>
  <c r="AP200" i="115"/>
  <c r="AP252" i="115"/>
  <c r="AP245" i="115"/>
  <c r="AP234" i="115"/>
  <c r="AP237" i="115"/>
  <c r="AP241" i="115"/>
  <c r="AP251" i="115"/>
  <c r="AP258" i="115"/>
  <c r="AP260" i="115"/>
  <c r="AP263" i="115"/>
  <c r="AP267" i="115"/>
  <c r="AP271" i="115"/>
  <c r="AP219" i="115"/>
  <c r="AP231" i="115"/>
  <c r="AP249" i="115"/>
  <c r="AP256" i="115"/>
  <c r="AP255" i="115"/>
  <c r="AP262" i="115"/>
  <c r="AP266" i="115"/>
  <c r="AP270" i="115"/>
  <c r="AP274" i="115"/>
  <c r="AP257" i="115"/>
  <c r="AP250" i="115"/>
  <c r="AP254" i="115"/>
  <c r="AP259" i="115"/>
  <c r="AP261" i="115"/>
  <c r="AP265" i="115"/>
  <c r="AP269" i="115"/>
  <c r="AP253" i="115"/>
  <c r="AP272" i="115"/>
  <c r="AP188" i="115"/>
  <c r="AP268" i="115"/>
  <c r="AP273" i="115"/>
  <c r="AP246" i="115"/>
  <c r="AP264" i="115"/>
  <c r="BU191" i="115"/>
  <c r="BU195" i="115"/>
  <c r="BU199" i="115"/>
  <c r="BU203" i="115"/>
  <c r="BU207" i="115"/>
  <c r="BU190" i="115"/>
  <c r="BU194" i="115"/>
  <c r="BU198" i="115"/>
  <c r="BU202" i="115"/>
  <c r="BU206" i="115"/>
  <c r="BU210" i="115"/>
  <c r="BU189" i="115"/>
  <c r="BU193" i="115"/>
  <c r="BU197" i="115"/>
  <c r="BU201" i="115"/>
  <c r="BU209" i="115"/>
  <c r="BU192" i="115"/>
  <c r="BU212" i="115"/>
  <c r="BU208" i="115"/>
  <c r="BU205" i="115"/>
  <c r="BU211" i="115"/>
  <c r="BU218" i="115"/>
  <c r="BU220" i="115"/>
  <c r="BU214" i="115"/>
  <c r="BU200" i="115"/>
  <c r="BU215" i="115"/>
  <c r="BU217" i="115"/>
  <c r="BU196" i="115"/>
  <c r="BU223" i="115"/>
  <c r="BU219" i="115"/>
  <c r="BU213" i="115"/>
  <c r="BU216" i="115"/>
  <c r="BU231" i="115"/>
  <c r="BU229" i="115"/>
  <c r="BU221" i="115"/>
  <c r="BU225" i="115"/>
  <c r="BU226" i="115"/>
  <c r="BU224" i="115"/>
  <c r="BU227" i="115"/>
  <c r="BU235" i="115"/>
  <c r="BU239" i="115"/>
  <c r="BU243" i="115"/>
  <c r="BU247" i="115"/>
  <c r="BU222" i="115"/>
  <c r="BU233" i="115"/>
  <c r="BU230" i="115"/>
  <c r="BU234" i="115"/>
  <c r="BU238" i="115"/>
  <c r="BU228" i="115"/>
  <c r="BU232" i="115"/>
  <c r="BU204" i="115"/>
  <c r="BU253" i="115"/>
  <c r="BU257" i="115"/>
  <c r="BU242" i="115"/>
  <c r="BU244" i="115"/>
  <c r="BU246" i="115"/>
  <c r="BU248" i="115"/>
  <c r="BU249" i="115"/>
  <c r="BU252" i="115"/>
  <c r="BU256" i="115"/>
  <c r="BU237" i="115"/>
  <c r="BU240" i="115"/>
  <c r="BU251" i="115"/>
  <c r="BU245" i="115"/>
  <c r="BU263" i="115"/>
  <c r="BU267" i="115"/>
  <c r="BU271" i="115"/>
  <c r="BU255" i="115"/>
  <c r="BU262" i="115"/>
  <c r="BU266" i="115"/>
  <c r="BU270" i="115"/>
  <c r="BU274" i="115"/>
  <c r="BU250" i="115"/>
  <c r="BU258" i="115"/>
  <c r="BU236" i="115"/>
  <c r="BU254" i="115"/>
  <c r="BU261" i="115"/>
  <c r="BU265" i="115"/>
  <c r="BU269" i="115"/>
  <c r="BU268" i="115"/>
  <c r="BU264" i="115"/>
  <c r="BU273" i="115"/>
  <c r="BU188" i="115"/>
  <c r="BU241" i="115"/>
  <c r="BU260" i="115"/>
  <c r="BU272" i="115"/>
  <c r="BU259" i="115"/>
  <c r="Y191" i="115"/>
  <c r="Y195" i="115"/>
  <c r="Y199" i="115"/>
  <c r="Y203" i="115"/>
  <c r="Y207" i="115"/>
  <c r="Y211" i="115"/>
  <c r="Y190" i="115"/>
  <c r="Y194" i="115"/>
  <c r="Y198" i="115"/>
  <c r="Y202" i="115"/>
  <c r="Y206" i="115"/>
  <c r="Y210" i="115"/>
  <c r="Y189" i="115"/>
  <c r="Y193" i="115"/>
  <c r="Y197" i="115"/>
  <c r="Y201" i="115"/>
  <c r="Y200" i="115"/>
  <c r="Y208" i="115"/>
  <c r="Y212" i="115"/>
  <c r="Y192" i="115"/>
  <c r="Y196" i="115"/>
  <c r="Y205" i="115"/>
  <c r="Y213" i="115"/>
  <c r="Y214" i="115"/>
  <c r="Y217" i="115"/>
  <c r="Y204" i="115"/>
  <c r="Y222" i="115"/>
  <c r="Y215" i="115"/>
  <c r="Y219" i="115"/>
  <c r="Y223" i="115"/>
  <c r="Y221" i="115"/>
  <c r="Y234" i="115"/>
  <c r="Y236" i="115"/>
  <c r="Y229" i="115"/>
  <c r="Y233" i="115"/>
  <c r="Y235" i="115"/>
  <c r="Y239" i="115"/>
  <c r="Y243" i="115"/>
  <c r="Y247" i="115"/>
  <c r="Y230" i="115"/>
  <c r="Y209" i="115"/>
  <c r="Y216" i="115"/>
  <c r="Y220" i="115"/>
  <c r="Y226" i="115"/>
  <c r="Y238" i="115"/>
  <c r="Y227" i="115"/>
  <c r="Y232" i="115"/>
  <c r="Y225" i="115"/>
  <c r="Y237" i="115"/>
  <c r="Y253" i="115"/>
  <c r="Y257" i="115"/>
  <c r="Y244" i="115"/>
  <c r="Y246" i="115"/>
  <c r="Y224" i="115"/>
  <c r="Y242" i="115"/>
  <c r="Y252" i="115"/>
  <c r="Y256" i="115"/>
  <c r="Y260" i="115"/>
  <c r="Y228" i="115"/>
  <c r="Y251" i="115"/>
  <c r="Y218" i="115"/>
  <c r="Y231" i="115"/>
  <c r="Y254" i="115"/>
  <c r="Y263" i="115"/>
  <c r="Y267" i="115"/>
  <c r="Y271" i="115"/>
  <c r="Y249" i="115"/>
  <c r="Y248" i="115"/>
  <c r="Y250" i="115"/>
  <c r="Y262" i="115"/>
  <c r="Y266" i="115"/>
  <c r="Y270" i="115"/>
  <c r="Y274" i="115"/>
  <c r="Y258" i="115"/>
  <c r="Y241" i="115"/>
  <c r="Y261" i="115"/>
  <c r="Y265" i="115"/>
  <c r="Y269" i="115"/>
  <c r="Y240" i="115"/>
  <c r="Y245" i="115"/>
  <c r="Y273" i="115"/>
  <c r="Y268" i="115"/>
  <c r="Y259" i="115"/>
  <c r="Y255" i="115"/>
  <c r="Y264" i="115"/>
  <c r="Y272" i="115"/>
  <c r="Y188" i="115"/>
  <c r="BT190" i="115"/>
  <c r="BT194" i="115"/>
  <c r="BT198" i="115"/>
  <c r="BT202" i="115"/>
  <c r="BT206" i="115"/>
  <c r="BT210" i="115"/>
  <c r="BT189" i="115"/>
  <c r="BT193" i="115"/>
  <c r="BT199" i="115"/>
  <c r="BT204" i="115"/>
  <c r="BT213" i="115"/>
  <c r="BT217" i="115"/>
  <c r="BT221" i="115"/>
  <c r="BT191" i="115"/>
  <c r="BT192" i="115"/>
  <c r="BT212" i="115"/>
  <c r="BT216" i="115"/>
  <c r="BT220" i="115"/>
  <c r="BT195" i="115"/>
  <c r="BT197" i="115"/>
  <c r="BT208" i="115"/>
  <c r="BT205" i="115"/>
  <c r="BT214" i="115"/>
  <c r="BT200" i="115"/>
  <c r="BT203" i="115"/>
  <c r="BT224" i="115"/>
  <c r="BT228" i="115"/>
  <c r="BT232" i="115"/>
  <c r="BT215" i="115"/>
  <c r="BT196" i="115"/>
  <c r="BT207" i="115"/>
  <c r="BT223" i="115"/>
  <c r="BT227" i="115"/>
  <c r="BT231" i="115"/>
  <c r="BT219" i="115"/>
  <c r="BT209" i="115"/>
  <c r="BT201" i="115"/>
  <c r="BT229" i="115"/>
  <c r="BT225" i="115"/>
  <c r="BT226" i="115"/>
  <c r="BT222" i="115"/>
  <c r="BT233" i="115"/>
  <c r="BT211" i="115"/>
  <c r="BT230" i="115"/>
  <c r="BT234" i="115"/>
  <c r="BT238" i="115"/>
  <c r="BT242" i="115"/>
  <c r="BT246" i="115"/>
  <c r="BT218" i="115"/>
  <c r="BT253" i="115"/>
  <c r="BT257" i="115"/>
  <c r="BT247" i="115"/>
  <c r="BT239" i="115"/>
  <c r="BT244" i="115"/>
  <c r="BT248" i="115"/>
  <c r="BT249" i="115"/>
  <c r="BT252" i="115"/>
  <c r="BT256" i="115"/>
  <c r="BT235" i="115"/>
  <c r="BT237" i="115"/>
  <c r="BT240" i="115"/>
  <c r="BT251" i="115"/>
  <c r="BT255" i="115"/>
  <c r="BT243" i="115"/>
  <c r="BT241" i="115"/>
  <c r="BT263" i="115"/>
  <c r="BT267" i="115"/>
  <c r="BT271" i="115"/>
  <c r="BT262" i="115"/>
  <c r="BT266" i="115"/>
  <c r="BT270" i="115"/>
  <c r="BT274" i="115"/>
  <c r="BT245" i="115"/>
  <c r="BT250" i="115"/>
  <c r="BT258" i="115"/>
  <c r="BT236" i="115"/>
  <c r="BT254" i="115"/>
  <c r="BT261" i="115"/>
  <c r="BT265" i="115"/>
  <c r="BT269" i="115"/>
  <c r="BT273" i="115"/>
  <c r="BT268" i="115"/>
  <c r="BT264" i="115"/>
  <c r="BT188" i="115"/>
  <c r="BT260" i="115"/>
  <c r="BT272" i="115"/>
  <c r="BT259" i="115"/>
  <c r="AN190" i="115"/>
  <c r="AN194" i="115"/>
  <c r="AN198" i="115"/>
  <c r="AN202" i="115"/>
  <c r="AN206" i="115"/>
  <c r="AN210" i="115"/>
  <c r="AN189" i="115"/>
  <c r="AN193" i="115"/>
  <c r="AN199" i="115"/>
  <c r="AN208" i="115"/>
  <c r="AN213" i="115"/>
  <c r="AN217" i="115"/>
  <c r="AN221" i="115"/>
  <c r="AN205" i="115"/>
  <c r="AN212" i="115"/>
  <c r="AN216" i="115"/>
  <c r="AN220" i="115"/>
  <c r="AN203" i="115"/>
  <c r="AN197" i="115"/>
  <c r="AN207" i="115"/>
  <c r="AN195" i="115"/>
  <c r="AN201" i="115"/>
  <c r="AN215" i="115"/>
  <c r="AN222" i="115"/>
  <c r="AN219" i="115"/>
  <c r="AN224" i="115"/>
  <c r="AN228" i="115"/>
  <c r="AN232" i="115"/>
  <c r="AN196" i="115"/>
  <c r="AN211" i="115"/>
  <c r="AN204" i="115"/>
  <c r="AN223" i="115"/>
  <c r="AN227" i="115"/>
  <c r="AN231" i="115"/>
  <c r="AN191" i="115"/>
  <c r="AN218" i="115"/>
  <c r="AN192" i="115"/>
  <c r="AN214" i="115"/>
  <c r="AN226" i="115"/>
  <c r="AN230" i="115"/>
  <c r="AN225" i="115"/>
  <c r="AN238" i="115"/>
  <c r="AN242" i="115"/>
  <c r="AN246" i="115"/>
  <c r="AN209" i="115"/>
  <c r="AN236" i="115"/>
  <c r="AN239" i="115"/>
  <c r="AN253" i="115"/>
  <c r="AN257" i="115"/>
  <c r="AN200" i="115"/>
  <c r="AN240" i="115"/>
  <c r="AN243" i="115"/>
  <c r="AN252" i="115"/>
  <c r="AN256" i="115"/>
  <c r="AN260" i="115"/>
  <c r="AN229" i="115"/>
  <c r="AN245" i="115"/>
  <c r="AN234" i="115"/>
  <c r="AN237" i="115"/>
  <c r="AN241" i="115"/>
  <c r="AN251" i="115"/>
  <c r="AN255" i="115"/>
  <c r="AN233" i="115"/>
  <c r="AN235" i="115"/>
  <c r="AN247" i="115"/>
  <c r="AN248" i="115"/>
  <c r="AN249" i="115"/>
  <c r="AN258" i="115"/>
  <c r="AN263" i="115"/>
  <c r="AN267" i="115"/>
  <c r="AN271" i="115"/>
  <c r="AN262" i="115"/>
  <c r="AN266" i="115"/>
  <c r="AN270" i="115"/>
  <c r="AN274" i="115"/>
  <c r="AN244" i="115"/>
  <c r="AN250" i="115"/>
  <c r="AN254" i="115"/>
  <c r="AN259" i="115"/>
  <c r="AN261" i="115"/>
  <c r="AN265" i="115"/>
  <c r="AN269" i="115"/>
  <c r="AN273" i="115"/>
  <c r="AN272" i="115"/>
  <c r="AN188" i="115"/>
  <c r="AN268" i="115"/>
  <c r="AN264" i="115"/>
  <c r="AM190" i="115"/>
  <c r="AM194" i="115"/>
  <c r="AM198" i="115"/>
  <c r="AM189" i="115"/>
  <c r="AM193" i="115"/>
  <c r="AM197" i="115"/>
  <c r="AM192" i="115"/>
  <c r="AM199" i="115"/>
  <c r="AM208" i="115"/>
  <c r="AM202" i="115"/>
  <c r="AM213" i="115"/>
  <c r="AM217" i="115"/>
  <c r="AM221" i="115"/>
  <c r="AM212" i="115"/>
  <c r="AM216" i="115"/>
  <c r="AM203" i="115"/>
  <c r="AM207" i="115"/>
  <c r="AM209" i="115"/>
  <c r="AM195" i="115"/>
  <c r="AM201" i="115"/>
  <c r="AM191" i="115"/>
  <c r="AM204" i="115"/>
  <c r="AM219" i="115"/>
  <c r="AM206" i="115"/>
  <c r="AM210" i="115"/>
  <c r="AM224" i="115"/>
  <c r="AM228" i="115"/>
  <c r="AM232" i="115"/>
  <c r="AM196" i="115"/>
  <c r="AM211" i="115"/>
  <c r="AM205" i="115"/>
  <c r="AM223" i="115"/>
  <c r="AM227" i="115"/>
  <c r="AM218" i="115"/>
  <c r="AM220" i="115"/>
  <c r="AM200" i="115"/>
  <c r="AM230" i="115"/>
  <c r="AM225" i="115"/>
  <c r="AM235" i="115"/>
  <c r="AM239" i="115"/>
  <c r="AM243" i="115"/>
  <c r="AM247" i="115"/>
  <c r="AM215" i="115"/>
  <c r="AM238" i="115"/>
  <c r="AM214" i="115"/>
  <c r="AM231" i="115"/>
  <c r="AM237" i="115"/>
  <c r="AM240" i="115"/>
  <c r="AM252" i="115"/>
  <c r="AM256" i="115"/>
  <c r="AM260" i="115"/>
  <c r="AM229" i="115"/>
  <c r="AM245" i="115"/>
  <c r="AM234" i="115"/>
  <c r="AM226" i="115"/>
  <c r="AM241" i="115"/>
  <c r="AM251" i="115"/>
  <c r="AM255" i="115"/>
  <c r="AM222" i="115"/>
  <c r="AM233" i="115"/>
  <c r="AM248" i="115"/>
  <c r="AM249" i="115"/>
  <c r="AM244" i="115"/>
  <c r="AM242" i="115"/>
  <c r="AM262" i="115"/>
  <c r="AM266" i="115"/>
  <c r="AM270" i="115"/>
  <c r="AM274" i="115"/>
  <c r="AM236" i="115"/>
  <c r="AM250" i="115"/>
  <c r="AM254" i="115"/>
  <c r="AM259" i="115"/>
  <c r="AM261" i="115"/>
  <c r="AM265" i="115"/>
  <c r="AM269" i="115"/>
  <c r="AM257" i="115"/>
  <c r="AM246" i="115"/>
  <c r="AM253" i="115"/>
  <c r="AM264" i="115"/>
  <c r="AM268" i="115"/>
  <c r="AM272" i="115"/>
  <c r="AM188" i="115"/>
  <c r="AM273" i="115"/>
  <c r="AM267" i="115"/>
  <c r="AM271" i="115"/>
  <c r="AM258" i="115"/>
  <c r="AM263" i="115"/>
  <c r="W190" i="115"/>
  <c r="W194" i="115"/>
  <c r="W198" i="115"/>
  <c r="W189" i="115"/>
  <c r="W193" i="115"/>
  <c r="W197" i="115"/>
  <c r="W201" i="115"/>
  <c r="W192" i="115"/>
  <c r="W204" i="115"/>
  <c r="W213" i="115"/>
  <c r="W217" i="115"/>
  <c r="W221" i="115"/>
  <c r="W211" i="115"/>
  <c r="W195" i="115"/>
  <c r="W200" i="115"/>
  <c r="W208" i="115"/>
  <c r="W212" i="115"/>
  <c r="W216" i="115"/>
  <c r="W191" i="115"/>
  <c r="W202" i="115"/>
  <c r="W196" i="115"/>
  <c r="W199" i="115"/>
  <c r="W205" i="115"/>
  <c r="W210" i="115"/>
  <c r="W214" i="115"/>
  <c r="W224" i="115"/>
  <c r="W228" i="115"/>
  <c r="W232" i="115"/>
  <c r="W215" i="115"/>
  <c r="W219" i="115"/>
  <c r="W223" i="115"/>
  <c r="W227" i="115"/>
  <c r="W203" i="115"/>
  <c r="W209" i="115"/>
  <c r="W207" i="115"/>
  <c r="W229" i="115"/>
  <c r="W233" i="115"/>
  <c r="W235" i="115"/>
  <c r="W239" i="115"/>
  <c r="W243" i="115"/>
  <c r="W247" i="115"/>
  <c r="W230" i="115"/>
  <c r="W222" i="115"/>
  <c r="W226" i="115"/>
  <c r="W238" i="115"/>
  <c r="W220" i="115"/>
  <c r="W225" i="115"/>
  <c r="W237" i="115"/>
  <c r="W244" i="115"/>
  <c r="W246" i="115"/>
  <c r="W234" i="115"/>
  <c r="W242" i="115"/>
  <c r="W252" i="115"/>
  <c r="W256" i="115"/>
  <c r="W260" i="115"/>
  <c r="W206" i="115"/>
  <c r="W251" i="115"/>
  <c r="W255" i="115"/>
  <c r="W218" i="115"/>
  <c r="W236" i="115"/>
  <c r="W240" i="115"/>
  <c r="W245" i="115"/>
  <c r="W231" i="115"/>
  <c r="W249" i="115"/>
  <c r="W248" i="115"/>
  <c r="W250" i="115"/>
  <c r="W253" i="115"/>
  <c r="W262" i="115"/>
  <c r="W266" i="115"/>
  <c r="W270" i="115"/>
  <c r="W274" i="115"/>
  <c r="W258" i="115"/>
  <c r="W241" i="115"/>
  <c r="W261" i="115"/>
  <c r="W265" i="115"/>
  <c r="W269" i="115"/>
  <c r="W264" i="115"/>
  <c r="W268" i="115"/>
  <c r="W272" i="115"/>
  <c r="W273" i="115"/>
  <c r="W254" i="115"/>
  <c r="W257" i="115"/>
  <c r="W259" i="115"/>
  <c r="W267" i="115"/>
  <c r="W271" i="115"/>
  <c r="W263" i="115"/>
  <c r="W188" i="115"/>
  <c r="BB190" i="115"/>
  <c r="BB194" i="115"/>
  <c r="BB198" i="115"/>
  <c r="BB202" i="115"/>
  <c r="BB206" i="115"/>
  <c r="BB210" i="115"/>
  <c r="BB189" i="115"/>
  <c r="BB193" i="115"/>
  <c r="BB197" i="115"/>
  <c r="BB201" i="115"/>
  <c r="BB205" i="115"/>
  <c r="BB209" i="115"/>
  <c r="BB192" i="115"/>
  <c r="BB196" i="115"/>
  <c r="BB203" i="115"/>
  <c r="BB213" i="115"/>
  <c r="BB217" i="115"/>
  <c r="BB221" i="115"/>
  <c r="BB207" i="115"/>
  <c r="BB200" i="115"/>
  <c r="BB212" i="115"/>
  <c r="BB216" i="115"/>
  <c r="BB220" i="115"/>
  <c r="BB204" i="115"/>
  <c r="BB199" i="115"/>
  <c r="BB211" i="115"/>
  <c r="BB208" i="115"/>
  <c r="BB224" i="115"/>
  <c r="BB228" i="115"/>
  <c r="BB232" i="115"/>
  <c r="BB218" i="115"/>
  <c r="BB214" i="115"/>
  <c r="BB223" i="115"/>
  <c r="BB227" i="115"/>
  <c r="BB231" i="115"/>
  <c r="BB215" i="115"/>
  <c r="BB226" i="115"/>
  <c r="BB219" i="115"/>
  <c r="BB191" i="115"/>
  <c r="BB235" i="115"/>
  <c r="BB239" i="115"/>
  <c r="BB243" i="115"/>
  <c r="BB247" i="115"/>
  <c r="BB229" i="115"/>
  <c r="BB238" i="115"/>
  <c r="BB242" i="115"/>
  <c r="BB246" i="115"/>
  <c r="BB195" i="115"/>
  <c r="BB233" i="115"/>
  <c r="BB234" i="115"/>
  <c r="BB225" i="115"/>
  <c r="BB237" i="115"/>
  <c r="BB241" i="115"/>
  <c r="BB230" i="115"/>
  <c r="BB236" i="115"/>
  <c r="BB248" i="115"/>
  <c r="BB249" i="115"/>
  <c r="BB244" i="115"/>
  <c r="BB251" i="115"/>
  <c r="BB255" i="115"/>
  <c r="BB222" i="115"/>
  <c r="BB240" i="115"/>
  <c r="BB257" i="115"/>
  <c r="BB259" i="115"/>
  <c r="BB253" i="115"/>
  <c r="BB262" i="115"/>
  <c r="BB266" i="115"/>
  <c r="BB270" i="115"/>
  <c r="BB274" i="115"/>
  <c r="BB245" i="115"/>
  <c r="BB252" i="115"/>
  <c r="BB261" i="115"/>
  <c r="BB265" i="115"/>
  <c r="BB269" i="115"/>
  <c r="BB273" i="115"/>
  <c r="BB258" i="115"/>
  <c r="BB264" i="115"/>
  <c r="BB268" i="115"/>
  <c r="BB256" i="115"/>
  <c r="BB271" i="115"/>
  <c r="BB263" i="115"/>
  <c r="BB260" i="115"/>
  <c r="BB254" i="115"/>
  <c r="BB250" i="115"/>
  <c r="BB272" i="115"/>
  <c r="BB188" i="115"/>
  <c r="BB267" i="115"/>
  <c r="BQ190" i="115"/>
  <c r="BQ194" i="115"/>
  <c r="BQ198" i="115"/>
  <c r="BQ202" i="115"/>
  <c r="BQ206" i="115"/>
  <c r="BQ210" i="115"/>
  <c r="BQ189" i="115"/>
  <c r="BQ193" i="115"/>
  <c r="BQ197" i="115"/>
  <c r="BQ201" i="115"/>
  <c r="BQ205" i="115"/>
  <c r="BQ209" i="115"/>
  <c r="BQ192" i="115"/>
  <c r="BQ196" i="115"/>
  <c r="BQ200" i="115"/>
  <c r="BQ191" i="115"/>
  <c r="BQ195" i="115"/>
  <c r="BQ208" i="115"/>
  <c r="BQ211" i="115"/>
  <c r="BQ203" i="115"/>
  <c r="BQ215" i="115"/>
  <c r="BQ207" i="115"/>
  <c r="BQ217" i="115"/>
  <c r="BQ219" i="115"/>
  <c r="BQ222" i="115"/>
  <c r="BQ212" i="115"/>
  <c r="BQ213" i="115"/>
  <c r="BQ216" i="115"/>
  <c r="BQ199" i="115"/>
  <c r="BQ218" i="115"/>
  <c r="BQ221" i="115"/>
  <c r="BQ226" i="115"/>
  <c r="BQ235" i="115"/>
  <c r="BQ220" i="115"/>
  <c r="BQ224" i="115"/>
  <c r="BQ227" i="115"/>
  <c r="BQ233" i="115"/>
  <c r="BQ223" i="115"/>
  <c r="BQ230" i="115"/>
  <c r="BQ234" i="115"/>
  <c r="BQ238" i="115"/>
  <c r="BQ242" i="115"/>
  <c r="BQ246" i="115"/>
  <c r="BQ237" i="115"/>
  <c r="BQ228" i="115"/>
  <c r="BQ232" i="115"/>
  <c r="BQ204" i="115"/>
  <c r="BQ244" i="115"/>
  <c r="BQ247" i="115"/>
  <c r="BQ248" i="115"/>
  <c r="BQ249" i="115"/>
  <c r="BQ214" i="115"/>
  <c r="BQ239" i="115"/>
  <c r="BQ252" i="115"/>
  <c r="BQ256" i="115"/>
  <c r="BQ225" i="115"/>
  <c r="BQ231" i="115"/>
  <c r="BQ240" i="115"/>
  <c r="BQ251" i="115"/>
  <c r="BQ255" i="115"/>
  <c r="BQ259" i="115"/>
  <c r="BQ243" i="115"/>
  <c r="BQ245" i="115"/>
  <c r="BQ250" i="115"/>
  <c r="BQ236" i="115"/>
  <c r="BQ241" i="115"/>
  <c r="BQ229" i="115"/>
  <c r="BQ262" i="115"/>
  <c r="BQ266" i="115"/>
  <c r="BQ270" i="115"/>
  <c r="BQ274" i="115"/>
  <c r="BQ258" i="115"/>
  <c r="BQ254" i="115"/>
  <c r="BQ261" i="115"/>
  <c r="BQ265" i="115"/>
  <c r="BQ269" i="115"/>
  <c r="BQ273" i="115"/>
  <c r="BQ253" i="115"/>
  <c r="BQ260" i="115"/>
  <c r="BQ264" i="115"/>
  <c r="BQ268" i="115"/>
  <c r="BQ257" i="115"/>
  <c r="BQ267" i="115"/>
  <c r="BQ188" i="115"/>
  <c r="BQ263" i="115"/>
  <c r="BQ271" i="115"/>
  <c r="BQ272" i="115"/>
  <c r="AK190" i="115"/>
  <c r="AK194" i="115"/>
  <c r="AK198" i="115"/>
  <c r="AK202" i="115"/>
  <c r="AK206" i="115"/>
  <c r="AK210" i="115"/>
  <c r="AK189" i="115"/>
  <c r="AK193" i="115"/>
  <c r="AK197" i="115"/>
  <c r="AK201" i="115"/>
  <c r="AK205" i="115"/>
  <c r="AK209" i="115"/>
  <c r="AK192" i="115"/>
  <c r="AK196" i="115"/>
  <c r="AK200" i="115"/>
  <c r="AK204" i="115"/>
  <c r="AK203" i="115"/>
  <c r="AK207" i="115"/>
  <c r="AK195" i="115"/>
  <c r="AK191" i="115"/>
  <c r="AK211" i="115"/>
  <c r="AK216" i="115"/>
  <c r="AK199" i="115"/>
  <c r="AK213" i="115"/>
  <c r="AK218" i="115"/>
  <c r="AK220" i="115"/>
  <c r="AK214" i="115"/>
  <c r="AK208" i="115"/>
  <c r="AK235" i="115"/>
  <c r="AK215" i="115"/>
  <c r="AK227" i="115"/>
  <c r="AK224" i="115"/>
  <c r="AK232" i="115"/>
  <c r="AK223" i="115"/>
  <c r="AK238" i="115"/>
  <c r="AK242" i="115"/>
  <c r="AK246" i="115"/>
  <c r="AK228" i="115"/>
  <c r="AK217" i="115"/>
  <c r="AK212" i="115"/>
  <c r="AK221" i="115"/>
  <c r="AK231" i="115"/>
  <c r="AK237" i="115"/>
  <c r="AK229" i="115"/>
  <c r="AK234" i="115"/>
  <c r="AK222" i="115"/>
  <c r="AK230" i="115"/>
  <c r="AK240" i="115"/>
  <c r="AK252" i="115"/>
  <c r="AK256" i="115"/>
  <c r="AK260" i="115"/>
  <c r="AK245" i="115"/>
  <c r="AK243" i="115"/>
  <c r="AK251" i="115"/>
  <c r="AK255" i="115"/>
  <c r="AK259" i="115"/>
  <c r="AK226" i="115"/>
  <c r="AK233" i="115"/>
  <c r="AK241" i="115"/>
  <c r="AK248" i="115"/>
  <c r="AK249" i="115"/>
  <c r="AK247" i="115"/>
  <c r="AK250" i="115"/>
  <c r="AK244" i="115"/>
  <c r="AK262" i="115"/>
  <c r="AK266" i="115"/>
  <c r="AK270" i="115"/>
  <c r="AK274" i="115"/>
  <c r="AK219" i="115"/>
  <c r="AK236" i="115"/>
  <c r="AK254" i="115"/>
  <c r="AK261" i="115"/>
  <c r="AK265" i="115"/>
  <c r="AK269" i="115"/>
  <c r="AK273" i="115"/>
  <c r="AK257" i="115"/>
  <c r="AK239" i="115"/>
  <c r="AK253" i="115"/>
  <c r="AK264" i="115"/>
  <c r="AK268" i="115"/>
  <c r="AK272" i="115"/>
  <c r="AK225" i="115"/>
  <c r="AK188" i="115"/>
  <c r="AK267" i="115"/>
  <c r="AK271" i="115"/>
  <c r="AK258" i="115"/>
  <c r="AK263" i="115"/>
  <c r="AY189" i="115"/>
  <c r="AY193" i="115"/>
  <c r="AY197" i="115"/>
  <c r="AY192" i="115"/>
  <c r="AY196" i="115"/>
  <c r="AY200" i="115"/>
  <c r="AY191" i="115"/>
  <c r="AY212" i="115"/>
  <c r="AY216" i="115"/>
  <c r="AY220" i="115"/>
  <c r="AY204" i="115"/>
  <c r="AY209" i="115"/>
  <c r="AY201" i="115"/>
  <c r="AY199" i="115"/>
  <c r="AY211" i="115"/>
  <c r="AY215" i="115"/>
  <c r="AY206" i="115"/>
  <c r="AY208" i="115"/>
  <c r="AY194" i="115"/>
  <c r="AY202" i="115"/>
  <c r="AY198" i="115"/>
  <c r="AY207" i="115"/>
  <c r="AY214" i="115"/>
  <c r="AY223" i="115"/>
  <c r="AY227" i="115"/>
  <c r="AY231" i="115"/>
  <c r="AY190" i="115"/>
  <c r="AY210" i="115"/>
  <c r="AY226" i="115"/>
  <c r="AY205" i="115"/>
  <c r="AY217" i="115"/>
  <c r="AY222" i="115"/>
  <c r="AY219" i="115"/>
  <c r="AY195" i="115"/>
  <c r="AY221" i="115"/>
  <c r="AY213" i="115"/>
  <c r="AY229" i="115"/>
  <c r="AY238" i="115"/>
  <c r="AY242" i="115"/>
  <c r="AY246" i="115"/>
  <c r="AY218" i="115"/>
  <c r="AY233" i="115"/>
  <c r="AY234" i="115"/>
  <c r="AY203" i="115"/>
  <c r="AY225" i="115"/>
  <c r="AY237" i="115"/>
  <c r="AY230" i="115"/>
  <c r="AY224" i="115"/>
  <c r="AY236" i="115"/>
  <c r="AY248" i="115"/>
  <c r="AY249" i="115"/>
  <c r="AY247" i="115"/>
  <c r="AY244" i="115"/>
  <c r="AY251" i="115"/>
  <c r="AY255" i="115"/>
  <c r="AY259" i="115"/>
  <c r="AY239" i="115"/>
  <c r="AY250" i="115"/>
  <c r="AY254" i="115"/>
  <c r="AY240" i="115"/>
  <c r="AY228" i="115"/>
  <c r="AY245" i="115"/>
  <c r="AY235" i="115"/>
  <c r="AY252" i="115"/>
  <c r="AY261" i="115"/>
  <c r="AY265" i="115"/>
  <c r="AY269" i="115"/>
  <c r="AY273" i="115"/>
  <c r="AY258" i="115"/>
  <c r="AY264" i="115"/>
  <c r="AY268" i="115"/>
  <c r="AY232" i="115"/>
  <c r="AY260" i="115"/>
  <c r="AY263" i="115"/>
  <c r="AY267" i="115"/>
  <c r="AY271" i="115"/>
  <c r="AY256" i="115"/>
  <c r="AY243" i="115"/>
  <c r="AY253" i="115"/>
  <c r="AY262" i="115"/>
  <c r="AY272" i="115"/>
  <c r="AY257" i="115"/>
  <c r="AY241" i="115"/>
  <c r="AY188" i="115"/>
  <c r="AY270" i="115"/>
  <c r="AY274" i="115"/>
  <c r="AY266" i="115"/>
  <c r="BM189" i="115"/>
  <c r="BM193" i="115"/>
  <c r="BM197" i="115"/>
  <c r="BM201" i="115"/>
  <c r="BM205" i="115"/>
  <c r="BM209" i="115"/>
  <c r="BM192" i="115"/>
  <c r="BM196" i="115"/>
  <c r="BM200" i="115"/>
  <c r="BM204" i="115"/>
  <c r="BM208" i="115"/>
  <c r="BM191" i="115"/>
  <c r="BM195" i="115"/>
  <c r="BM199" i="115"/>
  <c r="BM203" i="115"/>
  <c r="BM206" i="115"/>
  <c r="BM202" i="115"/>
  <c r="BM210" i="115"/>
  <c r="BM207" i="115"/>
  <c r="BM215" i="115"/>
  <c r="BM217" i="115"/>
  <c r="BM219" i="115"/>
  <c r="BM198" i="115"/>
  <c r="BM213" i="115"/>
  <c r="BM221" i="115"/>
  <c r="BM190" i="115"/>
  <c r="BM225" i="115"/>
  <c r="BM194" i="115"/>
  <c r="BM212" i="115"/>
  <c r="BM216" i="115"/>
  <c r="BM218" i="115"/>
  <c r="BM214" i="115"/>
  <c r="BM220" i="115"/>
  <c r="BM234" i="115"/>
  <c r="BM227" i="115"/>
  <c r="BM230" i="115"/>
  <c r="BM223" i="115"/>
  <c r="BM222" i="115"/>
  <c r="BM237" i="115"/>
  <c r="BM241" i="115"/>
  <c r="BM245" i="115"/>
  <c r="BM249" i="115"/>
  <c r="BM211" i="115"/>
  <c r="BM228" i="115"/>
  <c r="BM232" i="115"/>
  <c r="BM236" i="115"/>
  <c r="BM229" i="115"/>
  <c r="BM235" i="115"/>
  <c r="BM246" i="115"/>
  <c r="BM251" i="115"/>
  <c r="BM255" i="115"/>
  <c r="BM259" i="115"/>
  <c r="BM240" i="115"/>
  <c r="BM231" i="115"/>
  <c r="BM243" i="115"/>
  <c r="BM250" i="115"/>
  <c r="BM254" i="115"/>
  <c r="BM258" i="115"/>
  <c r="BM224" i="115"/>
  <c r="BM226" i="115"/>
  <c r="BM244" i="115"/>
  <c r="BM261" i="115"/>
  <c r="BM265" i="115"/>
  <c r="BM269" i="115"/>
  <c r="BM273" i="115"/>
  <c r="BM256" i="115"/>
  <c r="BM238" i="115"/>
  <c r="BM253" i="115"/>
  <c r="BM260" i="115"/>
  <c r="BM264" i="115"/>
  <c r="BM268" i="115"/>
  <c r="BM272" i="115"/>
  <c r="BM188" i="115"/>
  <c r="BM257" i="115"/>
  <c r="BM242" i="115"/>
  <c r="BM252" i="115"/>
  <c r="BM263" i="115"/>
  <c r="BM267" i="115"/>
  <c r="BM271" i="115"/>
  <c r="BM239" i="115"/>
  <c r="BM248" i="115"/>
  <c r="BM247" i="115"/>
  <c r="BM270" i="115"/>
  <c r="BM266" i="115"/>
  <c r="BM233" i="115"/>
  <c r="BM274" i="115"/>
  <c r="BM262" i="115"/>
  <c r="AW189" i="115"/>
  <c r="AW193" i="115"/>
  <c r="AW197" i="115"/>
  <c r="AW201" i="115"/>
  <c r="AW205" i="115"/>
  <c r="AW209" i="115"/>
  <c r="AW192" i="115"/>
  <c r="AW196" i="115"/>
  <c r="AW200" i="115"/>
  <c r="AW204" i="115"/>
  <c r="AW208" i="115"/>
  <c r="AW191" i="115"/>
  <c r="AW195" i="115"/>
  <c r="AW199" i="115"/>
  <c r="AW203" i="115"/>
  <c r="AW206" i="115"/>
  <c r="AW194" i="115"/>
  <c r="AW202" i="115"/>
  <c r="AW198" i="115"/>
  <c r="AW190" i="115"/>
  <c r="AW212" i="115"/>
  <c r="AW220" i="115"/>
  <c r="AW210" i="115"/>
  <c r="AW217" i="115"/>
  <c r="AW222" i="115"/>
  <c r="AW211" i="115"/>
  <c r="AW215" i="115"/>
  <c r="AW219" i="115"/>
  <c r="AW225" i="115"/>
  <c r="AW213" i="115"/>
  <c r="AW218" i="115"/>
  <c r="AW231" i="115"/>
  <c r="AW233" i="115"/>
  <c r="AW234" i="115"/>
  <c r="AW207" i="115"/>
  <c r="AW237" i="115"/>
  <c r="AW241" i="115"/>
  <c r="AW245" i="115"/>
  <c r="AW249" i="115"/>
  <c r="AW226" i="115"/>
  <c r="AW224" i="115"/>
  <c r="AW230" i="115"/>
  <c r="AW236" i="115"/>
  <c r="AW227" i="115"/>
  <c r="AW221" i="115"/>
  <c r="AW232" i="115"/>
  <c r="AW214" i="115"/>
  <c r="AW223" i="115"/>
  <c r="AW247" i="115"/>
  <c r="AW244" i="115"/>
  <c r="AW251" i="115"/>
  <c r="AW255" i="115"/>
  <c r="AW259" i="115"/>
  <c r="AW239" i="115"/>
  <c r="AW216" i="115"/>
  <c r="AW242" i="115"/>
  <c r="AW250" i="115"/>
  <c r="AW254" i="115"/>
  <c r="AW258" i="115"/>
  <c r="AW246" i="115"/>
  <c r="AW229" i="115"/>
  <c r="AW238" i="115"/>
  <c r="AW240" i="115"/>
  <c r="AW243" i="115"/>
  <c r="AW228" i="115"/>
  <c r="AW235" i="115"/>
  <c r="AW252" i="115"/>
  <c r="AW261" i="115"/>
  <c r="AW265" i="115"/>
  <c r="AW269" i="115"/>
  <c r="AW273" i="115"/>
  <c r="AW264" i="115"/>
  <c r="AW268" i="115"/>
  <c r="AW272" i="115"/>
  <c r="AW188" i="115"/>
  <c r="AW260" i="115"/>
  <c r="AW263" i="115"/>
  <c r="AW267" i="115"/>
  <c r="AW271" i="115"/>
  <c r="AW248" i="115"/>
  <c r="AW256" i="115"/>
  <c r="AW257" i="115"/>
  <c r="AW253" i="115"/>
  <c r="AW262" i="115"/>
  <c r="AW270" i="115"/>
  <c r="AW274" i="115"/>
  <c r="AW266" i="115"/>
  <c r="AG189" i="115"/>
  <c r="AG193" i="115"/>
  <c r="AG197" i="115"/>
  <c r="AG201" i="115"/>
  <c r="AG205" i="115"/>
  <c r="AG209" i="115"/>
  <c r="AG192" i="115"/>
  <c r="AG196" i="115"/>
  <c r="AG200" i="115"/>
  <c r="AG204" i="115"/>
  <c r="AG208" i="115"/>
  <c r="AG191" i="115"/>
  <c r="AG195" i="115"/>
  <c r="AG199" i="115"/>
  <c r="AG203" i="115"/>
  <c r="AG194" i="115"/>
  <c r="AG198" i="115"/>
  <c r="AG207" i="115"/>
  <c r="AG190" i="115"/>
  <c r="AG211" i="115"/>
  <c r="AG206" i="115"/>
  <c r="AG213" i="115"/>
  <c r="AG210" i="115"/>
  <c r="AG218" i="115"/>
  <c r="AG216" i="115"/>
  <c r="AG214" i="115"/>
  <c r="AG220" i="115"/>
  <c r="AG225" i="115"/>
  <c r="AG212" i="115"/>
  <c r="AG217" i="115"/>
  <c r="AG215" i="115"/>
  <c r="AG219" i="115"/>
  <c r="AG227" i="115"/>
  <c r="AG228" i="115"/>
  <c r="AG202" i="115"/>
  <c r="AG223" i="115"/>
  <c r="AG237" i="115"/>
  <c r="AG241" i="115"/>
  <c r="AG245" i="115"/>
  <c r="AG249" i="115"/>
  <c r="AG229" i="115"/>
  <c r="AG234" i="115"/>
  <c r="AG221" i="115"/>
  <c r="AG222" i="115"/>
  <c r="AG231" i="115"/>
  <c r="AG233" i="115"/>
  <c r="AG236" i="115"/>
  <c r="AG238" i="115"/>
  <c r="AG251" i="115"/>
  <c r="AG255" i="115"/>
  <c r="AG259" i="115"/>
  <c r="AG248" i="115"/>
  <c r="AG247" i="115"/>
  <c r="AG226" i="115"/>
  <c r="AG235" i="115"/>
  <c r="AG250" i="115"/>
  <c r="AG254" i="115"/>
  <c r="AG258" i="115"/>
  <c r="AG244" i="115"/>
  <c r="AG224" i="115"/>
  <c r="AG232" i="115"/>
  <c r="AG240" i="115"/>
  <c r="AG256" i="115"/>
  <c r="AG261" i="115"/>
  <c r="AG265" i="115"/>
  <c r="AG269" i="115"/>
  <c r="AG273" i="115"/>
  <c r="AG242" i="115"/>
  <c r="AG257" i="115"/>
  <c r="AG230" i="115"/>
  <c r="AG253" i="115"/>
  <c r="AG264" i="115"/>
  <c r="AG268" i="115"/>
  <c r="AG272" i="115"/>
  <c r="AG188" i="115"/>
  <c r="AG239" i="115"/>
  <c r="AG263" i="115"/>
  <c r="AG267" i="115"/>
  <c r="AG271" i="115"/>
  <c r="AG246" i="115"/>
  <c r="AG252" i="115"/>
  <c r="AG260" i="115"/>
  <c r="AG274" i="115"/>
  <c r="AG270" i="115"/>
  <c r="AG266" i="115"/>
  <c r="AG243" i="115"/>
  <c r="AG262" i="115"/>
  <c r="Q189" i="115"/>
  <c r="Q193" i="115"/>
  <c r="Q197" i="115"/>
  <c r="Q201" i="115"/>
  <c r="Q205" i="115"/>
  <c r="Q209" i="115"/>
  <c r="Q192" i="115"/>
  <c r="Q196" i="115"/>
  <c r="Q200" i="115"/>
  <c r="Q204" i="115"/>
  <c r="Q208" i="115"/>
  <c r="Q191" i="115"/>
  <c r="Q195" i="115"/>
  <c r="Q199" i="115"/>
  <c r="Q203" i="115"/>
  <c r="Q190" i="115"/>
  <c r="Q210" i="115"/>
  <c r="Q207" i="115"/>
  <c r="Q198" i="115"/>
  <c r="Q194" i="115"/>
  <c r="Q213" i="115"/>
  <c r="Q219" i="115"/>
  <c r="Q215" i="115"/>
  <c r="Q212" i="115"/>
  <c r="Q221" i="115"/>
  <c r="Q218" i="115"/>
  <c r="Q225" i="115"/>
  <c r="Q216" i="115"/>
  <c r="Q202" i="115"/>
  <c r="Q220" i="115"/>
  <c r="Q211" i="115"/>
  <c r="Q230" i="115"/>
  <c r="Q217" i="115"/>
  <c r="Q222" i="115"/>
  <c r="Q214" i="115"/>
  <c r="Q226" i="115"/>
  <c r="Q232" i="115"/>
  <c r="Q237" i="115"/>
  <c r="Q241" i="115"/>
  <c r="Q245" i="115"/>
  <c r="Q249" i="115"/>
  <c r="Q224" i="115"/>
  <c r="Q227" i="115"/>
  <c r="Q228" i="115"/>
  <c r="Q234" i="115"/>
  <c r="Q236" i="115"/>
  <c r="Q223" i="115"/>
  <c r="Q235" i="115"/>
  <c r="Q246" i="115"/>
  <c r="Q242" i="115"/>
  <c r="Q251" i="115"/>
  <c r="Q255" i="115"/>
  <c r="Q259" i="115"/>
  <c r="Q233" i="115"/>
  <c r="Q239" i="115"/>
  <c r="Q240" i="115"/>
  <c r="Q206" i="115"/>
  <c r="Q243" i="115"/>
  <c r="Q248" i="115"/>
  <c r="Q254" i="115"/>
  <c r="Q258" i="115"/>
  <c r="Q247" i="115"/>
  <c r="Q250" i="115"/>
  <c r="Q231" i="115"/>
  <c r="Q238" i="115"/>
  <c r="Q229" i="115"/>
  <c r="Q261" i="115"/>
  <c r="Q265" i="115"/>
  <c r="Q269" i="115"/>
  <c r="Q273" i="115"/>
  <c r="Q244" i="115"/>
  <c r="Q252" i="115"/>
  <c r="Q260" i="115"/>
  <c r="Q188" i="115"/>
  <c r="Q264" i="115"/>
  <c r="Q268" i="115"/>
  <c r="Q272" i="115"/>
  <c r="Q257" i="115"/>
  <c r="Q256" i="115"/>
  <c r="Q263" i="115"/>
  <c r="Q267" i="115"/>
  <c r="Q271" i="115"/>
  <c r="Q270" i="115"/>
  <c r="Q266" i="115"/>
  <c r="Q262" i="115"/>
  <c r="Q274" i="115"/>
  <c r="Q253" i="115"/>
  <c r="BK192" i="115"/>
  <c r="BK196" i="115"/>
  <c r="BK200" i="115"/>
  <c r="BK191" i="115"/>
  <c r="BK195" i="115"/>
  <c r="BK199" i="115"/>
  <c r="BK190" i="115"/>
  <c r="BK208" i="115"/>
  <c r="BK211" i="115"/>
  <c r="BK215" i="115"/>
  <c r="BK219" i="115"/>
  <c r="BK203" i="115"/>
  <c r="BK197" i="115"/>
  <c r="BK214" i="115"/>
  <c r="BK205" i="115"/>
  <c r="BK207" i="115"/>
  <c r="BK193" i="115"/>
  <c r="BK194" i="115"/>
  <c r="BK201" i="115"/>
  <c r="BK209" i="115"/>
  <c r="BK189" i="115"/>
  <c r="BK198" i="115"/>
  <c r="BK222" i="115"/>
  <c r="BK226" i="115"/>
  <c r="BK230" i="115"/>
  <c r="BK234" i="115"/>
  <c r="BK213" i="115"/>
  <c r="BK202" i="115"/>
  <c r="BK225" i="115"/>
  <c r="BK229" i="115"/>
  <c r="BK206" i="115"/>
  <c r="BK212" i="115"/>
  <c r="BK216" i="115"/>
  <c r="BK218" i="115"/>
  <c r="BK210" i="115"/>
  <c r="BK227" i="115"/>
  <c r="BK223" i="115"/>
  <c r="BK237" i="115"/>
  <c r="BK241" i="115"/>
  <c r="BK245" i="115"/>
  <c r="BK249" i="115"/>
  <c r="BK228" i="115"/>
  <c r="BK232" i="115"/>
  <c r="BK236" i="115"/>
  <c r="BK204" i="115"/>
  <c r="BK217" i="115"/>
  <c r="BK235" i="115"/>
  <c r="BK239" i="115"/>
  <c r="BK240" i="115"/>
  <c r="BK231" i="115"/>
  <c r="BK243" i="115"/>
  <c r="BK220" i="115"/>
  <c r="BK250" i="115"/>
  <c r="BK254" i="115"/>
  <c r="BK258" i="115"/>
  <c r="BK221" i="115"/>
  <c r="BK253" i="115"/>
  <c r="BK224" i="115"/>
  <c r="BK247" i="115"/>
  <c r="BK248" i="115"/>
  <c r="BK246" i="115"/>
  <c r="BK256" i="115"/>
  <c r="BK238" i="115"/>
  <c r="BK255" i="115"/>
  <c r="BK260" i="115"/>
  <c r="BK264" i="115"/>
  <c r="BK268" i="115"/>
  <c r="BK272" i="115"/>
  <c r="BK188" i="115"/>
  <c r="BK257" i="115"/>
  <c r="BK242" i="115"/>
  <c r="BK252" i="115"/>
  <c r="BK263" i="115"/>
  <c r="BK267" i="115"/>
  <c r="BK244" i="115"/>
  <c r="BK259" i="115"/>
  <c r="BK233" i="115"/>
  <c r="BK262" i="115"/>
  <c r="BK266" i="115"/>
  <c r="BK270" i="115"/>
  <c r="BK251" i="115"/>
  <c r="BK274" i="115"/>
  <c r="BK265" i="115"/>
  <c r="BK271" i="115"/>
  <c r="BK273" i="115"/>
  <c r="BK261" i="115"/>
  <c r="BK269" i="115"/>
  <c r="BA190" i="115"/>
  <c r="BA194" i="115"/>
  <c r="BA198" i="115"/>
  <c r="BA202" i="115"/>
  <c r="BA206" i="115"/>
  <c r="BA210" i="115"/>
  <c r="BA189" i="115"/>
  <c r="BA193" i="115"/>
  <c r="BA197" i="115"/>
  <c r="BA201" i="115"/>
  <c r="BA205" i="115"/>
  <c r="BA209" i="115"/>
  <c r="BA192" i="115"/>
  <c r="BA196" i="115"/>
  <c r="BA200" i="115"/>
  <c r="BA207" i="115"/>
  <c r="BA204" i="115"/>
  <c r="BA199" i="115"/>
  <c r="BA211" i="115"/>
  <c r="BA218" i="115"/>
  <c r="BA212" i="115"/>
  <c r="BA214" i="115"/>
  <c r="BA215" i="115"/>
  <c r="BA217" i="115"/>
  <c r="BA219" i="115"/>
  <c r="BA191" i="115"/>
  <c r="BA235" i="115"/>
  <c r="BA213" i="115"/>
  <c r="BA229" i="115"/>
  <c r="BA231" i="115"/>
  <c r="BA238" i="115"/>
  <c r="BA242" i="115"/>
  <c r="BA246" i="115"/>
  <c r="BA195" i="115"/>
  <c r="BA233" i="115"/>
  <c r="BA234" i="115"/>
  <c r="BA203" i="115"/>
  <c r="BA208" i="115"/>
  <c r="BA225" i="115"/>
  <c r="BA226" i="115"/>
  <c r="BA237" i="115"/>
  <c r="BA230" i="115"/>
  <c r="BA227" i="115"/>
  <c r="BA224" i="115"/>
  <c r="BA223" i="115"/>
  <c r="BA241" i="115"/>
  <c r="BA252" i="115"/>
  <c r="BA256" i="115"/>
  <c r="BA260" i="115"/>
  <c r="BA220" i="115"/>
  <c r="BA236" i="115"/>
  <c r="BA248" i="115"/>
  <c r="BA249" i="115"/>
  <c r="BA247" i="115"/>
  <c r="BA221" i="115"/>
  <c r="BA244" i="115"/>
  <c r="BA251" i="115"/>
  <c r="BA255" i="115"/>
  <c r="BA259" i="115"/>
  <c r="BA216" i="115"/>
  <c r="BA239" i="115"/>
  <c r="BA250" i="115"/>
  <c r="BA222" i="115"/>
  <c r="BA228" i="115"/>
  <c r="BA257" i="115"/>
  <c r="BA253" i="115"/>
  <c r="BA262" i="115"/>
  <c r="BA266" i="115"/>
  <c r="BA270" i="115"/>
  <c r="BA274" i="115"/>
  <c r="BA240" i="115"/>
  <c r="BA245" i="115"/>
  <c r="BA261" i="115"/>
  <c r="BA265" i="115"/>
  <c r="BA269" i="115"/>
  <c r="BA273" i="115"/>
  <c r="BA258" i="115"/>
  <c r="BA264" i="115"/>
  <c r="BA268" i="115"/>
  <c r="BA272" i="115"/>
  <c r="BA232" i="115"/>
  <c r="BA271" i="115"/>
  <c r="BA263" i="115"/>
  <c r="BA254" i="115"/>
  <c r="BA243" i="115"/>
  <c r="BA188" i="115"/>
  <c r="BA267" i="115"/>
  <c r="U190" i="115"/>
  <c r="U194" i="115"/>
  <c r="U198" i="115"/>
  <c r="U202" i="115"/>
  <c r="U206" i="115"/>
  <c r="U210" i="115"/>
  <c r="U189" i="115"/>
  <c r="U193" i="115"/>
  <c r="U197" i="115"/>
  <c r="U201" i="115"/>
  <c r="U205" i="115"/>
  <c r="U209" i="115"/>
  <c r="U192" i="115"/>
  <c r="U196" i="115"/>
  <c r="U200" i="115"/>
  <c r="U204" i="115"/>
  <c r="U211" i="115"/>
  <c r="U195" i="115"/>
  <c r="U191" i="115"/>
  <c r="U199" i="115"/>
  <c r="U203" i="115"/>
  <c r="U207" i="115"/>
  <c r="U222" i="115"/>
  <c r="U215" i="115"/>
  <c r="U217" i="115"/>
  <c r="U212" i="115"/>
  <c r="U208" i="115"/>
  <c r="U221" i="115"/>
  <c r="U216" i="115"/>
  <c r="U233" i="115"/>
  <c r="U235" i="115"/>
  <c r="U230" i="115"/>
  <c r="U238" i="115"/>
  <c r="U242" i="115"/>
  <c r="U246" i="115"/>
  <c r="U250" i="115"/>
  <c r="U226" i="115"/>
  <c r="U220" i="115"/>
  <c r="U214" i="115"/>
  <c r="U225" i="115"/>
  <c r="U227" i="115"/>
  <c r="U232" i="115"/>
  <c r="U237" i="115"/>
  <c r="U219" i="115"/>
  <c r="U224" i="115"/>
  <c r="U234" i="115"/>
  <c r="U252" i="115"/>
  <c r="U256" i="115"/>
  <c r="U260" i="115"/>
  <c r="U229" i="115"/>
  <c r="U228" i="115"/>
  <c r="U251" i="115"/>
  <c r="U255" i="115"/>
  <c r="U259" i="115"/>
  <c r="U236" i="115"/>
  <c r="U239" i="115"/>
  <c r="U240" i="115"/>
  <c r="U245" i="115"/>
  <c r="U218" i="115"/>
  <c r="U243" i="115"/>
  <c r="U248" i="115"/>
  <c r="U249" i="115"/>
  <c r="U231" i="115"/>
  <c r="U223" i="115"/>
  <c r="U241" i="115"/>
  <c r="U253" i="115"/>
  <c r="U262" i="115"/>
  <c r="U266" i="115"/>
  <c r="U270" i="115"/>
  <c r="U274" i="115"/>
  <c r="U213" i="115"/>
  <c r="U258" i="115"/>
  <c r="U247" i="115"/>
  <c r="U244" i="115"/>
  <c r="U261" i="115"/>
  <c r="U265" i="115"/>
  <c r="U269" i="115"/>
  <c r="U273" i="115"/>
  <c r="U264" i="115"/>
  <c r="U268" i="115"/>
  <c r="U272" i="115"/>
  <c r="U257" i="115"/>
  <c r="U254" i="115"/>
  <c r="U267" i="115"/>
  <c r="U271" i="115"/>
  <c r="U263" i="115"/>
  <c r="U188" i="115"/>
  <c r="BP189" i="115"/>
  <c r="BP193" i="115"/>
  <c r="BP197" i="115"/>
  <c r="BP201" i="115"/>
  <c r="BP205" i="115"/>
  <c r="BP209" i="115"/>
  <c r="BP192" i="115"/>
  <c r="BP190" i="115"/>
  <c r="BP191" i="115"/>
  <c r="BP198" i="115"/>
  <c r="BP212" i="115"/>
  <c r="BP216" i="115"/>
  <c r="BP220" i="115"/>
  <c r="BP195" i="115"/>
  <c r="BP202" i="115"/>
  <c r="BP211" i="115"/>
  <c r="BP215" i="115"/>
  <c r="BP219" i="115"/>
  <c r="BP203" i="115"/>
  <c r="BP210" i="115"/>
  <c r="BP200" i="115"/>
  <c r="BP196" i="115"/>
  <c r="BP207" i="115"/>
  <c r="BP223" i="115"/>
  <c r="BP227" i="115"/>
  <c r="BP231" i="115"/>
  <c r="BP217" i="115"/>
  <c r="BP208" i="115"/>
  <c r="BP222" i="115"/>
  <c r="BP226" i="115"/>
  <c r="BP230" i="115"/>
  <c r="BP206" i="115"/>
  <c r="BP213" i="115"/>
  <c r="BP221" i="115"/>
  <c r="BP199" i="115"/>
  <c r="BP214" i="115"/>
  <c r="BP224" i="115"/>
  <c r="BP233" i="115"/>
  <c r="BP234" i="115"/>
  <c r="BP194" i="115"/>
  <c r="BP218" i="115"/>
  <c r="BP237" i="115"/>
  <c r="BP241" i="115"/>
  <c r="BP245" i="115"/>
  <c r="BP228" i="115"/>
  <c r="BP232" i="115"/>
  <c r="BP204" i="115"/>
  <c r="BP238" i="115"/>
  <c r="BP239" i="115"/>
  <c r="BP242" i="115"/>
  <c r="BP252" i="115"/>
  <c r="BP256" i="115"/>
  <c r="BP225" i="115"/>
  <c r="BP246" i="115"/>
  <c r="BP235" i="115"/>
  <c r="BP240" i="115"/>
  <c r="BP251" i="115"/>
  <c r="BP255" i="115"/>
  <c r="BP259" i="115"/>
  <c r="BP243" i="115"/>
  <c r="BP250" i="115"/>
  <c r="BP254" i="115"/>
  <c r="BP236" i="115"/>
  <c r="BP229" i="115"/>
  <c r="BP247" i="115"/>
  <c r="BP262" i="115"/>
  <c r="BP266" i="115"/>
  <c r="BP270" i="115"/>
  <c r="BP274" i="115"/>
  <c r="BP258" i="115"/>
  <c r="BP261" i="115"/>
  <c r="BP265" i="115"/>
  <c r="BP269" i="115"/>
  <c r="BP273" i="115"/>
  <c r="BP253" i="115"/>
  <c r="BP260" i="115"/>
  <c r="BP264" i="115"/>
  <c r="BP268" i="115"/>
  <c r="BP272" i="115"/>
  <c r="BP257" i="115"/>
  <c r="BP267" i="115"/>
  <c r="BP248" i="115"/>
  <c r="BP188" i="115"/>
  <c r="BP263" i="115"/>
  <c r="BP249" i="115"/>
  <c r="BP271" i="115"/>
  <c r="BP244" i="115"/>
  <c r="AZ189" i="115"/>
  <c r="AZ193" i="115"/>
  <c r="AZ197" i="115"/>
  <c r="AZ201" i="115"/>
  <c r="AZ205" i="115"/>
  <c r="AZ209" i="115"/>
  <c r="AZ192" i="115"/>
  <c r="AZ207" i="115"/>
  <c r="AZ200" i="115"/>
  <c r="AZ212" i="115"/>
  <c r="AZ216" i="115"/>
  <c r="AZ220" i="115"/>
  <c r="AZ196" i="115"/>
  <c r="AZ199" i="115"/>
  <c r="AZ211" i="115"/>
  <c r="AZ215" i="115"/>
  <c r="AZ219" i="115"/>
  <c r="AZ206" i="115"/>
  <c r="AZ208" i="115"/>
  <c r="AZ194" i="115"/>
  <c r="AZ202" i="115"/>
  <c r="AZ198" i="115"/>
  <c r="AZ218" i="115"/>
  <c r="AZ214" i="115"/>
  <c r="AZ223" i="115"/>
  <c r="AZ227" i="115"/>
  <c r="AZ231" i="115"/>
  <c r="AZ190" i="115"/>
  <c r="AZ210" i="115"/>
  <c r="AZ226" i="115"/>
  <c r="AZ230" i="115"/>
  <c r="AZ217" i="115"/>
  <c r="AZ222" i="115"/>
  <c r="AZ191" i="115"/>
  <c r="AZ204" i="115"/>
  <c r="AZ213" i="115"/>
  <c r="AZ229" i="115"/>
  <c r="AZ195" i="115"/>
  <c r="AZ233" i="115"/>
  <c r="AZ234" i="115"/>
  <c r="AZ203" i="115"/>
  <c r="AZ225" i="115"/>
  <c r="AZ237" i="115"/>
  <c r="AZ241" i="115"/>
  <c r="AZ245" i="115"/>
  <c r="AZ224" i="115"/>
  <c r="AZ252" i="115"/>
  <c r="AZ256" i="115"/>
  <c r="AZ260" i="115"/>
  <c r="AZ236" i="115"/>
  <c r="AZ248" i="115"/>
  <c r="AZ247" i="115"/>
  <c r="AZ221" i="115"/>
  <c r="AZ244" i="115"/>
  <c r="AZ251" i="115"/>
  <c r="AZ255" i="115"/>
  <c r="AZ259" i="115"/>
  <c r="AZ242" i="115"/>
  <c r="AZ239" i="115"/>
  <c r="AZ246" i="115"/>
  <c r="AZ250" i="115"/>
  <c r="AZ254" i="115"/>
  <c r="AZ238" i="115"/>
  <c r="AZ240" i="115"/>
  <c r="AZ243" i="115"/>
  <c r="AZ253" i="115"/>
  <c r="AZ262" i="115"/>
  <c r="AZ266" i="115"/>
  <c r="AZ270" i="115"/>
  <c r="AZ274" i="115"/>
  <c r="AZ235" i="115"/>
  <c r="AZ261" i="115"/>
  <c r="AZ265" i="115"/>
  <c r="AZ269" i="115"/>
  <c r="AZ273" i="115"/>
  <c r="AZ258" i="115"/>
  <c r="AZ264" i="115"/>
  <c r="AZ268" i="115"/>
  <c r="AZ272" i="115"/>
  <c r="AZ232" i="115"/>
  <c r="AZ249" i="115"/>
  <c r="AZ263" i="115"/>
  <c r="AZ228" i="115"/>
  <c r="AZ257" i="115"/>
  <c r="AZ188" i="115"/>
  <c r="AZ267" i="115"/>
  <c r="AZ271" i="115"/>
  <c r="T189" i="115"/>
  <c r="T193" i="115"/>
  <c r="T197" i="115"/>
  <c r="T201" i="115"/>
  <c r="T205" i="115"/>
  <c r="T209" i="115"/>
  <c r="T192" i="115"/>
  <c r="T196" i="115"/>
  <c r="T195" i="115"/>
  <c r="T200" i="115"/>
  <c r="T206" i="115"/>
  <c r="T208" i="115"/>
  <c r="T212" i="115"/>
  <c r="T216" i="115"/>
  <c r="T220" i="115"/>
  <c r="T190" i="115"/>
  <c r="T191" i="115"/>
  <c r="T199" i="115"/>
  <c r="T202" i="115"/>
  <c r="T215" i="115"/>
  <c r="T219" i="115"/>
  <c r="T210" i="115"/>
  <c r="T203" i="115"/>
  <c r="T207" i="115"/>
  <c r="T222" i="115"/>
  <c r="T217" i="115"/>
  <c r="T223" i="115"/>
  <c r="T227" i="115"/>
  <c r="T231" i="115"/>
  <c r="T204" i="115"/>
  <c r="T194" i="115"/>
  <c r="T226" i="115"/>
  <c r="T230" i="115"/>
  <c r="T221" i="115"/>
  <c r="T218" i="115"/>
  <c r="T211" i="115"/>
  <c r="T214" i="115"/>
  <c r="T225" i="115"/>
  <c r="T232" i="115"/>
  <c r="T237" i="115"/>
  <c r="T241" i="115"/>
  <c r="T245" i="115"/>
  <c r="T198" i="115"/>
  <c r="T224" i="115"/>
  <c r="T228" i="115"/>
  <c r="T234" i="115"/>
  <c r="T252" i="115"/>
  <c r="T256" i="115"/>
  <c r="T260" i="115"/>
  <c r="T246" i="115"/>
  <c r="T229" i="115"/>
  <c r="T242" i="115"/>
  <c r="T235" i="115"/>
  <c r="T251" i="115"/>
  <c r="T255" i="115"/>
  <c r="T259" i="115"/>
  <c r="T233" i="115"/>
  <c r="T236" i="115"/>
  <c r="T239" i="115"/>
  <c r="T240" i="115"/>
  <c r="T243" i="115"/>
  <c r="T248" i="115"/>
  <c r="T249" i="115"/>
  <c r="T254" i="115"/>
  <c r="T250" i="115"/>
  <c r="T253" i="115"/>
  <c r="T262" i="115"/>
  <c r="T266" i="115"/>
  <c r="T270" i="115"/>
  <c r="T274" i="115"/>
  <c r="T213" i="115"/>
  <c r="T258" i="115"/>
  <c r="T247" i="115"/>
  <c r="T188" i="115"/>
  <c r="T244" i="115"/>
  <c r="T261" i="115"/>
  <c r="T265" i="115"/>
  <c r="T269" i="115"/>
  <c r="T273" i="115"/>
  <c r="T264" i="115"/>
  <c r="T268" i="115"/>
  <c r="T272" i="115"/>
  <c r="T257" i="115"/>
  <c r="T238" i="115"/>
  <c r="T267" i="115"/>
  <c r="T271" i="115"/>
  <c r="T263" i="115"/>
  <c r="BO189" i="115"/>
  <c r="BO193" i="115"/>
  <c r="BO197" i="115"/>
  <c r="BO192" i="115"/>
  <c r="BO196" i="115"/>
  <c r="BO200" i="115"/>
  <c r="BO191" i="115"/>
  <c r="BO190" i="115"/>
  <c r="BO198" i="115"/>
  <c r="BO212" i="115"/>
  <c r="BO216" i="115"/>
  <c r="BO220" i="115"/>
  <c r="BO195" i="115"/>
  <c r="BO206" i="115"/>
  <c r="BO208" i="115"/>
  <c r="BO211" i="115"/>
  <c r="BO215" i="115"/>
  <c r="BO203" i="115"/>
  <c r="BO210" i="115"/>
  <c r="BO205" i="115"/>
  <c r="BO207" i="115"/>
  <c r="BO223" i="115"/>
  <c r="BO227" i="115"/>
  <c r="BO231" i="115"/>
  <c r="BO217" i="115"/>
  <c r="BO222" i="115"/>
  <c r="BO226" i="115"/>
  <c r="BO202" i="115"/>
  <c r="BO209" i="115"/>
  <c r="BO213" i="115"/>
  <c r="BO221" i="115"/>
  <c r="BO199" i="115"/>
  <c r="BO201" i="115"/>
  <c r="BO194" i="115"/>
  <c r="BO218" i="115"/>
  <c r="BO204" i="115"/>
  <c r="BO224" i="115"/>
  <c r="BO233" i="115"/>
  <c r="BO234" i="115"/>
  <c r="BO238" i="115"/>
  <c r="BO242" i="115"/>
  <c r="BO246" i="115"/>
  <c r="BO230" i="115"/>
  <c r="BO219" i="115"/>
  <c r="BO237" i="115"/>
  <c r="BO228" i="115"/>
  <c r="BO232" i="115"/>
  <c r="BO236" i="115"/>
  <c r="BO214" i="115"/>
  <c r="BO225" i="115"/>
  <c r="BO235" i="115"/>
  <c r="BO240" i="115"/>
  <c r="BO251" i="115"/>
  <c r="BO255" i="115"/>
  <c r="BO259" i="115"/>
  <c r="BO243" i="115"/>
  <c r="BO245" i="115"/>
  <c r="BO250" i="115"/>
  <c r="BO254" i="115"/>
  <c r="BO229" i="115"/>
  <c r="BO241" i="115"/>
  <c r="BO258" i="115"/>
  <c r="BO261" i="115"/>
  <c r="BO265" i="115"/>
  <c r="BO269" i="115"/>
  <c r="BO273" i="115"/>
  <c r="BO256" i="115"/>
  <c r="BO253" i="115"/>
  <c r="BO260" i="115"/>
  <c r="BO264" i="115"/>
  <c r="BO268" i="115"/>
  <c r="BO257" i="115"/>
  <c r="BO252" i="115"/>
  <c r="BO263" i="115"/>
  <c r="BO267" i="115"/>
  <c r="BO271" i="115"/>
  <c r="BO244" i="115"/>
  <c r="BO248" i="115"/>
  <c r="BO249" i="115"/>
  <c r="BO247" i="115"/>
  <c r="BO270" i="115"/>
  <c r="BO188" i="115"/>
  <c r="BO266" i="115"/>
  <c r="BO239" i="115"/>
  <c r="BO274" i="115"/>
  <c r="BO262" i="115"/>
  <c r="BO272" i="115"/>
  <c r="S189" i="115"/>
  <c r="S193" i="115"/>
  <c r="S197" i="115"/>
  <c r="S201" i="115"/>
  <c r="S192" i="115"/>
  <c r="S196" i="115"/>
  <c r="S200" i="115"/>
  <c r="S191" i="115"/>
  <c r="S195" i="115"/>
  <c r="S206" i="115"/>
  <c r="S208" i="115"/>
  <c r="S212" i="115"/>
  <c r="S216" i="115"/>
  <c r="S220" i="115"/>
  <c r="S190" i="115"/>
  <c r="S199" i="115"/>
  <c r="S202" i="115"/>
  <c r="S215" i="115"/>
  <c r="S210" i="115"/>
  <c r="S205" i="115"/>
  <c r="S203" i="115"/>
  <c r="S207" i="115"/>
  <c r="S217" i="115"/>
  <c r="S223" i="115"/>
  <c r="S227" i="115"/>
  <c r="S231" i="115"/>
  <c r="S219" i="115"/>
  <c r="S204" i="115"/>
  <c r="S194" i="115"/>
  <c r="S226" i="115"/>
  <c r="S230" i="115"/>
  <c r="S221" i="115"/>
  <c r="S209" i="115"/>
  <c r="S218" i="115"/>
  <c r="S198" i="115"/>
  <c r="S211" i="115"/>
  <c r="S238" i="115"/>
  <c r="S242" i="115"/>
  <c r="S246" i="115"/>
  <c r="S250" i="115"/>
  <c r="S214" i="115"/>
  <c r="S222" i="115"/>
  <c r="S225" i="115"/>
  <c r="S232" i="115"/>
  <c r="S237" i="115"/>
  <c r="S224" i="115"/>
  <c r="S228" i="115"/>
  <c r="S234" i="115"/>
  <c r="S236" i="115"/>
  <c r="S229" i="115"/>
  <c r="S235" i="115"/>
  <c r="S251" i="115"/>
  <c r="S255" i="115"/>
  <c r="S259" i="115"/>
  <c r="S233" i="115"/>
  <c r="S239" i="115"/>
  <c r="S240" i="115"/>
  <c r="S245" i="115"/>
  <c r="S243" i="115"/>
  <c r="S248" i="115"/>
  <c r="S249" i="115"/>
  <c r="S254" i="115"/>
  <c r="S247" i="115"/>
  <c r="S213" i="115"/>
  <c r="S258" i="115"/>
  <c r="S188" i="115"/>
  <c r="S244" i="115"/>
  <c r="S261" i="115"/>
  <c r="S265" i="115"/>
  <c r="S269" i="115"/>
  <c r="S273" i="115"/>
  <c r="S252" i="115"/>
  <c r="S260" i="115"/>
  <c r="S241" i="115"/>
  <c r="S264" i="115"/>
  <c r="S268" i="115"/>
  <c r="S257" i="115"/>
  <c r="S256" i="115"/>
  <c r="S263" i="115"/>
  <c r="S267" i="115"/>
  <c r="S271" i="115"/>
  <c r="S270" i="115"/>
  <c r="S266" i="115"/>
  <c r="S272" i="115"/>
  <c r="S262" i="115"/>
  <c r="S274" i="115"/>
  <c r="S253" i="115"/>
  <c r="BN189" i="115"/>
  <c r="BN193" i="115"/>
  <c r="BN197" i="115"/>
  <c r="BN201" i="115"/>
  <c r="BN205" i="115"/>
  <c r="BN209" i="115"/>
  <c r="BN192" i="115"/>
  <c r="BN196" i="115"/>
  <c r="BN200" i="115"/>
  <c r="BN204" i="115"/>
  <c r="BN208" i="115"/>
  <c r="BN191" i="115"/>
  <c r="BN195" i="115"/>
  <c r="BN190" i="115"/>
  <c r="BN198" i="115"/>
  <c r="BN212" i="115"/>
  <c r="BN216" i="115"/>
  <c r="BN220" i="115"/>
  <c r="BN206" i="115"/>
  <c r="BN202" i="115"/>
  <c r="BN211" i="115"/>
  <c r="BN215" i="115"/>
  <c r="BN219" i="115"/>
  <c r="BN203" i="115"/>
  <c r="BN210" i="115"/>
  <c r="BN207" i="115"/>
  <c r="BN199" i="115"/>
  <c r="BN223" i="115"/>
  <c r="BN227" i="115"/>
  <c r="BN231" i="115"/>
  <c r="BN217" i="115"/>
  <c r="BN222" i="115"/>
  <c r="BN226" i="115"/>
  <c r="BN230" i="115"/>
  <c r="BN213" i="115"/>
  <c r="BN221" i="115"/>
  <c r="BN225" i="115"/>
  <c r="BN194" i="115"/>
  <c r="BN218" i="115"/>
  <c r="BN214" i="115"/>
  <c r="BN224" i="115"/>
  <c r="BN233" i="115"/>
  <c r="BN234" i="115"/>
  <c r="BN238" i="115"/>
  <c r="BN242" i="115"/>
  <c r="BN246" i="115"/>
  <c r="BN237" i="115"/>
  <c r="BN241" i="115"/>
  <c r="BN245" i="115"/>
  <c r="BN228" i="115"/>
  <c r="BN232" i="115"/>
  <c r="BN236" i="115"/>
  <c r="BN240" i="115"/>
  <c r="BN229" i="115"/>
  <c r="BN235" i="115"/>
  <c r="BN243" i="115"/>
  <c r="BN250" i="115"/>
  <c r="BN254" i="115"/>
  <c r="BN258" i="115"/>
  <c r="BN261" i="115"/>
  <c r="BN265" i="115"/>
  <c r="BN269" i="115"/>
  <c r="BN273" i="115"/>
  <c r="BN255" i="115"/>
  <c r="BN256" i="115"/>
  <c r="BN253" i="115"/>
  <c r="BN260" i="115"/>
  <c r="BN264" i="115"/>
  <c r="BN268" i="115"/>
  <c r="BN272" i="115"/>
  <c r="BN188" i="115"/>
  <c r="BN257" i="115"/>
  <c r="BN252" i="115"/>
  <c r="BN263" i="115"/>
  <c r="BN267" i="115"/>
  <c r="BN244" i="115"/>
  <c r="BN259" i="115"/>
  <c r="BN239" i="115"/>
  <c r="BN247" i="115"/>
  <c r="BN270" i="115"/>
  <c r="BN248" i="115"/>
  <c r="BN266" i="115"/>
  <c r="BN249" i="115"/>
  <c r="BN271" i="115"/>
  <c r="BN274" i="115"/>
  <c r="BN262" i="115"/>
  <c r="BN251" i="115"/>
  <c r="BL192" i="115"/>
  <c r="BL196" i="115"/>
  <c r="BL200" i="115"/>
  <c r="BL204" i="115"/>
  <c r="BL208" i="115"/>
  <c r="BL191" i="115"/>
  <c r="BL195" i="115"/>
  <c r="BL202" i="115"/>
  <c r="BL211" i="115"/>
  <c r="BL215" i="115"/>
  <c r="BL219" i="115"/>
  <c r="BL210" i="115"/>
  <c r="BL203" i="115"/>
  <c r="BL197" i="115"/>
  <c r="BL214" i="115"/>
  <c r="BL218" i="115"/>
  <c r="BL205" i="115"/>
  <c r="BL207" i="115"/>
  <c r="BL193" i="115"/>
  <c r="BL199" i="115"/>
  <c r="BL194" i="115"/>
  <c r="BL189" i="115"/>
  <c r="BL198" i="115"/>
  <c r="BL222" i="115"/>
  <c r="BL226" i="115"/>
  <c r="BL230" i="115"/>
  <c r="BL234" i="115"/>
  <c r="BL213" i="115"/>
  <c r="BL221" i="115"/>
  <c r="BL190" i="115"/>
  <c r="BL209" i="115"/>
  <c r="BL225" i="115"/>
  <c r="BL229" i="115"/>
  <c r="BL206" i="115"/>
  <c r="BL212" i="115"/>
  <c r="BL216" i="115"/>
  <c r="BL201" i="115"/>
  <c r="BL220" i="115"/>
  <c r="BL227" i="115"/>
  <c r="BL223" i="115"/>
  <c r="BL228" i="115"/>
  <c r="BL232" i="115"/>
  <c r="BL236" i="115"/>
  <c r="BL240" i="115"/>
  <c r="BL244" i="115"/>
  <c r="BL217" i="115"/>
  <c r="BL235" i="115"/>
  <c r="BL246" i="115"/>
  <c r="BL251" i="115"/>
  <c r="BL255" i="115"/>
  <c r="BL259" i="115"/>
  <c r="BL231" i="115"/>
  <c r="BL243" i="115"/>
  <c r="BL237" i="115"/>
  <c r="BL250" i="115"/>
  <c r="BL254" i="115"/>
  <c r="BL258" i="115"/>
  <c r="BL245" i="115"/>
  <c r="BL241" i="115"/>
  <c r="BL253" i="115"/>
  <c r="BL224" i="115"/>
  <c r="BL239" i="115"/>
  <c r="BL261" i="115"/>
  <c r="BL265" i="115"/>
  <c r="BL269" i="115"/>
  <c r="BL273" i="115"/>
  <c r="BL256" i="115"/>
  <c r="BL238" i="115"/>
  <c r="BL260" i="115"/>
  <c r="BL264" i="115"/>
  <c r="BL268" i="115"/>
  <c r="BL272" i="115"/>
  <c r="BL188" i="115"/>
  <c r="BL257" i="115"/>
  <c r="BL242" i="115"/>
  <c r="BL252" i="115"/>
  <c r="BL263" i="115"/>
  <c r="BL267" i="115"/>
  <c r="BL271" i="115"/>
  <c r="BL248" i="115"/>
  <c r="BL233" i="115"/>
  <c r="BL247" i="115"/>
  <c r="BL249" i="115"/>
  <c r="BL266" i="115"/>
  <c r="BL274" i="115"/>
  <c r="BL262" i="115"/>
  <c r="BL270" i="115"/>
  <c r="AV192" i="115"/>
  <c r="AV196" i="115"/>
  <c r="AV200" i="115"/>
  <c r="AV204" i="115"/>
  <c r="AV208" i="115"/>
  <c r="AV191" i="115"/>
  <c r="AV195" i="115"/>
  <c r="AV209" i="115"/>
  <c r="AV199" i="115"/>
  <c r="AV201" i="115"/>
  <c r="AV211" i="115"/>
  <c r="AV215" i="115"/>
  <c r="AV219" i="115"/>
  <c r="AV193" i="115"/>
  <c r="AV206" i="115"/>
  <c r="AV194" i="115"/>
  <c r="AV202" i="115"/>
  <c r="AV214" i="115"/>
  <c r="AV218" i="115"/>
  <c r="AV222" i="115"/>
  <c r="AV198" i="115"/>
  <c r="AV189" i="115"/>
  <c r="AV190" i="115"/>
  <c r="AV203" i="115"/>
  <c r="AV212" i="115"/>
  <c r="AV220" i="115"/>
  <c r="AV210" i="115"/>
  <c r="AV226" i="115"/>
  <c r="AV230" i="115"/>
  <c r="AV234" i="115"/>
  <c r="AV217" i="115"/>
  <c r="AV205" i="115"/>
  <c r="AV225" i="115"/>
  <c r="AV229" i="115"/>
  <c r="AV233" i="115"/>
  <c r="AV213" i="115"/>
  <c r="AV216" i="115"/>
  <c r="AV231" i="115"/>
  <c r="AV207" i="115"/>
  <c r="AV224" i="115"/>
  <c r="AV236" i="115"/>
  <c r="AV240" i="115"/>
  <c r="AV244" i="115"/>
  <c r="AV197" i="115"/>
  <c r="AV227" i="115"/>
  <c r="AV221" i="115"/>
  <c r="AV232" i="115"/>
  <c r="AV223" i="115"/>
  <c r="AV228" i="115"/>
  <c r="AV251" i="115"/>
  <c r="AV255" i="115"/>
  <c r="AV259" i="115"/>
  <c r="AV239" i="115"/>
  <c r="AV242" i="115"/>
  <c r="AV250" i="115"/>
  <c r="AV254" i="115"/>
  <c r="AV258" i="115"/>
  <c r="AV246" i="115"/>
  <c r="AV238" i="115"/>
  <c r="AV243" i="115"/>
  <c r="AV253" i="115"/>
  <c r="AV257" i="115"/>
  <c r="AV235" i="115"/>
  <c r="AV252" i="115"/>
  <c r="AV261" i="115"/>
  <c r="AV265" i="115"/>
  <c r="AV269" i="115"/>
  <c r="AV273" i="115"/>
  <c r="AV245" i="115"/>
  <c r="AV264" i="115"/>
  <c r="AV268" i="115"/>
  <c r="AV272" i="115"/>
  <c r="AV188" i="115"/>
  <c r="AV260" i="115"/>
  <c r="AV263" i="115"/>
  <c r="AV267" i="115"/>
  <c r="AV271" i="115"/>
  <c r="AV248" i="115"/>
  <c r="AV249" i="115"/>
  <c r="AV256" i="115"/>
  <c r="AV237" i="115"/>
  <c r="AV247" i="115"/>
  <c r="AV241" i="115"/>
  <c r="AV262" i="115"/>
  <c r="AV270" i="115"/>
  <c r="AV274" i="115"/>
  <c r="AV266" i="115"/>
  <c r="AF192" i="115"/>
  <c r="AF196" i="115"/>
  <c r="AF200" i="115"/>
  <c r="AF204" i="115"/>
  <c r="AF208" i="115"/>
  <c r="AF191" i="115"/>
  <c r="AF195" i="115"/>
  <c r="AF198" i="115"/>
  <c r="AF203" i="115"/>
  <c r="AF205" i="115"/>
  <c r="AF207" i="115"/>
  <c r="AF215" i="115"/>
  <c r="AF219" i="115"/>
  <c r="AF189" i="115"/>
  <c r="AF190" i="115"/>
  <c r="AF209" i="115"/>
  <c r="AF211" i="115"/>
  <c r="AF214" i="115"/>
  <c r="AF218" i="115"/>
  <c r="AF222" i="115"/>
  <c r="AF197" i="115"/>
  <c r="AF201" i="115"/>
  <c r="AF206" i="115"/>
  <c r="AF199" i="115"/>
  <c r="AF213" i="115"/>
  <c r="AF216" i="115"/>
  <c r="AF226" i="115"/>
  <c r="AF230" i="115"/>
  <c r="AF234" i="115"/>
  <c r="AF193" i="115"/>
  <c r="AF220" i="115"/>
  <c r="AF225" i="115"/>
  <c r="AF229" i="115"/>
  <c r="AF233" i="115"/>
  <c r="AF194" i="115"/>
  <c r="AF212" i="115"/>
  <c r="AF217" i="115"/>
  <c r="AF228" i="115"/>
  <c r="AF202" i="115"/>
  <c r="AF223" i="115"/>
  <c r="AF221" i="115"/>
  <c r="AF231" i="115"/>
  <c r="AF236" i="115"/>
  <c r="AF240" i="115"/>
  <c r="AF244" i="115"/>
  <c r="AF238" i="115"/>
  <c r="AF245" i="115"/>
  <c r="AF251" i="115"/>
  <c r="AF255" i="115"/>
  <c r="AF259" i="115"/>
  <c r="AF248" i="115"/>
  <c r="AF249" i="115"/>
  <c r="AF247" i="115"/>
  <c r="AF235" i="115"/>
  <c r="AF241" i="115"/>
  <c r="AF250" i="115"/>
  <c r="AF254" i="115"/>
  <c r="AF258" i="115"/>
  <c r="AF224" i="115"/>
  <c r="AF237" i="115"/>
  <c r="AF253" i="115"/>
  <c r="AF257" i="115"/>
  <c r="AF232" i="115"/>
  <c r="AF239" i="115"/>
  <c r="AF242" i="115"/>
  <c r="AF246" i="115"/>
  <c r="AF210" i="115"/>
  <c r="AF256" i="115"/>
  <c r="AF261" i="115"/>
  <c r="AF265" i="115"/>
  <c r="AF269" i="115"/>
  <c r="AF273" i="115"/>
  <c r="AF264" i="115"/>
  <c r="AF268" i="115"/>
  <c r="AF272" i="115"/>
  <c r="AF188" i="115"/>
  <c r="AF263" i="115"/>
  <c r="AF267" i="115"/>
  <c r="AF271" i="115"/>
  <c r="AF252" i="115"/>
  <c r="AF243" i="115"/>
  <c r="AF227" i="115"/>
  <c r="AF260" i="115"/>
  <c r="AF274" i="115"/>
  <c r="AF270" i="115"/>
  <c r="AF266" i="115"/>
  <c r="AF262" i="115"/>
  <c r="G8" i="238"/>
  <c r="G24" i="238"/>
  <c r="G40" i="238"/>
  <c r="G56" i="238"/>
  <c r="G72" i="238"/>
  <c r="G88" i="238"/>
  <c r="G92" i="238"/>
  <c r="G23" i="238"/>
  <c r="G9" i="238"/>
  <c r="G25" i="238"/>
  <c r="G41" i="238"/>
  <c r="G57" i="238"/>
  <c r="G73" i="238"/>
  <c r="G89" i="238"/>
  <c r="G10" i="238"/>
  <c r="G26" i="238"/>
  <c r="G42" i="238"/>
  <c r="G58" i="238"/>
  <c r="G74" i="238"/>
  <c r="G90" i="238"/>
  <c r="G11" i="238"/>
  <c r="G27" i="238"/>
  <c r="G43" i="238"/>
  <c r="G59" i="238"/>
  <c r="G75" i="238"/>
  <c r="G91" i="238"/>
  <c r="G12" i="238"/>
  <c r="G28" i="238"/>
  <c r="G44" i="238"/>
  <c r="G60" i="238"/>
  <c r="G76" i="238"/>
  <c r="G13" i="238"/>
  <c r="G29" i="238"/>
  <c r="G45" i="238"/>
  <c r="G61" i="238"/>
  <c r="G77" i="238"/>
  <c r="G93" i="238"/>
  <c r="G14" i="238"/>
  <c r="G30" i="238"/>
  <c r="G46" i="238"/>
  <c r="G62" i="238"/>
  <c r="G78" i="238"/>
  <c r="G94" i="238"/>
  <c r="G55" i="238"/>
  <c r="G15" i="238"/>
  <c r="G31" i="238"/>
  <c r="G47" i="238"/>
  <c r="G63" i="238"/>
  <c r="G79" i="238"/>
  <c r="G16" i="238"/>
  <c r="G32" i="238"/>
  <c r="G48" i="238"/>
  <c r="G64" i="238"/>
  <c r="G80" i="238"/>
  <c r="G17" i="238"/>
  <c r="G33" i="238"/>
  <c r="G49" i="238"/>
  <c r="G65" i="238"/>
  <c r="G81" i="238"/>
  <c r="G18" i="238"/>
  <c r="G34" i="238"/>
  <c r="G50" i="238"/>
  <c r="G66" i="238"/>
  <c r="G82" i="238"/>
  <c r="G71" i="238"/>
  <c r="G87" i="238"/>
  <c r="G19" i="238"/>
  <c r="G35" i="238"/>
  <c r="G51" i="238"/>
  <c r="G67" i="238"/>
  <c r="G83" i="238"/>
  <c r="G20" i="238"/>
  <c r="G36" i="238"/>
  <c r="G52" i="238"/>
  <c r="G68" i="238"/>
  <c r="G84" i="238"/>
  <c r="G21" i="238"/>
  <c r="G37" i="238"/>
  <c r="G53" i="238"/>
  <c r="G69" i="238"/>
  <c r="G85" i="238"/>
  <c r="G22" i="238"/>
  <c r="G38" i="238"/>
  <c r="G54" i="238"/>
  <c r="G70" i="238"/>
  <c r="G86" i="238"/>
  <c r="G39" i="238"/>
  <c r="H23" i="238"/>
  <c r="H39" i="238"/>
  <c r="H55" i="238"/>
  <c r="H71" i="238"/>
  <c r="H87" i="238"/>
  <c r="H8" i="238"/>
  <c r="H24" i="238"/>
  <c r="H40" i="238"/>
  <c r="H56" i="238"/>
  <c r="H72" i="238"/>
  <c r="H88" i="238"/>
  <c r="H9" i="238"/>
  <c r="H25" i="238"/>
  <c r="H41" i="238"/>
  <c r="H57" i="238"/>
  <c r="H73" i="238"/>
  <c r="H89" i="238"/>
  <c r="H10" i="238"/>
  <c r="H26" i="238"/>
  <c r="H42" i="238"/>
  <c r="H58" i="238"/>
  <c r="H74" i="238"/>
  <c r="H90" i="238"/>
  <c r="H91" i="238"/>
  <c r="H11" i="238"/>
  <c r="H27" i="238"/>
  <c r="H43" i="238"/>
  <c r="H59" i="238"/>
  <c r="H75" i="238"/>
  <c r="H38" i="238"/>
  <c r="H12" i="238"/>
  <c r="H28" i="238"/>
  <c r="H44" i="238"/>
  <c r="H60" i="238"/>
  <c r="H76" i="238"/>
  <c r="H92" i="238"/>
  <c r="H13" i="238"/>
  <c r="H29" i="238"/>
  <c r="H45" i="238"/>
  <c r="H61" i="238"/>
  <c r="H77" i="238"/>
  <c r="H93" i="238"/>
  <c r="H14" i="238"/>
  <c r="H30" i="238"/>
  <c r="H46" i="238"/>
  <c r="H62" i="238"/>
  <c r="H78" i="238"/>
  <c r="H94" i="238"/>
  <c r="H15" i="238"/>
  <c r="H31" i="238"/>
  <c r="H47" i="238"/>
  <c r="H63" i="238"/>
  <c r="H79" i="238"/>
  <c r="H16" i="238"/>
  <c r="H32" i="238"/>
  <c r="H48" i="238"/>
  <c r="H64" i="238"/>
  <c r="H80" i="238"/>
  <c r="H17" i="238"/>
  <c r="H33" i="238"/>
  <c r="H49" i="238"/>
  <c r="H65" i="238"/>
  <c r="H81" i="238"/>
  <c r="H54" i="238"/>
  <c r="H70" i="238"/>
  <c r="H18" i="238"/>
  <c r="H34" i="238"/>
  <c r="H50" i="238"/>
  <c r="H66" i="238"/>
  <c r="H82" i="238"/>
  <c r="H83" i="238"/>
  <c r="H19" i="238"/>
  <c r="H35" i="238"/>
  <c r="H51" i="238"/>
  <c r="H67" i="238"/>
  <c r="H22" i="238"/>
  <c r="H86" i="238"/>
  <c r="H20" i="238"/>
  <c r="H36" i="238"/>
  <c r="H52" i="238"/>
  <c r="H68" i="238"/>
  <c r="H84" i="238"/>
  <c r="H21" i="238"/>
  <c r="H37" i="238"/>
  <c r="H53" i="238"/>
  <c r="H69" i="238"/>
  <c r="H85" i="238"/>
  <c r="I22" i="238"/>
  <c r="I38" i="238"/>
  <c r="I54" i="238"/>
  <c r="I70" i="238"/>
  <c r="I86" i="238"/>
  <c r="I23" i="238"/>
  <c r="I39" i="238"/>
  <c r="I55" i="238"/>
  <c r="I71" i="238"/>
  <c r="I87" i="238"/>
  <c r="I90" i="238"/>
  <c r="I8" i="238"/>
  <c r="I24" i="238"/>
  <c r="I40" i="238"/>
  <c r="I56" i="238"/>
  <c r="I72" i="238"/>
  <c r="I88" i="238"/>
  <c r="I9" i="238"/>
  <c r="I25" i="238"/>
  <c r="I41" i="238"/>
  <c r="I57" i="238"/>
  <c r="I73" i="238"/>
  <c r="I89" i="238"/>
  <c r="I10" i="238"/>
  <c r="I26" i="238"/>
  <c r="I42" i="238"/>
  <c r="I58" i="238"/>
  <c r="I74" i="238"/>
  <c r="I37" i="238"/>
  <c r="I11" i="238"/>
  <c r="I27" i="238"/>
  <c r="I43" i="238"/>
  <c r="I59" i="238"/>
  <c r="I75" i="238"/>
  <c r="I91" i="238"/>
  <c r="I53" i="238"/>
  <c r="I12" i="238"/>
  <c r="I28" i="238"/>
  <c r="I44" i="238"/>
  <c r="I60" i="238"/>
  <c r="I76" i="238"/>
  <c r="I92" i="238"/>
  <c r="I82" i="238"/>
  <c r="I13" i="238"/>
  <c r="I29" i="238"/>
  <c r="I45" i="238"/>
  <c r="I61" i="238"/>
  <c r="I77" i="238"/>
  <c r="I93" i="238"/>
  <c r="I14" i="238"/>
  <c r="I30" i="238"/>
  <c r="I46" i="238"/>
  <c r="I62" i="238"/>
  <c r="I78" i="238"/>
  <c r="I94" i="238"/>
  <c r="I15" i="238"/>
  <c r="I31" i="238"/>
  <c r="I47" i="238"/>
  <c r="I63" i="238"/>
  <c r="I79" i="238"/>
  <c r="I16" i="238"/>
  <c r="I32" i="238"/>
  <c r="I48" i="238"/>
  <c r="I64" i="238"/>
  <c r="I80" i="238"/>
  <c r="I17" i="238"/>
  <c r="I33" i="238"/>
  <c r="I49" i="238"/>
  <c r="I65" i="238"/>
  <c r="I81" i="238"/>
  <c r="I69" i="238"/>
  <c r="I18" i="238"/>
  <c r="I34" i="238"/>
  <c r="I50" i="238"/>
  <c r="I66" i="238"/>
  <c r="I85" i="238"/>
  <c r="I19" i="238"/>
  <c r="I35" i="238"/>
  <c r="I51" i="238"/>
  <c r="I67" i="238"/>
  <c r="I83" i="238"/>
  <c r="I21" i="238"/>
  <c r="I20" i="238"/>
  <c r="I36" i="238"/>
  <c r="I52" i="238"/>
  <c r="I68" i="238"/>
  <c r="I84" i="238"/>
  <c r="J21" i="238"/>
  <c r="J37" i="238"/>
  <c r="J53" i="238"/>
  <c r="J69" i="238"/>
  <c r="J85" i="238"/>
  <c r="J22" i="238"/>
  <c r="J38" i="238"/>
  <c r="J54" i="238"/>
  <c r="J70" i="238"/>
  <c r="J86" i="238"/>
  <c r="J23" i="238"/>
  <c r="J39" i="238"/>
  <c r="J55" i="238"/>
  <c r="J71" i="238"/>
  <c r="J87" i="238"/>
  <c r="J8" i="238"/>
  <c r="J24" i="238"/>
  <c r="J40" i="238"/>
  <c r="J56" i="238"/>
  <c r="J72" i="238"/>
  <c r="J88" i="238"/>
  <c r="J52" i="238"/>
  <c r="J9" i="238"/>
  <c r="J25" i="238"/>
  <c r="J41" i="238"/>
  <c r="J57" i="238"/>
  <c r="J73" i="238"/>
  <c r="J89" i="238"/>
  <c r="J10" i="238"/>
  <c r="J26" i="238"/>
  <c r="J42" i="238"/>
  <c r="J58" i="238"/>
  <c r="J74" i="238"/>
  <c r="J90" i="238"/>
  <c r="J84" i="238"/>
  <c r="J11" i="238"/>
  <c r="J27" i="238"/>
  <c r="J43" i="238"/>
  <c r="J59" i="238"/>
  <c r="J75" i="238"/>
  <c r="J91" i="238"/>
  <c r="J12" i="238"/>
  <c r="J28" i="238"/>
  <c r="J44" i="238"/>
  <c r="J60" i="238"/>
  <c r="J76" i="238"/>
  <c r="J92" i="238"/>
  <c r="J13" i="238"/>
  <c r="J29" i="238"/>
  <c r="J45" i="238"/>
  <c r="J61" i="238"/>
  <c r="J77" i="238"/>
  <c r="J93" i="238"/>
  <c r="J36" i="238"/>
  <c r="J14" i="238"/>
  <c r="J30" i="238"/>
  <c r="J46" i="238"/>
  <c r="J62" i="238"/>
  <c r="J78" i="238"/>
  <c r="J94" i="238"/>
  <c r="J81" i="238"/>
  <c r="J15" i="238"/>
  <c r="J31" i="238"/>
  <c r="J47" i="238"/>
  <c r="J63" i="238"/>
  <c r="J79" i="238"/>
  <c r="J16" i="238"/>
  <c r="J32" i="238"/>
  <c r="J48" i="238"/>
  <c r="J64" i="238"/>
  <c r="J80" i="238"/>
  <c r="J68" i="238"/>
  <c r="J17" i="238"/>
  <c r="J33" i="238"/>
  <c r="J49" i="238"/>
  <c r="J65" i="238"/>
  <c r="J18" i="238"/>
  <c r="J34" i="238"/>
  <c r="J50" i="238"/>
  <c r="J66" i="238"/>
  <c r="J82" i="238"/>
  <c r="J20" i="238"/>
  <c r="J19" i="238"/>
  <c r="J35" i="238"/>
  <c r="J51" i="238"/>
  <c r="J67" i="238"/>
  <c r="J83" i="238"/>
  <c r="F93" i="238"/>
  <c r="F94" i="238"/>
  <c r="F91" i="238"/>
  <c r="F92" i="238"/>
  <c r="F89" i="238"/>
  <c r="F90" i="238"/>
  <c r="F87" i="238"/>
  <c r="F88" i="238"/>
  <c r="F85" i="238"/>
  <c r="F86" i="238"/>
  <c r="F83" i="238"/>
  <c r="F84" i="238"/>
  <c r="F81" i="238"/>
  <c r="F82" i="238"/>
  <c r="F79" i="238"/>
  <c r="F80" i="238"/>
  <c r="F77" i="238"/>
  <c r="F78" i="238"/>
  <c r="F75" i="238"/>
  <c r="F76" i="238"/>
  <c r="F73" i="238"/>
  <c r="F74" i="238"/>
  <c r="F71" i="238"/>
  <c r="F72" i="238"/>
  <c r="F69" i="238"/>
  <c r="F70" i="238"/>
  <c r="F67" i="238"/>
  <c r="F68" i="238"/>
  <c r="F65" i="238"/>
  <c r="F66" i="238"/>
  <c r="F63" i="238"/>
  <c r="F64" i="238"/>
  <c r="F61" i="238"/>
  <c r="F62" i="238"/>
  <c r="F59" i="238"/>
  <c r="F60" i="238"/>
  <c r="F57" i="238"/>
  <c r="F58" i="238"/>
  <c r="F55" i="238"/>
  <c r="F56" i="238"/>
  <c r="F53" i="238"/>
  <c r="F54" i="238"/>
  <c r="F51" i="238"/>
  <c r="F52" i="238"/>
  <c r="F49" i="238"/>
  <c r="F50" i="238"/>
  <c r="F47" i="238"/>
  <c r="F48" i="238"/>
  <c r="F45" i="238"/>
  <c r="F46" i="238"/>
  <c r="F43" i="238"/>
  <c r="F44" i="238"/>
  <c r="F41" i="238"/>
  <c r="F42" i="238"/>
  <c r="F39" i="238"/>
  <c r="F40" i="238"/>
  <c r="F37" i="238"/>
  <c r="F38" i="238"/>
  <c r="F35" i="238"/>
  <c r="F36" i="238"/>
  <c r="F33" i="238"/>
  <c r="F34" i="238"/>
  <c r="F31" i="238"/>
  <c r="F32" i="238"/>
  <c r="F29" i="238"/>
  <c r="F30" i="238"/>
  <c r="F27" i="238"/>
  <c r="F28" i="238"/>
  <c r="F26" i="238"/>
  <c r="F24" i="238"/>
  <c r="F25" i="238"/>
  <c r="F22" i="238"/>
  <c r="F23" i="238"/>
  <c r="F20" i="238"/>
  <c r="F21" i="238"/>
  <c r="F18" i="238"/>
  <c r="F19" i="238"/>
  <c r="F16" i="238"/>
  <c r="F17" i="238"/>
  <c r="F14" i="238"/>
  <c r="F15" i="238"/>
  <c r="F13" i="238"/>
  <c r="F11" i="238"/>
  <c r="F12" i="238"/>
  <c r="F9" i="238"/>
  <c r="F10" i="238"/>
  <c r="F8" i="238"/>
  <c r="F4" i="238"/>
  <c r="H28" i="174"/>
  <c r="H23" i="174"/>
  <c r="H22" i="174"/>
  <c r="H21" i="174"/>
  <c r="H20" i="174"/>
  <c r="H19" i="174"/>
  <c r="H18" i="174"/>
  <c r="H17" i="174"/>
  <c r="H32" i="174"/>
  <c r="H16" i="174"/>
  <c r="H31" i="174"/>
  <c r="H15" i="174"/>
  <c r="H24" i="174"/>
  <c r="H26" i="174"/>
  <c r="H30" i="174"/>
  <c r="H27" i="174"/>
  <c r="H14" i="174"/>
  <c r="H25" i="174"/>
  <c r="H29" i="174"/>
  <c r="H13" i="174"/>
  <c r="BC95" i="238" l="1"/>
  <c r="BC6" i="238"/>
  <c r="D8" i="238"/>
  <c r="E4" i="237" s="1"/>
  <c r="L33" i="174"/>
  <c r="L38" i="174" s="1"/>
  <c r="L39" i="174" s="1"/>
  <c r="AW6" i="238"/>
  <c r="AW95" i="238"/>
  <c r="AZ95" i="238"/>
  <c r="AZ6" i="238"/>
  <c r="AV6" i="238"/>
  <c r="AV95" i="238"/>
  <c r="AT6" i="238"/>
  <c r="AT95" i="238"/>
  <c r="AN95" i="238"/>
  <c r="AN6" i="238"/>
  <c r="AY6" i="238"/>
  <c r="AY95" i="238"/>
  <c r="AH6" i="238"/>
  <c r="AH95" i="238"/>
  <c r="BA6" i="238"/>
  <c r="BA95" i="238"/>
  <c r="AQ6" i="238"/>
  <c r="AQ95" i="238"/>
  <c r="BB95" i="238"/>
  <c r="BB6" i="238"/>
  <c r="AS6" i="238"/>
  <c r="AS95" i="238"/>
  <c r="AL6" i="238"/>
  <c r="AL95" i="238"/>
  <c r="AI6" i="238"/>
  <c r="AI95" i="238"/>
  <c r="AK6" i="238"/>
  <c r="AK95" i="238"/>
  <c r="AX6" i="238"/>
  <c r="AX95" i="238"/>
  <c r="AU6" i="238"/>
  <c r="AU95" i="238"/>
  <c r="AR95" i="238"/>
  <c r="AR6" i="238"/>
  <c r="AP95" i="238"/>
  <c r="AP6" i="238"/>
  <c r="AO6" i="238"/>
  <c r="AO95" i="238"/>
  <c r="AJ95" i="238"/>
  <c r="AJ6" i="238"/>
  <c r="AM6" i="238"/>
  <c r="AM95" i="238"/>
  <c r="D23" i="238"/>
  <c r="E19" i="237" s="1"/>
  <c r="Z95" i="238"/>
  <c r="Z6" i="238"/>
  <c r="AF95" i="238"/>
  <c r="AF6" i="238"/>
  <c r="X95" i="238"/>
  <c r="X6" i="238"/>
  <c r="AB6" i="238"/>
  <c r="AB95" i="238"/>
  <c r="AA6" i="238"/>
  <c r="AA95" i="238"/>
  <c r="P95" i="238"/>
  <c r="P6" i="238"/>
  <c r="T95" i="238"/>
  <c r="T6" i="238"/>
  <c r="Q95" i="238"/>
  <c r="Q6" i="238"/>
  <c r="AE6" i="238"/>
  <c r="AE95" i="238"/>
  <c r="O95" i="238"/>
  <c r="O6" i="238"/>
  <c r="K6" i="238"/>
  <c r="K95" i="238"/>
  <c r="AD6" i="238"/>
  <c r="AD95" i="238"/>
  <c r="V6" i="238"/>
  <c r="V95" i="238"/>
  <c r="U6" i="238"/>
  <c r="U95" i="238"/>
  <c r="AG6" i="238"/>
  <c r="R95" i="238"/>
  <c r="R6" i="238"/>
  <c r="L6" i="238"/>
  <c r="L95" i="238"/>
  <c r="AG95" i="238"/>
  <c r="S6" i="238"/>
  <c r="S95" i="238"/>
  <c r="AC6" i="238"/>
  <c r="AC95" i="238"/>
  <c r="Y95" i="238"/>
  <c r="Y6" i="238"/>
  <c r="M95" i="238"/>
  <c r="M6" i="238"/>
  <c r="W6" i="238"/>
  <c r="W95" i="238"/>
  <c r="N95" i="238"/>
  <c r="N6" i="238"/>
  <c r="R276" i="115"/>
  <c r="Q276" i="115"/>
  <c r="D44" i="238"/>
  <c r="E40" i="237" s="1"/>
  <c r="D94" i="238"/>
  <c r="E90" i="237" s="1"/>
  <c r="D15" i="238"/>
  <c r="E11" i="237" s="1"/>
  <c r="D76" i="238"/>
  <c r="E72" i="237" s="1"/>
  <c r="D93" i="238"/>
  <c r="E89" i="237" s="1"/>
  <c r="D52" i="238"/>
  <c r="E48" i="237" s="1"/>
  <c r="D71" i="238"/>
  <c r="E67" i="237" s="1"/>
  <c r="D42" i="238"/>
  <c r="E38" i="237" s="1"/>
  <c r="D79" i="238"/>
  <c r="E75" i="237" s="1"/>
  <c r="D62" i="238"/>
  <c r="E58" i="237" s="1"/>
  <c r="D22" i="238"/>
  <c r="E18" i="237" s="1"/>
  <c r="D40" i="238"/>
  <c r="E36" i="237" s="1"/>
  <c r="D27" i="238"/>
  <c r="E23" i="237" s="1"/>
  <c r="D34" i="238"/>
  <c r="E30" i="237" s="1"/>
  <c r="D92" i="238"/>
  <c r="E88" i="237" s="1"/>
  <c r="D30" i="238"/>
  <c r="E26" i="237" s="1"/>
  <c r="D87" i="238"/>
  <c r="E83" i="237" s="1"/>
  <c r="D59" i="238"/>
  <c r="E55" i="237" s="1"/>
  <c r="D84" i="238"/>
  <c r="E80" i="237" s="1"/>
  <c r="D81" i="238"/>
  <c r="E77" i="237" s="1"/>
  <c r="D36" i="238"/>
  <c r="E32" i="237" s="1"/>
  <c r="D48" i="238"/>
  <c r="E44" i="237" s="1"/>
  <c r="D80" i="238"/>
  <c r="E76" i="237" s="1"/>
  <c r="D47" i="238"/>
  <c r="E43" i="237" s="1"/>
  <c r="D33" i="238"/>
  <c r="E29" i="237" s="1"/>
  <c r="D65" i="238"/>
  <c r="E61" i="237" s="1"/>
  <c r="D20" i="238"/>
  <c r="E16" i="237" s="1"/>
  <c r="D54" i="238"/>
  <c r="E50" i="237" s="1"/>
  <c r="D88" i="238"/>
  <c r="E84" i="237" s="1"/>
  <c r="D25" i="238"/>
  <c r="E21" i="237" s="1"/>
  <c r="D39" i="238"/>
  <c r="E35" i="237" s="1"/>
  <c r="D58" i="238"/>
  <c r="E54" i="237" s="1"/>
  <c r="D60" i="238"/>
  <c r="E56" i="237" s="1"/>
  <c r="D43" i="238"/>
  <c r="E39" i="237" s="1"/>
  <c r="D91" i="238"/>
  <c r="E87" i="237" s="1"/>
  <c r="D46" i="238"/>
  <c r="E42" i="237" s="1"/>
  <c r="D45" i="238"/>
  <c r="E41" i="237" s="1"/>
  <c r="D32" i="238"/>
  <c r="E28" i="237" s="1"/>
  <c r="D31" i="238"/>
  <c r="E27" i="237" s="1"/>
  <c r="D50" i="238"/>
  <c r="E46" i="237" s="1"/>
  <c r="D66" i="238"/>
  <c r="E62" i="237" s="1"/>
  <c r="D18" i="238"/>
  <c r="E14" i="237" s="1"/>
  <c r="D68" i="238"/>
  <c r="E64" i="237" s="1"/>
  <c r="J95" i="238"/>
  <c r="D70" i="238"/>
  <c r="E66" i="237" s="1"/>
  <c r="D86" i="238"/>
  <c r="E82" i="237" s="1"/>
  <c r="D37" i="238"/>
  <c r="E33" i="237" s="1"/>
  <c r="D85" i="238"/>
  <c r="E81" i="237" s="1"/>
  <c r="D72" i="238"/>
  <c r="E68" i="237" s="1"/>
  <c r="D55" i="238"/>
  <c r="E51" i="237" s="1"/>
  <c r="D90" i="238"/>
  <c r="E86" i="237" s="1"/>
  <c r="D41" i="238"/>
  <c r="E37" i="237" s="1"/>
  <c r="D57" i="238"/>
  <c r="E53" i="237" s="1"/>
  <c r="D89" i="238"/>
  <c r="E85" i="237" s="1"/>
  <c r="D75" i="238"/>
  <c r="E71" i="237" s="1"/>
  <c r="D78" i="238"/>
  <c r="E74" i="237" s="1"/>
  <c r="D29" i="238"/>
  <c r="E25" i="237" s="1"/>
  <c r="D61" i="238"/>
  <c r="E57" i="237" s="1"/>
  <c r="D77" i="238"/>
  <c r="E73" i="237" s="1"/>
  <c r="D14" i="238"/>
  <c r="E10" i="237" s="1"/>
  <c r="D64" i="238"/>
  <c r="E60" i="237" s="1"/>
  <c r="D28" i="238"/>
  <c r="E24" i="237" s="1"/>
  <c r="D17" i="238"/>
  <c r="E13" i="237" s="1"/>
  <c r="D63" i="238"/>
  <c r="E59" i="237" s="1"/>
  <c r="J6" i="238"/>
  <c r="D16" i="238"/>
  <c r="E12" i="237" s="1"/>
  <c r="D82" i="238"/>
  <c r="E78" i="237" s="1"/>
  <c r="D19" i="238"/>
  <c r="E15" i="237" s="1"/>
  <c r="D49" i="238"/>
  <c r="E45" i="237" s="1"/>
  <c r="D21" i="238"/>
  <c r="E17" i="237" s="1"/>
  <c r="D35" i="238"/>
  <c r="E31" i="237" s="1"/>
  <c r="D51" i="238"/>
  <c r="E47" i="237" s="1"/>
  <c r="D67" i="238"/>
  <c r="E63" i="237" s="1"/>
  <c r="D83" i="238"/>
  <c r="E79" i="237" s="1"/>
  <c r="D53" i="238"/>
  <c r="E49" i="237" s="1"/>
  <c r="D69" i="238"/>
  <c r="E65" i="237" s="1"/>
  <c r="D38" i="238"/>
  <c r="E34" i="237" s="1"/>
  <c r="D56" i="238"/>
  <c r="E52" i="237" s="1"/>
  <c r="D24" i="238"/>
  <c r="E20" i="237" s="1"/>
  <c r="D74" i="238"/>
  <c r="E70" i="237" s="1"/>
  <c r="D26" i="238"/>
  <c r="E22" i="237" s="1"/>
  <c r="D73" i="238"/>
  <c r="E69" i="237" s="1"/>
  <c r="F95" i="238"/>
  <c r="D10" i="238"/>
  <c r="E6" i="237" s="1"/>
  <c r="D13" i="238"/>
  <c r="E9" i="237" s="1"/>
  <c r="D9" i="238"/>
  <c r="E5" i="237" s="1"/>
  <c r="D12" i="238"/>
  <c r="E8" i="237" s="1"/>
  <c r="D11" i="238"/>
  <c r="E7" i="237" s="1"/>
  <c r="H95" i="238"/>
  <c r="H6" i="238"/>
  <c r="G95" i="238"/>
  <c r="G6" i="238"/>
  <c r="I6" i="238"/>
  <c r="I95" i="238"/>
  <c r="F6" i="238"/>
  <c r="BO276" i="115"/>
  <c r="AI276" i="115"/>
  <c r="Z276" i="115"/>
  <c r="S276" i="115"/>
  <c r="AY276" i="115"/>
  <c r="AS276" i="115"/>
  <c r="BD276" i="115"/>
  <c r="U276" i="115"/>
  <c r="BC276" i="115"/>
  <c r="BU276" i="115"/>
  <c r="BE276" i="115"/>
  <c r="AZ276" i="115"/>
  <c r="AM276" i="115"/>
  <c r="BP276" i="115"/>
  <c r="AX276" i="115"/>
  <c r="AC276" i="115"/>
  <c r="AK276" i="115"/>
  <c r="BS276" i="115"/>
  <c r="W276" i="115"/>
  <c r="AH276" i="115"/>
  <c r="BN276" i="115"/>
  <c r="AB276" i="115"/>
  <c r="V276" i="115"/>
  <c r="AP276" i="115"/>
  <c r="AV276" i="115"/>
  <c r="AG276" i="115"/>
  <c r="T276" i="115"/>
  <c r="AL276" i="115"/>
  <c r="AO276" i="115"/>
  <c r="BK276" i="115"/>
  <c r="BH276" i="115"/>
  <c r="BX276" i="115"/>
  <c r="AR276" i="115"/>
  <c r="AJ276" i="115"/>
  <c r="BA276" i="115"/>
  <c r="AA276" i="115"/>
  <c r="AQ276" i="115"/>
  <c r="BB276" i="115"/>
  <c r="Y276" i="115"/>
  <c r="AF276" i="115"/>
  <c r="BG276" i="115"/>
  <c r="AD276" i="115"/>
  <c r="AW276" i="115"/>
  <c r="BR276" i="115"/>
  <c r="X276" i="115"/>
  <c r="BW276" i="115"/>
  <c r="AT276" i="115"/>
  <c r="BI276" i="115"/>
  <c r="BV276" i="115"/>
  <c r="AN276" i="115"/>
  <c r="BJ276" i="115"/>
  <c r="AU276" i="115"/>
  <c r="BQ276" i="115"/>
  <c r="BT276" i="115"/>
  <c r="AE276" i="115"/>
  <c r="BL276" i="115"/>
  <c r="BF276" i="115"/>
  <c r="BM276" i="115"/>
  <c r="E91" i="237" l="1"/>
  <c r="H39" i="174"/>
  <c r="G31" i="5"/>
  <c r="D95" i="238"/>
  <c r="C6" i="238" s="1"/>
  <c r="D6" i="238" s="1"/>
  <c r="P139" i="115"/>
  <c r="P140" i="115"/>
  <c r="P141" i="115"/>
  <c r="P142" i="115"/>
  <c r="P143" i="115"/>
  <c r="P144" i="115"/>
  <c r="P145" i="115"/>
  <c r="P146" i="115"/>
  <c r="P147" i="115"/>
  <c r="P148" i="115"/>
  <c r="P149" i="115"/>
  <c r="P150" i="115"/>
  <c r="P151" i="115"/>
  <c r="P152" i="115"/>
  <c r="P153" i="115"/>
  <c r="P154" i="115"/>
  <c r="P155" i="115"/>
  <c r="P156" i="115"/>
  <c r="P157" i="115"/>
  <c r="P158" i="115"/>
  <c r="P159" i="115"/>
  <c r="P160" i="115"/>
  <c r="P161" i="115"/>
  <c r="P162" i="115"/>
  <c r="P163" i="115"/>
  <c r="P164" i="115"/>
  <c r="P165" i="115"/>
  <c r="P166" i="115"/>
  <c r="P167" i="115"/>
  <c r="P134" i="115"/>
  <c r="P135" i="115"/>
  <c r="P128" i="115"/>
  <c r="P129" i="115"/>
  <c r="P130" i="115"/>
  <c r="P131" i="115"/>
  <c r="P132" i="115"/>
  <c r="P133" i="115"/>
  <c r="P121" i="115"/>
  <c r="P122" i="115"/>
  <c r="P123" i="115"/>
  <c r="P124" i="115"/>
  <c r="P125" i="115"/>
  <c r="P126" i="115"/>
  <c r="P127" i="115"/>
  <c r="P95" i="115"/>
  <c r="P96" i="115"/>
  <c r="P97" i="115"/>
  <c r="P98" i="115"/>
  <c r="P99" i="115"/>
  <c r="P100" i="115"/>
  <c r="P101" i="115"/>
  <c r="P102" i="115"/>
  <c r="P103" i="115"/>
  <c r="P104" i="115"/>
  <c r="P105" i="115"/>
  <c r="P106" i="115"/>
  <c r="P107" i="115"/>
  <c r="P108" i="115"/>
  <c r="P109" i="115"/>
  <c r="P110" i="115"/>
  <c r="P111" i="115"/>
  <c r="P112" i="115"/>
  <c r="P113" i="115"/>
  <c r="P114" i="115"/>
  <c r="P115" i="115"/>
  <c r="P116" i="115"/>
  <c r="P117" i="115"/>
  <c r="P118" i="115"/>
  <c r="P119" i="115"/>
  <c r="P120" i="115"/>
  <c r="P94" i="115"/>
  <c r="E99" i="118"/>
  <c r="D13" i="118"/>
  <c r="D14" i="118"/>
  <c r="D15" i="118"/>
  <c r="D16" i="118"/>
  <c r="D17" i="118"/>
  <c r="D18" i="118"/>
  <c r="D19" i="118"/>
  <c r="D20" i="118"/>
  <c r="D21" i="118"/>
  <c r="D22" i="118"/>
  <c r="D23" i="118"/>
  <c r="D24" i="118"/>
  <c r="D25" i="118"/>
  <c r="D26" i="118"/>
  <c r="D27" i="118"/>
  <c r="D28" i="118"/>
  <c r="D29" i="118"/>
  <c r="D30" i="118"/>
  <c r="D31" i="118"/>
  <c r="D32" i="118"/>
  <c r="D33" i="118"/>
  <c r="D34" i="118"/>
  <c r="D35" i="118"/>
  <c r="D36" i="118"/>
  <c r="D37" i="118"/>
  <c r="D38" i="118"/>
  <c r="D39" i="118"/>
  <c r="D40" i="118"/>
  <c r="D41" i="118"/>
  <c r="D42" i="118"/>
  <c r="D43" i="118"/>
  <c r="D44" i="118"/>
  <c r="D45" i="118"/>
  <c r="D46" i="118"/>
  <c r="D47" i="118"/>
  <c r="D48" i="118"/>
  <c r="D49" i="118"/>
  <c r="D50" i="118"/>
  <c r="D51" i="118"/>
  <c r="D52" i="118"/>
  <c r="D53" i="118"/>
  <c r="D54" i="118"/>
  <c r="D55" i="118"/>
  <c r="D56" i="118"/>
  <c r="D57" i="118"/>
  <c r="D58" i="118"/>
  <c r="D59" i="118"/>
  <c r="D60" i="118"/>
  <c r="D61" i="118"/>
  <c r="D62" i="118"/>
  <c r="D63" i="118"/>
  <c r="D64" i="118"/>
  <c r="D65" i="118"/>
  <c r="D66" i="118"/>
  <c r="D67" i="118"/>
  <c r="D68" i="118"/>
  <c r="D69" i="118"/>
  <c r="D70" i="118"/>
  <c r="D71" i="118"/>
  <c r="D72" i="118"/>
  <c r="D73" i="118"/>
  <c r="D74" i="118"/>
  <c r="D75" i="118"/>
  <c r="D76" i="118"/>
  <c r="D77" i="118"/>
  <c r="D78" i="118"/>
  <c r="D79" i="118"/>
  <c r="D80" i="118"/>
  <c r="D81" i="118"/>
  <c r="D82" i="118"/>
  <c r="D83" i="118"/>
  <c r="D84" i="118"/>
  <c r="D85" i="118"/>
  <c r="D86" i="118"/>
  <c r="D87" i="118"/>
  <c r="D88" i="118"/>
  <c r="D89" i="118"/>
  <c r="D90" i="118"/>
  <c r="D91" i="118"/>
  <c r="D92" i="118"/>
  <c r="D93" i="118"/>
  <c r="D94" i="118"/>
  <c r="D95" i="118"/>
  <c r="D96" i="118"/>
  <c r="D97" i="118"/>
  <c r="D98" i="118"/>
  <c r="D12" i="118"/>
  <c r="D107" i="118"/>
  <c r="R2" i="115"/>
  <c r="S2" i="115"/>
  <c r="T2" i="115"/>
  <c r="U2" i="115"/>
  <c r="V2" i="115"/>
  <c r="W2" i="115"/>
  <c r="X2" i="115"/>
  <c r="Y2" i="115"/>
  <c r="Z2" i="115"/>
  <c r="AA2" i="115"/>
  <c r="AB2" i="115"/>
  <c r="AC2" i="115"/>
  <c r="AD2" i="115"/>
  <c r="AE2" i="115"/>
  <c r="AF2" i="115"/>
  <c r="AG2" i="115"/>
  <c r="AH2" i="115"/>
  <c r="AI2" i="115"/>
  <c r="AJ2" i="115"/>
  <c r="AK2" i="115"/>
  <c r="AL2" i="115"/>
  <c r="AM2" i="115"/>
  <c r="AN2" i="115"/>
  <c r="AO2" i="115"/>
  <c r="AP2" i="115"/>
  <c r="AQ2" i="115"/>
  <c r="AR2" i="115"/>
  <c r="AS2" i="115"/>
  <c r="AT2" i="115"/>
  <c r="AU2" i="115"/>
  <c r="AV2" i="115"/>
  <c r="AW2" i="115"/>
  <c r="AX2" i="115"/>
  <c r="AY2" i="115"/>
  <c r="AZ2" i="115"/>
  <c r="BA2" i="115"/>
  <c r="BB2" i="115"/>
  <c r="BC2" i="115"/>
  <c r="BD2" i="115"/>
  <c r="BE2" i="115"/>
  <c r="BF2" i="115"/>
  <c r="BG2" i="115"/>
  <c r="BH2" i="115"/>
  <c r="BI2" i="115"/>
  <c r="BJ2" i="115"/>
  <c r="BK2" i="115"/>
  <c r="BL2" i="115"/>
  <c r="BM2" i="115"/>
  <c r="BN2" i="115"/>
  <c r="BO2" i="115"/>
  <c r="BP2" i="115"/>
  <c r="BQ2" i="115"/>
  <c r="BR2" i="115"/>
  <c r="BS2" i="115"/>
  <c r="BT2" i="115"/>
  <c r="BU2" i="115"/>
  <c r="BV2" i="115"/>
  <c r="BW2" i="115"/>
  <c r="BX2" i="115"/>
  <c r="R3" i="115"/>
  <c r="S3" i="115"/>
  <c r="T3" i="115"/>
  <c r="U3" i="115"/>
  <c r="V3" i="115"/>
  <c r="W3" i="115"/>
  <c r="X3" i="115"/>
  <c r="Y3" i="115"/>
  <c r="Z3" i="115"/>
  <c r="AA3" i="115"/>
  <c r="AB3" i="115"/>
  <c r="AC3" i="115"/>
  <c r="AD3" i="115"/>
  <c r="AE3" i="115"/>
  <c r="AF3" i="115"/>
  <c r="AG3" i="115"/>
  <c r="AH3" i="115"/>
  <c r="AI3" i="115"/>
  <c r="AJ3" i="115"/>
  <c r="AK3" i="115"/>
  <c r="AL3" i="115"/>
  <c r="AM3" i="115"/>
  <c r="AN3" i="115"/>
  <c r="AO3" i="115"/>
  <c r="AP3" i="115"/>
  <c r="AQ3" i="115"/>
  <c r="AR3" i="115"/>
  <c r="AS3" i="115"/>
  <c r="AT3" i="115"/>
  <c r="AU3" i="115"/>
  <c r="AV3" i="115"/>
  <c r="AW3" i="115"/>
  <c r="AX3" i="115"/>
  <c r="AY3" i="115"/>
  <c r="AZ3" i="115"/>
  <c r="BA3" i="115"/>
  <c r="BB3" i="115"/>
  <c r="BC3" i="115"/>
  <c r="BD3" i="115"/>
  <c r="BE3" i="115"/>
  <c r="BF3" i="115"/>
  <c r="BG3" i="115"/>
  <c r="BH3" i="115"/>
  <c r="BI3" i="115"/>
  <c r="BJ3" i="115"/>
  <c r="BK3" i="115"/>
  <c r="BL3" i="115"/>
  <c r="BM3" i="115"/>
  <c r="BN3" i="115"/>
  <c r="BO3" i="115"/>
  <c r="BP3" i="115"/>
  <c r="BQ3" i="115"/>
  <c r="BR3" i="115"/>
  <c r="BS3" i="115"/>
  <c r="BT3" i="115"/>
  <c r="BU3" i="115"/>
  <c r="BV3" i="115"/>
  <c r="BW3" i="115"/>
  <c r="BX3" i="115"/>
  <c r="R4" i="115"/>
  <c r="S4" i="115"/>
  <c r="T4" i="115"/>
  <c r="U4" i="115"/>
  <c r="V4" i="115"/>
  <c r="W4" i="115"/>
  <c r="X4" i="115"/>
  <c r="Y4" i="115"/>
  <c r="Z4" i="115"/>
  <c r="AA4" i="115"/>
  <c r="AB4" i="115"/>
  <c r="AC4" i="115"/>
  <c r="AD4" i="115"/>
  <c r="AE4" i="115"/>
  <c r="AF4" i="115"/>
  <c r="AG4" i="115"/>
  <c r="AH4" i="115"/>
  <c r="AI4" i="115"/>
  <c r="AJ4" i="115"/>
  <c r="AK4" i="115"/>
  <c r="AL4" i="115"/>
  <c r="AM4" i="115"/>
  <c r="AN4" i="115"/>
  <c r="AO4" i="115"/>
  <c r="AP4" i="115"/>
  <c r="AQ4" i="115"/>
  <c r="AR4" i="115"/>
  <c r="AS4" i="115"/>
  <c r="AT4" i="115"/>
  <c r="AU4" i="115"/>
  <c r="AV4" i="115"/>
  <c r="AW4" i="115"/>
  <c r="AX4" i="115"/>
  <c r="AY4" i="115"/>
  <c r="AZ4" i="115"/>
  <c r="BA4" i="115"/>
  <c r="BB4" i="115"/>
  <c r="BC4" i="115"/>
  <c r="BD4" i="115"/>
  <c r="BE4" i="115"/>
  <c r="BF4" i="115"/>
  <c r="BG4" i="115"/>
  <c r="BH4" i="115"/>
  <c r="BI4" i="115"/>
  <c r="BJ4" i="115"/>
  <c r="BK4" i="115"/>
  <c r="BL4" i="115"/>
  <c r="BM4" i="115"/>
  <c r="BN4" i="115"/>
  <c r="BO4" i="115"/>
  <c r="BP4" i="115"/>
  <c r="BQ4" i="115"/>
  <c r="BR4" i="115"/>
  <c r="BS4" i="115"/>
  <c r="BT4" i="115"/>
  <c r="BU4" i="115"/>
  <c r="BV4" i="115"/>
  <c r="BW4" i="115"/>
  <c r="BX4" i="115"/>
  <c r="R5" i="115"/>
  <c r="S5" i="115"/>
  <c r="T5" i="115"/>
  <c r="U5" i="115"/>
  <c r="V5" i="115"/>
  <c r="W5" i="115"/>
  <c r="X5" i="115"/>
  <c r="Y5" i="115"/>
  <c r="Z5" i="115"/>
  <c r="AA5" i="115"/>
  <c r="AB5" i="115"/>
  <c r="AC5" i="115"/>
  <c r="AD5" i="115"/>
  <c r="AE5" i="115"/>
  <c r="AF5" i="115"/>
  <c r="AG5" i="115"/>
  <c r="AH5" i="115"/>
  <c r="AI5" i="115"/>
  <c r="AJ5" i="115"/>
  <c r="AK5" i="115"/>
  <c r="AL5" i="115"/>
  <c r="AM5" i="115"/>
  <c r="AN5" i="115"/>
  <c r="AO5" i="115"/>
  <c r="AP5" i="115"/>
  <c r="AQ5" i="115"/>
  <c r="AR5" i="115"/>
  <c r="AS5" i="115"/>
  <c r="AT5" i="115"/>
  <c r="AU5" i="115"/>
  <c r="AV5" i="115"/>
  <c r="AW5" i="115"/>
  <c r="AX5" i="115"/>
  <c r="AY5" i="115"/>
  <c r="AZ5" i="115"/>
  <c r="BA5" i="115"/>
  <c r="BB5" i="115"/>
  <c r="BC5" i="115"/>
  <c r="BD5" i="115"/>
  <c r="BE5" i="115"/>
  <c r="BF5" i="115"/>
  <c r="BG5" i="115"/>
  <c r="BH5" i="115"/>
  <c r="BI5" i="115"/>
  <c r="BJ5" i="115"/>
  <c r="BK5" i="115"/>
  <c r="BL5" i="115"/>
  <c r="BM5" i="115"/>
  <c r="BN5" i="115"/>
  <c r="BO5" i="115"/>
  <c r="BP5" i="115"/>
  <c r="BQ5" i="115"/>
  <c r="BR5" i="115"/>
  <c r="BS5" i="115"/>
  <c r="BT5" i="115"/>
  <c r="BU5" i="115"/>
  <c r="BV5" i="115"/>
  <c r="BW5" i="115"/>
  <c r="BX5" i="115"/>
  <c r="R6" i="115"/>
  <c r="S6" i="115"/>
  <c r="T6" i="115"/>
  <c r="U6" i="115"/>
  <c r="V6" i="115"/>
  <c r="W6" i="115"/>
  <c r="X6" i="115"/>
  <c r="Y6" i="115"/>
  <c r="Z6" i="115"/>
  <c r="AA6" i="115"/>
  <c r="AB6" i="115"/>
  <c r="AC6" i="115"/>
  <c r="AD6" i="115"/>
  <c r="AE6" i="115"/>
  <c r="AF6" i="115"/>
  <c r="AG6" i="115"/>
  <c r="AH6" i="115"/>
  <c r="AI6" i="115"/>
  <c r="AJ6" i="115"/>
  <c r="AK6" i="115"/>
  <c r="AL6" i="115"/>
  <c r="AM6" i="115"/>
  <c r="AN6" i="115"/>
  <c r="AO6" i="115"/>
  <c r="AP6" i="115"/>
  <c r="AQ6" i="115"/>
  <c r="AR6" i="115"/>
  <c r="AS6" i="115"/>
  <c r="AT6" i="115"/>
  <c r="AU6" i="115"/>
  <c r="AV6" i="115"/>
  <c r="AW6" i="115"/>
  <c r="AX6" i="115"/>
  <c r="AY6" i="115"/>
  <c r="AZ6" i="115"/>
  <c r="BA6" i="115"/>
  <c r="BB6" i="115"/>
  <c r="BC6" i="115"/>
  <c r="BD6" i="115"/>
  <c r="BE6" i="115"/>
  <c r="BF6" i="115"/>
  <c r="BG6" i="115"/>
  <c r="BH6" i="115"/>
  <c r="BI6" i="115"/>
  <c r="BJ6" i="115"/>
  <c r="BK6" i="115"/>
  <c r="BL6" i="115"/>
  <c r="BM6" i="115"/>
  <c r="BN6" i="115"/>
  <c r="BO6" i="115"/>
  <c r="BP6" i="115"/>
  <c r="BQ6" i="115"/>
  <c r="BR6" i="115"/>
  <c r="BS6" i="115"/>
  <c r="BT6" i="115"/>
  <c r="BU6" i="115"/>
  <c r="BV6" i="115"/>
  <c r="BW6" i="115"/>
  <c r="BX6" i="115"/>
  <c r="R7" i="115"/>
  <c r="S7" i="115"/>
  <c r="T7" i="115"/>
  <c r="U7" i="115"/>
  <c r="V7" i="115"/>
  <c r="W7" i="115"/>
  <c r="X7" i="115"/>
  <c r="Y7" i="115"/>
  <c r="Z7" i="115"/>
  <c r="AA7" i="115"/>
  <c r="AB7" i="115"/>
  <c r="AC7" i="115"/>
  <c r="AD7" i="115"/>
  <c r="AE7" i="115"/>
  <c r="AF7" i="115"/>
  <c r="AG7" i="115"/>
  <c r="AH7" i="115"/>
  <c r="AI7" i="115"/>
  <c r="AJ7" i="115"/>
  <c r="AK7" i="115"/>
  <c r="AL7" i="115"/>
  <c r="AM7" i="115"/>
  <c r="AN7" i="115"/>
  <c r="AO7" i="115"/>
  <c r="AP7" i="115"/>
  <c r="AQ7" i="115"/>
  <c r="AR7" i="115"/>
  <c r="AS7" i="115"/>
  <c r="AT7" i="115"/>
  <c r="AU7" i="115"/>
  <c r="AV7" i="115"/>
  <c r="AW7" i="115"/>
  <c r="AX7" i="115"/>
  <c r="AY7" i="115"/>
  <c r="AZ7" i="115"/>
  <c r="BA7" i="115"/>
  <c r="BB7" i="115"/>
  <c r="BC7" i="115"/>
  <c r="BD7" i="115"/>
  <c r="BE7" i="115"/>
  <c r="BF7" i="115"/>
  <c r="BG7" i="115"/>
  <c r="BH7" i="115"/>
  <c r="BI7" i="115"/>
  <c r="BJ7" i="115"/>
  <c r="BK7" i="115"/>
  <c r="BL7" i="115"/>
  <c r="BM7" i="115"/>
  <c r="BN7" i="115"/>
  <c r="BO7" i="115"/>
  <c r="BP7" i="115"/>
  <c r="BQ7" i="115"/>
  <c r="BR7" i="115"/>
  <c r="BS7" i="115"/>
  <c r="BT7" i="115"/>
  <c r="BU7" i="115"/>
  <c r="BV7" i="115"/>
  <c r="BW7" i="115"/>
  <c r="BX7" i="115"/>
  <c r="R8" i="115"/>
  <c r="S8" i="115"/>
  <c r="T8" i="115"/>
  <c r="U8" i="115"/>
  <c r="V8" i="115"/>
  <c r="W8" i="115"/>
  <c r="X8" i="115"/>
  <c r="Y8" i="115"/>
  <c r="Z8" i="115"/>
  <c r="AA8" i="115"/>
  <c r="AB8" i="115"/>
  <c r="AC8" i="115"/>
  <c r="AD8" i="115"/>
  <c r="AE8" i="115"/>
  <c r="AF8" i="115"/>
  <c r="AG8" i="115"/>
  <c r="AH8" i="115"/>
  <c r="AI8" i="115"/>
  <c r="AJ8" i="115"/>
  <c r="AK8" i="115"/>
  <c r="AL8" i="115"/>
  <c r="AM8" i="115"/>
  <c r="AN8" i="115"/>
  <c r="AO8" i="115"/>
  <c r="AP8" i="115"/>
  <c r="AQ8" i="115"/>
  <c r="AR8" i="115"/>
  <c r="AS8" i="115"/>
  <c r="AT8" i="115"/>
  <c r="AU8" i="115"/>
  <c r="AV8" i="115"/>
  <c r="AW8" i="115"/>
  <c r="AX8" i="115"/>
  <c r="AY8" i="115"/>
  <c r="AZ8" i="115"/>
  <c r="BA8" i="115"/>
  <c r="BB8" i="115"/>
  <c r="BC8" i="115"/>
  <c r="BD8" i="115"/>
  <c r="BE8" i="115"/>
  <c r="BF8" i="115"/>
  <c r="BG8" i="115"/>
  <c r="BH8" i="115"/>
  <c r="BI8" i="115"/>
  <c r="BJ8" i="115"/>
  <c r="BK8" i="115"/>
  <c r="BL8" i="115"/>
  <c r="BM8" i="115"/>
  <c r="BN8" i="115"/>
  <c r="BO8" i="115"/>
  <c r="BP8" i="115"/>
  <c r="BQ8" i="115"/>
  <c r="BR8" i="115"/>
  <c r="BS8" i="115"/>
  <c r="BT8" i="115"/>
  <c r="BU8" i="115"/>
  <c r="BV8" i="115"/>
  <c r="BW8" i="115"/>
  <c r="BX8" i="115"/>
  <c r="R9" i="115"/>
  <c r="S9" i="115"/>
  <c r="T9" i="115"/>
  <c r="U9" i="115"/>
  <c r="V9" i="115"/>
  <c r="W9" i="115"/>
  <c r="X9" i="115"/>
  <c r="Y9" i="115"/>
  <c r="Z9" i="115"/>
  <c r="AA9" i="115"/>
  <c r="AB9" i="115"/>
  <c r="AC9" i="115"/>
  <c r="AD9" i="115"/>
  <c r="AE9" i="115"/>
  <c r="AF9" i="115"/>
  <c r="AG9" i="115"/>
  <c r="AH9" i="115"/>
  <c r="AI9" i="115"/>
  <c r="AJ9" i="115"/>
  <c r="AK9" i="115"/>
  <c r="AL9" i="115"/>
  <c r="AM9" i="115"/>
  <c r="AN9" i="115"/>
  <c r="AO9" i="115"/>
  <c r="AP9" i="115"/>
  <c r="AQ9" i="115"/>
  <c r="AR9" i="115"/>
  <c r="AS9" i="115"/>
  <c r="AT9" i="115"/>
  <c r="AU9" i="115"/>
  <c r="AV9" i="115"/>
  <c r="AW9" i="115"/>
  <c r="AX9" i="115"/>
  <c r="AY9" i="115"/>
  <c r="AZ9" i="115"/>
  <c r="BA9" i="115"/>
  <c r="BB9" i="115"/>
  <c r="BC9" i="115"/>
  <c r="BD9" i="115"/>
  <c r="BE9" i="115"/>
  <c r="BF9" i="115"/>
  <c r="BG9" i="115"/>
  <c r="BH9" i="115"/>
  <c r="BI9" i="115"/>
  <c r="BJ9" i="115"/>
  <c r="BK9" i="115"/>
  <c r="BL9" i="115"/>
  <c r="BM9" i="115"/>
  <c r="BN9" i="115"/>
  <c r="BO9" i="115"/>
  <c r="BP9" i="115"/>
  <c r="BQ9" i="115"/>
  <c r="BR9" i="115"/>
  <c r="BS9" i="115"/>
  <c r="BT9" i="115"/>
  <c r="BU9" i="115"/>
  <c r="BV9" i="115"/>
  <c r="BW9" i="115"/>
  <c r="BX9" i="115"/>
  <c r="R10" i="115"/>
  <c r="S10" i="115"/>
  <c r="T10" i="115"/>
  <c r="U10" i="115"/>
  <c r="V10" i="115"/>
  <c r="W10" i="115"/>
  <c r="X10" i="115"/>
  <c r="Y10" i="115"/>
  <c r="Z10" i="115"/>
  <c r="AA10" i="115"/>
  <c r="AB10" i="115"/>
  <c r="AC10" i="115"/>
  <c r="AD10" i="115"/>
  <c r="AE10" i="115"/>
  <c r="AF10" i="115"/>
  <c r="AG10" i="115"/>
  <c r="AH10" i="115"/>
  <c r="AI10" i="115"/>
  <c r="AJ10" i="115"/>
  <c r="AK10" i="115"/>
  <c r="AL10" i="115"/>
  <c r="AM10" i="115"/>
  <c r="AN10" i="115"/>
  <c r="AO10" i="115"/>
  <c r="AP10" i="115"/>
  <c r="AQ10" i="115"/>
  <c r="AR10" i="115"/>
  <c r="AS10" i="115"/>
  <c r="AT10" i="115"/>
  <c r="AU10" i="115"/>
  <c r="AV10" i="115"/>
  <c r="AW10" i="115"/>
  <c r="AX10" i="115"/>
  <c r="AY10" i="115"/>
  <c r="AZ10" i="115"/>
  <c r="BA10" i="115"/>
  <c r="BB10" i="115"/>
  <c r="BC10" i="115"/>
  <c r="BD10" i="115"/>
  <c r="BE10" i="115"/>
  <c r="BF10" i="115"/>
  <c r="BG10" i="115"/>
  <c r="BH10" i="115"/>
  <c r="BI10" i="115"/>
  <c r="BJ10" i="115"/>
  <c r="BK10" i="115"/>
  <c r="BL10" i="115"/>
  <c r="BM10" i="115"/>
  <c r="BN10" i="115"/>
  <c r="BO10" i="115"/>
  <c r="BP10" i="115"/>
  <c r="BQ10" i="115"/>
  <c r="BR10" i="115"/>
  <c r="BS10" i="115"/>
  <c r="BT10" i="115"/>
  <c r="BU10" i="115"/>
  <c r="BV10" i="115"/>
  <c r="BW10" i="115"/>
  <c r="BX10" i="115"/>
  <c r="R11" i="115"/>
  <c r="S11" i="115"/>
  <c r="T11" i="115"/>
  <c r="U11" i="115"/>
  <c r="V11" i="115"/>
  <c r="W11" i="115"/>
  <c r="X11" i="115"/>
  <c r="Y11" i="115"/>
  <c r="Z11" i="115"/>
  <c r="AA11" i="115"/>
  <c r="AB11" i="115"/>
  <c r="AC11" i="115"/>
  <c r="AD11" i="115"/>
  <c r="AE11" i="115"/>
  <c r="AF11" i="115"/>
  <c r="AG11" i="115"/>
  <c r="AH11" i="115"/>
  <c r="AI11" i="115"/>
  <c r="AJ11" i="115"/>
  <c r="AK11" i="115"/>
  <c r="AL11" i="115"/>
  <c r="AM11" i="115"/>
  <c r="AN11" i="115"/>
  <c r="AO11" i="115"/>
  <c r="AP11" i="115"/>
  <c r="AQ11" i="115"/>
  <c r="AR11" i="115"/>
  <c r="AS11" i="115"/>
  <c r="AT11" i="115"/>
  <c r="AU11" i="115"/>
  <c r="AV11" i="115"/>
  <c r="AW11" i="115"/>
  <c r="AX11" i="115"/>
  <c r="AY11" i="115"/>
  <c r="AZ11" i="115"/>
  <c r="BA11" i="115"/>
  <c r="BB11" i="115"/>
  <c r="BC11" i="115"/>
  <c r="BD11" i="115"/>
  <c r="BE11" i="115"/>
  <c r="BF11" i="115"/>
  <c r="BG11" i="115"/>
  <c r="BH11" i="115"/>
  <c r="BI11" i="115"/>
  <c r="BJ11" i="115"/>
  <c r="BK11" i="115"/>
  <c r="BL11" i="115"/>
  <c r="BM11" i="115"/>
  <c r="BN11" i="115"/>
  <c r="BO11" i="115"/>
  <c r="BP11" i="115"/>
  <c r="BQ11" i="115"/>
  <c r="BR11" i="115"/>
  <c r="BS11" i="115"/>
  <c r="BT11" i="115"/>
  <c r="BU11" i="115"/>
  <c r="BV11" i="115"/>
  <c r="BW11" i="115"/>
  <c r="BX11" i="115"/>
  <c r="R12" i="115"/>
  <c r="S12" i="115"/>
  <c r="T12" i="115"/>
  <c r="U12" i="115"/>
  <c r="V12" i="115"/>
  <c r="W12" i="115"/>
  <c r="X12" i="115"/>
  <c r="Y12" i="115"/>
  <c r="Z12" i="115"/>
  <c r="AA12" i="115"/>
  <c r="AB12" i="115"/>
  <c r="AC12" i="115"/>
  <c r="AD12" i="115"/>
  <c r="AE12" i="115"/>
  <c r="AF12" i="115"/>
  <c r="AG12" i="115"/>
  <c r="AH12" i="115"/>
  <c r="AI12" i="115"/>
  <c r="AJ12" i="115"/>
  <c r="AK12" i="115"/>
  <c r="AL12" i="115"/>
  <c r="AM12" i="115"/>
  <c r="AN12" i="115"/>
  <c r="AO12" i="115"/>
  <c r="AP12" i="115"/>
  <c r="AQ12" i="115"/>
  <c r="AR12" i="115"/>
  <c r="AS12" i="115"/>
  <c r="AT12" i="115"/>
  <c r="AU12" i="115"/>
  <c r="AV12" i="115"/>
  <c r="AW12" i="115"/>
  <c r="AX12" i="115"/>
  <c r="AY12" i="115"/>
  <c r="AZ12" i="115"/>
  <c r="BA12" i="115"/>
  <c r="BB12" i="115"/>
  <c r="BC12" i="115"/>
  <c r="BD12" i="115"/>
  <c r="BE12" i="115"/>
  <c r="BF12" i="115"/>
  <c r="BG12" i="115"/>
  <c r="BH12" i="115"/>
  <c r="BI12" i="115"/>
  <c r="BJ12" i="115"/>
  <c r="BK12" i="115"/>
  <c r="BL12" i="115"/>
  <c r="BM12" i="115"/>
  <c r="BN12" i="115"/>
  <c r="BO12" i="115"/>
  <c r="BP12" i="115"/>
  <c r="BQ12" i="115"/>
  <c r="BR12" i="115"/>
  <c r="BS12" i="115"/>
  <c r="BT12" i="115"/>
  <c r="BU12" i="115"/>
  <c r="BV12" i="115"/>
  <c r="BW12" i="115"/>
  <c r="BX12" i="115"/>
  <c r="R13" i="115"/>
  <c r="S13" i="115"/>
  <c r="T13" i="115"/>
  <c r="U13" i="115"/>
  <c r="V13" i="115"/>
  <c r="W13" i="115"/>
  <c r="X13" i="115"/>
  <c r="Y13" i="115"/>
  <c r="Z13" i="115"/>
  <c r="AA13" i="115"/>
  <c r="AB13" i="115"/>
  <c r="AC13" i="115"/>
  <c r="AD13" i="115"/>
  <c r="AE13" i="115"/>
  <c r="AF13" i="115"/>
  <c r="AG13" i="115"/>
  <c r="AH13" i="115"/>
  <c r="AI13" i="115"/>
  <c r="AJ13" i="115"/>
  <c r="AK13" i="115"/>
  <c r="AL13" i="115"/>
  <c r="AM13" i="115"/>
  <c r="AN13" i="115"/>
  <c r="AO13" i="115"/>
  <c r="AP13" i="115"/>
  <c r="AQ13" i="115"/>
  <c r="AR13" i="115"/>
  <c r="AS13" i="115"/>
  <c r="AT13" i="115"/>
  <c r="AU13" i="115"/>
  <c r="AV13" i="115"/>
  <c r="AW13" i="115"/>
  <c r="AX13" i="115"/>
  <c r="AY13" i="115"/>
  <c r="AZ13" i="115"/>
  <c r="BA13" i="115"/>
  <c r="BB13" i="115"/>
  <c r="BC13" i="115"/>
  <c r="BD13" i="115"/>
  <c r="BE13" i="115"/>
  <c r="BF13" i="115"/>
  <c r="BG13" i="115"/>
  <c r="BH13" i="115"/>
  <c r="BI13" i="115"/>
  <c r="BJ13" i="115"/>
  <c r="BK13" i="115"/>
  <c r="BL13" i="115"/>
  <c r="BM13" i="115"/>
  <c r="BN13" i="115"/>
  <c r="BO13" i="115"/>
  <c r="BP13" i="115"/>
  <c r="BQ13" i="115"/>
  <c r="BR13" i="115"/>
  <c r="BS13" i="115"/>
  <c r="BT13" i="115"/>
  <c r="BU13" i="115"/>
  <c r="BV13" i="115"/>
  <c r="BW13" i="115"/>
  <c r="BX13" i="115"/>
  <c r="R14" i="115"/>
  <c r="S14" i="115"/>
  <c r="T14" i="115"/>
  <c r="U14" i="115"/>
  <c r="V14" i="115"/>
  <c r="W14" i="115"/>
  <c r="X14" i="115"/>
  <c r="Y14" i="115"/>
  <c r="Z14" i="115"/>
  <c r="AA14" i="115"/>
  <c r="AB14" i="115"/>
  <c r="AC14" i="115"/>
  <c r="AD14" i="115"/>
  <c r="AE14" i="115"/>
  <c r="AF14" i="115"/>
  <c r="AG14" i="115"/>
  <c r="AH14" i="115"/>
  <c r="AI14" i="115"/>
  <c r="AJ14" i="115"/>
  <c r="AK14" i="115"/>
  <c r="AL14" i="115"/>
  <c r="AM14" i="115"/>
  <c r="AN14" i="115"/>
  <c r="AO14" i="115"/>
  <c r="AP14" i="115"/>
  <c r="AQ14" i="115"/>
  <c r="AR14" i="115"/>
  <c r="AS14" i="115"/>
  <c r="AT14" i="115"/>
  <c r="AU14" i="115"/>
  <c r="AV14" i="115"/>
  <c r="AW14" i="115"/>
  <c r="AX14" i="115"/>
  <c r="AY14" i="115"/>
  <c r="AZ14" i="115"/>
  <c r="BA14" i="115"/>
  <c r="BB14" i="115"/>
  <c r="BC14" i="115"/>
  <c r="BD14" i="115"/>
  <c r="BE14" i="115"/>
  <c r="BF14" i="115"/>
  <c r="BG14" i="115"/>
  <c r="BH14" i="115"/>
  <c r="BI14" i="115"/>
  <c r="BJ14" i="115"/>
  <c r="BK14" i="115"/>
  <c r="BL14" i="115"/>
  <c r="BM14" i="115"/>
  <c r="BN14" i="115"/>
  <c r="BO14" i="115"/>
  <c r="BP14" i="115"/>
  <c r="BQ14" i="115"/>
  <c r="BR14" i="115"/>
  <c r="BS14" i="115"/>
  <c r="BT14" i="115"/>
  <c r="BU14" i="115"/>
  <c r="BV14" i="115"/>
  <c r="BW14" i="115"/>
  <c r="BX14" i="115"/>
  <c r="R15" i="115"/>
  <c r="S15" i="115"/>
  <c r="T15" i="115"/>
  <c r="U15" i="115"/>
  <c r="V15" i="115"/>
  <c r="W15" i="115"/>
  <c r="X15" i="115"/>
  <c r="Y15" i="115"/>
  <c r="Z15" i="115"/>
  <c r="AA15" i="115"/>
  <c r="AB15" i="115"/>
  <c r="AC15" i="115"/>
  <c r="AD15" i="115"/>
  <c r="AE15" i="115"/>
  <c r="AF15" i="115"/>
  <c r="AG15" i="115"/>
  <c r="AH15" i="115"/>
  <c r="AI15" i="115"/>
  <c r="AJ15" i="115"/>
  <c r="AK15" i="115"/>
  <c r="AL15" i="115"/>
  <c r="AM15" i="115"/>
  <c r="AN15" i="115"/>
  <c r="AO15" i="115"/>
  <c r="AP15" i="115"/>
  <c r="AQ15" i="115"/>
  <c r="AR15" i="115"/>
  <c r="AS15" i="115"/>
  <c r="AT15" i="115"/>
  <c r="AU15" i="115"/>
  <c r="AV15" i="115"/>
  <c r="AW15" i="115"/>
  <c r="AX15" i="115"/>
  <c r="AY15" i="115"/>
  <c r="AZ15" i="115"/>
  <c r="BA15" i="115"/>
  <c r="BB15" i="115"/>
  <c r="BC15" i="115"/>
  <c r="BD15" i="115"/>
  <c r="BE15" i="115"/>
  <c r="BF15" i="115"/>
  <c r="BG15" i="115"/>
  <c r="BH15" i="115"/>
  <c r="BI15" i="115"/>
  <c r="BJ15" i="115"/>
  <c r="BK15" i="115"/>
  <c r="BL15" i="115"/>
  <c r="BM15" i="115"/>
  <c r="BN15" i="115"/>
  <c r="BO15" i="115"/>
  <c r="BP15" i="115"/>
  <c r="BQ15" i="115"/>
  <c r="BR15" i="115"/>
  <c r="BS15" i="115"/>
  <c r="BT15" i="115"/>
  <c r="BU15" i="115"/>
  <c r="BV15" i="115"/>
  <c r="BW15" i="115"/>
  <c r="BX15" i="115"/>
  <c r="R16" i="115"/>
  <c r="S16" i="115"/>
  <c r="T16" i="115"/>
  <c r="U16" i="115"/>
  <c r="V16" i="115"/>
  <c r="W16" i="115"/>
  <c r="X16" i="115"/>
  <c r="Y16" i="115"/>
  <c r="Z16" i="115"/>
  <c r="AA16" i="115"/>
  <c r="AB16" i="115"/>
  <c r="AC16" i="115"/>
  <c r="AD16" i="115"/>
  <c r="AE16" i="115"/>
  <c r="AF16" i="115"/>
  <c r="AG16" i="115"/>
  <c r="AH16" i="115"/>
  <c r="AI16" i="115"/>
  <c r="AJ16" i="115"/>
  <c r="AK16" i="115"/>
  <c r="AL16" i="115"/>
  <c r="AM16" i="115"/>
  <c r="AN16" i="115"/>
  <c r="AO16" i="115"/>
  <c r="AP16" i="115"/>
  <c r="AQ16" i="115"/>
  <c r="AR16" i="115"/>
  <c r="AS16" i="115"/>
  <c r="AT16" i="115"/>
  <c r="AU16" i="115"/>
  <c r="AV16" i="115"/>
  <c r="AW16" i="115"/>
  <c r="AX16" i="115"/>
  <c r="AY16" i="115"/>
  <c r="AZ16" i="115"/>
  <c r="BA16" i="115"/>
  <c r="BB16" i="115"/>
  <c r="BC16" i="115"/>
  <c r="BD16" i="115"/>
  <c r="BE16" i="115"/>
  <c r="BF16" i="115"/>
  <c r="BG16" i="115"/>
  <c r="BH16" i="115"/>
  <c r="BI16" i="115"/>
  <c r="BJ16" i="115"/>
  <c r="BK16" i="115"/>
  <c r="BL16" i="115"/>
  <c r="BM16" i="115"/>
  <c r="BN16" i="115"/>
  <c r="BO16" i="115"/>
  <c r="BP16" i="115"/>
  <c r="BQ16" i="115"/>
  <c r="BR16" i="115"/>
  <c r="BS16" i="115"/>
  <c r="BT16" i="115"/>
  <c r="BU16" i="115"/>
  <c r="BV16" i="115"/>
  <c r="BW16" i="115"/>
  <c r="BX16" i="115"/>
  <c r="R17" i="115"/>
  <c r="S17" i="115"/>
  <c r="T17" i="115"/>
  <c r="U17" i="115"/>
  <c r="V17" i="115"/>
  <c r="W17" i="115"/>
  <c r="X17" i="115"/>
  <c r="Y17" i="115"/>
  <c r="Z17" i="115"/>
  <c r="AA17" i="115"/>
  <c r="AB17" i="115"/>
  <c r="AC17" i="115"/>
  <c r="AD17" i="115"/>
  <c r="AE17" i="115"/>
  <c r="AF17" i="115"/>
  <c r="AG17" i="115"/>
  <c r="AH17" i="115"/>
  <c r="AI17" i="115"/>
  <c r="AJ17" i="115"/>
  <c r="AK17" i="115"/>
  <c r="AL17" i="115"/>
  <c r="AM17" i="115"/>
  <c r="AN17" i="115"/>
  <c r="AO17" i="115"/>
  <c r="AP17" i="115"/>
  <c r="AQ17" i="115"/>
  <c r="AR17" i="115"/>
  <c r="AS17" i="115"/>
  <c r="AT17" i="115"/>
  <c r="AU17" i="115"/>
  <c r="AV17" i="115"/>
  <c r="AW17" i="115"/>
  <c r="AX17" i="115"/>
  <c r="AY17" i="115"/>
  <c r="AZ17" i="115"/>
  <c r="BA17" i="115"/>
  <c r="BB17" i="115"/>
  <c r="BC17" i="115"/>
  <c r="BD17" i="115"/>
  <c r="BE17" i="115"/>
  <c r="BF17" i="115"/>
  <c r="BG17" i="115"/>
  <c r="BH17" i="115"/>
  <c r="BI17" i="115"/>
  <c r="BJ17" i="115"/>
  <c r="BK17" i="115"/>
  <c r="BL17" i="115"/>
  <c r="BM17" i="115"/>
  <c r="BN17" i="115"/>
  <c r="BO17" i="115"/>
  <c r="BP17" i="115"/>
  <c r="BQ17" i="115"/>
  <c r="BR17" i="115"/>
  <c r="BS17" i="115"/>
  <c r="BT17" i="115"/>
  <c r="BU17" i="115"/>
  <c r="BV17" i="115"/>
  <c r="BW17" i="115"/>
  <c r="BX17" i="115"/>
  <c r="R18" i="115"/>
  <c r="S18" i="115"/>
  <c r="T18" i="115"/>
  <c r="U18" i="115"/>
  <c r="V18" i="115"/>
  <c r="W18" i="115"/>
  <c r="X18" i="115"/>
  <c r="Y18" i="115"/>
  <c r="Z18" i="115"/>
  <c r="AA18" i="115"/>
  <c r="AB18" i="115"/>
  <c r="AC18" i="115"/>
  <c r="AD18" i="115"/>
  <c r="AE18" i="115"/>
  <c r="AF18" i="115"/>
  <c r="AG18" i="115"/>
  <c r="AH18" i="115"/>
  <c r="AI18" i="115"/>
  <c r="AJ18" i="115"/>
  <c r="AK18" i="115"/>
  <c r="AL18" i="115"/>
  <c r="AM18" i="115"/>
  <c r="AN18" i="115"/>
  <c r="AO18" i="115"/>
  <c r="AP18" i="115"/>
  <c r="AQ18" i="115"/>
  <c r="AR18" i="115"/>
  <c r="AS18" i="115"/>
  <c r="AT18" i="115"/>
  <c r="AU18" i="115"/>
  <c r="AV18" i="115"/>
  <c r="AW18" i="115"/>
  <c r="AX18" i="115"/>
  <c r="AY18" i="115"/>
  <c r="AZ18" i="115"/>
  <c r="BA18" i="115"/>
  <c r="BB18" i="115"/>
  <c r="BC18" i="115"/>
  <c r="BD18" i="115"/>
  <c r="BE18" i="115"/>
  <c r="BF18" i="115"/>
  <c r="BG18" i="115"/>
  <c r="BH18" i="115"/>
  <c r="BI18" i="115"/>
  <c r="BJ18" i="115"/>
  <c r="BK18" i="115"/>
  <c r="BL18" i="115"/>
  <c r="BM18" i="115"/>
  <c r="BN18" i="115"/>
  <c r="BO18" i="115"/>
  <c r="BP18" i="115"/>
  <c r="BQ18" i="115"/>
  <c r="BR18" i="115"/>
  <c r="BS18" i="115"/>
  <c r="BT18" i="115"/>
  <c r="BU18" i="115"/>
  <c r="BV18" i="115"/>
  <c r="BW18" i="115"/>
  <c r="BX18" i="115"/>
  <c r="R19" i="115"/>
  <c r="S19" i="115"/>
  <c r="T19" i="115"/>
  <c r="U19" i="115"/>
  <c r="V19" i="115"/>
  <c r="W19" i="115"/>
  <c r="X19" i="115"/>
  <c r="Y19" i="115"/>
  <c r="Z19" i="115"/>
  <c r="AA19" i="115"/>
  <c r="AB19" i="115"/>
  <c r="AC19" i="115"/>
  <c r="AD19" i="115"/>
  <c r="AE19" i="115"/>
  <c r="AF19" i="115"/>
  <c r="AG19" i="115"/>
  <c r="AH19" i="115"/>
  <c r="AI19" i="115"/>
  <c r="AJ19" i="115"/>
  <c r="AK19" i="115"/>
  <c r="AL19" i="115"/>
  <c r="AM19" i="115"/>
  <c r="AN19" i="115"/>
  <c r="AO19" i="115"/>
  <c r="AP19" i="115"/>
  <c r="AQ19" i="115"/>
  <c r="AR19" i="115"/>
  <c r="AS19" i="115"/>
  <c r="AT19" i="115"/>
  <c r="AU19" i="115"/>
  <c r="AV19" i="115"/>
  <c r="AW19" i="115"/>
  <c r="AX19" i="115"/>
  <c r="AY19" i="115"/>
  <c r="AZ19" i="115"/>
  <c r="BA19" i="115"/>
  <c r="BB19" i="115"/>
  <c r="BC19" i="115"/>
  <c r="BD19" i="115"/>
  <c r="BE19" i="115"/>
  <c r="BF19" i="115"/>
  <c r="BG19" i="115"/>
  <c r="BH19" i="115"/>
  <c r="BI19" i="115"/>
  <c r="BJ19" i="115"/>
  <c r="BK19" i="115"/>
  <c r="BL19" i="115"/>
  <c r="BM19" i="115"/>
  <c r="BN19" i="115"/>
  <c r="BO19" i="115"/>
  <c r="BP19" i="115"/>
  <c r="BQ19" i="115"/>
  <c r="BR19" i="115"/>
  <c r="BS19" i="115"/>
  <c r="BT19" i="115"/>
  <c r="BU19" i="115"/>
  <c r="BV19" i="115"/>
  <c r="BW19" i="115"/>
  <c r="BX19" i="115"/>
  <c r="R20" i="115"/>
  <c r="S20" i="115"/>
  <c r="T20" i="115"/>
  <c r="U20" i="115"/>
  <c r="V20" i="115"/>
  <c r="W20" i="115"/>
  <c r="X20" i="115"/>
  <c r="Y20" i="115"/>
  <c r="Z20" i="115"/>
  <c r="AA20" i="115"/>
  <c r="AB20" i="115"/>
  <c r="AC20" i="115"/>
  <c r="AD20" i="115"/>
  <c r="AE20" i="115"/>
  <c r="AF20" i="115"/>
  <c r="AG20" i="115"/>
  <c r="AH20" i="115"/>
  <c r="AI20" i="115"/>
  <c r="AJ20" i="115"/>
  <c r="AK20" i="115"/>
  <c r="AL20" i="115"/>
  <c r="AM20" i="115"/>
  <c r="AN20" i="115"/>
  <c r="AO20" i="115"/>
  <c r="AP20" i="115"/>
  <c r="AQ20" i="115"/>
  <c r="AR20" i="115"/>
  <c r="AS20" i="115"/>
  <c r="AT20" i="115"/>
  <c r="AU20" i="115"/>
  <c r="AV20" i="115"/>
  <c r="AW20" i="115"/>
  <c r="AX20" i="115"/>
  <c r="AY20" i="115"/>
  <c r="AZ20" i="115"/>
  <c r="BA20" i="115"/>
  <c r="BB20" i="115"/>
  <c r="BC20" i="115"/>
  <c r="BD20" i="115"/>
  <c r="BE20" i="115"/>
  <c r="BF20" i="115"/>
  <c r="BG20" i="115"/>
  <c r="BH20" i="115"/>
  <c r="BI20" i="115"/>
  <c r="BJ20" i="115"/>
  <c r="BK20" i="115"/>
  <c r="BL20" i="115"/>
  <c r="BM20" i="115"/>
  <c r="BN20" i="115"/>
  <c r="BO20" i="115"/>
  <c r="BP20" i="115"/>
  <c r="BQ20" i="115"/>
  <c r="BR20" i="115"/>
  <c r="BS20" i="115"/>
  <c r="BT20" i="115"/>
  <c r="BU20" i="115"/>
  <c r="BV20" i="115"/>
  <c r="BW20" i="115"/>
  <c r="BX20" i="115"/>
  <c r="R21" i="115"/>
  <c r="S21" i="115"/>
  <c r="T21" i="115"/>
  <c r="U21" i="115"/>
  <c r="V21" i="115"/>
  <c r="W21" i="115"/>
  <c r="X21" i="115"/>
  <c r="Y21" i="115"/>
  <c r="Z21" i="115"/>
  <c r="AA21" i="115"/>
  <c r="AB21" i="115"/>
  <c r="AC21" i="115"/>
  <c r="AD21" i="115"/>
  <c r="AE21" i="115"/>
  <c r="AF21" i="115"/>
  <c r="AG21" i="115"/>
  <c r="AH21" i="115"/>
  <c r="AI21" i="115"/>
  <c r="AJ21" i="115"/>
  <c r="AK21" i="115"/>
  <c r="AL21" i="115"/>
  <c r="AM21" i="115"/>
  <c r="AN21" i="115"/>
  <c r="AO21" i="115"/>
  <c r="AP21" i="115"/>
  <c r="AQ21" i="115"/>
  <c r="AR21" i="115"/>
  <c r="AS21" i="115"/>
  <c r="AT21" i="115"/>
  <c r="AU21" i="115"/>
  <c r="AV21" i="115"/>
  <c r="AW21" i="115"/>
  <c r="AX21" i="115"/>
  <c r="AY21" i="115"/>
  <c r="AZ21" i="115"/>
  <c r="BA21" i="115"/>
  <c r="BB21" i="115"/>
  <c r="BC21" i="115"/>
  <c r="BD21" i="115"/>
  <c r="BE21" i="115"/>
  <c r="BF21" i="115"/>
  <c r="BG21" i="115"/>
  <c r="BH21" i="115"/>
  <c r="BI21" i="115"/>
  <c r="BJ21" i="115"/>
  <c r="BK21" i="115"/>
  <c r="BL21" i="115"/>
  <c r="BM21" i="115"/>
  <c r="BN21" i="115"/>
  <c r="BO21" i="115"/>
  <c r="BP21" i="115"/>
  <c r="BQ21" i="115"/>
  <c r="BR21" i="115"/>
  <c r="BS21" i="115"/>
  <c r="BT21" i="115"/>
  <c r="BU21" i="115"/>
  <c r="BV21" i="115"/>
  <c r="BW21" i="115"/>
  <c r="BX21" i="115"/>
  <c r="R22" i="115"/>
  <c r="S22" i="115"/>
  <c r="T22" i="115"/>
  <c r="U22" i="115"/>
  <c r="V22" i="115"/>
  <c r="W22" i="115"/>
  <c r="X22" i="115"/>
  <c r="Y22" i="115"/>
  <c r="Z22" i="115"/>
  <c r="AA22" i="115"/>
  <c r="AB22" i="115"/>
  <c r="AC22" i="115"/>
  <c r="AD22" i="115"/>
  <c r="AE22" i="115"/>
  <c r="AF22" i="115"/>
  <c r="AG22" i="115"/>
  <c r="AH22" i="115"/>
  <c r="AI22" i="115"/>
  <c r="AJ22" i="115"/>
  <c r="AK22" i="115"/>
  <c r="AL22" i="115"/>
  <c r="AM22" i="115"/>
  <c r="AN22" i="115"/>
  <c r="AO22" i="115"/>
  <c r="AP22" i="115"/>
  <c r="AQ22" i="115"/>
  <c r="AR22" i="115"/>
  <c r="AS22" i="115"/>
  <c r="AT22" i="115"/>
  <c r="AU22" i="115"/>
  <c r="AV22" i="115"/>
  <c r="AW22" i="115"/>
  <c r="AX22" i="115"/>
  <c r="AY22" i="115"/>
  <c r="AZ22" i="115"/>
  <c r="BA22" i="115"/>
  <c r="BB22" i="115"/>
  <c r="BC22" i="115"/>
  <c r="BD22" i="115"/>
  <c r="BE22" i="115"/>
  <c r="BF22" i="115"/>
  <c r="BG22" i="115"/>
  <c r="BH22" i="115"/>
  <c r="BI22" i="115"/>
  <c r="BJ22" i="115"/>
  <c r="BK22" i="115"/>
  <c r="BL22" i="115"/>
  <c r="BM22" i="115"/>
  <c r="BN22" i="115"/>
  <c r="BO22" i="115"/>
  <c r="BP22" i="115"/>
  <c r="BQ22" i="115"/>
  <c r="BR22" i="115"/>
  <c r="BS22" i="115"/>
  <c r="BT22" i="115"/>
  <c r="BU22" i="115"/>
  <c r="BV22" i="115"/>
  <c r="BW22" i="115"/>
  <c r="BX22" i="115"/>
  <c r="R23" i="115"/>
  <c r="S23" i="115"/>
  <c r="T23" i="115"/>
  <c r="U23" i="115"/>
  <c r="V23" i="115"/>
  <c r="W23" i="115"/>
  <c r="X23" i="115"/>
  <c r="Y23" i="115"/>
  <c r="Z23" i="115"/>
  <c r="AA23" i="115"/>
  <c r="AB23" i="115"/>
  <c r="AC23" i="115"/>
  <c r="AD23" i="115"/>
  <c r="AE23" i="115"/>
  <c r="AF23" i="115"/>
  <c r="AG23" i="115"/>
  <c r="AH23" i="115"/>
  <c r="AI23" i="115"/>
  <c r="AJ23" i="115"/>
  <c r="AK23" i="115"/>
  <c r="AL23" i="115"/>
  <c r="AM23" i="115"/>
  <c r="AN23" i="115"/>
  <c r="AO23" i="115"/>
  <c r="AP23" i="115"/>
  <c r="AQ23" i="115"/>
  <c r="AR23" i="115"/>
  <c r="AS23" i="115"/>
  <c r="AT23" i="115"/>
  <c r="AU23" i="115"/>
  <c r="AV23" i="115"/>
  <c r="AW23" i="115"/>
  <c r="AX23" i="115"/>
  <c r="AY23" i="115"/>
  <c r="AZ23" i="115"/>
  <c r="BA23" i="115"/>
  <c r="BB23" i="115"/>
  <c r="BC23" i="115"/>
  <c r="BD23" i="115"/>
  <c r="BE23" i="115"/>
  <c r="BF23" i="115"/>
  <c r="BG23" i="115"/>
  <c r="BH23" i="115"/>
  <c r="BI23" i="115"/>
  <c r="BJ23" i="115"/>
  <c r="BK23" i="115"/>
  <c r="BL23" i="115"/>
  <c r="BM23" i="115"/>
  <c r="BN23" i="115"/>
  <c r="BO23" i="115"/>
  <c r="BP23" i="115"/>
  <c r="BQ23" i="115"/>
  <c r="BR23" i="115"/>
  <c r="BS23" i="115"/>
  <c r="BT23" i="115"/>
  <c r="BU23" i="115"/>
  <c r="BV23" i="115"/>
  <c r="BW23" i="115"/>
  <c r="BX23" i="115"/>
  <c r="R24" i="115"/>
  <c r="S24" i="115"/>
  <c r="T24" i="115"/>
  <c r="U24" i="115"/>
  <c r="V24" i="115"/>
  <c r="W24" i="115"/>
  <c r="X24" i="115"/>
  <c r="Y24" i="115"/>
  <c r="Z24" i="115"/>
  <c r="AA24" i="115"/>
  <c r="AB24" i="115"/>
  <c r="AC24" i="115"/>
  <c r="AD24" i="115"/>
  <c r="AE24" i="115"/>
  <c r="AF24" i="115"/>
  <c r="AG24" i="115"/>
  <c r="AH24" i="115"/>
  <c r="AI24" i="115"/>
  <c r="AJ24" i="115"/>
  <c r="AK24" i="115"/>
  <c r="AL24" i="115"/>
  <c r="AM24" i="115"/>
  <c r="AN24" i="115"/>
  <c r="AO24" i="115"/>
  <c r="AP24" i="115"/>
  <c r="AQ24" i="115"/>
  <c r="AR24" i="115"/>
  <c r="AS24" i="115"/>
  <c r="AT24" i="115"/>
  <c r="AU24" i="115"/>
  <c r="AV24" i="115"/>
  <c r="AW24" i="115"/>
  <c r="AX24" i="115"/>
  <c r="AY24" i="115"/>
  <c r="AZ24" i="115"/>
  <c r="BA24" i="115"/>
  <c r="BB24" i="115"/>
  <c r="BC24" i="115"/>
  <c r="BD24" i="115"/>
  <c r="BE24" i="115"/>
  <c r="BF24" i="115"/>
  <c r="BG24" i="115"/>
  <c r="BH24" i="115"/>
  <c r="BI24" i="115"/>
  <c r="BJ24" i="115"/>
  <c r="BK24" i="115"/>
  <c r="BL24" i="115"/>
  <c r="BM24" i="115"/>
  <c r="BN24" i="115"/>
  <c r="BO24" i="115"/>
  <c r="BP24" i="115"/>
  <c r="BQ24" i="115"/>
  <c r="BR24" i="115"/>
  <c r="BS24" i="115"/>
  <c r="BT24" i="115"/>
  <c r="BU24" i="115"/>
  <c r="BV24" i="115"/>
  <c r="BW24" i="115"/>
  <c r="BX24" i="115"/>
  <c r="R25" i="115"/>
  <c r="S25" i="115"/>
  <c r="T25" i="115"/>
  <c r="U25" i="115"/>
  <c r="V25" i="115"/>
  <c r="W25" i="115"/>
  <c r="X25" i="115"/>
  <c r="Y25" i="115"/>
  <c r="Z25" i="115"/>
  <c r="AA25" i="115"/>
  <c r="AB25" i="115"/>
  <c r="AC25" i="115"/>
  <c r="AD25" i="115"/>
  <c r="AE25" i="115"/>
  <c r="AF25" i="115"/>
  <c r="AG25" i="115"/>
  <c r="AH25" i="115"/>
  <c r="AI25" i="115"/>
  <c r="AJ25" i="115"/>
  <c r="AK25" i="115"/>
  <c r="AL25" i="115"/>
  <c r="AM25" i="115"/>
  <c r="AN25" i="115"/>
  <c r="AO25" i="115"/>
  <c r="AP25" i="115"/>
  <c r="AQ25" i="115"/>
  <c r="AR25" i="115"/>
  <c r="AS25" i="115"/>
  <c r="AT25" i="115"/>
  <c r="AU25" i="115"/>
  <c r="AV25" i="115"/>
  <c r="AW25" i="115"/>
  <c r="AX25" i="115"/>
  <c r="AY25" i="115"/>
  <c r="AZ25" i="115"/>
  <c r="BA25" i="115"/>
  <c r="BB25" i="115"/>
  <c r="BC25" i="115"/>
  <c r="BD25" i="115"/>
  <c r="BE25" i="115"/>
  <c r="BF25" i="115"/>
  <c r="BG25" i="115"/>
  <c r="BH25" i="115"/>
  <c r="BI25" i="115"/>
  <c r="BJ25" i="115"/>
  <c r="BK25" i="115"/>
  <c r="BL25" i="115"/>
  <c r="BM25" i="115"/>
  <c r="BN25" i="115"/>
  <c r="BO25" i="115"/>
  <c r="BP25" i="115"/>
  <c r="BQ25" i="115"/>
  <c r="BR25" i="115"/>
  <c r="BS25" i="115"/>
  <c r="BT25" i="115"/>
  <c r="BU25" i="115"/>
  <c r="BV25" i="115"/>
  <c r="BW25" i="115"/>
  <c r="BX25" i="115"/>
  <c r="R26" i="115"/>
  <c r="S26" i="115"/>
  <c r="T26" i="115"/>
  <c r="U26" i="115"/>
  <c r="V26" i="115"/>
  <c r="W26" i="115"/>
  <c r="X26" i="115"/>
  <c r="Y26" i="115"/>
  <c r="Z26" i="115"/>
  <c r="AA26" i="115"/>
  <c r="AB26" i="115"/>
  <c r="AC26" i="115"/>
  <c r="AD26" i="115"/>
  <c r="AE26" i="115"/>
  <c r="AF26" i="115"/>
  <c r="AG26" i="115"/>
  <c r="AH26" i="115"/>
  <c r="AI26" i="115"/>
  <c r="AJ26" i="115"/>
  <c r="AK26" i="115"/>
  <c r="AL26" i="115"/>
  <c r="AM26" i="115"/>
  <c r="AN26" i="115"/>
  <c r="AO26" i="115"/>
  <c r="AP26" i="115"/>
  <c r="AQ26" i="115"/>
  <c r="AR26" i="115"/>
  <c r="AS26" i="115"/>
  <c r="AT26" i="115"/>
  <c r="AU26" i="115"/>
  <c r="AV26" i="115"/>
  <c r="AW26" i="115"/>
  <c r="AX26" i="115"/>
  <c r="AY26" i="115"/>
  <c r="AZ26" i="115"/>
  <c r="BA26" i="115"/>
  <c r="BB26" i="115"/>
  <c r="BC26" i="115"/>
  <c r="BD26" i="115"/>
  <c r="BE26" i="115"/>
  <c r="BF26" i="115"/>
  <c r="BG26" i="115"/>
  <c r="BH26" i="115"/>
  <c r="BI26" i="115"/>
  <c r="BJ26" i="115"/>
  <c r="BK26" i="115"/>
  <c r="BL26" i="115"/>
  <c r="BM26" i="115"/>
  <c r="BN26" i="115"/>
  <c r="BO26" i="115"/>
  <c r="BP26" i="115"/>
  <c r="BQ26" i="115"/>
  <c r="BR26" i="115"/>
  <c r="BS26" i="115"/>
  <c r="BT26" i="115"/>
  <c r="BU26" i="115"/>
  <c r="BV26" i="115"/>
  <c r="BW26" i="115"/>
  <c r="BX26" i="115"/>
  <c r="R27" i="115"/>
  <c r="S27" i="115"/>
  <c r="T27" i="115"/>
  <c r="U27" i="115"/>
  <c r="V27" i="115"/>
  <c r="W27" i="115"/>
  <c r="X27" i="115"/>
  <c r="Y27" i="115"/>
  <c r="Z27" i="115"/>
  <c r="AA27" i="115"/>
  <c r="AB27" i="115"/>
  <c r="AC27" i="115"/>
  <c r="AD27" i="115"/>
  <c r="AE27" i="115"/>
  <c r="AF27" i="115"/>
  <c r="AG27" i="115"/>
  <c r="AH27" i="115"/>
  <c r="AI27" i="115"/>
  <c r="AJ27" i="115"/>
  <c r="AK27" i="115"/>
  <c r="AL27" i="115"/>
  <c r="AM27" i="115"/>
  <c r="AN27" i="115"/>
  <c r="AO27" i="115"/>
  <c r="AP27" i="115"/>
  <c r="AQ27" i="115"/>
  <c r="AR27" i="115"/>
  <c r="AS27" i="115"/>
  <c r="AT27" i="115"/>
  <c r="AU27" i="115"/>
  <c r="AV27" i="115"/>
  <c r="AW27" i="115"/>
  <c r="AX27" i="115"/>
  <c r="AY27" i="115"/>
  <c r="AZ27" i="115"/>
  <c r="BA27" i="115"/>
  <c r="BB27" i="115"/>
  <c r="BC27" i="115"/>
  <c r="BD27" i="115"/>
  <c r="BE27" i="115"/>
  <c r="BF27" i="115"/>
  <c r="BG27" i="115"/>
  <c r="BH27" i="115"/>
  <c r="BI27" i="115"/>
  <c r="BJ27" i="115"/>
  <c r="BK27" i="115"/>
  <c r="BL27" i="115"/>
  <c r="BM27" i="115"/>
  <c r="BN27" i="115"/>
  <c r="BO27" i="115"/>
  <c r="BP27" i="115"/>
  <c r="BQ27" i="115"/>
  <c r="BR27" i="115"/>
  <c r="BS27" i="115"/>
  <c r="BT27" i="115"/>
  <c r="BU27" i="115"/>
  <c r="BV27" i="115"/>
  <c r="BW27" i="115"/>
  <c r="BX27" i="115"/>
  <c r="R28" i="115"/>
  <c r="S28" i="115"/>
  <c r="T28" i="115"/>
  <c r="U28" i="115"/>
  <c r="V28" i="115"/>
  <c r="W28" i="115"/>
  <c r="X28" i="115"/>
  <c r="Y28" i="115"/>
  <c r="Z28" i="115"/>
  <c r="AA28" i="115"/>
  <c r="AB28" i="115"/>
  <c r="AC28" i="115"/>
  <c r="AD28" i="115"/>
  <c r="AE28" i="115"/>
  <c r="AF28" i="115"/>
  <c r="AG28" i="115"/>
  <c r="AH28" i="115"/>
  <c r="AI28" i="115"/>
  <c r="AJ28" i="115"/>
  <c r="AK28" i="115"/>
  <c r="AL28" i="115"/>
  <c r="AM28" i="115"/>
  <c r="AN28" i="115"/>
  <c r="AO28" i="115"/>
  <c r="AP28" i="115"/>
  <c r="AQ28" i="115"/>
  <c r="AR28" i="115"/>
  <c r="AS28" i="115"/>
  <c r="AT28" i="115"/>
  <c r="AU28" i="115"/>
  <c r="AV28" i="115"/>
  <c r="AW28" i="115"/>
  <c r="AX28" i="115"/>
  <c r="AY28" i="115"/>
  <c r="AZ28" i="115"/>
  <c r="BA28" i="115"/>
  <c r="BB28" i="115"/>
  <c r="BC28" i="115"/>
  <c r="BD28" i="115"/>
  <c r="BE28" i="115"/>
  <c r="BF28" i="115"/>
  <c r="BG28" i="115"/>
  <c r="BH28" i="115"/>
  <c r="BI28" i="115"/>
  <c r="BJ28" i="115"/>
  <c r="BK28" i="115"/>
  <c r="BL28" i="115"/>
  <c r="BM28" i="115"/>
  <c r="BN28" i="115"/>
  <c r="BO28" i="115"/>
  <c r="BP28" i="115"/>
  <c r="BQ28" i="115"/>
  <c r="BR28" i="115"/>
  <c r="BS28" i="115"/>
  <c r="BT28" i="115"/>
  <c r="BU28" i="115"/>
  <c r="BV28" i="115"/>
  <c r="BW28" i="115"/>
  <c r="BX28" i="115"/>
  <c r="R29" i="115"/>
  <c r="S29" i="115"/>
  <c r="T29" i="115"/>
  <c r="U29" i="115"/>
  <c r="V29" i="115"/>
  <c r="W29" i="115"/>
  <c r="X29" i="115"/>
  <c r="Y29" i="115"/>
  <c r="Z29" i="115"/>
  <c r="AA29" i="115"/>
  <c r="AB29" i="115"/>
  <c r="AC29" i="115"/>
  <c r="AD29" i="115"/>
  <c r="AE29" i="115"/>
  <c r="AF29" i="115"/>
  <c r="AG29" i="115"/>
  <c r="AH29" i="115"/>
  <c r="AI29" i="115"/>
  <c r="AJ29" i="115"/>
  <c r="AK29" i="115"/>
  <c r="AL29" i="115"/>
  <c r="AM29" i="115"/>
  <c r="AN29" i="115"/>
  <c r="AO29" i="115"/>
  <c r="AP29" i="115"/>
  <c r="AQ29" i="115"/>
  <c r="AR29" i="115"/>
  <c r="AS29" i="115"/>
  <c r="AT29" i="115"/>
  <c r="AU29" i="115"/>
  <c r="AV29" i="115"/>
  <c r="AW29" i="115"/>
  <c r="AX29" i="115"/>
  <c r="AY29" i="115"/>
  <c r="AZ29" i="115"/>
  <c r="BA29" i="115"/>
  <c r="BB29" i="115"/>
  <c r="BC29" i="115"/>
  <c r="BD29" i="115"/>
  <c r="BE29" i="115"/>
  <c r="BF29" i="115"/>
  <c r="BG29" i="115"/>
  <c r="BH29" i="115"/>
  <c r="BI29" i="115"/>
  <c r="BJ29" i="115"/>
  <c r="BK29" i="115"/>
  <c r="BL29" i="115"/>
  <c r="BM29" i="115"/>
  <c r="BN29" i="115"/>
  <c r="BO29" i="115"/>
  <c r="BP29" i="115"/>
  <c r="BQ29" i="115"/>
  <c r="BR29" i="115"/>
  <c r="BS29" i="115"/>
  <c r="BT29" i="115"/>
  <c r="BU29" i="115"/>
  <c r="BV29" i="115"/>
  <c r="BW29" i="115"/>
  <c r="BX29" i="115"/>
  <c r="R30" i="115"/>
  <c r="S30" i="115"/>
  <c r="T30" i="115"/>
  <c r="U30" i="115"/>
  <c r="V30" i="115"/>
  <c r="W30" i="115"/>
  <c r="X30" i="115"/>
  <c r="Y30" i="115"/>
  <c r="Z30" i="115"/>
  <c r="AA30" i="115"/>
  <c r="AB30" i="115"/>
  <c r="AC30" i="115"/>
  <c r="AD30" i="115"/>
  <c r="AE30" i="115"/>
  <c r="AF30" i="115"/>
  <c r="AG30" i="115"/>
  <c r="AH30" i="115"/>
  <c r="AI30" i="115"/>
  <c r="AJ30" i="115"/>
  <c r="AK30" i="115"/>
  <c r="AL30" i="115"/>
  <c r="AM30" i="115"/>
  <c r="AN30" i="115"/>
  <c r="AO30" i="115"/>
  <c r="AP30" i="115"/>
  <c r="AQ30" i="115"/>
  <c r="AR30" i="115"/>
  <c r="AS30" i="115"/>
  <c r="AT30" i="115"/>
  <c r="AU30" i="115"/>
  <c r="AV30" i="115"/>
  <c r="AW30" i="115"/>
  <c r="AX30" i="115"/>
  <c r="AY30" i="115"/>
  <c r="AZ30" i="115"/>
  <c r="BA30" i="115"/>
  <c r="BB30" i="115"/>
  <c r="BC30" i="115"/>
  <c r="BD30" i="115"/>
  <c r="BE30" i="115"/>
  <c r="BF30" i="115"/>
  <c r="BG30" i="115"/>
  <c r="BH30" i="115"/>
  <c r="BI30" i="115"/>
  <c r="BJ30" i="115"/>
  <c r="BK30" i="115"/>
  <c r="BL30" i="115"/>
  <c r="BM30" i="115"/>
  <c r="BN30" i="115"/>
  <c r="BO30" i="115"/>
  <c r="BP30" i="115"/>
  <c r="BQ30" i="115"/>
  <c r="BR30" i="115"/>
  <c r="BS30" i="115"/>
  <c r="BT30" i="115"/>
  <c r="BU30" i="115"/>
  <c r="BV30" i="115"/>
  <c r="BW30" i="115"/>
  <c r="BX30" i="115"/>
  <c r="R31" i="115"/>
  <c r="S31" i="115"/>
  <c r="T31" i="115"/>
  <c r="U31" i="115"/>
  <c r="V31" i="115"/>
  <c r="W31" i="115"/>
  <c r="X31" i="115"/>
  <c r="Y31" i="115"/>
  <c r="Z31" i="115"/>
  <c r="AA31" i="115"/>
  <c r="AB31" i="115"/>
  <c r="AC31" i="115"/>
  <c r="AD31" i="115"/>
  <c r="AE31" i="115"/>
  <c r="AF31" i="115"/>
  <c r="AG31" i="115"/>
  <c r="AH31" i="115"/>
  <c r="AI31" i="115"/>
  <c r="AJ31" i="115"/>
  <c r="AK31" i="115"/>
  <c r="AL31" i="115"/>
  <c r="AM31" i="115"/>
  <c r="AN31" i="115"/>
  <c r="AO31" i="115"/>
  <c r="AP31" i="115"/>
  <c r="AQ31" i="115"/>
  <c r="AR31" i="115"/>
  <c r="AS31" i="115"/>
  <c r="AT31" i="115"/>
  <c r="AU31" i="115"/>
  <c r="AV31" i="115"/>
  <c r="AW31" i="115"/>
  <c r="AX31" i="115"/>
  <c r="AY31" i="115"/>
  <c r="AZ31" i="115"/>
  <c r="BA31" i="115"/>
  <c r="BB31" i="115"/>
  <c r="BC31" i="115"/>
  <c r="BD31" i="115"/>
  <c r="BE31" i="115"/>
  <c r="BF31" i="115"/>
  <c r="BG31" i="115"/>
  <c r="BH31" i="115"/>
  <c r="BI31" i="115"/>
  <c r="BJ31" i="115"/>
  <c r="BK31" i="115"/>
  <c r="BL31" i="115"/>
  <c r="BM31" i="115"/>
  <c r="BN31" i="115"/>
  <c r="BO31" i="115"/>
  <c r="BP31" i="115"/>
  <c r="BQ31" i="115"/>
  <c r="BR31" i="115"/>
  <c r="BS31" i="115"/>
  <c r="BT31" i="115"/>
  <c r="BU31" i="115"/>
  <c r="BV31" i="115"/>
  <c r="BW31" i="115"/>
  <c r="BX31" i="115"/>
  <c r="R32" i="115"/>
  <c r="S32" i="115"/>
  <c r="T32" i="115"/>
  <c r="U32" i="115"/>
  <c r="V32" i="115"/>
  <c r="W32" i="115"/>
  <c r="X32" i="115"/>
  <c r="Y32" i="115"/>
  <c r="Z32" i="115"/>
  <c r="AA32" i="115"/>
  <c r="AB32" i="115"/>
  <c r="AC32" i="115"/>
  <c r="AD32" i="115"/>
  <c r="AE32" i="115"/>
  <c r="AF32" i="115"/>
  <c r="AG32" i="115"/>
  <c r="AH32" i="115"/>
  <c r="AI32" i="115"/>
  <c r="AJ32" i="115"/>
  <c r="AK32" i="115"/>
  <c r="AL32" i="115"/>
  <c r="AM32" i="115"/>
  <c r="AN32" i="115"/>
  <c r="AO32" i="115"/>
  <c r="AP32" i="115"/>
  <c r="AQ32" i="115"/>
  <c r="AR32" i="115"/>
  <c r="AS32" i="115"/>
  <c r="AT32" i="115"/>
  <c r="AU32" i="115"/>
  <c r="AV32" i="115"/>
  <c r="AW32" i="115"/>
  <c r="AX32" i="115"/>
  <c r="AY32" i="115"/>
  <c r="AZ32" i="115"/>
  <c r="BA32" i="115"/>
  <c r="BB32" i="115"/>
  <c r="BC32" i="115"/>
  <c r="BD32" i="115"/>
  <c r="BE32" i="115"/>
  <c r="BF32" i="115"/>
  <c r="BG32" i="115"/>
  <c r="BH32" i="115"/>
  <c r="BI32" i="115"/>
  <c r="BJ32" i="115"/>
  <c r="BK32" i="115"/>
  <c r="BL32" i="115"/>
  <c r="BM32" i="115"/>
  <c r="BN32" i="115"/>
  <c r="BO32" i="115"/>
  <c r="BP32" i="115"/>
  <c r="BQ32" i="115"/>
  <c r="BR32" i="115"/>
  <c r="BS32" i="115"/>
  <c r="BT32" i="115"/>
  <c r="BU32" i="115"/>
  <c r="BV32" i="115"/>
  <c r="BW32" i="115"/>
  <c r="BX32" i="115"/>
  <c r="R33" i="115"/>
  <c r="S33" i="115"/>
  <c r="T33" i="115"/>
  <c r="U33" i="115"/>
  <c r="V33" i="115"/>
  <c r="W33" i="115"/>
  <c r="X33" i="115"/>
  <c r="Y33" i="115"/>
  <c r="Z33" i="115"/>
  <c r="AA33" i="115"/>
  <c r="AB33" i="115"/>
  <c r="AC33" i="115"/>
  <c r="AD33" i="115"/>
  <c r="AE33" i="115"/>
  <c r="AF33" i="115"/>
  <c r="AG33" i="115"/>
  <c r="AH33" i="115"/>
  <c r="AI33" i="115"/>
  <c r="AJ33" i="115"/>
  <c r="AK33" i="115"/>
  <c r="AL33" i="115"/>
  <c r="AM33" i="115"/>
  <c r="AN33" i="115"/>
  <c r="AO33" i="115"/>
  <c r="AP33" i="115"/>
  <c r="AQ33" i="115"/>
  <c r="AR33" i="115"/>
  <c r="AS33" i="115"/>
  <c r="AT33" i="115"/>
  <c r="AU33" i="115"/>
  <c r="AV33" i="115"/>
  <c r="AW33" i="115"/>
  <c r="AX33" i="115"/>
  <c r="AY33" i="115"/>
  <c r="AZ33" i="115"/>
  <c r="BA33" i="115"/>
  <c r="BB33" i="115"/>
  <c r="BC33" i="115"/>
  <c r="BD33" i="115"/>
  <c r="BE33" i="115"/>
  <c r="BF33" i="115"/>
  <c r="BG33" i="115"/>
  <c r="BH33" i="115"/>
  <c r="BI33" i="115"/>
  <c r="BJ33" i="115"/>
  <c r="BK33" i="115"/>
  <c r="BL33" i="115"/>
  <c r="BM33" i="115"/>
  <c r="BN33" i="115"/>
  <c r="BO33" i="115"/>
  <c r="BP33" i="115"/>
  <c r="BQ33" i="115"/>
  <c r="BR33" i="115"/>
  <c r="BS33" i="115"/>
  <c r="BT33" i="115"/>
  <c r="BU33" i="115"/>
  <c r="BV33" i="115"/>
  <c r="BW33" i="115"/>
  <c r="BX33" i="115"/>
  <c r="R34" i="115"/>
  <c r="S34" i="115"/>
  <c r="T34" i="115"/>
  <c r="U34" i="115"/>
  <c r="V34" i="115"/>
  <c r="W34" i="115"/>
  <c r="X34" i="115"/>
  <c r="Y34" i="115"/>
  <c r="Z34" i="115"/>
  <c r="AA34" i="115"/>
  <c r="AB34" i="115"/>
  <c r="AC34" i="115"/>
  <c r="AD34" i="115"/>
  <c r="AE34" i="115"/>
  <c r="AF34" i="115"/>
  <c r="AG34" i="115"/>
  <c r="AH34" i="115"/>
  <c r="AI34" i="115"/>
  <c r="AJ34" i="115"/>
  <c r="AK34" i="115"/>
  <c r="AL34" i="115"/>
  <c r="AM34" i="115"/>
  <c r="AN34" i="115"/>
  <c r="AO34" i="115"/>
  <c r="AP34" i="115"/>
  <c r="AQ34" i="115"/>
  <c r="AR34" i="115"/>
  <c r="AS34" i="115"/>
  <c r="AT34" i="115"/>
  <c r="AU34" i="115"/>
  <c r="AV34" i="115"/>
  <c r="AW34" i="115"/>
  <c r="AX34" i="115"/>
  <c r="AY34" i="115"/>
  <c r="AZ34" i="115"/>
  <c r="BA34" i="115"/>
  <c r="BB34" i="115"/>
  <c r="BC34" i="115"/>
  <c r="BD34" i="115"/>
  <c r="BE34" i="115"/>
  <c r="BF34" i="115"/>
  <c r="BG34" i="115"/>
  <c r="BH34" i="115"/>
  <c r="BI34" i="115"/>
  <c r="BJ34" i="115"/>
  <c r="BK34" i="115"/>
  <c r="BL34" i="115"/>
  <c r="BM34" i="115"/>
  <c r="BN34" i="115"/>
  <c r="BO34" i="115"/>
  <c r="BP34" i="115"/>
  <c r="BQ34" i="115"/>
  <c r="BR34" i="115"/>
  <c r="BS34" i="115"/>
  <c r="BT34" i="115"/>
  <c r="BU34" i="115"/>
  <c r="BV34" i="115"/>
  <c r="BW34" i="115"/>
  <c r="BX34" i="115"/>
  <c r="R35" i="115"/>
  <c r="S35" i="115"/>
  <c r="T35" i="115"/>
  <c r="U35" i="115"/>
  <c r="V35" i="115"/>
  <c r="W35" i="115"/>
  <c r="X35" i="115"/>
  <c r="Y35" i="115"/>
  <c r="Z35" i="115"/>
  <c r="AA35" i="115"/>
  <c r="AB35" i="115"/>
  <c r="AC35" i="115"/>
  <c r="AD35" i="115"/>
  <c r="AE35" i="115"/>
  <c r="AF35" i="115"/>
  <c r="AG35" i="115"/>
  <c r="AH35" i="115"/>
  <c r="AI35" i="115"/>
  <c r="AJ35" i="115"/>
  <c r="AK35" i="115"/>
  <c r="AL35" i="115"/>
  <c r="AM35" i="115"/>
  <c r="AN35" i="115"/>
  <c r="AO35" i="115"/>
  <c r="AP35" i="115"/>
  <c r="AQ35" i="115"/>
  <c r="AR35" i="115"/>
  <c r="AS35" i="115"/>
  <c r="AT35" i="115"/>
  <c r="AU35" i="115"/>
  <c r="AV35" i="115"/>
  <c r="AW35" i="115"/>
  <c r="AX35" i="115"/>
  <c r="AY35" i="115"/>
  <c r="AZ35" i="115"/>
  <c r="BA35" i="115"/>
  <c r="BB35" i="115"/>
  <c r="BC35" i="115"/>
  <c r="BD35" i="115"/>
  <c r="BE35" i="115"/>
  <c r="BF35" i="115"/>
  <c r="BG35" i="115"/>
  <c r="BH35" i="115"/>
  <c r="BI35" i="115"/>
  <c r="BJ35" i="115"/>
  <c r="BK35" i="115"/>
  <c r="BL35" i="115"/>
  <c r="BM35" i="115"/>
  <c r="BN35" i="115"/>
  <c r="BO35" i="115"/>
  <c r="BP35" i="115"/>
  <c r="BQ35" i="115"/>
  <c r="BR35" i="115"/>
  <c r="BS35" i="115"/>
  <c r="BT35" i="115"/>
  <c r="BU35" i="115"/>
  <c r="BV35" i="115"/>
  <c r="BW35" i="115"/>
  <c r="BX35" i="115"/>
  <c r="R36" i="115"/>
  <c r="S36" i="115"/>
  <c r="T36" i="115"/>
  <c r="U36" i="115"/>
  <c r="V36" i="115"/>
  <c r="W36" i="115"/>
  <c r="X36" i="115"/>
  <c r="Y36" i="115"/>
  <c r="Z36" i="115"/>
  <c r="AA36" i="115"/>
  <c r="AB36" i="115"/>
  <c r="AC36" i="115"/>
  <c r="AD36" i="115"/>
  <c r="AE36" i="115"/>
  <c r="AF36" i="115"/>
  <c r="AG36" i="115"/>
  <c r="AH36" i="115"/>
  <c r="AI36" i="115"/>
  <c r="AJ36" i="115"/>
  <c r="AK36" i="115"/>
  <c r="AL36" i="115"/>
  <c r="AM36" i="115"/>
  <c r="AN36" i="115"/>
  <c r="AO36" i="115"/>
  <c r="AP36" i="115"/>
  <c r="AQ36" i="115"/>
  <c r="AR36" i="115"/>
  <c r="AS36" i="115"/>
  <c r="AT36" i="115"/>
  <c r="AU36" i="115"/>
  <c r="AV36" i="115"/>
  <c r="AW36" i="115"/>
  <c r="AX36" i="115"/>
  <c r="AY36" i="115"/>
  <c r="AZ36" i="115"/>
  <c r="BA36" i="115"/>
  <c r="BB36" i="115"/>
  <c r="BC36" i="115"/>
  <c r="BD36" i="115"/>
  <c r="BE36" i="115"/>
  <c r="BF36" i="115"/>
  <c r="BG36" i="115"/>
  <c r="BH36" i="115"/>
  <c r="BI36" i="115"/>
  <c r="BJ36" i="115"/>
  <c r="BK36" i="115"/>
  <c r="BL36" i="115"/>
  <c r="BM36" i="115"/>
  <c r="BN36" i="115"/>
  <c r="BO36" i="115"/>
  <c r="BP36" i="115"/>
  <c r="BQ36" i="115"/>
  <c r="BR36" i="115"/>
  <c r="BS36" i="115"/>
  <c r="BT36" i="115"/>
  <c r="BU36" i="115"/>
  <c r="BV36" i="115"/>
  <c r="BW36" i="115"/>
  <c r="BX36" i="115"/>
  <c r="R37" i="115"/>
  <c r="S37" i="115"/>
  <c r="T37" i="115"/>
  <c r="U37" i="115"/>
  <c r="V37" i="115"/>
  <c r="W37" i="115"/>
  <c r="X37" i="115"/>
  <c r="Y37" i="115"/>
  <c r="Z37" i="115"/>
  <c r="AA37" i="115"/>
  <c r="AB37" i="115"/>
  <c r="AC37" i="115"/>
  <c r="AD37" i="115"/>
  <c r="AE37" i="115"/>
  <c r="AF37" i="115"/>
  <c r="AG37" i="115"/>
  <c r="AH37" i="115"/>
  <c r="AI37" i="115"/>
  <c r="AJ37" i="115"/>
  <c r="AK37" i="115"/>
  <c r="AL37" i="115"/>
  <c r="AM37" i="115"/>
  <c r="AN37" i="115"/>
  <c r="AO37" i="115"/>
  <c r="AP37" i="115"/>
  <c r="AQ37" i="115"/>
  <c r="AR37" i="115"/>
  <c r="AS37" i="115"/>
  <c r="AT37" i="115"/>
  <c r="AU37" i="115"/>
  <c r="AV37" i="115"/>
  <c r="AW37" i="115"/>
  <c r="AX37" i="115"/>
  <c r="AY37" i="115"/>
  <c r="AZ37" i="115"/>
  <c r="BA37" i="115"/>
  <c r="BB37" i="115"/>
  <c r="BC37" i="115"/>
  <c r="BD37" i="115"/>
  <c r="BE37" i="115"/>
  <c r="BF37" i="115"/>
  <c r="BG37" i="115"/>
  <c r="BH37" i="115"/>
  <c r="BI37" i="115"/>
  <c r="BJ37" i="115"/>
  <c r="BK37" i="115"/>
  <c r="BL37" i="115"/>
  <c r="BM37" i="115"/>
  <c r="BN37" i="115"/>
  <c r="BO37" i="115"/>
  <c r="BP37" i="115"/>
  <c r="BQ37" i="115"/>
  <c r="BR37" i="115"/>
  <c r="BS37" i="115"/>
  <c r="BT37" i="115"/>
  <c r="BU37" i="115"/>
  <c r="BV37" i="115"/>
  <c r="BW37" i="115"/>
  <c r="BX37" i="115"/>
  <c r="R38" i="115"/>
  <c r="S38" i="115"/>
  <c r="T38" i="115"/>
  <c r="U38" i="115"/>
  <c r="V38" i="115"/>
  <c r="W38" i="115"/>
  <c r="X38" i="115"/>
  <c r="Y38" i="115"/>
  <c r="Z38" i="115"/>
  <c r="AA38" i="115"/>
  <c r="AB38" i="115"/>
  <c r="AC38" i="115"/>
  <c r="AD38" i="115"/>
  <c r="AE38" i="115"/>
  <c r="AF38" i="115"/>
  <c r="AG38" i="115"/>
  <c r="AH38" i="115"/>
  <c r="AI38" i="115"/>
  <c r="AJ38" i="115"/>
  <c r="AK38" i="115"/>
  <c r="AL38" i="115"/>
  <c r="AM38" i="115"/>
  <c r="AN38" i="115"/>
  <c r="AO38" i="115"/>
  <c r="AP38" i="115"/>
  <c r="AQ38" i="115"/>
  <c r="AR38" i="115"/>
  <c r="AS38" i="115"/>
  <c r="AT38" i="115"/>
  <c r="AU38" i="115"/>
  <c r="AV38" i="115"/>
  <c r="AW38" i="115"/>
  <c r="AX38" i="115"/>
  <c r="AY38" i="115"/>
  <c r="AZ38" i="115"/>
  <c r="BA38" i="115"/>
  <c r="BB38" i="115"/>
  <c r="BC38" i="115"/>
  <c r="BD38" i="115"/>
  <c r="BE38" i="115"/>
  <c r="BF38" i="115"/>
  <c r="BG38" i="115"/>
  <c r="BH38" i="115"/>
  <c r="BI38" i="115"/>
  <c r="BJ38" i="115"/>
  <c r="BK38" i="115"/>
  <c r="BL38" i="115"/>
  <c r="BM38" i="115"/>
  <c r="BN38" i="115"/>
  <c r="BO38" i="115"/>
  <c r="BP38" i="115"/>
  <c r="BQ38" i="115"/>
  <c r="BR38" i="115"/>
  <c r="BS38" i="115"/>
  <c r="BT38" i="115"/>
  <c r="BU38" i="115"/>
  <c r="BV38" i="115"/>
  <c r="BW38" i="115"/>
  <c r="BX38" i="115"/>
  <c r="R39" i="115"/>
  <c r="S39" i="115"/>
  <c r="T39" i="115"/>
  <c r="U39" i="115"/>
  <c r="V39" i="115"/>
  <c r="W39" i="115"/>
  <c r="X39" i="115"/>
  <c r="Y39" i="115"/>
  <c r="Z39" i="115"/>
  <c r="AA39" i="115"/>
  <c r="AB39" i="115"/>
  <c r="AC39" i="115"/>
  <c r="AD39" i="115"/>
  <c r="AE39" i="115"/>
  <c r="AF39" i="115"/>
  <c r="AG39" i="115"/>
  <c r="AH39" i="115"/>
  <c r="AI39" i="115"/>
  <c r="AJ39" i="115"/>
  <c r="AK39" i="115"/>
  <c r="AL39" i="115"/>
  <c r="AM39" i="115"/>
  <c r="AN39" i="115"/>
  <c r="AO39" i="115"/>
  <c r="AP39" i="115"/>
  <c r="AQ39" i="115"/>
  <c r="AR39" i="115"/>
  <c r="AS39" i="115"/>
  <c r="AT39" i="115"/>
  <c r="AU39" i="115"/>
  <c r="AV39" i="115"/>
  <c r="AW39" i="115"/>
  <c r="AX39" i="115"/>
  <c r="AY39" i="115"/>
  <c r="AZ39" i="115"/>
  <c r="BA39" i="115"/>
  <c r="BB39" i="115"/>
  <c r="BC39" i="115"/>
  <c r="BD39" i="115"/>
  <c r="BE39" i="115"/>
  <c r="BF39" i="115"/>
  <c r="BG39" i="115"/>
  <c r="BH39" i="115"/>
  <c r="BI39" i="115"/>
  <c r="BJ39" i="115"/>
  <c r="BK39" i="115"/>
  <c r="BL39" i="115"/>
  <c r="BM39" i="115"/>
  <c r="BN39" i="115"/>
  <c r="BO39" i="115"/>
  <c r="BP39" i="115"/>
  <c r="BQ39" i="115"/>
  <c r="BR39" i="115"/>
  <c r="BS39" i="115"/>
  <c r="BT39" i="115"/>
  <c r="BU39" i="115"/>
  <c r="BV39" i="115"/>
  <c r="BW39" i="115"/>
  <c r="BX39" i="115"/>
  <c r="R40" i="115"/>
  <c r="S40" i="115"/>
  <c r="T40" i="115"/>
  <c r="U40" i="115"/>
  <c r="V40" i="115"/>
  <c r="W40" i="115"/>
  <c r="X40" i="115"/>
  <c r="Y40" i="115"/>
  <c r="Z40" i="115"/>
  <c r="AA40" i="115"/>
  <c r="AB40" i="115"/>
  <c r="AC40" i="115"/>
  <c r="AD40" i="115"/>
  <c r="AE40" i="115"/>
  <c r="AF40" i="115"/>
  <c r="AG40" i="115"/>
  <c r="AH40" i="115"/>
  <c r="AI40" i="115"/>
  <c r="AJ40" i="115"/>
  <c r="AK40" i="115"/>
  <c r="AL40" i="115"/>
  <c r="AM40" i="115"/>
  <c r="AN40" i="115"/>
  <c r="AO40" i="115"/>
  <c r="AP40" i="115"/>
  <c r="AQ40" i="115"/>
  <c r="AR40" i="115"/>
  <c r="AS40" i="115"/>
  <c r="AT40" i="115"/>
  <c r="AU40" i="115"/>
  <c r="AV40" i="115"/>
  <c r="AW40" i="115"/>
  <c r="AX40" i="115"/>
  <c r="AY40" i="115"/>
  <c r="AZ40" i="115"/>
  <c r="BA40" i="115"/>
  <c r="BB40" i="115"/>
  <c r="BC40" i="115"/>
  <c r="BD40" i="115"/>
  <c r="BE40" i="115"/>
  <c r="BF40" i="115"/>
  <c r="BG40" i="115"/>
  <c r="BH40" i="115"/>
  <c r="BI40" i="115"/>
  <c r="BJ40" i="115"/>
  <c r="BK40" i="115"/>
  <c r="BL40" i="115"/>
  <c r="BM40" i="115"/>
  <c r="BN40" i="115"/>
  <c r="BO40" i="115"/>
  <c r="BP40" i="115"/>
  <c r="BQ40" i="115"/>
  <c r="BR40" i="115"/>
  <c r="BS40" i="115"/>
  <c r="BT40" i="115"/>
  <c r="BU40" i="115"/>
  <c r="BV40" i="115"/>
  <c r="BW40" i="115"/>
  <c r="BX40" i="115"/>
  <c r="R41" i="115"/>
  <c r="S41" i="115"/>
  <c r="T41" i="115"/>
  <c r="U41" i="115"/>
  <c r="V41" i="115"/>
  <c r="W41" i="115"/>
  <c r="X41" i="115"/>
  <c r="Y41" i="115"/>
  <c r="Z41" i="115"/>
  <c r="AA41" i="115"/>
  <c r="AB41" i="115"/>
  <c r="AC41" i="115"/>
  <c r="AD41" i="115"/>
  <c r="AE41" i="115"/>
  <c r="AF41" i="115"/>
  <c r="AG41" i="115"/>
  <c r="AH41" i="115"/>
  <c r="AI41" i="115"/>
  <c r="AJ41" i="115"/>
  <c r="AK41" i="115"/>
  <c r="AL41" i="115"/>
  <c r="AM41" i="115"/>
  <c r="AN41" i="115"/>
  <c r="AO41" i="115"/>
  <c r="AP41" i="115"/>
  <c r="AQ41" i="115"/>
  <c r="AR41" i="115"/>
  <c r="AS41" i="115"/>
  <c r="AT41" i="115"/>
  <c r="AU41" i="115"/>
  <c r="AV41" i="115"/>
  <c r="AW41" i="115"/>
  <c r="AX41" i="115"/>
  <c r="AY41" i="115"/>
  <c r="AZ41" i="115"/>
  <c r="BA41" i="115"/>
  <c r="BB41" i="115"/>
  <c r="BC41" i="115"/>
  <c r="BD41" i="115"/>
  <c r="BE41" i="115"/>
  <c r="BF41" i="115"/>
  <c r="BG41" i="115"/>
  <c r="BH41" i="115"/>
  <c r="BI41" i="115"/>
  <c r="BJ41" i="115"/>
  <c r="BK41" i="115"/>
  <c r="BL41" i="115"/>
  <c r="BM41" i="115"/>
  <c r="BN41" i="115"/>
  <c r="BO41" i="115"/>
  <c r="BP41" i="115"/>
  <c r="BQ41" i="115"/>
  <c r="BR41" i="115"/>
  <c r="BS41" i="115"/>
  <c r="BT41" i="115"/>
  <c r="BU41" i="115"/>
  <c r="BV41" i="115"/>
  <c r="BW41" i="115"/>
  <c r="BX41" i="115"/>
  <c r="R42" i="115"/>
  <c r="S42" i="115"/>
  <c r="T42" i="115"/>
  <c r="U42" i="115"/>
  <c r="V42" i="115"/>
  <c r="W42" i="115"/>
  <c r="X42" i="115"/>
  <c r="Y42" i="115"/>
  <c r="Z42" i="115"/>
  <c r="AA42" i="115"/>
  <c r="AB42" i="115"/>
  <c r="AC42" i="115"/>
  <c r="AD42" i="115"/>
  <c r="AE42" i="115"/>
  <c r="AF42" i="115"/>
  <c r="AG42" i="115"/>
  <c r="AH42" i="115"/>
  <c r="AI42" i="115"/>
  <c r="AJ42" i="115"/>
  <c r="AK42" i="115"/>
  <c r="AL42" i="115"/>
  <c r="AM42" i="115"/>
  <c r="AN42" i="115"/>
  <c r="AO42" i="115"/>
  <c r="AP42" i="115"/>
  <c r="AQ42" i="115"/>
  <c r="AR42" i="115"/>
  <c r="AS42" i="115"/>
  <c r="AT42" i="115"/>
  <c r="AU42" i="115"/>
  <c r="AV42" i="115"/>
  <c r="AW42" i="115"/>
  <c r="AX42" i="115"/>
  <c r="AY42" i="115"/>
  <c r="AZ42" i="115"/>
  <c r="BA42" i="115"/>
  <c r="BB42" i="115"/>
  <c r="BC42" i="115"/>
  <c r="BD42" i="115"/>
  <c r="BE42" i="115"/>
  <c r="BF42" i="115"/>
  <c r="BG42" i="115"/>
  <c r="BH42" i="115"/>
  <c r="BI42" i="115"/>
  <c r="BJ42" i="115"/>
  <c r="BK42" i="115"/>
  <c r="BL42" i="115"/>
  <c r="BM42" i="115"/>
  <c r="BN42" i="115"/>
  <c r="BO42" i="115"/>
  <c r="BP42" i="115"/>
  <c r="BQ42" i="115"/>
  <c r="BR42" i="115"/>
  <c r="BS42" i="115"/>
  <c r="BT42" i="115"/>
  <c r="BU42" i="115"/>
  <c r="BV42" i="115"/>
  <c r="BW42" i="115"/>
  <c r="BX42" i="115"/>
  <c r="R43" i="115"/>
  <c r="S43" i="115"/>
  <c r="T43" i="115"/>
  <c r="U43" i="115"/>
  <c r="V43" i="115"/>
  <c r="W43" i="115"/>
  <c r="X43" i="115"/>
  <c r="Y43" i="115"/>
  <c r="Z43" i="115"/>
  <c r="AA43" i="115"/>
  <c r="AB43" i="115"/>
  <c r="AC43" i="115"/>
  <c r="AD43" i="115"/>
  <c r="AE43" i="115"/>
  <c r="AF43" i="115"/>
  <c r="AG43" i="115"/>
  <c r="AH43" i="115"/>
  <c r="AI43" i="115"/>
  <c r="AJ43" i="115"/>
  <c r="AK43" i="115"/>
  <c r="AL43" i="115"/>
  <c r="AM43" i="115"/>
  <c r="AN43" i="115"/>
  <c r="AO43" i="115"/>
  <c r="AP43" i="115"/>
  <c r="AQ43" i="115"/>
  <c r="AR43" i="115"/>
  <c r="AS43" i="115"/>
  <c r="AT43" i="115"/>
  <c r="AU43" i="115"/>
  <c r="AV43" i="115"/>
  <c r="AW43" i="115"/>
  <c r="AX43" i="115"/>
  <c r="AY43" i="115"/>
  <c r="AZ43" i="115"/>
  <c r="BA43" i="115"/>
  <c r="BB43" i="115"/>
  <c r="BC43" i="115"/>
  <c r="BD43" i="115"/>
  <c r="BE43" i="115"/>
  <c r="BF43" i="115"/>
  <c r="BG43" i="115"/>
  <c r="BH43" i="115"/>
  <c r="BI43" i="115"/>
  <c r="BJ43" i="115"/>
  <c r="BK43" i="115"/>
  <c r="BL43" i="115"/>
  <c r="BM43" i="115"/>
  <c r="BN43" i="115"/>
  <c r="BO43" i="115"/>
  <c r="BP43" i="115"/>
  <c r="BQ43" i="115"/>
  <c r="BR43" i="115"/>
  <c r="BS43" i="115"/>
  <c r="BT43" i="115"/>
  <c r="BU43" i="115"/>
  <c r="BV43" i="115"/>
  <c r="BW43" i="115"/>
  <c r="BX43" i="115"/>
  <c r="R47" i="115"/>
  <c r="S47" i="115"/>
  <c r="T47" i="115"/>
  <c r="U47" i="115"/>
  <c r="V47" i="115"/>
  <c r="W47" i="115"/>
  <c r="X47" i="115"/>
  <c r="Y47" i="115"/>
  <c r="Z47" i="115"/>
  <c r="AA47" i="115"/>
  <c r="AB47" i="115"/>
  <c r="AC47" i="115"/>
  <c r="AD47" i="115"/>
  <c r="AE47" i="115"/>
  <c r="AF47" i="115"/>
  <c r="AG47" i="115"/>
  <c r="AH47" i="115"/>
  <c r="AI47" i="115"/>
  <c r="AJ47" i="115"/>
  <c r="AK47" i="115"/>
  <c r="AL47" i="115"/>
  <c r="AM47" i="115"/>
  <c r="AN47" i="115"/>
  <c r="AO47" i="115"/>
  <c r="AP47" i="115"/>
  <c r="AQ47" i="115"/>
  <c r="AR47" i="115"/>
  <c r="AS47" i="115"/>
  <c r="AT47" i="115"/>
  <c r="AU47" i="115"/>
  <c r="AV47" i="115"/>
  <c r="AW47" i="115"/>
  <c r="AX47" i="115"/>
  <c r="AY47" i="115"/>
  <c r="AZ47" i="115"/>
  <c r="BA47" i="115"/>
  <c r="BB47" i="115"/>
  <c r="BC47" i="115"/>
  <c r="BD47" i="115"/>
  <c r="BE47" i="115"/>
  <c r="BF47" i="115"/>
  <c r="BG47" i="115"/>
  <c r="BH47" i="115"/>
  <c r="BI47" i="115"/>
  <c r="BJ47" i="115"/>
  <c r="BK47" i="115"/>
  <c r="BL47" i="115"/>
  <c r="BM47" i="115"/>
  <c r="BN47" i="115"/>
  <c r="BO47" i="115"/>
  <c r="BP47" i="115"/>
  <c r="BQ47" i="115"/>
  <c r="BR47" i="115"/>
  <c r="BS47" i="115"/>
  <c r="BT47" i="115"/>
  <c r="BU47" i="115"/>
  <c r="BV47" i="115"/>
  <c r="BW47" i="115"/>
  <c r="BX47" i="115"/>
  <c r="R48" i="115"/>
  <c r="S48" i="115"/>
  <c r="T48" i="115"/>
  <c r="U48" i="115"/>
  <c r="V48" i="115"/>
  <c r="W48" i="115"/>
  <c r="X48" i="115"/>
  <c r="Y48" i="115"/>
  <c r="Z48" i="115"/>
  <c r="AA48" i="115"/>
  <c r="AB48" i="115"/>
  <c r="AC48" i="115"/>
  <c r="AD48" i="115"/>
  <c r="AE48" i="115"/>
  <c r="AF48" i="115"/>
  <c r="AG48" i="115"/>
  <c r="AH48" i="115"/>
  <c r="AI48" i="115"/>
  <c r="AJ48" i="115"/>
  <c r="AK48" i="115"/>
  <c r="AL48" i="115"/>
  <c r="AM48" i="115"/>
  <c r="AN48" i="115"/>
  <c r="AO48" i="115"/>
  <c r="AP48" i="115"/>
  <c r="AQ48" i="115"/>
  <c r="AR48" i="115"/>
  <c r="AS48" i="115"/>
  <c r="AT48" i="115"/>
  <c r="AU48" i="115"/>
  <c r="AV48" i="115"/>
  <c r="AW48" i="115"/>
  <c r="AX48" i="115"/>
  <c r="AY48" i="115"/>
  <c r="AZ48" i="115"/>
  <c r="BA48" i="115"/>
  <c r="BB48" i="115"/>
  <c r="BC48" i="115"/>
  <c r="BD48" i="115"/>
  <c r="BE48" i="115"/>
  <c r="BF48" i="115"/>
  <c r="BG48" i="115"/>
  <c r="BH48" i="115"/>
  <c r="BI48" i="115"/>
  <c r="BJ48" i="115"/>
  <c r="BK48" i="115"/>
  <c r="BL48" i="115"/>
  <c r="BM48" i="115"/>
  <c r="BN48" i="115"/>
  <c r="BO48" i="115"/>
  <c r="BP48" i="115"/>
  <c r="BQ48" i="115"/>
  <c r="BR48" i="115"/>
  <c r="BS48" i="115"/>
  <c r="BT48" i="115"/>
  <c r="BU48" i="115"/>
  <c r="BV48" i="115"/>
  <c r="BW48" i="115"/>
  <c r="BX48" i="115"/>
  <c r="R49" i="115"/>
  <c r="S49" i="115"/>
  <c r="T49" i="115"/>
  <c r="U49" i="115"/>
  <c r="V49" i="115"/>
  <c r="W49" i="115"/>
  <c r="X49" i="115"/>
  <c r="Y49" i="115"/>
  <c r="Z49" i="115"/>
  <c r="AA49" i="115"/>
  <c r="AB49" i="115"/>
  <c r="AC49" i="115"/>
  <c r="AD49" i="115"/>
  <c r="AE49" i="115"/>
  <c r="AF49" i="115"/>
  <c r="AG49" i="115"/>
  <c r="AH49" i="115"/>
  <c r="AI49" i="115"/>
  <c r="AJ49" i="115"/>
  <c r="AK49" i="115"/>
  <c r="AL49" i="115"/>
  <c r="AM49" i="115"/>
  <c r="AN49" i="115"/>
  <c r="AO49" i="115"/>
  <c r="AP49" i="115"/>
  <c r="AQ49" i="115"/>
  <c r="AR49" i="115"/>
  <c r="AS49" i="115"/>
  <c r="AT49" i="115"/>
  <c r="AU49" i="115"/>
  <c r="AV49" i="115"/>
  <c r="AW49" i="115"/>
  <c r="AX49" i="115"/>
  <c r="AY49" i="115"/>
  <c r="AZ49" i="115"/>
  <c r="BA49" i="115"/>
  <c r="BB49" i="115"/>
  <c r="BC49" i="115"/>
  <c r="BD49" i="115"/>
  <c r="BE49" i="115"/>
  <c r="BF49" i="115"/>
  <c r="BG49" i="115"/>
  <c r="BH49" i="115"/>
  <c r="BI49" i="115"/>
  <c r="BJ49" i="115"/>
  <c r="BK49" i="115"/>
  <c r="BL49" i="115"/>
  <c r="BM49" i="115"/>
  <c r="BN49" i="115"/>
  <c r="BO49" i="115"/>
  <c r="BP49" i="115"/>
  <c r="BQ49" i="115"/>
  <c r="BR49" i="115"/>
  <c r="BS49" i="115"/>
  <c r="BT49" i="115"/>
  <c r="BU49" i="115"/>
  <c r="BV49" i="115"/>
  <c r="BW49" i="115"/>
  <c r="BX49" i="115"/>
  <c r="R50" i="115"/>
  <c r="S50" i="115"/>
  <c r="T50" i="115"/>
  <c r="U50" i="115"/>
  <c r="V50" i="115"/>
  <c r="W50" i="115"/>
  <c r="X50" i="115"/>
  <c r="Y50" i="115"/>
  <c r="Z50" i="115"/>
  <c r="AA50" i="115"/>
  <c r="AB50" i="115"/>
  <c r="AC50" i="115"/>
  <c r="AD50" i="115"/>
  <c r="AE50" i="115"/>
  <c r="AF50" i="115"/>
  <c r="AG50" i="115"/>
  <c r="AH50" i="115"/>
  <c r="AI50" i="115"/>
  <c r="AJ50" i="115"/>
  <c r="AK50" i="115"/>
  <c r="AL50" i="115"/>
  <c r="AM50" i="115"/>
  <c r="AN50" i="115"/>
  <c r="AO50" i="115"/>
  <c r="AP50" i="115"/>
  <c r="AQ50" i="115"/>
  <c r="AR50" i="115"/>
  <c r="AS50" i="115"/>
  <c r="AT50" i="115"/>
  <c r="AU50" i="115"/>
  <c r="AV50" i="115"/>
  <c r="AW50" i="115"/>
  <c r="AX50" i="115"/>
  <c r="AY50" i="115"/>
  <c r="AZ50" i="115"/>
  <c r="BA50" i="115"/>
  <c r="BB50" i="115"/>
  <c r="BC50" i="115"/>
  <c r="BD50" i="115"/>
  <c r="BE50" i="115"/>
  <c r="BF50" i="115"/>
  <c r="BG50" i="115"/>
  <c r="BH50" i="115"/>
  <c r="BI50" i="115"/>
  <c r="BJ50" i="115"/>
  <c r="BK50" i="115"/>
  <c r="BL50" i="115"/>
  <c r="BM50" i="115"/>
  <c r="BN50" i="115"/>
  <c r="BO50" i="115"/>
  <c r="BP50" i="115"/>
  <c r="BQ50" i="115"/>
  <c r="BR50" i="115"/>
  <c r="BS50" i="115"/>
  <c r="BT50" i="115"/>
  <c r="BU50" i="115"/>
  <c r="BV50" i="115"/>
  <c r="BW50" i="115"/>
  <c r="BX50" i="115"/>
  <c r="R51" i="115"/>
  <c r="S51" i="115"/>
  <c r="T51" i="115"/>
  <c r="U51" i="115"/>
  <c r="V51" i="115"/>
  <c r="W51" i="115"/>
  <c r="X51" i="115"/>
  <c r="Y51" i="115"/>
  <c r="Z51" i="115"/>
  <c r="AA51" i="115"/>
  <c r="AB51" i="115"/>
  <c r="AC51" i="115"/>
  <c r="AD51" i="115"/>
  <c r="AE51" i="115"/>
  <c r="AF51" i="115"/>
  <c r="AG51" i="115"/>
  <c r="AH51" i="115"/>
  <c r="AI51" i="115"/>
  <c r="AJ51" i="115"/>
  <c r="AK51" i="115"/>
  <c r="AL51" i="115"/>
  <c r="AM51" i="115"/>
  <c r="AN51" i="115"/>
  <c r="AO51" i="115"/>
  <c r="AP51" i="115"/>
  <c r="AQ51" i="115"/>
  <c r="AR51" i="115"/>
  <c r="AS51" i="115"/>
  <c r="AT51" i="115"/>
  <c r="AU51" i="115"/>
  <c r="AV51" i="115"/>
  <c r="AW51" i="115"/>
  <c r="AX51" i="115"/>
  <c r="AY51" i="115"/>
  <c r="AZ51" i="115"/>
  <c r="BA51" i="115"/>
  <c r="BB51" i="115"/>
  <c r="BC51" i="115"/>
  <c r="BD51" i="115"/>
  <c r="BE51" i="115"/>
  <c r="BF51" i="115"/>
  <c r="BG51" i="115"/>
  <c r="BH51" i="115"/>
  <c r="BI51" i="115"/>
  <c r="BJ51" i="115"/>
  <c r="BK51" i="115"/>
  <c r="BL51" i="115"/>
  <c r="BM51" i="115"/>
  <c r="BN51" i="115"/>
  <c r="BO51" i="115"/>
  <c r="BP51" i="115"/>
  <c r="BQ51" i="115"/>
  <c r="BR51" i="115"/>
  <c r="BS51" i="115"/>
  <c r="BT51" i="115"/>
  <c r="BU51" i="115"/>
  <c r="BV51" i="115"/>
  <c r="BW51" i="115"/>
  <c r="BX51" i="115"/>
  <c r="R52" i="115"/>
  <c r="S52" i="115"/>
  <c r="T52" i="115"/>
  <c r="U52" i="115"/>
  <c r="V52" i="115"/>
  <c r="W52" i="115"/>
  <c r="X52" i="115"/>
  <c r="Y52" i="115"/>
  <c r="Z52" i="115"/>
  <c r="AA52" i="115"/>
  <c r="AB52" i="115"/>
  <c r="AC52" i="115"/>
  <c r="AD52" i="115"/>
  <c r="AE52" i="115"/>
  <c r="AF52" i="115"/>
  <c r="AG52" i="115"/>
  <c r="AH52" i="115"/>
  <c r="AI52" i="115"/>
  <c r="AJ52" i="115"/>
  <c r="AK52" i="115"/>
  <c r="AL52" i="115"/>
  <c r="AM52" i="115"/>
  <c r="AN52" i="115"/>
  <c r="AO52" i="115"/>
  <c r="AP52" i="115"/>
  <c r="AQ52" i="115"/>
  <c r="AR52" i="115"/>
  <c r="AS52" i="115"/>
  <c r="AT52" i="115"/>
  <c r="AU52" i="115"/>
  <c r="AV52" i="115"/>
  <c r="AW52" i="115"/>
  <c r="AX52" i="115"/>
  <c r="AY52" i="115"/>
  <c r="AZ52" i="115"/>
  <c r="BA52" i="115"/>
  <c r="BB52" i="115"/>
  <c r="BC52" i="115"/>
  <c r="BD52" i="115"/>
  <c r="BE52" i="115"/>
  <c r="BF52" i="115"/>
  <c r="BG52" i="115"/>
  <c r="BH52" i="115"/>
  <c r="BI52" i="115"/>
  <c r="BJ52" i="115"/>
  <c r="BK52" i="115"/>
  <c r="BL52" i="115"/>
  <c r="BM52" i="115"/>
  <c r="BN52" i="115"/>
  <c r="BO52" i="115"/>
  <c r="BP52" i="115"/>
  <c r="BQ52" i="115"/>
  <c r="BR52" i="115"/>
  <c r="BS52" i="115"/>
  <c r="BT52" i="115"/>
  <c r="BU52" i="115"/>
  <c r="BV52" i="115"/>
  <c r="BW52" i="115"/>
  <c r="BX52" i="115"/>
  <c r="R53" i="115"/>
  <c r="S53" i="115"/>
  <c r="T53" i="115"/>
  <c r="U53" i="115"/>
  <c r="V53" i="115"/>
  <c r="W53" i="115"/>
  <c r="X53" i="115"/>
  <c r="Y53" i="115"/>
  <c r="Z53" i="115"/>
  <c r="AA53" i="115"/>
  <c r="AB53" i="115"/>
  <c r="AC53" i="115"/>
  <c r="AD53" i="115"/>
  <c r="AE53" i="115"/>
  <c r="AF53" i="115"/>
  <c r="AG53" i="115"/>
  <c r="AH53" i="115"/>
  <c r="AI53" i="115"/>
  <c r="AJ53" i="115"/>
  <c r="AK53" i="115"/>
  <c r="AL53" i="115"/>
  <c r="AM53" i="115"/>
  <c r="AN53" i="115"/>
  <c r="AO53" i="115"/>
  <c r="AP53" i="115"/>
  <c r="AQ53" i="115"/>
  <c r="AR53" i="115"/>
  <c r="AS53" i="115"/>
  <c r="AT53" i="115"/>
  <c r="AU53" i="115"/>
  <c r="AV53" i="115"/>
  <c r="AW53" i="115"/>
  <c r="AX53" i="115"/>
  <c r="AY53" i="115"/>
  <c r="AZ53" i="115"/>
  <c r="BA53" i="115"/>
  <c r="BB53" i="115"/>
  <c r="BC53" i="115"/>
  <c r="BD53" i="115"/>
  <c r="BE53" i="115"/>
  <c r="BF53" i="115"/>
  <c r="BG53" i="115"/>
  <c r="BH53" i="115"/>
  <c r="BI53" i="115"/>
  <c r="BJ53" i="115"/>
  <c r="BK53" i="115"/>
  <c r="BL53" i="115"/>
  <c r="BM53" i="115"/>
  <c r="BN53" i="115"/>
  <c r="BO53" i="115"/>
  <c r="BP53" i="115"/>
  <c r="BQ53" i="115"/>
  <c r="BR53" i="115"/>
  <c r="BS53" i="115"/>
  <c r="BT53" i="115"/>
  <c r="BU53" i="115"/>
  <c r="BV53" i="115"/>
  <c r="BW53" i="115"/>
  <c r="BX53" i="115"/>
  <c r="R54" i="115"/>
  <c r="S54" i="115"/>
  <c r="T54" i="115"/>
  <c r="U54" i="115"/>
  <c r="V54" i="115"/>
  <c r="W54" i="115"/>
  <c r="X54" i="115"/>
  <c r="Y54" i="115"/>
  <c r="Z54" i="115"/>
  <c r="AA54" i="115"/>
  <c r="AB54" i="115"/>
  <c r="AC54" i="115"/>
  <c r="AD54" i="115"/>
  <c r="AE54" i="115"/>
  <c r="AF54" i="115"/>
  <c r="AG54" i="115"/>
  <c r="AH54" i="115"/>
  <c r="AI54" i="115"/>
  <c r="AJ54" i="115"/>
  <c r="AK54" i="115"/>
  <c r="AL54" i="115"/>
  <c r="AM54" i="115"/>
  <c r="AN54" i="115"/>
  <c r="AO54" i="115"/>
  <c r="AP54" i="115"/>
  <c r="AQ54" i="115"/>
  <c r="AR54" i="115"/>
  <c r="AS54" i="115"/>
  <c r="AT54" i="115"/>
  <c r="AU54" i="115"/>
  <c r="AV54" i="115"/>
  <c r="AW54" i="115"/>
  <c r="AX54" i="115"/>
  <c r="AY54" i="115"/>
  <c r="AZ54" i="115"/>
  <c r="BA54" i="115"/>
  <c r="BB54" i="115"/>
  <c r="BC54" i="115"/>
  <c r="BD54" i="115"/>
  <c r="BE54" i="115"/>
  <c r="BF54" i="115"/>
  <c r="BG54" i="115"/>
  <c r="BH54" i="115"/>
  <c r="BI54" i="115"/>
  <c r="BJ54" i="115"/>
  <c r="BK54" i="115"/>
  <c r="BL54" i="115"/>
  <c r="BM54" i="115"/>
  <c r="BN54" i="115"/>
  <c r="BO54" i="115"/>
  <c r="BP54" i="115"/>
  <c r="BQ54" i="115"/>
  <c r="BR54" i="115"/>
  <c r="BS54" i="115"/>
  <c r="BT54" i="115"/>
  <c r="BU54" i="115"/>
  <c r="BV54" i="115"/>
  <c r="BW54" i="115"/>
  <c r="BX54" i="115"/>
  <c r="R55" i="115"/>
  <c r="S55" i="115"/>
  <c r="T55" i="115"/>
  <c r="U55" i="115"/>
  <c r="V55" i="115"/>
  <c r="W55" i="115"/>
  <c r="X55" i="115"/>
  <c r="Y55" i="115"/>
  <c r="Z55" i="115"/>
  <c r="AA55" i="115"/>
  <c r="AB55" i="115"/>
  <c r="AC55" i="115"/>
  <c r="AD55" i="115"/>
  <c r="AE55" i="115"/>
  <c r="AF55" i="115"/>
  <c r="AG55" i="115"/>
  <c r="AH55" i="115"/>
  <c r="AI55" i="115"/>
  <c r="AJ55" i="115"/>
  <c r="AK55" i="115"/>
  <c r="AL55" i="115"/>
  <c r="AM55" i="115"/>
  <c r="AN55" i="115"/>
  <c r="AO55" i="115"/>
  <c r="AP55" i="115"/>
  <c r="AQ55" i="115"/>
  <c r="AR55" i="115"/>
  <c r="AS55" i="115"/>
  <c r="AT55" i="115"/>
  <c r="AU55" i="115"/>
  <c r="AV55" i="115"/>
  <c r="AW55" i="115"/>
  <c r="AX55" i="115"/>
  <c r="AY55" i="115"/>
  <c r="AZ55" i="115"/>
  <c r="BA55" i="115"/>
  <c r="BB55" i="115"/>
  <c r="BC55" i="115"/>
  <c r="BD55" i="115"/>
  <c r="BE55" i="115"/>
  <c r="BF55" i="115"/>
  <c r="BG55" i="115"/>
  <c r="BH55" i="115"/>
  <c r="BI55" i="115"/>
  <c r="BJ55" i="115"/>
  <c r="BK55" i="115"/>
  <c r="BL55" i="115"/>
  <c r="BM55" i="115"/>
  <c r="BN55" i="115"/>
  <c r="BO55" i="115"/>
  <c r="BP55" i="115"/>
  <c r="BQ55" i="115"/>
  <c r="BR55" i="115"/>
  <c r="BS55" i="115"/>
  <c r="BT55" i="115"/>
  <c r="BU55" i="115"/>
  <c r="BV55" i="115"/>
  <c r="BW55" i="115"/>
  <c r="BX55" i="115"/>
  <c r="R56" i="115"/>
  <c r="S56" i="115"/>
  <c r="T56" i="115"/>
  <c r="U56" i="115"/>
  <c r="V56" i="115"/>
  <c r="W56" i="115"/>
  <c r="X56" i="115"/>
  <c r="Y56" i="115"/>
  <c r="Z56" i="115"/>
  <c r="AA56" i="115"/>
  <c r="AB56" i="115"/>
  <c r="AC56" i="115"/>
  <c r="AD56" i="115"/>
  <c r="AE56" i="115"/>
  <c r="AF56" i="115"/>
  <c r="AG56" i="115"/>
  <c r="AH56" i="115"/>
  <c r="AI56" i="115"/>
  <c r="AJ56" i="115"/>
  <c r="AK56" i="115"/>
  <c r="AL56" i="115"/>
  <c r="AM56" i="115"/>
  <c r="AN56" i="115"/>
  <c r="AO56" i="115"/>
  <c r="AP56" i="115"/>
  <c r="AQ56" i="115"/>
  <c r="AR56" i="115"/>
  <c r="AS56" i="115"/>
  <c r="AT56" i="115"/>
  <c r="AU56" i="115"/>
  <c r="AV56" i="115"/>
  <c r="AW56" i="115"/>
  <c r="AX56" i="115"/>
  <c r="AY56" i="115"/>
  <c r="AZ56" i="115"/>
  <c r="BA56" i="115"/>
  <c r="BB56" i="115"/>
  <c r="BC56" i="115"/>
  <c r="BD56" i="115"/>
  <c r="BE56" i="115"/>
  <c r="BF56" i="115"/>
  <c r="BG56" i="115"/>
  <c r="BH56" i="115"/>
  <c r="BI56" i="115"/>
  <c r="BJ56" i="115"/>
  <c r="BK56" i="115"/>
  <c r="BL56" i="115"/>
  <c r="BM56" i="115"/>
  <c r="BN56" i="115"/>
  <c r="BO56" i="115"/>
  <c r="BP56" i="115"/>
  <c r="BQ56" i="115"/>
  <c r="BR56" i="115"/>
  <c r="BS56" i="115"/>
  <c r="BT56" i="115"/>
  <c r="BU56" i="115"/>
  <c r="BV56" i="115"/>
  <c r="BW56" i="115"/>
  <c r="BX56" i="115"/>
  <c r="R57" i="115"/>
  <c r="S57" i="115"/>
  <c r="T57" i="115"/>
  <c r="U57" i="115"/>
  <c r="V57" i="115"/>
  <c r="W57" i="115"/>
  <c r="X57" i="115"/>
  <c r="Y57" i="115"/>
  <c r="Z57" i="115"/>
  <c r="AA57" i="115"/>
  <c r="AB57" i="115"/>
  <c r="AC57" i="115"/>
  <c r="AD57" i="115"/>
  <c r="AE57" i="115"/>
  <c r="AF57" i="115"/>
  <c r="AG57" i="115"/>
  <c r="AH57" i="115"/>
  <c r="AI57" i="115"/>
  <c r="AJ57" i="115"/>
  <c r="AK57" i="115"/>
  <c r="AL57" i="115"/>
  <c r="AM57" i="115"/>
  <c r="AN57" i="115"/>
  <c r="AO57" i="115"/>
  <c r="AP57" i="115"/>
  <c r="AQ57" i="115"/>
  <c r="AR57" i="115"/>
  <c r="AS57" i="115"/>
  <c r="AT57" i="115"/>
  <c r="AU57" i="115"/>
  <c r="AV57" i="115"/>
  <c r="AW57" i="115"/>
  <c r="AX57" i="115"/>
  <c r="AY57" i="115"/>
  <c r="AZ57" i="115"/>
  <c r="BA57" i="115"/>
  <c r="BB57" i="115"/>
  <c r="BC57" i="115"/>
  <c r="BD57" i="115"/>
  <c r="BE57" i="115"/>
  <c r="BF57" i="115"/>
  <c r="BG57" i="115"/>
  <c r="BH57" i="115"/>
  <c r="BI57" i="115"/>
  <c r="BJ57" i="115"/>
  <c r="BK57" i="115"/>
  <c r="BL57" i="115"/>
  <c r="BM57" i="115"/>
  <c r="BN57" i="115"/>
  <c r="BO57" i="115"/>
  <c r="BP57" i="115"/>
  <c r="BQ57" i="115"/>
  <c r="BR57" i="115"/>
  <c r="BS57" i="115"/>
  <c r="BT57" i="115"/>
  <c r="BU57" i="115"/>
  <c r="BV57" i="115"/>
  <c r="BW57" i="115"/>
  <c r="BX57" i="115"/>
  <c r="R58" i="115"/>
  <c r="S58" i="115"/>
  <c r="T58" i="115"/>
  <c r="U58" i="115"/>
  <c r="V58" i="115"/>
  <c r="W58" i="115"/>
  <c r="X58" i="115"/>
  <c r="Y58" i="115"/>
  <c r="Z58" i="115"/>
  <c r="AA58" i="115"/>
  <c r="AB58" i="115"/>
  <c r="AC58" i="115"/>
  <c r="AD58" i="115"/>
  <c r="AE58" i="115"/>
  <c r="AF58" i="115"/>
  <c r="AG58" i="115"/>
  <c r="AH58" i="115"/>
  <c r="AI58" i="115"/>
  <c r="AJ58" i="115"/>
  <c r="AK58" i="115"/>
  <c r="AL58" i="115"/>
  <c r="AM58" i="115"/>
  <c r="AN58" i="115"/>
  <c r="AO58" i="115"/>
  <c r="AP58" i="115"/>
  <c r="AQ58" i="115"/>
  <c r="AR58" i="115"/>
  <c r="AS58" i="115"/>
  <c r="AT58" i="115"/>
  <c r="AU58" i="115"/>
  <c r="AV58" i="115"/>
  <c r="AW58" i="115"/>
  <c r="AX58" i="115"/>
  <c r="AY58" i="115"/>
  <c r="AZ58" i="115"/>
  <c r="BA58" i="115"/>
  <c r="BB58" i="115"/>
  <c r="BC58" i="115"/>
  <c r="BD58" i="115"/>
  <c r="BE58" i="115"/>
  <c r="BF58" i="115"/>
  <c r="BG58" i="115"/>
  <c r="BH58" i="115"/>
  <c r="BI58" i="115"/>
  <c r="BJ58" i="115"/>
  <c r="BK58" i="115"/>
  <c r="BL58" i="115"/>
  <c r="BM58" i="115"/>
  <c r="BN58" i="115"/>
  <c r="BO58" i="115"/>
  <c r="BP58" i="115"/>
  <c r="BQ58" i="115"/>
  <c r="BR58" i="115"/>
  <c r="BS58" i="115"/>
  <c r="BT58" i="115"/>
  <c r="BU58" i="115"/>
  <c r="BV58" i="115"/>
  <c r="BW58" i="115"/>
  <c r="BX58" i="115"/>
  <c r="R59" i="115"/>
  <c r="S59" i="115"/>
  <c r="T59" i="115"/>
  <c r="U59" i="115"/>
  <c r="V59" i="115"/>
  <c r="W59" i="115"/>
  <c r="X59" i="115"/>
  <c r="Y59" i="115"/>
  <c r="Z59" i="115"/>
  <c r="AA59" i="115"/>
  <c r="AB59" i="115"/>
  <c r="AC59" i="115"/>
  <c r="AD59" i="115"/>
  <c r="AE59" i="115"/>
  <c r="AF59" i="115"/>
  <c r="AG59" i="115"/>
  <c r="AH59" i="115"/>
  <c r="AI59" i="115"/>
  <c r="AJ59" i="115"/>
  <c r="AK59" i="115"/>
  <c r="AL59" i="115"/>
  <c r="AM59" i="115"/>
  <c r="AN59" i="115"/>
  <c r="AO59" i="115"/>
  <c r="AP59" i="115"/>
  <c r="AQ59" i="115"/>
  <c r="AR59" i="115"/>
  <c r="AS59" i="115"/>
  <c r="AT59" i="115"/>
  <c r="AU59" i="115"/>
  <c r="AV59" i="115"/>
  <c r="AW59" i="115"/>
  <c r="AX59" i="115"/>
  <c r="AY59" i="115"/>
  <c r="AZ59" i="115"/>
  <c r="BA59" i="115"/>
  <c r="BB59" i="115"/>
  <c r="BC59" i="115"/>
  <c r="BD59" i="115"/>
  <c r="BE59" i="115"/>
  <c r="BF59" i="115"/>
  <c r="BG59" i="115"/>
  <c r="BH59" i="115"/>
  <c r="BI59" i="115"/>
  <c r="BJ59" i="115"/>
  <c r="BK59" i="115"/>
  <c r="BL59" i="115"/>
  <c r="BM59" i="115"/>
  <c r="BN59" i="115"/>
  <c r="BO59" i="115"/>
  <c r="BP59" i="115"/>
  <c r="BQ59" i="115"/>
  <c r="BR59" i="115"/>
  <c r="BS59" i="115"/>
  <c r="BT59" i="115"/>
  <c r="BU59" i="115"/>
  <c r="BV59" i="115"/>
  <c r="BW59" i="115"/>
  <c r="BX59" i="115"/>
  <c r="R60" i="115"/>
  <c r="S60" i="115"/>
  <c r="T60" i="115"/>
  <c r="U60" i="115"/>
  <c r="V60" i="115"/>
  <c r="W60" i="115"/>
  <c r="X60" i="115"/>
  <c r="Y60" i="115"/>
  <c r="Z60" i="115"/>
  <c r="AA60" i="115"/>
  <c r="AB60" i="115"/>
  <c r="AC60" i="115"/>
  <c r="AD60" i="115"/>
  <c r="AE60" i="115"/>
  <c r="AF60" i="115"/>
  <c r="AG60" i="115"/>
  <c r="AH60" i="115"/>
  <c r="AI60" i="115"/>
  <c r="AJ60" i="115"/>
  <c r="AK60" i="115"/>
  <c r="AL60" i="115"/>
  <c r="AM60" i="115"/>
  <c r="AN60" i="115"/>
  <c r="AO60" i="115"/>
  <c r="AP60" i="115"/>
  <c r="AQ60" i="115"/>
  <c r="AR60" i="115"/>
  <c r="AS60" i="115"/>
  <c r="AT60" i="115"/>
  <c r="AU60" i="115"/>
  <c r="AV60" i="115"/>
  <c r="AW60" i="115"/>
  <c r="AX60" i="115"/>
  <c r="AY60" i="115"/>
  <c r="AZ60" i="115"/>
  <c r="BA60" i="115"/>
  <c r="BB60" i="115"/>
  <c r="BC60" i="115"/>
  <c r="BD60" i="115"/>
  <c r="BE60" i="115"/>
  <c r="BF60" i="115"/>
  <c r="BG60" i="115"/>
  <c r="BH60" i="115"/>
  <c r="BI60" i="115"/>
  <c r="BJ60" i="115"/>
  <c r="BK60" i="115"/>
  <c r="BL60" i="115"/>
  <c r="BM60" i="115"/>
  <c r="BN60" i="115"/>
  <c r="BO60" i="115"/>
  <c r="BP60" i="115"/>
  <c r="BQ60" i="115"/>
  <c r="BR60" i="115"/>
  <c r="BS60" i="115"/>
  <c r="BT60" i="115"/>
  <c r="BU60" i="115"/>
  <c r="BV60" i="115"/>
  <c r="BW60" i="115"/>
  <c r="BX60" i="115"/>
  <c r="R61" i="115"/>
  <c r="S61" i="115"/>
  <c r="T61" i="115"/>
  <c r="U61" i="115"/>
  <c r="V61" i="115"/>
  <c r="W61" i="115"/>
  <c r="X61" i="115"/>
  <c r="Y61" i="115"/>
  <c r="Z61" i="115"/>
  <c r="AA61" i="115"/>
  <c r="AB61" i="115"/>
  <c r="AC61" i="115"/>
  <c r="AD61" i="115"/>
  <c r="AE61" i="115"/>
  <c r="AF61" i="115"/>
  <c r="AG61" i="115"/>
  <c r="AH61" i="115"/>
  <c r="AI61" i="115"/>
  <c r="AJ61" i="115"/>
  <c r="AK61" i="115"/>
  <c r="AL61" i="115"/>
  <c r="AM61" i="115"/>
  <c r="AN61" i="115"/>
  <c r="AO61" i="115"/>
  <c r="AP61" i="115"/>
  <c r="AQ61" i="115"/>
  <c r="AR61" i="115"/>
  <c r="AS61" i="115"/>
  <c r="AT61" i="115"/>
  <c r="AU61" i="115"/>
  <c r="AV61" i="115"/>
  <c r="AW61" i="115"/>
  <c r="AX61" i="115"/>
  <c r="AY61" i="115"/>
  <c r="AZ61" i="115"/>
  <c r="BA61" i="115"/>
  <c r="BB61" i="115"/>
  <c r="BC61" i="115"/>
  <c r="BD61" i="115"/>
  <c r="BE61" i="115"/>
  <c r="BF61" i="115"/>
  <c r="BG61" i="115"/>
  <c r="BH61" i="115"/>
  <c r="BI61" i="115"/>
  <c r="BJ61" i="115"/>
  <c r="BK61" i="115"/>
  <c r="BL61" i="115"/>
  <c r="BM61" i="115"/>
  <c r="BN61" i="115"/>
  <c r="BO61" i="115"/>
  <c r="BP61" i="115"/>
  <c r="BQ61" i="115"/>
  <c r="BR61" i="115"/>
  <c r="BS61" i="115"/>
  <c r="BT61" i="115"/>
  <c r="BU61" i="115"/>
  <c r="BV61" i="115"/>
  <c r="BW61" i="115"/>
  <c r="BX61" i="115"/>
  <c r="R62" i="115"/>
  <c r="S62" i="115"/>
  <c r="T62" i="115"/>
  <c r="U62" i="115"/>
  <c r="V62" i="115"/>
  <c r="W62" i="115"/>
  <c r="X62" i="115"/>
  <c r="Y62" i="115"/>
  <c r="Z62" i="115"/>
  <c r="AA62" i="115"/>
  <c r="AB62" i="115"/>
  <c r="AC62" i="115"/>
  <c r="AD62" i="115"/>
  <c r="AE62" i="115"/>
  <c r="AF62" i="115"/>
  <c r="AG62" i="115"/>
  <c r="AH62" i="115"/>
  <c r="AI62" i="115"/>
  <c r="AJ62" i="115"/>
  <c r="AK62" i="115"/>
  <c r="AL62" i="115"/>
  <c r="AM62" i="115"/>
  <c r="AN62" i="115"/>
  <c r="AO62" i="115"/>
  <c r="AP62" i="115"/>
  <c r="AQ62" i="115"/>
  <c r="AR62" i="115"/>
  <c r="AS62" i="115"/>
  <c r="AT62" i="115"/>
  <c r="AU62" i="115"/>
  <c r="AV62" i="115"/>
  <c r="AW62" i="115"/>
  <c r="AX62" i="115"/>
  <c r="AY62" i="115"/>
  <c r="AZ62" i="115"/>
  <c r="BA62" i="115"/>
  <c r="BB62" i="115"/>
  <c r="BC62" i="115"/>
  <c r="BD62" i="115"/>
  <c r="BE62" i="115"/>
  <c r="BF62" i="115"/>
  <c r="BG62" i="115"/>
  <c r="BH62" i="115"/>
  <c r="BI62" i="115"/>
  <c r="BJ62" i="115"/>
  <c r="BK62" i="115"/>
  <c r="BL62" i="115"/>
  <c r="BM62" i="115"/>
  <c r="BN62" i="115"/>
  <c r="BO62" i="115"/>
  <c r="BP62" i="115"/>
  <c r="BQ62" i="115"/>
  <c r="BR62" i="115"/>
  <c r="BS62" i="115"/>
  <c r="BT62" i="115"/>
  <c r="BU62" i="115"/>
  <c r="BV62" i="115"/>
  <c r="BW62" i="115"/>
  <c r="BX62" i="115"/>
  <c r="R63" i="115"/>
  <c r="S63" i="115"/>
  <c r="T63" i="115"/>
  <c r="U63" i="115"/>
  <c r="V63" i="115"/>
  <c r="W63" i="115"/>
  <c r="X63" i="115"/>
  <c r="Y63" i="115"/>
  <c r="Z63" i="115"/>
  <c r="AA63" i="115"/>
  <c r="AB63" i="115"/>
  <c r="AC63" i="115"/>
  <c r="AD63" i="115"/>
  <c r="AE63" i="115"/>
  <c r="AF63" i="115"/>
  <c r="AG63" i="115"/>
  <c r="AH63" i="115"/>
  <c r="AI63" i="115"/>
  <c r="AJ63" i="115"/>
  <c r="AK63" i="115"/>
  <c r="AL63" i="115"/>
  <c r="AM63" i="115"/>
  <c r="AN63" i="115"/>
  <c r="AO63" i="115"/>
  <c r="AP63" i="115"/>
  <c r="AQ63" i="115"/>
  <c r="AR63" i="115"/>
  <c r="AS63" i="115"/>
  <c r="AT63" i="115"/>
  <c r="AU63" i="115"/>
  <c r="AV63" i="115"/>
  <c r="AW63" i="115"/>
  <c r="AX63" i="115"/>
  <c r="AY63" i="115"/>
  <c r="AZ63" i="115"/>
  <c r="BA63" i="115"/>
  <c r="BB63" i="115"/>
  <c r="BC63" i="115"/>
  <c r="BD63" i="115"/>
  <c r="BE63" i="115"/>
  <c r="BF63" i="115"/>
  <c r="BG63" i="115"/>
  <c r="BH63" i="115"/>
  <c r="BI63" i="115"/>
  <c r="BJ63" i="115"/>
  <c r="BK63" i="115"/>
  <c r="BL63" i="115"/>
  <c r="BM63" i="115"/>
  <c r="BN63" i="115"/>
  <c r="BO63" i="115"/>
  <c r="BP63" i="115"/>
  <c r="BQ63" i="115"/>
  <c r="BR63" i="115"/>
  <c r="BS63" i="115"/>
  <c r="BT63" i="115"/>
  <c r="BU63" i="115"/>
  <c r="BV63" i="115"/>
  <c r="BW63" i="115"/>
  <c r="BX63" i="115"/>
  <c r="R64" i="115"/>
  <c r="S64" i="115"/>
  <c r="T64" i="115"/>
  <c r="U64" i="115"/>
  <c r="V64" i="115"/>
  <c r="W64" i="115"/>
  <c r="X64" i="115"/>
  <c r="Y64" i="115"/>
  <c r="Z64" i="115"/>
  <c r="AA64" i="115"/>
  <c r="AB64" i="115"/>
  <c r="AC64" i="115"/>
  <c r="AD64" i="115"/>
  <c r="AE64" i="115"/>
  <c r="AF64" i="115"/>
  <c r="AG64" i="115"/>
  <c r="AH64" i="115"/>
  <c r="AI64" i="115"/>
  <c r="AJ64" i="115"/>
  <c r="AK64" i="115"/>
  <c r="AL64" i="115"/>
  <c r="AM64" i="115"/>
  <c r="AN64" i="115"/>
  <c r="AO64" i="115"/>
  <c r="AP64" i="115"/>
  <c r="AQ64" i="115"/>
  <c r="AR64" i="115"/>
  <c r="AS64" i="115"/>
  <c r="AT64" i="115"/>
  <c r="AU64" i="115"/>
  <c r="AV64" i="115"/>
  <c r="AW64" i="115"/>
  <c r="AX64" i="115"/>
  <c r="AY64" i="115"/>
  <c r="AZ64" i="115"/>
  <c r="BA64" i="115"/>
  <c r="BB64" i="115"/>
  <c r="BC64" i="115"/>
  <c r="BD64" i="115"/>
  <c r="BE64" i="115"/>
  <c r="BF64" i="115"/>
  <c r="BG64" i="115"/>
  <c r="BH64" i="115"/>
  <c r="BI64" i="115"/>
  <c r="BJ64" i="115"/>
  <c r="BK64" i="115"/>
  <c r="BL64" i="115"/>
  <c r="BM64" i="115"/>
  <c r="BN64" i="115"/>
  <c r="BO64" i="115"/>
  <c r="BP64" i="115"/>
  <c r="BQ64" i="115"/>
  <c r="BR64" i="115"/>
  <c r="BS64" i="115"/>
  <c r="BT64" i="115"/>
  <c r="BU64" i="115"/>
  <c r="BV64" i="115"/>
  <c r="BW64" i="115"/>
  <c r="BX64" i="115"/>
  <c r="R65" i="115"/>
  <c r="S65" i="115"/>
  <c r="T65" i="115"/>
  <c r="U65" i="115"/>
  <c r="V65" i="115"/>
  <c r="W65" i="115"/>
  <c r="X65" i="115"/>
  <c r="Y65" i="115"/>
  <c r="Z65" i="115"/>
  <c r="AA65" i="115"/>
  <c r="AB65" i="115"/>
  <c r="AC65" i="115"/>
  <c r="AD65" i="115"/>
  <c r="AE65" i="115"/>
  <c r="AF65" i="115"/>
  <c r="AG65" i="115"/>
  <c r="AH65" i="115"/>
  <c r="AI65" i="115"/>
  <c r="AJ65" i="115"/>
  <c r="AK65" i="115"/>
  <c r="AL65" i="115"/>
  <c r="AM65" i="115"/>
  <c r="AN65" i="115"/>
  <c r="AO65" i="115"/>
  <c r="AP65" i="115"/>
  <c r="AQ65" i="115"/>
  <c r="AR65" i="115"/>
  <c r="AS65" i="115"/>
  <c r="AT65" i="115"/>
  <c r="AU65" i="115"/>
  <c r="AV65" i="115"/>
  <c r="AW65" i="115"/>
  <c r="AX65" i="115"/>
  <c r="AY65" i="115"/>
  <c r="AZ65" i="115"/>
  <c r="BA65" i="115"/>
  <c r="BB65" i="115"/>
  <c r="BC65" i="115"/>
  <c r="BD65" i="115"/>
  <c r="BE65" i="115"/>
  <c r="BF65" i="115"/>
  <c r="BG65" i="115"/>
  <c r="BH65" i="115"/>
  <c r="BI65" i="115"/>
  <c r="BJ65" i="115"/>
  <c r="BK65" i="115"/>
  <c r="BL65" i="115"/>
  <c r="BM65" i="115"/>
  <c r="BN65" i="115"/>
  <c r="BO65" i="115"/>
  <c r="BP65" i="115"/>
  <c r="BQ65" i="115"/>
  <c r="BR65" i="115"/>
  <c r="BS65" i="115"/>
  <c r="BT65" i="115"/>
  <c r="BU65" i="115"/>
  <c r="BV65" i="115"/>
  <c r="BW65" i="115"/>
  <c r="BX65" i="115"/>
  <c r="R66" i="115"/>
  <c r="S66" i="115"/>
  <c r="T66" i="115"/>
  <c r="U66" i="115"/>
  <c r="V66" i="115"/>
  <c r="W66" i="115"/>
  <c r="X66" i="115"/>
  <c r="Y66" i="115"/>
  <c r="Z66" i="115"/>
  <c r="AA66" i="115"/>
  <c r="AB66" i="115"/>
  <c r="AC66" i="115"/>
  <c r="AD66" i="115"/>
  <c r="AE66" i="115"/>
  <c r="AF66" i="115"/>
  <c r="AG66" i="115"/>
  <c r="AH66" i="115"/>
  <c r="AI66" i="115"/>
  <c r="AJ66" i="115"/>
  <c r="AK66" i="115"/>
  <c r="AL66" i="115"/>
  <c r="AM66" i="115"/>
  <c r="AN66" i="115"/>
  <c r="AO66" i="115"/>
  <c r="AP66" i="115"/>
  <c r="AQ66" i="115"/>
  <c r="AR66" i="115"/>
  <c r="AS66" i="115"/>
  <c r="AT66" i="115"/>
  <c r="AU66" i="115"/>
  <c r="AV66" i="115"/>
  <c r="AW66" i="115"/>
  <c r="AX66" i="115"/>
  <c r="AY66" i="115"/>
  <c r="AZ66" i="115"/>
  <c r="BA66" i="115"/>
  <c r="BB66" i="115"/>
  <c r="BC66" i="115"/>
  <c r="BD66" i="115"/>
  <c r="BE66" i="115"/>
  <c r="BF66" i="115"/>
  <c r="BG66" i="115"/>
  <c r="BH66" i="115"/>
  <c r="BI66" i="115"/>
  <c r="BJ66" i="115"/>
  <c r="BK66" i="115"/>
  <c r="BL66" i="115"/>
  <c r="BM66" i="115"/>
  <c r="BN66" i="115"/>
  <c r="BO66" i="115"/>
  <c r="BP66" i="115"/>
  <c r="BQ66" i="115"/>
  <c r="BR66" i="115"/>
  <c r="BS66" i="115"/>
  <c r="BT66" i="115"/>
  <c r="BU66" i="115"/>
  <c r="BV66" i="115"/>
  <c r="BW66" i="115"/>
  <c r="BX66" i="115"/>
  <c r="R67" i="115"/>
  <c r="S67" i="115"/>
  <c r="T67" i="115"/>
  <c r="U67" i="115"/>
  <c r="V67" i="115"/>
  <c r="W67" i="115"/>
  <c r="X67" i="115"/>
  <c r="Y67" i="115"/>
  <c r="Z67" i="115"/>
  <c r="AA67" i="115"/>
  <c r="AB67" i="115"/>
  <c r="AC67" i="115"/>
  <c r="AD67" i="115"/>
  <c r="AE67" i="115"/>
  <c r="AF67" i="115"/>
  <c r="AG67" i="115"/>
  <c r="AH67" i="115"/>
  <c r="AI67" i="115"/>
  <c r="AJ67" i="115"/>
  <c r="AK67" i="115"/>
  <c r="AL67" i="115"/>
  <c r="AM67" i="115"/>
  <c r="AN67" i="115"/>
  <c r="AO67" i="115"/>
  <c r="AP67" i="115"/>
  <c r="AQ67" i="115"/>
  <c r="AR67" i="115"/>
  <c r="AS67" i="115"/>
  <c r="AT67" i="115"/>
  <c r="AU67" i="115"/>
  <c r="AV67" i="115"/>
  <c r="AW67" i="115"/>
  <c r="AX67" i="115"/>
  <c r="AY67" i="115"/>
  <c r="AZ67" i="115"/>
  <c r="BA67" i="115"/>
  <c r="BB67" i="115"/>
  <c r="BC67" i="115"/>
  <c r="BD67" i="115"/>
  <c r="BE67" i="115"/>
  <c r="BF67" i="115"/>
  <c r="BG67" i="115"/>
  <c r="BH67" i="115"/>
  <c r="BI67" i="115"/>
  <c r="BJ67" i="115"/>
  <c r="BK67" i="115"/>
  <c r="BL67" i="115"/>
  <c r="BM67" i="115"/>
  <c r="BN67" i="115"/>
  <c r="BO67" i="115"/>
  <c r="BP67" i="115"/>
  <c r="BQ67" i="115"/>
  <c r="BR67" i="115"/>
  <c r="BS67" i="115"/>
  <c r="BT67" i="115"/>
  <c r="BU67" i="115"/>
  <c r="BV67" i="115"/>
  <c r="BW67" i="115"/>
  <c r="BX67" i="115"/>
  <c r="R68" i="115"/>
  <c r="S68" i="115"/>
  <c r="T68" i="115"/>
  <c r="U68" i="115"/>
  <c r="V68" i="115"/>
  <c r="W68" i="115"/>
  <c r="X68" i="115"/>
  <c r="Y68" i="115"/>
  <c r="Z68" i="115"/>
  <c r="AA68" i="115"/>
  <c r="AB68" i="115"/>
  <c r="AC68" i="115"/>
  <c r="AD68" i="115"/>
  <c r="AE68" i="115"/>
  <c r="AF68" i="115"/>
  <c r="AG68" i="115"/>
  <c r="AH68" i="115"/>
  <c r="AI68" i="115"/>
  <c r="AJ68" i="115"/>
  <c r="AK68" i="115"/>
  <c r="AL68" i="115"/>
  <c r="AM68" i="115"/>
  <c r="AN68" i="115"/>
  <c r="AO68" i="115"/>
  <c r="AP68" i="115"/>
  <c r="AQ68" i="115"/>
  <c r="AR68" i="115"/>
  <c r="AS68" i="115"/>
  <c r="AT68" i="115"/>
  <c r="AU68" i="115"/>
  <c r="AV68" i="115"/>
  <c r="AW68" i="115"/>
  <c r="AX68" i="115"/>
  <c r="AY68" i="115"/>
  <c r="AZ68" i="115"/>
  <c r="BA68" i="115"/>
  <c r="BB68" i="115"/>
  <c r="BC68" i="115"/>
  <c r="BD68" i="115"/>
  <c r="BE68" i="115"/>
  <c r="BF68" i="115"/>
  <c r="BG68" i="115"/>
  <c r="BH68" i="115"/>
  <c r="BI68" i="115"/>
  <c r="BJ68" i="115"/>
  <c r="BK68" i="115"/>
  <c r="BL68" i="115"/>
  <c r="BM68" i="115"/>
  <c r="BN68" i="115"/>
  <c r="BO68" i="115"/>
  <c r="BP68" i="115"/>
  <c r="BQ68" i="115"/>
  <c r="BR68" i="115"/>
  <c r="BS68" i="115"/>
  <c r="BT68" i="115"/>
  <c r="BU68" i="115"/>
  <c r="BV68" i="115"/>
  <c r="BW68" i="115"/>
  <c r="BX68" i="115"/>
  <c r="R69" i="115"/>
  <c r="S69" i="115"/>
  <c r="T69" i="115"/>
  <c r="U69" i="115"/>
  <c r="V69" i="115"/>
  <c r="W69" i="115"/>
  <c r="X69" i="115"/>
  <c r="Y69" i="115"/>
  <c r="Z69" i="115"/>
  <c r="AA69" i="115"/>
  <c r="AB69" i="115"/>
  <c r="AC69" i="115"/>
  <c r="AD69" i="115"/>
  <c r="AE69" i="115"/>
  <c r="AF69" i="115"/>
  <c r="AG69" i="115"/>
  <c r="AH69" i="115"/>
  <c r="AI69" i="115"/>
  <c r="AJ69" i="115"/>
  <c r="AK69" i="115"/>
  <c r="AL69" i="115"/>
  <c r="AM69" i="115"/>
  <c r="AN69" i="115"/>
  <c r="AO69" i="115"/>
  <c r="AP69" i="115"/>
  <c r="AQ69" i="115"/>
  <c r="AR69" i="115"/>
  <c r="AS69" i="115"/>
  <c r="AT69" i="115"/>
  <c r="AU69" i="115"/>
  <c r="AV69" i="115"/>
  <c r="AW69" i="115"/>
  <c r="AX69" i="115"/>
  <c r="AY69" i="115"/>
  <c r="AZ69" i="115"/>
  <c r="BA69" i="115"/>
  <c r="BB69" i="115"/>
  <c r="BC69" i="115"/>
  <c r="BD69" i="115"/>
  <c r="BE69" i="115"/>
  <c r="BF69" i="115"/>
  <c r="BG69" i="115"/>
  <c r="BH69" i="115"/>
  <c r="BI69" i="115"/>
  <c r="BJ69" i="115"/>
  <c r="BK69" i="115"/>
  <c r="BL69" i="115"/>
  <c r="BM69" i="115"/>
  <c r="BN69" i="115"/>
  <c r="BO69" i="115"/>
  <c r="BP69" i="115"/>
  <c r="BQ69" i="115"/>
  <c r="BR69" i="115"/>
  <c r="BS69" i="115"/>
  <c r="BT69" i="115"/>
  <c r="BU69" i="115"/>
  <c r="BV69" i="115"/>
  <c r="BW69" i="115"/>
  <c r="BX69" i="115"/>
  <c r="R70" i="115"/>
  <c r="S70" i="115"/>
  <c r="T70" i="115"/>
  <c r="U70" i="115"/>
  <c r="V70" i="115"/>
  <c r="W70" i="115"/>
  <c r="X70" i="115"/>
  <c r="Y70" i="115"/>
  <c r="Z70" i="115"/>
  <c r="AA70" i="115"/>
  <c r="AB70" i="115"/>
  <c r="AC70" i="115"/>
  <c r="AD70" i="115"/>
  <c r="AE70" i="115"/>
  <c r="AF70" i="115"/>
  <c r="AG70" i="115"/>
  <c r="AH70" i="115"/>
  <c r="AI70" i="115"/>
  <c r="AJ70" i="115"/>
  <c r="AK70" i="115"/>
  <c r="AL70" i="115"/>
  <c r="AM70" i="115"/>
  <c r="AN70" i="115"/>
  <c r="AO70" i="115"/>
  <c r="AP70" i="115"/>
  <c r="AQ70" i="115"/>
  <c r="AR70" i="115"/>
  <c r="AS70" i="115"/>
  <c r="AT70" i="115"/>
  <c r="AU70" i="115"/>
  <c r="AV70" i="115"/>
  <c r="AW70" i="115"/>
  <c r="AX70" i="115"/>
  <c r="AY70" i="115"/>
  <c r="AZ70" i="115"/>
  <c r="BA70" i="115"/>
  <c r="BB70" i="115"/>
  <c r="BC70" i="115"/>
  <c r="BD70" i="115"/>
  <c r="BE70" i="115"/>
  <c r="BF70" i="115"/>
  <c r="BG70" i="115"/>
  <c r="BH70" i="115"/>
  <c r="BI70" i="115"/>
  <c r="BJ70" i="115"/>
  <c r="BK70" i="115"/>
  <c r="BL70" i="115"/>
  <c r="BM70" i="115"/>
  <c r="BN70" i="115"/>
  <c r="BO70" i="115"/>
  <c r="BP70" i="115"/>
  <c r="BQ70" i="115"/>
  <c r="BR70" i="115"/>
  <c r="BS70" i="115"/>
  <c r="BT70" i="115"/>
  <c r="BU70" i="115"/>
  <c r="BV70" i="115"/>
  <c r="BW70" i="115"/>
  <c r="BX70" i="115"/>
  <c r="R71" i="115"/>
  <c r="S71" i="115"/>
  <c r="T71" i="115"/>
  <c r="U71" i="115"/>
  <c r="V71" i="115"/>
  <c r="W71" i="115"/>
  <c r="X71" i="115"/>
  <c r="Y71" i="115"/>
  <c r="Z71" i="115"/>
  <c r="AA71" i="115"/>
  <c r="AB71" i="115"/>
  <c r="AC71" i="115"/>
  <c r="AD71" i="115"/>
  <c r="AE71" i="115"/>
  <c r="AF71" i="115"/>
  <c r="AG71" i="115"/>
  <c r="AH71" i="115"/>
  <c r="AI71" i="115"/>
  <c r="AJ71" i="115"/>
  <c r="AK71" i="115"/>
  <c r="AL71" i="115"/>
  <c r="AM71" i="115"/>
  <c r="AN71" i="115"/>
  <c r="AO71" i="115"/>
  <c r="AP71" i="115"/>
  <c r="AQ71" i="115"/>
  <c r="AR71" i="115"/>
  <c r="AS71" i="115"/>
  <c r="AT71" i="115"/>
  <c r="AU71" i="115"/>
  <c r="AV71" i="115"/>
  <c r="AW71" i="115"/>
  <c r="AX71" i="115"/>
  <c r="AY71" i="115"/>
  <c r="AZ71" i="115"/>
  <c r="BA71" i="115"/>
  <c r="BB71" i="115"/>
  <c r="BC71" i="115"/>
  <c r="BD71" i="115"/>
  <c r="BE71" i="115"/>
  <c r="BF71" i="115"/>
  <c r="BG71" i="115"/>
  <c r="BH71" i="115"/>
  <c r="BI71" i="115"/>
  <c r="BJ71" i="115"/>
  <c r="BK71" i="115"/>
  <c r="BL71" i="115"/>
  <c r="BM71" i="115"/>
  <c r="BN71" i="115"/>
  <c r="BO71" i="115"/>
  <c r="BP71" i="115"/>
  <c r="BQ71" i="115"/>
  <c r="BR71" i="115"/>
  <c r="BS71" i="115"/>
  <c r="BT71" i="115"/>
  <c r="BU71" i="115"/>
  <c r="BV71" i="115"/>
  <c r="BW71" i="115"/>
  <c r="BX71" i="115"/>
  <c r="R72" i="115"/>
  <c r="S72" i="115"/>
  <c r="T72" i="115"/>
  <c r="U72" i="115"/>
  <c r="V72" i="115"/>
  <c r="W72" i="115"/>
  <c r="X72" i="115"/>
  <c r="Y72" i="115"/>
  <c r="Z72" i="115"/>
  <c r="AA72" i="115"/>
  <c r="AB72" i="115"/>
  <c r="AC72" i="115"/>
  <c r="AD72" i="115"/>
  <c r="AE72" i="115"/>
  <c r="AF72" i="115"/>
  <c r="AG72" i="115"/>
  <c r="AH72" i="115"/>
  <c r="AI72" i="115"/>
  <c r="AJ72" i="115"/>
  <c r="AK72" i="115"/>
  <c r="AL72" i="115"/>
  <c r="AM72" i="115"/>
  <c r="AN72" i="115"/>
  <c r="AO72" i="115"/>
  <c r="AP72" i="115"/>
  <c r="AQ72" i="115"/>
  <c r="AR72" i="115"/>
  <c r="AS72" i="115"/>
  <c r="AT72" i="115"/>
  <c r="AU72" i="115"/>
  <c r="AV72" i="115"/>
  <c r="AW72" i="115"/>
  <c r="AX72" i="115"/>
  <c r="AY72" i="115"/>
  <c r="AZ72" i="115"/>
  <c r="BA72" i="115"/>
  <c r="BB72" i="115"/>
  <c r="BC72" i="115"/>
  <c r="BD72" i="115"/>
  <c r="BE72" i="115"/>
  <c r="BF72" i="115"/>
  <c r="BG72" i="115"/>
  <c r="BH72" i="115"/>
  <c r="BI72" i="115"/>
  <c r="BJ72" i="115"/>
  <c r="BK72" i="115"/>
  <c r="BL72" i="115"/>
  <c r="BM72" i="115"/>
  <c r="BN72" i="115"/>
  <c r="BO72" i="115"/>
  <c r="BP72" i="115"/>
  <c r="BQ72" i="115"/>
  <c r="BR72" i="115"/>
  <c r="BS72" i="115"/>
  <c r="BT72" i="115"/>
  <c r="BU72" i="115"/>
  <c r="BV72" i="115"/>
  <c r="BW72" i="115"/>
  <c r="BX72" i="115"/>
  <c r="R73" i="115"/>
  <c r="S73" i="115"/>
  <c r="T73" i="115"/>
  <c r="U73" i="115"/>
  <c r="V73" i="115"/>
  <c r="W73" i="115"/>
  <c r="X73" i="115"/>
  <c r="Y73" i="115"/>
  <c r="Z73" i="115"/>
  <c r="AA73" i="115"/>
  <c r="AB73" i="115"/>
  <c r="AC73" i="115"/>
  <c r="AD73" i="115"/>
  <c r="AE73" i="115"/>
  <c r="AF73" i="115"/>
  <c r="AG73" i="115"/>
  <c r="AH73" i="115"/>
  <c r="AI73" i="115"/>
  <c r="AJ73" i="115"/>
  <c r="AK73" i="115"/>
  <c r="AL73" i="115"/>
  <c r="AM73" i="115"/>
  <c r="AN73" i="115"/>
  <c r="AO73" i="115"/>
  <c r="AP73" i="115"/>
  <c r="AQ73" i="115"/>
  <c r="AR73" i="115"/>
  <c r="AS73" i="115"/>
  <c r="AT73" i="115"/>
  <c r="AU73" i="115"/>
  <c r="AV73" i="115"/>
  <c r="AW73" i="115"/>
  <c r="AX73" i="115"/>
  <c r="AY73" i="115"/>
  <c r="AZ73" i="115"/>
  <c r="BA73" i="115"/>
  <c r="BB73" i="115"/>
  <c r="BC73" i="115"/>
  <c r="BD73" i="115"/>
  <c r="BE73" i="115"/>
  <c r="BF73" i="115"/>
  <c r="BG73" i="115"/>
  <c r="BH73" i="115"/>
  <c r="BI73" i="115"/>
  <c r="BJ73" i="115"/>
  <c r="BK73" i="115"/>
  <c r="BL73" i="115"/>
  <c r="BM73" i="115"/>
  <c r="BN73" i="115"/>
  <c r="BO73" i="115"/>
  <c r="BP73" i="115"/>
  <c r="BQ73" i="115"/>
  <c r="BR73" i="115"/>
  <c r="BS73" i="115"/>
  <c r="BT73" i="115"/>
  <c r="BU73" i="115"/>
  <c r="BV73" i="115"/>
  <c r="BW73" i="115"/>
  <c r="BX73" i="115"/>
  <c r="R74" i="115"/>
  <c r="S74" i="115"/>
  <c r="T74" i="115"/>
  <c r="U74" i="115"/>
  <c r="V74" i="115"/>
  <c r="W74" i="115"/>
  <c r="X74" i="115"/>
  <c r="Y74" i="115"/>
  <c r="Z74" i="115"/>
  <c r="AA74" i="115"/>
  <c r="AB74" i="115"/>
  <c r="AC74" i="115"/>
  <c r="AD74" i="115"/>
  <c r="AE74" i="115"/>
  <c r="AF74" i="115"/>
  <c r="AG74" i="115"/>
  <c r="AH74" i="115"/>
  <c r="AI74" i="115"/>
  <c r="AJ74" i="115"/>
  <c r="AK74" i="115"/>
  <c r="AL74" i="115"/>
  <c r="AM74" i="115"/>
  <c r="AN74" i="115"/>
  <c r="AO74" i="115"/>
  <c r="AP74" i="115"/>
  <c r="AQ74" i="115"/>
  <c r="AR74" i="115"/>
  <c r="AS74" i="115"/>
  <c r="AT74" i="115"/>
  <c r="AU74" i="115"/>
  <c r="AV74" i="115"/>
  <c r="AW74" i="115"/>
  <c r="AX74" i="115"/>
  <c r="AY74" i="115"/>
  <c r="AZ74" i="115"/>
  <c r="BA74" i="115"/>
  <c r="BB74" i="115"/>
  <c r="BC74" i="115"/>
  <c r="BD74" i="115"/>
  <c r="BE74" i="115"/>
  <c r="BF74" i="115"/>
  <c r="BG74" i="115"/>
  <c r="BH74" i="115"/>
  <c r="BI74" i="115"/>
  <c r="BJ74" i="115"/>
  <c r="BK74" i="115"/>
  <c r="BL74" i="115"/>
  <c r="BM74" i="115"/>
  <c r="BN74" i="115"/>
  <c r="BO74" i="115"/>
  <c r="BP74" i="115"/>
  <c r="BQ74" i="115"/>
  <c r="BR74" i="115"/>
  <c r="BS74" i="115"/>
  <c r="BT74" i="115"/>
  <c r="BU74" i="115"/>
  <c r="BV74" i="115"/>
  <c r="BW74" i="115"/>
  <c r="BX74" i="115"/>
  <c r="R75" i="115"/>
  <c r="S75" i="115"/>
  <c r="T75" i="115"/>
  <c r="U75" i="115"/>
  <c r="V75" i="115"/>
  <c r="W75" i="115"/>
  <c r="X75" i="115"/>
  <c r="Y75" i="115"/>
  <c r="Z75" i="115"/>
  <c r="AA75" i="115"/>
  <c r="AB75" i="115"/>
  <c r="AC75" i="115"/>
  <c r="AD75" i="115"/>
  <c r="AE75" i="115"/>
  <c r="AF75" i="115"/>
  <c r="AG75" i="115"/>
  <c r="AH75" i="115"/>
  <c r="AI75" i="115"/>
  <c r="AJ75" i="115"/>
  <c r="AK75" i="115"/>
  <c r="AL75" i="115"/>
  <c r="AM75" i="115"/>
  <c r="AN75" i="115"/>
  <c r="AO75" i="115"/>
  <c r="AP75" i="115"/>
  <c r="AQ75" i="115"/>
  <c r="AR75" i="115"/>
  <c r="AS75" i="115"/>
  <c r="AT75" i="115"/>
  <c r="AU75" i="115"/>
  <c r="AV75" i="115"/>
  <c r="AW75" i="115"/>
  <c r="AX75" i="115"/>
  <c r="AY75" i="115"/>
  <c r="AZ75" i="115"/>
  <c r="BA75" i="115"/>
  <c r="BB75" i="115"/>
  <c r="BC75" i="115"/>
  <c r="BD75" i="115"/>
  <c r="BE75" i="115"/>
  <c r="BF75" i="115"/>
  <c r="BG75" i="115"/>
  <c r="BH75" i="115"/>
  <c r="BI75" i="115"/>
  <c r="BJ75" i="115"/>
  <c r="BK75" i="115"/>
  <c r="BL75" i="115"/>
  <c r="BM75" i="115"/>
  <c r="BN75" i="115"/>
  <c r="BO75" i="115"/>
  <c r="BP75" i="115"/>
  <c r="BQ75" i="115"/>
  <c r="BR75" i="115"/>
  <c r="BS75" i="115"/>
  <c r="BT75" i="115"/>
  <c r="BU75" i="115"/>
  <c r="BV75" i="115"/>
  <c r="BW75" i="115"/>
  <c r="BX75" i="115"/>
  <c r="R76" i="115"/>
  <c r="S76" i="115"/>
  <c r="T76" i="115"/>
  <c r="U76" i="115"/>
  <c r="V76" i="115"/>
  <c r="W76" i="115"/>
  <c r="X76" i="115"/>
  <c r="Y76" i="115"/>
  <c r="Z76" i="115"/>
  <c r="AA76" i="115"/>
  <c r="AB76" i="115"/>
  <c r="AC76" i="115"/>
  <c r="AD76" i="115"/>
  <c r="AE76" i="115"/>
  <c r="AF76" i="115"/>
  <c r="AG76" i="115"/>
  <c r="AH76" i="115"/>
  <c r="AI76" i="115"/>
  <c r="AJ76" i="115"/>
  <c r="AK76" i="115"/>
  <c r="AL76" i="115"/>
  <c r="AM76" i="115"/>
  <c r="AN76" i="115"/>
  <c r="AO76" i="115"/>
  <c r="AP76" i="115"/>
  <c r="AQ76" i="115"/>
  <c r="AR76" i="115"/>
  <c r="AS76" i="115"/>
  <c r="AT76" i="115"/>
  <c r="AU76" i="115"/>
  <c r="AV76" i="115"/>
  <c r="AW76" i="115"/>
  <c r="AX76" i="115"/>
  <c r="AY76" i="115"/>
  <c r="AZ76" i="115"/>
  <c r="BA76" i="115"/>
  <c r="BB76" i="115"/>
  <c r="BC76" i="115"/>
  <c r="BD76" i="115"/>
  <c r="BE76" i="115"/>
  <c r="BF76" i="115"/>
  <c r="BG76" i="115"/>
  <c r="BH76" i="115"/>
  <c r="BI76" i="115"/>
  <c r="BJ76" i="115"/>
  <c r="BK76" i="115"/>
  <c r="BL76" i="115"/>
  <c r="BM76" i="115"/>
  <c r="BN76" i="115"/>
  <c r="BO76" i="115"/>
  <c r="BP76" i="115"/>
  <c r="BQ76" i="115"/>
  <c r="BR76" i="115"/>
  <c r="BS76" i="115"/>
  <c r="BT76" i="115"/>
  <c r="BU76" i="115"/>
  <c r="BV76" i="115"/>
  <c r="BW76" i="115"/>
  <c r="BX76" i="115"/>
  <c r="R77" i="115"/>
  <c r="S77" i="115"/>
  <c r="T77" i="115"/>
  <c r="U77" i="115"/>
  <c r="V77" i="115"/>
  <c r="W77" i="115"/>
  <c r="X77" i="115"/>
  <c r="Y77" i="115"/>
  <c r="Z77" i="115"/>
  <c r="AA77" i="115"/>
  <c r="AB77" i="115"/>
  <c r="AC77" i="115"/>
  <c r="AD77" i="115"/>
  <c r="AE77" i="115"/>
  <c r="AF77" i="115"/>
  <c r="AG77" i="115"/>
  <c r="AH77" i="115"/>
  <c r="AI77" i="115"/>
  <c r="AJ77" i="115"/>
  <c r="AK77" i="115"/>
  <c r="AL77" i="115"/>
  <c r="AM77" i="115"/>
  <c r="AN77" i="115"/>
  <c r="AO77" i="115"/>
  <c r="AP77" i="115"/>
  <c r="AQ77" i="115"/>
  <c r="AR77" i="115"/>
  <c r="AS77" i="115"/>
  <c r="AT77" i="115"/>
  <c r="AU77" i="115"/>
  <c r="AV77" i="115"/>
  <c r="AW77" i="115"/>
  <c r="AX77" i="115"/>
  <c r="AY77" i="115"/>
  <c r="AZ77" i="115"/>
  <c r="BA77" i="115"/>
  <c r="BB77" i="115"/>
  <c r="BC77" i="115"/>
  <c r="BD77" i="115"/>
  <c r="BE77" i="115"/>
  <c r="BF77" i="115"/>
  <c r="BG77" i="115"/>
  <c r="BH77" i="115"/>
  <c r="BI77" i="115"/>
  <c r="BJ77" i="115"/>
  <c r="BK77" i="115"/>
  <c r="BL77" i="115"/>
  <c r="BM77" i="115"/>
  <c r="BN77" i="115"/>
  <c r="BO77" i="115"/>
  <c r="BP77" i="115"/>
  <c r="BQ77" i="115"/>
  <c r="BR77" i="115"/>
  <c r="BS77" i="115"/>
  <c r="BT77" i="115"/>
  <c r="BU77" i="115"/>
  <c r="BV77" i="115"/>
  <c r="BW77" i="115"/>
  <c r="BX77" i="115"/>
  <c r="R78" i="115"/>
  <c r="S78" i="115"/>
  <c r="T78" i="115"/>
  <c r="U78" i="115"/>
  <c r="V78" i="115"/>
  <c r="W78" i="115"/>
  <c r="X78" i="115"/>
  <c r="Y78" i="115"/>
  <c r="Z78" i="115"/>
  <c r="AA78" i="115"/>
  <c r="AB78" i="115"/>
  <c r="AC78" i="115"/>
  <c r="AD78" i="115"/>
  <c r="AE78" i="115"/>
  <c r="AF78" i="115"/>
  <c r="AG78" i="115"/>
  <c r="AH78" i="115"/>
  <c r="AI78" i="115"/>
  <c r="AJ78" i="115"/>
  <c r="AK78" i="115"/>
  <c r="AL78" i="115"/>
  <c r="AM78" i="115"/>
  <c r="AN78" i="115"/>
  <c r="AO78" i="115"/>
  <c r="AP78" i="115"/>
  <c r="AQ78" i="115"/>
  <c r="AR78" i="115"/>
  <c r="AS78" i="115"/>
  <c r="AT78" i="115"/>
  <c r="AU78" i="115"/>
  <c r="AV78" i="115"/>
  <c r="AW78" i="115"/>
  <c r="AX78" i="115"/>
  <c r="AY78" i="115"/>
  <c r="AZ78" i="115"/>
  <c r="BA78" i="115"/>
  <c r="BB78" i="115"/>
  <c r="BC78" i="115"/>
  <c r="BD78" i="115"/>
  <c r="BE78" i="115"/>
  <c r="BF78" i="115"/>
  <c r="BG78" i="115"/>
  <c r="BH78" i="115"/>
  <c r="BI78" i="115"/>
  <c r="BJ78" i="115"/>
  <c r="BK78" i="115"/>
  <c r="BL78" i="115"/>
  <c r="BM78" i="115"/>
  <c r="BN78" i="115"/>
  <c r="BO78" i="115"/>
  <c r="BP78" i="115"/>
  <c r="BQ78" i="115"/>
  <c r="BR78" i="115"/>
  <c r="BS78" i="115"/>
  <c r="BT78" i="115"/>
  <c r="BU78" i="115"/>
  <c r="BV78" i="115"/>
  <c r="BW78" i="115"/>
  <c r="BX78" i="115"/>
  <c r="R79" i="115"/>
  <c r="S79" i="115"/>
  <c r="T79" i="115"/>
  <c r="U79" i="115"/>
  <c r="V79" i="115"/>
  <c r="W79" i="115"/>
  <c r="X79" i="115"/>
  <c r="Y79" i="115"/>
  <c r="Z79" i="115"/>
  <c r="AA79" i="115"/>
  <c r="AB79" i="115"/>
  <c r="AC79" i="115"/>
  <c r="AD79" i="115"/>
  <c r="AE79" i="115"/>
  <c r="AF79" i="115"/>
  <c r="AG79" i="115"/>
  <c r="AH79" i="115"/>
  <c r="AI79" i="115"/>
  <c r="AJ79" i="115"/>
  <c r="AK79" i="115"/>
  <c r="AL79" i="115"/>
  <c r="AM79" i="115"/>
  <c r="AN79" i="115"/>
  <c r="AO79" i="115"/>
  <c r="AP79" i="115"/>
  <c r="AQ79" i="115"/>
  <c r="AR79" i="115"/>
  <c r="AS79" i="115"/>
  <c r="AT79" i="115"/>
  <c r="AU79" i="115"/>
  <c r="AV79" i="115"/>
  <c r="AW79" i="115"/>
  <c r="AX79" i="115"/>
  <c r="AY79" i="115"/>
  <c r="AZ79" i="115"/>
  <c r="BA79" i="115"/>
  <c r="BB79" i="115"/>
  <c r="BC79" i="115"/>
  <c r="BD79" i="115"/>
  <c r="BE79" i="115"/>
  <c r="BF79" i="115"/>
  <c r="BG79" i="115"/>
  <c r="BH79" i="115"/>
  <c r="BI79" i="115"/>
  <c r="BJ79" i="115"/>
  <c r="BK79" i="115"/>
  <c r="BL79" i="115"/>
  <c r="BM79" i="115"/>
  <c r="BN79" i="115"/>
  <c r="BO79" i="115"/>
  <c r="BP79" i="115"/>
  <c r="BQ79" i="115"/>
  <c r="BR79" i="115"/>
  <c r="BS79" i="115"/>
  <c r="BT79" i="115"/>
  <c r="BU79" i="115"/>
  <c r="BV79" i="115"/>
  <c r="BW79" i="115"/>
  <c r="BX79" i="115"/>
  <c r="R80" i="115"/>
  <c r="S80" i="115"/>
  <c r="T80" i="115"/>
  <c r="U80" i="115"/>
  <c r="V80" i="115"/>
  <c r="W80" i="115"/>
  <c r="X80" i="115"/>
  <c r="Y80" i="115"/>
  <c r="Z80" i="115"/>
  <c r="AA80" i="115"/>
  <c r="AB80" i="115"/>
  <c r="AC80" i="115"/>
  <c r="AD80" i="115"/>
  <c r="AE80" i="115"/>
  <c r="AF80" i="115"/>
  <c r="AG80" i="115"/>
  <c r="AH80" i="115"/>
  <c r="AI80" i="115"/>
  <c r="AJ80" i="115"/>
  <c r="AK80" i="115"/>
  <c r="AL80" i="115"/>
  <c r="AM80" i="115"/>
  <c r="AN80" i="115"/>
  <c r="AO80" i="115"/>
  <c r="AP80" i="115"/>
  <c r="AQ80" i="115"/>
  <c r="AR80" i="115"/>
  <c r="AS80" i="115"/>
  <c r="AT80" i="115"/>
  <c r="AU80" i="115"/>
  <c r="AV80" i="115"/>
  <c r="AW80" i="115"/>
  <c r="AX80" i="115"/>
  <c r="AY80" i="115"/>
  <c r="AZ80" i="115"/>
  <c r="BA80" i="115"/>
  <c r="BB80" i="115"/>
  <c r="BC80" i="115"/>
  <c r="BD80" i="115"/>
  <c r="BE80" i="115"/>
  <c r="BF80" i="115"/>
  <c r="BG80" i="115"/>
  <c r="BH80" i="115"/>
  <c r="BI80" i="115"/>
  <c r="BJ80" i="115"/>
  <c r="BK80" i="115"/>
  <c r="BL80" i="115"/>
  <c r="BM80" i="115"/>
  <c r="BN80" i="115"/>
  <c r="BO80" i="115"/>
  <c r="BP80" i="115"/>
  <c r="BQ80" i="115"/>
  <c r="BR80" i="115"/>
  <c r="BS80" i="115"/>
  <c r="BT80" i="115"/>
  <c r="BU80" i="115"/>
  <c r="BV80" i="115"/>
  <c r="BW80" i="115"/>
  <c r="BX80" i="115"/>
  <c r="R81" i="115"/>
  <c r="S81" i="115"/>
  <c r="T81" i="115"/>
  <c r="U81" i="115"/>
  <c r="V81" i="115"/>
  <c r="W81" i="115"/>
  <c r="X81" i="115"/>
  <c r="Y81" i="115"/>
  <c r="Z81" i="115"/>
  <c r="AA81" i="115"/>
  <c r="AB81" i="115"/>
  <c r="AC81" i="115"/>
  <c r="AD81" i="115"/>
  <c r="AE81" i="115"/>
  <c r="AF81" i="115"/>
  <c r="AG81" i="115"/>
  <c r="AH81" i="115"/>
  <c r="AI81" i="115"/>
  <c r="AJ81" i="115"/>
  <c r="AK81" i="115"/>
  <c r="AL81" i="115"/>
  <c r="AM81" i="115"/>
  <c r="AN81" i="115"/>
  <c r="AO81" i="115"/>
  <c r="AP81" i="115"/>
  <c r="AQ81" i="115"/>
  <c r="AR81" i="115"/>
  <c r="AS81" i="115"/>
  <c r="AT81" i="115"/>
  <c r="AU81" i="115"/>
  <c r="AV81" i="115"/>
  <c r="AW81" i="115"/>
  <c r="AX81" i="115"/>
  <c r="AY81" i="115"/>
  <c r="AZ81" i="115"/>
  <c r="BA81" i="115"/>
  <c r="BB81" i="115"/>
  <c r="BC81" i="115"/>
  <c r="BD81" i="115"/>
  <c r="BE81" i="115"/>
  <c r="BF81" i="115"/>
  <c r="BG81" i="115"/>
  <c r="BH81" i="115"/>
  <c r="BI81" i="115"/>
  <c r="BJ81" i="115"/>
  <c r="BK81" i="115"/>
  <c r="BL81" i="115"/>
  <c r="BM81" i="115"/>
  <c r="BN81" i="115"/>
  <c r="BO81" i="115"/>
  <c r="BP81" i="115"/>
  <c r="BQ81" i="115"/>
  <c r="BR81" i="115"/>
  <c r="BS81" i="115"/>
  <c r="BT81" i="115"/>
  <c r="BU81" i="115"/>
  <c r="BV81" i="115"/>
  <c r="BW81" i="115"/>
  <c r="BX81" i="115"/>
  <c r="R82" i="115"/>
  <c r="S82" i="115"/>
  <c r="T82" i="115"/>
  <c r="U82" i="115"/>
  <c r="V82" i="115"/>
  <c r="W82" i="115"/>
  <c r="X82" i="115"/>
  <c r="Y82" i="115"/>
  <c r="Z82" i="115"/>
  <c r="AA82" i="115"/>
  <c r="AB82" i="115"/>
  <c r="AC82" i="115"/>
  <c r="AD82" i="115"/>
  <c r="AE82" i="115"/>
  <c r="AF82" i="115"/>
  <c r="AG82" i="115"/>
  <c r="AH82" i="115"/>
  <c r="AI82" i="115"/>
  <c r="AJ82" i="115"/>
  <c r="AK82" i="115"/>
  <c r="AL82" i="115"/>
  <c r="AM82" i="115"/>
  <c r="AN82" i="115"/>
  <c r="AO82" i="115"/>
  <c r="AP82" i="115"/>
  <c r="AQ82" i="115"/>
  <c r="AR82" i="115"/>
  <c r="AS82" i="115"/>
  <c r="AT82" i="115"/>
  <c r="AU82" i="115"/>
  <c r="AV82" i="115"/>
  <c r="AW82" i="115"/>
  <c r="AX82" i="115"/>
  <c r="AY82" i="115"/>
  <c r="AZ82" i="115"/>
  <c r="BA82" i="115"/>
  <c r="BB82" i="115"/>
  <c r="BC82" i="115"/>
  <c r="BD82" i="115"/>
  <c r="BE82" i="115"/>
  <c r="BF82" i="115"/>
  <c r="BG82" i="115"/>
  <c r="BH82" i="115"/>
  <c r="BI82" i="115"/>
  <c r="BJ82" i="115"/>
  <c r="BK82" i="115"/>
  <c r="BL82" i="115"/>
  <c r="BM82" i="115"/>
  <c r="BN82" i="115"/>
  <c r="BO82" i="115"/>
  <c r="BP82" i="115"/>
  <c r="BQ82" i="115"/>
  <c r="BR82" i="115"/>
  <c r="BS82" i="115"/>
  <c r="BT82" i="115"/>
  <c r="BU82" i="115"/>
  <c r="BV82" i="115"/>
  <c r="BW82" i="115"/>
  <c r="BX82" i="115"/>
  <c r="R83" i="115"/>
  <c r="S83" i="115"/>
  <c r="T83" i="115"/>
  <c r="U83" i="115"/>
  <c r="V83" i="115"/>
  <c r="W83" i="115"/>
  <c r="X83" i="115"/>
  <c r="Y83" i="115"/>
  <c r="Z83" i="115"/>
  <c r="AA83" i="115"/>
  <c r="AB83" i="115"/>
  <c r="AC83" i="115"/>
  <c r="AD83" i="115"/>
  <c r="AE83" i="115"/>
  <c r="AF83" i="115"/>
  <c r="AG83" i="115"/>
  <c r="AH83" i="115"/>
  <c r="AI83" i="115"/>
  <c r="AJ83" i="115"/>
  <c r="AK83" i="115"/>
  <c r="AL83" i="115"/>
  <c r="AM83" i="115"/>
  <c r="AN83" i="115"/>
  <c r="AO83" i="115"/>
  <c r="AP83" i="115"/>
  <c r="AQ83" i="115"/>
  <c r="AR83" i="115"/>
  <c r="AS83" i="115"/>
  <c r="AT83" i="115"/>
  <c r="AU83" i="115"/>
  <c r="AV83" i="115"/>
  <c r="AW83" i="115"/>
  <c r="AX83" i="115"/>
  <c r="AY83" i="115"/>
  <c r="AZ83" i="115"/>
  <c r="BA83" i="115"/>
  <c r="BB83" i="115"/>
  <c r="BC83" i="115"/>
  <c r="BD83" i="115"/>
  <c r="BE83" i="115"/>
  <c r="BF83" i="115"/>
  <c r="BG83" i="115"/>
  <c r="BH83" i="115"/>
  <c r="BI83" i="115"/>
  <c r="BJ83" i="115"/>
  <c r="BK83" i="115"/>
  <c r="BL83" i="115"/>
  <c r="BM83" i="115"/>
  <c r="BN83" i="115"/>
  <c r="BO83" i="115"/>
  <c r="BP83" i="115"/>
  <c r="BQ83" i="115"/>
  <c r="BR83" i="115"/>
  <c r="BS83" i="115"/>
  <c r="BT83" i="115"/>
  <c r="BU83" i="115"/>
  <c r="BV83" i="115"/>
  <c r="BW83" i="115"/>
  <c r="BX83" i="115"/>
  <c r="R84" i="115"/>
  <c r="S84" i="115"/>
  <c r="T84" i="115"/>
  <c r="U84" i="115"/>
  <c r="V84" i="115"/>
  <c r="W84" i="115"/>
  <c r="X84" i="115"/>
  <c r="Y84" i="115"/>
  <c r="Z84" i="115"/>
  <c r="AA84" i="115"/>
  <c r="AB84" i="115"/>
  <c r="AC84" i="115"/>
  <c r="AD84" i="115"/>
  <c r="AE84" i="115"/>
  <c r="AF84" i="115"/>
  <c r="AG84" i="115"/>
  <c r="AH84" i="115"/>
  <c r="AI84" i="115"/>
  <c r="AJ84" i="115"/>
  <c r="AK84" i="115"/>
  <c r="AL84" i="115"/>
  <c r="AM84" i="115"/>
  <c r="AN84" i="115"/>
  <c r="AO84" i="115"/>
  <c r="AP84" i="115"/>
  <c r="AQ84" i="115"/>
  <c r="AR84" i="115"/>
  <c r="AS84" i="115"/>
  <c r="AT84" i="115"/>
  <c r="AU84" i="115"/>
  <c r="AV84" i="115"/>
  <c r="AW84" i="115"/>
  <c r="AX84" i="115"/>
  <c r="AY84" i="115"/>
  <c r="AZ84" i="115"/>
  <c r="BA84" i="115"/>
  <c r="BB84" i="115"/>
  <c r="BC84" i="115"/>
  <c r="BD84" i="115"/>
  <c r="BE84" i="115"/>
  <c r="BF84" i="115"/>
  <c r="BG84" i="115"/>
  <c r="BH84" i="115"/>
  <c r="BI84" i="115"/>
  <c r="BJ84" i="115"/>
  <c r="BK84" i="115"/>
  <c r="BL84" i="115"/>
  <c r="BM84" i="115"/>
  <c r="BN84" i="115"/>
  <c r="BO84" i="115"/>
  <c r="BP84" i="115"/>
  <c r="BQ84" i="115"/>
  <c r="BR84" i="115"/>
  <c r="BS84" i="115"/>
  <c r="BT84" i="115"/>
  <c r="BU84" i="115"/>
  <c r="BV84" i="115"/>
  <c r="BW84" i="115"/>
  <c r="BX84" i="115"/>
  <c r="R85" i="115"/>
  <c r="S85" i="115"/>
  <c r="T85" i="115"/>
  <c r="U85" i="115"/>
  <c r="V85" i="115"/>
  <c r="W85" i="115"/>
  <c r="X85" i="115"/>
  <c r="Y85" i="115"/>
  <c r="Z85" i="115"/>
  <c r="AA85" i="115"/>
  <c r="AB85" i="115"/>
  <c r="AC85" i="115"/>
  <c r="AD85" i="115"/>
  <c r="AE85" i="115"/>
  <c r="AF85" i="115"/>
  <c r="AG85" i="115"/>
  <c r="AH85" i="115"/>
  <c r="AI85" i="115"/>
  <c r="AJ85" i="115"/>
  <c r="AK85" i="115"/>
  <c r="AL85" i="115"/>
  <c r="AM85" i="115"/>
  <c r="AN85" i="115"/>
  <c r="AO85" i="115"/>
  <c r="AP85" i="115"/>
  <c r="AQ85" i="115"/>
  <c r="AR85" i="115"/>
  <c r="AS85" i="115"/>
  <c r="AT85" i="115"/>
  <c r="AU85" i="115"/>
  <c r="AV85" i="115"/>
  <c r="AW85" i="115"/>
  <c r="AX85" i="115"/>
  <c r="AY85" i="115"/>
  <c r="AZ85" i="115"/>
  <c r="BA85" i="115"/>
  <c r="BB85" i="115"/>
  <c r="BC85" i="115"/>
  <c r="BD85" i="115"/>
  <c r="BE85" i="115"/>
  <c r="BF85" i="115"/>
  <c r="BG85" i="115"/>
  <c r="BH85" i="115"/>
  <c r="BI85" i="115"/>
  <c r="BJ85" i="115"/>
  <c r="BK85" i="115"/>
  <c r="BL85" i="115"/>
  <c r="BM85" i="115"/>
  <c r="BN85" i="115"/>
  <c r="BO85" i="115"/>
  <c r="BP85" i="115"/>
  <c r="BQ85" i="115"/>
  <c r="BR85" i="115"/>
  <c r="BS85" i="115"/>
  <c r="BT85" i="115"/>
  <c r="BU85" i="115"/>
  <c r="BV85" i="115"/>
  <c r="BW85" i="115"/>
  <c r="BX85" i="115"/>
  <c r="R86" i="115"/>
  <c r="S86" i="115"/>
  <c r="T86" i="115"/>
  <c r="U86" i="115"/>
  <c r="V86" i="115"/>
  <c r="W86" i="115"/>
  <c r="X86" i="115"/>
  <c r="Y86" i="115"/>
  <c r="Z86" i="115"/>
  <c r="AA86" i="115"/>
  <c r="AB86" i="115"/>
  <c r="AC86" i="115"/>
  <c r="AD86" i="115"/>
  <c r="AE86" i="115"/>
  <c r="AF86" i="115"/>
  <c r="AG86" i="115"/>
  <c r="AH86" i="115"/>
  <c r="AI86" i="115"/>
  <c r="AJ86" i="115"/>
  <c r="AK86" i="115"/>
  <c r="AL86" i="115"/>
  <c r="AM86" i="115"/>
  <c r="AN86" i="115"/>
  <c r="AO86" i="115"/>
  <c r="AP86" i="115"/>
  <c r="AQ86" i="115"/>
  <c r="AR86" i="115"/>
  <c r="AS86" i="115"/>
  <c r="AT86" i="115"/>
  <c r="AU86" i="115"/>
  <c r="AV86" i="115"/>
  <c r="AW86" i="115"/>
  <c r="AX86" i="115"/>
  <c r="AY86" i="115"/>
  <c r="AZ86" i="115"/>
  <c r="BA86" i="115"/>
  <c r="BB86" i="115"/>
  <c r="BC86" i="115"/>
  <c r="BD86" i="115"/>
  <c r="BE86" i="115"/>
  <c r="BF86" i="115"/>
  <c r="BG86" i="115"/>
  <c r="BH86" i="115"/>
  <c r="BI86" i="115"/>
  <c r="BJ86" i="115"/>
  <c r="BK86" i="115"/>
  <c r="BL86" i="115"/>
  <c r="BM86" i="115"/>
  <c r="BN86" i="115"/>
  <c r="BO86" i="115"/>
  <c r="BP86" i="115"/>
  <c r="BQ86" i="115"/>
  <c r="BR86" i="115"/>
  <c r="BS86" i="115"/>
  <c r="BT86" i="115"/>
  <c r="BU86" i="115"/>
  <c r="BV86" i="115"/>
  <c r="BW86" i="115"/>
  <c r="BX86" i="115"/>
  <c r="R87" i="115"/>
  <c r="S87" i="115"/>
  <c r="T87" i="115"/>
  <c r="U87" i="115"/>
  <c r="V87" i="115"/>
  <c r="W87" i="115"/>
  <c r="X87" i="115"/>
  <c r="Y87" i="115"/>
  <c r="Z87" i="115"/>
  <c r="AA87" i="115"/>
  <c r="AB87" i="115"/>
  <c r="AC87" i="115"/>
  <c r="AD87" i="115"/>
  <c r="AE87" i="115"/>
  <c r="AF87" i="115"/>
  <c r="AG87" i="115"/>
  <c r="AH87" i="115"/>
  <c r="AI87" i="115"/>
  <c r="AJ87" i="115"/>
  <c r="AK87" i="115"/>
  <c r="AL87" i="115"/>
  <c r="AM87" i="115"/>
  <c r="AN87" i="115"/>
  <c r="AO87" i="115"/>
  <c r="AP87" i="115"/>
  <c r="AQ87" i="115"/>
  <c r="AR87" i="115"/>
  <c r="AS87" i="115"/>
  <c r="AT87" i="115"/>
  <c r="AU87" i="115"/>
  <c r="AV87" i="115"/>
  <c r="AW87" i="115"/>
  <c r="AX87" i="115"/>
  <c r="AY87" i="115"/>
  <c r="AZ87" i="115"/>
  <c r="BA87" i="115"/>
  <c r="BB87" i="115"/>
  <c r="BC87" i="115"/>
  <c r="BD87" i="115"/>
  <c r="BE87" i="115"/>
  <c r="BF87" i="115"/>
  <c r="BG87" i="115"/>
  <c r="BH87" i="115"/>
  <c r="BI87" i="115"/>
  <c r="BJ87" i="115"/>
  <c r="BK87" i="115"/>
  <c r="BL87" i="115"/>
  <c r="BM87" i="115"/>
  <c r="BN87" i="115"/>
  <c r="BO87" i="115"/>
  <c r="BP87" i="115"/>
  <c r="BQ87" i="115"/>
  <c r="BR87" i="115"/>
  <c r="BS87" i="115"/>
  <c r="BT87" i="115"/>
  <c r="BU87" i="115"/>
  <c r="BV87" i="115"/>
  <c r="BW87" i="115"/>
  <c r="BX87" i="115"/>
  <c r="R88" i="115"/>
  <c r="S88" i="115"/>
  <c r="T88" i="115"/>
  <c r="U88" i="115"/>
  <c r="V88" i="115"/>
  <c r="W88" i="115"/>
  <c r="X88" i="115"/>
  <c r="Y88" i="115"/>
  <c r="Z88" i="115"/>
  <c r="AA88" i="115"/>
  <c r="AB88" i="115"/>
  <c r="AC88" i="115"/>
  <c r="AD88" i="115"/>
  <c r="AE88" i="115"/>
  <c r="AF88" i="115"/>
  <c r="AG88" i="115"/>
  <c r="AH88" i="115"/>
  <c r="AI88" i="115"/>
  <c r="AJ88" i="115"/>
  <c r="AK88" i="115"/>
  <c r="AL88" i="115"/>
  <c r="AM88" i="115"/>
  <c r="AN88" i="115"/>
  <c r="AO88" i="115"/>
  <c r="AP88" i="115"/>
  <c r="AQ88" i="115"/>
  <c r="AR88" i="115"/>
  <c r="AS88" i="115"/>
  <c r="AT88" i="115"/>
  <c r="AU88" i="115"/>
  <c r="AV88" i="115"/>
  <c r="AW88" i="115"/>
  <c r="AX88" i="115"/>
  <c r="AY88" i="115"/>
  <c r="AZ88" i="115"/>
  <c r="BA88" i="115"/>
  <c r="BB88" i="115"/>
  <c r="BC88" i="115"/>
  <c r="BD88" i="115"/>
  <c r="BE88" i="115"/>
  <c r="BF88" i="115"/>
  <c r="BG88" i="115"/>
  <c r="BH88" i="115"/>
  <c r="BI88" i="115"/>
  <c r="BJ88" i="115"/>
  <c r="BK88" i="115"/>
  <c r="BL88" i="115"/>
  <c r="BM88" i="115"/>
  <c r="BN88" i="115"/>
  <c r="BO88" i="115"/>
  <c r="BP88" i="115"/>
  <c r="BQ88" i="115"/>
  <c r="BR88" i="115"/>
  <c r="BS88" i="115"/>
  <c r="BT88" i="115"/>
  <c r="BU88" i="115"/>
  <c r="BV88" i="115"/>
  <c r="BW88" i="115"/>
  <c r="BX88" i="115"/>
  <c r="Q3" i="115"/>
  <c r="Q4" i="115"/>
  <c r="Q5" i="115"/>
  <c r="Q6" i="115"/>
  <c r="Q7" i="115"/>
  <c r="Q8" i="115"/>
  <c r="Q9" i="115"/>
  <c r="Q10" i="115"/>
  <c r="Q11" i="115"/>
  <c r="Q12" i="115"/>
  <c r="Q13" i="115"/>
  <c r="Q14" i="115"/>
  <c r="Q15" i="115"/>
  <c r="Q16" i="115"/>
  <c r="Q17" i="115"/>
  <c r="Q18" i="115"/>
  <c r="Q19" i="115"/>
  <c r="Q20" i="115"/>
  <c r="Q21" i="115"/>
  <c r="Q22" i="115"/>
  <c r="Q23" i="115"/>
  <c r="Q24" i="115"/>
  <c r="Q25" i="115"/>
  <c r="Q26" i="115"/>
  <c r="Q27" i="115"/>
  <c r="Q28" i="115"/>
  <c r="Q29" i="115"/>
  <c r="Q30" i="115"/>
  <c r="Q31" i="115"/>
  <c r="Q32" i="115"/>
  <c r="Q33" i="115"/>
  <c r="Q34" i="115"/>
  <c r="Q35" i="115"/>
  <c r="Q36" i="115"/>
  <c r="Q37" i="115"/>
  <c r="Q38" i="115"/>
  <c r="Q39" i="115"/>
  <c r="Q40" i="115"/>
  <c r="Q41" i="115"/>
  <c r="Q42" i="115"/>
  <c r="Q43" i="115"/>
  <c r="Q47" i="115"/>
  <c r="Q48" i="115"/>
  <c r="Q49" i="115"/>
  <c r="Q50" i="115"/>
  <c r="Q51" i="115"/>
  <c r="Q52" i="115"/>
  <c r="Q53" i="115"/>
  <c r="Q54" i="115"/>
  <c r="Q55" i="115"/>
  <c r="Q56" i="115"/>
  <c r="Q57" i="115"/>
  <c r="Q58" i="115"/>
  <c r="Q59" i="115"/>
  <c r="Q60" i="115"/>
  <c r="Q61" i="115"/>
  <c r="Q62" i="115"/>
  <c r="Q63" i="115"/>
  <c r="Q64" i="115"/>
  <c r="Q65" i="115"/>
  <c r="Q66" i="115"/>
  <c r="Q67" i="115"/>
  <c r="Q68" i="115"/>
  <c r="Q69" i="115"/>
  <c r="Q70" i="115"/>
  <c r="Q71" i="115"/>
  <c r="Q72" i="115"/>
  <c r="Q73" i="115"/>
  <c r="Q74" i="115"/>
  <c r="Q75" i="115"/>
  <c r="Q76" i="115"/>
  <c r="Q77" i="115"/>
  <c r="Q78" i="115"/>
  <c r="Q79" i="115"/>
  <c r="Q80" i="115"/>
  <c r="Q81" i="115"/>
  <c r="Q82" i="115"/>
  <c r="Q83" i="115"/>
  <c r="Q84" i="115"/>
  <c r="Q85" i="115"/>
  <c r="Q86" i="115"/>
  <c r="Q87" i="115"/>
  <c r="Q88" i="115"/>
  <c r="Q2" i="115"/>
  <c r="DA99" i="118"/>
  <c r="DB99" i="118"/>
  <c r="DC99" i="118"/>
  <c r="DD99" i="118"/>
  <c r="DE99" i="118"/>
  <c r="DF99" i="118"/>
  <c r="DG99" i="118"/>
  <c r="DH99" i="118"/>
  <c r="DI99" i="118"/>
  <c r="DJ99" i="118"/>
  <c r="DK99" i="118"/>
  <c r="DL99" i="118"/>
  <c r="DM99" i="118"/>
  <c r="DN99" i="118"/>
  <c r="DO99" i="118"/>
  <c r="DP99" i="118"/>
  <c r="DQ99" i="118"/>
  <c r="DR99" i="118"/>
  <c r="DS99" i="118"/>
  <c r="DT99" i="118"/>
  <c r="DU99" i="118"/>
  <c r="DV99" i="118"/>
  <c r="DW99" i="118"/>
  <c r="DX99" i="118"/>
  <c r="DY99" i="118"/>
  <c r="DZ99" i="118"/>
  <c r="EA99" i="118"/>
  <c r="EB99" i="118"/>
  <c r="EC99" i="118"/>
  <c r="ED99" i="118"/>
  <c r="EE99" i="118"/>
  <c r="EF99" i="118"/>
  <c r="EG99" i="118"/>
  <c r="EH99" i="118"/>
  <c r="EI99" i="118"/>
  <c r="EJ99" i="118"/>
  <c r="EK99" i="118"/>
  <c r="EL99" i="118"/>
  <c r="EM99" i="118"/>
  <c r="EN99" i="118"/>
  <c r="EO99" i="118"/>
  <c r="EP99" i="118"/>
  <c r="EQ99" i="118"/>
  <c r="ER99" i="118"/>
  <c r="ES99" i="118"/>
  <c r="ET99" i="118"/>
  <c r="EU99" i="118"/>
  <c r="EV99" i="118"/>
  <c r="EW99" i="118"/>
  <c r="EX99" i="118"/>
  <c r="EY99" i="118"/>
  <c r="EZ99" i="118"/>
  <c r="FA99" i="118"/>
  <c r="FB99" i="118"/>
  <c r="FC99" i="118"/>
  <c r="FD99" i="118"/>
  <c r="FE99" i="118"/>
  <c r="FF99" i="118"/>
  <c r="FG99" i="118"/>
  <c r="FH99" i="118"/>
  <c r="FI99" i="118"/>
  <c r="FJ99" i="118"/>
  <c r="FK99" i="118"/>
  <c r="FL99" i="118"/>
  <c r="FM99" i="118"/>
  <c r="FN99" i="118"/>
  <c r="FO99" i="118"/>
  <c r="FP99" i="118"/>
  <c r="FQ99" i="118"/>
  <c r="FR99" i="118"/>
  <c r="FS99" i="118"/>
  <c r="FT99" i="118"/>
  <c r="FU99" i="118"/>
  <c r="FV99" i="118"/>
  <c r="FW99" i="118"/>
  <c r="FX99" i="118"/>
  <c r="FY99" i="118"/>
  <c r="FZ99" i="118"/>
  <c r="GA99" i="118"/>
  <c r="GB99" i="118"/>
  <c r="GC99" i="118"/>
  <c r="GD99" i="118"/>
  <c r="GE99" i="118"/>
  <c r="GF99" i="118"/>
  <c r="GG99" i="118"/>
  <c r="GH99" i="118"/>
  <c r="GI99" i="118"/>
  <c r="GJ99" i="118"/>
  <c r="GK99" i="118"/>
  <c r="GL99" i="118"/>
  <c r="GM99" i="118"/>
  <c r="GN99" i="118"/>
  <c r="GO99" i="118"/>
  <c r="GP99" i="118"/>
  <c r="GQ99" i="118"/>
  <c r="GR99" i="118"/>
  <c r="GS99" i="118"/>
  <c r="GT99" i="118"/>
  <c r="GU99" i="118"/>
  <c r="GV99" i="118"/>
  <c r="GW99" i="118"/>
  <c r="GX99" i="118"/>
  <c r="GY99" i="118"/>
  <c r="GZ99" i="118"/>
  <c r="HA99" i="118"/>
  <c r="HB99" i="118"/>
  <c r="HC99" i="118"/>
  <c r="HD99" i="118"/>
  <c r="HE99" i="118"/>
  <c r="HF99" i="118"/>
  <c r="HG99" i="118"/>
  <c r="HH99" i="118"/>
  <c r="HI99" i="118"/>
  <c r="HJ99" i="118"/>
  <c r="HK99" i="118"/>
  <c r="HL99" i="118"/>
  <c r="HM99" i="118"/>
  <c r="HN99" i="118"/>
  <c r="HO99" i="118"/>
  <c r="HP99" i="118"/>
  <c r="HQ99" i="118"/>
  <c r="HR99" i="118"/>
  <c r="HS99" i="118"/>
  <c r="HT99" i="118"/>
  <c r="HU99" i="118"/>
  <c r="HV99" i="118"/>
  <c r="HW99" i="118"/>
  <c r="HX99" i="118"/>
  <c r="HY99" i="118"/>
  <c r="HZ99" i="118"/>
  <c r="IA99" i="118"/>
  <c r="IB99" i="118"/>
  <c r="IC99" i="118"/>
  <c r="ID99" i="118"/>
  <c r="IE99" i="118"/>
  <c r="IF99" i="118"/>
  <c r="IG99" i="118"/>
  <c r="IH99" i="118"/>
  <c r="II99" i="118"/>
  <c r="IJ99" i="118"/>
  <c r="IK99" i="118"/>
  <c r="IL99" i="118"/>
  <c r="IM99" i="118"/>
  <c r="IN99" i="118"/>
  <c r="IO99" i="118"/>
  <c r="IP99" i="118"/>
  <c r="IQ99" i="118"/>
  <c r="IR99" i="118"/>
  <c r="IS99" i="118"/>
  <c r="IT99" i="118"/>
  <c r="IU99" i="118"/>
  <c r="IV99" i="118"/>
  <c r="IW99" i="118"/>
  <c r="IX99" i="118"/>
  <c r="IY99" i="118"/>
  <c r="IZ99" i="118"/>
  <c r="JA99" i="118"/>
  <c r="JB99" i="118"/>
  <c r="JC99" i="118"/>
  <c r="JD99" i="118"/>
  <c r="JE99" i="118"/>
  <c r="JF99" i="118"/>
  <c r="JG99" i="118"/>
  <c r="JH99" i="118"/>
  <c r="JI99" i="118"/>
  <c r="JJ99" i="118"/>
  <c r="JK99" i="118"/>
  <c r="JL99" i="118"/>
  <c r="JM99" i="118"/>
  <c r="JN99" i="118"/>
  <c r="JO99" i="118"/>
  <c r="JP99" i="118"/>
  <c r="JQ99" i="118"/>
  <c r="JR99" i="118"/>
  <c r="JS99" i="118"/>
  <c r="JT99" i="118"/>
  <c r="JU99" i="118"/>
  <c r="JV99" i="118"/>
  <c r="JW99" i="118"/>
  <c r="JX99" i="118"/>
  <c r="JY99" i="118"/>
  <c r="JZ99" i="118"/>
  <c r="KA99" i="118"/>
  <c r="KB99" i="118"/>
  <c r="KC99" i="118"/>
  <c r="KD99" i="118"/>
  <c r="KE99" i="118"/>
  <c r="KF99" i="118"/>
  <c r="KG99" i="118"/>
  <c r="KH99" i="118"/>
  <c r="KI99" i="118"/>
  <c r="KJ99" i="118"/>
  <c r="KK99" i="118"/>
  <c r="KL99" i="118"/>
  <c r="KM99" i="118"/>
  <c r="KN99" i="118"/>
  <c r="KO99" i="118"/>
  <c r="KP99" i="118"/>
  <c r="KQ99" i="118"/>
  <c r="KR99" i="118"/>
  <c r="KS99" i="118"/>
  <c r="KT99" i="118"/>
  <c r="KU99" i="118"/>
  <c r="KV99" i="118"/>
  <c r="KW99" i="118"/>
  <c r="KX99" i="118"/>
  <c r="KY99" i="118"/>
  <c r="KZ99" i="118"/>
  <c r="LA99" i="118"/>
  <c r="LB99" i="118"/>
  <c r="LC99" i="118"/>
  <c r="LD99" i="118"/>
  <c r="LE99" i="118"/>
  <c r="LF99" i="118"/>
  <c r="LG99" i="118"/>
  <c r="LH99" i="118"/>
  <c r="LI99" i="118"/>
  <c r="LJ99" i="118"/>
  <c r="LK99" i="118"/>
  <c r="LL99" i="118"/>
  <c r="LM99" i="118"/>
  <c r="LN99" i="118"/>
  <c r="LO99" i="118"/>
  <c r="LP99" i="118"/>
  <c r="LQ99" i="118"/>
  <c r="LR99" i="118"/>
  <c r="LS99" i="118"/>
  <c r="LT99" i="118"/>
  <c r="LU99" i="118"/>
  <c r="LV99" i="118"/>
  <c r="LW99" i="118"/>
  <c r="LX99" i="118"/>
  <c r="LY99" i="118"/>
  <c r="LZ99" i="118"/>
  <c r="MA99" i="118"/>
  <c r="MB99" i="118"/>
  <c r="MC99" i="118"/>
  <c r="MD99" i="118"/>
  <c r="ME99" i="118"/>
  <c r="MF99" i="118"/>
  <c r="MG99" i="118"/>
  <c r="MH99" i="118"/>
  <c r="MI99" i="118"/>
  <c r="MJ99" i="118"/>
  <c r="MK99" i="118"/>
  <c r="ML99" i="118"/>
  <c r="MM99" i="118"/>
  <c r="MN99" i="118"/>
  <c r="MO99" i="118"/>
  <c r="MP99" i="118"/>
  <c r="MQ99" i="118"/>
  <c r="MR99" i="118"/>
  <c r="MS99" i="118"/>
  <c r="MT99" i="118"/>
  <c r="MU99" i="118"/>
  <c r="MV99" i="118"/>
  <c r="MW99" i="118"/>
  <c r="MX99" i="118"/>
  <c r="MY99" i="118"/>
  <c r="MZ99" i="118"/>
  <c r="NA99" i="118"/>
  <c r="NB99" i="118"/>
  <c r="NC99" i="118"/>
  <c r="ND99" i="118"/>
  <c r="NE99" i="118"/>
  <c r="NF99" i="118"/>
  <c r="NG99" i="118"/>
  <c r="NH99" i="118"/>
  <c r="NI99" i="118"/>
  <c r="NJ99" i="118"/>
  <c r="NK99" i="118"/>
  <c r="NL99" i="118"/>
  <c r="NM99" i="118"/>
  <c r="NN99" i="118"/>
  <c r="NO99" i="118"/>
  <c r="NP99" i="118"/>
  <c r="NQ99" i="118"/>
  <c r="NR99" i="118"/>
  <c r="NS99" i="118"/>
  <c r="NT99" i="118"/>
  <c r="NU99" i="118"/>
  <c r="NV99" i="118"/>
  <c r="NW99" i="118"/>
  <c r="NX99" i="118"/>
  <c r="NY99" i="118"/>
  <c r="NZ99" i="118"/>
  <c r="OA99" i="118"/>
  <c r="OB99" i="118"/>
  <c r="OC99" i="118"/>
  <c r="OD99" i="118"/>
  <c r="OE99" i="118"/>
  <c r="OF99" i="118"/>
  <c r="OG99" i="118"/>
  <c r="OH99" i="118"/>
  <c r="OI99" i="118"/>
  <c r="OJ99" i="118"/>
  <c r="OK99" i="118"/>
  <c r="OL99" i="118"/>
  <c r="OM99" i="118"/>
  <c r="ON99" i="118"/>
  <c r="OO99" i="118"/>
  <c r="OP99" i="118"/>
  <c r="OQ99" i="118"/>
  <c r="OR99" i="118"/>
  <c r="OS99" i="118"/>
  <c r="OT99" i="118"/>
  <c r="OU99" i="118"/>
  <c r="OV99" i="118"/>
  <c r="OW99" i="118"/>
  <c r="OX99" i="118"/>
  <c r="OY99" i="118"/>
  <c r="OZ99" i="118"/>
  <c r="PA99" i="118"/>
  <c r="PB99" i="118"/>
  <c r="PC99" i="118"/>
  <c r="PD99" i="118"/>
  <c r="PE99" i="118"/>
  <c r="PF99" i="118"/>
  <c r="PG99" i="118"/>
  <c r="PH99" i="118"/>
  <c r="PI99" i="118"/>
  <c r="PJ99" i="118"/>
  <c r="PK99" i="118"/>
  <c r="PL99" i="118"/>
  <c r="PM99" i="118"/>
  <c r="PN99" i="118"/>
  <c r="PO99" i="118"/>
  <c r="PP99" i="118"/>
  <c r="PQ99" i="118"/>
  <c r="PR99" i="118"/>
  <c r="PS99" i="118"/>
  <c r="PT99" i="118"/>
  <c r="PU99" i="118"/>
  <c r="PV99" i="118"/>
  <c r="PW99" i="118"/>
  <c r="PX99" i="118"/>
  <c r="PY99" i="118"/>
  <c r="PZ99" i="118"/>
  <c r="QA99" i="118"/>
  <c r="QB99" i="118"/>
  <c r="QC99" i="118"/>
  <c r="QD99" i="118"/>
  <c r="QE99" i="118"/>
  <c r="QF99" i="118"/>
  <c r="QG99" i="118"/>
  <c r="QH99" i="118"/>
  <c r="QI99" i="118"/>
  <c r="QJ99" i="118"/>
  <c r="QK99" i="118"/>
  <c r="QL99" i="118"/>
  <c r="QM99" i="118"/>
  <c r="QN99" i="118"/>
  <c r="QO99" i="118"/>
  <c r="QP99" i="118"/>
  <c r="QQ99" i="118"/>
  <c r="QR99" i="118"/>
  <c r="QS99" i="118"/>
  <c r="QT99" i="118"/>
  <c r="QU99" i="118"/>
  <c r="QV99" i="118"/>
  <c r="QW99" i="118"/>
  <c r="QX99" i="118"/>
  <c r="QY99" i="118"/>
  <c r="QZ99" i="118"/>
  <c r="RA99" i="118"/>
  <c r="RB99" i="118"/>
  <c r="RC99" i="118"/>
  <c r="RD99" i="118"/>
  <c r="RE99" i="118"/>
  <c r="RF99" i="118"/>
  <c r="RG99" i="118"/>
  <c r="RH99" i="118"/>
  <c r="RI99" i="118"/>
  <c r="RJ99" i="118"/>
  <c r="RK99" i="118"/>
  <c r="RL99" i="118"/>
  <c r="RM99" i="118"/>
  <c r="RN99" i="118"/>
  <c r="RO99" i="118"/>
  <c r="RP99" i="118"/>
  <c r="RQ99" i="118"/>
  <c r="RR99" i="118"/>
  <c r="RS99" i="118"/>
  <c r="RT99" i="118"/>
  <c r="RU99" i="118"/>
  <c r="RV99" i="118"/>
  <c r="RW99" i="118"/>
  <c r="RX99" i="118"/>
  <c r="RY99" i="118"/>
  <c r="RZ99" i="118"/>
  <c r="SA99" i="118"/>
  <c r="SB99" i="118"/>
  <c r="SC99" i="118"/>
  <c r="SD99" i="118"/>
  <c r="SE99" i="118"/>
  <c r="SF99" i="118"/>
  <c r="SG99" i="118"/>
  <c r="SH99" i="118"/>
  <c r="SI99" i="118"/>
  <c r="SJ99" i="118"/>
  <c r="DA10" i="118"/>
  <c r="G102" i="115" s="1"/>
  <c r="DB10" i="118"/>
  <c r="G103" i="115" s="1"/>
  <c r="DC10" i="118"/>
  <c r="G104" i="115" s="1"/>
  <c r="DD10" i="118"/>
  <c r="G105" i="115" s="1"/>
  <c r="DE10" i="118"/>
  <c r="G106" i="115" s="1"/>
  <c r="DF10" i="118"/>
  <c r="G107" i="115" s="1"/>
  <c r="DG10" i="118"/>
  <c r="G108" i="115" s="1"/>
  <c r="DH10" i="118"/>
  <c r="G109" i="115" s="1"/>
  <c r="DI10" i="118"/>
  <c r="G110" i="115" s="1"/>
  <c r="DJ10" i="118"/>
  <c r="G111" i="115" s="1"/>
  <c r="DK10" i="118"/>
  <c r="G112" i="115" s="1"/>
  <c r="DL10" i="118"/>
  <c r="G113" i="115" s="1"/>
  <c r="DM10" i="118"/>
  <c r="G114" i="115" s="1"/>
  <c r="DN10" i="118"/>
  <c r="G115" i="115" s="1"/>
  <c r="DO10" i="118"/>
  <c r="G116" i="115" s="1"/>
  <c r="DP10" i="118"/>
  <c r="G117" i="115" s="1"/>
  <c r="DQ10" i="118"/>
  <c r="G118" i="115" s="1"/>
  <c r="DR10" i="118"/>
  <c r="G119" i="115" s="1"/>
  <c r="DS10" i="118"/>
  <c r="G120" i="115" s="1"/>
  <c r="DT10" i="118"/>
  <c r="G121" i="115" s="1"/>
  <c r="DU10" i="118"/>
  <c r="G122" i="115" s="1"/>
  <c r="DV10" i="118"/>
  <c r="G123" i="115" s="1"/>
  <c r="DW10" i="118"/>
  <c r="G124" i="115" s="1"/>
  <c r="DX10" i="118"/>
  <c r="G125" i="115" s="1"/>
  <c r="DY10" i="118"/>
  <c r="G126" i="115" s="1"/>
  <c r="DZ10" i="118"/>
  <c r="G127" i="115" s="1"/>
  <c r="EA10" i="118"/>
  <c r="G128" i="115" s="1"/>
  <c r="EB10" i="118"/>
  <c r="G129" i="115" s="1"/>
  <c r="EC10" i="118"/>
  <c r="G130" i="115" s="1"/>
  <c r="ED10" i="118"/>
  <c r="G131" i="115" s="1"/>
  <c r="EE10" i="118"/>
  <c r="G132" i="115" s="1"/>
  <c r="EF10" i="118"/>
  <c r="G133" i="115" s="1"/>
  <c r="EG10" i="118"/>
  <c r="G134" i="115" s="1"/>
  <c r="EH10" i="118"/>
  <c r="G135" i="115" s="1"/>
  <c r="EI10" i="118"/>
  <c r="G136" i="115" s="1"/>
  <c r="EJ10" i="118"/>
  <c r="G137" i="115" s="1"/>
  <c r="EK10" i="118"/>
  <c r="G138" i="115" s="1"/>
  <c r="EL10" i="118"/>
  <c r="G139" i="115" s="1"/>
  <c r="EM10" i="118"/>
  <c r="G140" i="115" s="1"/>
  <c r="EN10" i="118"/>
  <c r="G141" i="115" s="1"/>
  <c r="EO10" i="118"/>
  <c r="G142" i="115" s="1"/>
  <c r="EP10" i="118"/>
  <c r="G143" i="115" s="1"/>
  <c r="EQ10" i="118"/>
  <c r="G144" i="115" s="1"/>
  <c r="ER10" i="118"/>
  <c r="G145" i="115" s="1"/>
  <c r="ES10" i="118"/>
  <c r="G146" i="115" s="1"/>
  <c r="ET10" i="118"/>
  <c r="G147" i="115" s="1"/>
  <c r="EU10" i="118"/>
  <c r="G148" i="115" s="1"/>
  <c r="EV10" i="118"/>
  <c r="G149" i="115" s="1"/>
  <c r="EW10" i="118"/>
  <c r="G150" i="115" s="1"/>
  <c r="EX10" i="118"/>
  <c r="G151" i="115" s="1"/>
  <c r="EY10" i="118"/>
  <c r="G152" i="115" s="1"/>
  <c r="EZ10" i="118"/>
  <c r="G153" i="115" s="1"/>
  <c r="FA10" i="118"/>
  <c r="G154" i="115" s="1"/>
  <c r="FB10" i="118"/>
  <c r="G155" i="115" s="1"/>
  <c r="FC10" i="118"/>
  <c r="G156" i="115" s="1"/>
  <c r="FD10" i="118"/>
  <c r="G157" i="115" s="1"/>
  <c r="FE10" i="118"/>
  <c r="G158" i="115" s="1"/>
  <c r="FF10" i="118"/>
  <c r="G159" i="115" s="1"/>
  <c r="FG10" i="118"/>
  <c r="G160" i="115" s="1"/>
  <c r="FH10" i="118"/>
  <c r="G161" i="115" s="1"/>
  <c r="FI10" i="118"/>
  <c r="G162" i="115" s="1"/>
  <c r="FJ10" i="118"/>
  <c r="G163" i="115" s="1"/>
  <c r="FK10" i="118"/>
  <c r="G164" i="115" s="1"/>
  <c r="FL10" i="118"/>
  <c r="G165" i="115" s="1"/>
  <c r="FM10" i="118"/>
  <c r="G166" i="115" s="1"/>
  <c r="FN10" i="118"/>
  <c r="G167" i="115" s="1"/>
  <c r="FO10" i="118"/>
  <c r="G168" i="115" s="1"/>
  <c r="FP10" i="118"/>
  <c r="G169" i="115" s="1"/>
  <c r="FQ10" i="118"/>
  <c r="G170" i="115" s="1"/>
  <c r="FR10" i="118"/>
  <c r="G171" i="115" s="1"/>
  <c r="FS10" i="118"/>
  <c r="G172" i="115" s="1"/>
  <c r="FT10" i="118"/>
  <c r="G173" i="115" s="1"/>
  <c r="FU10" i="118"/>
  <c r="G174" i="115" s="1"/>
  <c r="FV10" i="118"/>
  <c r="G175" i="115" s="1"/>
  <c r="FW10" i="118"/>
  <c r="G176" i="115" s="1"/>
  <c r="FX10" i="118"/>
  <c r="G177" i="115" s="1"/>
  <c r="FY10" i="118"/>
  <c r="G178" i="115" s="1"/>
  <c r="FZ10" i="118"/>
  <c r="G179" i="115" s="1"/>
  <c r="GA10" i="118"/>
  <c r="G180" i="115" s="1"/>
  <c r="GB10" i="118"/>
  <c r="G181" i="115" s="1"/>
  <c r="GC10" i="118"/>
  <c r="G182" i="115" s="1"/>
  <c r="GD10" i="118"/>
  <c r="G183" i="115" s="1"/>
  <c r="GE10" i="118"/>
  <c r="G184" i="115" s="1"/>
  <c r="GF10" i="118"/>
  <c r="G185" i="115" s="1"/>
  <c r="GG10" i="118"/>
  <c r="G186" i="115" s="1"/>
  <c r="GH10" i="118"/>
  <c r="G187" i="115" s="1"/>
  <c r="GI10" i="118"/>
  <c r="G188" i="115" s="1"/>
  <c r="GJ10" i="118"/>
  <c r="G189" i="115" s="1"/>
  <c r="GK10" i="118"/>
  <c r="G190" i="115" s="1"/>
  <c r="GL10" i="118"/>
  <c r="G191" i="115" s="1"/>
  <c r="GM10" i="118"/>
  <c r="G192" i="115" s="1"/>
  <c r="GN10" i="118"/>
  <c r="G193" i="115" s="1"/>
  <c r="GO10" i="118"/>
  <c r="G194" i="115" s="1"/>
  <c r="GP10" i="118"/>
  <c r="G195" i="115" s="1"/>
  <c r="GQ10" i="118"/>
  <c r="G196" i="115" s="1"/>
  <c r="GR10" i="118"/>
  <c r="G197" i="115" s="1"/>
  <c r="GS10" i="118"/>
  <c r="G198" i="115" s="1"/>
  <c r="GT10" i="118"/>
  <c r="G199" i="115" s="1"/>
  <c r="GU10" i="118"/>
  <c r="G200" i="115" s="1"/>
  <c r="GV10" i="118"/>
  <c r="G201" i="115" s="1"/>
  <c r="GW10" i="118"/>
  <c r="G202" i="115" s="1"/>
  <c r="GX10" i="118"/>
  <c r="G203" i="115" s="1"/>
  <c r="GY10" i="118"/>
  <c r="G204" i="115" s="1"/>
  <c r="GZ10" i="118"/>
  <c r="G205" i="115" s="1"/>
  <c r="HA10" i="118"/>
  <c r="G206" i="115" s="1"/>
  <c r="HB10" i="118"/>
  <c r="G207" i="115" s="1"/>
  <c r="HC10" i="118"/>
  <c r="G208" i="115" s="1"/>
  <c r="HD10" i="118"/>
  <c r="G209" i="115" s="1"/>
  <c r="HE10" i="118"/>
  <c r="G210" i="115" s="1"/>
  <c r="HF10" i="118"/>
  <c r="G211" i="115" s="1"/>
  <c r="HG10" i="118"/>
  <c r="G212" i="115" s="1"/>
  <c r="HH10" i="118"/>
  <c r="G213" i="115" s="1"/>
  <c r="HI10" i="118"/>
  <c r="G214" i="115" s="1"/>
  <c r="HJ10" i="118"/>
  <c r="G215" i="115" s="1"/>
  <c r="HK10" i="118"/>
  <c r="G216" i="115" s="1"/>
  <c r="HL10" i="118"/>
  <c r="G217" i="115" s="1"/>
  <c r="HM10" i="118"/>
  <c r="G218" i="115" s="1"/>
  <c r="HN10" i="118"/>
  <c r="G219" i="115" s="1"/>
  <c r="HO10" i="118"/>
  <c r="G220" i="115" s="1"/>
  <c r="HP10" i="118"/>
  <c r="G221" i="115" s="1"/>
  <c r="HQ10" i="118"/>
  <c r="G222" i="115" s="1"/>
  <c r="HR10" i="118"/>
  <c r="G223" i="115" s="1"/>
  <c r="HS10" i="118"/>
  <c r="G224" i="115" s="1"/>
  <c r="HT10" i="118"/>
  <c r="G225" i="115" s="1"/>
  <c r="HU10" i="118"/>
  <c r="G226" i="115" s="1"/>
  <c r="HV10" i="118"/>
  <c r="G227" i="115" s="1"/>
  <c r="HW10" i="118"/>
  <c r="G228" i="115" s="1"/>
  <c r="HX10" i="118"/>
  <c r="G229" i="115" s="1"/>
  <c r="HY10" i="118"/>
  <c r="G230" i="115" s="1"/>
  <c r="HZ10" i="118"/>
  <c r="G231" i="115" s="1"/>
  <c r="IA10" i="118"/>
  <c r="G232" i="115" s="1"/>
  <c r="IB10" i="118"/>
  <c r="G233" i="115" s="1"/>
  <c r="IC10" i="118"/>
  <c r="G234" i="115" s="1"/>
  <c r="ID10" i="118"/>
  <c r="G235" i="115" s="1"/>
  <c r="IE10" i="118"/>
  <c r="G236" i="115" s="1"/>
  <c r="IF10" i="118"/>
  <c r="G237" i="115" s="1"/>
  <c r="IG10" i="118"/>
  <c r="G238" i="115" s="1"/>
  <c r="IH10" i="118"/>
  <c r="G239" i="115" s="1"/>
  <c r="II10" i="118"/>
  <c r="G240" i="115" s="1"/>
  <c r="IJ10" i="118"/>
  <c r="G241" i="115" s="1"/>
  <c r="IK10" i="118"/>
  <c r="G242" i="115" s="1"/>
  <c r="IL10" i="118"/>
  <c r="G243" i="115" s="1"/>
  <c r="IM10" i="118"/>
  <c r="G244" i="115" s="1"/>
  <c r="IN10" i="118"/>
  <c r="G245" i="115" s="1"/>
  <c r="IO10" i="118"/>
  <c r="G246" i="115" s="1"/>
  <c r="IP10" i="118"/>
  <c r="G247" i="115" s="1"/>
  <c r="IQ10" i="118"/>
  <c r="G248" i="115" s="1"/>
  <c r="IR10" i="118"/>
  <c r="G249" i="115" s="1"/>
  <c r="IS10" i="118"/>
  <c r="G250" i="115" s="1"/>
  <c r="IT10" i="118"/>
  <c r="G251" i="115" s="1"/>
  <c r="IU10" i="118"/>
  <c r="G252" i="115" s="1"/>
  <c r="IV10" i="118"/>
  <c r="G253" i="115" s="1"/>
  <c r="IW10" i="118"/>
  <c r="G254" i="115" s="1"/>
  <c r="IX10" i="118"/>
  <c r="G255" i="115" s="1"/>
  <c r="IY10" i="118"/>
  <c r="G256" i="115" s="1"/>
  <c r="IZ10" i="118"/>
  <c r="G257" i="115" s="1"/>
  <c r="JA10" i="118"/>
  <c r="G258" i="115" s="1"/>
  <c r="JB10" i="118"/>
  <c r="G259" i="115" s="1"/>
  <c r="JC10" i="118"/>
  <c r="G260" i="115" s="1"/>
  <c r="JD10" i="118"/>
  <c r="G261" i="115" s="1"/>
  <c r="JE10" i="118"/>
  <c r="G262" i="115" s="1"/>
  <c r="JF10" i="118"/>
  <c r="G263" i="115" s="1"/>
  <c r="JG10" i="118"/>
  <c r="G264" i="115" s="1"/>
  <c r="JH10" i="118"/>
  <c r="G265" i="115" s="1"/>
  <c r="JI10" i="118"/>
  <c r="G266" i="115" s="1"/>
  <c r="JJ10" i="118"/>
  <c r="G267" i="115" s="1"/>
  <c r="JK10" i="118"/>
  <c r="G268" i="115" s="1"/>
  <c r="JL10" i="118"/>
  <c r="G269" i="115" s="1"/>
  <c r="JM10" i="118"/>
  <c r="G270" i="115" s="1"/>
  <c r="JN10" i="118"/>
  <c r="G271" i="115" s="1"/>
  <c r="JO10" i="118"/>
  <c r="G272" i="115" s="1"/>
  <c r="JP10" i="118"/>
  <c r="G273" i="115" s="1"/>
  <c r="JQ10" i="118"/>
  <c r="G274" i="115" s="1"/>
  <c r="JR10" i="118"/>
  <c r="G275" i="115" s="1"/>
  <c r="JS10" i="118"/>
  <c r="G276" i="115" s="1"/>
  <c r="JT10" i="118"/>
  <c r="G277" i="115" s="1"/>
  <c r="JU10" i="118"/>
  <c r="G278" i="115" s="1"/>
  <c r="JV10" i="118"/>
  <c r="G279" i="115" s="1"/>
  <c r="JW10" i="118"/>
  <c r="G280" i="115" s="1"/>
  <c r="JX10" i="118"/>
  <c r="G281" i="115" s="1"/>
  <c r="JY10" i="118"/>
  <c r="G282" i="115" s="1"/>
  <c r="JZ10" i="118"/>
  <c r="G283" i="115" s="1"/>
  <c r="KA10" i="118"/>
  <c r="G284" i="115" s="1"/>
  <c r="KB10" i="118"/>
  <c r="G285" i="115" s="1"/>
  <c r="KC10" i="118"/>
  <c r="G286" i="115" s="1"/>
  <c r="KD10" i="118"/>
  <c r="G287" i="115" s="1"/>
  <c r="KE10" i="118"/>
  <c r="G288" i="115" s="1"/>
  <c r="KF10" i="118"/>
  <c r="G289" i="115" s="1"/>
  <c r="KG10" i="118"/>
  <c r="G290" i="115" s="1"/>
  <c r="KH10" i="118"/>
  <c r="G291" i="115" s="1"/>
  <c r="KI10" i="118"/>
  <c r="G292" i="115" s="1"/>
  <c r="KJ10" i="118"/>
  <c r="G293" i="115" s="1"/>
  <c r="KK10" i="118"/>
  <c r="G294" i="115" s="1"/>
  <c r="KL10" i="118"/>
  <c r="G295" i="115" s="1"/>
  <c r="KM10" i="118"/>
  <c r="G296" i="115" s="1"/>
  <c r="KN10" i="118"/>
  <c r="G297" i="115" s="1"/>
  <c r="KO10" i="118"/>
  <c r="G298" i="115" s="1"/>
  <c r="KP10" i="118"/>
  <c r="G299" i="115" s="1"/>
  <c r="KQ10" i="118"/>
  <c r="G300" i="115" s="1"/>
  <c r="KR10" i="118"/>
  <c r="G301" i="115" s="1"/>
  <c r="KS10" i="118"/>
  <c r="G302" i="115" s="1"/>
  <c r="KT10" i="118"/>
  <c r="G303" i="115" s="1"/>
  <c r="KU10" i="118"/>
  <c r="G304" i="115" s="1"/>
  <c r="KV10" i="118"/>
  <c r="G305" i="115" s="1"/>
  <c r="KW10" i="118"/>
  <c r="G306" i="115" s="1"/>
  <c r="KX10" i="118"/>
  <c r="G307" i="115" s="1"/>
  <c r="KY10" i="118"/>
  <c r="G308" i="115" s="1"/>
  <c r="KZ10" i="118"/>
  <c r="G309" i="115" s="1"/>
  <c r="LA10" i="118"/>
  <c r="G310" i="115" s="1"/>
  <c r="LB10" i="118"/>
  <c r="G311" i="115" s="1"/>
  <c r="LC10" i="118"/>
  <c r="G312" i="115" s="1"/>
  <c r="LD10" i="118"/>
  <c r="G313" i="115" s="1"/>
  <c r="LE10" i="118"/>
  <c r="G314" i="115" s="1"/>
  <c r="LF10" i="118"/>
  <c r="G315" i="115" s="1"/>
  <c r="LG10" i="118"/>
  <c r="G316" i="115" s="1"/>
  <c r="LH10" i="118"/>
  <c r="G317" i="115" s="1"/>
  <c r="LI10" i="118"/>
  <c r="G318" i="115" s="1"/>
  <c r="LJ10" i="118"/>
  <c r="G319" i="115" s="1"/>
  <c r="LK10" i="118"/>
  <c r="G320" i="115" s="1"/>
  <c r="LL10" i="118"/>
  <c r="G321" i="115" s="1"/>
  <c r="LM10" i="118"/>
  <c r="G322" i="115" s="1"/>
  <c r="LN10" i="118"/>
  <c r="G323" i="115" s="1"/>
  <c r="LO10" i="118"/>
  <c r="G324" i="115" s="1"/>
  <c r="LP10" i="118"/>
  <c r="G325" i="115" s="1"/>
  <c r="LQ10" i="118"/>
  <c r="G326" i="115" s="1"/>
  <c r="LR10" i="118"/>
  <c r="G327" i="115" s="1"/>
  <c r="LS10" i="118"/>
  <c r="G328" i="115" s="1"/>
  <c r="LT10" i="118"/>
  <c r="G329" i="115" s="1"/>
  <c r="LU10" i="118"/>
  <c r="G330" i="115" s="1"/>
  <c r="LV10" i="118"/>
  <c r="G331" i="115" s="1"/>
  <c r="LW10" i="118"/>
  <c r="G332" i="115" s="1"/>
  <c r="LX10" i="118"/>
  <c r="G333" i="115" s="1"/>
  <c r="LY10" i="118"/>
  <c r="G334" i="115" s="1"/>
  <c r="LZ10" i="118"/>
  <c r="G335" i="115" s="1"/>
  <c r="MA10" i="118"/>
  <c r="G336" i="115" s="1"/>
  <c r="MB10" i="118"/>
  <c r="G337" i="115" s="1"/>
  <c r="MC10" i="118"/>
  <c r="G338" i="115" s="1"/>
  <c r="MD10" i="118"/>
  <c r="G339" i="115" s="1"/>
  <c r="ME10" i="118"/>
  <c r="G340" i="115" s="1"/>
  <c r="MF10" i="118"/>
  <c r="G341" i="115" s="1"/>
  <c r="MG10" i="118"/>
  <c r="G342" i="115" s="1"/>
  <c r="MH10" i="118"/>
  <c r="G343" i="115" s="1"/>
  <c r="MI10" i="118"/>
  <c r="G344" i="115" s="1"/>
  <c r="MJ10" i="118"/>
  <c r="G345" i="115" s="1"/>
  <c r="MK10" i="118"/>
  <c r="G346" i="115" s="1"/>
  <c r="ML10" i="118"/>
  <c r="G347" i="115" s="1"/>
  <c r="MM10" i="118"/>
  <c r="G348" i="115" s="1"/>
  <c r="MN10" i="118"/>
  <c r="G349" i="115" s="1"/>
  <c r="MO10" i="118"/>
  <c r="G350" i="115" s="1"/>
  <c r="MP10" i="118"/>
  <c r="G351" i="115" s="1"/>
  <c r="MQ10" i="118"/>
  <c r="G352" i="115" s="1"/>
  <c r="MR10" i="118"/>
  <c r="G353" i="115" s="1"/>
  <c r="MS10" i="118"/>
  <c r="G354" i="115" s="1"/>
  <c r="MT10" i="118"/>
  <c r="G355" i="115" s="1"/>
  <c r="MU10" i="118"/>
  <c r="G356" i="115" s="1"/>
  <c r="MV10" i="118"/>
  <c r="G357" i="115" s="1"/>
  <c r="MW10" i="118"/>
  <c r="G358" i="115" s="1"/>
  <c r="MX10" i="118"/>
  <c r="G359" i="115" s="1"/>
  <c r="MY10" i="118"/>
  <c r="G360" i="115" s="1"/>
  <c r="MZ10" i="118"/>
  <c r="G361" i="115" s="1"/>
  <c r="NA10" i="118"/>
  <c r="G362" i="115" s="1"/>
  <c r="NB10" i="118"/>
  <c r="G363" i="115" s="1"/>
  <c r="NC10" i="118"/>
  <c r="G364" i="115" s="1"/>
  <c r="ND10" i="118"/>
  <c r="G365" i="115" s="1"/>
  <c r="NE10" i="118"/>
  <c r="G366" i="115" s="1"/>
  <c r="NF10" i="118"/>
  <c r="G367" i="115" s="1"/>
  <c r="NG10" i="118"/>
  <c r="G368" i="115" s="1"/>
  <c r="NH10" i="118"/>
  <c r="G369" i="115" s="1"/>
  <c r="NI10" i="118"/>
  <c r="G370" i="115" s="1"/>
  <c r="NJ10" i="118"/>
  <c r="G371" i="115" s="1"/>
  <c r="NK10" i="118"/>
  <c r="G372" i="115" s="1"/>
  <c r="NL10" i="118"/>
  <c r="G373" i="115" s="1"/>
  <c r="NM10" i="118"/>
  <c r="G374" i="115" s="1"/>
  <c r="NN10" i="118"/>
  <c r="G375" i="115" s="1"/>
  <c r="NO10" i="118"/>
  <c r="G376" i="115" s="1"/>
  <c r="NP10" i="118"/>
  <c r="G377" i="115" s="1"/>
  <c r="NQ10" i="118"/>
  <c r="G378" i="115" s="1"/>
  <c r="NR10" i="118"/>
  <c r="G379" i="115" s="1"/>
  <c r="NS10" i="118"/>
  <c r="G380" i="115" s="1"/>
  <c r="NT10" i="118"/>
  <c r="G381" i="115" s="1"/>
  <c r="NU10" i="118"/>
  <c r="G382" i="115" s="1"/>
  <c r="NV10" i="118"/>
  <c r="G383" i="115" s="1"/>
  <c r="NW10" i="118"/>
  <c r="G384" i="115" s="1"/>
  <c r="NX10" i="118"/>
  <c r="G385" i="115" s="1"/>
  <c r="NY10" i="118"/>
  <c r="G386" i="115" s="1"/>
  <c r="NZ10" i="118"/>
  <c r="G387" i="115" s="1"/>
  <c r="OA10" i="118"/>
  <c r="G388" i="115" s="1"/>
  <c r="OB10" i="118"/>
  <c r="G389" i="115" s="1"/>
  <c r="OC10" i="118"/>
  <c r="G390" i="115" s="1"/>
  <c r="OD10" i="118"/>
  <c r="G391" i="115" s="1"/>
  <c r="OE10" i="118"/>
  <c r="G392" i="115" s="1"/>
  <c r="OF10" i="118"/>
  <c r="G393" i="115" s="1"/>
  <c r="OG10" i="118"/>
  <c r="G394" i="115" s="1"/>
  <c r="OH10" i="118"/>
  <c r="G395" i="115" s="1"/>
  <c r="OI10" i="118"/>
  <c r="G396" i="115" s="1"/>
  <c r="OJ10" i="118"/>
  <c r="G397" i="115" s="1"/>
  <c r="OK10" i="118"/>
  <c r="G398" i="115" s="1"/>
  <c r="OL10" i="118"/>
  <c r="G399" i="115" s="1"/>
  <c r="OM10" i="118"/>
  <c r="G400" i="115" s="1"/>
  <c r="ON10" i="118"/>
  <c r="G401" i="115" s="1"/>
  <c r="OO10" i="118"/>
  <c r="G402" i="115" s="1"/>
  <c r="OP10" i="118"/>
  <c r="G403" i="115" s="1"/>
  <c r="OQ10" i="118"/>
  <c r="G404" i="115" s="1"/>
  <c r="OR10" i="118"/>
  <c r="G405" i="115" s="1"/>
  <c r="OS10" i="118"/>
  <c r="G406" i="115" s="1"/>
  <c r="OT10" i="118"/>
  <c r="G407" i="115" s="1"/>
  <c r="OU10" i="118"/>
  <c r="G408" i="115" s="1"/>
  <c r="OV10" i="118"/>
  <c r="G409" i="115" s="1"/>
  <c r="OW10" i="118"/>
  <c r="G410" i="115" s="1"/>
  <c r="OX10" i="118"/>
  <c r="G411" i="115" s="1"/>
  <c r="OY10" i="118"/>
  <c r="G412" i="115" s="1"/>
  <c r="OZ10" i="118"/>
  <c r="G413" i="115" s="1"/>
  <c r="PA10" i="118"/>
  <c r="G414" i="115" s="1"/>
  <c r="PB10" i="118"/>
  <c r="G415" i="115" s="1"/>
  <c r="PC10" i="118"/>
  <c r="G416" i="115" s="1"/>
  <c r="PD10" i="118"/>
  <c r="G417" i="115" s="1"/>
  <c r="PE10" i="118"/>
  <c r="G418" i="115" s="1"/>
  <c r="PF10" i="118"/>
  <c r="G419" i="115" s="1"/>
  <c r="PG10" i="118"/>
  <c r="G420" i="115" s="1"/>
  <c r="PH10" i="118"/>
  <c r="G421" i="115" s="1"/>
  <c r="PI10" i="118"/>
  <c r="G422" i="115" s="1"/>
  <c r="PJ10" i="118"/>
  <c r="G423" i="115" s="1"/>
  <c r="PK10" i="118"/>
  <c r="G424" i="115" s="1"/>
  <c r="PL10" i="118"/>
  <c r="G425" i="115" s="1"/>
  <c r="PM10" i="118"/>
  <c r="G426" i="115" s="1"/>
  <c r="PN10" i="118"/>
  <c r="G427" i="115" s="1"/>
  <c r="PO10" i="118"/>
  <c r="G428" i="115" s="1"/>
  <c r="PP10" i="118"/>
  <c r="G429" i="115" s="1"/>
  <c r="PQ10" i="118"/>
  <c r="G430" i="115" s="1"/>
  <c r="PR10" i="118"/>
  <c r="G431" i="115" s="1"/>
  <c r="PS10" i="118"/>
  <c r="G432" i="115" s="1"/>
  <c r="PT10" i="118"/>
  <c r="G433" i="115" s="1"/>
  <c r="PU10" i="118"/>
  <c r="G434" i="115" s="1"/>
  <c r="PV10" i="118"/>
  <c r="G435" i="115" s="1"/>
  <c r="PW10" i="118"/>
  <c r="G436" i="115" s="1"/>
  <c r="PX10" i="118"/>
  <c r="G437" i="115" s="1"/>
  <c r="PY10" i="118"/>
  <c r="G438" i="115" s="1"/>
  <c r="PZ10" i="118"/>
  <c r="G439" i="115" s="1"/>
  <c r="QA10" i="118"/>
  <c r="G440" i="115" s="1"/>
  <c r="QB10" i="118"/>
  <c r="G441" i="115" s="1"/>
  <c r="QC10" i="118"/>
  <c r="G442" i="115" s="1"/>
  <c r="QD10" i="118"/>
  <c r="G443" i="115" s="1"/>
  <c r="QE10" i="118"/>
  <c r="G444" i="115" s="1"/>
  <c r="QF10" i="118"/>
  <c r="G445" i="115" s="1"/>
  <c r="QG10" i="118"/>
  <c r="G446" i="115" s="1"/>
  <c r="QH10" i="118"/>
  <c r="G447" i="115" s="1"/>
  <c r="QI10" i="118"/>
  <c r="G448" i="115" s="1"/>
  <c r="QJ10" i="118"/>
  <c r="G449" i="115" s="1"/>
  <c r="QK10" i="118"/>
  <c r="G450" i="115" s="1"/>
  <c r="QL10" i="118"/>
  <c r="G451" i="115" s="1"/>
  <c r="QM10" i="118"/>
  <c r="G452" i="115" s="1"/>
  <c r="QN10" i="118"/>
  <c r="G453" i="115" s="1"/>
  <c r="QO10" i="118"/>
  <c r="G454" i="115" s="1"/>
  <c r="QP10" i="118"/>
  <c r="G455" i="115" s="1"/>
  <c r="QQ10" i="118"/>
  <c r="G456" i="115" s="1"/>
  <c r="QR10" i="118"/>
  <c r="G457" i="115" s="1"/>
  <c r="QS10" i="118"/>
  <c r="G458" i="115" s="1"/>
  <c r="QT10" i="118"/>
  <c r="G459" i="115" s="1"/>
  <c r="QU10" i="118"/>
  <c r="G460" i="115" s="1"/>
  <c r="QV10" i="118"/>
  <c r="G461" i="115" s="1"/>
  <c r="QW10" i="118"/>
  <c r="G462" i="115" s="1"/>
  <c r="QX10" i="118"/>
  <c r="G463" i="115" s="1"/>
  <c r="QY10" i="118"/>
  <c r="G464" i="115" s="1"/>
  <c r="QZ10" i="118"/>
  <c r="G465" i="115" s="1"/>
  <c r="RA10" i="118"/>
  <c r="G466" i="115" s="1"/>
  <c r="RB10" i="118"/>
  <c r="G467" i="115" s="1"/>
  <c r="RC10" i="118"/>
  <c r="G468" i="115" s="1"/>
  <c r="RD10" i="118"/>
  <c r="G469" i="115" s="1"/>
  <c r="RE10" i="118"/>
  <c r="G470" i="115" s="1"/>
  <c r="RF10" i="118"/>
  <c r="G471" i="115" s="1"/>
  <c r="RG10" i="118"/>
  <c r="G472" i="115" s="1"/>
  <c r="RH10" i="118"/>
  <c r="G473" i="115" s="1"/>
  <c r="RI10" i="118"/>
  <c r="G474" i="115" s="1"/>
  <c r="RJ10" i="118"/>
  <c r="G475" i="115" s="1"/>
  <c r="RK10" i="118"/>
  <c r="G476" i="115" s="1"/>
  <c r="RL10" i="118"/>
  <c r="G477" i="115" s="1"/>
  <c r="RM10" i="118"/>
  <c r="G478" i="115" s="1"/>
  <c r="RN10" i="118"/>
  <c r="G479" i="115" s="1"/>
  <c r="RO10" i="118"/>
  <c r="G480" i="115" s="1"/>
  <c r="RP10" i="118"/>
  <c r="G481" i="115" s="1"/>
  <c r="RQ10" i="118"/>
  <c r="G482" i="115" s="1"/>
  <c r="RR10" i="118"/>
  <c r="G483" i="115" s="1"/>
  <c r="RS10" i="118"/>
  <c r="G484" i="115" s="1"/>
  <c r="RT10" i="118"/>
  <c r="G485" i="115" s="1"/>
  <c r="RU10" i="118"/>
  <c r="G486" i="115" s="1"/>
  <c r="RV10" i="118"/>
  <c r="G487" i="115" s="1"/>
  <c r="RW10" i="118"/>
  <c r="G488" i="115" s="1"/>
  <c r="RX10" i="118"/>
  <c r="G489" i="115" s="1"/>
  <c r="RY10" i="118"/>
  <c r="G490" i="115" s="1"/>
  <c r="RZ10" i="118"/>
  <c r="G491" i="115" s="1"/>
  <c r="SA10" i="118"/>
  <c r="SB10" i="118"/>
  <c r="G493" i="115" s="1"/>
  <c r="SC10" i="118"/>
  <c r="G494" i="115" s="1"/>
  <c r="SD10" i="118"/>
  <c r="G495" i="115" s="1"/>
  <c r="SE10" i="118"/>
  <c r="G496" i="115" s="1"/>
  <c r="SF10" i="118"/>
  <c r="G497" i="115" s="1"/>
  <c r="SG10" i="118"/>
  <c r="G498" i="115" s="1"/>
  <c r="SH10" i="118"/>
  <c r="G499" i="115" s="1"/>
  <c r="SI10" i="118"/>
  <c r="G500" i="115" s="1"/>
  <c r="SJ10" i="118"/>
  <c r="G501" i="115" s="1"/>
  <c r="B113" i="118"/>
  <c r="C113" i="118" s="1" a="1"/>
  <c r="B114" i="118"/>
  <c r="D114" i="118" s="1"/>
  <c r="B112" i="118"/>
  <c r="C112" i="118" s="1" a="1"/>
  <c r="B111" i="118"/>
  <c r="C111" i="118" s="1" a="1"/>
  <c r="G492" i="115" l="1"/>
  <c r="C114" i="118" a="1"/>
  <c r="D11" i="118"/>
  <c r="B120" i="118"/>
  <c r="C120" i="118" s="1" a="1"/>
  <c r="O46" i="115"/>
  <c r="O47" i="115"/>
  <c r="O48" i="115"/>
  <c r="O49" i="115"/>
  <c r="O50" i="115"/>
  <c r="O51" i="115"/>
  <c r="O52" i="115"/>
  <c r="O53" i="115"/>
  <c r="O54" i="115"/>
  <c r="O55" i="115"/>
  <c r="O56" i="115"/>
  <c r="O57" i="115"/>
  <c r="O58" i="115"/>
  <c r="O59" i="115"/>
  <c r="O60" i="115"/>
  <c r="O61" i="115"/>
  <c r="O62" i="115"/>
  <c r="O63" i="115"/>
  <c r="O64" i="115"/>
  <c r="O65" i="115"/>
  <c r="O66" i="115"/>
  <c r="O67" i="115"/>
  <c r="O68" i="115"/>
  <c r="O69" i="115"/>
  <c r="O70" i="115"/>
  <c r="O71" i="115"/>
  <c r="O72" i="115"/>
  <c r="O73" i="115"/>
  <c r="O74" i="115"/>
  <c r="O75" i="115"/>
  <c r="O76" i="115"/>
  <c r="O77" i="115"/>
  <c r="O78" i="115"/>
  <c r="O79" i="115"/>
  <c r="O80" i="115"/>
  <c r="O81" i="115"/>
  <c r="O82" i="115"/>
  <c r="O83" i="115"/>
  <c r="O84" i="115"/>
  <c r="O85" i="115"/>
  <c r="O86" i="115"/>
  <c r="O87" i="115"/>
  <c r="O88" i="115"/>
  <c r="O3" i="115"/>
  <c r="O4" i="115"/>
  <c r="O5" i="115"/>
  <c r="O6" i="115"/>
  <c r="O7" i="115"/>
  <c r="O8" i="115"/>
  <c r="O9" i="115"/>
  <c r="O10" i="115"/>
  <c r="O11" i="115"/>
  <c r="O12" i="115"/>
  <c r="O13" i="115"/>
  <c r="O14" i="115"/>
  <c r="O15" i="115"/>
  <c r="O16" i="115"/>
  <c r="O17" i="115"/>
  <c r="O18" i="115"/>
  <c r="O19" i="115"/>
  <c r="O20" i="115"/>
  <c r="O21" i="115"/>
  <c r="O22" i="115"/>
  <c r="O23" i="115"/>
  <c r="O24" i="115"/>
  <c r="O25" i="115"/>
  <c r="O26" i="115"/>
  <c r="O27" i="115"/>
  <c r="O28" i="115"/>
  <c r="O29" i="115"/>
  <c r="O30" i="115"/>
  <c r="O31" i="115"/>
  <c r="O32" i="115"/>
  <c r="O33" i="115"/>
  <c r="O34" i="115"/>
  <c r="O35" i="115"/>
  <c r="O36" i="115"/>
  <c r="O37" i="115"/>
  <c r="O38" i="115"/>
  <c r="O39" i="115"/>
  <c r="O40" i="115"/>
  <c r="O41" i="115"/>
  <c r="O42" i="115"/>
  <c r="O43" i="115"/>
  <c r="O2" i="115"/>
  <c r="CQ99" i="118"/>
  <c r="CR99" i="118"/>
  <c r="CS99" i="118"/>
  <c r="CT99" i="118"/>
  <c r="CU99" i="118"/>
  <c r="CV99" i="118"/>
  <c r="CW99" i="118"/>
  <c r="CX99" i="118"/>
  <c r="CY99" i="118"/>
  <c r="CZ99" i="118"/>
  <c r="CQ10" i="118"/>
  <c r="G92" i="115" s="1"/>
  <c r="CR10" i="118"/>
  <c r="G93" i="115" s="1"/>
  <c r="CS10" i="118"/>
  <c r="G94" i="115" s="1"/>
  <c r="CT10" i="118"/>
  <c r="G95" i="115" s="1"/>
  <c r="CU10" i="118"/>
  <c r="G96" i="115" s="1"/>
  <c r="CV10" i="118"/>
  <c r="G97" i="115" s="1"/>
  <c r="CW10" i="118"/>
  <c r="G98" i="115" s="1"/>
  <c r="CX10" i="118"/>
  <c r="G99" i="115" s="1"/>
  <c r="CY10" i="118"/>
  <c r="G100" i="115" s="1"/>
  <c r="CZ10" i="118"/>
  <c r="G101" i="115" s="1"/>
  <c r="P83" i="115"/>
  <c r="P269" i="115" s="1"/>
  <c r="P84" i="115"/>
  <c r="P270" i="115" s="1"/>
  <c r="P85" i="115"/>
  <c r="P271" i="115" s="1"/>
  <c r="P86" i="115"/>
  <c r="P272" i="115" s="1"/>
  <c r="P87" i="115"/>
  <c r="P273" i="115" s="1"/>
  <c r="P88" i="115"/>
  <c r="P274" i="115" s="1"/>
  <c r="P78" i="115"/>
  <c r="P264" i="115" s="1"/>
  <c r="P79" i="115"/>
  <c r="P265" i="115" s="1"/>
  <c r="P80" i="115"/>
  <c r="P266" i="115" s="1"/>
  <c r="P81" i="115"/>
  <c r="P267" i="115" s="1"/>
  <c r="P82" i="115"/>
  <c r="P268" i="115" s="1"/>
  <c r="P47" i="115"/>
  <c r="P233" i="115" s="1"/>
  <c r="P48" i="115"/>
  <c r="P234" i="115" s="1"/>
  <c r="P49" i="115"/>
  <c r="P235" i="115" s="1"/>
  <c r="P50" i="115"/>
  <c r="P236" i="115" s="1"/>
  <c r="P51" i="115"/>
  <c r="P237" i="115" s="1"/>
  <c r="P52" i="115"/>
  <c r="P238" i="115" s="1"/>
  <c r="P53" i="115"/>
  <c r="P239" i="115" s="1"/>
  <c r="P54" i="115"/>
  <c r="P240" i="115" s="1"/>
  <c r="P55" i="115"/>
  <c r="P241" i="115" s="1"/>
  <c r="P56" i="115"/>
  <c r="P242" i="115" s="1"/>
  <c r="P57" i="115"/>
  <c r="P243" i="115" s="1"/>
  <c r="P58" i="115"/>
  <c r="P244" i="115" s="1"/>
  <c r="P59" i="115"/>
  <c r="P245" i="115" s="1"/>
  <c r="P60" i="115"/>
  <c r="P246" i="115" s="1"/>
  <c r="P61" i="115"/>
  <c r="P247" i="115" s="1"/>
  <c r="P62" i="115"/>
  <c r="P248" i="115" s="1"/>
  <c r="P63" i="115"/>
  <c r="P249" i="115" s="1"/>
  <c r="P64" i="115"/>
  <c r="P250" i="115" s="1"/>
  <c r="P65" i="115"/>
  <c r="P251" i="115" s="1"/>
  <c r="P66" i="115"/>
  <c r="P252" i="115" s="1"/>
  <c r="P67" i="115"/>
  <c r="P253" i="115" s="1"/>
  <c r="P68" i="115"/>
  <c r="P254" i="115" s="1"/>
  <c r="P69" i="115"/>
  <c r="P255" i="115" s="1"/>
  <c r="P70" i="115"/>
  <c r="P256" i="115" s="1"/>
  <c r="P71" i="115"/>
  <c r="P257" i="115" s="1"/>
  <c r="P72" i="115"/>
  <c r="P258" i="115" s="1"/>
  <c r="P73" i="115"/>
  <c r="P259" i="115" s="1"/>
  <c r="P74" i="115"/>
  <c r="P260" i="115" s="1"/>
  <c r="P75" i="115"/>
  <c r="P261" i="115" s="1"/>
  <c r="P76" i="115"/>
  <c r="P262" i="115" s="1"/>
  <c r="P77" i="115"/>
  <c r="P263" i="115" s="1"/>
  <c r="P46" i="115"/>
  <c r="P232" i="115" s="1"/>
  <c r="P231" i="115"/>
  <c r="P3" i="115"/>
  <c r="P189" i="115" s="1"/>
  <c r="P4" i="115"/>
  <c r="P190" i="115" s="1"/>
  <c r="P5" i="115"/>
  <c r="P191" i="115" s="1"/>
  <c r="P6" i="115"/>
  <c r="P192" i="115" s="1"/>
  <c r="P7" i="115"/>
  <c r="P193" i="115" s="1"/>
  <c r="P8" i="115"/>
  <c r="P194" i="115" s="1"/>
  <c r="P9" i="115"/>
  <c r="P195" i="115" s="1"/>
  <c r="P10" i="115"/>
  <c r="P196" i="115" s="1"/>
  <c r="P11" i="115"/>
  <c r="P197" i="115" s="1"/>
  <c r="P12" i="115"/>
  <c r="P198" i="115" s="1"/>
  <c r="P13" i="115"/>
  <c r="P199" i="115" s="1"/>
  <c r="P14" i="115"/>
  <c r="P200" i="115" s="1"/>
  <c r="P15" i="115"/>
  <c r="P201" i="115" s="1"/>
  <c r="P16" i="115"/>
  <c r="P202" i="115" s="1"/>
  <c r="P17" i="115"/>
  <c r="P203" i="115" s="1"/>
  <c r="P18" i="115"/>
  <c r="P204" i="115" s="1"/>
  <c r="P19" i="115"/>
  <c r="P205" i="115" s="1"/>
  <c r="P20" i="115"/>
  <c r="P206" i="115" s="1"/>
  <c r="P21" i="115"/>
  <c r="P207" i="115" s="1"/>
  <c r="P22" i="115"/>
  <c r="P208" i="115" s="1"/>
  <c r="P23" i="115"/>
  <c r="P209" i="115" s="1"/>
  <c r="P24" i="115"/>
  <c r="P210" i="115" s="1"/>
  <c r="P25" i="115"/>
  <c r="P211" i="115" s="1"/>
  <c r="P26" i="115"/>
  <c r="P212" i="115" s="1"/>
  <c r="P27" i="115"/>
  <c r="P213" i="115" s="1"/>
  <c r="P28" i="115"/>
  <c r="P214" i="115" s="1"/>
  <c r="P29" i="115"/>
  <c r="P215" i="115" s="1"/>
  <c r="P30" i="115"/>
  <c r="P216" i="115" s="1"/>
  <c r="P31" i="115"/>
  <c r="P217" i="115" s="1"/>
  <c r="P32" i="115"/>
  <c r="P218" i="115" s="1"/>
  <c r="P33" i="115"/>
  <c r="P219" i="115" s="1"/>
  <c r="P34" i="115"/>
  <c r="P220" i="115" s="1"/>
  <c r="P35" i="115"/>
  <c r="P221" i="115" s="1"/>
  <c r="P36" i="115"/>
  <c r="P222" i="115" s="1"/>
  <c r="P37" i="115"/>
  <c r="P223" i="115" s="1"/>
  <c r="P38" i="115"/>
  <c r="P224" i="115" s="1"/>
  <c r="P39" i="115"/>
  <c r="P225" i="115" s="1"/>
  <c r="P40" i="115"/>
  <c r="P226" i="115" s="1"/>
  <c r="P41" i="115"/>
  <c r="P227" i="115" s="1"/>
  <c r="P42" i="115"/>
  <c r="P228" i="115" s="1"/>
  <c r="P43" i="115"/>
  <c r="P229" i="115" s="1"/>
  <c r="P230" i="115"/>
  <c r="P2" i="115"/>
  <c r="P188" i="115" s="1"/>
  <c r="B56" i="118"/>
  <c r="B57" i="118"/>
  <c r="B58" i="118"/>
  <c r="B59" i="118"/>
  <c r="B60" i="118"/>
  <c r="B61" i="118"/>
  <c r="B62" i="118"/>
  <c r="B63" i="118"/>
  <c r="B64" i="118"/>
  <c r="B65" i="118"/>
  <c r="B66" i="118"/>
  <c r="B67" i="118"/>
  <c r="B68" i="118"/>
  <c r="B69" i="118"/>
  <c r="B70" i="118"/>
  <c r="B71" i="118"/>
  <c r="B72" i="118"/>
  <c r="B73" i="118"/>
  <c r="B74" i="118"/>
  <c r="B75" i="118"/>
  <c r="B76" i="118"/>
  <c r="B77" i="118"/>
  <c r="B78" i="118"/>
  <c r="B79" i="118"/>
  <c r="B80" i="118"/>
  <c r="B81" i="118"/>
  <c r="B82" i="118"/>
  <c r="B83" i="118"/>
  <c r="B84" i="118"/>
  <c r="B85" i="118"/>
  <c r="B86" i="118"/>
  <c r="B87" i="118"/>
  <c r="B88" i="118"/>
  <c r="B89" i="118"/>
  <c r="B90" i="118"/>
  <c r="B91" i="118"/>
  <c r="B92" i="118"/>
  <c r="B93" i="118"/>
  <c r="B94" i="118"/>
  <c r="B95" i="118"/>
  <c r="B96" i="118"/>
  <c r="B97" i="118"/>
  <c r="B98" i="118"/>
  <c r="B13" i="118"/>
  <c r="B14" i="118"/>
  <c r="B15" i="118"/>
  <c r="B16" i="118"/>
  <c r="B17" i="118"/>
  <c r="B18" i="118"/>
  <c r="B19" i="118"/>
  <c r="B20" i="118"/>
  <c r="B21" i="118"/>
  <c r="B22" i="118"/>
  <c r="B23" i="118"/>
  <c r="B24" i="118"/>
  <c r="B25" i="118"/>
  <c r="B26" i="118"/>
  <c r="B27" i="118"/>
  <c r="B28" i="118"/>
  <c r="B29" i="118"/>
  <c r="B30" i="118"/>
  <c r="B31" i="118"/>
  <c r="B32" i="118"/>
  <c r="B33" i="118"/>
  <c r="B34" i="118"/>
  <c r="B35" i="118"/>
  <c r="B36" i="118"/>
  <c r="B37" i="118"/>
  <c r="B38" i="118"/>
  <c r="B39" i="118"/>
  <c r="B40" i="118"/>
  <c r="B41" i="118"/>
  <c r="B42" i="118"/>
  <c r="B43" i="118"/>
  <c r="B44" i="118"/>
  <c r="B45" i="118"/>
  <c r="B46" i="118"/>
  <c r="B47" i="118"/>
  <c r="B48" i="118"/>
  <c r="B49" i="118"/>
  <c r="B50" i="118"/>
  <c r="B51" i="118"/>
  <c r="B52" i="118"/>
  <c r="B53" i="118"/>
  <c r="B12" i="118"/>
  <c r="C61" i="118"/>
  <c r="C62" i="118"/>
  <c r="C63" i="118"/>
  <c r="C64" i="118"/>
  <c r="C65" i="118"/>
  <c r="C66" i="118"/>
  <c r="C67" i="118"/>
  <c r="C68" i="118"/>
  <c r="C69" i="118"/>
  <c r="C70" i="118"/>
  <c r="C71" i="118"/>
  <c r="C72" i="118"/>
  <c r="C73" i="118"/>
  <c r="C74" i="118"/>
  <c r="C75" i="118"/>
  <c r="C76" i="118"/>
  <c r="C77" i="118"/>
  <c r="C78" i="118"/>
  <c r="C79" i="118"/>
  <c r="C80" i="118"/>
  <c r="C81" i="118"/>
  <c r="C82" i="118"/>
  <c r="C83" i="118"/>
  <c r="C84" i="118"/>
  <c r="C85" i="118"/>
  <c r="C86" i="118"/>
  <c r="C87" i="118"/>
  <c r="C88" i="118"/>
  <c r="C89" i="118"/>
  <c r="C90" i="118"/>
  <c r="C91" i="118"/>
  <c r="C92" i="118"/>
  <c r="C93" i="118"/>
  <c r="C94" i="118"/>
  <c r="C95" i="118"/>
  <c r="C96" i="118"/>
  <c r="C97" i="118"/>
  <c r="C98" i="118"/>
  <c r="C13" i="118"/>
  <c r="C14" i="118"/>
  <c r="C15" i="118"/>
  <c r="C16" i="118"/>
  <c r="C17" i="118"/>
  <c r="C18" i="118"/>
  <c r="C19" i="118"/>
  <c r="C20" i="118"/>
  <c r="C21" i="118"/>
  <c r="C22" i="118"/>
  <c r="C23" i="118"/>
  <c r="C24" i="118"/>
  <c r="C25" i="118"/>
  <c r="C26" i="118"/>
  <c r="C27" i="118"/>
  <c r="C28" i="118"/>
  <c r="C29" i="118"/>
  <c r="C30" i="118"/>
  <c r="C31" i="118"/>
  <c r="C32" i="118"/>
  <c r="C33" i="118"/>
  <c r="C34" i="118"/>
  <c r="C35" i="118"/>
  <c r="C36" i="118"/>
  <c r="C37" i="118"/>
  <c r="C38" i="118"/>
  <c r="C39" i="118"/>
  <c r="C40" i="118"/>
  <c r="C41" i="118"/>
  <c r="C42" i="118"/>
  <c r="C43" i="118"/>
  <c r="C44" i="118"/>
  <c r="C45" i="118"/>
  <c r="C46" i="118"/>
  <c r="C47" i="118"/>
  <c r="C48" i="118"/>
  <c r="C49" i="118"/>
  <c r="C50" i="118"/>
  <c r="C51" i="118"/>
  <c r="C52" i="118"/>
  <c r="C53" i="118"/>
  <c r="C56" i="118"/>
  <c r="C57" i="118"/>
  <c r="C58" i="118"/>
  <c r="C59" i="118"/>
  <c r="C60" i="118"/>
  <c r="C12" i="118"/>
  <c r="E62" i="195" l="1"/>
  <c r="E57" i="233"/>
  <c r="E62" i="204"/>
  <c r="E64" i="224"/>
  <c r="E57" i="194"/>
  <c r="E65" i="212"/>
  <c r="E57" i="210"/>
  <c r="E62" i="187"/>
  <c r="E57" i="177"/>
  <c r="E61" i="199"/>
  <c r="E57" i="199"/>
  <c r="E65" i="220"/>
  <c r="E63" i="181"/>
  <c r="E62" i="236"/>
  <c r="E79" i="197"/>
  <c r="E66" i="224"/>
  <c r="E58" i="189"/>
  <c r="E58" i="183"/>
  <c r="E60" i="211"/>
  <c r="E59" i="194"/>
  <c r="E58" i="199"/>
  <c r="E61" i="200"/>
  <c r="E64" i="187"/>
  <c r="E62" i="203"/>
  <c r="E62" i="235"/>
  <c r="E75" i="206"/>
  <c r="E61" i="206"/>
  <c r="E64" i="236"/>
  <c r="E77" i="204"/>
  <c r="E63" i="192"/>
  <c r="E59" i="207"/>
  <c r="E83" i="182"/>
  <c r="E63" i="208"/>
  <c r="E60" i="212"/>
  <c r="E58" i="224"/>
  <c r="E74" i="185"/>
  <c r="E77" i="182"/>
  <c r="E67" i="180"/>
  <c r="E64" i="216"/>
  <c r="E59" i="213"/>
  <c r="E92" i="211"/>
  <c r="E67" i="196"/>
  <c r="E60" i="197"/>
  <c r="E57" i="188"/>
  <c r="E61" i="202"/>
  <c r="E57" i="211"/>
  <c r="E65" i="222"/>
  <c r="E66" i="201"/>
  <c r="E61" i="215"/>
  <c r="E61" i="219"/>
  <c r="E59" i="216"/>
  <c r="E97" i="186"/>
  <c r="E57" i="181"/>
  <c r="E61" i="233"/>
  <c r="E67" i="183"/>
  <c r="E71" i="235"/>
  <c r="E58" i="187"/>
  <c r="E63" i="196"/>
  <c r="E68" i="205"/>
  <c r="E73" i="230"/>
  <c r="E59" i="209"/>
  <c r="E64" i="234"/>
  <c r="E70" i="232"/>
  <c r="E77" i="235"/>
  <c r="E60" i="231"/>
  <c r="E67" i="218"/>
  <c r="E73" i="216"/>
  <c r="E60" i="216"/>
  <c r="E69" i="197"/>
  <c r="E57" i="186"/>
  <c r="E66" i="183"/>
  <c r="E74" i="223"/>
  <c r="E63" i="201"/>
  <c r="E72" i="230"/>
  <c r="E60" i="235"/>
  <c r="E70" i="189"/>
  <c r="E59" i="215"/>
  <c r="E71" i="177"/>
  <c r="E63" i="236"/>
  <c r="E59" i="217"/>
  <c r="E77" i="177"/>
  <c r="E75" i="218"/>
  <c r="E83" i="229"/>
  <c r="E73" i="217"/>
  <c r="E71" i="218"/>
  <c r="E72" i="177"/>
  <c r="E74" i="177"/>
  <c r="E69" i="206"/>
  <c r="E74" i="231"/>
  <c r="E64" i="182"/>
  <c r="E73" i="227"/>
  <c r="E62" i="221"/>
  <c r="E68" i="187"/>
  <c r="E64" i="213"/>
  <c r="E75" i="188"/>
  <c r="E59" i="189"/>
  <c r="E68" i="203"/>
  <c r="E75" i="204"/>
  <c r="E64" i="214"/>
  <c r="E69" i="207"/>
  <c r="E74" i="200"/>
  <c r="E58" i="201"/>
  <c r="E63" i="226"/>
  <c r="E68" i="219"/>
  <c r="E73" i="212"/>
  <c r="E57" i="197"/>
  <c r="E62" i="190"/>
  <c r="E67" i="199"/>
  <c r="E72" i="208"/>
  <c r="E58" i="203"/>
  <c r="E63" i="212"/>
  <c r="E68" i="221"/>
  <c r="E74" i="187"/>
  <c r="E59" i="225"/>
  <c r="E65" i="191"/>
  <c r="E71" i="221"/>
  <c r="E78" i="192"/>
  <c r="E61" i="188"/>
  <c r="E67" i="234"/>
  <c r="E73" i="232"/>
  <c r="E60" i="232"/>
  <c r="E69" i="213"/>
  <c r="E57" i="202"/>
  <c r="E66" i="199"/>
  <c r="E75" i="180"/>
  <c r="E63" i="217"/>
  <c r="E73" i="187"/>
  <c r="E61" i="192"/>
  <c r="E70" i="205"/>
  <c r="E59" i="231"/>
  <c r="E71" i="211"/>
  <c r="E64" i="209"/>
  <c r="E60" i="206"/>
  <c r="E77" i="195"/>
  <c r="E77" i="230"/>
  <c r="E86" i="180"/>
  <c r="E68" i="206"/>
  <c r="E72" i="222"/>
  <c r="E75" i="223"/>
  <c r="E65" i="192"/>
  <c r="E59" i="220"/>
  <c r="E69" i="222"/>
  <c r="E64" i="198"/>
  <c r="E69" i="191"/>
  <c r="E74" i="184"/>
  <c r="E57" i="228"/>
  <c r="E63" i="194"/>
  <c r="E73" i="196"/>
  <c r="E59" i="236"/>
  <c r="E65" i="186"/>
  <c r="E70" i="195"/>
  <c r="E59" i="205"/>
  <c r="E60" i="193"/>
  <c r="E65" i="202"/>
  <c r="E70" i="211"/>
  <c r="E75" i="220"/>
  <c r="E59" i="221"/>
  <c r="E64" i="230"/>
  <c r="E69" i="223"/>
  <c r="E74" i="216"/>
  <c r="E58" i="217"/>
  <c r="E64" i="183"/>
  <c r="E68" i="235"/>
  <c r="E73" i="228"/>
  <c r="E57" i="213"/>
  <c r="E62" i="206"/>
  <c r="E67" i="215"/>
  <c r="E73" i="197"/>
  <c r="E58" i="219"/>
  <c r="E63" i="228"/>
  <c r="E69" i="194"/>
  <c r="E74" i="219"/>
  <c r="E60" i="182"/>
  <c r="E65" i="207"/>
  <c r="E72" i="226"/>
  <c r="E78" i="208"/>
  <c r="E61" i="236"/>
  <c r="E68" i="191"/>
  <c r="E74" i="189"/>
  <c r="E61" i="189"/>
  <c r="E69" i="229"/>
  <c r="E57" i="218"/>
  <c r="E66" i="215"/>
  <c r="E75" i="196"/>
  <c r="E63" i="233"/>
  <c r="E73" i="219"/>
  <c r="E61" i="208"/>
  <c r="E70" i="221"/>
  <c r="E60" i="188"/>
  <c r="E72" i="200"/>
  <c r="E66" i="219"/>
  <c r="E62" i="184"/>
  <c r="E57" i="208"/>
  <c r="E78" i="203"/>
  <c r="E86" i="228"/>
  <c r="E57" i="229"/>
  <c r="E62" i="222"/>
  <c r="E68" i="188"/>
  <c r="E73" i="213"/>
  <c r="E58" i="235"/>
  <c r="E64" i="185"/>
  <c r="E69" i="210"/>
  <c r="E75" i="208"/>
  <c r="E60" i="198"/>
  <c r="E66" i="180"/>
  <c r="E73" i="183"/>
  <c r="E78" i="224"/>
  <c r="E62" i="225"/>
  <c r="E68" i="207"/>
  <c r="E75" i="194"/>
  <c r="E61" i="205"/>
  <c r="E70" i="186"/>
  <c r="E57" i="234"/>
  <c r="E66" i="231"/>
  <c r="E75" i="212"/>
  <c r="E64" i="190"/>
  <c r="E73" i="235"/>
  <c r="E61" i="224"/>
  <c r="E71" i="194"/>
  <c r="E60" i="204"/>
  <c r="E72" i="232"/>
  <c r="E66" i="235"/>
  <c r="E62" i="216"/>
  <c r="E59" i="186"/>
  <c r="E82" i="191"/>
  <c r="E91" i="221"/>
  <c r="E63" i="182"/>
  <c r="E68" i="223"/>
  <c r="E76" i="199"/>
  <c r="E62" i="194"/>
  <c r="E70" i="234"/>
  <c r="E58" i="223"/>
  <c r="E67" i="220"/>
  <c r="E76" i="201"/>
  <c r="E65" i="195"/>
  <c r="E74" i="224"/>
  <c r="E62" i="213"/>
  <c r="E72" i="183"/>
  <c r="E61" i="193"/>
  <c r="E73" i="221"/>
  <c r="E67" i="192"/>
  <c r="E65" i="183"/>
  <c r="E59" i="218"/>
  <c r="E82" i="223"/>
  <c r="E94" i="236"/>
  <c r="E72" i="189"/>
  <c r="E74" i="234"/>
  <c r="E68" i="194"/>
  <c r="E73" i="194"/>
  <c r="E74" i="206"/>
  <c r="E71" i="192"/>
  <c r="E69" i="188"/>
  <c r="E58" i="215"/>
  <c r="E59" i="204"/>
  <c r="E70" i="227"/>
  <c r="E70" i="180"/>
  <c r="E59" i="190"/>
  <c r="E69" i="192"/>
  <c r="E66" i="191"/>
  <c r="E76" i="193"/>
  <c r="E65" i="203"/>
  <c r="E75" i="205"/>
  <c r="E59" i="206"/>
  <c r="E69" i="208"/>
  <c r="E74" i="201"/>
  <c r="E63" i="177"/>
  <c r="E69" i="226"/>
  <c r="E75" i="224"/>
  <c r="E66" i="196"/>
  <c r="E73" i="199"/>
  <c r="E61" i="214"/>
  <c r="E66" i="207"/>
  <c r="E71" i="200"/>
  <c r="E76" i="209"/>
  <c r="E60" i="226"/>
  <c r="E65" i="219"/>
  <c r="E70" i="228"/>
  <c r="E76" i="194"/>
  <c r="E59" i="222"/>
  <c r="E64" i="231"/>
  <c r="E69" i="224"/>
  <c r="E74" i="217"/>
  <c r="E58" i="202"/>
  <c r="E63" i="211"/>
  <c r="E68" i="236"/>
  <c r="E74" i="186"/>
  <c r="E59" i="208"/>
  <c r="E64" i="217"/>
  <c r="E70" i="199"/>
  <c r="E76" i="181"/>
  <c r="E60" i="230"/>
  <c r="E66" i="212"/>
  <c r="E73" i="215"/>
  <c r="E79" i="213"/>
  <c r="E63" i="198"/>
  <c r="E69" i="196"/>
  <c r="E76" i="215"/>
  <c r="E62" i="226"/>
  <c r="E71" i="207"/>
  <c r="E59" i="196"/>
  <c r="E68" i="193"/>
  <c r="E76" i="233"/>
  <c r="E65" i="227"/>
  <c r="E75" i="197"/>
  <c r="E63" i="186"/>
  <c r="E72" i="215"/>
  <c r="E62" i="214"/>
  <c r="E75" i="231"/>
  <c r="E68" i="213"/>
  <c r="E65" i="199"/>
  <c r="E62" i="185"/>
  <c r="E83" i="228"/>
  <c r="E95" i="225"/>
  <c r="E77" i="183"/>
  <c r="E69" i="225"/>
  <c r="E76" i="229"/>
  <c r="E77" i="207"/>
  <c r="E68" i="185"/>
  <c r="E77" i="231"/>
  <c r="E76" i="227"/>
  <c r="E70" i="214"/>
  <c r="E72" i="209"/>
  <c r="E69" i="195"/>
  <c r="E76" i="203"/>
  <c r="E71" i="213"/>
  <c r="E64" i="197"/>
  <c r="E60" i="225"/>
  <c r="E65" i="234"/>
  <c r="E75" i="236"/>
  <c r="E60" i="194"/>
  <c r="E65" i="187"/>
  <c r="E75" i="189"/>
  <c r="E64" i="199"/>
  <c r="E61" i="182"/>
  <c r="E71" i="184"/>
  <c r="E60" i="210"/>
  <c r="E70" i="196"/>
  <c r="E64" i="215"/>
  <c r="E58" i="186"/>
  <c r="E68" i="204"/>
  <c r="E73" i="229"/>
  <c r="E59" i="192"/>
  <c r="E64" i="201"/>
  <c r="E60" i="214"/>
  <c r="E61" i="230"/>
  <c r="E66" i="223"/>
  <c r="E71" i="216"/>
  <c r="E76" i="225"/>
  <c r="E61" i="183"/>
  <c r="E65" i="235"/>
  <c r="E71" i="185"/>
  <c r="E76" i="210"/>
  <c r="E60" i="177"/>
  <c r="E65" i="188"/>
  <c r="E70" i="181"/>
  <c r="E74" i="233"/>
  <c r="E58" i="218"/>
  <c r="E63" i="227"/>
  <c r="E69" i="193"/>
  <c r="E74" i="202"/>
  <c r="E59" i="224"/>
  <c r="E64" i="233"/>
  <c r="E71" i="188"/>
  <c r="E76" i="197"/>
  <c r="E61" i="187"/>
  <c r="E67" i="201"/>
  <c r="E73" i="231"/>
  <c r="E79" i="229"/>
  <c r="E63" i="214"/>
  <c r="E69" i="212"/>
  <c r="E76" i="231"/>
  <c r="E63" i="215"/>
  <c r="E72" i="196"/>
  <c r="E60" i="185"/>
  <c r="E69" i="182"/>
  <c r="E57" i="203"/>
  <c r="E66" i="216"/>
  <c r="E76" i="186"/>
  <c r="E63" i="234"/>
  <c r="E73" i="204"/>
  <c r="E63" i="203"/>
  <c r="E76" i="188"/>
  <c r="E69" i="202"/>
  <c r="E65" i="215"/>
  <c r="E62" i="201"/>
  <c r="E84" i="217"/>
  <c r="E79" i="194"/>
  <c r="E77" i="198"/>
  <c r="E71" i="232"/>
  <c r="E66" i="208"/>
  <c r="E71" i="217"/>
  <c r="E76" i="226"/>
  <c r="E60" i="195"/>
  <c r="E65" i="204"/>
  <c r="E70" i="197"/>
  <c r="E75" i="190"/>
  <c r="E59" i="191"/>
  <c r="E64" i="200"/>
  <c r="E69" i="209"/>
  <c r="E74" i="218"/>
  <c r="E60" i="181"/>
  <c r="E65" i="190"/>
  <c r="E71" i="204"/>
  <c r="E76" i="213"/>
  <c r="E61" i="203"/>
  <c r="E68" i="190"/>
  <c r="E74" i="188"/>
  <c r="E57" i="200"/>
  <c r="E63" i="230"/>
  <c r="E69" i="228"/>
  <c r="E77" i="188"/>
  <c r="E64" i="220"/>
  <c r="E73" i="201"/>
  <c r="E61" i="190"/>
  <c r="E70" i="187"/>
  <c r="E58" i="208"/>
  <c r="E67" i="221"/>
  <c r="E77" i="191"/>
  <c r="E65" i="196"/>
  <c r="E75" i="198"/>
  <c r="E64" i="208"/>
  <c r="E76" i="204"/>
  <c r="E69" i="234"/>
  <c r="E66" i="236"/>
  <c r="E63" i="222"/>
  <c r="E89" i="194"/>
  <c r="E82" i="193"/>
  <c r="E76" i="236"/>
  <c r="E72" i="233"/>
  <c r="E67" i="225"/>
  <c r="E64" i="211"/>
  <c r="E90" i="215"/>
  <c r="E75" i="214"/>
  <c r="E106" i="224"/>
  <c r="E100" i="203"/>
  <c r="E99" i="182"/>
  <c r="E106" i="204"/>
  <c r="E100" i="199"/>
  <c r="E99" i="194"/>
  <c r="E100" i="228"/>
  <c r="E99" i="207"/>
  <c r="E100" i="225"/>
  <c r="E106" i="195"/>
  <c r="E99" i="234"/>
  <c r="E100" i="223"/>
  <c r="E100" i="180"/>
  <c r="E99" i="205"/>
  <c r="E106" i="208"/>
  <c r="E100" i="187"/>
  <c r="E106" i="228"/>
  <c r="E106" i="188"/>
  <c r="E100" i="183"/>
  <c r="E106" i="233"/>
  <c r="E100" i="212"/>
  <c r="E99" i="191"/>
  <c r="E100" i="209"/>
  <c r="E106" i="177"/>
  <c r="E99" i="218"/>
  <c r="E99" i="202"/>
  <c r="E99" i="221"/>
  <c r="E99" i="224"/>
  <c r="E106" i="192"/>
  <c r="E99" i="231"/>
  <c r="E106" i="196"/>
  <c r="E100" i="232"/>
  <c r="E99" i="227"/>
  <c r="E106" i="217"/>
  <c r="E100" i="196"/>
  <c r="E106" i="230"/>
  <c r="E100" i="193"/>
  <c r="E100" i="236"/>
  <c r="E99" i="215"/>
  <c r="E106" i="221"/>
  <c r="E100" i="216"/>
  <c r="E99" i="211"/>
  <c r="E106" i="201"/>
  <c r="E99" i="186"/>
  <c r="E106" i="185"/>
  <c r="E100" i="220"/>
  <c r="E99" i="199"/>
  <c r="E100" i="204"/>
  <c r="E99" i="183"/>
  <c r="E106" i="189"/>
  <c r="E100" i="184"/>
  <c r="E99" i="177"/>
  <c r="E100" i="229"/>
  <c r="E99" i="208"/>
  <c r="E106" i="182"/>
  <c r="E99" i="189"/>
  <c r="E99" i="235"/>
  <c r="E106" i="209"/>
  <c r="E100" i="219"/>
  <c r="E100" i="188"/>
  <c r="E106" i="222"/>
  <c r="E100" i="233"/>
  <c r="E99" i="228"/>
  <c r="E106" i="234"/>
  <c r="E100" i="213"/>
  <c r="E99" i="192"/>
  <c r="E100" i="226"/>
  <c r="E100" i="224"/>
  <c r="E99" i="219"/>
  <c r="E106" i="193"/>
  <c r="E100" i="222"/>
  <c r="E106" i="227"/>
  <c r="E100" i="215"/>
  <c r="E106" i="205"/>
  <c r="E99" i="232"/>
  <c r="E106" i="206"/>
  <c r="E100" i="217"/>
  <c r="E99" i="212"/>
  <c r="E106" i="218"/>
  <c r="E100" i="197"/>
  <c r="E106" i="231"/>
  <c r="E100" i="210"/>
  <c r="E100" i="208"/>
  <c r="E99" i="203"/>
  <c r="E100" i="221"/>
  <c r="E99" i="225"/>
  <c r="E99" i="222"/>
  <c r="E99" i="181"/>
  <c r="E106" i="213"/>
  <c r="E100" i="206"/>
  <c r="E99" i="210"/>
  <c r="E99" i="223"/>
  <c r="E100" i="191"/>
  <c r="E99" i="216"/>
  <c r="E106" i="190"/>
  <c r="E100" i="201"/>
  <c r="E99" i="196"/>
  <c r="E106" i="202"/>
  <c r="E100" i="181"/>
  <c r="E106" i="215"/>
  <c r="E100" i="194"/>
  <c r="E100" i="192"/>
  <c r="E99" i="187"/>
  <c r="E100" i="205"/>
  <c r="E99" i="180"/>
  <c r="E106" i="212"/>
  <c r="E100" i="189"/>
  <c r="E100" i="182"/>
  <c r="E99" i="198"/>
  <c r="E106" i="211"/>
  <c r="E100" i="200"/>
  <c r="E99" i="200"/>
  <c r="E100" i="234"/>
  <c r="E100" i="185"/>
  <c r="E106" i="186"/>
  <c r="E106" i="199"/>
  <c r="E99" i="236"/>
  <c r="E106" i="187"/>
  <c r="E106" i="180"/>
  <c r="E99" i="184"/>
  <c r="E100" i="218"/>
  <c r="E99" i="229"/>
  <c r="E106" i="235"/>
  <c r="E100" i="230"/>
  <c r="E99" i="209"/>
  <c r="E106" i="183"/>
  <c r="E99" i="206"/>
  <c r="E99" i="220"/>
  <c r="E106" i="226"/>
  <c r="E99" i="233"/>
  <c r="E106" i="223"/>
  <c r="E100" i="202"/>
  <c r="E99" i="213"/>
  <c r="E106" i="219"/>
  <c r="E100" i="214"/>
  <c r="E99" i="193"/>
  <c r="E100" i="227"/>
  <c r="E99" i="190"/>
  <c r="E99" i="204"/>
  <c r="E106" i="210"/>
  <c r="E99" i="217"/>
  <c r="E106" i="191"/>
  <c r="E106" i="216"/>
  <c r="E106" i="220"/>
  <c r="E100" i="190"/>
  <c r="E106" i="214"/>
  <c r="E99" i="195"/>
  <c r="E106" i="225"/>
  <c r="E106" i="207"/>
  <c r="E100" i="186"/>
  <c r="E99" i="197"/>
  <c r="E106" i="203"/>
  <c r="E100" i="198"/>
  <c r="E106" i="232"/>
  <c r="E100" i="211"/>
  <c r="E106" i="229"/>
  <c r="E99" i="188"/>
  <c r="E106" i="194"/>
  <c r="E99" i="201"/>
  <c r="E99" i="230"/>
  <c r="E100" i="195"/>
  <c r="E99" i="185"/>
  <c r="E106" i="184"/>
  <c r="E106" i="181"/>
  <c r="E100" i="207"/>
  <c r="E106" i="198"/>
  <c r="E100" i="235"/>
  <c r="E99" i="214"/>
  <c r="E106" i="236"/>
  <c r="E100" i="231"/>
  <c r="E99" i="226"/>
  <c r="E106" i="200"/>
  <c r="E100" i="177"/>
  <c r="E106" i="197"/>
  <c r="E60" i="224"/>
  <c r="E78" i="202"/>
  <c r="E60" i="192"/>
  <c r="E83" i="177"/>
  <c r="E62" i="234"/>
  <c r="E94" i="186"/>
  <c r="E146" i="227"/>
  <c r="E83" i="211"/>
  <c r="E128" i="236"/>
  <c r="E147" i="231"/>
  <c r="E87" i="231"/>
  <c r="E132" i="192"/>
  <c r="E148" i="233"/>
  <c r="E78" i="218"/>
  <c r="E121" i="217"/>
  <c r="E143" i="222"/>
  <c r="E95" i="223"/>
  <c r="E147" i="203"/>
  <c r="E148" i="199"/>
  <c r="E148" i="208"/>
  <c r="E148" i="229"/>
  <c r="E94" i="218"/>
  <c r="E111" i="215"/>
  <c r="E148" i="224"/>
  <c r="E148" i="215"/>
  <c r="E146" i="197"/>
  <c r="E141" i="236"/>
  <c r="E137" i="200"/>
  <c r="E133" i="180"/>
  <c r="E58" i="214"/>
  <c r="E145" i="207"/>
  <c r="E141" i="187"/>
  <c r="E136" i="226"/>
  <c r="E132" i="190"/>
  <c r="E143" i="196"/>
  <c r="E138" i="235"/>
  <c r="E134" i="215"/>
  <c r="E130" i="177"/>
  <c r="E144" i="232"/>
  <c r="E140" i="212"/>
  <c r="E136" i="192"/>
  <c r="E131" i="231"/>
  <c r="E127" i="195"/>
  <c r="E146" i="209"/>
  <c r="E141" i="232"/>
  <c r="E137" i="212"/>
  <c r="E133" i="192"/>
  <c r="E148" i="218"/>
  <c r="E144" i="198"/>
  <c r="E139" i="221"/>
  <c r="E135" i="201"/>
  <c r="E131" i="181"/>
  <c r="E145" i="218"/>
  <c r="E141" i="198"/>
  <c r="E136" i="221"/>
  <c r="E132" i="201"/>
  <c r="E128" i="181"/>
  <c r="E143" i="207"/>
  <c r="E139" i="187"/>
  <c r="E134" i="226"/>
  <c r="E130" i="190"/>
  <c r="E140" i="223"/>
  <c r="E136" i="203"/>
  <c r="E132" i="183"/>
  <c r="E127" i="206"/>
  <c r="E123" i="186"/>
  <c r="E146" i="236"/>
  <c r="E142" i="200"/>
  <c r="E138" i="180"/>
  <c r="E133" i="219"/>
  <c r="E140" i="205"/>
  <c r="E136" i="185"/>
  <c r="E131" i="224"/>
  <c r="E127" i="204"/>
  <c r="E122" i="227"/>
  <c r="E147" i="219"/>
  <c r="E75" i="203"/>
  <c r="E147" i="235"/>
  <c r="E80" i="212"/>
  <c r="E62" i="202"/>
  <c r="E90" i="198"/>
  <c r="E146" i="211"/>
  <c r="E79" i="223"/>
  <c r="E121" i="233"/>
  <c r="E147" i="183"/>
  <c r="E83" i="227"/>
  <c r="E127" i="183"/>
  <c r="E148" i="217"/>
  <c r="E75" i="219"/>
  <c r="E117" i="213"/>
  <c r="E143" i="190"/>
  <c r="E91" i="203"/>
  <c r="E143" i="199"/>
  <c r="E148" i="197"/>
  <c r="E143" i="231"/>
  <c r="E147" i="208"/>
  <c r="E90" i="230"/>
  <c r="E107" i="211"/>
  <c r="E144" i="204"/>
  <c r="E147" i="224"/>
  <c r="E146" i="181"/>
  <c r="E141" i="220"/>
  <c r="E137" i="184"/>
  <c r="E132" i="223"/>
  <c r="E58" i="182"/>
  <c r="E145" i="191"/>
  <c r="E140" i="230"/>
  <c r="E136" i="210"/>
  <c r="E131" i="233"/>
  <c r="E143" i="180"/>
  <c r="E138" i="219"/>
  <c r="E134" i="199"/>
  <c r="E129" i="222"/>
  <c r="E144" i="216"/>
  <c r="E143" i="215"/>
  <c r="E72" i="204"/>
  <c r="E144" i="220"/>
  <c r="E76" i="224"/>
  <c r="E61" i="229"/>
  <c r="E86" i="194"/>
  <c r="E146" i="195"/>
  <c r="E76" i="192"/>
  <c r="E118" i="202"/>
  <c r="E148" i="235"/>
  <c r="E79" i="191"/>
  <c r="E123" i="227"/>
  <c r="E146" i="214"/>
  <c r="E72" i="236"/>
  <c r="E113" i="193"/>
  <c r="E142" i="217"/>
  <c r="E87" i="199"/>
  <c r="E139" i="195"/>
  <c r="E146" i="219"/>
  <c r="E139" i="227"/>
  <c r="E146" i="187"/>
  <c r="E86" i="226"/>
  <c r="E96" i="180"/>
  <c r="E140" i="200"/>
  <c r="E146" i="203"/>
  <c r="E145" i="224"/>
  <c r="E141" i="204"/>
  <c r="E136" i="227"/>
  <c r="E132" i="207"/>
  <c r="E57" i="209"/>
  <c r="E144" i="234"/>
  <c r="E140" i="214"/>
  <c r="E136" i="194"/>
  <c r="E131" i="217"/>
  <c r="E142" i="223"/>
  <c r="E138" i="203"/>
  <c r="E134" i="183"/>
  <c r="E129" i="206"/>
  <c r="E144" i="200"/>
  <c r="E140" i="180"/>
  <c r="E135" i="219"/>
  <c r="E131" i="199"/>
  <c r="E126" i="222"/>
  <c r="E145" i="236"/>
  <c r="E141" i="200"/>
  <c r="E139" i="211"/>
  <c r="E70" i="210"/>
  <c r="E140" i="232"/>
  <c r="E74" i="214"/>
  <c r="E61" i="197"/>
  <c r="E82" i="190"/>
  <c r="E146" i="182"/>
  <c r="E74" i="182"/>
  <c r="E115" i="187"/>
  <c r="E148" i="192"/>
  <c r="E74" i="230"/>
  <c r="E119" i="223"/>
  <c r="E142" i="210"/>
  <c r="E70" i="194"/>
  <c r="E108" i="232"/>
  <c r="E142" i="201"/>
  <c r="E83" i="195"/>
  <c r="E134" i="234"/>
  <c r="E145" i="230"/>
  <c r="E135" i="223"/>
  <c r="E145" i="214"/>
  <c r="E82" i="206"/>
  <c r="E92" i="208"/>
  <c r="E136" i="180"/>
  <c r="E59" i="219"/>
  <c r="E145" i="208"/>
  <c r="E141" i="188"/>
  <c r="E136" i="211"/>
  <c r="E132" i="191"/>
  <c r="E148" i="207"/>
  <c r="E144" i="218"/>
  <c r="E140" i="198"/>
  <c r="E135" i="221"/>
  <c r="E131" i="201"/>
  <c r="E142" i="207"/>
  <c r="E135" i="207"/>
  <c r="E69" i="189"/>
  <c r="E136" i="228"/>
  <c r="E73" i="209"/>
  <c r="E60" i="208"/>
  <c r="E78" i="234"/>
  <c r="E137" i="233"/>
  <c r="E71" i="231"/>
  <c r="E111" i="183"/>
  <c r="E144" i="188"/>
  <c r="E72" i="220"/>
  <c r="E115" i="235"/>
  <c r="E138" i="206"/>
  <c r="E67" i="195"/>
  <c r="E96" i="228"/>
  <c r="E141" i="228"/>
  <c r="E77" i="197"/>
  <c r="E130" i="230"/>
  <c r="E145" i="198"/>
  <c r="E131" i="235"/>
  <c r="E145" i="182"/>
  <c r="E77" i="229"/>
  <c r="E88" i="220"/>
  <c r="E131" i="219"/>
  <c r="E59" i="187"/>
  <c r="E145" i="192"/>
  <c r="E140" i="231"/>
  <c r="E136" i="195"/>
  <c r="E131" i="234"/>
  <c r="E148" i="222"/>
  <c r="E144" i="202"/>
  <c r="E140" i="182"/>
  <c r="E135" i="205"/>
  <c r="E131" i="185"/>
  <c r="E142" i="191"/>
  <c r="E137" i="230"/>
  <c r="E133" i="210"/>
  <c r="E128" i="233"/>
  <c r="E143" i="227"/>
  <c r="E139" i="207"/>
  <c r="E135" i="187"/>
  <c r="E130" i="226"/>
  <c r="E126" i="190"/>
  <c r="E145" i="204"/>
  <c r="E140" i="227"/>
  <c r="E136" i="207"/>
  <c r="E132" i="187"/>
  <c r="E147" i="213"/>
  <c r="E143" i="193"/>
  <c r="E138" i="216"/>
  <c r="E134" i="196"/>
  <c r="E129" i="235"/>
  <c r="E144" i="213"/>
  <c r="E140" i="193"/>
  <c r="E135" i="216"/>
  <c r="E131" i="196"/>
  <c r="E131" i="203"/>
  <c r="E66" i="222"/>
  <c r="E133" i="213"/>
  <c r="E71" i="215"/>
  <c r="E145" i="193"/>
  <c r="E75" i="235"/>
  <c r="E134" i="186"/>
  <c r="E67" i="211"/>
  <c r="E107" i="195"/>
  <c r="E140" i="184"/>
  <c r="E70" i="226"/>
  <c r="E111" i="231"/>
  <c r="E134" i="202"/>
  <c r="E148" i="232"/>
  <c r="E93" i="197"/>
  <c r="E146" i="230"/>
  <c r="E147" i="210"/>
  <c r="E126" i="226"/>
  <c r="E144" i="225"/>
  <c r="E127" i="231"/>
  <c r="E144" i="209"/>
  <c r="E148" i="231"/>
  <c r="E84" i="216"/>
  <c r="E128" i="188"/>
  <c r="E58" i="198"/>
  <c r="E144" i="235"/>
  <c r="E140" i="215"/>
  <c r="E136" i="177"/>
  <c r="E131" i="218"/>
  <c r="E148" i="206"/>
  <c r="E144" i="186"/>
  <c r="E139" i="225"/>
  <c r="E135" i="189"/>
  <c r="E130" i="228"/>
  <c r="E141" i="234"/>
  <c r="E137" i="214"/>
  <c r="E133" i="194"/>
  <c r="E128" i="217"/>
  <c r="E143" i="211"/>
  <c r="E139" i="191"/>
  <c r="E134" i="230"/>
  <c r="E130" i="210"/>
  <c r="E125" i="233"/>
  <c r="E145" i="188"/>
  <c r="E140" i="211"/>
  <c r="E136" i="191"/>
  <c r="E131" i="230"/>
  <c r="E147" i="197"/>
  <c r="E142" i="236"/>
  <c r="E138" i="200"/>
  <c r="E134" i="180"/>
  <c r="E129" i="219"/>
  <c r="E144" i="197"/>
  <c r="E139" i="236"/>
  <c r="E135" i="200"/>
  <c r="E131" i="180"/>
  <c r="E146" i="206"/>
  <c r="E142" i="186"/>
  <c r="E137" i="225"/>
  <c r="E133" i="189"/>
  <c r="E128" i="228"/>
  <c r="E139" i="202"/>
  <c r="E135" i="182"/>
  <c r="E130" i="205"/>
  <c r="E126" i="185"/>
  <c r="E121" i="224"/>
  <c r="E145" i="215"/>
  <c r="E141" i="177"/>
  <c r="E136" i="218"/>
  <c r="E132" i="198"/>
  <c r="E139" i="184"/>
  <c r="E134" i="223"/>
  <c r="E130" i="203"/>
  <c r="E126" i="183"/>
  <c r="E121" i="206"/>
  <c r="E144" i="224"/>
  <c r="E140" i="204"/>
  <c r="E135" i="227"/>
  <c r="E131" i="207"/>
  <c r="E146" i="201"/>
  <c r="E127" i="199"/>
  <c r="E66" i="190"/>
  <c r="E129" i="209"/>
  <c r="E69" i="205"/>
  <c r="E141" i="189"/>
  <c r="E73" i="225"/>
  <c r="E130" i="198"/>
  <c r="E148" i="220"/>
  <c r="E92" i="192"/>
  <c r="E136" i="196"/>
  <c r="E68" i="184"/>
  <c r="E107" i="227"/>
  <c r="E130" i="182"/>
  <c r="E148" i="216"/>
  <c r="E88" i="204"/>
  <c r="E142" i="226"/>
  <c r="E146" i="205"/>
  <c r="E123" i="177"/>
  <c r="E144" i="193"/>
  <c r="E124" i="184"/>
  <c r="E147" i="187"/>
  <c r="E148" i="181"/>
  <c r="E80" i="180"/>
  <c r="E124" i="200"/>
  <c r="E57" i="225"/>
  <c r="E144" i="219"/>
  <c r="E140" i="199"/>
  <c r="E135" i="222"/>
  <c r="E131" i="202"/>
  <c r="E148" i="190"/>
  <c r="E143" i="229"/>
  <c r="E139" i="209"/>
  <c r="E134" i="232"/>
  <c r="E146" i="177"/>
  <c r="E141" i="218"/>
  <c r="E137" i="198"/>
  <c r="E132" i="221"/>
  <c r="E128" i="201"/>
  <c r="E143" i="195"/>
  <c r="E138" i="234"/>
  <c r="E134" i="214"/>
  <c r="E130" i="194"/>
  <c r="E125" i="217"/>
  <c r="E144" i="231"/>
  <c r="E140" i="195"/>
  <c r="E135" i="234"/>
  <c r="E131" i="214"/>
  <c r="E147" i="181"/>
  <c r="E142" i="220"/>
  <c r="E138" i="184"/>
  <c r="E133" i="223"/>
  <c r="E148" i="201"/>
  <c r="E144" i="181"/>
  <c r="E139" i="220"/>
  <c r="E135" i="184"/>
  <c r="E130" i="223"/>
  <c r="E146" i="190"/>
  <c r="E141" i="229"/>
  <c r="E137" i="209"/>
  <c r="E132" i="232"/>
  <c r="E128" i="212"/>
  <c r="E139" i="186"/>
  <c r="E134" i="225"/>
  <c r="E130" i="189"/>
  <c r="E125" i="228"/>
  <c r="E121" i="208"/>
  <c r="E145" i="199"/>
  <c r="E140" i="222"/>
  <c r="E136" i="202"/>
  <c r="E132" i="182"/>
  <c r="E138" i="227"/>
  <c r="E134" i="207"/>
  <c r="E130" i="187"/>
  <c r="E125" i="226"/>
  <c r="E148" i="228"/>
  <c r="E144" i="208"/>
  <c r="E140" i="188"/>
  <c r="E135" i="211"/>
  <c r="E131" i="191"/>
  <c r="E146" i="185"/>
  <c r="E141" i="224"/>
  <c r="E137" i="204"/>
  <c r="E132" i="227"/>
  <c r="E128" i="207"/>
  <c r="E124" i="187"/>
  <c r="E123" i="211"/>
  <c r="E65" i="217"/>
  <c r="E124" i="216"/>
  <c r="E68" i="216"/>
  <c r="E137" i="185"/>
  <c r="E71" i="199"/>
  <c r="E126" i="194"/>
  <c r="E147" i="215"/>
  <c r="E88" i="188"/>
  <c r="E132" i="208"/>
  <c r="E148" i="236"/>
  <c r="E93" i="229"/>
  <c r="E125" i="221"/>
  <c r="E148" i="200"/>
  <c r="E84" i="200"/>
  <c r="E138" i="222"/>
  <c r="E145" i="232"/>
  <c r="E119" i="191"/>
  <c r="E143" i="236"/>
  <c r="E120" i="196"/>
  <c r="E143" i="183"/>
  <c r="E146" i="235"/>
  <c r="E148" i="183"/>
  <c r="E120" i="212"/>
  <c r="E57" i="193"/>
  <c r="E144" i="203"/>
  <c r="E140" i="183"/>
  <c r="E135" i="206"/>
  <c r="E131" i="186"/>
  <c r="E147" i="233"/>
  <c r="E143" i="213"/>
  <c r="E139" i="193"/>
  <c r="E134" i="216"/>
  <c r="E145" i="222"/>
  <c r="E141" i="202"/>
  <c r="E137" i="182"/>
  <c r="E132" i="205"/>
  <c r="E118" i="218"/>
  <c r="E65" i="185"/>
  <c r="E120" i="228"/>
  <c r="E67" i="177"/>
  <c r="E132" i="224"/>
  <c r="E68" i="232"/>
  <c r="E122" i="190"/>
  <c r="E146" i="226"/>
  <c r="E84" i="184"/>
  <c r="E128" i="204"/>
  <c r="E148" i="188"/>
  <c r="E89" i="209"/>
  <c r="E122" i="206"/>
  <c r="E148" i="184"/>
  <c r="E79" i="207"/>
  <c r="E134" i="218"/>
  <c r="E145" i="200"/>
  <c r="E115" i="219"/>
  <c r="E143" i="220"/>
  <c r="E116" i="192"/>
  <c r="E139" i="177"/>
  <c r="E147" i="206"/>
  <c r="E148" i="213"/>
  <c r="E116" i="208"/>
  <c r="E148" i="223"/>
  <c r="E144" i="187"/>
  <c r="E139" i="226"/>
  <c r="E135" i="190"/>
  <c r="E130" i="229"/>
  <c r="E147" i="217"/>
  <c r="E143" i="197"/>
  <c r="E138" i="236"/>
  <c r="E134" i="200"/>
  <c r="E145" i="206"/>
  <c r="E141" i="186"/>
  <c r="E136" i="225"/>
  <c r="E132" i="189"/>
  <c r="E127" i="228"/>
  <c r="E142" i="222"/>
  <c r="E138" i="202"/>
  <c r="E134" i="182"/>
  <c r="E129" i="205"/>
  <c r="E125" i="185"/>
  <c r="E144" i="199"/>
  <c r="E139" i="222"/>
  <c r="E135" i="202"/>
  <c r="E131" i="182"/>
  <c r="E146" i="208"/>
  <c r="E114" i="214"/>
  <c r="E64" i="212"/>
  <c r="E116" i="224"/>
  <c r="E66" i="206"/>
  <c r="E128" i="220"/>
  <c r="E148" i="221"/>
  <c r="E118" i="186"/>
  <c r="E146" i="194"/>
  <c r="E80" i="228"/>
  <c r="E124" i="232"/>
  <c r="E147" i="199"/>
  <c r="E85" i="189"/>
  <c r="E117" i="229"/>
  <c r="E147" i="227"/>
  <c r="E147" i="226"/>
  <c r="E130" i="214"/>
  <c r="E145" i="184"/>
  <c r="E111" i="199"/>
  <c r="E143" i="204"/>
  <c r="E112" i="220"/>
  <c r="E135" i="191"/>
  <c r="E146" i="198"/>
  <c r="E147" i="192"/>
  <c r="E112" i="204"/>
  <c r="E148" i="191"/>
  <c r="E143" i="230"/>
  <c r="E139" i="210"/>
  <c r="E134" i="233"/>
  <c r="E130" i="213"/>
  <c r="E147" i="201"/>
  <c r="E143" i="181"/>
  <c r="E138" i="220"/>
  <c r="E134" i="184"/>
  <c r="E145" i="190"/>
  <c r="E140" i="229"/>
  <c r="E136" i="209"/>
  <c r="E131" i="232"/>
  <c r="E127" i="212"/>
  <c r="E142" i="206"/>
  <c r="E138" i="186"/>
  <c r="E133" i="225"/>
  <c r="E129" i="189"/>
  <c r="E124" i="228"/>
  <c r="E144" i="183"/>
  <c r="E139" i="206"/>
  <c r="E135" i="186"/>
  <c r="E130" i="225"/>
  <c r="E146" i="192"/>
  <c r="E141" i="231"/>
  <c r="E137" i="195"/>
  <c r="E132" i="234"/>
  <c r="E147" i="212"/>
  <c r="E143" i="192"/>
  <c r="E138" i="231"/>
  <c r="E134" i="195"/>
  <c r="E129" i="234"/>
  <c r="E145" i="201"/>
  <c r="E141" i="181"/>
  <c r="E136" i="220"/>
  <c r="E132" i="184"/>
  <c r="E127" i="223"/>
  <c r="E138" i="197"/>
  <c r="E133" i="236"/>
  <c r="E129" i="200"/>
  <c r="E125" i="180"/>
  <c r="E148" i="230"/>
  <c r="E144" i="210"/>
  <c r="E139" i="233"/>
  <c r="E135" i="213"/>
  <c r="E131" i="193"/>
  <c r="E138" i="177"/>
  <c r="E133" i="218"/>
  <c r="E129" i="198"/>
  <c r="E110" i="194"/>
  <c r="E63" i="223"/>
  <c r="E112" i="236"/>
  <c r="E65" i="233"/>
  <c r="E125" i="189"/>
  <c r="E148" i="205"/>
  <c r="E114" i="198"/>
  <c r="E145" i="205"/>
  <c r="E76" i="208"/>
  <c r="E121" i="185"/>
  <c r="E146" i="210"/>
  <c r="E81" i="201"/>
  <c r="E114" i="182"/>
  <c r="E145" i="225"/>
  <c r="E147" i="194"/>
  <c r="E126" i="210"/>
  <c r="E144" i="211"/>
  <c r="E98" i="206"/>
  <c r="E143" i="188"/>
  <c r="E108" i="216"/>
  <c r="E131" i="187"/>
  <c r="E142" i="194"/>
  <c r="E98" i="190"/>
  <c r="E63" i="191"/>
  <c r="E109" i="205"/>
  <c r="E65" i="201"/>
  <c r="E121" i="201"/>
  <c r="E148" i="189"/>
  <c r="E110" i="210"/>
  <c r="E145" i="189"/>
  <c r="E74" i="198"/>
  <c r="E117" i="181"/>
  <c r="E145" i="221"/>
  <c r="E78" i="186"/>
  <c r="E97" i="201"/>
  <c r="E141" i="221"/>
  <c r="E146" i="221"/>
  <c r="E122" i="222"/>
  <c r="E144" i="177"/>
  <c r="E95" i="191"/>
  <c r="E142" i="231"/>
  <c r="E96" i="212"/>
  <c r="E127" i="215"/>
  <c r="E138" i="190"/>
  <c r="E148" i="211"/>
  <c r="E96" i="196"/>
  <c r="E147" i="218"/>
  <c r="E143" i="198"/>
  <c r="E138" i="221"/>
  <c r="E134" i="201"/>
  <c r="E130" i="181"/>
  <c r="E146" i="228"/>
  <c r="E142" i="208"/>
  <c r="E138" i="188"/>
  <c r="E133" i="211"/>
  <c r="E144" i="217"/>
  <c r="E140" i="197"/>
  <c r="E135" i="236"/>
  <c r="E131" i="200"/>
  <c r="E127" i="180"/>
  <c r="E141" i="233"/>
  <c r="E137" i="213"/>
  <c r="E133" i="193"/>
  <c r="E128" i="216"/>
  <c r="E124" i="196"/>
  <c r="E143" i="210"/>
  <c r="E138" i="233"/>
  <c r="E134" i="213"/>
  <c r="E130" i="193"/>
  <c r="E145" i="219"/>
  <c r="E141" i="199"/>
  <c r="E136" i="222"/>
  <c r="E132" i="202"/>
  <c r="E147" i="180"/>
  <c r="E142" i="219"/>
  <c r="E138" i="199"/>
  <c r="E133" i="222"/>
  <c r="E129" i="202"/>
  <c r="E144" i="228"/>
  <c r="E140" i="208"/>
  <c r="E136" i="188"/>
  <c r="E131" i="211"/>
  <c r="E127" i="191"/>
  <c r="E137" i="224"/>
  <c r="E133" i="204"/>
  <c r="E128" i="227"/>
  <c r="E124" i="207"/>
  <c r="E148" i="198"/>
  <c r="E143" i="221"/>
  <c r="E139" i="201"/>
  <c r="E135" i="181"/>
  <c r="E130" i="220"/>
  <c r="E137" i="206"/>
  <c r="E133" i="186"/>
  <c r="E128" i="225"/>
  <c r="E124" i="189"/>
  <c r="E147" i="207"/>
  <c r="E143" i="187"/>
  <c r="E138" i="226"/>
  <c r="E134" i="190"/>
  <c r="E129" i="229"/>
  <c r="E144" i="223"/>
  <c r="E140" i="203"/>
  <c r="E136" i="183"/>
  <c r="E131" i="206"/>
  <c r="E94" i="234"/>
  <c r="E62" i="218"/>
  <c r="E97" i="233"/>
  <c r="E64" i="228"/>
  <c r="E117" i="197"/>
  <c r="E147" i="232"/>
  <c r="E98" i="222"/>
  <c r="E145" i="209"/>
  <c r="E72" i="188"/>
  <c r="E113" i="209"/>
  <c r="E148" i="219"/>
  <c r="E75" i="187"/>
  <c r="E93" i="213"/>
  <c r="E137" i="217"/>
  <c r="E146" i="189"/>
  <c r="E118" i="234"/>
  <c r="E143" i="206"/>
  <c r="E91" i="187"/>
  <c r="E142" i="215"/>
  <c r="E92" i="224"/>
  <c r="E123" i="195"/>
  <c r="E133" i="229"/>
  <c r="E148" i="195"/>
  <c r="E93" i="181"/>
  <c r="E147" i="202"/>
  <c r="E143" i="182"/>
  <c r="E138" i="205"/>
  <c r="E134" i="185"/>
  <c r="E129" i="224"/>
  <c r="E146" i="212"/>
  <c r="E142" i="192"/>
  <c r="E137" i="231"/>
  <c r="E133" i="195"/>
  <c r="E144" i="201"/>
  <c r="E140" i="181"/>
  <c r="E135" i="220"/>
  <c r="E131" i="184"/>
  <c r="E126" i="223"/>
  <c r="E141" i="217"/>
  <c r="E137" i="197"/>
  <c r="E132" i="236"/>
  <c r="E128" i="200"/>
  <c r="E148" i="203"/>
  <c r="E143" i="194"/>
  <c r="E138" i="217"/>
  <c r="E134" i="197"/>
  <c r="E148" i="187"/>
  <c r="E145" i="203"/>
  <c r="E141" i="183"/>
  <c r="E136" i="206"/>
  <c r="E132" i="186"/>
  <c r="E146" i="223"/>
  <c r="E142" i="203"/>
  <c r="E138" i="183"/>
  <c r="E133" i="206"/>
  <c r="E129" i="186"/>
  <c r="E144" i="212"/>
  <c r="E140" i="192"/>
  <c r="E135" i="231"/>
  <c r="E131" i="195"/>
  <c r="E126" i="234"/>
  <c r="E137" i="208"/>
  <c r="E133" i="188"/>
  <c r="E128" i="211"/>
  <c r="E124" i="191"/>
  <c r="E148" i="182"/>
  <c r="E143" i="205"/>
  <c r="E139" i="185"/>
  <c r="E134" i="224"/>
  <c r="E130" i="204"/>
  <c r="E137" i="190"/>
  <c r="E132" i="229"/>
  <c r="E90" i="214"/>
  <c r="E62" i="186"/>
  <c r="E94" i="202"/>
  <c r="E64" i="196"/>
  <c r="E113" i="225"/>
  <c r="E147" i="216"/>
  <c r="E95" i="207"/>
  <c r="E141" i="205"/>
  <c r="E69" i="221"/>
  <c r="E109" i="189"/>
  <c r="E144" i="236"/>
  <c r="E73" i="193"/>
  <c r="E89" i="225"/>
  <c r="E133" i="197"/>
  <c r="E145" i="216"/>
  <c r="E114" i="230"/>
  <c r="E142" i="233"/>
  <c r="E87" i="183"/>
  <c r="E142" i="199"/>
  <c r="E89" i="193"/>
  <c r="E119" i="207"/>
  <c r="E129" i="225"/>
  <c r="E148" i="177"/>
  <c r="E88" i="236"/>
  <c r="E147" i="186"/>
  <c r="E142" i="225"/>
  <c r="E138" i="189"/>
  <c r="E133" i="228"/>
  <c r="E59" i="235"/>
  <c r="E146" i="196"/>
  <c r="E141" i="235"/>
  <c r="E137" i="215"/>
  <c r="E133" i="177"/>
  <c r="E144" i="185"/>
  <c r="E139" i="224"/>
  <c r="E135" i="204"/>
  <c r="E130" i="227"/>
  <c r="E126" i="207"/>
  <c r="E141" i="201"/>
  <c r="E137" i="181"/>
  <c r="E132" i="220"/>
  <c r="E128" i="184"/>
  <c r="E147" i="230"/>
  <c r="E142" i="221"/>
  <c r="E138" i="201"/>
  <c r="E134" i="181"/>
  <c r="E147" i="214"/>
  <c r="E145" i="187"/>
  <c r="E140" i="226"/>
  <c r="E136" i="190"/>
  <c r="E131" i="229"/>
  <c r="E146" i="207"/>
  <c r="E142" i="187"/>
  <c r="E137" i="226"/>
  <c r="E133" i="190"/>
  <c r="E128" i="229"/>
  <c r="E144" i="196"/>
  <c r="E139" i="235"/>
  <c r="E135" i="215"/>
  <c r="E131" i="177"/>
  <c r="E126" i="218"/>
  <c r="E137" i="192"/>
  <c r="E132" i="231"/>
  <c r="E128" i="195"/>
  <c r="E123" i="234"/>
  <c r="E147" i="225"/>
  <c r="E143" i="189"/>
  <c r="E138" i="228"/>
  <c r="E134" i="208"/>
  <c r="E141" i="210"/>
  <c r="E136" i="233"/>
  <c r="E132" i="213"/>
  <c r="E128" i="193"/>
  <c r="E123" i="216"/>
  <c r="E146" i="234"/>
  <c r="E142" i="214"/>
  <c r="E138" i="194"/>
  <c r="E133" i="217"/>
  <c r="E129" i="197"/>
  <c r="E144" i="191"/>
  <c r="E139" i="230"/>
  <c r="E135" i="210"/>
  <c r="E130" i="233"/>
  <c r="E85" i="205"/>
  <c r="E61" i="213"/>
  <c r="E90" i="182"/>
  <c r="E64" i="180"/>
  <c r="E109" i="221"/>
  <c r="E147" i="200"/>
  <c r="E91" i="219"/>
  <c r="E137" i="201"/>
  <c r="E67" i="227"/>
  <c r="E97" i="185"/>
  <c r="E140" i="216"/>
  <c r="E71" i="183"/>
  <c r="E85" i="221"/>
  <c r="E129" i="193"/>
  <c r="E144" i="227"/>
  <c r="E110" i="226"/>
  <c r="E142" i="185"/>
  <c r="E82" i="222"/>
  <c r="E142" i="183"/>
  <c r="E81" i="233"/>
  <c r="E81" i="185"/>
  <c r="E61" i="181"/>
  <c r="E86" i="210"/>
  <c r="E63" i="207"/>
  <c r="E97" i="217"/>
  <c r="E147" i="184"/>
  <c r="E87" i="215"/>
  <c r="E133" i="181"/>
  <c r="E148" i="204"/>
  <c r="E91" i="235"/>
  <c r="E136" i="212"/>
  <c r="E68" i="200"/>
  <c r="E81" i="217"/>
  <c r="E125" i="205"/>
  <c r="E144" i="195"/>
  <c r="E107" i="177"/>
  <c r="E141" i="212"/>
  <c r="E77" i="181"/>
  <c r="E141" i="226"/>
  <c r="E77" i="213"/>
  <c r="E108" i="184"/>
  <c r="E115" i="203"/>
  <c r="E146" i="233"/>
  <c r="E80" i="196"/>
  <c r="E146" i="213"/>
  <c r="E142" i="193"/>
  <c r="E137" i="216"/>
  <c r="E133" i="196"/>
  <c r="E58" i="230"/>
  <c r="E145" i="223"/>
  <c r="E141" i="203"/>
  <c r="E137" i="183"/>
  <c r="E132" i="206"/>
  <c r="E143" i="212"/>
  <c r="E139" i="192"/>
  <c r="E134" i="231"/>
  <c r="E130" i="195"/>
  <c r="E125" i="234"/>
  <c r="E140" i="228"/>
  <c r="E136" i="208"/>
  <c r="E132" i="188"/>
  <c r="E127" i="211"/>
  <c r="E146" i="225"/>
  <c r="E142" i="189"/>
  <c r="E137" i="228"/>
  <c r="E133" i="208"/>
  <c r="E148" i="234"/>
  <c r="E144" i="214"/>
  <c r="E140" i="194"/>
  <c r="E135" i="217"/>
  <c r="E131" i="197"/>
  <c r="E145" i="234"/>
  <c r="E141" i="214"/>
  <c r="E137" i="194"/>
  <c r="E132" i="217"/>
  <c r="E128" i="197"/>
  <c r="E143" i="223"/>
  <c r="E139" i="203"/>
  <c r="E135" i="183"/>
  <c r="E130" i="206"/>
  <c r="E141" i="180"/>
  <c r="E136" i="219"/>
  <c r="E132" i="199"/>
  <c r="E127" i="222"/>
  <c r="E112" i="188"/>
  <c r="E147" i="185"/>
  <c r="E131" i="216"/>
  <c r="E135" i="203"/>
  <c r="E144" i="215"/>
  <c r="E132" i="203"/>
  <c r="E140" i="210"/>
  <c r="E130" i="208"/>
  <c r="E139" i="204"/>
  <c r="E129" i="218"/>
  <c r="E140" i="224"/>
  <c r="E131" i="227"/>
  <c r="E138" i="181"/>
  <c r="E129" i="184"/>
  <c r="E120" i="235"/>
  <c r="E141" i="195"/>
  <c r="E133" i="187"/>
  <c r="E136" i="201"/>
  <c r="E129" i="182"/>
  <c r="E122" i="195"/>
  <c r="E143" i="235"/>
  <c r="E137" i="221"/>
  <c r="E132" i="196"/>
  <c r="E145" i="212"/>
  <c r="E140" i="187"/>
  <c r="E134" i="205"/>
  <c r="E129" i="196"/>
  <c r="E124" i="219"/>
  <c r="E145" i="177"/>
  <c r="E140" i="218"/>
  <c r="E136" i="198"/>
  <c r="E131" i="221"/>
  <c r="E146" i="231"/>
  <c r="E142" i="195"/>
  <c r="E137" i="234"/>
  <c r="E133" i="214"/>
  <c r="E129" i="194"/>
  <c r="E125" i="236"/>
  <c r="E121" i="200"/>
  <c r="E117" i="180"/>
  <c r="E112" i="219"/>
  <c r="E130" i="180"/>
  <c r="E120" i="180"/>
  <c r="E146" i="180"/>
  <c r="E130" i="211"/>
  <c r="E134" i="198"/>
  <c r="E143" i="226"/>
  <c r="E131" i="198"/>
  <c r="E139" i="205"/>
  <c r="E130" i="192"/>
  <c r="E139" i="188"/>
  <c r="E128" i="213"/>
  <c r="E139" i="219"/>
  <c r="E130" i="222"/>
  <c r="E136" i="235"/>
  <c r="E128" i="177"/>
  <c r="E148" i="214"/>
  <c r="E140" i="206"/>
  <c r="E132" i="230"/>
  <c r="E135" i="228"/>
  <c r="E128" i="209"/>
  <c r="E122" i="177"/>
  <c r="E143" i="219"/>
  <c r="E137" i="205"/>
  <c r="E132" i="180"/>
  <c r="E145" i="196"/>
  <c r="E139" i="214"/>
  <c r="E134" i="189"/>
  <c r="E129" i="180"/>
  <c r="E124" i="203"/>
  <c r="E144" i="222"/>
  <c r="E140" i="202"/>
  <c r="E136" i="182"/>
  <c r="E131" i="205"/>
  <c r="E146" i="215"/>
  <c r="E142" i="177"/>
  <c r="E137" i="218"/>
  <c r="E133" i="198"/>
  <c r="E128" i="221"/>
  <c r="E125" i="220"/>
  <c r="E121" i="184"/>
  <c r="E116" i="223"/>
  <c r="E112" i="203"/>
  <c r="E129" i="223"/>
  <c r="E125" i="203"/>
  <c r="E121" i="183"/>
  <c r="E116" i="206"/>
  <c r="E112" i="186"/>
  <c r="E107" i="225"/>
  <c r="E121" i="230"/>
  <c r="E117" i="210"/>
  <c r="E112" i="233"/>
  <c r="E108" i="213"/>
  <c r="E96" i="193"/>
  <c r="E119" i="235"/>
  <c r="E115" i="215"/>
  <c r="E111" i="177"/>
  <c r="E129" i="236"/>
  <c r="E125" i="200"/>
  <c r="E121" i="180"/>
  <c r="E116" i="219"/>
  <c r="E112" i="199"/>
  <c r="E128" i="230"/>
  <c r="E124" i="210"/>
  <c r="E119" i="233"/>
  <c r="E115" i="213"/>
  <c r="E111" i="193"/>
  <c r="E126" i="219"/>
  <c r="E122" i="199"/>
  <c r="E117" i="222"/>
  <c r="E113" i="202"/>
  <c r="E109" i="182"/>
  <c r="E124" i="192"/>
  <c r="E119" i="231"/>
  <c r="E115" i="195"/>
  <c r="E110" i="234"/>
  <c r="E98" i="214"/>
  <c r="E116" i="231"/>
  <c r="E112" i="195"/>
  <c r="E107" i="234"/>
  <c r="E128" i="194"/>
  <c r="E123" i="217"/>
  <c r="E119" i="197"/>
  <c r="E114" i="236"/>
  <c r="E110" i="200"/>
  <c r="E118" i="191"/>
  <c r="E113" i="230"/>
  <c r="E148" i="227"/>
  <c r="E142" i="224"/>
  <c r="E129" i="190"/>
  <c r="E133" i="209"/>
  <c r="E142" i="205"/>
  <c r="E130" i="209"/>
  <c r="E139" i="189"/>
  <c r="E148" i="185"/>
  <c r="E138" i="215"/>
  <c r="E147" i="211"/>
  <c r="E138" i="230"/>
  <c r="E129" i="233"/>
  <c r="E136" i="187"/>
  <c r="E127" i="190"/>
  <c r="E147" i="222"/>
  <c r="E141" i="219"/>
  <c r="E128" i="185"/>
  <c r="E132" i="204"/>
  <c r="E141" i="216"/>
  <c r="E147" i="198"/>
  <c r="E138" i="232"/>
  <c r="E147" i="228"/>
  <c r="E137" i="210"/>
  <c r="E147" i="195"/>
  <c r="E138" i="214"/>
  <c r="E129" i="217"/>
  <c r="E135" i="230"/>
  <c r="E126" i="233"/>
  <c r="E147" i="193"/>
  <c r="E139" i="217"/>
  <c r="E131" i="225"/>
  <c r="E135" i="196"/>
  <c r="E127" i="220"/>
  <c r="E148" i="212"/>
  <c r="E142" i="230"/>
  <c r="E136" i="232"/>
  <c r="E130" i="234"/>
  <c r="E144" i="207"/>
  <c r="E139" i="182"/>
  <c r="E133" i="216"/>
  <c r="E128" i="191"/>
  <c r="E148" i="226"/>
  <c r="E144" i="190"/>
  <c r="E139" i="229"/>
  <c r="E135" i="209"/>
  <c r="E130" i="232"/>
  <c r="E146" i="183"/>
  <c r="E141" i="206"/>
  <c r="E137" i="186"/>
  <c r="E132" i="225"/>
  <c r="E129" i="208"/>
  <c r="E125" i="188"/>
  <c r="E120" i="211"/>
  <c r="E116" i="191"/>
  <c r="E111" i="230"/>
  <c r="E129" i="191"/>
  <c r="E124" i="230"/>
  <c r="E120" i="210"/>
  <c r="E115" i="233"/>
  <c r="E111" i="213"/>
  <c r="E125" i="218"/>
  <c r="E121" i="198"/>
  <c r="E116" i="221"/>
  <c r="E112" i="201"/>
  <c r="E108" i="181"/>
  <c r="E123" i="223"/>
  <c r="E119" i="203"/>
  <c r="E115" i="183"/>
  <c r="E110" i="206"/>
  <c r="E108" i="200"/>
  <c r="E138" i="204"/>
  <c r="E127" i="196"/>
  <c r="E131" i="215"/>
  <c r="E141" i="184"/>
  <c r="E148" i="202"/>
  <c r="E137" i="227"/>
  <c r="E147" i="196"/>
  <c r="E136" i="205"/>
  <c r="E147" i="177"/>
  <c r="E138" i="198"/>
  <c r="E129" i="201"/>
  <c r="E135" i="214"/>
  <c r="E126" i="217"/>
  <c r="E146" i="220"/>
  <c r="E138" i="212"/>
  <c r="E131" i="209"/>
  <c r="E135" i="180"/>
  <c r="E127" i="188"/>
  <c r="E148" i="196"/>
  <c r="E142" i="198"/>
  <c r="E136" i="216"/>
  <c r="E130" i="218"/>
  <c r="E143" i="234"/>
  <c r="E138" i="225"/>
  <c r="E133" i="200"/>
  <c r="E127" i="234"/>
  <c r="E148" i="210"/>
  <c r="E143" i="233"/>
  <c r="E139" i="213"/>
  <c r="E135" i="193"/>
  <c r="E130" i="216"/>
  <c r="E145" i="226"/>
  <c r="E141" i="190"/>
  <c r="E136" i="229"/>
  <c r="E132" i="209"/>
  <c r="E129" i="192"/>
  <c r="E124" i="231"/>
  <c r="E120" i="195"/>
  <c r="E115" i="234"/>
  <c r="E111" i="214"/>
  <c r="E128" i="234"/>
  <c r="E124" i="214"/>
  <c r="E120" i="194"/>
  <c r="E115" i="217"/>
  <c r="E111" i="197"/>
  <c r="E125" i="202"/>
  <c r="E121" i="182"/>
  <c r="E116" i="205"/>
  <c r="E112" i="185"/>
  <c r="E107" i="224"/>
  <c r="E123" i="207"/>
  <c r="E119" i="187"/>
  <c r="E114" i="226"/>
  <c r="E110" i="190"/>
  <c r="E84" i="232"/>
  <c r="E137" i="199"/>
  <c r="E126" i="191"/>
  <c r="E131" i="183"/>
  <c r="E140" i="177"/>
  <c r="E148" i="186"/>
  <c r="E137" i="211"/>
  <c r="E146" i="191"/>
  <c r="E136" i="189"/>
  <c r="E146" i="222"/>
  <c r="E138" i="182"/>
  <c r="E129" i="185"/>
  <c r="E135" i="198"/>
  <c r="E126" i="201"/>
  <c r="E146" i="204"/>
  <c r="E138" i="196"/>
  <c r="E130" i="236"/>
  <c r="E134" i="191"/>
  <c r="E126" i="231"/>
  <c r="E148" i="180"/>
  <c r="E142" i="182"/>
  <c r="E136" i="200"/>
  <c r="E130" i="202"/>
  <c r="E143" i="218"/>
  <c r="E138" i="209"/>
  <c r="E133" i="184"/>
  <c r="E127" i="218"/>
  <c r="E148" i="194"/>
  <c r="E143" i="217"/>
  <c r="E139" i="197"/>
  <c r="E134" i="236"/>
  <c r="E130" i="200"/>
  <c r="E145" i="210"/>
  <c r="E140" i="233"/>
  <c r="E136" i="213"/>
  <c r="E132" i="193"/>
  <c r="E128" i="235"/>
  <c r="E124" i="215"/>
  <c r="E120" i="177"/>
  <c r="E147" i="234"/>
  <c r="E133" i="227"/>
  <c r="E144" i="184"/>
  <c r="E129" i="221"/>
  <c r="E139" i="190"/>
  <c r="E147" i="229"/>
  <c r="E137" i="177"/>
  <c r="E145" i="202"/>
  <c r="E135" i="232"/>
  <c r="E145" i="233"/>
  <c r="E137" i="193"/>
  <c r="E128" i="196"/>
  <c r="E146" i="229"/>
  <c r="E132" i="222"/>
  <c r="E143" i="177"/>
  <c r="E128" i="232"/>
  <c r="E138" i="185"/>
  <c r="E146" i="224"/>
  <c r="E135" i="233"/>
  <c r="E145" i="186"/>
  <c r="E134" i="227"/>
  <c r="E145" i="217"/>
  <c r="E136" i="236"/>
  <c r="E128" i="180"/>
  <c r="E134" i="193"/>
  <c r="E125" i="196"/>
  <c r="E145" i="231"/>
  <c r="E137" i="207"/>
  <c r="E140" i="221"/>
  <c r="E133" i="202"/>
  <c r="E126" i="199"/>
  <c r="E147" i="191"/>
  <c r="E141" i="209"/>
  <c r="E135" i="195"/>
  <c r="E129" i="213"/>
  <c r="E143" i="186"/>
  <c r="E137" i="236"/>
  <c r="E132" i="195"/>
  <c r="E127" i="186"/>
  <c r="E147" i="205"/>
  <c r="E143" i="185"/>
  <c r="E138" i="224"/>
  <c r="E134" i="204"/>
  <c r="E129" i="227"/>
  <c r="E144" i="221"/>
  <c r="E140" i="201"/>
  <c r="E136" i="181"/>
  <c r="E131" i="220"/>
  <c r="E128" i="203"/>
  <c r="E124" i="183"/>
  <c r="E119" i="206"/>
  <c r="E115" i="186"/>
  <c r="E110" i="225"/>
  <c r="E128" i="186"/>
  <c r="E143" i="214"/>
  <c r="E144" i="233"/>
  <c r="E142" i="190"/>
  <c r="E127" i="227"/>
  <c r="E137" i="196"/>
  <c r="E145" i="235"/>
  <c r="E135" i="185"/>
  <c r="E144" i="229"/>
  <c r="E134" i="211"/>
  <c r="E145" i="185"/>
  <c r="E136" i="204"/>
  <c r="E127" i="207"/>
  <c r="E133" i="220"/>
  <c r="E124" i="223"/>
  <c r="E145" i="183"/>
  <c r="E142" i="209"/>
  <c r="E143" i="228"/>
  <c r="E141" i="185"/>
  <c r="E127" i="177"/>
  <c r="E137" i="180"/>
  <c r="E144" i="230"/>
  <c r="E134" i="228"/>
  <c r="E143" i="224"/>
  <c r="E134" i="177"/>
  <c r="E144" i="180"/>
  <c r="E135" i="199"/>
  <c r="E141" i="196"/>
  <c r="E132" i="215"/>
  <c r="E123" i="218"/>
  <c r="E144" i="226"/>
  <c r="E136" i="234"/>
  <c r="E139" i="232"/>
  <c r="E132" i="181"/>
  <c r="E125" i="194"/>
  <c r="E146" i="202"/>
  <c r="E140" i="236"/>
  <c r="E134" i="222"/>
  <c r="E128" i="224"/>
  <c r="E142" i="213"/>
  <c r="E137" i="188"/>
  <c r="E131" i="222"/>
  <c r="E126" i="213"/>
  <c r="E146" i="232"/>
  <c r="E142" i="212"/>
  <c r="E138" i="192"/>
  <c r="E133" i="231"/>
  <c r="E148" i="225"/>
  <c r="E144" i="189"/>
  <c r="E139" i="228"/>
  <c r="E135" i="208"/>
  <c r="E131" i="188"/>
  <c r="E127" i="230"/>
  <c r="E123" i="210"/>
  <c r="E118" i="233"/>
  <c r="E114" i="213"/>
  <c r="E110" i="193"/>
  <c r="E127" i="213"/>
  <c r="E123" i="193"/>
  <c r="E118" i="216"/>
  <c r="E114" i="196"/>
  <c r="E139" i="194"/>
  <c r="E140" i="213"/>
  <c r="E140" i="196"/>
  <c r="E126" i="206"/>
  <c r="E136" i="223"/>
  <c r="E144" i="182"/>
  <c r="E134" i="212"/>
  <c r="E143" i="208"/>
  <c r="E132" i="233"/>
  <c r="E143" i="191"/>
  <c r="E134" i="210"/>
  <c r="E140" i="207"/>
  <c r="E131" i="226"/>
  <c r="E123" i="202"/>
  <c r="E144" i="194"/>
  <c r="E136" i="186"/>
  <c r="E139" i="216"/>
  <c r="E131" i="208"/>
  <c r="E124" i="221"/>
  <c r="E146" i="186"/>
  <c r="E140" i="220"/>
  <c r="E134" i="206"/>
  <c r="E128" i="208"/>
  <c r="E142" i="197"/>
  <c r="E136" i="231"/>
  <c r="E131" i="190"/>
  <c r="E126" i="197"/>
  <c r="E146" i="216"/>
  <c r="E142" i="196"/>
  <c r="E137" i="235"/>
  <c r="E133" i="215"/>
  <c r="E148" i="209"/>
  <c r="E143" i="232"/>
  <c r="E139" i="212"/>
  <c r="E135" i="192"/>
  <c r="E130" i="231"/>
  <c r="E127" i="214"/>
  <c r="E123" i="194"/>
  <c r="E137" i="232"/>
  <c r="E139" i="208"/>
  <c r="E139" i="223"/>
  <c r="E125" i="201"/>
  <c r="E135" i="218"/>
  <c r="E143" i="225"/>
  <c r="E133" i="207"/>
  <c r="E142" i="235"/>
  <c r="E132" i="185"/>
  <c r="E142" i="234"/>
  <c r="E134" i="194"/>
  <c r="E140" i="191"/>
  <c r="E131" i="210"/>
  <c r="E122" i="229"/>
  <c r="E142" i="232"/>
  <c r="E135" i="229"/>
  <c r="E139" i="200"/>
  <c r="E131" i="192"/>
  <c r="E124" i="205"/>
  <c r="E145" i="229"/>
  <c r="E139" i="231"/>
  <c r="E133" i="233"/>
  <c r="E128" i="192"/>
  <c r="E142" i="181"/>
  <c r="E136" i="215"/>
  <c r="E130" i="217"/>
  <c r="E126" i="181"/>
  <c r="E146" i="200"/>
  <c r="E142" i="180"/>
  <c r="E137" i="219"/>
  <c r="E133" i="199"/>
  <c r="E148" i="193"/>
  <c r="E143" i="216"/>
  <c r="E139" i="196"/>
  <c r="E134" i="235"/>
  <c r="E130" i="215"/>
  <c r="E127" i="198"/>
  <c r="E122" i="221"/>
  <c r="E118" i="201"/>
  <c r="E114" i="181"/>
  <c r="E109" i="220"/>
  <c r="E127" i="181"/>
  <c r="E122" i="220"/>
  <c r="E118" i="184"/>
  <c r="E113" i="223"/>
  <c r="E109" i="203"/>
  <c r="E123" i="208"/>
  <c r="E119" i="188"/>
  <c r="E114" i="211"/>
  <c r="E134" i="217"/>
  <c r="E138" i="187"/>
  <c r="E138" i="218"/>
  <c r="E124" i="212"/>
  <c r="E134" i="229"/>
  <c r="E143" i="209"/>
  <c r="E133" i="191"/>
  <c r="E141" i="230"/>
  <c r="E131" i="228"/>
  <c r="E142" i="218"/>
  <c r="E133" i="221"/>
  <c r="E139" i="234"/>
  <c r="E131" i="194"/>
  <c r="E122" i="213"/>
  <c r="E142" i="216"/>
  <c r="E135" i="197"/>
  <c r="E138" i="211"/>
  <c r="E130" i="235"/>
  <c r="E123" i="232"/>
  <c r="E145" i="213"/>
  <c r="E139" i="215"/>
  <c r="E133" i="201"/>
  <c r="E127" i="235"/>
  <c r="E141" i="208"/>
  <c r="E136" i="199"/>
  <c r="E133" i="212"/>
  <c r="E136" i="193"/>
  <c r="E137" i="229"/>
  <c r="E147" i="182"/>
  <c r="E133" i="224"/>
  <c r="E142" i="204"/>
  <c r="E132" i="218"/>
  <c r="E141" i="182"/>
  <c r="E131" i="212"/>
  <c r="E142" i="202"/>
  <c r="E133" i="205"/>
  <c r="E139" i="218"/>
  <c r="E130" i="197"/>
  <c r="E135" i="188"/>
  <c r="E136" i="224"/>
  <c r="E146" i="193"/>
  <c r="E132" i="235"/>
  <c r="E142" i="188"/>
  <c r="E131" i="213"/>
  <c r="E140" i="225"/>
  <c r="E59" i="203"/>
  <c r="E134" i="209"/>
  <c r="E134" i="192"/>
  <c r="E126" i="215"/>
  <c r="E138" i="210"/>
  <c r="E141" i="192"/>
  <c r="E128" i="223"/>
  <c r="E142" i="228"/>
  <c r="E132" i="226"/>
  <c r="E142" i="211"/>
  <c r="E131" i="236"/>
  <c r="E122" i="205"/>
  <c r="E114" i="197"/>
  <c r="E128" i="202"/>
  <c r="E121" i="231"/>
  <c r="E115" i="185"/>
  <c r="E109" i="187"/>
  <c r="E122" i="187"/>
  <c r="E115" i="216"/>
  <c r="E110" i="191"/>
  <c r="E97" i="182"/>
  <c r="E119" i="219"/>
  <c r="E113" i="221"/>
  <c r="E108" i="212"/>
  <c r="E127" i="194"/>
  <c r="E122" i="201"/>
  <c r="E117" i="224"/>
  <c r="E113" i="188"/>
  <c r="E129" i="203"/>
  <c r="E124" i="226"/>
  <c r="E119" i="217"/>
  <c r="E115" i="181"/>
  <c r="E110" i="204"/>
  <c r="E125" i="214"/>
  <c r="E120" i="221"/>
  <c r="E116" i="185"/>
  <c r="E111" i="208"/>
  <c r="E126" i="202"/>
  <c r="E121" i="225"/>
  <c r="E116" i="232"/>
  <c r="E112" i="196"/>
  <c r="E107" i="219"/>
  <c r="E117" i="220"/>
  <c r="E112" i="227"/>
  <c r="E108" i="191"/>
  <c r="E127" i="221"/>
  <c r="E123" i="185"/>
  <c r="E118" i="208"/>
  <c r="E113" i="231"/>
  <c r="E121" i="190"/>
  <c r="E116" i="213"/>
  <c r="E111" i="236"/>
  <c r="E107" i="200"/>
  <c r="E125" i="193"/>
  <c r="E120" i="216"/>
  <c r="E116" i="196"/>
  <c r="E111" i="235"/>
  <c r="E107" i="215"/>
  <c r="E121" i="188"/>
  <c r="E116" i="211"/>
  <c r="E112" i="191"/>
  <c r="E107" i="230"/>
  <c r="E126" i="212"/>
  <c r="E122" i="192"/>
  <c r="E117" i="231"/>
  <c r="E113" i="195"/>
  <c r="E108" i="234"/>
  <c r="E125" i="190"/>
  <c r="E120" i="229"/>
  <c r="E116" i="209"/>
  <c r="E111" i="232"/>
  <c r="E108" i="199"/>
  <c r="E95" i="222"/>
  <c r="E91" i="202"/>
  <c r="E87" i="182"/>
  <c r="E82" i="205"/>
  <c r="E78" i="185"/>
  <c r="E95" i="205"/>
  <c r="E91" i="185"/>
  <c r="E86" i="224"/>
  <c r="E82" i="204"/>
  <c r="E77" i="227"/>
  <c r="E91" i="216"/>
  <c r="E87" i="196"/>
  <c r="E82" i="235"/>
  <c r="E133" i="226"/>
  <c r="E130" i="221"/>
  <c r="E133" i="235"/>
  <c r="E125" i="210"/>
  <c r="E137" i="189"/>
  <c r="E140" i="235"/>
  <c r="E127" i="202"/>
  <c r="E141" i="223"/>
  <c r="E132" i="210"/>
  <c r="E141" i="222"/>
  <c r="E131" i="204"/>
  <c r="E122" i="189"/>
  <c r="E113" i="224"/>
  <c r="E127" i="229"/>
  <c r="E121" i="215"/>
  <c r="E114" i="228"/>
  <c r="E108" i="230"/>
  <c r="E121" i="214"/>
  <c r="E115" i="200"/>
  <c r="E109" i="234"/>
  <c r="E96" i="225"/>
  <c r="E118" i="230"/>
  <c r="E113" i="205"/>
  <c r="E108" i="196"/>
  <c r="E126" i="221"/>
  <c r="E122" i="185"/>
  <c r="E117" i="208"/>
  <c r="E112" i="231"/>
  <c r="E129" i="187"/>
  <c r="E124" i="194"/>
  <c r="E119" i="201"/>
  <c r="E114" i="224"/>
  <c r="E110" i="188"/>
  <c r="E125" i="198"/>
  <c r="E120" i="205"/>
  <c r="E115" i="228"/>
  <c r="E111" i="192"/>
  <c r="E126" i="186"/>
  <c r="E121" i="209"/>
  <c r="E116" i="216"/>
  <c r="E112" i="180"/>
  <c r="E107" i="203"/>
  <c r="E117" i="204"/>
  <c r="E112" i="211"/>
  <c r="E107" i="218"/>
  <c r="E127" i="205"/>
  <c r="E122" i="228"/>
  <c r="E118" i="192"/>
  <c r="E135" i="235"/>
  <c r="E129" i="232"/>
  <c r="E133" i="203"/>
  <c r="E123" i="200"/>
  <c r="E136" i="184"/>
  <c r="E140" i="219"/>
  <c r="E126" i="229"/>
  <c r="E141" i="207"/>
  <c r="E132" i="194"/>
  <c r="E140" i="217"/>
  <c r="E130" i="199"/>
  <c r="E121" i="232"/>
  <c r="E113" i="208"/>
  <c r="E127" i="197"/>
  <c r="E121" i="199"/>
  <c r="E114" i="212"/>
  <c r="E108" i="214"/>
  <c r="E120" i="225"/>
  <c r="E115" i="184"/>
  <c r="E109" i="218"/>
  <c r="E96" i="209"/>
  <c r="E118" i="214"/>
  <c r="E113" i="189"/>
  <c r="E108" i="180"/>
  <c r="E126" i="205"/>
  <c r="E121" i="228"/>
  <c r="E117" i="192"/>
  <c r="E112" i="215"/>
  <c r="E128" i="214"/>
  <c r="E123" i="221"/>
  <c r="E119" i="185"/>
  <c r="E114" i="208"/>
  <c r="E109" i="231"/>
  <c r="E125" i="182"/>
  <c r="E120" i="189"/>
  <c r="E115" i="212"/>
  <c r="E110" i="235"/>
  <c r="E125" i="229"/>
  <c r="E121" i="193"/>
  <c r="E116" i="200"/>
  <c r="E111" i="223"/>
  <c r="E107" i="187"/>
  <c r="E117" i="188"/>
  <c r="E112" i="177"/>
  <c r="E107" i="202"/>
  <c r="E127" i="189"/>
  <c r="E122" i="212"/>
  <c r="E117" i="235"/>
  <c r="E113" i="199"/>
  <c r="E120" i="217"/>
  <c r="E116" i="181"/>
  <c r="E111" i="204"/>
  <c r="E145" i="220"/>
  <c r="E129" i="216"/>
  <c r="E132" i="214"/>
  <c r="E123" i="184"/>
  <c r="E135" i="177"/>
  <c r="E139" i="198"/>
  <c r="E125" i="224"/>
  <c r="E141" i="191"/>
  <c r="E131" i="189"/>
  <c r="E140" i="185"/>
  <c r="E130" i="183"/>
  <c r="E121" i="216"/>
  <c r="E113" i="192"/>
  <c r="E126" i="224"/>
  <c r="E120" i="226"/>
  <c r="E114" i="180"/>
  <c r="E108" i="198"/>
  <c r="E120" i="209"/>
  <c r="E114" i="227"/>
  <c r="E109" i="202"/>
  <c r="E124" i="180"/>
  <c r="E118" i="198"/>
  <c r="E132" i="219"/>
  <c r="E125" i="212"/>
  <c r="E141" i="194"/>
  <c r="E122" i="211"/>
  <c r="E133" i="185"/>
  <c r="E138" i="193"/>
  <c r="E125" i="208"/>
  <c r="E140" i="234"/>
  <c r="E130" i="184"/>
  <c r="E139" i="180"/>
  <c r="E129" i="226"/>
  <c r="E120" i="227"/>
  <c r="E112" i="235"/>
  <c r="E126" i="208"/>
  <c r="E119" i="221"/>
  <c r="E113" i="207"/>
  <c r="E108" i="182"/>
  <c r="E120" i="193"/>
  <c r="E114" i="195"/>
  <c r="E109" i="186"/>
  <c r="E123" i="191"/>
  <c r="E118" i="182"/>
  <c r="E112" i="216"/>
  <c r="E107" i="207"/>
  <c r="E125" i="232"/>
  <c r="E121" i="196"/>
  <c r="E116" i="203"/>
  <c r="E111" i="226"/>
  <c r="E128" i="182"/>
  <c r="E123" i="189"/>
  <c r="E118" i="212"/>
  <c r="E113" i="235"/>
  <c r="E109" i="199"/>
  <c r="E124" i="209"/>
  <c r="E119" i="216"/>
  <c r="E115" i="180"/>
  <c r="E110" i="203"/>
  <c r="E125" i="197"/>
  <c r="E120" i="220"/>
  <c r="E115" i="227"/>
  <c r="E111" i="191"/>
  <c r="E98" i="198"/>
  <c r="E116" i="199"/>
  <c r="E111" i="206"/>
  <c r="E98" i="229"/>
  <c r="E126" i="216"/>
  <c r="E141" i="215"/>
  <c r="E122" i="197"/>
  <c r="E140" i="189"/>
  <c r="E121" i="222"/>
  <c r="E132" i="228"/>
  <c r="E137" i="220"/>
  <c r="E125" i="192"/>
  <c r="E140" i="186"/>
  <c r="E129" i="211"/>
  <c r="E138" i="223"/>
  <c r="E129" i="210"/>
  <c r="E119" i="222"/>
  <c r="E112" i="187"/>
  <c r="E126" i="192"/>
  <c r="E119" i="205"/>
  <c r="E113" i="191"/>
  <c r="E107" i="209"/>
  <c r="E119" i="236"/>
  <c r="E114" i="177"/>
  <c r="E108" i="229"/>
  <c r="E122" i="234"/>
  <c r="E117" i="225"/>
  <c r="E112" i="200"/>
  <c r="E107" i="191"/>
  <c r="E125" i="216"/>
  <c r="E120" i="223"/>
  <c r="E130" i="224"/>
  <c r="E122" i="181"/>
  <c r="E138" i="195"/>
  <c r="E140" i="209"/>
  <c r="E121" i="192"/>
  <c r="E137" i="222"/>
  <c r="E146" i="218"/>
  <c r="E131" i="223"/>
  <c r="E135" i="194"/>
  <c r="E123" i="230"/>
  <c r="E138" i="208"/>
  <c r="E147" i="220"/>
  <c r="E138" i="191"/>
  <c r="E128" i="219"/>
  <c r="E118" i="217"/>
  <c r="E111" i="182"/>
  <c r="E125" i="219"/>
  <c r="E118" i="232"/>
  <c r="E112" i="218"/>
  <c r="E124" i="229"/>
  <c r="E119" i="204"/>
  <c r="E113" i="206"/>
  <c r="E107" i="208"/>
  <c r="E122" i="202"/>
  <c r="E117" i="193"/>
  <c r="E111" i="227"/>
  <c r="E129" i="220"/>
  <c r="E124" i="227"/>
  <c r="E120" i="191"/>
  <c r="E115" i="214"/>
  <c r="E110" i="221"/>
  <c r="E127" i="193"/>
  <c r="E122" i="200"/>
  <c r="E117" i="223"/>
  <c r="E113" i="187"/>
  <c r="E108" i="210"/>
  <c r="E123" i="220"/>
  <c r="E118" i="227"/>
  <c r="E114" i="191"/>
  <c r="E109" i="214"/>
  <c r="E124" i="208"/>
  <c r="E119" i="215"/>
  <c r="E114" i="222"/>
  <c r="E110" i="186"/>
  <c r="E120" i="187"/>
  <c r="E115" i="210"/>
  <c r="E110" i="217"/>
  <c r="E98" i="181"/>
  <c r="E125" i="227"/>
  <c r="E121" i="191"/>
  <c r="E116" i="214"/>
  <c r="E111" i="221"/>
  <c r="E119" i="196"/>
  <c r="E114" i="219"/>
  <c r="E110" i="183"/>
  <c r="E127" i="219"/>
  <c r="E123" i="199"/>
  <c r="E118" i="222"/>
  <c r="E130" i="207"/>
  <c r="E147" i="209"/>
  <c r="E136" i="217"/>
  <c r="E145" i="197"/>
  <c r="E130" i="186"/>
  <c r="E134" i="221"/>
  <c r="E147" i="221"/>
  <c r="E137" i="203"/>
  <c r="E147" i="204"/>
  <c r="E137" i="202"/>
  <c r="E128" i="187"/>
  <c r="E118" i="185"/>
  <c r="E110" i="209"/>
  <c r="E125" i="187"/>
  <c r="E118" i="200"/>
  <c r="E112" i="202"/>
  <c r="E124" i="213"/>
  <c r="E118" i="231"/>
  <c r="E113" i="190"/>
  <c r="E107" i="192"/>
  <c r="E122" i="186"/>
  <c r="E116" i="236"/>
  <c r="E111" i="211"/>
  <c r="E129" i="204"/>
  <c r="E124" i="211"/>
  <c r="E119" i="234"/>
  <c r="E115" i="198"/>
  <c r="E110" i="205"/>
  <c r="E126" i="236"/>
  <c r="E122" i="184"/>
  <c r="E117" i="207"/>
  <c r="E112" i="230"/>
  <c r="E108" i="194"/>
  <c r="E123" i="204"/>
  <c r="E118" i="211"/>
  <c r="E113" i="234"/>
  <c r="E109" i="198"/>
  <c r="E123" i="235"/>
  <c r="E119" i="199"/>
  <c r="E114" i="206"/>
  <c r="E109" i="229"/>
  <c r="E119" i="230"/>
  <c r="E115" i="194"/>
  <c r="E110" i="201"/>
  <c r="E97" i="224"/>
  <c r="E125" i="211"/>
  <c r="E120" i="234"/>
  <c r="E116" i="198"/>
  <c r="E111" i="205"/>
  <c r="E119" i="180"/>
  <c r="E114" i="203"/>
  <c r="E109" i="226"/>
  <c r="E127" i="203"/>
  <c r="E123" i="183"/>
  <c r="E118" i="206"/>
  <c r="E114" i="186"/>
  <c r="E109" i="225"/>
  <c r="E130" i="191"/>
  <c r="E146" i="188"/>
  <c r="E135" i="212"/>
  <c r="E145" i="181"/>
  <c r="E129" i="181"/>
  <c r="E133" i="232"/>
  <c r="E147" i="189"/>
  <c r="E137" i="187"/>
  <c r="E147" i="188"/>
  <c r="E136" i="197"/>
  <c r="E127" i="182"/>
  <c r="E117" i="228"/>
  <c r="E109" i="236"/>
  <c r="E124" i="198"/>
  <c r="E117" i="227"/>
  <c r="E111" i="229"/>
  <c r="E124" i="197"/>
  <c r="E118" i="215"/>
  <c r="E112" i="217"/>
  <c r="E98" i="235"/>
  <c r="E121" i="229"/>
  <c r="E116" i="220"/>
  <c r="E111" i="195"/>
  <c r="E129" i="188"/>
  <c r="E124" i="195"/>
  <c r="E119" i="218"/>
  <c r="E115" i="182"/>
  <c r="E110" i="189"/>
  <c r="E126" i="220"/>
  <c r="E121" i="227"/>
  <c r="E117" i="191"/>
  <c r="E112" i="214"/>
  <c r="E127" i="224"/>
  <c r="E123" i="188"/>
  <c r="E118" i="195"/>
  <c r="E113" i="218"/>
  <c r="E108" i="225"/>
  <c r="E123" i="219"/>
  <c r="E119" i="183"/>
  <c r="E114" i="190"/>
  <c r="E109" i="213"/>
  <c r="E119" i="214"/>
  <c r="E114" i="221"/>
  <c r="E110" i="185"/>
  <c r="E130" i="188"/>
  <c r="E125" i="195"/>
  <c r="E120" i="218"/>
  <c r="E116" i="182"/>
  <c r="E111" i="189"/>
  <c r="E118" i="223"/>
  <c r="E114" i="187"/>
  <c r="E109" i="210"/>
  <c r="E127" i="187"/>
  <c r="E122" i="226"/>
  <c r="E118" i="190"/>
  <c r="E113" i="229"/>
  <c r="E109" i="209"/>
  <c r="E123" i="182"/>
  <c r="E118" i="205"/>
  <c r="E141" i="213"/>
  <c r="E142" i="184"/>
  <c r="E133" i="234"/>
  <c r="E144" i="192"/>
  <c r="E147" i="190"/>
  <c r="E132" i="211"/>
  <c r="E146" i="184"/>
  <c r="E136" i="230"/>
  <c r="E146" i="199"/>
  <c r="E135" i="224"/>
  <c r="E126" i="225"/>
  <c r="E117" i="212"/>
  <c r="E109" i="204"/>
  <c r="E124" i="182"/>
  <c r="E117" i="211"/>
  <c r="E111" i="181"/>
  <c r="E124" i="181"/>
  <c r="E118" i="199"/>
  <c r="E111" i="228"/>
  <c r="E98" i="219"/>
  <c r="E121" i="213"/>
  <c r="E116" i="204"/>
  <c r="E110" i="222"/>
  <c r="E128" i="231"/>
  <c r="E124" i="177"/>
  <c r="E119" i="202"/>
  <c r="E114" i="225"/>
  <c r="E109" i="232"/>
  <c r="E126" i="204"/>
  <c r="E121" i="211"/>
  <c r="E116" i="234"/>
  <c r="E112" i="198"/>
  <c r="E127" i="208"/>
  <c r="E122" i="231"/>
  <c r="E118" i="177"/>
  <c r="E113" i="186"/>
  <c r="E108" i="209"/>
  <c r="E123" i="203"/>
  <c r="E118" i="226"/>
  <c r="E113" i="233"/>
  <c r="E109" i="197"/>
  <c r="E119" i="198"/>
  <c r="E114" i="205"/>
  <c r="E109" i="228"/>
  <c r="E129" i="231"/>
  <c r="E125" i="177"/>
  <c r="E120" i="202"/>
  <c r="E115" i="225"/>
  <c r="E110" i="232"/>
  <c r="E118" i="207"/>
  <c r="E113" i="214"/>
  <c r="E109" i="194"/>
  <c r="E126" i="230"/>
  <c r="E122" i="210"/>
  <c r="E117" i="233"/>
  <c r="E113" i="213"/>
  <c r="E109" i="193"/>
  <c r="E122" i="225"/>
  <c r="E118" i="189"/>
  <c r="E113" i="228"/>
  <c r="E109" i="208"/>
  <c r="E128" i="190"/>
  <c r="E123" i="229"/>
  <c r="E141" i="197"/>
  <c r="E141" i="227"/>
  <c r="E132" i="197"/>
  <c r="E143" i="203"/>
  <c r="E146" i="217"/>
  <c r="E132" i="177"/>
  <c r="E145" i="227"/>
  <c r="E136" i="214"/>
  <c r="E145" i="194"/>
  <c r="E134" i="219"/>
  <c r="E126" i="209"/>
  <c r="E117" i="196"/>
  <c r="E109" i="188"/>
  <c r="E123" i="225"/>
  <c r="E117" i="195"/>
  <c r="E110" i="224"/>
  <c r="E123" i="224"/>
  <c r="E118" i="183"/>
  <c r="E111" i="212"/>
  <c r="E98" i="203"/>
  <c r="E121" i="197"/>
  <c r="E116" i="188"/>
  <c r="E109" i="233"/>
  <c r="E128" i="215"/>
  <c r="E123" i="222"/>
  <c r="E119" i="186"/>
  <c r="E114" i="209"/>
  <c r="E109" i="216"/>
  <c r="E126" i="188"/>
  <c r="E121" i="195"/>
  <c r="E116" i="218"/>
  <c r="E112" i="182"/>
  <c r="E127" i="192"/>
  <c r="E122" i="215"/>
  <c r="E117" i="206"/>
  <c r="E112" i="229"/>
  <c r="E108" i="193"/>
  <c r="E132" i="216"/>
  <c r="E141" i="211"/>
  <c r="E130" i="219"/>
  <c r="E141" i="225"/>
  <c r="E145" i="228"/>
  <c r="E130" i="201"/>
  <c r="E145" i="211"/>
  <c r="E135" i="225"/>
  <c r="E144" i="205"/>
  <c r="E134" i="203"/>
  <c r="E126" i="193"/>
  <c r="E116" i="207"/>
  <c r="E130" i="212"/>
  <c r="E123" i="209"/>
  <c r="E117" i="177"/>
  <c r="E110" i="208"/>
  <c r="E123" i="192"/>
  <c r="E117" i="226"/>
  <c r="E111" i="196"/>
  <c r="E98" i="187"/>
  <c r="E121" i="181"/>
  <c r="E115" i="231"/>
  <c r="E109" i="217"/>
  <c r="E128" i="199"/>
  <c r="E123" i="206"/>
  <c r="E118" i="229"/>
  <c r="E114" i="193"/>
  <c r="E109" i="200"/>
  <c r="E125" i="231"/>
  <c r="E121" i="177"/>
  <c r="E116" i="202"/>
  <c r="E111" i="225"/>
  <c r="E126" i="235"/>
  <c r="E122" i="183"/>
  <c r="E117" i="190"/>
  <c r="E112" i="213"/>
  <c r="E107" i="236"/>
  <c r="E122" i="230"/>
  <c r="E118" i="194"/>
  <c r="E113" i="201"/>
  <c r="E108" i="224"/>
  <c r="E118" i="225"/>
  <c r="E113" i="232"/>
  <c r="E109" i="196"/>
  <c r="E129" i="199"/>
  <c r="E124" i="206"/>
  <c r="E119" i="229"/>
  <c r="E115" i="193"/>
  <c r="E110" i="184"/>
  <c r="E117" i="218"/>
  <c r="E113" i="182"/>
  <c r="E108" i="205"/>
  <c r="E126" i="198"/>
  <c r="E121" i="221"/>
  <c r="E117" i="201"/>
  <c r="E113" i="181"/>
  <c r="E108" i="220"/>
  <c r="E122" i="193"/>
  <c r="E117" i="216"/>
  <c r="E113" i="196"/>
  <c r="E108" i="235"/>
  <c r="E127" i="217"/>
  <c r="E123" i="197"/>
  <c r="E118" i="236"/>
  <c r="E114" i="200"/>
  <c r="E110" i="180"/>
  <c r="E132" i="200"/>
  <c r="E140" i="190"/>
  <c r="E129" i="230"/>
  <c r="E141" i="193"/>
  <c r="E145" i="180"/>
  <c r="E130" i="185"/>
  <c r="E145" i="195"/>
  <c r="E134" i="220"/>
  <c r="E143" i="200"/>
  <c r="E138" i="229"/>
  <c r="E137" i="223"/>
  <c r="E129" i="214"/>
  <c r="E139" i="199"/>
  <c r="E143" i="202"/>
  <c r="E129" i="228"/>
  <c r="E144" i="206"/>
  <c r="E134" i="188"/>
  <c r="E143" i="184"/>
  <c r="E133" i="230"/>
  <c r="E124" i="199"/>
  <c r="E115" i="202"/>
  <c r="E129" i="207"/>
  <c r="E122" i="204"/>
  <c r="E116" i="190"/>
  <c r="E109" i="235"/>
  <c r="E122" i="219"/>
  <c r="E116" i="189"/>
  <c r="E110" i="223"/>
  <c r="E97" i="214"/>
  <c r="E120" i="208"/>
  <c r="E114" i="210"/>
  <c r="E109" i="185"/>
  <c r="E127" i="226"/>
  <c r="E122" i="233"/>
  <c r="E118" i="197"/>
  <c r="E113" i="220"/>
  <c r="E108" i="227"/>
  <c r="E125" i="199"/>
  <c r="E120" i="206"/>
  <c r="E115" i="229"/>
  <c r="E110" i="236"/>
  <c r="E126" i="187"/>
  <c r="E121" i="210"/>
  <c r="E116" i="217"/>
  <c r="E112" i="181"/>
  <c r="E107" i="204"/>
  <c r="E122" i="198"/>
  <c r="E117" i="205"/>
  <c r="E112" i="228"/>
  <c r="E108" i="192"/>
  <c r="E118" i="193"/>
  <c r="E113" i="200"/>
  <c r="E108" i="223"/>
  <c r="E128" i="226"/>
  <c r="E123" i="233"/>
  <c r="E119" i="181"/>
  <c r="E114" i="204"/>
  <c r="E109" i="211"/>
  <c r="E117" i="186"/>
  <c r="E112" i="209"/>
  <c r="E107" i="232"/>
  <c r="E125" i="225"/>
  <c r="E121" i="189"/>
  <c r="E116" i="228"/>
  <c r="E112" i="208"/>
  <c r="E108" i="188"/>
  <c r="E121" i="220"/>
  <c r="E117" i="184"/>
  <c r="E112" i="223"/>
  <c r="E108" i="203"/>
  <c r="E127" i="185"/>
  <c r="E138" i="213"/>
  <c r="E134" i="187"/>
  <c r="E115" i="201"/>
  <c r="E122" i="218"/>
  <c r="E123" i="190"/>
  <c r="E128" i="198"/>
  <c r="E113" i="219"/>
  <c r="E119" i="184"/>
  <c r="E123" i="187"/>
  <c r="E110" i="218"/>
  <c r="E113" i="184"/>
  <c r="E124" i="222"/>
  <c r="E114" i="188"/>
  <c r="E116" i="229"/>
  <c r="E107" i="216"/>
  <c r="E122" i="194"/>
  <c r="E114" i="234"/>
  <c r="E107" i="199"/>
  <c r="E119" i="210"/>
  <c r="E113" i="180"/>
  <c r="E107" i="182"/>
  <c r="E124" i="218"/>
  <c r="E119" i="209"/>
  <c r="E114" i="184"/>
  <c r="E109" i="191"/>
  <c r="E124" i="233"/>
  <c r="E120" i="197"/>
  <c r="E115" i="220"/>
  <c r="E110" i="227"/>
  <c r="E98" i="221"/>
  <c r="E94" i="185"/>
  <c r="E89" i="208"/>
  <c r="E84" i="231"/>
  <c r="E80" i="177"/>
  <c r="E97" i="199"/>
  <c r="E92" i="206"/>
  <c r="E87" i="229"/>
  <c r="E83" i="193"/>
  <c r="E78" i="200"/>
  <c r="E91" i="232"/>
  <c r="E137" i="191"/>
  <c r="E133" i="182"/>
  <c r="E112" i="234"/>
  <c r="E120" i="224"/>
  <c r="E122" i="217"/>
  <c r="E127" i="225"/>
  <c r="E113" i="203"/>
  <c r="E116" i="233"/>
  <c r="E122" i="214"/>
  <c r="E110" i="202"/>
  <c r="E111" i="222"/>
  <c r="E124" i="190"/>
  <c r="E113" i="215"/>
  <c r="E127" i="236"/>
  <c r="E128" i="205"/>
  <c r="E110" i="192"/>
  <c r="E120" i="192"/>
  <c r="E121" i="212"/>
  <c r="E127" i="209"/>
  <c r="E111" i="209"/>
  <c r="E116" i="201"/>
  <c r="E122" i="182"/>
  <c r="E109" i="181"/>
  <c r="E111" i="190"/>
  <c r="E123" i="201"/>
  <c r="E113" i="183"/>
  <c r="E115" i="224"/>
  <c r="E98" i="227"/>
  <c r="E120" i="232"/>
  <c r="E114" i="202"/>
  <c r="E98" i="226"/>
  <c r="E118" i="221"/>
  <c r="E111" i="234"/>
  <c r="E98" i="209"/>
  <c r="E124" i="186"/>
  <c r="E118" i="220"/>
  <c r="E113" i="211"/>
  <c r="E108" i="202"/>
  <c r="E124" i="201"/>
  <c r="E119" i="224"/>
  <c r="E115" i="188"/>
  <c r="E110" i="195"/>
  <c r="E98" i="189"/>
  <c r="E93" i="212"/>
  <c r="E88" i="235"/>
  <c r="E84" i="199"/>
  <c r="E79" i="206"/>
  <c r="E96" i="226"/>
  <c r="E91" i="233"/>
  <c r="E87" i="197"/>
  <c r="E82" i="220"/>
  <c r="E95" i="236"/>
  <c r="E91" i="184"/>
  <c r="E86" i="207"/>
  <c r="E81" i="230"/>
  <c r="E77" i="210"/>
  <c r="E95" i="203"/>
  <c r="E91" i="183"/>
  <c r="E86" i="206"/>
  <c r="E82" i="186"/>
  <c r="E77" i="225"/>
  <c r="E96" i="191"/>
  <c r="E91" i="230"/>
  <c r="E87" i="210"/>
  <c r="E82" i="233"/>
  <c r="E78" i="213"/>
  <c r="E95" i="217"/>
  <c r="E91" i="197"/>
  <c r="E86" i="236"/>
  <c r="E82" i="200"/>
  <c r="E98" i="215"/>
  <c r="E147" i="223"/>
  <c r="E125" i="204"/>
  <c r="E109" i="219"/>
  <c r="E117" i="209"/>
  <c r="E120" i="207"/>
  <c r="E125" i="215"/>
  <c r="E110" i="220"/>
  <c r="E115" i="196"/>
  <c r="E120" i="236"/>
  <c r="E108" i="208"/>
  <c r="E110" i="233"/>
  <c r="E122" i="196"/>
  <c r="E112" i="226"/>
  <c r="E115" i="208"/>
  <c r="E98" i="211"/>
  <c r="E139" i="183"/>
  <c r="E123" i="226"/>
  <c r="E125" i="186"/>
  <c r="E115" i="199"/>
  <c r="E118" i="213"/>
  <c r="E125" i="183"/>
  <c r="E109" i="215"/>
  <c r="E114" i="223"/>
  <c r="E120" i="204"/>
  <c r="E107" i="235"/>
  <c r="E109" i="212"/>
  <c r="E122" i="180"/>
  <c r="E112" i="210"/>
  <c r="E115" i="192"/>
  <c r="E98" i="195"/>
  <c r="E120" i="184"/>
  <c r="E112" i="224"/>
  <c r="E98" i="194"/>
  <c r="E117" i="200"/>
  <c r="E111" i="202"/>
  <c r="E129" i="177"/>
  <c r="E123" i="181"/>
  <c r="E118" i="188"/>
  <c r="E112" i="222"/>
  <c r="E107" i="229"/>
  <c r="E123" i="228"/>
  <c r="E119" i="192"/>
  <c r="E114" i="215"/>
  <c r="E109" i="222"/>
  <c r="E97" i="216"/>
  <c r="E93" i="180"/>
  <c r="E88" i="203"/>
  <c r="E83" i="226"/>
  <c r="E78" i="233"/>
  <c r="E96" i="194"/>
  <c r="E91" i="201"/>
  <c r="E86" i="208"/>
  <c r="E81" i="231"/>
  <c r="E95" i="204"/>
  <c r="E90" i="211"/>
  <c r="E85" i="234"/>
  <c r="E81" i="198"/>
  <c r="E76" i="221"/>
  <c r="E94" i="230"/>
  <c r="E90" i="210"/>
  <c r="E85" i="233"/>
  <c r="E81" i="213"/>
  <c r="E108" i="177"/>
  <c r="E95" i="218"/>
  <c r="E91" i="198"/>
  <c r="E86" i="221"/>
  <c r="E82" i="201"/>
  <c r="E107" i="205"/>
  <c r="E95" i="185"/>
  <c r="E132" i="212"/>
  <c r="E119" i="190"/>
  <c r="E122" i="235"/>
  <c r="E114" i="194"/>
  <c r="E118" i="181"/>
  <c r="E123" i="205"/>
  <c r="E109" i="183"/>
  <c r="E114" i="207"/>
  <c r="E120" i="188"/>
  <c r="E98" i="230"/>
  <c r="E109" i="180"/>
  <c r="E121" i="223"/>
  <c r="E112" i="194"/>
  <c r="E114" i="235"/>
  <c r="E98" i="177"/>
  <c r="E119" i="227"/>
  <c r="E112" i="192"/>
  <c r="E97" i="221"/>
  <c r="E116" i="227"/>
  <c r="E111" i="186"/>
  <c r="E128" i="222"/>
  <c r="E122" i="224"/>
  <c r="E117" i="215"/>
  <c r="E112" i="206"/>
  <c r="E128" i="189"/>
  <c r="E123" i="212"/>
  <c r="E118" i="235"/>
  <c r="E114" i="199"/>
  <c r="E109" i="206"/>
  <c r="E97" i="200"/>
  <c r="E92" i="223"/>
  <c r="E88" i="187"/>
  <c r="E83" i="210"/>
  <c r="E78" i="217"/>
  <c r="E95" i="221"/>
  <c r="E90" i="228"/>
  <c r="E86" i="192"/>
  <c r="E81" i="215"/>
  <c r="E95" i="188"/>
  <c r="E90" i="195"/>
  <c r="E85" i="218"/>
  <c r="E81" i="182"/>
  <c r="E76" i="205"/>
  <c r="E94" i="214"/>
  <c r="E90" i="194"/>
  <c r="E85" i="217"/>
  <c r="E81" i="197"/>
  <c r="E107" i="222"/>
  <c r="E95" i="202"/>
  <c r="E91" i="182"/>
  <c r="E86" i="205"/>
  <c r="E82" i="185"/>
  <c r="E107" i="189"/>
  <c r="E94" i="228"/>
  <c r="E142" i="229"/>
  <c r="E115" i="218"/>
  <c r="E122" i="203"/>
  <c r="E112" i="232"/>
  <c r="E116" i="235"/>
  <c r="E122" i="232"/>
  <c r="E108" i="226"/>
  <c r="E112" i="197"/>
  <c r="E118" i="210"/>
  <c r="E120" i="219"/>
  <c r="E108" i="207"/>
  <c r="E121" i="207"/>
  <c r="E110" i="216"/>
  <c r="E113" i="198"/>
  <c r="E97" i="222"/>
  <c r="E119" i="211"/>
  <c r="E111" i="219"/>
  <c r="E123" i="214"/>
  <c r="E116" i="195"/>
  <c r="E110" i="229"/>
  <c r="E128" i="206"/>
  <c r="E122" i="208"/>
  <c r="E117" i="199"/>
  <c r="E112" i="190"/>
  <c r="E127" i="232"/>
  <c r="E123" i="196"/>
  <c r="E118" i="219"/>
  <c r="E114" i="183"/>
  <c r="E109" i="190"/>
  <c r="E97" i="184"/>
  <c r="E92" i="207"/>
  <c r="E87" i="230"/>
  <c r="E83" i="194"/>
  <c r="E135" i="226"/>
  <c r="E114" i="229"/>
  <c r="E119" i="220"/>
  <c r="E112" i="184"/>
  <c r="E116" i="187"/>
  <c r="E122" i="216"/>
  <c r="E126" i="203"/>
  <c r="E111" i="224"/>
  <c r="E117" i="221"/>
  <c r="E120" i="203"/>
  <c r="E107" i="186"/>
  <c r="E120" i="186"/>
  <c r="E109" i="227"/>
  <c r="E112" i="225"/>
  <c r="E126" i="214"/>
  <c r="E119" i="195"/>
  <c r="E111" i="203"/>
  <c r="E123" i="198"/>
  <c r="E116" i="177"/>
  <c r="E110" i="213"/>
  <c r="E127" i="233"/>
  <c r="E121" i="235"/>
  <c r="E117" i="183"/>
  <c r="E111" i="233"/>
  <c r="E127" i="216"/>
  <c r="E123" i="180"/>
  <c r="E118" i="203"/>
  <c r="E113" i="226"/>
  <c r="E108" i="233"/>
  <c r="E96" i="227"/>
  <c r="E92" i="191"/>
  <c r="E87" i="214"/>
  <c r="E82" i="221"/>
  <c r="E77" i="228"/>
  <c r="E94" i="232"/>
  <c r="E90" i="196"/>
  <c r="E85" i="219"/>
  <c r="E81" i="183"/>
  <c r="E94" i="215"/>
  <c r="E89" i="222"/>
  <c r="E85" i="186"/>
  <c r="E80" i="209"/>
  <c r="E98" i="202"/>
  <c r="E94" i="182"/>
  <c r="E89" i="205"/>
  <c r="E85" i="185"/>
  <c r="E80" i="224"/>
  <c r="E107" i="190"/>
  <c r="E94" i="229"/>
  <c r="E90" i="209"/>
  <c r="E85" i="232"/>
  <c r="E81" i="212"/>
  <c r="E98" i="216"/>
  <c r="E94" i="196"/>
  <c r="E89" i="235"/>
  <c r="E85" i="215"/>
  <c r="E81" i="177"/>
  <c r="E97" i="194"/>
  <c r="E92" i="217"/>
  <c r="E88" i="197"/>
  <c r="E83" i="236"/>
  <c r="E79" i="200"/>
  <c r="E95" i="231"/>
  <c r="E91" i="195"/>
  <c r="E86" i="234"/>
  <c r="E82" i="214"/>
  <c r="E78" i="194"/>
  <c r="E93" i="204"/>
  <c r="E88" i="227"/>
  <c r="E84" i="207"/>
  <c r="E80" i="187"/>
  <c r="E107" i="201"/>
  <c r="E95" i="181"/>
  <c r="E90" i="220"/>
  <c r="E86" i="184"/>
  <c r="E81" i="223"/>
  <c r="E94" i="223"/>
  <c r="E90" i="203"/>
  <c r="E86" i="183"/>
  <c r="E81" i="206"/>
  <c r="E97" i="205"/>
  <c r="E93" i="185"/>
  <c r="E88" i="224"/>
  <c r="E84" i="204"/>
  <c r="E79" i="227"/>
  <c r="E129" i="212"/>
  <c r="E111" i="198"/>
  <c r="E117" i="194"/>
  <c r="E109" i="201"/>
  <c r="E115" i="230"/>
  <c r="E120" i="222"/>
  <c r="E125" i="230"/>
  <c r="E110" i="219"/>
  <c r="E117" i="189"/>
  <c r="E119" i="182"/>
  <c r="E98" i="213"/>
  <c r="E119" i="213"/>
  <c r="E109" i="195"/>
  <c r="E112" i="193"/>
  <c r="E126" i="182"/>
  <c r="E119" i="177"/>
  <c r="E111" i="187"/>
  <c r="E122" i="209"/>
  <c r="E115" i="222"/>
  <c r="E110" i="197"/>
  <c r="E127" i="201"/>
  <c r="E121" i="219"/>
  <c r="E116" i="226"/>
  <c r="E111" i="217"/>
  <c r="E127" i="200"/>
  <c r="E122" i="223"/>
  <c r="E118" i="187"/>
  <c r="E113" i="210"/>
  <c r="E108" i="217"/>
  <c r="E96" i="211"/>
  <c r="E91" i="234"/>
  <c r="E87" i="198"/>
  <c r="E82" i="189"/>
  <c r="E77" i="212"/>
  <c r="E94" i="216"/>
  <c r="E90" i="180"/>
  <c r="E85" i="203"/>
  <c r="E124" i="235"/>
  <c r="E130" i="196"/>
  <c r="E115" i="232"/>
  <c r="E108" i="228"/>
  <c r="E113" i="236"/>
  <c r="E120" i="190"/>
  <c r="E124" i="225"/>
  <c r="E110" i="187"/>
  <c r="E116" i="184"/>
  <c r="E118" i="209"/>
  <c r="E98" i="197"/>
  <c r="E118" i="224"/>
  <c r="E120" i="233"/>
  <c r="E111" i="220"/>
  <c r="E125" i="209"/>
  <c r="E117" i="217"/>
  <c r="E110" i="230"/>
  <c r="E121" i="236"/>
  <c r="E115" i="206"/>
  <c r="E110" i="181"/>
  <c r="E126" i="228"/>
  <c r="E121" i="203"/>
  <c r="E116" i="210"/>
  <c r="E111" i="201"/>
  <c r="E127" i="184"/>
  <c r="E122" i="207"/>
  <c r="E117" i="230"/>
  <c r="E113" i="194"/>
  <c r="E108" i="201"/>
  <c r="E96" i="195"/>
  <c r="E91" i="218"/>
  <c r="E86" i="225"/>
  <c r="E81" i="232"/>
  <c r="E107" i="193"/>
  <c r="E94" i="200"/>
  <c r="E89" i="223"/>
  <c r="E85" i="187"/>
  <c r="E143" i="201"/>
  <c r="E128" i="218"/>
  <c r="E113" i="222"/>
  <c r="E107" i="223"/>
  <c r="E113" i="204"/>
  <c r="E118" i="228"/>
  <c r="E124" i="193"/>
  <c r="E109" i="230"/>
  <c r="E115" i="211"/>
  <c r="E117" i="236"/>
  <c r="E129" i="215"/>
  <c r="E117" i="219"/>
  <c r="E120" i="201"/>
  <c r="E111" i="188"/>
  <c r="E124" i="236"/>
  <c r="E117" i="185"/>
  <c r="E110" i="214"/>
  <c r="E121" i="204"/>
  <c r="E115" i="190"/>
  <c r="E109" i="224"/>
  <c r="E126" i="196"/>
  <c r="E121" i="187"/>
  <c r="E116" i="194"/>
  <c r="E111" i="185"/>
  <c r="E126" i="227"/>
  <c r="E122" i="191"/>
  <c r="E117" i="214"/>
  <c r="E112" i="221"/>
  <c r="E108" i="231"/>
  <c r="E96" i="177"/>
  <c r="E91" i="186"/>
  <c r="E86" i="209"/>
  <c r="E81" i="216"/>
  <c r="E98" i="236"/>
  <c r="E94" i="184"/>
  <c r="E89" i="207"/>
  <c r="E84" i="230"/>
  <c r="E80" i="194"/>
  <c r="E93" i="226"/>
  <c r="E88" i="233"/>
  <c r="E84" i="197"/>
  <c r="E79" i="220"/>
  <c r="E97" i="213"/>
  <c r="E139" i="181"/>
  <c r="E125" i="235"/>
  <c r="E111" i="180"/>
  <c r="E98" i="234"/>
  <c r="E112" i="183"/>
  <c r="E118" i="196"/>
  <c r="E123" i="236"/>
  <c r="E107" i="220"/>
  <c r="E115" i="177"/>
  <c r="E116" i="215"/>
  <c r="E129" i="183"/>
  <c r="E117" i="203"/>
  <c r="E120" i="185"/>
  <c r="E110" i="231"/>
  <c r="E124" i="220"/>
  <c r="E116" i="212"/>
  <c r="E110" i="198"/>
  <c r="E120" i="231"/>
  <c r="E114" i="233"/>
  <c r="E109" i="192"/>
  <c r="E126" i="180"/>
  <c r="E120" i="230"/>
  <c r="E115" i="221"/>
  <c r="E110" i="228"/>
  <c r="E126" i="211"/>
  <c r="E121" i="234"/>
  <c r="E117" i="198"/>
  <c r="E112" i="205"/>
  <c r="E108" i="215"/>
  <c r="E95" i="206"/>
  <c r="E90" i="229"/>
  <c r="E133" i="183"/>
  <c r="E122" i="236"/>
  <c r="E110" i="207"/>
  <c r="E128" i="183"/>
  <c r="E111" i="210"/>
  <c r="E118" i="180"/>
  <c r="E121" i="226"/>
  <c r="E107" i="188"/>
  <c r="E113" i="217"/>
  <c r="E116" i="183"/>
  <c r="E128" i="210"/>
  <c r="E117" i="187"/>
  <c r="E119" i="228"/>
  <c r="E110" i="215"/>
  <c r="E124" i="204"/>
  <c r="E116" i="180"/>
  <c r="E110" i="182"/>
  <c r="E120" i="215"/>
  <c r="E114" i="217"/>
  <c r="E108" i="219"/>
  <c r="E125" i="223"/>
  <c r="E120" i="214"/>
  <c r="E115" i="205"/>
  <c r="E110" i="212"/>
  <c r="E126" i="195"/>
  <c r="E121" i="218"/>
  <c r="E117" i="182"/>
  <c r="E112" i="189"/>
  <c r="E108" i="183"/>
  <c r="E95" i="190"/>
  <c r="E90" i="213"/>
  <c r="E85" i="236"/>
  <c r="E81" i="184"/>
  <c r="E98" i="204"/>
  <c r="E93" i="211"/>
  <c r="E88" i="234"/>
  <c r="E84" i="198"/>
  <c r="E79" i="205"/>
  <c r="E93" i="194"/>
  <c r="E88" i="201"/>
  <c r="E83" i="224"/>
  <c r="E79" i="188"/>
  <c r="E97" i="181"/>
  <c r="E92" i="220"/>
  <c r="E88" i="184"/>
  <c r="E147" i="236"/>
  <c r="E122" i="188"/>
  <c r="E108" i="197"/>
  <c r="E127" i="210"/>
  <c r="E111" i="194"/>
  <c r="E116" i="186"/>
  <c r="E121" i="194"/>
  <c r="E125" i="213"/>
  <c r="E113" i="185"/>
  <c r="E115" i="226"/>
  <c r="E126" i="232"/>
  <c r="E116" i="230"/>
  <c r="E119" i="212"/>
  <c r="E110" i="199"/>
  <c r="E124" i="188"/>
  <c r="E115" i="223"/>
  <c r="E108" i="236"/>
  <c r="E120" i="199"/>
  <c r="E114" i="201"/>
  <c r="E108" i="187"/>
  <c r="E142" i="227"/>
  <c r="E119" i="189"/>
  <c r="E97" i="230"/>
  <c r="E126" i="189"/>
  <c r="E109" i="184"/>
  <c r="E115" i="197"/>
  <c r="E119" i="232"/>
  <c r="E125" i="181"/>
  <c r="E112" i="212"/>
  <c r="E114" i="189"/>
  <c r="E126" i="200"/>
  <c r="E115" i="209"/>
  <c r="E117" i="234"/>
  <c r="E108" i="221"/>
  <c r="E123" i="231"/>
  <c r="E115" i="207"/>
  <c r="E108" i="204"/>
  <c r="E120" i="183"/>
  <c r="E114" i="185"/>
  <c r="E107" i="214"/>
  <c r="E125" i="191"/>
  <c r="E120" i="182"/>
  <c r="E114" i="232"/>
  <c r="E109" i="223"/>
  <c r="E125" i="222"/>
  <c r="E121" i="186"/>
  <c r="E116" i="193"/>
  <c r="E111" i="200"/>
  <c r="E107" i="210"/>
  <c r="E94" i="217"/>
  <c r="E90" i="181"/>
  <c r="E85" i="204"/>
  <c r="E80" i="211"/>
  <c r="E97" i="231"/>
  <c r="E93" i="177"/>
  <c r="E88" i="202"/>
  <c r="E83" i="225"/>
  <c r="E78" i="232"/>
  <c r="E92" i="205"/>
  <c r="E87" i="228"/>
  <c r="E83" i="192"/>
  <c r="E78" i="215"/>
  <c r="E96" i="208"/>
  <c r="E92" i="188"/>
  <c r="E87" i="211"/>
  <c r="E83" i="191"/>
  <c r="E78" i="230"/>
  <c r="E97" i="196"/>
  <c r="E92" i="235"/>
  <c r="E88" i="215"/>
  <c r="E84" i="177"/>
  <c r="E79" i="218"/>
  <c r="E96" i="222"/>
  <c r="E92" i="202"/>
  <c r="E88" i="182"/>
  <c r="E83" i="205"/>
  <c r="E79" i="185"/>
  <c r="E95" i="184"/>
  <c r="E90" i="223"/>
  <c r="E86" i="203"/>
  <c r="E82" i="183"/>
  <c r="E77" i="206"/>
  <c r="E93" i="221"/>
  <c r="E89" i="201"/>
  <c r="E85" i="181"/>
  <c r="E80" i="220"/>
  <c r="E95" i="230"/>
  <c r="E91" i="210"/>
  <c r="E86" i="233"/>
  <c r="E82" i="213"/>
  <c r="E138" i="207"/>
  <c r="E116" i="222"/>
  <c r="E97" i="198"/>
  <c r="E125" i="184"/>
  <c r="E108" i="211"/>
  <c r="E114" i="192"/>
  <c r="E119" i="200"/>
  <c r="E124" i="224"/>
  <c r="E111" i="207"/>
  <c r="E113" i="216"/>
  <c r="E126" i="184"/>
  <c r="E114" i="220"/>
  <c r="E117" i="202"/>
  <c r="E108" i="189"/>
  <c r="E123" i="215"/>
  <c r="E115" i="191"/>
  <c r="E107" i="231"/>
  <c r="E119" i="226"/>
  <c r="E113" i="212"/>
  <c r="E107" i="198"/>
  <c r="E124" i="234"/>
  <c r="E119" i="225"/>
  <c r="E114" i="216"/>
  <c r="E109" i="207"/>
  <c r="E125" i="206"/>
  <c r="E120" i="213"/>
  <c r="E115" i="236"/>
  <c r="E111" i="184"/>
  <c r="E107" i="194"/>
  <c r="E94" i="201"/>
  <c r="E89" i="224"/>
  <c r="E85" i="188"/>
  <c r="E80" i="195"/>
  <c r="E97" i="215"/>
  <c r="E92" i="222"/>
  <c r="E88" i="186"/>
  <c r="E83" i="209"/>
  <c r="E78" i="216"/>
  <c r="E92" i="189"/>
  <c r="E87" i="212"/>
  <c r="E82" i="219"/>
  <c r="E78" i="199"/>
  <c r="E96" i="192"/>
  <c r="E91" i="231"/>
  <c r="E87" i="195"/>
  <c r="E116" i="197"/>
  <c r="E123" i="213"/>
  <c r="E116" i="225"/>
  <c r="E85" i="220"/>
  <c r="E91" i="217"/>
  <c r="E78" i="184"/>
  <c r="E86" i="191"/>
  <c r="E77" i="194"/>
  <c r="E91" i="199"/>
  <c r="E83" i="223"/>
  <c r="E108" i="195"/>
  <c r="E93" i="224"/>
  <c r="E87" i="226"/>
  <c r="E80" i="223"/>
  <c r="E96" i="190"/>
  <c r="E90" i="192"/>
  <c r="E84" i="226"/>
  <c r="E79" i="201"/>
  <c r="E94" i="195"/>
  <c r="E107" i="184"/>
  <c r="E120" i="198"/>
  <c r="E115" i="204"/>
  <c r="E84" i="215"/>
  <c r="E90" i="212"/>
  <c r="E95" i="220"/>
  <c r="E85" i="202"/>
  <c r="E98" i="218"/>
  <c r="E90" i="226"/>
  <c r="E83" i="207"/>
  <c r="E107" i="206"/>
  <c r="E93" i="208"/>
  <c r="E87" i="194"/>
  <c r="E80" i="207"/>
  <c r="E95" i="233"/>
  <c r="E89" i="219"/>
  <c r="E84" i="210"/>
  <c r="E78" i="228"/>
  <c r="E94" i="177"/>
  <c r="E89" i="186"/>
  <c r="E84" i="193"/>
  <c r="E78" i="227"/>
  <c r="E94" i="226"/>
  <c r="E89" i="217"/>
  <c r="E84" i="208"/>
  <c r="E79" i="215"/>
  <c r="E94" i="193"/>
  <c r="E89" i="184"/>
  <c r="E83" i="234"/>
  <c r="E79" i="182"/>
  <c r="E98" i="180"/>
  <c r="E93" i="203"/>
  <c r="E88" i="226"/>
  <c r="E83" i="233"/>
  <c r="E96" i="217"/>
  <c r="E92" i="181"/>
  <c r="E87" i="204"/>
  <c r="E82" i="211"/>
  <c r="E77" i="234"/>
  <c r="E93" i="217"/>
  <c r="E89" i="181"/>
  <c r="E84" i="188"/>
  <c r="E79" i="195"/>
  <c r="E96" i="215"/>
  <c r="E92" i="177"/>
  <c r="E87" i="218"/>
  <c r="E83" i="198"/>
  <c r="E78" i="221"/>
  <c r="E96" i="182"/>
  <c r="E91" i="205"/>
  <c r="E87" i="185"/>
  <c r="E82" i="224"/>
  <c r="E78" i="204"/>
  <c r="E96" i="181"/>
  <c r="E91" i="220"/>
  <c r="E87" i="184"/>
  <c r="E121" i="205"/>
  <c r="E119" i="193"/>
  <c r="E114" i="231"/>
  <c r="E84" i="183"/>
  <c r="E89" i="191"/>
  <c r="E94" i="231"/>
  <c r="E84" i="229"/>
  <c r="E98" i="186"/>
  <c r="E89" i="221"/>
  <c r="E82" i="234"/>
  <c r="E98" i="233"/>
  <c r="E93" i="192"/>
  <c r="E86" i="189"/>
  <c r="E80" i="191"/>
  <c r="E95" i="201"/>
  <c r="E89" i="203"/>
  <c r="E84" i="194"/>
  <c r="E78" i="212"/>
  <c r="E93" i="222"/>
  <c r="E88" i="229"/>
  <c r="E83" i="220"/>
  <c r="E78" i="211"/>
  <c r="E94" i="210"/>
  <c r="E89" i="185"/>
  <c r="E84" i="192"/>
  <c r="E79" i="199"/>
  <c r="E93" i="236"/>
  <c r="E88" i="211"/>
  <c r="E83" i="218"/>
  <c r="E78" i="225"/>
  <c r="E97" i="223"/>
  <c r="E93" i="187"/>
  <c r="E88" i="210"/>
  <c r="E83" i="217"/>
  <c r="E96" i="201"/>
  <c r="E120" i="200"/>
  <c r="E118" i="204"/>
  <c r="E111" i="216"/>
  <c r="E81" i="200"/>
  <c r="E88" i="218"/>
  <c r="E94" i="199"/>
  <c r="E84" i="213"/>
  <c r="E97" i="229"/>
  <c r="E89" i="189"/>
  <c r="E82" i="218"/>
  <c r="E98" i="217"/>
  <c r="E92" i="219"/>
  <c r="E85" i="216"/>
  <c r="E79" i="234"/>
  <c r="E94" i="212"/>
  <c r="E89" i="187"/>
  <c r="E83" i="221"/>
  <c r="E98" i="231"/>
  <c r="E93" i="206"/>
  <c r="E88" i="213"/>
  <c r="E83" i="204"/>
  <c r="E78" i="195"/>
  <c r="E94" i="194"/>
  <c r="E88" i="228"/>
  <c r="E83" i="235"/>
  <c r="E79" i="183"/>
  <c r="E93" i="220"/>
  <c r="E114" i="218"/>
  <c r="E115" i="189"/>
  <c r="E110" i="211"/>
  <c r="E80" i="227"/>
  <c r="E87" i="213"/>
  <c r="E94" i="183"/>
  <c r="E84" i="181"/>
  <c r="E97" i="197"/>
  <c r="E88" i="232"/>
  <c r="E82" i="202"/>
  <c r="E98" i="201"/>
  <c r="E92" i="203"/>
  <c r="E85" i="200"/>
  <c r="E79" i="202"/>
  <c r="E94" i="180"/>
  <c r="E88" i="230"/>
  <c r="E83" i="189"/>
  <c r="E98" i="199"/>
  <c r="E93" i="190"/>
  <c r="E88" i="181"/>
  <c r="E83" i="188"/>
  <c r="E78" i="177"/>
  <c r="E93" i="205"/>
  <c r="E88" i="212"/>
  <c r="E83" i="219"/>
  <c r="E78" i="226"/>
  <c r="E93" i="188"/>
  <c r="E88" i="177"/>
  <c r="E83" i="186"/>
  <c r="E78" i="193"/>
  <c r="E97" i="191"/>
  <c r="E92" i="214"/>
  <c r="E87" i="221"/>
  <c r="E83" i="185"/>
  <c r="E95" i="228"/>
  <c r="E91" i="192"/>
  <c r="E86" i="215"/>
  <c r="E81" i="222"/>
  <c r="E97" i="189"/>
  <c r="E92" i="212"/>
  <c r="E87" i="235"/>
  <c r="E83" i="199"/>
  <c r="E78" i="206"/>
  <c r="E95" i="226"/>
  <c r="E91" i="190"/>
  <c r="E86" i="229"/>
  <c r="E82" i="209"/>
  <c r="E107" i="213"/>
  <c r="E95" i="193"/>
  <c r="E90" i="216"/>
  <c r="E86" i="196"/>
  <c r="E81" i="235"/>
  <c r="E107" i="212"/>
  <c r="E95" i="192"/>
  <c r="E90" i="231"/>
  <c r="E86" i="195"/>
  <c r="E81" i="234"/>
  <c r="E77" i="196"/>
  <c r="E72" i="235"/>
  <c r="E68" i="215"/>
  <c r="E113" i="197"/>
  <c r="E113" i="227"/>
  <c r="E110" i="177"/>
  <c r="E79" i="222"/>
  <c r="E87" i="181"/>
  <c r="E93" i="210"/>
  <c r="E83" i="208"/>
  <c r="E96" i="224"/>
  <c r="E88" i="216"/>
  <c r="E81" i="229"/>
  <c r="E98" i="185"/>
  <c r="E92" i="187"/>
  <c r="E85" i="184"/>
  <c r="E79" i="186"/>
  <c r="E93" i="223"/>
  <c r="E88" i="214"/>
  <c r="E82" i="232"/>
  <c r="E98" i="183"/>
  <c r="E92" i="233"/>
  <c r="E87" i="224"/>
  <c r="E82" i="231"/>
  <c r="E77" i="222"/>
  <c r="E93" i="189"/>
  <c r="E88" i="196"/>
  <c r="E83" i="203"/>
  <c r="E78" i="210"/>
  <c r="E92" i="231"/>
  <c r="E87" i="222"/>
  <c r="E82" i="229"/>
  <c r="E77" i="236"/>
  <c r="E96" i="234"/>
  <c r="E92" i="198"/>
  <c r="E87" i="205"/>
  <c r="E82" i="228"/>
  <c r="E95" i="212"/>
  <c r="E90" i="235"/>
  <c r="E86" i="199"/>
  <c r="E81" i="190"/>
  <c r="E96" i="232"/>
  <c r="E92" i="196"/>
  <c r="E87" i="219"/>
  <c r="E107" i="183"/>
  <c r="E113" i="177"/>
  <c r="E107" i="226"/>
  <c r="E79" i="190"/>
  <c r="E85" i="235"/>
  <c r="E92" i="221"/>
  <c r="E82" i="203"/>
  <c r="E95" i="235"/>
  <c r="E88" i="200"/>
  <c r="E81" i="181"/>
  <c r="E97" i="228"/>
  <c r="E91" i="214"/>
  <c r="E84" i="227"/>
  <c r="E78" i="229"/>
  <c r="E93" i="207"/>
  <c r="E88" i="198"/>
  <c r="E82" i="216"/>
  <c r="E97" i="226"/>
  <c r="E92" i="201"/>
  <c r="E87" i="208"/>
  <c r="E82" i="215"/>
  <c r="E98" i="182"/>
  <c r="E92" i="232"/>
  <c r="E88" i="180"/>
  <c r="E83" i="187"/>
  <c r="E97" i="208"/>
  <c r="E92" i="215"/>
  <c r="E87" i="206"/>
  <c r="E82" i="197"/>
  <c r="E77" i="220"/>
  <c r="E96" i="218"/>
  <c r="E92" i="182"/>
  <c r="E87" i="189"/>
  <c r="E82" i="212"/>
  <c r="E95" i="196"/>
  <c r="E90" i="219"/>
  <c r="E85" i="226"/>
  <c r="E80" i="233"/>
  <c r="E96" i="216"/>
  <c r="E92" i="180"/>
  <c r="E87" i="203"/>
  <c r="E82" i="226"/>
  <c r="E77" i="233"/>
  <c r="E95" i="194"/>
  <c r="E90" i="217"/>
  <c r="E86" i="197"/>
  <c r="E81" i="236"/>
  <c r="E107" i="181"/>
  <c r="E94" i="220"/>
  <c r="E90" i="184"/>
  <c r="E85" i="223"/>
  <c r="E98" i="210"/>
  <c r="E110" i="196"/>
  <c r="E98" i="205"/>
  <c r="E78" i="201"/>
  <c r="E84" i="214"/>
  <c r="E91" i="200"/>
  <c r="E82" i="187"/>
  <c r="E95" i="219"/>
  <c r="E87" i="227"/>
  <c r="E80" i="208"/>
  <c r="E97" i="212"/>
  <c r="E90" i="225"/>
  <c r="E84" i="211"/>
  <c r="E107" i="221"/>
  <c r="E93" i="191"/>
  <c r="E87" i="225"/>
  <c r="E82" i="184"/>
  <c r="E97" i="210"/>
  <c r="E92" i="185"/>
  <c r="E87" i="192"/>
  <c r="E82" i="199"/>
  <c r="E97" i="225"/>
  <c r="E92" i="216"/>
  <c r="E87" i="223"/>
  <c r="E82" i="230"/>
  <c r="E97" i="192"/>
  <c r="E92" i="199"/>
  <c r="E87" i="190"/>
  <c r="E82" i="181"/>
  <c r="E109" i="177"/>
  <c r="E96" i="202"/>
  <c r="E91" i="225"/>
  <c r="E86" i="232"/>
  <c r="E82" i="196"/>
  <c r="E95" i="180"/>
  <c r="E90" i="187"/>
  <c r="E85" i="210"/>
  <c r="E80" i="217"/>
  <c r="E96" i="200"/>
  <c r="E91" i="223"/>
  <c r="E87" i="187"/>
  <c r="E82" i="210"/>
  <c r="E77" i="217"/>
  <c r="E94" i="221"/>
  <c r="E90" i="201"/>
  <c r="E86" i="181"/>
  <c r="E81" i="220"/>
  <c r="E98" i="224"/>
  <c r="E94" i="204"/>
  <c r="E89" i="227"/>
  <c r="E85" i="207"/>
  <c r="E81" i="187"/>
  <c r="E98" i="223"/>
  <c r="E94" i="203"/>
  <c r="E90" i="183"/>
  <c r="E85" i="206"/>
  <c r="E81" i="186"/>
  <c r="E76" i="207"/>
  <c r="E72" i="187"/>
  <c r="E67" i="226"/>
  <c r="E63" i="190"/>
  <c r="E58" i="229"/>
  <c r="E75" i="185"/>
  <c r="E70" i="224"/>
  <c r="E66" i="204"/>
  <c r="E61" i="227"/>
  <c r="E57" i="207"/>
  <c r="E72" i="201"/>
  <c r="E68" i="181"/>
  <c r="E63" i="220"/>
  <c r="E59" i="184"/>
  <c r="E75" i="199"/>
  <c r="E70" i="222"/>
  <c r="E66" i="202"/>
  <c r="E62" i="182"/>
  <c r="E57" i="205"/>
  <c r="E74" i="209"/>
  <c r="E119" i="194"/>
  <c r="E108" i="218"/>
  <c r="E97" i="232"/>
  <c r="E98" i="220"/>
  <c r="E84" i="182"/>
  <c r="E90" i="227"/>
  <c r="E81" i="214"/>
  <c r="E95" i="187"/>
  <c r="E87" i="177"/>
  <c r="E80" i="192"/>
  <c r="E97" i="180"/>
  <c r="E90" i="193"/>
  <c r="E84" i="195"/>
  <c r="E98" i="232"/>
  <c r="E92" i="234"/>
  <c r="E87" i="209"/>
  <c r="E81" i="227"/>
  <c r="E96" i="221"/>
  <c r="E91" i="228"/>
  <c r="E86" i="235"/>
  <c r="E81" i="226"/>
  <c r="E97" i="209"/>
  <c r="E92" i="200"/>
  <c r="E87" i="207"/>
  <c r="E82" i="198"/>
  <c r="E96" i="235"/>
  <c r="E92" i="183"/>
  <c r="E86" i="217"/>
  <c r="E81" i="224"/>
  <c r="E108" i="222"/>
  <c r="E96" i="186"/>
  <c r="E91" i="209"/>
  <c r="E86" i="216"/>
  <c r="E82" i="180"/>
  <c r="E94" i="207"/>
  <c r="E89" i="230"/>
  <c r="E85" i="194"/>
  <c r="E80" i="201"/>
  <c r="E96" i="184"/>
  <c r="E91" i="207"/>
  <c r="E86" i="230"/>
  <c r="E82" i="194"/>
  <c r="E77" i="201"/>
  <c r="E94" i="205"/>
  <c r="E90" i="185"/>
  <c r="E85" i="224"/>
  <c r="E81" i="204"/>
  <c r="E98" i="208"/>
  <c r="E94" i="188"/>
  <c r="E89" i="211"/>
  <c r="E85" i="191"/>
  <c r="E80" i="230"/>
  <c r="E98" i="207"/>
  <c r="E94" i="187"/>
  <c r="E89" i="226"/>
  <c r="E85" i="190"/>
  <c r="E80" i="229"/>
  <c r="E76" i="191"/>
  <c r="E71" i="230"/>
  <c r="E67" i="210"/>
  <c r="E62" i="233"/>
  <c r="E58" i="213"/>
  <c r="E74" i="228"/>
  <c r="E70" i="208"/>
  <c r="E66" i="188"/>
  <c r="E61" i="211"/>
  <c r="E57" i="191"/>
  <c r="E72" i="185"/>
  <c r="E67" i="224"/>
  <c r="E63" i="204"/>
  <c r="E58" i="227"/>
  <c r="E75" i="183"/>
  <c r="E70" i="206"/>
  <c r="E66" i="186"/>
  <c r="E61" i="225"/>
  <c r="E57" i="189"/>
  <c r="E74" i="193"/>
  <c r="E117" i="232"/>
  <c r="E108" i="186"/>
  <c r="E94" i="233"/>
  <c r="E98" i="188"/>
  <c r="E82" i="236"/>
  <c r="E90" i="177"/>
  <c r="E80" i="225"/>
  <c r="E94" i="198"/>
  <c r="E86" i="222"/>
  <c r="E79" i="235"/>
  <c r="E96" i="223"/>
  <c r="E89" i="236"/>
  <c r="E83" i="222"/>
  <c r="E98" i="200"/>
  <c r="E92" i="218"/>
  <c r="E87" i="193"/>
  <c r="E81" i="211"/>
  <c r="E96" i="205"/>
  <c r="E91" i="212"/>
  <c r="E86" i="219"/>
  <c r="E81" i="210"/>
  <c r="E97" i="193"/>
  <c r="E92" i="184"/>
  <c r="E87" i="191"/>
  <c r="E82" i="182"/>
  <c r="E96" i="219"/>
  <c r="E91" i="226"/>
  <c r="E86" i="201"/>
  <c r="E81" i="208"/>
  <c r="E108" i="206"/>
  <c r="E95" i="229"/>
  <c r="E91" i="193"/>
  <c r="E86" i="200"/>
  <c r="E81" i="207"/>
  <c r="E94" i="191"/>
  <c r="E89" i="214"/>
  <c r="E84" i="221"/>
  <c r="E80" i="185"/>
  <c r="E95" i="227"/>
  <c r="E91" i="191"/>
  <c r="E86" i="214"/>
  <c r="E81" i="221"/>
  <c r="E77" i="185"/>
  <c r="E94" i="189"/>
  <c r="E89" i="228"/>
  <c r="E85" i="208"/>
  <c r="E81" i="188"/>
  <c r="E98" i="192"/>
  <c r="E93" i="231"/>
  <c r="E89" i="195"/>
  <c r="E84" i="234"/>
  <c r="E80" i="214"/>
  <c r="E98" i="191"/>
  <c r="E93" i="230"/>
  <c r="E89" i="210"/>
  <c r="E84" i="233"/>
  <c r="E80" i="213"/>
  <c r="E75" i="234"/>
  <c r="E71" i="214"/>
  <c r="E67" i="194"/>
  <c r="E62" i="217"/>
  <c r="E58" i="197"/>
  <c r="E74" i="212"/>
  <c r="E70" i="192"/>
  <c r="E65" i="231"/>
  <c r="E61" i="195"/>
  <c r="E76" i="189"/>
  <c r="E71" i="228"/>
  <c r="E67" i="208"/>
  <c r="E63" i="188"/>
  <c r="E58" i="211"/>
  <c r="E74" i="226"/>
  <c r="E70" i="190"/>
  <c r="E65" i="229"/>
  <c r="E61" i="209"/>
  <c r="E78" i="197"/>
  <c r="E73" i="236"/>
  <c r="E69" i="200"/>
  <c r="E65" i="180"/>
  <c r="E60" i="219"/>
  <c r="E77" i="223"/>
  <c r="E73" i="203"/>
  <c r="E69" i="183"/>
  <c r="E64" i="206"/>
  <c r="E60" i="186"/>
  <c r="E112" i="207"/>
  <c r="E126" i="177"/>
  <c r="E93" i="228"/>
  <c r="E97" i="183"/>
  <c r="E82" i="188"/>
  <c r="E89" i="206"/>
  <c r="E80" i="193"/>
  <c r="E93" i="225"/>
  <c r="E86" i="190"/>
  <c r="E79" i="219"/>
  <c r="E96" i="207"/>
  <c r="E89" i="220"/>
  <c r="E83" i="206"/>
  <c r="E98" i="184"/>
  <c r="E92" i="186"/>
  <c r="E86" i="220"/>
  <c r="E81" i="195"/>
  <c r="E96" i="189"/>
  <c r="E91" i="196"/>
  <c r="E86" i="187"/>
  <c r="E81" i="194"/>
  <c r="E96" i="236"/>
  <c r="E91" i="227"/>
  <c r="E86" i="218"/>
  <c r="E81" i="225"/>
  <c r="E96" i="203"/>
  <c r="E91" i="194"/>
  <c r="E86" i="185"/>
  <c r="E81" i="192"/>
  <c r="E108" i="190"/>
  <c r="E95" i="213"/>
  <c r="E90" i="236"/>
  <c r="E85" i="227"/>
  <c r="E81" i="191"/>
  <c r="E93" i="234"/>
  <c r="E89" i="198"/>
  <c r="E84" i="205"/>
  <c r="E79" i="228"/>
  <c r="E95" i="211"/>
  <c r="E111" i="218"/>
  <c r="E124" i="217"/>
  <c r="E93" i="196"/>
  <c r="E96" i="210"/>
  <c r="E81" i="199"/>
  <c r="E89" i="190"/>
  <c r="E79" i="236"/>
  <c r="E93" i="209"/>
  <c r="E85" i="201"/>
  <c r="E79" i="203"/>
  <c r="E95" i="234"/>
  <c r="E89" i="204"/>
  <c r="E83" i="190"/>
  <c r="E97" i="227"/>
  <c r="E91" i="229"/>
  <c r="E86" i="204"/>
  <c r="E80" i="222"/>
  <c r="E95" i="232"/>
  <c r="E91" i="180"/>
  <c r="E85" i="230"/>
  <c r="E80" i="221"/>
  <c r="E96" i="220"/>
  <c r="E91" i="211"/>
  <c r="E86" i="202"/>
  <c r="E81" i="209"/>
  <c r="E96" i="187"/>
  <c r="E90" i="221"/>
  <c r="E85" i="228"/>
  <c r="E98" i="225"/>
  <c r="E124" i="185"/>
  <c r="E90" i="197"/>
  <c r="E95" i="189"/>
  <c r="E80" i="226"/>
  <c r="E88" i="217"/>
  <c r="E79" i="204"/>
  <c r="E93" i="193"/>
  <c r="E84" i="228"/>
  <c r="E79" i="187"/>
  <c r="E95" i="186"/>
  <c r="E89" i="188"/>
  <c r="E82" i="217"/>
  <c r="E97" i="211"/>
  <c r="E91" i="213"/>
  <c r="E86" i="188"/>
  <c r="E80" i="206"/>
  <c r="E95" i="216"/>
  <c r="E90" i="207"/>
  <c r="E85" i="214"/>
  <c r="E80" i="205"/>
  <c r="E96" i="204"/>
  <c r="E91" i="177"/>
  <c r="E86" i="186"/>
  <c r="E81" i="193"/>
  <c r="E95" i="214"/>
  <c r="E90" i="205"/>
  <c r="E85" i="212"/>
  <c r="E80" i="219"/>
  <c r="E107" i="217"/>
  <c r="E94" i="224"/>
  <c r="E90" i="188"/>
  <c r="E85" i="195"/>
  <c r="E80" i="218"/>
  <c r="E93" i="202"/>
  <c r="E88" i="225"/>
  <c r="E83" i="232"/>
  <c r="E79" i="196"/>
  <c r="E95" i="177"/>
  <c r="E90" i="202"/>
  <c r="E85" i="225"/>
  <c r="E80" i="232"/>
  <c r="E97" i="236"/>
  <c r="E93" i="200"/>
  <c r="E89" i="180"/>
  <c r="E84" i="219"/>
  <c r="E80" i="199"/>
  <c r="E97" i="203"/>
  <c r="E93" i="183"/>
  <c r="E88" i="206"/>
  <c r="E84" i="186"/>
  <c r="E79" i="225"/>
  <c r="E97" i="202"/>
  <c r="E93" i="182"/>
  <c r="E88" i="205"/>
  <c r="E84" i="185"/>
  <c r="E129" i="195"/>
  <c r="E121" i="202"/>
  <c r="E89" i="192"/>
  <c r="E93" i="227"/>
  <c r="E80" i="210"/>
  <c r="E88" i="185"/>
  <c r="E78" i="231"/>
  <c r="E92" i="236"/>
  <c r="E84" i="212"/>
  <c r="E78" i="214"/>
  <c r="E94" i="213"/>
  <c r="E88" i="231"/>
  <c r="E81" i="228"/>
  <c r="E97" i="195"/>
  <c r="E91" i="181"/>
  <c r="E85" i="231"/>
  <c r="E80" i="190"/>
  <c r="E95" i="200"/>
  <c r="E90" i="191"/>
  <c r="E85" i="198"/>
  <c r="E80" i="189"/>
  <c r="E96" i="188"/>
  <c r="E90" i="222"/>
  <c r="E85" i="229"/>
  <c r="E80" i="236"/>
  <c r="E95" i="198"/>
  <c r="E90" i="189"/>
  <c r="E85" i="196"/>
  <c r="E80" i="203"/>
  <c r="E107" i="185"/>
  <c r="E94" i="208"/>
  <c r="E89" i="231"/>
  <c r="E85" i="177"/>
  <c r="E80" i="202"/>
  <c r="E93" i="186"/>
  <c r="E88" i="209"/>
  <c r="E83" i="216"/>
  <c r="E79" i="180"/>
  <c r="E94" i="222"/>
  <c r="E90" i="186"/>
  <c r="E85" i="209"/>
  <c r="E80" i="216"/>
  <c r="E97" i="220"/>
  <c r="E93" i="184"/>
  <c r="E88" i="223"/>
  <c r="E84" i="203"/>
  <c r="E125" i="207"/>
  <c r="E120" i="181"/>
  <c r="E88" i="219"/>
  <c r="E93" i="195"/>
  <c r="E79" i="221"/>
  <c r="E87" i="180"/>
  <c r="E78" i="183"/>
  <c r="E92" i="204"/>
  <c r="E84" i="196"/>
  <c r="E78" i="198"/>
  <c r="E94" i="197"/>
  <c r="E88" i="199"/>
  <c r="E81" i="196"/>
  <c r="E97" i="177"/>
  <c r="E90" i="224"/>
  <c r="E85" i="199"/>
  <c r="E79" i="233"/>
  <c r="E94" i="227"/>
  <c r="E89" i="234"/>
  <c r="E85" i="182"/>
  <c r="E79" i="232"/>
  <c r="E95" i="215"/>
  <c r="E90" i="206"/>
  <c r="E85" i="213"/>
  <c r="E80" i="204"/>
  <c r="E95" i="182"/>
  <c r="E89" i="232"/>
  <c r="E85" i="180"/>
  <c r="E79" i="230"/>
  <c r="E98" i="228"/>
  <c r="E94" i="192"/>
  <c r="E89" i="215"/>
  <c r="E84" i="222"/>
  <c r="E97" i="206"/>
  <c r="E92" i="229"/>
  <c r="E88" i="193"/>
  <c r="E83" i="200"/>
  <c r="E78" i="223"/>
  <c r="E94" i="206"/>
  <c r="E89" i="229"/>
  <c r="E85" i="193"/>
  <c r="E80" i="200"/>
  <c r="E97" i="204"/>
  <c r="E92" i="227"/>
  <c r="E88" i="207"/>
  <c r="E84" i="187"/>
  <c r="E79" i="226"/>
  <c r="E96" i="230"/>
  <c r="E92" i="210"/>
  <c r="E87" i="233"/>
  <c r="E83" i="213"/>
  <c r="E79" i="193"/>
  <c r="E96" i="229"/>
  <c r="E92" i="209"/>
  <c r="E87" i="232"/>
  <c r="E83" i="212"/>
  <c r="E79" i="192"/>
  <c r="E74" i="213"/>
  <c r="E70" i="193"/>
  <c r="E65" i="216"/>
  <c r="E61" i="196"/>
  <c r="E77" i="211"/>
  <c r="E73" i="191"/>
  <c r="E68" i="230"/>
  <c r="E64" i="210"/>
  <c r="E59" i="233"/>
  <c r="E74" i="227"/>
  <c r="E70" i="207"/>
  <c r="E66" i="187"/>
  <c r="E61" i="226"/>
  <c r="E57" i="190"/>
  <c r="E124" i="202"/>
  <c r="E79" i="217"/>
  <c r="E94" i="225"/>
  <c r="E95" i="197"/>
  <c r="E93" i="218"/>
  <c r="E78" i="207"/>
  <c r="E86" i="182"/>
  <c r="E96" i="231"/>
  <c r="E87" i="186"/>
  <c r="E107" i="197"/>
  <c r="E90" i="200"/>
  <c r="E81" i="219"/>
  <c r="E95" i="224"/>
  <c r="E87" i="216"/>
  <c r="E80" i="197"/>
  <c r="E74" i="181"/>
  <c r="E68" i="183"/>
  <c r="E61" i="212"/>
  <c r="E76" i="206"/>
  <c r="E71" i="181"/>
  <c r="E64" i="226"/>
  <c r="E58" i="228"/>
  <c r="E72" i="217"/>
  <c r="E66" i="203"/>
  <c r="E60" i="205"/>
  <c r="E75" i="215"/>
  <c r="E69" i="201"/>
  <c r="E64" i="192"/>
  <c r="E59" i="183"/>
  <c r="E75" i="182"/>
  <c r="E69" i="216"/>
  <c r="E64" i="223"/>
  <c r="E60" i="187"/>
  <c r="E76" i="234"/>
  <c r="E72" i="198"/>
  <c r="E67" i="205"/>
  <c r="E62" i="228"/>
  <c r="E58" i="192"/>
  <c r="E74" i="191"/>
  <c r="E69" i="230"/>
  <c r="E65" i="210"/>
  <c r="E60" i="233"/>
  <c r="E77" i="205"/>
  <c r="E73" i="185"/>
  <c r="E68" i="224"/>
  <c r="E64" i="204"/>
  <c r="E59" i="227"/>
  <c r="E76" i="183"/>
  <c r="E119" i="208"/>
  <c r="E94" i="211"/>
  <c r="E94" i="209"/>
  <c r="E93" i="235"/>
  <c r="E92" i="213"/>
  <c r="E78" i="191"/>
  <c r="E84" i="236"/>
  <c r="E96" i="199"/>
  <c r="E86" i="213"/>
  <c r="E97" i="235"/>
  <c r="E89" i="177"/>
  <c r="E81" i="203"/>
  <c r="E95" i="208"/>
  <c r="E87" i="200"/>
  <c r="E80" i="181"/>
  <c r="E73" i="224"/>
  <c r="E66" i="221"/>
  <c r="E61" i="180"/>
  <c r="E76" i="190"/>
  <c r="E69" i="235"/>
  <c r="E64" i="194"/>
  <c r="E58" i="212"/>
  <c r="E71" i="212"/>
  <c r="E65" i="230"/>
  <c r="E60" i="189"/>
  <c r="E74" i="210"/>
  <c r="E69" i="185"/>
  <c r="E63" i="235"/>
  <c r="E58" i="226"/>
  <c r="E74" i="225"/>
  <c r="E69" i="184"/>
  <c r="E64" i="207"/>
  <c r="E59" i="230"/>
  <c r="E76" i="218"/>
  <c r="E72" i="182"/>
  <c r="E67" i="189"/>
  <c r="E62" i="212"/>
  <c r="E57" i="235"/>
  <c r="E73" i="234"/>
  <c r="E69" i="214"/>
  <c r="E65" i="194"/>
  <c r="E60" i="217"/>
  <c r="E77" i="189"/>
  <c r="E72" i="228"/>
  <c r="E68" i="208"/>
  <c r="E64" i="188"/>
  <c r="E59" i="211"/>
  <c r="E75" i="226"/>
  <c r="E71" i="190"/>
  <c r="E66" i="229"/>
  <c r="E62" i="209"/>
  <c r="E57" i="232"/>
  <c r="E76" i="230"/>
  <c r="E72" i="210"/>
  <c r="E67" i="233"/>
  <c r="E63" i="213"/>
  <c r="E59" i="193"/>
  <c r="E75" i="192"/>
  <c r="E70" i="231"/>
  <c r="E66" i="195"/>
  <c r="E61" i="234"/>
  <c r="E57" i="214"/>
  <c r="E73" i="181"/>
  <c r="E68" i="220"/>
  <c r="E64" i="184"/>
  <c r="E59" i="223"/>
  <c r="E76" i="211"/>
  <c r="E72" i="191"/>
  <c r="E67" i="230"/>
  <c r="E63" i="210"/>
  <c r="E58" i="233"/>
  <c r="E75" i="221"/>
  <c r="E71" i="201"/>
  <c r="E67" i="181"/>
  <c r="E62" i="220"/>
  <c r="E58" i="184"/>
  <c r="E74" i="215"/>
  <c r="E70" i="177"/>
  <c r="E65" i="218"/>
  <c r="E61" i="198"/>
  <c r="E86" i="193"/>
  <c r="E89" i="218"/>
  <c r="E89" i="216"/>
  <c r="E93" i="219"/>
  <c r="E92" i="197"/>
  <c r="E77" i="218"/>
  <c r="E84" i="220"/>
  <c r="E96" i="183"/>
  <c r="E85" i="192"/>
  <c r="E97" i="219"/>
  <c r="E88" i="222"/>
  <c r="E80" i="198"/>
  <c r="E94" i="235"/>
  <c r="E86" i="227"/>
  <c r="E79" i="224"/>
  <c r="E73" i="208"/>
  <c r="E66" i="205"/>
  <c r="E60" i="223"/>
  <c r="E75" i="233"/>
  <c r="E69" i="219"/>
  <c r="E63" i="221"/>
  <c r="E58" i="196"/>
  <c r="E71" i="196"/>
  <c r="E65" i="214"/>
  <c r="E59" i="232"/>
  <c r="E74" i="194"/>
  <c r="E68" i="228"/>
  <c r="E63" i="219"/>
  <c r="E58" i="210"/>
  <c r="E73" i="220"/>
  <c r="E68" i="227"/>
  <c r="E64" i="191"/>
  <c r="E59" i="214"/>
  <c r="E76" i="202"/>
  <c r="E71" i="225"/>
  <c r="E66" i="232"/>
  <c r="E62" i="196"/>
  <c r="E57" i="219"/>
  <c r="E73" i="218"/>
  <c r="E69" i="198"/>
  <c r="E64" i="221"/>
  <c r="E60" i="201"/>
  <c r="E76" i="232"/>
  <c r="E72" i="212"/>
  <c r="E68" i="192"/>
  <c r="E63" i="231"/>
  <c r="E59" i="195"/>
  <c r="E75" i="210"/>
  <c r="E70" i="233"/>
  <c r="E66" i="213"/>
  <c r="E62" i="193"/>
  <c r="E57" i="216"/>
  <c r="E76" i="214"/>
  <c r="E72" i="194"/>
  <c r="E67" i="217"/>
  <c r="E63" i="197"/>
  <c r="E58" i="236"/>
  <c r="E74" i="235"/>
  <c r="E70" i="215"/>
  <c r="E66" i="177"/>
  <c r="E61" i="218"/>
  <c r="E57" i="198"/>
  <c r="E72" i="224"/>
  <c r="E92" i="190"/>
  <c r="E89" i="202"/>
  <c r="E89" i="200"/>
  <c r="E92" i="230"/>
  <c r="E91" i="224"/>
  <c r="E77" i="202"/>
  <c r="E83" i="231"/>
  <c r="E95" i="210"/>
  <c r="E84" i="235"/>
  <c r="E97" i="187"/>
  <c r="E88" i="190"/>
  <c r="E80" i="182"/>
  <c r="E94" i="219"/>
  <c r="E86" i="211"/>
  <c r="E79" i="208"/>
  <c r="E73" i="192"/>
  <c r="E66" i="189"/>
  <c r="E60" i="207"/>
  <c r="E75" i="217"/>
  <c r="E69" i="203"/>
  <c r="E63" i="205"/>
  <c r="E58" i="180"/>
  <c r="E71" i="180"/>
  <c r="E65" i="198"/>
  <c r="E79" i="189"/>
  <c r="E84" i="225"/>
  <c r="E88" i="195"/>
  <c r="E90" i="204"/>
  <c r="E91" i="208"/>
  <c r="E95" i="195"/>
  <c r="E83" i="215"/>
  <c r="E93" i="232"/>
  <c r="E83" i="230"/>
  <c r="E96" i="214"/>
  <c r="E87" i="217"/>
  <c r="E79" i="209"/>
  <c r="E93" i="214"/>
  <c r="E86" i="177"/>
  <c r="E78" i="235"/>
  <c r="E72" i="219"/>
  <c r="E65" i="232"/>
  <c r="E60" i="191"/>
  <c r="E75" i="201"/>
  <c r="E69" i="187"/>
  <c r="E63" i="189"/>
  <c r="E57" i="223"/>
  <c r="E70" i="223"/>
  <c r="E65" i="182"/>
  <c r="E59" i="200"/>
  <c r="E73" i="205"/>
  <c r="E68" i="196"/>
  <c r="E63" i="187"/>
  <c r="E57" i="221"/>
  <c r="E73" i="188"/>
  <c r="E68" i="195"/>
  <c r="E63" i="218"/>
  <c r="E59" i="182"/>
  <c r="E75" i="229"/>
  <c r="E71" i="193"/>
  <c r="E66" i="200"/>
  <c r="E61" i="223"/>
  <c r="E57" i="187"/>
  <c r="E73" i="186"/>
  <c r="E68" i="225"/>
  <c r="E64" i="189"/>
  <c r="E59" i="228"/>
  <c r="E76" i="200"/>
  <c r="E72" i="180"/>
  <c r="E67" i="219"/>
  <c r="E63" i="199"/>
  <c r="E58" i="222"/>
  <c r="E74" i="221"/>
  <c r="E70" i="201"/>
  <c r="E66" i="181"/>
  <c r="E61" i="220"/>
  <c r="E57" i="184"/>
  <c r="E76" i="182"/>
  <c r="E71" i="205"/>
  <c r="E67" i="185"/>
  <c r="E62" i="224"/>
  <c r="E58" i="204"/>
  <c r="E74" i="203"/>
  <c r="E70" i="183"/>
  <c r="E65" i="206"/>
  <c r="E61" i="186"/>
  <c r="E76" i="212"/>
  <c r="E72" i="192"/>
  <c r="E67" i="231"/>
  <c r="E63" i="195"/>
  <c r="E58" i="234"/>
  <c r="E75" i="222"/>
  <c r="E71" i="202"/>
  <c r="E67" i="182"/>
  <c r="E62" i="205"/>
  <c r="E58" i="185"/>
  <c r="E74" i="232"/>
  <c r="E70" i="212"/>
  <c r="E66" i="192"/>
  <c r="E61" i="231"/>
  <c r="E57" i="195"/>
  <c r="E73" i="226"/>
  <c r="E69" i="190"/>
  <c r="E64" i="229"/>
  <c r="E60" i="209"/>
  <c r="E75" i="225"/>
  <c r="E86" i="223"/>
  <c r="E84" i="209"/>
  <c r="E84" i="223"/>
  <c r="E89" i="199"/>
  <c r="E89" i="182"/>
  <c r="E94" i="190"/>
  <c r="E83" i="183"/>
  <c r="E93" i="216"/>
  <c r="E83" i="214"/>
  <c r="E96" i="198"/>
  <c r="E87" i="201"/>
  <c r="E78" i="236"/>
  <c r="E93" i="198"/>
  <c r="E85" i="222"/>
  <c r="E78" i="219"/>
  <c r="E72" i="203"/>
  <c r="E65" i="200"/>
  <c r="E59" i="234"/>
  <c r="E74" i="196"/>
  <c r="E68" i="214"/>
  <c r="E62" i="232"/>
  <c r="E75" i="232"/>
  <c r="E70" i="191"/>
  <c r="E64" i="225"/>
  <c r="E58" i="195"/>
  <c r="E73" i="189"/>
  <c r="E68" i="180"/>
  <c r="E62" i="230"/>
  <c r="E78" i="181"/>
  <c r="E72" i="231"/>
  <c r="E68" i="177"/>
  <c r="E63" i="202"/>
  <c r="E58" i="225"/>
  <c r="E75" i="213"/>
  <c r="E70" i="236"/>
  <c r="E66" i="184"/>
  <c r="E61" i="207"/>
  <c r="E77" i="190"/>
  <c r="E72" i="229"/>
  <c r="E68" i="209"/>
  <c r="E63" i="232"/>
  <c r="E59" i="212"/>
  <c r="E76" i="184"/>
  <c r="E71" i="223"/>
  <c r="E67" i="203"/>
  <c r="E63" i="183"/>
  <c r="E58" i="206"/>
  <c r="E74" i="205"/>
  <c r="E70" i="185"/>
  <c r="E65" i="224"/>
  <c r="E61" i="204"/>
  <c r="E80" i="186"/>
  <c r="E71" i="189"/>
  <c r="E66" i="228"/>
  <c r="E62" i="208"/>
  <c r="E77" i="226"/>
  <c r="E79" i="216"/>
  <c r="E84" i="191"/>
  <c r="E89" i="183"/>
  <c r="E87" i="236"/>
  <c r="E93" i="233"/>
  <c r="E81" i="205"/>
  <c r="E91" i="215"/>
  <c r="E79" i="184"/>
  <c r="E83" i="202"/>
  <c r="E88" i="194"/>
  <c r="E87" i="220"/>
  <c r="E93" i="201"/>
  <c r="E81" i="189"/>
  <c r="E92" i="195"/>
  <c r="E82" i="225"/>
  <c r="E95" i="209"/>
  <c r="E86" i="212"/>
  <c r="E108" i="185"/>
  <c r="E92" i="193"/>
  <c r="E84" i="201"/>
  <c r="E78" i="187"/>
  <c r="E71" i="182"/>
  <c r="E64" i="227"/>
  <c r="E59" i="202"/>
  <c r="E73" i="223"/>
  <c r="E68" i="182"/>
  <c r="E62" i="200"/>
  <c r="E75" i="200"/>
  <c r="E69" i="218"/>
  <c r="E64" i="193"/>
  <c r="E57" i="222"/>
  <c r="E72" i="216"/>
  <c r="E67" i="207"/>
  <c r="E62" i="198"/>
  <c r="E77" i="208"/>
  <c r="E72" i="199"/>
  <c r="E67" i="206"/>
  <c r="E62" i="229"/>
  <c r="E58" i="193"/>
  <c r="E75" i="181"/>
  <c r="E70" i="204"/>
  <c r="E65" i="211"/>
  <c r="E60" i="234"/>
  <c r="E76" i="217"/>
  <c r="E72" i="197"/>
  <c r="E67" i="236"/>
  <c r="E63" i="200"/>
  <c r="E59" i="180"/>
  <c r="E75" i="211"/>
  <c r="E71" i="191"/>
  <c r="E66" i="230"/>
  <c r="E62" i="210"/>
  <c r="E84" i="180"/>
  <c r="E95" i="199"/>
  <c r="E80" i="235"/>
  <c r="E85" i="211"/>
  <c r="E87" i="188"/>
  <c r="E92" i="228"/>
  <c r="E78" i="182"/>
  <c r="E95" i="183"/>
  <c r="E79" i="214"/>
  <c r="E84" i="206"/>
  <c r="E86" i="231"/>
  <c r="E90" i="234"/>
  <c r="E79" i="211"/>
  <c r="E91" i="206"/>
  <c r="E80" i="231"/>
  <c r="E93" i="215"/>
  <c r="E84" i="218"/>
  <c r="E107" i="196"/>
  <c r="E91" i="204"/>
  <c r="E83" i="196"/>
  <c r="E77" i="180"/>
  <c r="E70" i="209"/>
  <c r="E64" i="195"/>
  <c r="E58" i="181"/>
  <c r="E72" i="234"/>
  <c r="E67" i="209"/>
  <c r="E61" i="177"/>
  <c r="E74" i="211"/>
  <c r="E69" i="186"/>
  <c r="E62" i="231"/>
  <c r="E77" i="209"/>
  <c r="E72" i="184"/>
  <c r="E66" i="234"/>
  <c r="E60" i="236"/>
  <c r="E76" i="235"/>
  <c r="E71" i="226"/>
  <c r="E66" i="233"/>
  <c r="E62" i="197"/>
  <c r="E57" i="220"/>
  <c r="E74" i="208"/>
  <c r="E69" i="231"/>
  <c r="E65" i="177"/>
  <c r="E60" i="202"/>
  <c r="E76" i="185"/>
  <c r="E71" i="224"/>
  <c r="E67" i="204"/>
  <c r="E62" i="227"/>
  <c r="E58" i="207"/>
  <c r="E75" i="177"/>
  <c r="E70" i="218"/>
  <c r="E66" i="198"/>
  <c r="E61" i="221"/>
  <c r="E57" i="201"/>
  <c r="E73" i="200"/>
  <c r="E69" i="180"/>
  <c r="E64" i="219"/>
  <c r="E60" i="199"/>
  <c r="E79" i="181"/>
  <c r="E74" i="220"/>
  <c r="E70" i="184"/>
  <c r="E65" i="223"/>
  <c r="E94" i="181"/>
  <c r="E90" i="190"/>
  <c r="E79" i="198"/>
  <c r="E84" i="190"/>
  <c r="E84" i="189"/>
  <c r="E90" i="218"/>
  <c r="E79" i="177"/>
  <c r="E90" i="233"/>
  <c r="E80" i="215"/>
  <c r="E93" i="199"/>
  <c r="E84" i="202"/>
  <c r="E107" i="180"/>
  <c r="E91" i="188"/>
  <c r="E83" i="180"/>
  <c r="E76" i="223"/>
  <c r="E69" i="236"/>
  <c r="E64" i="177"/>
  <c r="E57" i="224"/>
  <c r="E72" i="218"/>
  <c r="E67" i="193"/>
  <c r="E60" i="222"/>
  <c r="E74" i="195"/>
  <c r="E68" i="229"/>
  <c r="E62" i="215"/>
  <c r="E77" i="193"/>
  <c r="E71" i="227"/>
  <c r="E66" i="218"/>
  <c r="E60" i="220"/>
  <c r="E76" i="219"/>
  <c r="E71" i="210"/>
  <c r="E66" i="217"/>
  <c r="E62" i="181"/>
  <c r="E57" i="204"/>
  <c r="E74" i="192"/>
  <c r="E69" i="215"/>
  <c r="E64" i="222"/>
  <c r="E59" i="229"/>
  <c r="E75" i="228"/>
  <c r="E71" i="208"/>
  <c r="E67" i="188"/>
  <c r="E62" i="211"/>
  <c r="E58" i="191"/>
  <c r="E74" i="222"/>
  <c r="E70" i="202"/>
  <c r="E66" i="182"/>
  <c r="E88" i="183"/>
  <c r="E89" i="233"/>
  <c r="E78" i="209"/>
  <c r="E83" i="201"/>
  <c r="E83" i="184"/>
  <c r="E89" i="213"/>
  <c r="E78" i="222"/>
  <c r="E89" i="212"/>
  <c r="E80" i="183"/>
  <c r="E92" i="226"/>
  <c r="E81" i="180"/>
  <c r="E85" i="197"/>
  <c r="E107" i="233"/>
  <c r="E80" i="234"/>
  <c r="E82" i="227"/>
  <c r="E89" i="197"/>
  <c r="E78" i="190"/>
  <c r="E89" i="196"/>
  <c r="E79" i="210"/>
  <c r="E92" i="194"/>
  <c r="E83" i="197"/>
  <c r="E97" i="218"/>
  <c r="E90" i="199"/>
  <c r="E82" i="207"/>
  <c r="E75" i="202"/>
  <c r="E69" i="204"/>
  <c r="E63" i="206"/>
  <c r="E57" i="192"/>
  <c r="E72" i="186"/>
  <c r="E66" i="220"/>
  <c r="E60" i="190"/>
  <c r="E73" i="222"/>
  <c r="E68" i="197"/>
  <c r="E62" i="183"/>
  <c r="E76" i="220"/>
  <c r="E71" i="195"/>
  <c r="E65" i="197"/>
  <c r="E96" i="206"/>
  <c r="E84" i="224"/>
  <c r="E98" i="212"/>
  <c r="E97" i="190"/>
  <c r="E90" i="208"/>
  <c r="E80" i="188"/>
  <c r="E98" i="196"/>
  <c r="E96" i="233"/>
  <c r="E82" i="177"/>
  <c r="E88" i="192"/>
  <c r="E98" i="193"/>
  <c r="E87" i="234"/>
  <c r="E78" i="205"/>
  <c r="E91" i="189"/>
  <c r="E82" i="208"/>
  <c r="E96" i="213"/>
  <c r="E88" i="221"/>
  <c r="E81" i="218"/>
  <c r="E74" i="229"/>
  <c r="E85" i="183"/>
  <c r="E79" i="231"/>
  <c r="E97" i="207"/>
  <c r="E96" i="185"/>
  <c r="E79" i="212"/>
  <c r="E86" i="198"/>
  <c r="E97" i="188"/>
  <c r="E87" i="202"/>
  <c r="E78" i="189"/>
  <c r="E90" i="232"/>
  <c r="E82" i="192"/>
  <c r="E96" i="197"/>
  <c r="E88" i="189"/>
  <c r="E81" i="202"/>
  <c r="E74" i="197"/>
  <c r="E68" i="199"/>
  <c r="E61" i="228"/>
  <c r="E76" i="222"/>
  <c r="E57" i="226"/>
  <c r="E62" i="219"/>
  <c r="E67" i="212"/>
  <c r="E72" i="205"/>
  <c r="E77" i="214"/>
  <c r="E62" i="188"/>
  <c r="E67" i="197"/>
  <c r="E72" i="190"/>
  <c r="E77" i="199"/>
  <c r="E60" i="227"/>
  <c r="E65" i="236"/>
  <c r="E70" i="229"/>
  <c r="E76" i="177"/>
  <c r="E60" i="180"/>
  <c r="E64" i="232"/>
  <c r="E70" i="182"/>
  <c r="E75" i="191"/>
  <c r="E60" i="213"/>
  <c r="E66" i="211"/>
  <c r="E71" i="236"/>
  <c r="E77" i="186"/>
  <c r="E61" i="235"/>
  <c r="E68" i="222"/>
  <c r="E74" i="236"/>
  <c r="E58" i="205"/>
  <c r="E64" i="203"/>
  <c r="E71" i="206"/>
  <c r="E57" i="185"/>
  <c r="E65" i="193"/>
  <c r="E73" i="233"/>
  <c r="E61" i="222"/>
  <c r="E70" i="219"/>
  <c r="E59" i="181"/>
  <c r="E68" i="210"/>
  <c r="E78" i="180"/>
  <c r="E65" i="228"/>
  <c r="E75" i="230"/>
  <c r="E65" i="181"/>
  <c r="E57" i="206"/>
  <c r="E73" i="190"/>
  <c r="E68" i="198"/>
  <c r="E65" i="184"/>
  <c r="E91" i="236"/>
  <c r="E88" i="191"/>
  <c r="E71" i="233"/>
  <c r="E67" i="228"/>
  <c r="E72" i="221"/>
  <c r="E67" i="213"/>
  <c r="E72" i="206"/>
  <c r="E77" i="215"/>
  <c r="E61" i="184"/>
  <c r="E66" i="193"/>
  <c r="E71" i="186"/>
  <c r="E76" i="195"/>
  <c r="E60" i="196"/>
  <c r="E65" i="189"/>
  <c r="E70" i="198"/>
  <c r="E75" i="207"/>
  <c r="E60" i="229"/>
  <c r="E66" i="227"/>
  <c r="E72" i="193"/>
  <c r="E57" i="183"/>
  <c r="E62" i="192"/>
  <c r="E69" i="177"/>
  <c r="E75" i="193"/>
  <c r="E58" i="221"/>
  <c r="E64" i="235"/>
  <c r="E71" i="222"/>
  <c r="E57" i="217"/>
  <c r="E65" i="209"/>
  <c r="E74" i="190"/>
  <c r="E62" i="177"/>
  <c r="E70" i="235"/>
  <c r="E59" i="197"/>
  <c r="E68" i="226"/>
  <c r="E78" i="196"/>
  <c r="E66" i="185"/>
  <c r="E76" i="187"/>
  <c r="E65" i="213"/>
  <c r="E58" i="177"/>
  <c r="E73" i="206"/>
  <c r="E71" i="197"/>
  <c r="E68" i="231"/>
  <c r="E92" i="225"/>
  <c r="E91" i="222"/>
  <c r="E63" i="193"/>
  <c r="E66" i="214"/>
  <c r="E75" i="195"/>
  <c r="E63" i="184"/>
  <c r="E72" i="181"/>
  <c r="E60" i="218"/>
  <c r="E70" i="188"/>
  <c r="E57" i="236"/>
  <c r="E67" i="190"/>
  <c r="E77" i="192"/>
  <c r="E67" i="223"/>
  <c r="E60" i="221"/>
  <c r="E75" i="184"/>
  <c r="E71" i="229"/>
  <c r="E69" i="220"/>
  <c r="E97" i="234"/>
  <c r="E76" i="228"/>
  <c r="E75" i="209"/>
  <c r="E69" i="199"/>
  <c r="E68" i="201"/>
  <c r="E73" i="210"/>
  <c r="E57" i="227"/>
  <c r="E68" i="186"/>
  <c r="E73" i="177"/>
  <c r="E78" i="188"/>
  <c r="E61" i="216"/>
  <c r="E66" i="225"/>
  <c r="E71" i="234"/>
  <c r="E77" i="184"/>
  <c r="E60" i="228"/>
  <c r="E65" i="221"/>
  <c r="E70" i="230"/>
  <c r="E76" i="180"/>
  <c r="E62" i="191"/>
  <c r="E67" i="200"/>
  <c r="E72" i="225"/>
  <c r="E57" i="215"/>
  <c r="E63" i="229"/>
  <c r="E69" i="211"/>
  <c r="E76" i="198"/>
  <c r="E59" i="210"/>
  <c r="E65" i="208"/>
  <c r="E72" i="195"/>
  <c r="E58" i="190"/>
  <c r="E58" i="231"/>
  <c r="E63" i="224"/>
  <c r="E68" i="217"/>
  <c r="E74" i="183"/>
  <c r="E58" i="200"/>
  <c r="E63" i="209"/>
  <c r="E68" i="202"/>
  <c r="E73" i="195"/>
  <c r="E57" i="180"/>
  <c r="E61" i="232"/>
  <c r="E67" i="198"/>
  <c r="E72" i="207"/>
  <c r="E77" i="200"/>
  <c r="E61" i="185"/>
  <c r="E66" i="194"/>
  <c r="E71" i="187"/>
  <c r="E76" i="196"/>
  <c r="E62" i="207"/>
  <c r="E67" i="216"/>
  <c r="E73" i="182"/>
  <c r="E57" i="231"/>
  <c r="E64" i="186"/>
  <c r="E69" i="227"/>
  <c r="E77" i="187"/>
  <c r="E59" i="226"/>
  <c r="E66" i="197"/>
  <c r="E72" i="211"/>
  <c r="E59" i="177"/>
  <c r="E67" i="187"/>
  <c r="E75" i="227"/>
  <c r="E63" i="216"/>
  <c r="E72" i="213"/>
  <c r="E61" i="191"/>
  <c r="E70" i="220"/>
  <c r="E58" i="209"/>
  <c r="E67" i="222"/>
  <c r="E77" i="224"/>
  <c r="E68" i="212"/>
  <c r="E61" i="194"/>
  <c r="E75" i="216"/>
  <c r="E72" i="202"/>
  <c r="E70" i="225"/>
  <c r="E107" i="228"/>
  <c r="E80" i="184"/>
  <c r="E70" i="213"/>
  <c r="E70" i="217"/>
  <c r="E70" i="203"/>
  <c r="E67" i="191"/>
  <c r="E59" i="188"/>
  <c r="E64" i="181"/>
  <c r="E68" i="233"/>
  <c r="E74" i="199"/>
  <c r="E58" i="216"/>
  <c r="E63" i="225"/>
  <c r="E68" i="218"/>
  <c r="E73" i="211"/>
  <c r="E57" i="196"/>
  <c r="E62" i="189"/>
  <c r="E67" i="214"/>
  <c r="E72" i="223"/>
  <c r="E77" i="216"/>
  <c r="E61" i="201"/>
  <c r="E66" i="210"/>
  <c r="E71" i="203"/>
  <c r="E57" i="182"/>
  <c r="E62" i="223"/>
  <c r="E67" i="232"/>
  <c r="E73" i="198"/>
  <c r="E58" i="188"/>
  <c r="E64" i="202"/>
  <c r="E70" i="200"/>
  <c r="E77" i="203"/>
  <c r="E60" i="183"/>
  <c r="E67" i="186"/>
  <c r="E72" i="227"/>
  <c r="E60" i="184"/>
  <c r="E67" i="235"/>
  <c r="E76" i="216"/>
  <c r="E64" i="205"/>
  <c r="E73" i="202"/>
  <c r="E62" i="180"/>
  <c r="E71" i="209"/>
  <c r="E59" i="198"/>
  <c r="E68" i="211"/>
  <c r="E58" i="194"/>
  <c r="E69" i="217"/>
  <c r="E61" i="210"/>
  <c r="E59" i="185"/>
  <c r="E73" i="207"/>
  <c r="E71" i="198"/>
  <c r="E78" i="220"/>
  <c r="E88" i="208"/>
  <c r="E71" i="220"/>
  <c r="E74" i="204"/>
  <c r="E67" i="229"/>
  <c r="E66" i="209"/>
  <c r="E65" i="205"/>
  <c r="E67" i="184"/>
  <c r="E65" i="225"/>
  <c r="E58" i="232"/>
  <c r="E68" i="234"/>
  <c r="E57" i="212"/>
  <c r="E73" i="180"/>
  <c r="E77" i="232"/>
  <c r="E61" i="217"/>
  <c r="E66" i="226"/>
  <c r="E71" i="219"/>
  <c r="E57" i="230"/>
  <c r="E63" i="180"/>
  <c r="E68" i="189"/>
  <c r="E73" i="214"/>
  <c r="E58" i="220"/>
  <c r="E64" i="218"/>
  <c r="E70" i="216"/>
  <c r="E77" i="219"/>
  <c r="E60" i="215"/>
  <c r="E67" i="202"/>
  <c r="E73" i="184"/>
  <c r="E60" i="200"/>
  <c r="E69" i="181"/>
  <c r="E77" i="221"/>
  <c r="E65" i="226"/>
  <c r="E74" i="207"/>
  <c r="E63" i="185"/>
  <c r="E72" i="214"/>
  <c r="E60" i="203"/>
  <c r="E69" i="232"/>
  <c r="E59" i="199"/>
  <c r="E69" i="233"/>
  <c r="E62" i="199"/>
  <c r="E59" i="201"/>
  <c r="E74" i="180"/>
  <c r="E75" i="186"/>
  <c r="E83" i="181"/>
  <c r="E82" i="195"/>
  <c r="E121" i="176"/>
  <c r="E137" i="176"/>
  <c r="E61" i="176"/>
  <c r="E77" i="176"/>
  <c r="E93" i="176"/>
  <c r="E140" i="176"/>
  <c r="E122" i="176"/>
  <c r="E138" i="176"/>
  <c r="E62" i="176"/>
  <c r="E78" i="176"/>
  <c r="E94" i="176"/>
  <c r="E80" i="176"/>
  <c r="E107" i="176"/>
  <c r="E123" i="176"/>
  <c r="E139" i="176"/>
  <c r="E63" i="176"/>
  <c r="E79" i="176"/>
  <c r="E95" i="176"/>
  <c r="E109" i="176"/>
  <c r="E125" i="176"/>
  <c r="E141" i="176"/>
  <c r="E65" i="176"/>
  <c r="E81" i="176"/>
  <c r="E97" i="176"/>
  <c r="E129" i="176"/>
  <c r="E110" i="176"/>
  <c r="E126" i="176"/>
  <c r="E142" i="176"/>
  <c r="E66" i="176"/>
  <c r="E82" i="176"/>
  <c r="E98" i="176"/>
  <c r="E144" i="176"/>
  <c r="E111" i="176"/>
  <c r="E127" i="176"/>
  <c r="E143" i="176"/>
  <c r="E67" i="176"/>
  <c r="E83" i="176"/>
  <c r="E99" i="176"/>
  <c r="E128" i="176"/>
  <c r="E113" i="176"/>
  <c r="E145" i="176"/>
  <c r="E69" i="176"/>
  <c r="E57" i="176"/>
  <c r="E112" i="176"/>
  <c r="E68" i="176"/>
  <c r="E84" i="176"/>
  <c r="E100" i="176"/>
  <c r="E85" i="176"/>
  <c r="E114" i="176"/>
  <c r="E130" i="176"/>
  <c r="E146" i="176"/>
  <c r="E70" i="176"/>
  <c r="E86" i="176"/>
  <c r="E124" i="176"/>
  <c r="E115" i="176"/>
  <c r="E131" i="176"/>
  <c r="E147" i="176"/>
  <c r="E71" i="176"/>
  <c r="E87" i="176"/>
  <c r="E132" i="176"/>
  <c r="E88" i="176"/>
  <c r="E60" i="176"/>
  <c r="E108" i="176"/>
  <c r="E116" i="176"/>
  <c r="E148" i="176"/>
  <c r="E72" i="176"/>
  <c r="E96" i="176"/>
  <c r="E117" i="176"/>
  <c r="E133" i="176"/>
  <c r="E106" i="176"/>
  <c r="E73" i="176"/>
  <c r="E89" i="176"/>
  <c r="E136" i="176"/>
  <c r="E92" i="176"/>
  <c r="E64" i="176"/>
  <c r="E118" i="176"/>
  <c r="E134" i="176"/>
  <c r="E58" i="176"/>
  <c r="E74" i="176"/>
  <c r="E90" i="176"/>
  <c r="E91" i="176"/>
  <c r="E120" i="176"/>
  <c r="E76" i="176"/>
  <c r="E119" i="176"/>
  <c r="E135" i="176"/>
  <c r="E59" i="176"/>
  <c r="E75" i="176"/>
  <c r="E120" i="22"/>
  <c r="F120" i="22" s="1"/>
  <c r="F62" i="237" s="1"/>
  <c r="E136" i="22"/>
  <c r="F136" i="22" s="1"/>
  <c r="F78" i="237" s="1"/>
  <c r="E60" i="22"/>
  <c r="F60" i="22" s="1"/>
  <c r="F7" i="237" s="1"/>
  <c r="E76" i="22"/>
  <c r="F76" i="22" s="1"/>
  <c r="F23" i="237" s="1"/>
  <c r="E92" i="22"/>
  <c r="F92" i="22" s="1"/>
  <c r="F39" i="237" s="1"/>
  <c r="E121" i="22"/>
  <c r="F121" i="22" s="1"/>
  <c r="F63" i="237" s="1"/>
  <c r="E137" i="22"/>
  <c r="F137" i="22" s="1"/>
  <c r="F79" i="237" s="1"/>
  <c r="E61" i="22"/>
  <c r="F61" i="22" s="1"/>
  <c r="F8" i="237" s="1"/>
  <c r="E77" i="22"/>
  <c r="F77" i="22" s="1"/>
  <c r="F24" i="237" s="1"/>
  <c r="E93" i="22"/>
  <c r="F93" i="22" s="1"/>
  <c r="F40" i="237" s="1"/>
  <c r="E122" i="22"/>
  <c r="F122" i="22" s="1"/>
  <c r="F64" i="237" s="1"/>
  <c r="E138" i="22"/>
  <c r="F138" i="22" s="1"/>
  <c r="F80" i="237" s="1"/>
  <c r="E62" i="22"/>
  <c r="F62" i="22" s="1"/>
  <c r="F9" i="237" s="1"/>
  <c r="E78" i="22"/>
  <c r="F78" i="22" s="1"/>
  <c r="F25" i="237" s="1"/>
  <c r="E94" i="22"/>
  <c r="F94" i="22" s="1"/>
  <c r="F41" i="237" s="1"/>
  <c r="E107" i="22"/>
  <c r="F107" i="22" s="1"/>
  <c r="F49" i="237" s="1"/>
  <c r="E123" i="22"/>
  <c r="F123" i="22" s="1"/>
  <c r="F65" i="237" s="1"/>
  <c r="E139" i="22"/>
  <c r="F139" i="22" s="1"/>
  <c r="F81" i="237" s="1"/>
  <c r="E63" i="22"/>
  <c r="F63" i="22" s="1"/>
  <c r="F10" i="237" s="1"/>
  <c r="E79" i="22"/>
  <c r="F79" i="22" s="1"/>
  <c r="F26" i="237" s="1"/>
  <c r="E95" i="22"/>
  <c r="F95" i="22" s="1"/>
  <c r="F42" i="237" s="1"/>
  <c r="E108" i="22"/>
  <c r="F108" i="22" s="1"/>
  <c r="F50" i="237" s="1"/>
  <c r="E124" i="22"/>
  <c r="F124" i="22" s="1"/>
  <c r="F66" i="237" s="1"/>
  <c r="E140" i="22"/>
  <c r="F140" i="22" s="1"/>
  <c r="F82" i="237" s="1"/>
  <c r="E64" i="22"/>
  <c r="F64" i="22" s="1"/>
  <c r="F11" i="237" s="1"/>
  <c r="E80" i="22"/>
  <c r="F80" i="22" s="1"/>
  <c r="F27" i="237" s="1"/>
  <c r="E96" i="22"/>
  <c r="F96" i="22" s="1"/>
  <c r="F43" i="237" s="1"/>
  <c r="E109" i="22"/>
  <c r="F109" i="22" s="1"/>
  <c r="F51" i="237" s="1"/>
  <c r="E125" i="22"/>
  <c r="F125" i="22" s="1"/>
  <c r="F67" i="237" s="1"/>
  <c r="E141" i="22"/>
  <c r="F141" i="22" s="1"/>
  <c r="F83" i="237" s="1"/>
  <c r="E65" i="22"/>
  <c r="F65" i="22" s="1"/>
  <c r="F12" i="237" s="1"/>
  <c r="E81" i="22"/>
  <c r="F81" i="22" s="1"/>
  <c r="F28" i="237" s="1"/>
  <c r="E97" i="22"/>
  <c r="F97" i="22" s="1"/>
  <c r="F44" i="237" s="1"/>
  <c r="E110" i="22"/>
  <c r="F110" i="22" s="1"/>
  <c r="F52" i="237" s="1"/>
  <c r="E126" i="22"/>
  <c r="F126" i="22" s="1"/>
  <c r="F68" i="237" s="1"/>
  <c r="E142" i="22"/>
  <c r="F142" i="22" s="1"/>
  <c r="F84" i="237" s="1"/>
  <c r="E66" i="22"/>
  <c r="F66" i="22" s="1"/>
  <c r="F13" i="237" s="1"/>
  <c r="E82" i="22"/>
  <c r="F82" i="22" s="1"/>
  <c r="F29" i="237" s="1"/>
  <c r="E98" i="22"/>
  <c r="F98" i="22" s="1"/>
  <c r="F45" i="237" s="1"/>
  <c r="E111" i="22"/>
  <c r="F111" i="22" s="1"/>
  <c r="F53" i="237" s="1"/>
  <c r="E127" i="22"/>
  <c r="F127" i="22" s="1"/>
  <c r="F69" i="237" s="1"/>
  <c r="E143" i="22"/>
  <c r="F143" i="22" s="1"/>
  <c r="F85" i="237" s="1"/>
  <c r="E67" i="22"/>
  <c r="F67" i="22" s="1"/>
  <c r="F14" i="237" s="1"/>
  <c r="E83" i="22"/>
  <c r="F83" i="22" s="1"/>
  <c r="F30" i="237" s="1"/>
  <c r="E99" i="22"/>
  <c r="F99" i="22" s="1"/>
  <c r="F46" i="237" s="1"/>
  <c r="E112" i="22"/>
  <c r="F112" i="22" s="1"/>
  <c r="F54" i="237" s="1"/>
  <c r="E128" i="22"/>
  <c r="F128" i="22" s="1"/>
  <c r="F70" i="237" s="1"/>
  <c r="E144" i="22"/>
  <c r="F144" i="22" s="1"/>
  <c r="F86" i="237" s="1"/>
  <c r="E68" i="22"/>
  <c r="F68" i="22" s="1"/>
  <c r="F15" i="237" s="1"/>
  <c r="E84" i="22"/>
  <c r="F84" i="22" s="1"/>
  <c r="F31" i="237" s="1"/>
  <c r="E100" i="22"/>
  <c r="F100" i="22" s="1"/>
  <c r="F47" i="237" s="1"/>
  <c r="E113" i="22"/>
  <c r="F113" i="22" s="1"/>
  <c r="F55" i="237" s="1"/>
  <c r="E129" i="22"/>
  <c r="F129" i="22" s="1"/>
  <c r="F71" i="237" s="1"/>
  <c r="E145" i="22"/>
  <c r="F145" i="22" s="1"/>
  <c r="F87" i="237" s="1"/>
  <c r="E69" i="22"/>
  <c r="F69" i="22" s="1"/>
  <c r="F16" i="237" s="1"/>
  <c r="E85" i="22"/>
  <c r="F85" i="22" s="1"/>
  <c r="F32" i="237" s="1"/>
  <c r="E57" i="22"/>
  <c r="E114" i="22"/>
  <c r="F114" i="22" s="1"/>
  <c r="F56" i="237" s="1"/>
  <c r="E130" i="22"/>
  <c r="F130" i="22" s="1"/>
  <c r="F72" i="237" s="1"/>
  <c r="E146" i="22"/>
  <c r="F146" i="22" s="1"/>
  <c r="F88" i="237" s="1"/>
  <c r="E70" i="22"/>
  <c r="F70" i="22" s="1"/>
  <c r="F17" i="237" s="1"/>
  <c r="E86" i="22"/>
  <c r="F86" i="22" s="1"/>
  <c r="F33" i="237" s="1"/>
  <c r="E115" i="22"/>
  <c r="F115" i="22" s="1"/>
  <c r="F57" i="237" s="1"/>
  <c r="E131" i="22"/>
  <c r="F131" i="22" s="1"/>
  <c r="F73" i="237" s="1"/>
  <c r="E147" i="22"/>
  <c r="F147" i="22" s="1"/>
  <c r="F89" i="237" s="1"/>
  <c r="E71" i="22"/>
  <c r="F71" i="22" s="1"/>
  <c r="F18" i="237" s="1"/>
  <c r="E87" i="22"/>
  <c r="F87" i="22" s="1"/>
  <c r="F34" i="237" s="1"/>
  <c r="E116" i="22"/>
  <c r="F116" i="22" s="1"/>
  <c r="F58" i="237" s="1"/>
  <c r="E132" i="22"/>
  <c r="F132" i="22" s="1"/>
  <c r="F74" i="237" s="1"/>
  <c r="E148" i="22"/>
  <c r="F148" i="22" s="1"/>
  <c r="F90" i="237" s="1"/>
  <c r="E72" i="22"/>
  <c r="F72" i="22" s="1"/>
  <c r="F19" i="237" s="1"/>
  <c r="E88" i="22"/>
  <c r="F88" i="22" s="1"/>
  <c r="F35" i="237" s="1"/>
  <c r="E117" i="22"/>
  <c r="F117" i="22" s="1"/>
  <c r="F59" i="237" s="1"/>
  <c r="E133" i="22"/>
  <c r="F133" i="22" s="1"/>
  <c r="F75" i="237" s="1"/>
  <c r="E106" i="22"/>
  <c r="F106" i="22" s="1"/>
  <c r="F48" i="237" s="1"/>
  <c r="E73" i="22"/>
  <c r="F73" i="22" s="1"/>
  <c r="F20" i="237" s="1"/>
  <c r="E89" i="22"/>
  <c r="F89" i="22" s="1"/>
  <c r="F36" i="237" s="1"/>
  <c r="E119" i="22"/>
  <c r="F119" i="22" s="1"/>
  <c r="F61" i="237" s="1"/>
  <c r="E135" i="22"/>
  <c r="F135" i="22" s="1"/>
  <c r="F77" i="237" s="1"/>
  <c r="E59" i="22"/>
  <c r="E75" i="22"/>
  <c r="F75" i="22" s="1"/>
  <c r="F22" i="237" s="1"/>
  <c r="E91" i="22"/>
  <c r="F91" i="22" s="1"/>
  <c r="F38" i="237" s="1"/>
  <c r="E118" i="22"/>
  <c r="F118" i="22" s="1"/>
  <c r="F60" i="237" s="1"/>
  <c r="E134" i="22"/>
  <c r="F134" i="22" s="1"/>
  <c r="F76" i="237" s="1"/>
  <c r="E58" i="22"/>
  <c r="F58" i="22" s="1"/>
  <c r="F5" i="237" s="1"/>
  <c r="E74" i="22"/>
  <c r="F74" i="22" s="1"/>
  <c r="F21" i="237" s="1"/>
  <c r="E90" i="22"/>
  <c r="F90" i="22" s="1"/>
  <c r="F37" i="237" s="1"/>
  <c r="CP99" i="118"/>
  <c r="CP10" i="118"/>
  <c r="G91" i="115" s="1"/>
  <c r="I107" i="22"/>
  <c r="I108" i="22"/>
  <c r="I109" i="22"/>
  <c r="I110" i="22"/>
  <c r="I111" i="22"/>
  <c r="I112" i="22"/>
  <c r="I113" i="22"/>
  <c r="I114" i="22"/>
  <c r="I115" i="22"/>
  <c r="I116" i="22"/>
  <c r="I117" i="22"/>
  <c r="I118" i="22"/>
  <c r="I119" i="22"/>
  <c r="I120" i="22"/>
  <c r="I121" i="22"/>
  <c r="I122" i="22"/>
  <c r="I123" i="22"/>
  <c r="I124" i="22"/>
  <c r="I125" i="22"/>
  <c r="I126" i="22"/>
  <c r="I127" i="22"/>
  <c r="I128" i="22"/>
  <c r="I129" i="22"/>
  <c r="I130" i="22"/>
  <c r="I131" i="22"/>
  <c r="I132" i="22"/>
  <c r="I133" i="22"/>
  <c r="I134" i="22"/>
  <c r="I135" i="22"/>
  <c r="I136" i="22"/>
  <c r="I137" i="22"/>
  <c r="I138" i="22"/>
  <c r="I139" i="22"/>
  <c r="I140" i="22"/>
  <c r="I141" i="22"/>
  <c r="I142" i="22"/>
  <c r="I143" i="22"/>
  <c r="I144" i="22"/>
  <c r="I145" i="22"/>
  <c r="I146" i="22"/>
  <c r="I147" i="22"/>
  <c r="I148" i="22"/>
  <c r="I106" i="22"/>
  <c r="I59" i="22"/>
  <c r="I60" i="22"/>
  <c r="I61" i="22"/>
  <c r="I62" i="22"/>
  <c r="I63" i="22"/>
  <c r="I64" i="22"/>
  <c r="I65" i="22"/>
  <c r="I66" i="22"/>
  <c r="I67" i="22"/>
  <c r="I68" i="22"/>
  <c r="I69" i="22"/>
  <c r="I70" i="22"/>
  <c r="I71" i="22"/>
  <c r="I72" i="22"/>
  <c r="I73" i="22"/>
  <c r="I74" i="22"/>
  <c r="I75" i="22"/>
  <c r="I76" i="22"/>
  <c r="I77" i="22"/>
  <c r="I78" i="22"/>
  <c r="I79" i="22"/>
  <c r="I80" i="22"/>
  <c r="I81" i="22"/>
  <c r="I82" i="22"/>
  <c r="I83" i="22"/>
  <c r="I84" i="22"/>
  <c r="I85" i="22"/>
  <c r="I86" i="22"/>
  <c r="I87" i="22"/>
  <c r="I88" i="22"/>
  <c r="I89" i="22"/>
  <c r="I90" i="22"/>
  <c r="I91" i="22"/>
  <c r="I92" i="22"/>
  <c r="I93" i="22"/>
  <c r="I94" i="22"/>
  <c r="I95" i="22"/>
  <c r="I96" i="22"/>
  <c r="I97" i="22"/>
  <c r="I98" i="22"/>
  <c r="I58" i="22"/>
  <c r="N103" i="22"/>
  <c r="N54" i="22"/>
  <c r="N3" i="22"/>
  <c r="D19" i="22" a="1"/>
  <c r="D21" i="22" a="1"/>
  <c r="D20" i="22" a="1"/>
  <c r="D14" i="22" a="1"/>
  <c r="D103" i="22" s="1"/>
  <c r="D13" i="22" a="1"/>
  <c r="D102" i="22" s="1"/>
  <c r="D12" i="22" a="1"/>
  <c r="D101" i="22" s="1"/>
  <c r="D10" i="22" a="1"/>
  <c r="E149" i="210" l="1"/>
  <c r="H31" i="210" s="1"/>
  <c r="E149" i="199"/>
  <c r="H31" i="199" s="1"/>
  <c r="E149" i="177"/>
  <c r="H31" i="177" s="1"/>
  <c r="E149" i="233"/>
  <c r="H31" i="233" s="1"/>
  <c r="E149" i="211"/>
  <c r="H31" i="211" s="1"/>
  <c r="E149" i="194"/>
  <c r="H31" i="194" s="1"/>
  <c r="E149" i="188"/>
  <c r="H31" i="188" s="1"/>
  <c r="E149" i="202"/>
  <c r="H31" i="202" s="1"/>
  <c r="E149" i="230"/>
  <c r="H31" i="230" s="1"/>
  <c r="E149" i="236"/>
  <c r="H31" i="236" s="1"/>
  <c r="E149" i="185"/>
  <c r="H31" i="185" s="1"/>
  <c r="E149" i="221"/>
  <c r="H31" i="221" s="1"/>
  <c r="E149" i="216"/>
  <c r="H31" i="216" s="1"/>
  <c r="E149" i="232"/>
  <c r="H31" i="232" s="1"/>
  <c r="E149" i="207"/>
  <c r="H31" i="207" s="1"/>
  <c r="E149" i="197"/>
  <c r="H31" i="197" s="1"/>
  <c r="E149" i="235"/>
  <c r="H31" i="235" s="1"/>
  <c r="E149" i="227"/>
  <c r="H31" i="227" s="1"/>
  <c r="E149" i="195"/>
  <c r="H31" i="195" s="1"/>
  <c r="E149" i="224"/>
  <c r="H31" i="224" s="1"/>
  <c r="E149" i="196"/>
  <c r="H31" i="196" s="1"/>
  <c r="E149" i="180"/>
  <c r="H31" i="180" s="1"/>
  <c r="E149" i="215"/>
  <c r="H31" i="215" s="1"/>
  <c r="E149" i="204"/>
  <c r="H31" i="204" s="1"/>
  <c r="E149" i="200"/>
  <c r="H31" i="200" s="1"/>
  <c r="E149" i="203"/>
  <c r="H31" i="203" s="1"/>
  <c r="E149" i="191"/>
  <c r="H31" i="191" s="1"/>
  <c r="E149" i="193"/>
  <c r="H31" i="193" s="1"/>
  <c r="E149" i="218"/>
  <c r="H31" i="218" s="1"/>
  <c r="E149" i="186"/>
  <c r="H31" i="186" s="1"/>
  <c r="E149" i="234"/>
  <c r="H31" i="234" s="1"/>
  <c r="E149" i="213"/>
  <c r="H31" i="213" s="1"/>
  <c r="E149" i="181"/>
  <c r="H31" i="181" s="1"/>
  <c r="E149" i="206"/>
  <c r="H31" i="206" s="1"/>
  <c r="E149" i="222"/>
  <c r="H31" i="222" s="1"/>
  <c r="E149" i="231"/>
  <c r="H31" i="231" s="1"/>
  <c r="E149" i="198"/>
  <c r="H31" i="198" s="1"/>
  <c r="E149" i="214"/>
  <c r="H31" i="214" s="1"/>
  <c r="E149" i="229"/>
  <c r="H31" i="229" s="1"/>
  <c r="E149" i="183"/>
  <c r="H31" i="183" s="1"/>
  <c r="E149" i="190"/>
  <c r="H31" i="190" s="1"/>
  <c r="E149" i="212"/>
  <c r="H31" i="212" s="1"/>
  <c r="E149" i="205"/>
  <c r="H31" i="205" s="1"/>
  <c r="E149" i="219"/>
  <c r="H31" i="219" s="1"/>
  <c r="E149" i="217"/>
  <c r="H31" i="217" s="1"/>
  <c r="E149" i="223"/>
  <c r="H31" i="223" s="1"/>
  <c r="E149" i="225"/>
  <c r="H31" i="225" s="1"/>
  <c r="E149" i="228"/>
  <c r="H31" i="228" s="1"/>
  <c r="E149" i="187"/>
  <c r="H31" i="187" s="1"/>
  <c r="E149" i="220"/>
  <c r="H31" i="220" s="1"/>
  <c r="E149" i="184"/>
  <c r="H31" i="184" s="1"/>
  <c r="E149" i="208"/>
  <c r="H31" i="208" s="1"/>
  <c r="E149" i="182"/>
  <c r="H31" i="182" s="1"/>
  <c r="E149" i="192"/>
  <c r="H31" i="192" s="1"/>
  <c r="E149" i="189"/>
  <c r="H31" i="189" s="1"/>
  <c r="E149" i="226"/>
  <c r="H31" i="226" s="1"/>
  <c r="E149" i="201"/>
  <c r="H31" i="201" s="1"/>
  <c r="E149" i="209"/>
  <c r="H31" i="209" s="1"/>
  <c r="F132" i="176"/>
  <c r="H74" i="237" s="1"/>
  <c r="F81" i="176"/>
  <c r="H28" i="237" s="1"/>
  <c r="F65" i="176"/>
  <c r="H12" i="237" s="1"/>
  <c r="F70" i="176"/>
  <c r="H17" i="237" s="1"/>
  <c r="F146" i="176"/>
  <c r="H88" i="237" s="1"/>
  <c r="F109" i="176"/>
  <c r="H51" i="237" s="1"/>
  <c r="F86" i="176"/>
  <c r="H33" i="237" s="1"/>
  <c r="F141" i="176"/>
  <c r="H83" i="237" s="1"/>
  <c r="F130" i="176"/>
  <c r="H72" i="237" s="1"/>
  <c r="F142" i="176"/>
  <c r="H84" i="237" s="1"/>
  <c r="F80" i="176"/>
  <c r="H27" i="237" s="1"/>
  <c r="F114" i="176"/>
  <c r="H56" i="237" s="1"/>
  <c r="F112" i="176"/>
  <c r="H54" i="237" s="1"/>
  <c r="F64" i="176"/>
  <c r="H11" i="237" s="1"/>
  <c r="F87" i="176"/>
  <c r="H34" i="237" s="1"/>
  <c r="F126" i="176"/>
  <c r="H68" i="237" s="1"/>
  <c r="F135" i="176"/>
  <c r="H77" i="237" s="1"/>
  <c r="F94" i="176"/>
  <c r="H41" i="237" s="1"/>
  <c r="F88" i="176"/>
  <c r="H35" i="237" s="1"/>
  <c r="F61" i="176"/>
  <c r="H8" i="237" s="1"/>
  <c r="F82" i="176"/>
  <c r="H29" i="237" s="1"/>
  <c r="F131" i="176"/>
  <c r="H73" i="237" s="1"/>
  <c r="F107" i="176"/>
  <c r="H49" i="237" s="1"/>
  <c r="F97" i="176"/>
  <c r="H44" i="237" s="1"/>
  <c r="F84" i="176"/>
  <c r="H31" i="237" s="1"/>
  <c r="F138" i="176"/>
  <c r="H80" i="237" s="1"/>
  <c r="F121" i="176"/>
  <c r="H63" i="237" s="1"/>
  <c r="F125" i="176"/>
  <c r="H67" i="237" s="1"/>
  <c r="F68" i="176"/>
  <c r="H15" i="237" s="1"/>
  <c r="F67" i="176"/>
  <c r="H14" i="237" s="1"/>
  <c r="F110" i="176"/>
  <c r="H52" i="237" s="1"/>
  <c r="F71" i="176"/>
  <c r="H18" i="237" s="1"/>
  <c r="F128" i="176"/>
  <c r="H70" i="237" s="1"/>
  <c r="F137" i="176"/>
  <c r="H79" i="237" s="1"/>
  <c r="F122" i="176"/>
  <c r="H64" i="237" s="1"/>
  <c r="F60" i="176"/>
  <c r="F140" i="176"/>
  <c r="H82" i="237" s="1"/>
  <c r="F75" i="176"/>
  <c r="H22" i="237" s="1"/>
  <c r="F115" i="176"/>
  <c r="H57" i="237" s="1"/>
  <c r="F124" i="176"/>
  <c r="H66" i="237" s="1"/>
  <c r="F89" i="176"/>
  <c r="H36" i="237" s="1"/>
  <c r="F113" i="176"/>
  <c r="H55" i="237" s="1"/>
  <c r="F99" i="176"/>
  <c r="H46" i="237" s="1"/>
  <c r="F62" i="176"/>
  <c r="H9" i="237" s="1"/>
  <c r="F83" i="176"/>
  <c r="H30" i="237" s="1"/>
  <c r="F73" i="176"/>
  <c r="H20" i="237" s="1"/>
  <c r="F133" i="176"/>
  <c r="H75" i="237" s="1"/>
  <c r="F93" i="176"/>
  <c r="H40" i="237" s="1"/>
  <c r="F76" i="176"/>
  <c r="H23" i="237" s="1"/>
  <c r="F117" i="176"/>
  <c r="H59" i="237" s="1"/>
  <c r="F77" i="176"/>
  <c r="H24" i="237" s="1"/>
  <c r="F58" i="176"/>
  <c r="H5" i="237" s="1"/>
  <c r="F66" i="176"/>
  <c r="H13" i="237" s="1"/>
  <c r="F96" i="176"/>
  <c r="H43" i="237" s="1"/>
  <c r="F143" i="176"/>
  <c r="H85" i="237" s="1"/>
  <c r="F69" i="176"/>
  <c r="H16" i="237" s="1"/>
  <c r="F127" i="176"/>
  <c r="H69" i="237" s="1"/>
  <c r="F111" i="176"/>
  <c r="H53" i="237" s="1"/>
  <c r="F72" i="176"/>
  <c r="H19" i="237" s="1"/>
  <c r="F129" i="176"/>
  <c r="H71" i="237" s="1"/>
  <c r="F95" i="176"/>
  <c r="H42" i="237" s="1"/>
  <c r="F92" i="176"/>
  <c r="H39" i="237" s="1"/>
  <c r="F120" i="176"/>
  <c r="H62" i="237" s="1"/>
  <c r="F147" i="176"/>
  <c r="H89" i="237" s="1"/>
  <c r="F91" i="176"/>
  <c r="H38" i="237" s="1"/>
  <c r="F79" i="176"/>
  <c r="H26" i="237" s="1"/>
  <c r="F145" i="176"/>
  <c r="H87" i="237" s="1"/>
  <c r="F78" i="176"/>
  <c r="H25" i="237" s="1"/>
  <c r="F119" i="176"/>
  <c r="H61" i="237" s="1"/>
  <c r="F123" i="176"/>
  <c r="H65" i="237" s="1"/>
  <c r="F148" i="176"/>
  <c r="H90" i="237" s="1"/>
  <c r="F118" i="176"/>
  <c r="H60" i="237" s="1"/>
  <c r="F134" i="176"/>
  <c r="H76" i="237" s="1"/>
  <c r="F136" i="176"/>
  <c r="H78" i="237" s="1"/>
  <c r="F106" i="176"/>
  <c r="H48" i="237" s="1"/>
  <c r="I149" i="22"/>
  <c r="H27" i="177"/>
  <c r="H27" i="176"/>
  <c r="F90" i="176"/>
  <c r="H37" i="237" s="1"/>
  <c r="F74" i="176"/>
  <c r="H21" i="237" s="1"/>
  <c r="F85" i="176"/>
  <c r="H32" i="237" s="1"/>
  <c r="E149" i="22"/>
  <c r="E149" i="176"/>
  <c r="F63" i="176"/>
  <c r="H10" i="237" s="1"/>
  <c r="F100" i="176"/>
  <c r="H47" i="237" s="1"/>
  <c r="F139" i="176"/>
  <c r="H81" i="237" s="1"/>
  <c r="F144" i="176"/>
  <c r="H86" i="237" s="1"/>
  <c r="F98" i="176"/>
  <c r="H45" i="237" s="1"/>
  <c r="F108" i="176"/>
  <c r="H50" i="237" s="1"/>
  <c r="F116" i="176"/>
  <c r="H58" i="237" s="1"/>
  <c r="K99" i="22"/>
  <c r="J99" i="22"/>
  <c r="K100" i="22"/>
  <c r="J100" i="22"/>
  <c r="CO99" i="118"/>
  <c r="CO10" i="118"/>
  <c r="G90" i="115" s="1"/>
  <c r="F57" i="22"/>
  <c r="F4" i="237" s="1"/>
  <c r="F59" i="22"/>
  <c r="F6" i="237" s="1"/>
  <c r="K143" i="22"/>
  <c r="K127" i="22"/>
  <c r="K111" i="22"/>
  <c r="K142" i="22"/>
  <c r="K126" i="22"/>
  <c r="J110" i="22"/>
  <c r="J92" i="22"/>
  <c r="J76" i="22"/>
  <c r="J60" i="22"/>
  <c r="K90" i="22"/>
  <c r="K74" i="22"/>
  <c r="K89" i="22"/>
  <c r="K73" i="22"/>
  <c r="K88" i="22"/>
  <c r="K72" i="22"/>
  <c r="J91" i="22"/>
  <c r="J87" i="22"/>
  <c r="J71" i="22"/>
  <c r="K95" i="22"/>
  <c r="K79" i="22"/>
  <c r="J75" i="22"/>
  <c r="J148" i="22"/>
  <c r="K132" i="22"/>
  <c r="J147" i="22"/>
  <c r="K131" i="22"/>
  <c r="K130" i="22"/>
  <c r="K113" i="22"/>
  <c r="J94" i="22"/>
  <c r="J78" i="22"/>
  <c r="K62" i="22"/>
  <c r="J93" i="22"/>
  <c r="J77" i="22"/>
  <c r="J61" i="22"/>
  <c r="J132" i="22"/>
  <c r="K116" i="22"/>
  <c r="J114" i="22"/>
  <c r="J130" i="22"/>
  <c r="K145" i="22"/>
  <c r="J129" i="22"/>
  <c r="J113" i="22"/>
  <c r="K139" i="22"/>
  <c r="K123" i="22"/>
  <c r="K136" i="22"/>
  <c r="K120" i="22"/>
  <c r="K106" i="22"/>
  <c r="K134" i="22"/>
  <c r="J118" i="22"/>
  <c r="K133" i="22"/>
  <c r="J117" i="22"/>
  <c r="K146" i="22"/>
  <c r="K148" i="22"/>
  <c r="K141" i="22"/>
  <c r="K125" i="22"/>
  <c r="K109" i="22"/>
  <c r="K140" i="22"/>
  <c r="K124" i="22"/>
  <c r="K108" i="22"/>
  <c r="K138" i="22"/>
  <c r="K122" i="22"/>
  <c r="K137" i="22"/>
  <c r="K121" i="22"/>
  <c r="K135" i="22"/>
  <c r="K119" i="22"/>
  <c r="K147" i="22"/>
  <c r="J131" i="22"/>
  <c r="K115" i="22"/>
  <c r="K144" i="22"/>
  <c r="J128" i="22"/>
  <c r="J112" i="22"/>
  <c r="K107" i="22"/>
  <c r="K86" i="22"/>
  <c r="K70" i="22"/>
  <c r="K85" i="22"/>
  <c r="K69" i="22"/>
  <c r="J84" i="22"/>
  <c r="J68" i="22"/>
  <c r="K83" i="22"/>
  <c r="K67" i="22"/>
  <c r="J98" i="22"/>
  <c r="J82" i="22"/>
  <c r="J66" i="22"/>
  <c r="J97" i="22"/>
  <c r="J81" i="22"/>
  <c r="J65" i="22"/>
  <c r="J96" i="22"/>
  <c r="J80" i="22"/>
  <c r="J64" i="22"/>
  <c r="J95" i="22"/>
  <c r="J79" i="22"/>
  <c r="J58" i="22"/>
  <c r="J144" i="22"/>
  <c r="J143" i="22"/>
  <c r="J127" i="22"/>
  <c r="K129" i="22"/>
  <c r="J142" i="22"/>
  <c r="J126" i="22"/>
  <c r="K128" i="22"/>
  <c r="J141" i="22"/>
  <c r="J125" i="22"/>
  <c r="J140" i="22"/>
  <c r="J124" i="22"/>
  <c r="J139" i="22"/>
  <c r="J123" i="22"/>
  <c r="J138" i="22"/>
  <c r="J122" i="22"/>
  <c r="J137" i="22"/>
  <c r="J121" i="22"/>
  <c r="J136" i="22"/>
  <c r="J120" i="22"/>
  <c r="J135" i="22"/>
  <c r="J119" i="22"/>
  <c r="J134" i="22"/>
  <c r="J111" i="22"/>
  <c r="J133" i="22"/>
  <c r="J109" i="22"/>
  <c r="K118" i="22"/>
  <c r="J108" i="22"/>
  <c r="K117" i="22"/>
  <c r="K114" i="22"/>
  <c r="J107" i="22"/>
  <c r="J106" i="22"/>
  <c r="K78" i="22"/>
  <c r="K68" i="22"/>
  <c r="K66" i="22"/>
  <c r="K63" i="22"/>
  <c r="K65" i="22"/>
  <c r="K98" i="22"/>
  <c r="K97" i="22"/>
  <c r="K94" i="22"/>
  <c r="K84" i="22"/>
  <c r="K82" i="22"/>
  <c r="K81" i="22"/>
  <c r="K58" i="22"/>
  <c r="J146" i="22"/>
  <c r="J145" i="22"/>
  <c r="K112" i="22"/>
  <c r="J116" i="22"/>
  <c r="K110" i="22"/>
  <c r="J115" i="22"/>
  <c r="J63" i="22"/>
  <c r="J62" i="22"/>
  <c r="J90" i="22"/>
  <c r="J74" i="22"/>
  <c r="J89" i="22"/>
  <c r="J73" i="22"/>
  <c r="J88" i="22"/>
  <c r="J72" i="22"/>
  <c r="K96" i="22"/>
  <c r="K80" i="22"/>
  <c r="K64" i="22"/>
  <c r="J85" i="22"/>
  <c r="J69" i="22"/>
  <c r="K93" i="22"/>
  <c r="K77" i="22"/>
  <c r="K61" i="22"/>
  <c r="J70" i="22"/>
  <c r="K92" i="22"/>
  <c r="K76" i="22"/>
  <c r="K60" i="22"/>
  <c r="J86" i="22"/>
  <c r="J83" i="22"/>
  <c r="J67" i="22"/>
  <c r="K91" i="22"/>
  <c r="K75" i="22"/>
  <c r="K87" i="22"/>
  <c r="K71" i="22"/>
  <c r="D54" i="22"/>
  <c r="D52" i="22"/>
  <c r="D53" i="22"/>
  <c r="N1" i="22"/>
  <c r="H7" i="237" l="1"/>
  <c r="F60" i="177"/>
  <c r="J7" i="237" s="1"/>
  <c r="K81" i="176"/>
  <c r="K65" i="176"/>
  <c r="J70" i="176"/>
  <c r="K109" i="176"/>
  <c r="K146" i="176"/>
  <c r="K130" i="176"/>
  <c r="K132" i="176"/>
  <c r="K141" i="176"/>
  <c r="J132" i="176"/>
  <c r="J146" i="176"/>
  <c r="J130" i="176"/>
  <c r="J65" i="176"/>
  <c r="J109" i="176"/>
  <c r="K70" i="176"/>
  <c r="K63" i="176"/>
  <c r="F123" i="177"/>
  <c r="J65" i="237" s="1"/>
  <c r="F91" i="177"/>
  <c r="J38" i="237" s="1"/>
  <c r="F76" i="177"/>
  <c r="J23" i="237" s="1"/>
  <c r="F128" i="177"/>
  <c r="J70" i="237" s="1"/>
  <c r="F135" i="177"/>
  <c r="J77" i="237" s="1"/>
  <c r="F147" i="177"/>
  <c r="J89" i="237" s="1"/>
  <c r="F93" i="177"/>
  <c r="J40" i="237" s="1"/>
  <c r="F71" i="177"/>
  <c r="J18" i="237" s="1"/>
  <c r="F126" i="177"/>
  <c r="J68" i="237" s="1"/>
  <c r="F141" i="177"/>
  <c r="J83" i="237" s="1"/>
  <c r="F87" i="177"/>
  <c r="J34" i="237" s="1"/>
  <c r="F85" i="177"/>
  <c r="J32" i="237" s="1"/>
  <c r="F92" i="177"/>
  <c r="J39" i="237" s="1"/>
  <c r="F73" i="177"/>
  <c r="J20" i="237" s="1"/>
  <c r="F67" i="177"/>
  <c r="J14" i="237" s="1"/>
  <c r="F86" i="177"/>
  <c r="J33" i="237" s="1"/>
  <c r="F95" i="177"/>
  <c r="J42" i="237" s="1"/>
  <c r="F83" i="177"/>
  <c r="J30" i="237" s="1"/>
  <c r="F68" i="177"/>
  <c r="J15" i="237" s="1"/>
  <c r="F112" i="177"/>
  <c r="J54" i="237" s="1"/>
  <c r="F129" i="177"/>
  <c r="J71" i="237" s="1"/>
  <c r="F62" i="177"/>
  <c r="J9" i="237" s="1"/>
  <c r="F125" i="177"/>
  <c r="J67" i="237" s="1"/>
  <c r="F114" i="177"/>
  <c r="J56" i="237" s="1"/>
  <c r="F133" i="177"/>
  <c r="J75" i="237" s="1"/>
  <c r="F90" i="177"/>
  <c r="J37" i="237" s="1"/>
  <c r="F72" i="177"/>
  <c r="J19" i="237" s="1"/>
  <c r="F99" i="177"/>
  <c r="J46" i="237" s="1"/>
  <c r="F121" i="177"/>
  <c r="J63" i="237" s="1"/>
  <c r="F80" i="177"/>
  <c r="J27" i="237" s="1"/>
  <c r="J141" i="176"/>
  <c r="F111" i="177"/>
  <c r="J53" i="237" s="1"/>
  <c r="F113" i="177"/>
  <c r="J55" i="237" s="1"/>
  <c r="F138" i="177"/>
  <c r="J80" i="237" s="1"/>
  <c r="F142" i="177"/>
  <c r="J84" i="237" s="1"/>
  <c r="F132" i="177"/>
  <c r="J74" i="237" s="1"/>
  <c r="F74" i="177"/>
  <c r="J21" i="237" s="1"/>
  <c r="J81" i="176"/>
  <c r="F127" i="177"/>
  <c r="J69" i="237" s="1"/>
  <c r="F89" i="177"/>
  <c r="J36" i="237" s="1"/>
  <c r="F84" i="177"/>
  <c r="J31" i="237" s="1"/>
  <c r="F69" i="177"/>
  <c r="J16" i="237" s="1"/>
  <c r="F124" i="177"/>
  <c r="J66" i="237" s="1"/>
  <c r="F97" i="177"/>
  <c r="J44" i="237" s="1"/>
  <c r="F65" i="177"/>
  <c r="J12" i="237" s="1"/>
  <c r="F143" i="177"/>
  <c r="J85" i="237" s="1"/>
  <c r="F115" i="177"/>
  <c r="J57" i="237" s="1"/>
  <c r="F107" i="177"/>
  <c r="J49" i="237" s="1"/>
  <c r="F120" i="177"/>
  <c r="J62" i="237" s="1"/>
  <c r="F106" i="177"/>
  <c r="J48" i="237" s="1"/>
  <c r="F96" i="177"/>
  <c r="J43" i="237" s="1"/>
  <c r="F109" i="177"/>
  <c r="J51" i="237" s="1"/>
  <c r="F110" i="177"/>
  <c r="J52" i="237" s="1"/>
  <c r="F70" i="177"/>
  <c r="J17" i="237" s="1"/>
  <c r="F136" i="177"/>
  <c r="J78" i="237" s="1"/>
  <c r="F119" i="177"/>
  <c r="J61" i="237" s="1"/>
  <c r="F66" i="177"/>
  <c r="J13" i="237" s="1"/>
  <c r="F140" i="177"/>
  <c r="J82" i="237" s="1"/>
  <c r="F82" i="177"/>
  <c r="J29" i="237" s="1"/>
  <c r="F98" i="177"/>
  <c r="J45" i="237" s="1"/>
  <c r="F144" i="177"/>
  <c r="J86" i="237" s="1"/>
  <c r="F134" i="177"/>
  <c r="J76" i="237" s="1"/>
  <c r="F78" i="177"/>
  <c r="J25" i="237" s="1"/>
  <c r="F58" i="177"/>
  <c r="J5" i="237" s="1"/>
  <c r="F130" i="177"/>
  <c r="J72" i="237" s="1"/>
  <c r="F108" i="177"/>
  <c r="J50" i="237" s="1"/>
  <c r="F75" i="177"/>
  <c r="J22" i="237" s="1"/>
  <c r="F81" i="177"/>
  <c r="J28" i="237" s="1"/>
  <c r="J86" i="176"/>
  <c r="F139" i="177"/>
  <c r="J81" i="237" s="1"/>
  <c r="F118" i="177"/>
  <c r="J60" i="237" s="1"/>
  <c r="F145" i="177"/>
  <c r="J87" i="237" s="1"/>
  <c r="F77" i="177"/>
  <c r="J24" i="237" s="1"/>
  <c r="F122" i="177"/>
  <c r="J64" i="237" s="1"/>
  <c r="F88" i="177"/>
  <c r="J35" i="237" s="1"/>
  <c r="F59" i="176"/>
  <c r="H6" i="237" s="1"/>
  <c r="F131" i="177"/>
  <c r="J73" i="237" s="1"/>
  <c r="K86" i="176"/>
  <c r="F100" i="177"/>
  <c r="J47" i="237" s="1"/>
  <c r="F148" i="177"/>
  <c r="J90" i="237" s="1"/>
  <c r="F79" i="177"/>
  <c r="J26" i="237" s="1"/>
  <c r="F117" i="177"/>
  <c r="J59" i="237" s="1"/>
  <c r="F137" i="177"/>
  <c r="J79" i="237" s="1"/>
  <c r="F94" i="177"/>
  <c r="J41" i="237" s="1"/>
  <c r="F146" i="177"/>
  <c r="J88" i="237" s="1"/>
  <c r="F64" i="177"/>
  <c r="J11" i="237" s="1"/>
  <c r="F61" i="177"/>
  <c r="J8" i="237" s="1"/>
  <c r="K94" i="176"/>
  <c r="J91" i="176"/>
  <c r="J87" i="176"/>
  <c r="K87" i="176"/>
  <c r="K84" i="176"/>
  <c r="K80" i="176"/>
  <c r="J80" i="176"/>
  <c r="K114" i="176"/>
  <c r="J142" i="176"/>
  <c r="K142" i="176"/>
  <c r="J135" i="176"/>
  <c r="K107" i="176"/>
  <c r="J112" i="176"/>
  <c r="K112" i="176"/>
  <c r="J114" i="176"/>
  <c r="K115" i="176"/>
  <c r="J115" i="176"/>
  <c r="J107" i="176"/>
  <c r="J122" i="176"/>
  <c r="K88" i="176"/>
  <c r="J94" i="176"/>
  <c r="J68" i="176"/>
  <c r="K68" i="176"/>
  <c r="K73" i="176"/>
  <c r="J126" i="176"/>
  <c r="J64" i="176"/>
  <c r="K126" i="176"/>
  <c r="J83" i="176"/>
  <c r="J88" i="176"/>
  <c r="K67" i="176"/>
  <c r="K64" i="176"/>
  <c r="K76" i="176"/>
  <c r="K135" i="176"/>
  <c r="J61" i="176"/>
  <c r="K122" i="176"/>
  <c r="K61" i="176"/>
  <c r="K91" i="176"/>
  <c r="J82" i="176"/>
  <c r="K82" i="176"/>
  <c r="K75" i="176"/>
  <c r="J131" i="176"/>
  <c r="K131" i="176"/>
  <c r="K128" i="176"/>
  <c r="J138" i="176"/>
  <c r="K127" i="176"/>
  <c r="J67" i="176"/>
  <c r="J97" i="176"/>
  <c r="K138" i="176"/>
  <c r="J128" i="176"/>
  <c r="J140" i="176"/>
  <c r="K97" i="176"/>
  <c r="J125" i="176"/>
  <c r="K145" i="176"/>
  <c r="J73" i="176"/>
  <c r="J76" i="176"/>
  <c r="J134" i="176"/>
  <c r="J121" i="176"/>
  <c r="K121" i="176"/>
  <c r="J84" i="176"/>
  <c r="K110" i="176"/>
  <c r="K113" i="176"/>
  <c r="K111" i="176"/>
  <c r="J111" i="176"/>
  <c r="J113" i="176"/>
  <c r="K58" i="176"/>
  <c r="J58" i="176"/>
  <c r="J62" i="176"/>
  <c r="J118" i="176"/>
  <c r="J72" i="176"/>
  <c r="J137" i="176"/>
  <c r="K62" i="176"/>
  <c r="K137" i="176"/>
  <c r="K140" i="176"/>
  <c r="K118" i="176"/>
  <c r="J117" i="176"/>
  <c r="K117" i="176"/>
  <c r="J79" i="176"/>
  <c r="K71" i="176"/>
  <c r="K79" i="176"/>
  <c r="J110" i="176"/>
  <c r="K125" i="176"/>
  <c r="J127" i="176"/>
  <c r="J124" i="176"/>
  <c r="J106" i="176"/>
  <c r="J71" i="176"/>
  <c r="J145" i="176"/>
  <c r="J77" i="176"/>
  <c r="J60" i="176"/>
  <c r="J119" i="176"/>
  <c r="K77" i="176"/>
  <c r="K95" i="176"/>
  <c r="K60" i="176"/>
  <c r="K119" i="176"/>
  <c r="J75" i="176"/>
  <c r="K92" i="176"/>
  <c r="J133" i="176"/>
  <c r="K133" i="176"/>
  <c r="K89" i="176"/>
  <c r="J99" i="176"/>
  <c r="J89" i="176"/>
  <c r="J92" i="176"/>
  <c r="K99" i="176"/>
  <c r="K83" i="176"/>
  <c r="K134" i="176"/>
  <c r="J148" i="176"/>
  <c r="K148" i="176"/>
  <c r="K124" i="176"/>
  <c r="K72" i="176"/>
  <c r="K106" i="176"/>
  <c r="K78" i="176"/>
  <c r="J95" i="176"/>
  <c r="J78" i="176"/>
  <c r="J143" i="176"/>
  <c r="J147" i="176"/>
  <c r="K143" i="176"/>
  <c r="K66" i="176"/>
  <c r="K147" i="176"/>
  <c r="J120" i="176"/>
  <c r="J136" i="176"/>
  <c r="J66" i="176"/>
  <c r="K120" i="176"/>
  <c r="K136" i="176"/>
  <c r="J69" i="176"/>
  <c r="J93" i="176"/>
  <c r="J96" i="176"/>
  <c r="J129" i="176"/>
  <c r="K69" i="176"/>
  <c r="K93" i="176"/>
  <c r="K96" i="176"/>
  <c r="K129" i="176"/>
  <c r="H29" i="202"/>
  <c r="H33" i="202" s="1"/>
  <c r="H29" i="191"/>
  <c r="H33" i="191" s="1"/>
  <c r="H29" i="188"/>
  <c r="H33" i="188" s="1"/>
  <c r="H29" i="185"/>
  <c r="H33" i="185" s="1"/>
  <c r="H29" i="189"/>
  <c r="H33" i="189" s="1"/>
  <c r="H29" i="234"/>
  <c r="H33" i="234" s="1"/>
  <c r="H29" i="229"/>
  <c r="H33" i="229" s="1"/>
  <c r="H29" i="224"/>
  <c r="H33" i="224" s="1"/>
  <c r="H29" i="219"/>
  <c r="H33" i="219" s="1"/>
  <c r="H29" i="216"/>
  <c r="H33" i="216" s="1"/>
  <c r="H29" i="199"/>
  <c r="H33" i="199" s="1"/>
  <c r="H29" i="196"/>
  <c r="H33" i="196" s="1"/>
  <c r="H29" i="213"/>
  <c r="H33" i="213" s="1"/>
  <c r="H29" i="193"/>
  <c r="H33" i="193" s="1"/>
  <c r="H29" i="187"/>
  <c r="H33" i="187" s="1"/>
  <c r="H29" i="195"/>
  <c r="H33" i="195" s="1"/>
  <c r="H29" i="231"/>
  <c r="H33" i="231" s="1"/>
  <c r="H29" i="226"/>
  <c r="H33" i="226" s="1"/>
  <c r="H29" i="221"/>
  <c r="H33" i="221" s="1"/>
  <c r="H29" i="210"/>
  <c r="H33" i="210" s="1"/>
  <c r="H29" i="207"/>
  <c r="H33" i="207" s="1"/>
  <c r="H29" i="190"/>
  <c r="H33" i="190" s="1"/>
  <c r="H29" i="197"/>
  <c r="H33" i="197" s="1"/>
  <c r="H29" i="236"/>
  <c r="H33" i="236" s="1"/>
  <c r="H29" i="218"/>
  <c r="H33" i="218" s="1"/>
  <c r="H29" i="204"/>
  <c r="H33" i="204" s="1"/>
  <c r="H29" i="201"/>
  <c r="H33" i="201" s="1"/>
  <c r="H29" i="233"/>
  <c r="H33" i="233" s="1"/>
  <c r="H29" i="228"/>
  <c r="H33" i="228" s="1"/>
  <c r="H29" i="198"/>
  <c r="H33" i="198" s="1"/>
  <c r="H29" i="223"/>
  <c r="H33" i="223" s="1"/>
  <c r="H29" i="215"/>
  <c r="H33" i="215" s="1"/>
  <c r="H29" i="212"/>
  <c r="H33" i="212" s="1"/>
  <c r="H29" i="206"/>
  <c r="H33" i="206" s="1"/>
  <c r="H29" i="192"/>
  <c r="H33" i="192" s="1"/>
  <c r="H29" i="230"/>
  <c r="H33" i="230" s="1"/>
  <c r="H29" i="220"/>
  <c r="H33" i="220" s="1"/>
  <c r="H29" i="209"/>
  <c r="H33" i="209" s="1"/>
  <c r="H29" i="203"/>
  <c r="H33" i="203" s="1"/>
  <c r="H29" i="186"/>
  <c r="H33" i="186" s="1"/>
  <c r="H29" i="194"/>
  <c r="H33" i="194" s="1"/>
  <c r="H29" i="235"/>
  <c r="H33" i="235" s="1"/>
  <c r="H29" i="225"/>
  <c r="H33" i="225" s="1"/>
  <c r="H29" i="217"/>
  <c r="H33" i="217" s="1"/>
  <c r="H29" i="200"/>
  <c r="H33" i="200" s="1"/>
  <c r="H29" i="227"/>
  <c r="H33" i="227" s="1"/>
  <c r="H29" i="214"/>
  <c r="H33" i="214" s="1"/>
  <c r="H29" i="232"/>
  <c r="H33" i="232" s="1"/>
  <c r="H29" i="222"/>
  <c r="H33" i="222" s="1"/>
  <c r="H29" i="208"/>
  <c r="H33" i="208" s="1"/>
  <c r="H29" i="211"/>
  <c r="H33" i="211" s="1"/>
  <c r="H29" i="205"/>
  <c r="H33" i="205" s="1"/>
  <c r="K74" i="176"/>
  <c r="J123" i="176"/>
  <c r="K123" i="176"/>
  <c r="H29" i="177"/>
  <c r="H33" i="177" s="1"/>
  <c r="H29" i="180"/>
  <c r="H33" i="180" s="1"/>
  <c r="H29" i="181"/>
  <c r="H33" i="181" s="1"/>
  <c r="H29" i="184"/>
  <c r="H33" i="184" s="1"/>
  <c r="H29" i="183"/>
  <c r="H33" i="183" s="1"/>
  <c r="H29" i="182"/>
  <c r="H33" i="182" s="1"/>
  <c r="K90" i="176"/>
  <c r="J74" i="176"/>
  <c r="J90" i="176"/>
  <c r="J98" i="176"/>
  <c r="J139" i="176"/>
  <c r="K98" i="176"/>
  <c r="K139" i="176"/>
  <c r="J144" i="176"/>
  <c r="K144" i="176"/>
  <c r="J85" i="176"/>
  <c r="K85" i="176"/>
  <c r="J100" i="176"/>
  <c r="K100" i="176"/>
  <c r="J108" i="176"/>
  <c r="K108" i="176"/>
  <c r="K116" i="176"/>
  <c r="F116" i="177"/>
  <c r="J58" i="237" s="1"/>
  <c r="J63" i="176"/>
  <c r="F63" i="177"/>
  <c r="J10" i="237" s="1"/>
  <c r="J116" i="176"/>
  <c r="H29" i="176"/>
  <c r="H33" i="176" s="1"/>
  <c r="H31" i="176"/>
  <c r="F57" i="176"/>
  <c r="H4" i="237" s="1"/>
  <c r="J57" i="22"/>
  <c r="F149" i="22"/>
  <c r="F91" i="237" s="1"/>
  <c r="K57" i="22"/>
  <c r="CN99" i="118"/>
  <c r="CN10" i="118"/>
  <c r="G89" i="115" s="1"/>
  <c r="K59" i="22"/>
  <c r="J59" i="22"/>
  <c r="L65" i="202" l="1"/>
  <c r="L98" i="202"/>
  <c r="L107" i="202"/>
  <c r="L116" i="202"/>
  <c r="L117" i="202"/>
  <c r="L121" i="202"/>
  <c r="L118" i="202"/>
  <c r="L119" i="202"/>
  <c r="L120" i="202"/>
  <c r="L108" i="202"/>
  <c r="L123" i="202"/>
  <c r="L122" i="202"/>
  <c r="L109" i="202"/>
  <c r="L110" i="202"/>
  <c r="L111" i="202"/>
  <c r="L112" i="202"/>
  <c r="L113" i="202"/>
  <c r="L114" i="202"/>
  <c r="L115" i="202"/>
  <c r="L78" i="202"/>
  <c r="L57" i="202"/>
  <c r="L124" i="202"/>
  <c r="L100" i="202"/>
  <c r="L99" i="202"/>
  <c r="L97" i="202"/>
  <c r="L96" i="202"/>
  <c r="L95" i="202"/>
  <c r="L94" i="202"/>
  <c r="L75" i="202"/>
  <c r="L74" i="202"/>
  <c r="L73" i="202"/>
  <c r="L93" i="202"/>
  <c r="L92" i="202"/>
  <c r="L69" i="202"/>
  <c r="L70" i="202"/>
  <c r="L71" i="202"/>
  <c r="L72" i="202"/>
  <c r="L91" i="202"/>
  <c r="L90" i="202"/>
  <c r="L68" i="202"/>
  <c r="L67" i="202"/>
  <c r="L66" i="202"/>
  <c r="L89" i="202"/>
  <c r="L64" i="202"/>
  <c r="L63" i="202"/>
  <c r="L62" i="202"/>
  <c r="L61" i="202"/>
  <c r="L60" i="202"/>
  <c r="L59" i="202"/>
  <c r="L58" i="202"/>
  <c r="L106" i="202"/>
  <c r="L148" i="202"/>
  <c r="L147" i="202"/>
  <c r="L146" i="202"/>
  <c r="L88" i="202"/>
  <c r="L145" i="202"/>
  <c r="L144" i="202"/>
  <c r="L143" i="202"/>
  <c r="L142" i="202"/>
  <c r="L141" i="202"/>
  <c r="L140" i="202"/>
  <c r="L139" i="202"/>
  <c r="L138" i="202"/>
  <c r="L137" i="202"/>
  <c r="L136" i="202"/>
  <c r="L135" i="202"/>
  <c r="L134" i="202"/>
  <c r="L133" i="202"/>
  <c r="L132" i="202"/>
  <c r="L131" i="202"/>
  <c r="L130" i="202"/>
  <c r="L129" i="202"/>
  <c r="L128" i="202"/>
  <c r="L127" i="202"/>
  <c r="L126" i="202"/>
  <c r="L125" i="202"/>
  <c r="L87" i="202"/>
  <c r="L86" i="202"/>
  <c r="L85" i="202"/>
  <c r="L84" i="202"/>
  <c r="L83" i="202"/>
  <c r="L82" i="202"/>
  <c r="L81" i="202"/>
  <c r="L80" i="202"/>
  <c r="L79" i="202"/>
  <c r="L77" i="202"/>
  <c r="L76" i="202"/>
  <c r="L90" i="191"/>
  <c r="L89" i="191"/>
  <c r="L88" i="191"/>
  <c r="L87" i="191"/>
  <c r="L86" i="191"/>
  <c r="L85" i="191"/>
  <c r="L84" i="191"/>
  <c r="L83" i="191"/>
  <c r="L82" i="191"/>
  <c r="L81" i="191"/>
  <c r="L80" i="191"/>
  <c r="L79" i="191"/>
  <c r="L78" i="191"/>
  <c r="L77" i="191"/>
  <c r="L76" i="191"/>
  <c r="L75" i="191"/>
  <c r="L74" i="191"/>
  <c r="L73" i="191"/>
  <c r="L72" i="191"/>
  <c r="L71" i="191"/>
  <c r="L69" i="191"/>
  <c r="L68" i="191"/>
  <c r="L67" i="191"/>
  <c r="L66" i="191"/>
  <c r="L64" i="191"/>
  <c r="L63" i="191"/>
  <c r="L62" i="191"/>
  <c r="L61" i="191"/>
  <c r="L60" i="191"/>
  <c r="L108" i="191"/>
  <c r="L70" i="191"/>
  <c r="L65" i="191"/>
  <c r="L129" i="191"/>
  <c r="L128" i="191"/>
  <c r="L127" i="191"/>
  <c r="L126" i="191"/>
  <c r="L125" i="191"/>
  <c r="L124" i="191"/>
  <c r="L123" i="191"/>
  <c r="L122" i="191"/>
  <c r="L121" i="191"/>
  <c r="L120" i="191"/>
  <c r="L119" i="191"/>
  <c r="L118" i="191"/>
  <c r="L107" i="191"/>
  <c r="L117" i="191"/>
  <c r="L116" i="191"/>
  <c r="L115" i="191"/>
  <c r="L114" i="191"/>
  <c r="L113" i="191"/>
  <c r="L91" i="191"/>
  <c r="L92" i="191"/>
  <c r="L93" i="191"/>
  <c r="L94" i="191"/>
  <c r="L95" i="191"/>
  <c r="L96" i="191"/>
  <c r="L97" i="191"/>
  <c r="L98" i="191"/>
  <c r="L99" i="191"/>
  <c r="L100" i="191"/>
  <c r="L57" i="191"/>
  <c r="L112" i="191"/>
  <c r="L111" i="191"/>
  <c r="L58" i="191"/>
  <c r="L110" i="191"/>
  <c r="L59" i="191"/>
  <c r="L106" i="191"/>
  <c r="L148" i="191"/>
  <c r="L147" i="191"/>
  <c r="L146" i="191"/>
  <c r="L145" i="191"/>
  <c r="L144" i="191"/>
  <c r="L143" i="191"/>
  <c r="L142" i="191"/>
  <c r="L141" i="191"/>
  <c r="L140" i="191"/>
  <c r="L139" i="191"/>
  <c r="L138" i="191"/>
  <c r="L137" i="191"/>
  <c r="L136" i="191"/>
  <c r="L135" i="191"/>
  <c r="L134" i="191"/>
  <c r="L133" i="191"/>
  <c r="L109" i="191"/>
  <c r="L132" i="191"/>
  <c r="L131" i="191"/>
  <c r="L130" i="191"/>
  <c r="L147" i="188"/>
  <c r="L148" i="188"/>
  <c r="L106" i="188"/>
  <c r="L58" i="188"/>
  <c r="L59" i="188"/>
  <c r="L60" i="188"/>
  <c r="L61" i="188"/>
  <c r="L62" i="188"/>
  <c r="L63" i="188"/>
  <c r="L64" i="188"/>
  <c r="L65" i="188"/>
  <c r="L66" i="188"/>
  <c r="L67" i="188"/>
  <c r="L68" i="188"/>
  <c r="L69" i="188"/>
  <c r="L70" i="188"/>
  <c r="L71" i="188"/>
  <c r="L72" i="188"/>
  <c r="L73" i="188"/>
  <c r="L74" i="188"/>
  <c r="L75" i="188"/>
  <c r="L76" i="188"/>
  <c r="L77" i="188"/>
  <c r="L78" i="188"/>
  <c r="L79" i="188"/>
  <c r="L80" i="188"/>
  <c r="L82" i="188"/>
  <c r="L83" i="188"/>
  <c r="L84" i="188"/>
  <c r="L85" i="188"/>
  <c r="L86" i="188"/>
  <c r="L87" i="188"/>
  <c r="L88" i="188"/>
  <c r="L89" i="188"/>
  <c r="L90" i="188"/>
  <c r="L91" i="188"/>
  <c r="L93" i="188"/>
  <c r="L94" i="188"/>
  <c r="L95" i="188"/>
  <c r="L96" i="188"/>
  <c r="L97" i="188"/>
  <c r="L98" i="188"/>
  <c r="L99" i="188"/>
  <c r="L118" i="188"/>
  <c r="L100" i="188"/>
  <c r="L57" i="188"/>
  <c r="L81" i="188"/>
  <c r="L92" i="188"/>
  <c r="L110" i="188"/>
  <c r="L111" i="188"/>
  <c r="L112" i="188"/>
  <c r="L113" i="188"/>
  <c r="L114" i="188"/>
  <c r="L115" i="188"/>
  <c r="L116" i="188"/>
  <c r="L117" i="188"/>
  <c r="L134" i="188"/>
  <c r="L119" i="188"/>
  <c r="L120" i="188"/>
  <c r="L121" i="188"/>
  <c r="L122" i="188"/>
  <c r="L123" i="188"/>
  <c r="L124" i="188"/>
  <c r="L125" i="188"/>
  <c r="L126" i="188"/>
  <c r="L127" i="188"/>
  <c r="L128" i="188"/>
  <c r="L129" i="188"/>
  <c r="L130" i="188"/>
  <c r="L131" i="188"/>
  <c r="L132" i="188"/>
  <c r="L133" i="188"/>
  <c r="L135" i="188"/>
  <c r="L136" i="188"/>
  <c r="L137" i="188"/>
  <c r="L138" i="188"/>
  <c r="L139" i="188"/>
  <c r="L140" i="188"/>
  <c r="L141" i="188"/>
  <c r="L142" i="188"/>
  <c r="L143" i="188"/>
  <c r="L144" i="188"/>
  <c r="L109" i="188"/>
  <c r="L145" i="188"/>
  <c r="L146" i="188"/>
  <c r="L107" i="188"/>
  <c r="L108" i="188"/>
  <c r="L137" i="185"/>
  <c r="L110" i="185"/>
  <c r="L111" i="185"/>
  <c r="L112" i="185"/>
  <c r="L113" i="185"/>
  <c r="L136" i="185"/>
  <c r="L135" i="185"/>
  <c r="L128" i="185"/>
  <c r="L134" i="185"/>
  <c r="L133" i="185"/>
  <c r="L79" i="185"/>
  <c r="L132" i="185"/>
  <c r="L131" i="185"/>
  <c r="L130" i="185"/>
  <c r="L129" i="185"/>
  <c r="L61" i="185"/>
  <c r="L62" i="185"/>
  <c r="L63" i="185"/>
  <c r="L64" i="185"/>
  <c r="L65" i="185"/>
  <c r="L66" i="185"/>
  <c r="L67" i="185"/>
  <c r="L127" i="185"/>
  <c r="L126" i="185"/>
  <c r="L125" i="185"/>
  <c r="L124" i="185"/>
  <c r="L123" i="185"/>
  <c r="L122" i="185"/>
  <c r="L121" i="185"/>
  <c r="L120" i="185"/>
  <c r="L119" i="185"/>
  <c r="L118" i="185"/>
  <c r="L117" i="185"/>
  <c r="L116" i="185"/>
  <c r="L115" i="185"/>
  <c r="L114" i="185"/>
  <c r="L80" i="185"/>
  <c r="L81" i="185"/>
  <c r="L82" i="185"/>
  <c r="L83" i="185"/>
  <c r="L84" i="185"/>
  <c r="L85" i="185"/>
  <c r="L86" i="185"/>
  <c r="L87" i="185"/>
  <c r="L88" i="185"/>
  <c r="L89" i="185"/>
  <c r="L90" i="185"/>
  <c r="L91" i="185"/>
  <c r="L148" i="185"/>
  <c r="L92" i="185"/>
  <c r="L93" i="185"/>
  <c r="L94" i="185"/>
  <c r="L95" i="185"/>
  <c r="L96" i="185"/>
  <c r="L97" i="185"/>
  <c r="L98" i="185"/>
  <c r="L99" i="185"/>
  <c r="L57" i="185"/>
  <c r="L145" i="185"/>
  <c r="L146" i="185"/>
  <c r="L147" i="185"/>
  <c r="L106" i="185"/>
  <c r="L58" i="185"/>
  <c r="L59" i="185"/>
  <c r="L60" i="185"/>
  <c r="L143" i="185"/>
  <c r="L142" i="185"/>
  <c r="L141" i="185"/>
  <c r="L140" i="185"/>
  <c r="L139" i="185"/>
  <c r="L138" i="185"/>
  <c r="L100" i="185"/>
  <c r="L144" i="185"/>
  <c r="L107" i="185"/>
  <c r="L78" i="185"/>
  <c r="L77" i="185"/>
  <c r="L76" i="185"/>
  <c r="L75" i="185"/>
  <c r="L74" i="185"/>
  <c r="L73" i="185"/>
  <c r="L72" i="185"/>
  <c r="L71" i="185"/>
  <c r="L70" i="185"/>
  <c r="L69" i="185"/>
  <c r="L68" i="185"/>
  <c r="L108" i="185"/>
  <c r="L109" i="185"/>
  <c r="L126" i="189"/>
  <c r="L148" i="189"/>
  <c r="L106" i="189"/>
  <c r="L58" i="189"/>
  <c r="L59" i="189"/>
  <c r="L60" i="189"/>
  <c r="L61" i="189"/>
  <c r="L107" i="189"/>
  <c r="L108" i="189"/>
  <c r="L109" i="189"/>
  <c r="L110" i="189"/>
  <c r="L111" i="189"/>
  <c r="L112" i="189"/>
  <c r="L113" i="189"/>
  <c r="L65" i="189"/>
  <c r="L62" i="189"/>
  <c r="L114" i="189"/>
  <c r="L115" i="189"/>
  <c r="L116" i="189"/>
  <c r="L117" i="189"/>
  <c r="L118" i="189"/>
  <c r="L147" i="189"/>
  <c r="L119" i="189"/>
  <c r="L120" i="189"/>
  <c r="L121" i="189"/>
  <c r="L122" i="189"/>
  <c r="L123" i="189"/>
  <c r="L124" i="189"/>
  <c r="L127" i="189"/>
  <c r="L128" i="189"/>
  <c r="L129" i="189"/>
  <c r="L130" i="189"/>
  <c r="L131" i="189"/>
  <c r="L132" i="189"/>
  <c r="L133" i="189"/>
  <c r="L134" i="189"/>
  <c r="L135" i="189"/>
  <c r="L136" i="189"/>
  <c r="L137" i="189"/>
  <c r="L138" i="189"/>
  <c r="L139" i="189"/>
  <c r="L140" i="189"/>
  <c r="L141" i="189"/>
  <c r="L142" i="189"/>
  <c r="L143" i="189"/>
  <c r="L144" i="189"/>
  <c r="L63" i="189"/>
  <c r="L64" i="189"/>
  <c r="L66" i="189"/>
  <c r="L67" i="189"/>
  <c r="L68" i="189"/>
  <c r="L69" i="189"/>
  <c r="L70" i="189"/>
  <c r="L71" i="189"/>
  <c r="L72" i="189"/>
  <c r="L73" i="189"/>
  <c r="L74" i="189"/>
  <c r="L75" i="189"/>
  <c r="L76" i="189"/>
  <c r="L77" i="189"/>
  <c r="L78" i="189"/>
  <c r="L79" i="189"/>
  <c r="L80" i="189"/>
  <c r="L81" i="189"/>
  <c r="L82" i="189"/>
  <c r="L83" i="189"/>
  <c r="L84" i="189"/>
  <c r="L85" i="189"/>
  <c r="L86" i="189"/>
  <c r="L87" i="189"/>
  <c r="L88" i="189"/>
  <c r="L89" i="189"/>
  <c r="L90" i="189"/>
  <c r="L91" i="189"/>
  <c r="L92" i="189"/>
  <c r="L93" i="189"/>
  <c r="L94" i="189"/>
  <c r="L95" i="189"/>
  <c r="L96" i="189"/>
  <c r="L97" i="189"/>
  <c r="L98" i="189"/>
  <c r="L99" i="189"/>
  <c r="L100" i="189"/>
  <c r="L57" i="189"/>
  <c r="L145" i="189"/>
  <c r="L146" i="189"/>
  <c r="L125" i="189"/>
  <c r="L88" i="234"/>
  <c r="L87" i="234"/>
  <c r="L85" i="234"/>
  <c r="L84" i="234"/>
  <c r="L83" i="234"/>
  <c r="L82" i="234"/>
  <c r="L81" i="234"/>
  <c r="L80" i="234"/>
  <c r="L79" i="234"/>
  <c r="L78" i="234"/>
  <c r="L77" i="234"/>
  <c r="L76" i="234"/>
  <c r="L75" i="234"/>
  <c r="L74" i="234"/>
  <c r="L73" i="234"/>
  <c r="L72" i="234"/>
  <c r="L71" i="234"/>
  <c r="L70" i="234"/>
  <c r="L69" i="234"/>
  <c r="L68" i="234"/>
  <c r="L67" i="234"/>
  <c r="L66" i="234"/>
  <c r="L65" i="234"/>
  <c r="L64" i="234"/>
  <c r="L63" i="234"/>
  <c r="L62" i="234"/>
  <c r="L61" i="234"/>
  <c r="L60" i="234"/>
  <c r="L59" i="234"/>
  <c r="L58" i="234"/>
  <c r="L106" i="234"/>
  <c r="L148" i="234"/>
  <c r="L147" i="234"/>
  <c r="L146" i="234"/>
  <c r="L145" i="234"/>
  <c r="L144" i="234"/>
  <c r="L143" i="234"/>
  <c r="L142" i="234"/>
  <c r="L141" i="234"/>
  <c r="L140" i="234"/>
  <c r="L139" i="234"/>
  <c r="L138" i="234"/>
  <c r="L137" i="234"/>
  <c r="L136" i="234"/>
  <c r="L95" i="234"/>
  <c r="L135" i="234"/>
  <c r="L134" i="234"/>
  <c r="L133" i="234"/>
  <c r="L131" i="234"/>
  <c r="L129" i="234"/>
  <c r="L127" i="234"/>
  <c r="L125" i="234"/>
  <c r="L121" i="234"/>
  <c r="L108" i="234"/>
  <c r="L109" i="234"/>
  <c r="L112" i="234"/>
  <c r="L114" i="234"/>
  <c r="L116" i="234"/>
  <c r="L118" i="234"/>
  <c r="L120" i="234"/>
  <c r="L122" i="234"/>
  <c r="L123" i="234"/>
  <c r="L124" i="234"/>
  <c r="L126" i="234"/>
  <c r="L128" i="234"/>
  <c r="L130" i="234"/>
  <c r="L132" i="234"/>
  <c r="L86" i="234"/>
  <c r="L91" i="234"/>
  <c r="L93" i="234"/>
  <c r="L96" i="234"/>
  <c r="L98" i="234"/>
  <c r="L100" i="234"/>
  <c r="L119" i="234"/>
  <c r="L117" i="234"/>
  <c r="L115" i="234"/>
  <c r="L113" i="234"/>
  <c r="L111" i="234"/>
  <c r="L110" i="234"/>
  <c r="L107" i="234"/>
  <c r="L89" i="234"/>
  <c r="L94" i="234"/>
  <c r="L92" i="234"/>
  <c r="L90" i="234"/>
  <c r="L57" i="234"/>
  <c r="L99" i="234"/>
  <c r="L97" i="234"/>
  <c r="L69" i="229"/>
  <c r="L141" i="229"/>
  <c r="L142" i="229"/>
  <c r="L143" i="229"/>
  <c r="L144" i="229"/>
  <c r="L145" i="229"/>
  <c r="L146" i="229"/>
  <c r="L147" i="229"/>
  <c r="L148" i="229"/>
  <c r="L106" i="229"/>
  <c r="L58" i="229"/>
  <c r="L59" i="229"/>
  <c r="L60" i="229"/>
  <c r="L61" i="229"/>
  <c r="L62" i="229"/>
  <c r="L63" i="229"/>
  <c r="L64" i="229"/>
  <c r="L65" i="229"/>
  <c r="L66" i="229"/>
  <c r="L67" i="229"/>
  <c r="L68" i="229"/>
  <c r="L90" i="229"/>
  <c r="L70" i="229"/>
  <c r="L71" i="229"/>
  <c r="L72" i="229"/>
  <c r="L73" i="229"/>
  <c r="L74" i="229"/>
  <c r="L75" i="229"/>
  <c r="L76" i="229"/>
  <c r="L77" i="229"/>
  <c r="L78" i="229"/>
  <c r="L79" i="229"/>
  <c r="L80" i="229"/>
  <c r="L81" i="229"/>
  <c r="L82" i="229"/>
  <c r="L83" i="229"/>
  <c r="L84" i="229"/>
  <c r="L85" i="229"/>
  <c r="L86" i="229"/>
  <c r="L87" i="229"/>
  <c r="L88" i="229"/>
  <c r="L89" i="229"/>
  <c r="L139" i="229"/>
  <c r="L91" i="229"/>
  <c r="L92" i="229"/>
  <c r="L93" i="229"/>
  <c r="L94" i="229"/>
  <c r="L95" i="229"/>
  <c r="L96" i="229"/>
  <c r="L97" i="229"/>
  <c r="L98" i="229"/>
  <c r="L99" i="229"/>
  <c r="L100" i="229"/>
  <c r="L57" i="229"/>
  <c r="L107" i="229"/>
  <c r="L108" i="229"/>
  <c r="L109" i="229"/>
  <c r="L110" i="229"/>
  <c r="L111" i="229"/>
  <c r="L112" i="229"/>
  <c r="L113" i="229"/>
  <c r="L114" i="229"/>
  <c r="L115" i="229"/>
  <c r="L119" i="229"/>
  <c r="L116" i="229"/>
  <c r="L117" i="229"/>
  <c r="L140" i="229"/>
  <c r="L118" i="229"/>
  <c r="L120" i="229"/>
  <c r="L121" i="229"/>
  <c r="L122" i="229"/>
  <c r="L123" i="229"/>
  <c r="L124" i="229"/>
  <c r="L125" i="229"/>
  <c r="L126" i="229"/>
  <c r="L127" i="229"/>
  <c r="L128" i="229"/>
  <c r="L129" i="229"/>
  <c r="L130" i="229"/>
  <c r="L131" i="229"/>
  <c r="L132" i="229"/>
  <c r="L133" i="229"/>
  <c r="L134" i="229"/>
  <c r="L135" i="229"/>
  <c r="L136" i="229"/>
  <c r="L137" i="229"/>
  <c r="L138" i="229"/>
  <c r="L62" i="224"/>
  <c r="L58" i="224"/>
  <c r="L147" i="224"/>
  <c r="L143" i="224"/>
  <c r="L139" i="224"/>
  <c r="L136" i="224"/>
  <c r="L132" i="224"/>
  <c r="L125" i="224"/>
  <c r="L123" i="224"/>
  <c r="L119" i="224"/>
  <c r="L117" i="224"/>
  <c r="L113" i="224"/>
  <c r="L107" i="224"/>
  <c r="L93" i="224"/>
  <c r="L89" i="224"/>
  <c r="L85" i="224"/>
  <c r="L81" i="224"/>
  <c r="L76" i="224"/>
  <c r="L71" i="224"/>
  <c r="L66" i="224"/>
  <c r="L63" i="224"/>
  <c r="L59" i="224"/>
  <c r="L146" i="224"/>
  <c r="L142" i="224"/>
  <c r="L138" i="224"/>
  <c r="L134" i="224"/>
  <c r="L130" i="224"/>
  <c r="L127" i="224"/>
  <c r="L121" i="224"/>
  <c r="L118" i="224"/>
  <c r="L115" i="224"/>
  <c r="L111" i="224"/>
  <c r="L108" i="224"/>
  <c r="L69" i="224"/>
  <c r="L73" i="224"/>
  <c r="L77" i="224"/>
  <c r="L80" i="224"/>
  <c r="L84" i="224"/>
  <c r="L86" i="224"/>
  <c r="L90" i="224"/>
  <c r="L94" i="224"/>
  <c r="L97" i="224"/>
  <c r="L100" i="224"/>
  <c r="L88" i="224"/>
  <c r="L96" i="224"/>
  <c r="L79" i="224"/>
  <c r="L75" i="224"/>
  <c r="L72" i="224"/>
  <c r="L68" i="224"/>
  <c r="L64" i="224"/>
  <c r="L60" i="224"/>
  <c r="L148" i="224"/>
  <c r="L144" i="224"/>
  <c r="L141" i="224"/>
  <c r="L137" i="224"/>
  <c r="L133" i="224"/>
  <c r="L129" i="224"/>
  <c r="L126" i="224"/>
  <c r="L122" i="224"/>
  <c r="L116" i="224"/>
  <c r="L112" i="224"/>
  <c r="L109" i="224"/>
  <c r="L91" i="224"/>
  <c r="L87" i="224"/>
  <c r="L82" i="224"/>
  <c r="L57" i="224"/>
  <c r="L78" i="224"/>
  <c r="L74" i="224"/>
  <c r="L70" i="224"/>
  <c r="L98" i="224"/>
  <c r="L99" i="224"/>
  <c r="L95" i="224"/>
  <c r="L92" i="224"/>
  <c r="L110" i="224"/>
  <c r="L114" i="224"/>
  <c r="L120" i="224"/>
  <c r="L124" i="224"/>
  <c r="L128" i="224"/>
  <c r="L131" i="224"/>
  <c r="L135" i="224"/>
  <c r="L140" i="224"/>
  <c r="L145" i="224"/>
  <c r="L106" i="224"/>
  <c r="L61" i="224"/>
  <c r="L65" i="224"/>
  <c r="L67" i="224"/>
  <c r="L83" i="224"/>
  <c r="L129" i="219"/>
  <c r="L121" i="219"/>
  <c r="L92" i="219"/>
  <c r="L78" i="219"/>
  <c r="L69" i="219"/>
  <c r="L61" i="219"/>
  <c r="L147" i="219"/>
  <c r="L143" i="219"/>
  <c r="L138" i="219"/>
  <c r="L133" i="219"/>
  <c r="L124" i="219"/>
  <c r="L117" i="219"/>
  <c r="L113" i="219"/>
  <c r="L109" i="219"/>
  <c r="L144" i="219"/>
  <c r="L110" i="219"/>
  <c r="L114" i="219"/>
  <c r="L123" i="219"/>
  <c r="L131" i="219"/>
  <c r="L139" i="219"/>
  <c r="L148" i="219"/>
  <c r="L67" i="219"/>
  <c r="L74" i="219"/>
  <c r="L82" i="219"/>
  <c r="L88" i="219"/>
  <c r="L94" i="219"/>
  <c r="L99" i="219"/>
  <c r="L97" i="219"/>
  <c r="L91" i="219"/>
  <c r="L84" i="219"/>
  <c r="L76" i="219"/>
  <c r="L66" i="219"/>
  <c r="L111" i="219"/>
  <c r="L119" i="219"/>
  <c r="L128" i="219"/>
  <c r="L59" i="219"/>
  <c r="L96" i="219"/>
  <c r="L107" i="219"/>
  <c r="L115" i="219"/>
  <c r="L120" i="219"/>
  <c r="L125" i="219"/>
  <c r="L130" i="219"/>
  <c r="L135" i="219"/>
  <c r="L140" i="219"/>
  <c r="L106" i="219"/>
  <c r="L65" i="219"/>
  <c r="L72" i="219"/>
  <c r="L79" i="219"/>
  <c r="L85" i="219"/>
  <c r="L93" i="219"/>
  <c r="L100" i="219"/>
  <c r="L89" i="219"/>
  <c r="L83" i="219"/>
  <c r="L77" i="219"/>
  <c r="L73" i="219"/>
  <c r="L64" i="219"/>
  <c r="L90" i="219"/>
  <c r="L81" i="219"/>
  <c r="L71" i="219"/>
  <c r="L63" i="219"/>
  <c r="L145" i="219"/>
  <c r="L141" i="219"/>
  <c r="L134" i="219"/>
  <c r="L127" i="219"/>
  <c r="L122" i="219"/>
  <c r="L118" i="219"/>
  <c r="L108" i="219"/>
  <c r="L112" i="219"/>
  <c r="L116" i="219"/>
  <c r="L126" i="219"/>
  <c r="L132" i="219"/>
  <c r="L136" i="219"/>
  <c r="L142" i="219"/>
  <c r="L146" i="219"/>
  <c r="L58" i="219"/>
  <c r="L62" i="219"/>
  <c r="L70" i="219"/>
  <c r="L87" i="219"/>
  <c r="L95" i="219"/>
  <c r="L57" i="219"/>
  <c r="L98" i="219"/>
  <c r="L86" i="219"/>
  <c r="L80" i="219"/>
  <c r="L75" i="219"/>
  <c r="L68" i="219"/>
  <c r="L60" i="219"/>
  <c r="L137" i="219"/>
  <c r="L85" i="216"/>
  <c r="L59" i="216"/>
  <c r="L116" i="216"/>
  <c r="L119" i="216"/>
  <c r="L118" i="216"/>
  <c r="L117" i="216"/>
  <c r="L115" i="216"/>
  <c r="L114" i="216"/>
  <c r="L113" i="216"/>
  <c r="L112" i="216"/>
  <c r="L111" i="216"/>
  <c r="L110" i="216"/>
  <c r="L109" i="216"/>
  <c r="L108" i="216"/>
  <c r="L107" i="216"/>
  <c r="L84" i="216"/>
  <c r="L58" i="216"/>
  <c r="L83" i="216"/>
  <c r="L82" i="216"/>
  <c r="L81" i="216"/>
  <c r="L70" i="216"/>
  <c r="L71" i="216"/>
  <c r="L80" i="216"/>
  <c r="L79" i="216"/>
  <c r="L78" i="216"/>
  <c r="L77" i="216"/>
  <c r="L76" i="216"/>
  <c r="L75" i="216"/>
  <c r="L69" i="216"/>
  <c r="L68" i="216"/>
  <c r="L67" i="216"/>
  <c r="L66" i="216"/>
  <c r="L74" i="216"/>
  <c r="L65" i="216"/>
  <c r="L64" i="216"/>
  <c r="L73" i="216"/>
  <c r="L72" i="216"/>
  <c r="L126" i="216"/>
  <c r="L125" i="216"/>
  <c r="L124" i="216"/>
  <c r="L123" i="216"/>
  <c r="L122" i="216"/>
  <c r="L121" i="216"/>
  <c r="L120" i="216"/>
  <c r="L63" i="216"/>
  <c r="L62" i="216"/>
  <c r="L61" i="216"/>
  <c r="L60" i="216"/>
  <c r="L57" i="216"/>
  <c r="L100" i="216"/>
  <c r="L99" i="216"/>
  <c r="L98" i="216"/>
  <c r="L97" i="216"/>
  <c r="L96" i="216"/>
  <c r="L95" i="216"/>
  <c r="L94" i="216"/>
  <c r="L93" i="216"/>
  <c r="L92" i="216"/>
  <c r="L91" i="216"/>
  <c r="L90" i="216"/>
  <c r="L89" i="216"/>
  <c r="L88" i="216"/>
  <c r="L87" i="216"/>
  <c r="L86" i="216"/>
  <c r="L106" i="216"/>
  <c r="L148" i="216"/>
  <c r="L147" i="216"/>
  <c r="L146" i="216"/>
  <c r="L145" i="216"/>
  <c r="L144" i="216"/>
  <c r="L143" i="216"/>
  <c r="L142" i="216"/>
  <c r="L141" i="216"/>
  <c r="L140" i="216"/>
  <c r="L139" i="216"/>
  <c r="L138" i="216"/>
  <c r="L137" i="216"/>
  <c r="L136" i="216"/>
  <c r="L135" i="216"/>
  <c r="L134" i="216"/>
  <c r="L133" i="216"/>
  <c r="L132" i="216"/>
  <c r="L131" i="216"/>
  <c r="L130" i="216"/>
  <c r="L127" i="216"/>
  <c r="L129" i="216"/>
  <c r="L128" i="216"/>
  <c r="L75" i="199"/>
  <c r="L89" i="199"/>
  <c r="L88" i="199"/>
  <c r="L87" i="199"/>
  <c r="L86" i="199"/>
  <c r="L85" i="199"/>
  <c r="L84" i="199"/>
  <c r="L83" i="199"/>
  <c r="L82" i="199"/>
  <c r="L81" i="199"/>
  <c r="L80" i="199"/>
  <c r="L135" i="199"/>
  <c r="L134" i="199"/>
  <c r="L133" i="199"/>
  <c r="L132" i="199"/>
  <c r="L131" i="199"/>
  <c r="L130" i="199"/>
  <c r="L129" i="199"/>
  <c r="L128" i="199"/>
  <c r="L127" i="199"/>
  <c r="L126" i="199"/>
  <c r="L125" i="199"/>
  <c r="L124" i="199"/>
  <c r="L123" i="199"/>
  <c r="L122" i="199"/>
  <c r="L121" i="199"/>
  <c r="L120" i="199"/>
  <c r="L119" i="199"/>
  <c r="L118" i="199"/>
  <c r="L117" i="199"/>
  <c r="L116" i="199"/>
  <c r="L115" i="199"/>
  <c r="L114" i="199"/>
  <c r="L113" i="199"/>
  <c r="L112" i="199"/>
  <c r="L111" i="199"/>
  <c r="L110" i="199"/>
  <c r="L109" i="199"/>
  <c r="L108" i="199"/>
  <c r="L107" i="199"/>
  <c r="L78" i="199"/>
  <c r="L77" i="199"/>
  <c r="L76" i="199"/>
  <c r="L74" i="199"/>
  <c r="L73" i="199"/>
  <c r="L72" i="199"/>
  <c r="L71" i="199"/>
  <c r="L70" i="199"/>
  <c r="L69" i="199"/>
  <c r="L79" i="199"/>
  <c r="L68" i="199"/>
  <c r="L67" i="199"/>
  <c r="L66" i="199"/>
  <c r="L65" i="199"/>
  <c r="L64" i="199"/>
  <c r="L59" i="199"/>
  <c r="L58" i="199"/>
  <c r="L106" i="199"/>
  <c r="L148" i="199"/>
  <c r="L147" i="199"/>
  <c r="L146" i="199"/>
  <c r="L145" i="199"/>
  <c r="L144" i="199"/>
  <c r="L143" i="199"/>
  <c r="L142" i="199"/>
  <c r="L141" i="199"/>
  <c r="L140" i="199"/>
  <c r="L139" i="199"/>
  <c r="L138" i="199"/>
  <c r="L137" i="199"/>
  <c r="L136" i="199"/>
  <c r="L63" i="199"/>
  <c r="L62" i="199"/>
  <c r="L61" i="199"/>
  <c r="L60" i="199"/>
  <c r="L90" i="199"/>
  <c r="L57" i="199"/>
  <c r="L100" i="199"/>
  <c r="L99" i="199"/>
  <c r="L98" i="199"/>
  <c r="L97" i="199"/>
  <c r="L96" i="199"/>
  <c r="L95" i="199"/>
  <c r="L94" i="199"/>
  <c r="L93" i="199"/>
  <c r="L92" i="199"/>
  <c r="L91" i="199"/>
  <c r="L72" i="196"/>
  <c r="L74" i="196"/>
  <c r="L76" i="196"/>
  <c r="L78" i="196"/>
  <c r="L80" i="196"/>
  <c r="L83" i="196"/>
  <c r="L85" i="196"/>
  <c r="L87" i="196"/>
  <c r="L89" i="196"/>
  <c r="L91" i="196"/>
  <c r="L93" i="196"/>
  <c r="L95" i="196"/>
  <c r="L99" i="196"/>
  <c r="L100" i="196"/>
  <c r="L107" i="196"/>
  <c r="L61" i="196"/>
  <c r="L132" i="196"/>
  <c r="L135" i="196"/>
  <c r="L137" i="196"/>
  <c r="L139" i="196"/>
  <c r="L141" i="196"/>
  <c r="L143" i="196"/>
  <c r="L145" i="196"/>
  <c r="L147" i="196"/>
  <c r="L148" i="196"/>
  <c r="L58" i="196"/>
  <c r="L60" i="196"/>
  <c r="L97" i="196"/>
  <c r="L96" i="196"/>
  <c r="L98" i="196"/>
  <c r="L57" i="196"/>
  <c r="L62" i="196"/>
  <c r="L64" i="196"/>
  <c r="L66" i="196"/>
  <c r="L68" i="196"/>
  <c r="L69" i="196"/>
  <c r="L94" i="196"/>
  <c r="L92" i="196"/>
  <c r="L90" i="196"/>
  <c r="L88" i="196"/>
  <c r="L86" i="196"/>
  <c r="L84" i="196"/>
  <c r="L82" i="196"/>
  <c r="L81" i="196"/>
  <c r="L79" i="196"/>
  <c r="L77" i="196"/>
  <c r="L75" i="196"/>
  <c r="L73" i="196"/>
  <c r="L71" i="196"/>
  <c r="L70" i="196"/>
  <c r="L67" i="196"/>
  <c r="L65" i="196"/>
  <c r="L63" i="196"/>
  <c r="L59" i="196"/>
  <c r="L106" i="196"/>
  <c r="L146" i="196"/>
  <c r="L144" i="196"/>
  <c r="L142" i="196"/>
  <c r="L140" i="196"/>
  <c r="L138" i="196"/>
  <c r="L136" i="196"/>
  <c r="L134" i="196"/>
  <c r="L133" i="196"/>
  <c r="L131" i="196"/>
  <c r="L130" i="196"/>
  <c r="L129" i="196"/>
  <c r="L128" i="196"/>
  <c r="L127" i="196"/>
  <c r="L126" i="196"/>
  <c r="L125" i="196"/>
  <c r="L124" i="196"/>
  <c r="L123" i="196"/>
  <c r="L122" i="196"/>
  <c r="L121" i="196"/>
  <c r="L120" i="196"/>
  <c r="L119" i="196"/>
  <c r="L118" i="196"/>
  <c r="L117" i="196"/>
  <c r="L116" i="196"/>
  <c r="L115" i="196"/>
  <c r="L114" i="196"/>
  <c r="L113" i="196"/>
  <c r="L112" i="196"/>
  <c r="L111" i="196"/>
  <c r="L110" i="196"/>
  <c r="L109" i="196"/>
  <c r="L108" i="196"/>
  <c r="L82" i="213"/>
  <c r="L79" i="213"/>
  <c r="L78" i="213"/>
  <c r="L77" i="213"/>
  <c r="L76" i="213"/>
  <c r="L75" i="213"/>
  <c r="L74" i="213"/>
  <c r="L73" i="213"/>
  <c r="L72" i="213"/>
  <c r="L71" i="213"/>
  <c r="L70" i="213"/>
  <c r="L69" i="213"/>
  <c r="L68" i="213"/>
  <c r="L67" i="213"/>
  <c r="L66" i="213"/>
  <c r="L65" i="213"/>
  <c r="L64" i="213"/>
  <c r="L63" i="213"/>
  <c r="L62" i="213"/>
  <c r="L61" i="213"/>
  <c r="L60" i="213"/>
  <c r="L59" i="213"/>
  <c r="L58" i="213"/>
  <c r="L106" i="213"/>
  <c r="L148" i="213"/>
  <c r="L147" i="213"/>
  <c r="L146" i="213"/>
  <c r="L145" i="213"/>
  <c r="L144" i="213"/>
  <c r="L143" i="213"/>
  <c r="L142" i="213"/>
  <c r="L141" i="213"/>
  <c r="L140" i="213"/>
  <c r="L92" i="213"/>
  <c r="L108" i="213"/>
  <c r="L107" i="213"/>
  <c r="L109" i="213"/>
  <c r="L110" i="213"/>
  <c r="L111" i="213"/>
  <c r="L112" i="213"/>
  <c r="L113" i="213"/>
  <c r="L114" i="213"/>
  <c r="L115" i="213"/>
  <c r="L116" i="213"/>
  <c r="L117" i="213"/>
  <c r="L118" i="213"/>
  <c r="L119" i="213"/>
  <c r="L120" i="213"/>
  <c r="L121" i="213"/>
  <c r="L122" i="213"/>
  <c r="L123" i="213"/>
  <c r="L124" i="213"/>
  <c r="L125" i="213"/>
  <c r="L126" i="213"/>
  <c r="L127" i="213"/>
  <c r="L128" i="213"/>
  <c r="L129" i="213"/>
  <c r="L130" i="213"/>
  <c r="L131" i="213"/>
  <c r="L132" i="213"/>
  <c r="L133" i="213"/>
  <c r="L134" i="213"/>
  <c r="L135" i="213"/>
  <c r="L136" i="213"/>
  <c r="L137" i="213"/>
  <c r="L138" i="213"/>
  <c r="L139" i="213"/>
  <c r="L57" i="213"/>
  <c r="L100" i="213"/>
  <c r="L99" i="213"/>
  <c r="L98" i="213"/>
  <c r="L97" i="213"/>
  <c r="L96" i="213"/>
  <c r="L95" i="213"/>
  <c r="L94" i="213"/>
  <c r="L93" i="213"/>
  <c r="L91" i="213"/>
  <c r="L90" i="213"/>
  <c r="L89" i="213"/>
  <c r="L88" i="213"/>
  <c r="L87" i="213"/>
  <c r="L86" i="213"/>
  <c r="L85" i="213"/>
  <c r="L84" i="213"/>
  <c r="L83" i="213"/>
  <c r="L81" i="213"/>
  <c r="L80" i="213"/>
  <c r="L92" i="193"/>
  <c r="L81" i="193"/>
  <c r="L80" i="193"/>
  <c r="L79" i="193"/>
  <c r="L78" i="193"/>
  <c r="L77" i="193"/>
  <c r="L76" i="193"/>
  <c r="L75" i="193"/>
  <c r="L74" i="193"/>
  <c r="L73" i="193"/>
  <c r="L72" i="193"/>
  <c r="L71" i="193"/>
  <c r="L70" i="193"/>
  <c r="L69" i="193"/>
  <c r="L68" i="193"/>
  <c r="L67" i="193"/>
  <c r="L66" i="193"/>
  <c r="L65" i="193"/>
  <c r="L64" i="193"/>
  <c r="L63" i="193"/>
  <c r="L62" i="193"/>
  <c r="L141" i="193"/>
  <c r="L61" i="193"/>
  <c r="L60" i="193"/>
  <c r="L59" i="193"/>
  <c r="L143" i="193"/>
  <c r="L142" i="193"/>
  <c r="L58" i="193"/>
  <c r="L106" i="193"/>
  <c r="L148" i="193"/>
  <c r="L147" i="193"/>
  <c r="L140" i="193"/>
  <c r="L146" i="193"/>
  <c r="L57" i="193"/>
  <c r="L100" i="193"/>
  <c r="L99" i="193"/>
  <c r="L98" i="193"/>
  <c r="L97" i="193"/>
  <c r="L96" i="193"/>
  <c r="L95" i="193"/>
  <c r="L94" i="193"/>
  <c r="L93" i="193"/>
  <c r="L145" i="193"/>
  <c r="L91" i="193"/>
  <c r="L90" i="193"/>
  <c r="L89" i="193"/>
  <c r="L87" i="193"/>
  <c r="L86" i="193"/>
  <c r="L85" i="193"/>
  <c r="L84" i="193"/>
  <c r="L144" i="193"/>
  <c r="L83" i="193"/>
  <c r="L82" i="193"/>
  <c r="L139" i="193"/>
  <c r="L138" i="193"/>
  <c r="L137" i="193"/>
  <c r="L136" i="193"/>
  <c r="L135" i="193"/>
  <c r="L134" i="193"/>
  <c r="L133" i="193"/>
  <c r="L132" i="193"/>
  <c r="L131" i="193"/>
  <c r="L130" i="193"/>
  <c r="L129" i="193"/>
  <c r="L128" i="193"/>
  <c r="L127" i="193"/>
  <c r="L126" i="193"/>
  <c r="L125" i="193"/>
  <c r="L124" i="193"/>
  <c r="L123" i="193"/>
  <c r="L122" i="193"/>
  <c r="L121" i="193"/>
  <c r="L120" i="193"/>
  <c r="L119" i="193"/>
  <c r="L118" i="193"/>
  <c r="L117" i="193"/>
  <c r="L114" i="193"/>
  <c r="L113" i="193"/>
  <c r="L112" i="193"/>
  <c r="L111" i="193"/>
  <c r="L110" i="193"/>
  <c r="L109" i="193"/>
  <c r="L108" i="193"/>
  <c r="L107" i="193"/>
  <c r="L116" i="193"/>
  <c r="L115" i="193"/>
  <c r="L88" i="193"/>
  <c r="L124" i="187"/>
  <c r="L64" i="187"/>
  <c r="L65" i="187"/>
  <c r="L66" i="187"/>
  <c r="L123" i="187"/>
  <c r="L57" i="187"/>
  <c r="L100" i="187"/>
  <c r="L99" i="187"/>
  <c r="L98" i="187"/>
  <c r="L97" i="187"/>
  <c r="L96" i="187"/>
  <c r="L95" i="187"/>
  <c r="L94" i="187"/>
  <c r="L93" i="187"/>
  <c r="L92" i="187"/>
  <c r="L122" i="187"/>
  <c r="L121" i="187"/>
  <c r="L120" i="187"/>
  <c r="L119" i="187"/>
  <c r="L118" i="187"/>
  <c r="L117" i="187"/>
  <c r="L85" i="187"/>
  <c r="L115" i="187"/>
  <c r="L114" i="187"/>
  <c r="L113" i="187"/>
  <c r="L112" i="187"/>
  <c r="L111" i="187"/>
  <c r="L110" i="187"/>
  <c r="L109" i="187"/>
  <c r="L108" i="187"/>
  <c r="L107" i="187"/>
  <c r="L63" i="187"/>
  <c r="L116" i="187"/>
  <c r="L133" i="187"/>
  <c r="L134" i="187"/>
  <c r="L135" i="187"/>
  <c r="L136" i="187"/>
  <c r="L137" i="187"/>
  <c r="L138" i="187"/>
  <c r="L139" i="187"/>
  <c r="L140" i="187"/>
  <c r="L141" i="187"/>
  <c r="L142" i="187"/>
  <c r="L143" i="187"/>
  <c r="L144" i="187"/>
  <c r="L145" i="187"/>
  <c r="L146" i="187"/>
  <c r="L147" i="187"/>
  <c r="L148" i="187"/>
  <c r="L106" i="187"/>
  <c r="L58" i="187"/>
  <c r="L59" i="187"/>
  <c r="L60" i="187"/>
  <c r="L61" i="187"/>
  <c r="L62" i="187"/>
  <c r="L128" i="187"/>
  <c r="L129" i="187"/>
  <c r="L130" i="187"/>
  <c r="L131" i="187"/>
  <c r="L91" i="187"/>
  <c r="L90" i="187"/>
  <c r="L89" i="187"/>
  <c r="L88" i="187"/>
  <c r="L87" i="187"/>
  <c r="L86" i="187"/>
  <c r="L132" i="187"/>
  <c r="L84" i="187"/>
  <c r="L83" i="187"/>
  <c r="L82" i="187"/>
  <c r="L81" i="187"/>
  <c r="L80" i="187"/>
  <c r="L79" i="187"/>
  <c r="L78" i="187"/>
  <c r="L77" i="187"/>
  <c r="L76" i="187"/>
  <c r="L75" i="187"/>
  <c r="L74" i="187"/>
  <c r="L73" i="187"/>
  <c r="L72" i="187"/>
  <c r="L71" i="187"/>
  <c r="L70" i="187"/>
  <c r="L69" i="187"/>
  <c r="L68" i="187"/>
  <c r="L67" i="187"/>
  <c r="L127" i="187"/>
  <c r="L126" i="187"/>
  <c r="L125" i="187"/>
  <c r="L66" i="195"/>
  <c r="L65" i="195"/>
  <c r="L64" i="195"/>
  <c r="L63" i="195"/>
  <c r="L62" i="195"/>
  <c r="L61" i="195"/>
  <c r="L60" i="195"/>
  <c r="L59" i="195"/>
  <c r="L58" i="195"/>
  <c r="L106" i="195"/>
  <c r="L148" i="195"/>
  <c r="L147" i="195"/>
  <c r="L146" i="195"/>
  <c r="L145" i="195"/>
  <c r="L144" i="195"/>
  <c r="L143" i="195"/>
  <c r="L142" i="195"/>
  <c r="L141" i="195"/>
  <c r="L140" i="195"/>
  <c r="L139" i="195"/>
  <c r="L138" i="195"/>
  <c r="L136" i="195"/>
  <c r="L134" i="195"/>
  <c r="L132" i="195"/>
  <c r="L130" i="195"/>
  <c r="L128" i="195"/>
  <c r="L125" i="195"/>
  <c r="L123" i="195"/>
  <c r="L113" i="195"/>
  <c r="L112" i="195"/>
  <c r="L109" i="195"/>
  <c r="L108" i="195"/>
  <c r="L129" i="195"/>
  <c r="L127" i="195"/>
  <c r="L126" i="195"/>
  <c r="L124" i="195"/>
  <c r="L133" i="195"/>
  <c r="L121" i="195"/>
  <c r="L120" i="195"/>
  <c r="L119" i="195"/>
  <c r="L118" i="195"/>
  <c r="L117" i="195"/>
  <c r="L116" i="195"/>
  <c r="L115" i="195"/>
  <c r="L114" i="195"/>
  <c r="L111" i="195"/>
  <c r="L110" i="195"/>
  <c r="L107" i="195"/>
  <c r="L131" i="195"/>
  <c r="L137" i="195"/>
  <c r="L135" i="195"/>
  <c r="L57" i="195"/>
  <c r="L100" i="195"/>
  <c r="L99" i="195"/>
  <c r="L98" i="195"/>
  <c r="L97" i="195"/>
  <c r="L96" i="195"/>
  <c r="L95" i="195"/>
  <c r="L94" i="195"/>
  <c r="L93" i="195"/>
  <c r="L92" i="195"/>
  <c r="L91" i="195"/>
  <c r="L90" i="195"/>
  <c r="L89" i="195"/>
  <c r="L88" i="195"/>
  <c r="L87" i="195"/>
  <c r="L86" i="195"/>
  <c r="L85" i="195"/>
  <c r="L84" i="195"/>
  <c r="L83" i="195"/>
  <c r="L82" i="195"/>
  <c r="L81" i="195"/>
  <c r="L80" i="195"/>
  <c r="L79" i="195"/>
  <c r="L78" i="195"/>
  <c r="L77" i="195"/>
  <c r="L76" i="195"/>
  <c r="L75" i="195"/>
  <c r="L74" i="195"/>
  <c r="L73" i="195"/>
  <c r="L72" i="195"/>
  <c r="L71" i="195"/>
  <c r="L70" i="195"/>
  <c r="L69" i="195"/>
  <c r="L68" i="195"/>
  <c r="L122" i="195"/>
  <c r="L67" i="195"/>
  <c r="L111" i="231"/>
  <c r="L138" i="231"/>
  <c r="L137" i="231"/>
  <c r="L136" i="231"/>
  <c r="L135" i="231"/>
  <c r="L134" i="231"/>
  <c r="L133" i="231"/>
  <c r="L132" i="231"/>
  <c r="L131" i="231"/>
  <c r="L130" i="231"/>
  <c r="L129" i="231"/>
  <c r="L128" i="231"/>
  <c r="L127" i="231"/>
  <c r="L126" i="231"/>
  <c r="L125" i="231"/>
  <c r="L124" i="231"/>
  <c r="L123" i="231"/>
  <c r="L122" i="231"/>
  <c r="L121" i="231"/>
  <c r="L120" i="231"/>
  <c r="L119" i="231"/>
  <c r="L118" i="231"/>
  <c r="L117" i="231"/>
  <c r="L116" i="231"/>
  <c r="L115" i="231"/>
  <c r="L114" i="231"/>
  <c r="L113" i="231"/>
  <c r="L112" i="231"/>
  <c r="L110" i="231"/>
  <c r="L109" i="231"/>
  <c r="L108" i="231"/>
  <c r="L107" i="231"/>
  <c r="L147" i="231"/>
  <c r="L70" i="231"/>
  <c r="L57" i="231"/>
  <c r="L100" i="231"/>
  <c r="L99" i="231"/>
  <c r="L98" i="231"/>
  <c r="L97" i="231"/>
  <c r="L96" i="231"/>
  <c r="L95" i="231"/>
  <c r="L94" i="231"/>
  <c r="L93" i="231"/>
  <c r="L92" i="231"/>
  <c r="L91" i="231"/>
  <c r="L90" i="231"/>
  <c r="L89" i="231"/>
  <c r="L88" i="231"/>
  <c r="L87" i="231"/>
  <c r="L86" i="231"/>
  <c r="L85" i="231"/>
  <c r="L84" i="231"/>
  <c r="L83" i="231"/>
  <c r="L82" i="231"/>
  <c r="L81" i="231"/>
  <c r="L80" i="231"/>
  <c r="L79" i="231"/>
  <c r="L78" i="231"/>
  <c r="L77" i="231"/>
  <c r="L76" i="231"/>
  <c r="L75" i="231"/>
  <c r="L74" i="231"/>
  <c r="L73" i="231"/>
  <c r="L72" i="231"/>
  <c r="L71" i="231"/>
  <c r="L69" i="231"/>
  <c r="L68" i="231"/>
  <c r="L67" i="231"/>
  <c r="L66" i="231"/>
  <c r="L65" i="231"/>
  <c r="L64" i="231"/>
  <c r="L63" i="231"/>
  <c r="L62" i="231"/>
  <c r="L61" i="231"/>
  <c r="L60" i="231"/>
  <c r="L59" i="231"/>
  <c r="L58" i="231"/>
  <c r="L106" i="231"/>
  <c r="L148" i="231"/>
  <c r="L146" i="231"/>
  <c r="L145" i="231"/>
  <c r="L144" i="231"/>
  <c r="L143" i="231"/>
  <c r="L142" i="231"/>
  <c r="L141" i="231"/>
  <c r="L140" i="231"/>
  <c r="L139" i="231"/>
  <c r="L58" i="226"/>
  <c r="L106" i="226"/>
  <c r="L148" i="226"/>
  <c r="L147" i="226"/>
  <c r="L146" i="226"/>
  <c r="L145" i="226"/>
  <c r="L144" i="226"/>
  <c r="L143" i="226"/>
  <c r="L142" i="226"/>
  <c r="L141" i="226"/>
  <c r="L140" i="226"/>
  <c r="L139" i="226"/>
  <c r="L138" i="226"/>
  <c r="L137" i="226"/>
  <c r="L136" i="226"/>
  <c r="L135" i="226"/>
  <c r="L134" i="226"/>
  <c r="L133" i="226"/>
  <c r="L131" i="226"/>
  <c r="L130" i="226"/>
  <c r="L129" i="226"/>
  <c r="L128" i="226"/>
  <c r="L127" i="226"/>
  <c r="L126" i="226"/>
  <c r="L125" i="226"/>
  <c r="L124" i="226"/>
  <c r="L123" i="226"/>
  <c r="L122" i="226"/>
  <c r="L121" i="226"/>
  <c r="L120" i="226"/>
  <c r="L119" i="226"/>
  <c r="L118" i="226"/>
  <c r="L117" i="226"/>
  <c r="L116" i="226"/>
  <c r="L115" i="226"/>
  <c r="L114" i="226"/>
  <c r="L113" i="226"/>
  <c r="L112" i="226"/>
  <c r="L111" i="226"/>
  <c r="L110" i="226"/>
  <c r="L109" i="226"/>
  <c r="L108" i="226"/>
  <c r="L107" i="226"/>
  <c r="L132" i="226"/>
  <c r="L57" i="226"/>
  <c r="L100" i="226"/>
  <c r="L99" i="226"/>
  <c r="L98" i="226"/>
  <c r="L97" i="226"/>
  <c r="L96" i="226"/>
  <c r="L95" i="226"/>
  <c r="L94" i="226"/>
  <c r="L93" i="226"/>
  <c r="L92" i="226"/>
  <c r="L91" i="226"/>
  <c r="L90" i="226"/>
  <c r="L89" i="226"/>
  <c r="L88" i="226"/>
  <c r="L87" i="226"/>
  <c r="L86" i="226"/>
  <c r="L85" i="226"/>
  <c r="L84" i="226"/>
  <c r="L83" i="226"/>
  <c r="L82" i="226"/>
  <c r="L81" i="226"/>
  <c r="L80" i="226"/>
  <c r="L79" i="226"/>
  <c r="L78" i="226"/>
  <c r="L77" i="226"/>
  <c r="L76" i="226"/>
  <c r="L75" i="226"/>
  <c r="L74" i="226"/>
  <c r="L73" i="226"/>
  <c r="L72" i="226"/>
  <c r="L71" i="226"/>
  <c r="L70" i="226"/>
  <c r="L69" i="226"/>
  <c r="L68" i="226"/>
  <c r="L67" i="226"/>
  <c r="L66" i="226"/>
  <c r="L65" i="226"/>
  <c r="L64" i="226"/>
  <c r="L63" i="226"/>
  <c r="L62" i="226"/>
  <c r="L61" i="226"/>
  <c r="L60" i="226"/>
  <c r="L59" i="226"/>
  <c r="L120" i="221"/>
  <c r="L82" i="221"/>
  <c r="L59" i="221"/>
  <c r="L100" i="221"/>
  <c r="L96" i="221"/>
  <c r="L91" i="221"/>
  <c r="L88" i="221"/>
  <c r="L85" i="221"/>
  <c r="L81" i="221"/>
  <c r="L77" i="221"/>
  <c r="L73" i="221"/>
  <c r="L70" i="221"/>
  <c r="L66" i="221"/>
  <c r="L62" i="221"/>
  <c r="L106" i="221"/>
  <c r="L142" i="221"/>
  <c r="L108" i="221"/>
  <c r="L114" i="221"/>
  <c r="L117" i="221"/>
  <c r="L121" i="221"/>
  <c r="L137" i="221"/>
  <c r="L133" i="221"/>
  <c r="L110" i="221"/>
  <c r="L129" i="221"/>
  <c r="L99" i="221"/>
  <c r="L95" i="221"/>
  <c r="L87" i="221"/>
  <c r="L84" i="221"/>
  <c r="L80" i="221"/>
  <c r="L74" i="221"/>
  <c r="L69" i="221"/>
  <c r="L64" i="221"/>
  <c r="L78" i="221"/>
  <c r="L58" i="221"/>
  <c r="L147" i="221"/>
  <c r="L143" i="221"/>
  <c r="L138" i="221"/>
  <c r="L132" i="221"/>
  <c r="L126" i="221"/>
  <c r="L123" i="221"/>
  <c r="L118" i="221"/>
  <c r="L113" i="221"/>
  <c r="L146" i="221"/>
  <c r="L139" i="221"/>
  <c r="L134" i="221"/>
  <c r="L130" i="221"/>
  <c r="L57" i="221"/>
  <c r="L97" i="221"/>
  <c r="L92" i="221"/>
  <c r="L125" i="221"/>
  <c r="L89" i="221"/>
  <c r="L83" i="221"/>
  <c r="L79" i="221"/>
  <c r="L76" i="221"/>
  <c r="L71" i="221"/>
  <c r="L68" i="221"/>
  <c r="L65" i="221"/>
  <c r="L61" i="221"/>
  <c r="L148" i="221"/>
  <c r="L141" i="221"/>
  <c r="L124" i="221"/>
  <c r="L136" i="221"/>
  <c r="L131" i="221"/>
  <c r="L127" i="221"/>
  <c r="L122" i="221"/>
  <c r="L116" i="221"/>
  <c r="L112" i="221"/>
  <c r="L109" i="221"/>
  <c r="L107" i="221"/>
  <c r="L115" i="221"/>
  <c r="L144" i="221"/>
  <c r="L145" i="221"/>
  <c r="L90" i="221"/>
  <c r="L94" i="221"/>
  <c r="L93" i="221"/>
  <c r="L86" i="221"/>
  <c r="L75" i="221"/>
  <c r="L60" i="221"/>
  <c r="L140" i="221"/>
  <c r="L135" i="221"/>
  <c r="L128" i="221"/>
  <c r="L119" i="221"/>
  <c r="L111" i="221"/>
  <c r="L98" i="221"/>
  <c r="L63" i="221"/>
  <c r="L67" i="221"/>
  <c r="L72" i="221"/>
  <c r="L116" i="210"/>
  <c r="L117" i="210"/>
  <c r="L118" i="210"/>
  <c r="L119" i="210"/>
  <c r="L120" i="210"/>
  <c r="L121" i="210"/>
  <c r="L122" i="210"/>
  <c r="L123" i="210"/>
  <c r="L124" i="210"/>
  <c r="L125" i="210"/>
  <c r="L126" i="210"/>
  <c r="L127" i="210"/>
  <c r="L128" i="210"/>
  <c r="L129" i="210"/>
  <c r="L130" i="210"/>
  <c r="L131" i="210"/>
  <c r="L132" i="210"/>
  <c r="L133" i="210"/>
  <c r="L134" i="210"/>
  <c r="L135" i="210"/>
  <c r="L136" i="210"/>
  <c r="L137" i="210"/>
  <c r="L138" i="210"/>
  <c r="L139" i="210"/>
  <c r="L140" i="210"/>
  <c r="L141" i="210"/>
  <c r="L142" i="210"/>
  <c r="L143" i="210"/>
  <c r="L144" i="210"/>
  <c r="L145" i="210"/>
  <c r="L146" i="210"/>
  <c r="L147" i="210"/>
  <c r="L148" i="210"/>
  <c r="L106" i="210"/>
  <c r="L58" i="210"/>
  <c r="L59" i="210"/>
  <c r="L96" i="210"/>
  <c r="L95" i="210"/>
  <c r="L94" i="210"/>
  <c r="L92" i="210"/>
  <c r="L91" i="210"/>
  <c r="L90" i="210"/>
  <c r="L89" i="210"/>
  <c r="L88" i="210"/>
  <c r="L87" i="210"/>
  <c r="L86" i="210"/>
  <c r="L85" i="210"/>
  <c r="L84" i="210"/>
  <c r="L83" i="210"/>
  <c r="L82" i="210"/>
  <c r="L81" i="210"/>
  <c r="L80" i="210"/>
  <c r="L79" i="210"/>
  <c r="L78" i="210"/>
  <c r="L77" i="210"/>
  <c r="L76" i="210"/>
  <c r="L75" i="210"/>
  <c r="L74" i="210"/>
  <c r="L73" i="210"/>
  <c r="L72" i="210"/>
  <c r="L71" i="210"/>
  <c r="L70" i="210"/>
  <c r="L69" i="210"/>
  <c r="L68" i="210"/>
  <c r="L67" i="210"/>
  <c r="L66" i="210"/>
  <c r="L65" i="210"/>
  <c r="L64" i="210"/>
  <c r="L63" i="210"/>
  <c r="L62" i="210"/>
  <c r="L61" i="210"/>
  <c r="L93" i="210"/>
  <c r="L57" i="210"/>
  <c r="L100" i="210"/>
  <c r="L99" i="210"/>
  <c r="L98" i="210"/>
  <c r="L97" i="210"/>
  <c r="L60" i="210"/>
  <c r="L107" i="210"/>
  <c r="L108" i="210"/>
  <c r="L109" i="210"/>
  <c r="L110" i="210"/>
  <c r="L111" i="210"/>
  <c r="L112" i="210"/>
  <c r="L113" i="210"/>
  <c r="L114" i="210"/>
  <c r="L115" i="210"/>
  <c r="L85" i="207"/>
  <c r="L84" i="207"/>
  <c r="L83" i="207"/>
  <c r="L82" i="207"/>
  <c r="L81" i="207"/>
  <c r="L80" i="207"/>
  <c r="L79" i="207"/>
  <c r="L78" i="207"/>
  <c r="L77" i="207"/>
  <c r="L76" i="207"/>
  <c r="L75" i="207"/>
  <c r="L74" i="207"/>
  <c r="L73" i="207"/>
  <c r="L72" i="207"/>
  <c r="L120" i="207"/>
  <c r="L119" i="207"/>
  <c r="L118" i="207"/>
  <c r="L117" i="207"/>
  <c r="L116" i="207"/>
  <c r="L115" i="207"/>
  <c r="L114" i="207"/>
  <c r="L113" i="207"/>
  <c r="L135" i="207"/>
  <c r="L111" i="207"/>
  <c r="L110" i="207"/>
  <c r="L109" i="207"/>
  <c r="L108" i="207"/>
  <c r="L107" i="207"/>
  <c r="L136" i="207"/>
  <c r="L137" i="207"/>
  <c r="L138" i="207"/>
  <c r="L139" i="207"/>
  <c r="L63" i="207"/>
  <c r="L140" i="207"/>
  <c r="L141" i="207"/>
  <c r="L142" i="207"/>
  <c r="L143" i="207"/>
  <c r="L144" i="207"/>
  <c r="L145" i="207"/>
  <c r="L146" i="207"/>
  <c r="L147" i="207"/>
  <c r="L148" i="207"/>
  <c r="L106" i="207"/>
  <c r="L58" i="207"/>
  <c r="L59" i="207"/>
  <c r="L60" i="207"/>
  <c r="L61" i="207"/>
  <c r="L62" i="207"/>
  <c r="L64" i="207"/>
  <c r="L65" i="207"/>
  <c r="L66" i="207"/>
  <c r="L67" i="207"/>
  <c r="L68" i="207"/>
  <c r="L69" i="207"/>
  <c r="L71" i="207"/>
  <c r="L70" i="207"/>
  <c r="L134" i="207"/>
  <c r="L133" i="207"/>
  <c r="L132" i="207"/>
  <c r="L131" i="207"/>
  <c r="L130" i="207"/>
  <c r="L129" i="207"/>
  <c r="L128" i="207"/>
  <c r="L127" i="207"/>
  <c r="L126" i="207"/>
  <c r="L125" i="207"/>
  <c r="L124" i="207"/>
  <c r="L123" i="207"/>
  <c r="L57" i="207"/>
  <c r="L122" i="207"/>
  <c r="L121" i="207"/>
  <c r="L100" i="207"/>
  <c r="L99" i="207"/>
  <c r="L98" i="207"/>
  <c r="L97" i="207"/>
  <c r="L96" i="207"/>
  <c r="L95" i="207"/>
  <c r="L94" i="207"/>
  <c r="L93" i="207"/>
  <c r="L92" i="207"/>
  <c r="L91" i="207"/>
  <c r="L90" i="207"/>
  <c r="L89" i="207"/>
  <c r="L88" i="207"/>
  <c r="L87" i="207"/>
  <c r="L86" i="207"/>
  <c r="L112" i="207"/>
  <c r="L100" i="190"/>
  <c r="L64" i="190"/>
  <c r="L87" i="190"/>
  <c r="L86" i="190"/>
  <c r="L85" i="190"/>
  <c r="L84" i="190"/>
  <c r="L83" i="190"/>
  <c r="L82" i="190"/>
  <c r="L81" i="190"/>
  <c r="L80" i="190"/>
  <c r="L79" i="190"/>
  <c r="L78" i="190"/>
  <c r="L77" i="190"/>
  <c r="L76" i="190"/>
  <c r="L75" i="190"/>
  <c r="L74" i="190"/>
  <c r="L73" i="190"/>
  <c r="L72" i="190"/>
  <c r="L71" i="190"/>
  <c r="L70" i="190"/>
  <c r="L69" i="190"/>
  <c r="L68" i="190"/>
  <c r="L67" i="190"/>
  <c r="L66" i="190"/>
  <c r="L65" i="190"/>
  <c r="L63" i="190"/>
  <c r="L62" i="190"/>
  <c r="L61" i="190"/>
  <c r="L60" i="190"/>
  <c r="L59" i="190"/>
  <c r="L58" i="190"/>
  <c r="L106" i="190"/>
  <c r="L148" i="190"/>
  <c r="L147" i="190"/>
  <c r="L146" i="190"/>
  <c r="L145" i="190"/>
  <c r="L144" i="190"/>
  <c r="L143" i="190"/>
  <c r="L142" i="190"/>
  <c r="L141" i="190"/>
  <c r="L140" i="190"/>
  <c r="L139" i="190"/>
  <c r="L138" i="190"/>
  <c r="L137" i="190"/>
  <c r="L136" i="190"/>
  <c r="L135" i="190"/>
  <c r="L134" i="190"/>
  <c r="L133" i="190"/>
  <c r="L132" i="190"/>
  <c r="L131" i="190"/>
  <c r="L130" i="190"/>
  <c r="L129" i="190"/>
  <c r="L128" i="190"/>
  <c r="L127" i="190"/>
  <c r="L126" i="190"/>
  <c r="L57" i="190"/>
  <c r="L99" i="190"/>
  <c r="L98" i="190"/>
  <c r="L97" i="190"/>
  <c r="L96" i="190"/>
  <c r="L95" i="190"/>
  <c r="L94" i="190"/>
  <c r="L93" i="190"/>
  <c r="L92" i="190"/>
  <c r="L91" i="190"/>
  <c r="L90" i="190"/>
  <c r="L89" i="190"/>
  <c r="L88" i="190"/>
  <c r="L125" i="190"/>
  <c r="L124" i="190"/>
  <c r="L123" i="190"/>
  <c r="L122" i="190"/>
  <c r="L121" i="190"/>
  <c r="L120" i="190"/>
  <c r="L119" i="190"/>
  <c r="L118" i="190"/>
  <c r="L117" i="190"/>
  <c r="L116" i="190"/>
  <c r="L115" i="190"/>
  <c r="L114" i="190"/>
  <c r="L113" i="190"/>
  <c r="L112" i="190"/>
  <c r="L111" i="190"/>
  <c r="L110" i="190"/>
  <c r="L109" i="190"/>
  <c r="L108" i="190"/>
  <c r="L107" i="190"/>
  <c r="L73" i="197"/>
  <c r="L74" i="197"/>
  <c r="L75" i="197"/>
  <c r="L76" i="197"/>
  <c r="L77" i="197"/>
  <c r="L78" i="197"/>
  <c r="L79" i="197"/>
  <c r="L80" i="197"/>
  <c r="L81" i="197"/>
  <c r="L82" i="197"/>
  <c r="L124" i="197"/>
  <c r="L83" i="197"/>
  <c r="L84" i="197"/>
  <c r="L85" i="197"/>
  <c r="L86" i="197"/>
  <c r="L87" i="197"/>
  <c r="L88" i="197"/>
  <c r="L89" i="197"/>
  <c r="L90" i="197"/>
  <c r="L91" i="197"/>
  <c r="L92" i="197"/>
  <c r="L93" i="197"/>
  <c r="L94" i="197"/>
  <c r="L65" i="197"/>
  <c r="L147" i="197"/>
  <c r="L146" i="197"/>
  <c r="L145" i="197"/>
  <c r="L144" i="197"/>
  <c r="L143" i="197"/>
  <c r="L142" i="197"/>
  <c r="L141" i="197"/>
  <c r="L140" i="197"/>
  <c r="L139" i="197"/>
  <c r="L138" i="197"/>
  <c r="L137" i="197"/>
  <c r="L136" i="197"/>
  <c r="L133" i="197"/>
  <c r="L132" i="197"/>
  <c r="L131" i="197"/>
  <c r="L130" i="197"/>
  <c r="L129" i="197"/>
  <c r="L128" i="197"/>
  <c r="L127" i="197"/>
  <c r="L126" i="197"/>
  <c r="L125" i="197"/>
  <c r="L123" i="197"/>
  <c r="L122" i="197"/>
  <c r="L121" i="197"/>
  <c r="L120" i="197"/>
  <c r="L135" i="197"/>
  <c r="L118" i="197"/>
  <c r="L117" i="197"/>
  <c r="L116" i="197"/>
  <c r="L115" i="197"/>
  <c r="L114" i="197"/>
  <c r="L113" i="197"/>
  <c r="L112" i="197"/>
  <c r="L111" i="197"/>
  <c r="L110" i="197"/>
  <c r="L134" i="197"/>
  <c r="L109" i="197"/>
  <c r="L108" i="197"/>
  <c r="L107" i="197"/>
  <c r="L148" i="197"/>
  <c r="L106" i="197"/>
  <c r="L58" i="197"/>
  <c r="L119" i="197"/>
  <c r="L59" i="197"/>
  <c r="L60" i="197"/>
  <c r="L61" i="197"/>
  <c r="L62" i="197"/>
  <c r="L63" i="197"/>
  <c r="L64" i="197"/>
  <c r="L66" i="197"/>
  <c r="L67" i="197"/>
  <c r="L68" i="197"/>
  <c r="L69" i="197"/>
  <c r="L70" i="197"/>
  <c r="L71" i="197"/>
  <c r="L72" i="197"/>
  <c r="L57" i="197"/>
  <c r="L100" i="197"/>
  <c r="L99" i="197"/>
  <c r="L98" i="197"/>
  <c r="L97" i="197"/>
  <c r="L96" i="197"/>
  <c r="L95" i="197"/>
  <c r="L57" i="236"/>
  <c r="L99" i="236"/>
  <c r="L97" i="236"/>
  <c r="L94" i="236"/>
  <c r="L90" i="236"/>
  <c r="L87" i="236"/>
  <c r="L85" i="236"/>
  <c r="L84" i="236"/>
  <c r="L82" i="236"/>
  <c r="L80" i="236"/>
  <c r="L77" i="236"/>
  <c r="L75" i="236"/>
  <c r="L73" i="236"/>
  <c r="L122" i="236"/>
  <c r="L147" i="236"/>
  <c r="L107" i="236"/>
  <c r="L108" i="236"/>
  <c r="L109" i="236"/>
  <c r="L111" i="236"/>
  <c r="L112" i="236"/>
  <c r="L113" i="236"/>
  <c r="L114" i="236"/>
  <c r="L115" i="236"/>
  <c r="L116" i="236"/>
  <c r="L117" i="236"/>
  <c r="L118" i="236"/>
  <c r="L119" i="236"/>
  <c r="L120" i="236"/>
  <c r="L100" i="236"/>
  <c r="L98" i="236"/>
  <c r="L96" i="236"/>
  <c r="L95" i="236"/>
  <c r="L93" i="236"/>
  <c r="L92" i="236"/>
  <c r="L91" i="236"/>
  <c r="L89" i="236"/>
  <c r="L88" i="236"/>
  <c r="L83" i="236"/>
  <c r="L144" i="236"/>
  <c r="L143" i="236"/>
  <c r="L142" i="236"/>
  <c r="L141" i="236"/>
  <c r="L140" i="236"/>
  <c r="L139" i="236"/>
  <c r="L63" i="236"/>
  <c r="L138" i="236"/>
  <c r="L137" i="236"/>
  <c r="L136" i="236"/>
  <c r="L135" i="236"/>
  <c r="L134" i="236"/>
  <c r="L133" i="236"/>
  <c r="L132" i="236"/>
  <c r="L131" i="236"/>
  <c r="L130" i="236"/>
  <c r="L86" i="236"/>
  <c r="L62" i="236"/>
  <c r="L61" i="236"/>
  <c r="L60" i="236"/>
  <c r="L129" i="236"/>
  <c r="L59" i="236"/>
  <c r="L58" i="236"/>
  <c r="L121" i="236"/>
  <c r="L81" i="236"/>
  <c r="L79" i="236"/>
  <c r="L78" i="236"/>
  <c r="L110" i="236"/>
  <c r="L76" i="236"/>
  <c r="L74" i="236"/>
  <c r="L71" i="236"/>
  <c r="L72" i="236"/>
  <c r="L70" i="236"/>
  <c r="L69" i="236"/>
  <c r="L68" i="236"/>
  <c r="L67" i="236"/>
  <c r="L128" i="236"/>
  <c r="L127" i="236"/>
  <c r="L126" i="236"/>
  <c r="L125" i="236"/>
  <c r="L124" i="236"/>
  <c r="L123" i="236"/>
  <c r="L66" i="236"/>
  <c r="L65" i="236"/>
  <c r="L64" i="236"/>
  <c r="L106" i="236"/>
  <c r="L148" i="236"/>
  <c r="L146" i="236"/>
  <c r="L145" i="236"/>
  <c r="L148" i="218"/>
  <c r="L106" i="218"/>
  <c r="L58" i="218"/>
  <c r="L59" i="218"/>
  <c r="L60" i="218"/>
  <c r="L109" i="218"/>
  <c r="L119" i="218"/>
  <c r="L61" i="218"/>
  <c r="L62" i="218"/>
  <c r="L63" i="218"/>
  <c r="L64" i="218"/>
  <c r="L65" i="218"/>
  <c r="L66" i="218"/>
  <c r="L67" i="218"/>
  <c r="L68" i="218"/>
  <c r="L69" i="218"/>
  <c r="L70" i="218"/>
  <c r="L71" i="218"/>
  <c r="L72" i="218"/>
  <c r="L73" i="218"/>
  <c r="L74" i="218"/>
  <c r="L75" i="218"/>
  <c r="L76" i="218"/>
  <c r="L77" i="218"/>
  <c r="L78" i="218"/>
  <c r="L79" i="218"/>
  <c r="L80" i="218"/>
  <c r="L81" i="218"/>
  <c r="L82" i="218"/>
  <c r="L83" i="218"/>
  <c r="L84" i="218"/>
  <c r="L85" i="218"/>
  <c r="L86" i="218"/>
  <c r="L87" i="218"/>
  <c r="L88" i="218"/>
  <c r="L89" i="218"/>
  <c r="L90" i="218"/>
  <c r="L92" i="218"/>
  <c r="L93" i="218"/>
  <c r="L94" i="218"/>
  <c r="L95" i="218"/>
  <c r="L96" i="218"/>
  <c r="L97" i="218"/>
  <c r="L98" i="218"/>
  <c r="L99" i="218"/>
  <c r="L100" i="218"/>
  <c r="L57" i="218"/>
  <c r="L91" i="218"/>
  <c r="L122" i="218"/>
  <c r="L130" i="218"/>
  <c r="L137" i="218"/>
  <c r="L115" i="218"/>
  <c r="L131" i="218"/>
  <c r="L108" i="218"/>
  <c r="L120" i="218"/>
  <c r="L126" i="218"/>
  <c r="L133" i="218"/>
  <c r="L112" i="218"/>
  <c r="L117" i="218"/>
  <c r="L123" i="218"/>
  <c r="L129" i="218"/>
  <c r="L134" i="218"/>
  <c r="L138" i="218"/>
  <c r="L114" i="218"/>
  <c r="L136" i="218"/>
  <c r="L110" i="218"/>
  <c r="L116" i="218"/>
  <c r="L121" i="218"/>
  <c r="L107" i="218"/>
  <c r="L125" i="218"/>
  <c r="L135" i="218"/>
  <c r="L139" i="218"/>
  <c r="L113" i="218"/>
  <c r="L124" i="218"/>
  <c r="L128" i="218"/>
  <c r="L111" i="218"/>
  <c r="L118" i="218"/>
  <c r="L127" i="218"/>
  <c r="L132" i="218"/>
  <c r="L140" i="218"/>
  <c r="L141" i="218"/>
  <c r="L142" i="218"/>
  <c r="L143" i="218"/>
  <c r="L144" i="218"/>
  <c r="L145" i="218"/>
  <c r="L146" i="218"/>
  <c r="L147" i="218"/>
  <c r="L63" i="204"/>
  <c r="L69" i="204"/>
  <c r="L70" i="204"/>
  <c r="L71" i="204"/>
  <c r="L72" i="204"/>
  <c r="L73" i="204"/>
  <c r="L74" i="204"/>
  <c r="L75" i="204"/>
  <c r="L76" i="204"/>
  <c r="L77" i="204"/>
  <c r="L78" i="204"/>
  <c r="L79" i="204"/>
  <c r="L83" i="204"/>
  <c r="L82" i="204"/>
  <c r="L125" i="204"/>
  <c r="L126" i="204"/>
  <c r="L113" i="204"/>
  <c r="L127" i="204"/>
  <c r="L128" i="204"/>
  <c r="L129" i="204"/>
  <c r="L130" i="204"/>
  <c r="L111" i="204"/>
  <c r="L131" i="204"/>
  <c r="L132" i="204"/>
  <c r="L133" i="204"/>
  <c r="L134" i="204"/>
  <c r="L135" i="204"/>
  <c r="L80" i="204"/>
  <c r="L57" i="204"/>
  <c r="L100" i="204"/>
  <c r="L99" i="204"/>
  <c r="L136" i="204"/>
  <c r="L137" i="204"/>
  <c r="L138" i="204"/>
  <c r="L98" i="204"/>
  <c r="L97" i="204"/>
  <c r="L96" i="204"/>
  <c r="L95" i="204"/>
  <c r="L67" i="204"/>
  <c r="L66" i="204"/>
  <c r="L65" i="204"/>
  <c r="L64" i="204"/>
  <c r="L139" i="204"/>
  <c r="L62" i="204"/>
  <c r="L61" i="204"/>
  <c r="L60" i="204"/>
  <c r="L59" i="204"/>
  <c r="L58" i="204"/>
  <c r="L106" i="204"/>
  <c r="L148" i="204"/>
  <c r="L147" i="204"/>
  <c r="L146" i="204"/>
  <c r="L145" i="204"/>
  <c r="L144" i="204"/>
  <c r="L140" i="204"/>
  <c r="L141" i="204"/>
  <c r="L142" i="204"/>
  <c r="L143" i="204"/>
  <c r="L119" i="204"/>
  <c r="L117" i="204"/>
  <c r="L115" i="204"/>
  <c r="L109" i="204"/>
  <c r="L124" i="204"/>
  <c r="L107" i="204"/>
  <c r="L68" i="204"/>
  <c r="L108" i="204"/>
  <c r="L110" i="204"/>
  <c r="L112" i="204"/>
  <c r="L114" i="204"/>
  <c r="L116" i="204"/>
  <c r="L118" i="204"/>
  <c r="L120" i="204"/>
  <c r="L121" i="204"/>
  <c r="L122" i="204"/>
  <c r="L123" i="204"/>
  <c r="L84" i="204"/>
  <c r="L81" i="204"/>
  <c r="L94" i="204"/>
  <c r="L93" i="204"/>
  <c r="L92" i="204"/>
  <c r="L91" i="204"/>
  <c r="L90" i="204"/>
  <c r="L89" i="204"/>
  <c r="L88" i="204"/>
  <c r="L87" i="204"/>
  <c r="L86" i="204"/>
  <c r="L85" i="204"/>
  <c r="L128" i="201"/>
  <c r="L127" i="201"/>
  <c r="L108" i="201"/>
  <c r="L126" i="201"/>
  <c r="L125" i="201"/>
  <c r="L124" i="201"/>
  <c r="L123" i="201"/>
  <c r="L122" i="201"/>
  <c r="L121" i="201"/>
  <c r="L119" i="201"/>
  <c r="L118" i="201"/>
  <c r="L117" i="201"/>
  <c r="L116" i="201"/>
  <c r="L115" i="201"/>
  <c r="L98" i="201"/>
  <c r="L97" i="201"/>
  <c r="L96" i="201"/>
  <c r="L95" i="201"/>
  <c r="L94" i="201"/>
  <c r="L93" i="201"/>
  <c r="L92" i="201"/>
  <c r="L91" i="201"/>
  <c r="L90" i="201"/>
  <c r="L89" i="201"/>
  <c r="L88" i="201"/>
  <c r="L87" i="201"/>
  <c r="L86" i="201"/>
  <c r="L85" i="201"/>
  <c r="L84" i="201"/>
  <c r="L83" i="201"/>
  <c r="L82" i="201"/>
  <c r="L81" i="201"/>
  <c r="L79" i="201"/>
  <c r="L78" i="201"/>
  <c r="L77" i="201"/>
  <c r="L76" i="201"/>
  <c r="L75" i="201"/>
  <c r="L74" i="201"/>
  <c r="L73" i="201"/>
  <c r="L72" i="201"/>
  <c r="L71" i="201"/>
  <c r="L70" i="201"/>
  <c r="L69" i="201"/>
  <c r="L68" i="201"/>
  <c r="L114" i="201"/>
  <c r="L66" i="201"/>
  <c r="L65" i="201"/>
  <c r="L64" i="201"/>
  <c r="L63" i="201"/>
  <c r="L62" i="201"/>
  <c r="L61" i="201"/>
  <c r="L60" i="201"/>
  <c r="L59" i="201"/>
  <c r="L58" i="201"/>
  <c r="L140" i="201"/>
  <c r="L106" i="201"/>
  <c r="L148" i="201"/>
  <c r="L147" i="201"/>
  <c r="L146" i="201"/>
  <c r="L145" i="201"/>
  <c r="L144" i="201"/>
  <c r="L143" i="201"/>
  <c r="L142" i="201"/>
  <c r="L141" i="201"/>
  <c r="L113" i="201"/>
  <c r="L67" i="201"/>
  <c r="L138" i="201"/>
  <c r="L137" i="201"/>
  <c r="L136" i="201"/>
  <c r="L135" i="201"/>
  <c r="L134" i="201"/>
  <c r="L133" i="201"/>
  <c r="L132" i="201"/>
  <c r="L131" i="201"/>
  <c r="L130" i="201"/>
  <c r="L129" i="201"/>
  <c r="L80" i="201"/>
  <c r="L120" i="201"/>
  <c r="L57" i="201"/>
  <c r="L100" i="201"/>
  <c r="L99" i="201"/>
  <c r="L112" i="201"/>
  <c r="L111" i="201"/>
  <c r="L110" i="201"/>
  <c r="L109" i="201"/>
  <c r="L107" i="201"/>
  <c r="L139" i="201"/>
  <c r="L118" i="233"/>
  <c r="L57" i="233"/>
  <c r="L142" i="233"/>
  <c r="L140" i="233"/>
  <c r="L138" i="233"/>
  <c r="L136" i="233"/>
  <c r="L134" i="233"/>
  <c r="L132" i="233"/>
  <c r="L130" i="233"/>
  <c r="L128" i="233"/>
  <c r="L126" i="233"/>
  <c r="L124" i="233"/>
  <c r="L123" i="233"/>
  <c r="L120" i="233"/>
  <c r="L119" i="233"/>
  <c r="L112" i="233"/>
  <c r="L110" i="233"/>
  <c r="L108" i="233"/>
  <c r="L107" i="233"/>
  <c r="L109" i="233"/>
  <c r="L111" i="233"/>
  <c r="L113" i="233"/>
  <c r="L114" i="233"/>
  <c r="L115" i="233"/>
  <c r="L116" i="233"/>
  <c r="L117" i="233"/>
  <c r="L121" i="233"/>
  <c r="L122" i="233"/>
  <c r="L125" i="233"/>
  <c r="L127" i="233"/>
  <c r="L129" i="233"/>
  <c r="L131" i="233"/>
  <c r="L133" i="233"/>
  <c r="L135" i="233"/>
  <c r="L137" i="233"/>
  <c r="L139" i="233"/>
  <c r="L141" i="233"/>
  <c r="L143" i="233"/>
  <c r="L145" i="233"/>
  <c r="L147" i="233"/>
  <c r="L58" i="233"/>
  <c r="L60" i="233"/>
  <c r="L61" i="233"/>
  <c r="L63" i="233"/>
  <c r="L65" i="233"/>
  <c r="L67" i="233"/>
  <c r="L68" i="233"/>
  <c r="L71" i="233"/>
  <c r="L74" i="233"/>
  <c r="L76" i="233"/>
  <c r="L78" i="233"/>
  <c r="L80" i="233"/>
  <c r="L82" i="233"/>
  <c r="L84" i="233"/>
  <c r="L87" i="233"/>
  <c r="L88" i="233"/>
  <c r="L90" i="233"/>
  <c r="L93" i="233"/>
  <c r="L95" i="233"/>
  <c r="L97" i="233"/>
  <c r="L99" i="233"/>
  <c r="L100" i="233"/>
  <c r="L98" i="233"/>
  <c r="L96" i="233"/>
  <c r="L94" i="233"/>
  <c r="L92" i="233"/>
  <c r="L91" i="233"/>
  <c r="L89" i="233"/>
  <c r="L86" i="233"/>
  <c r="L85" i="233"/>
  <c r="L83" i="233"/>
  <c r="L81" i="233"/>
  <c r="L79" i="233"/>
  <c r="L77" i="233"/>
  <c r="L75" i="233"/>
  <c r="L73" i="233"/>
  <c r="L72" i="233"/>
  <c r="L70" i="233"/>
  <c r="L69" i="233"/>
  <c r="L66" i="233"/>
  <c r="L64" i="233"/>
  <c r="L62" i="233"/>
  <c r="L59" i="233"/>
  <c r="L106" i="233"/>
  <c r="L148" i="233"/>
  <c r="L146" i="233"/>
  <c r="L144" i="233"/>
  <c r="L122" i="228"/>
  <c r="L60" i="228"/>
  <c r="L63" i="228"/>
  <c r="L66" i="228"/>
  <c r="L68" i="228"/>
  <c r="L72" i="228"/>
  <c r="L75" i="228"/>
  <c r="L77" i="228"/>
  <c r="L89" i="228"/>
  <c r="L92" i="228"/>
  <c r="L94" i="228"/>
  <c r="L96" i="228"/>
  <c r="L98" i="228"/>
  <c r="L100" i="228"/>
  <c r="L91" i="228"/>
  <c r="L74" i="228"/>
  <c r="L69" i="228"/>
  <c r="L65" i="228"/>
  <c r="L61" i="228"/>
  <c r="L58" i="228"/>
  <c r="L148" i="228"/>
  <c r="L146" i="228"/>
  <c r="L144" i="228"/>
  <c r="L129" i="228"/>
  <c r="L142" i="228"/>
  <c r="L141" i="228"/>
  <c r="L140" i="228"/>
  <c r="L139" i="228"/>
  <c r="L138" i="228"/>
  <c r="L80" i="228"/>
  <c r="L137" i="228"/>
  <c r="L136" i="228"/>
  <c r="L130" i="228"/>
  <c r="L135" i="228"/>
  <c r="L134" i="228"/>
  <c r="L133" i="228"/>
  <c r="L132" i="228"/>
  <c r="L131" i="228"/>
  <c r="L79" i="228"/>
  <c r="L78" i="228"/>
  <c r="L76" i="228"/>
  <c r="L73" i="228"/>
  <c r="L70" i="228"/>
  <c r="L67" i="228"/>
  <c r="L64" i="228"/>
  <c r="L62" i="228"/>
  <c r="L59" i="228"/>
  <c r="L147" i="228"/>
  <c r="L143" i="228"/>
  <c r="L107" i="228"/>
  <c r="L108" i="228"/>
  <c r="L109" i="228"/>
  <c r="L110" i="228"/>
  <c r="L111" i="228"/>
  <c r="L112" i="228"/>
  <c r="L113" i="228"/>
  <c r="L114" i="228"/>
  <c r="L115" i="228"/>
  <c r="L116" i="228"/>
  <c r="L117" i="228"/>
  <c r="L118" i="228"/>
  <c r="L119" i="228"/>
  <c r="L120" i="228"/>
  <c r="L121" i="228"/>
  <c r="L90" i="228"/>
  <c r="L123" i="228"/>
  <c r="L124" i="228"/>
  <c r="L125" i="228"/>
  <c r="L88" i="228"/>
  <c r="L87" i="228"/>
  <c r="L86" i="228"/>
  <c r="L127" i="228"/>
  <c r="L128" i="228"/>
  <c r="L85" i="228"/>
  <c r="L84" i="228"/>
  <c r="L83" i="228"/>
  <c r="L82" i="228"/>
  <c r="L81" i="228"/>
  <c r="L57" i="228"/>
  <c r="L106" i="228"/>
  <c r="L145" i="228"/>
  <c r="L95" i="228"/>
  <c r="L97" i="228"/>
  <c r="L99" i="228"/>
  <c r="L93" i="228"/>
  <c r="L126" i="228"/>
  <c r="L71" i="228"/>
  <c r="L85" i="198"/>
  <c r="L84" i="198"/>
  <c r="L83" i="198"/>
  <c r="L82" i="198"/>
  <c r="L81" i="198"/>
  <c r="L80" i="198"/>
  <c r="L79" i="198"/>
  <c r="L78" i="198"/>
  <c r="L77" i="198"/>
  <c r="L75" i="198"/>
  <c r="L74" i="198"/>
  <c r="L73" i="198"/>
  <c r="L72" i="198"/>
  <c r="L71" i="198"/>
  <c r="L70" i="198"/>
  <c r="L69" i="198"/>
  <c r="L68" i="198"/>
  <c r="L67" i="198"/>
  <c r="L66" i="198"/>
  <c r="L65" i="198"/>
  <c r="L64" i="198"/>
  <c r="L63" i="198"/>
  <c r="L62" i="198"/>
  <c r="L61" i="198"/>
  <c r="L60" i="198"/>
  <c r="L119" i="198"/>
  <c r="L118" i="198"/>
  <c r="L117" i="198"/>
  <c r="L116" i="198"/>
  <c r="L115" i="198"/>
  <c r="L114" i="198"/>
  <c r="L113" i="198"/>
  <c r="L112" i="198"/>
  <c r="L111" i="198"/>
  <c r="L110" i="198"/>
  <c r="L109" i="198"/>
  <c r="L108" i="198"/>
  <c r="L107" i="198"/>
  <c r="L59" i="198"/>
  <c r="L58" i="198"/>
  <c r="L106" i="198"/>
  <c r="L148" i="198"/>
  <c r="L147" i="198"/>
  <c r="L76" i="198"/>
  <c r="L141" i="198"/>
  <c r="L140" i="198"/>
  <c r="L91" i="198"/>
  <c r="L90" i="198"/>
  <c r="L89" i="198"/>
  <c r="L88" i="198"/>
  <c r="L96" i="198"/>
  <c r="L120" i="198"/>
  <c r="L121" i="198"/>
  <c r="L122" i="198"/>
  <c r="L87" i="198"/>
  <c r="L86" i="198"/>
  <c r="L57" i="198"/>
  <c r="L100" i="198"/>
  <c r="L99" i="198"/>
  <c r="L98" i="198"/>
  <c r="L97" i="198"/>
  <c r="L139" i="198"/>
  <c r="L95" i="198"/>
  <c r="L94" i="198"/>
  <c r="L93" i="198"/>
  <c r="L92" i="198"/>
  <c r="L146" i="198"/>
  <c r="L145" i="198"/>
  <c r="L144" i="198"/>
  <c r="L143" i="198"/>
  <c r="L142" i="198"/>
  <c r="L123" i="198"/>
  <c r="L124" i="198"/>
  <c r="L125" i="198"/>
  <c r="L126" i="198"/>
  <c r="L127" i="198"/>
  <c r="L128" i="198"/>
  <c r="L129" i="198"/>
  <c r="L130" i="198"/>
  <c r="L131" i="198"/>
  <c r="L132" i="198"/>
  <c r="L133" i="198"/>
  <c r="L134" i="198"/>
  <c r="L135" i="198"/>
  <c r="L136" i="198"/>
  <c r="L137" i="198"/>
  <c r="L138" i="198"/>
  <c r="L86" i="223"/>
  <c r="L85" i="223"/>
  <c r="L84" i="223"/>
  <c r="L83" i="223"/>
  <c r="L141" i="223"/>
  <c r="L136" i="223"/>
  <c r="L132" i="223"/>
  <c r="L129" i="223"/>
  <c r="L125" i="223"/>
  <c r="L121" i="223"/>
  <c r="L117" i="223"/>
  <c r="L111" i="223"/>
  <c r="L57" i="223"/>
  <c r="L100" i="223"/>
  <c r="L99" i="223"/>
  <c r="L98" i="223"/>
  <c r="L97" i="223"/>
  <c r="L82" i="223"/>
  <c r="L78" i="223"/>
  <c r="L76" i="223"/>
  <c r="L72" i="223"/>
  <c r="L96" i="223"/>
  <c r="L95" i="223"/>
  <c r="L64" i="223"/>
  <c r="L60" i="223"/>
  <c r="L148" i="223"/>
  <c r="L144" i="223"/>
  <c r="L139" i="223"/>
  <c r="L135" i="223"/>
  <c r="L131" i="223"/>
  <c r="L127" i="223"/>
  <c r="L124" i="223"/>
  <c r="L120" i="223"/>
  <c r="L116" i="223"/>
  <c r="L112" i="223"/>
  <c r="L108" i="223"/>
  <c r="L109" i="223"/>
  <c r="L113" i="223"/>
  <c r="L118" i="223"/>
  <c r="L122" i="223"/>
  <c r="L94" i="223"/>
  <c r="L93" i="223"/>
  <c r="L92" i="223"/>
  <c r="L91" i="223"/>
  <c r="L126" i="223"/>
  <c r="L130" i="223"/>
  <c r="L134" i="223"/>
  <c r="L138" i="223"/>
  <c r="L90" i="223"/>
  <c r="L89" i="223"/>
  <c r="L81" i="223"/>
  <c r="L75" i="223"/>
  <c r="L71" i="223"/>
  <c r="L67" i="223"/>
  <c r="L62" i="223"/>
  <c r="L59" i="223"/>
  <c r="L147" i="223"/>
  <c r="L87" i="223"/>
  <c r="L143" i="223"/>
  <c r="L80" i="223"/>
  <c r="L74" i="223"/>
  <c r="L70" i="223"/>
  <c r="L66" i="223"/>
  <c r="L63" i="223"/>
  <c r="L79" i="223"/>
  <c r="L77" i="223"/>
  <c r="L73" i="223"/>
  <c r="L69" i="223"/>
  <c r="L65" i="223"/>
  <c r="L61" i="223"/>
  <c r="L58" i="223"/>
  <c r="L146" i="223"/>
  <c r="L142" i="223"/>
  <c r="L137" i="223"/>
  <c r="L133" i="223"/>
  <c r="L128" i="223"/>
  <c r="L123" i="223"/>
  <c r="L119" i="223"/>
  <c r="L115" i="223"/>
  <c r="L114" i="223"/>
  <c r="L110" i="223"/>
  <c r="L140" i="223"/>
  <c r="L88" i="223"/>
  <c r="L107" i="223"/>
  <c r="L106" i="223"/>
  <c r="L145" i="223"/>
  <c r="L68" i="223"/>
  <c r="L58" i="215"/>
  <c r="L59" i="215"/>
  <c r="L60" i="215"/>
  <c r="L61" i="215"/>
  <c r="L62" i="215"/>
  <c r="L63" i="215"/>
  <c r="L64" i="215"/>
  <c r="L65" i="215"/>
  <c r="L66" i="215"/>
  <c r="L67" i="215"/>
  <c r="L68" i="215"/>
  <c r="L69" i="215"/>
  <c r="L70" i="215"/>
  <c r="L71" i="215"/>
  <c r="L72" i="215"/>
  <c r="L73" i="215"/>
  <c r="L74" i="215"/>
  <c r="L75" i="215"/>
  <c r="L76" i="215"/>
  <c r="L77" i="215"/>
  <c r="L78" i="215"/>
  <c r="L79" i="215"/>
  <c r="L80" i="215"/>
  <c r="L81" i="215"/>
  <c r="L82" i="215"/>
  <c r="L83" i="215"/>
  <c r="L84" i="215"/>
  <c r="L85" i="215"/>
  <c r="L86" i="215"/>
  <c r="L87" i="215"/>
  <c r="L88" i="215"/>
  <c r="L89" i="215"/>
  <c r="L90" i="215"/>
  <c r="L91" i="215"/>
  <c r="L92" i="215"/>
  <c r="L93" i="215"/>
  <c r="L94" i="215"/>
  <c r="L95" i="215"/>
  <c r="L97" i="215"/>
  <c r="L98" i="215"/>
  <c r="L99" i="215"/>
  <c r="L100" i="215"/>
  <c r="L57" i="215"/>
  <c r="L96" i="215"/>
  <c r="L107" i="215"/>
  <c r="L108" i="215"/>
  <c r="L109" i="215"/>
  <c r="L110" i="215"/>
  <c r="L111" i="215"/>
  <c r="L112" i="215"/>
  <c r="L113" i="215"/>
  <c r="L114" i="215"/>
  <c r="L115" i="215"/>
  <c r="L116" i="215"/>
  <c r="L117" i="215"/>
  <c r="L118" i="215"/>
  <c r="L119" i="215"/>
  <c r="L120" i="215"/>
  <c r="L121" i="215"/>
  <c r="L122" i="215"/>
  <c r="L123" i="215"/>
  <c r="L124" i="215"/>
  <c r="L125" i="215"/>
  <c r="L126" i="215"/>
  <c r="L127" i="215"/>
  <c r="L128" i="215"/>
  <c r="L129" i="215"/>
  <c r="L130" i="215"/>
  <c r="L131" i="215"/>
  <c r="L132" i="215"/>
  <c r="L133" i="215"/>
  <c r="L134" i="215"/>
  <c r="L135" i="215"/>
  <c r="L136" i="215"/>
  <c r="L137" i="215"/>
  <c r="L138" i="215"/>
  <c r="L139" i="215"/>
  <c r="L140" i="215"/>
  <c r="L141" i="215"/>
  <c r="L142" i="215"/>
  <c r="L143" i="215"/>
  <c r="L144" i="215"/>
  <c r="L145" i="215"/>
  <c r="L146" i="215"/>
  <c r="L147" i="215"/>
  <c r="L148" i="215"/>
  <c r="L106" i="215"/>
  <c r="L72" i="212"/>
  <c r="L73" i="212"/>
  <c r="L74" i="212"/>
  <c r="L75" i="212"/>
  <c r="L76" i="212"/>
  <c r="L77" i="212"/>
  <c r="L78" i="212"/>
  <c r="L79" i="212"/>
  <c r="L80" i="212"/>
  <c r="L81" i="212"/>
  <c r="L82" i="212"/>
  <c r="L83" i="212"/>
  <c r="L84" i="212"/>
  <c r="L85" i="212"/>
  <c r="L86" i="212"/>
  <c r="L87" i="212"/>
  <c r="L88" i="212"/>
  <c r="L89" i="212"/>
  <c r="L90" i="212"/>
  <c r="L91" i="212"/>
  <c r="L92" i="212"/>
  <c r="L93" i="212"/>
  <c r="L94" i="212"/>
  <c r="L95" i="212"/>
  <c r="L96" i="212"/>
  <c r="L97" i="212"/>
  <c r="L57" i="212"/>
  <c r="L100" i="212"/>
  <c r="L99" i="212"/>
  <c r="L98" i="212"/>
  <c r="L63" i="212"/>
  <c r="L62" i="212"/>
  <c r="L61" i="212"/>
  <c r="L60" i="212"/>
  <c r="L59" i="212"/>
  <c r="L106" i="212"/>
  <c r="L148" i="212"/>
  <c r="L147" i="212"/>
  <c r="L146" i="212"/>
  <c r="L145" i="212"/>
  <c r="L144" i="212"/>
  <c r="L143" i="212"/>
  <c r="L142" i="212"/>
  <c r="L141" i="212"/>
  <c r="L140" i="212"/>
  <c r="L139" i="212"/>
  <c r="L138" i="212"/>
  <c r="L137" i="212"/>
  <c r="L136" i="212"/>
  <c r="L135" i="212"/>
  <c r="L134" i="212"/>
  <c r="L133" i="212"/>
  <c r="L64" i="212"/>
  <c r="L132" i="212"/>
  <c r="L131" i="212"/>
  <c r="L130" i="212"/>
  <c r="L129" i="212"/>
  <c r="L128" i="212"/>
  <c r="L127" i="212"/>
  <c r="L126" i="212"/>
  <c r="L125" i="212"/>
  <c r="L124" i="212"/>
  <c r="L123" i="212"/>
  <c r="L122" i="212"/>
  <c r="L121" i="212"/>
  <c r="L120" i="212"/>
  <c r="L118" i="212"/>
  <c r="L119" i="212"/>
  <c r="L117" i="212"/>
  <c r="L116" i="212"/>
  <c r="L115" i="212"/>
  <c r="L114" i="212"/>
  <c r="L113" i="212"/>
  <c r="L112" i="212"/>
  <c r="L111" i="212"/>
  <c r="L110" i="212"/>
  <c r="L58" i="212"/>
  <c r="L107" i="212"/>
  <c r="L108" i="212"/>
  <c r="L109" i="212"/>
  <c r="L71" i="212"/>
  <c r="L70" i="212"/>
  <c r="L69" i="212"/>
  <c r="L68" i="212"/>
  <c r="L67" i="212"/>
  <c r="L66" i="212"/>
  <c r="L65" i="212"/>
  <c r="L80" i="206"/>
  <c r="L68" i="206"/>
  <c r="L65" i="206"/>
  <c r="L60" i="206"/>
  <c r="L58" i="206"/>
  <c r="L148" i="206"/>
  <c r="L146" i="206"/>
  <c r="L144" i="206"/>
  <c r="L142" i="206"/>
  <c r="L140" i="206"/>
  <c r="L138" i="206"/>
  <c r="L137" i="206"/>
  <c r="L135" i="206"/>
  <c r="L134" i="206"/>
  <c r="L133" i="206"/>
  <c r="L132" i="206"/>
  <c r="L131" i="206"/>
  <c r="L130" i="206"/>
  <c r="L129" i="206"/>
  <c r="L128" i="206"/>
  <c r="L127" i="206"/>
  <c r="L126" i="206"/>
  <c r="L125" i="206"/>
  <c r="L119" i="206"/>
  <c r="L118" i="206"/>
  <c r="L117" i="206"/>
  <c r="L93" i="206"/>
  <c r="L116" i="206"/>
  <c r="L115" i="206"/>
  <c r="L79" i="206"/>
  <c r="L77" i="206"/>
  <c r="L75" i="206"/>
  <c r="L73" i="206"/>
  <c r="L71" i="206"/>
  <c r="L90" i="206"/>
  <c r="L88" i="206"/>
  <c r="L114" i="206"/>
  <c r="L113" i="206"/>
  <c r="L112" i="206"/>
  <c r="L136" i="206"/>
  <c r="L139" i="206"/>
  <c r="L141" i="206"/>
  <c r="L143" i="206"/>
  <c r="L145" i="206"/>
  <c r="L111" i="206"/>
  <c r="L86" i="206"/>
  <c r="L83" i="206"/>
  <c r="L81" i="206"/>
  <c r="L106" i="206"/>
  <c r="L59" i="206"/>
  <c r="L61" i="206"/>
  <c r="L63" i="206"/>
  <c r="L64" i="206"/>
  <c r="L66" i="206"/>
  <c r="L67" i="206"/>
  <c r="L95" i="206"/>
  <c r="L97" i="206"/>
  <c r="L100" i="206"/>
  <c r="L69" i="206"/>
  <c r="L82" i="206"/>
  <c r="L70" i="206"/>
  <c r="L72" i="206"/>
  <c r="L74" i="206"/>
  <c r="L76" i="206"/>
  <c r="L78" i="206"/>
  <c r="L62" i="206"/>
  <c r="L110" i="206"/>
  <c r="L109" i="206"/>
  <c r="L57" i="206"/>
  <c r="L99" i="206"/>
  <c r="L98" i="206"/>
  <c r="L96" i="206"/>
  <c r="L94" i="206"/>
  <c r="L92" i="206"/>
  <c r="L91" i="206"/>
  <c r="L89" i="206"/>
  <c r="L87" i="206"/>
  <c r="L85" i="206"/>
  <c r="L84" i="206"/>
  <c r="L108" i="206"/>
  <c r="L107" i="206"/>
  <c r="L123" i="206"/>
  <c r="L122" i="206"/>
  <c r="L121" i="206"/>
  <c r="L124" i="206"/>
  <c r="L120" i="206"/>
  <c r="L147" i="206"/>
  <c r="L79" i="192"/>
  <c r="L107" i="192"/>
  <c r="L108" i="192"/>
  <c r="L109" i="192"/>
  <c r="L110" i="192"/>
  <c r="L111" i="192"/>
  <c r="L112" i="192"/>
  <c r="L113" i="192"/>
  <c r="L114" i="192"/>
  <c r="L115" i="192"/>
  <c r="L116" i="192"/>
  <c r="L117" i="192"/>
  <c r="L118" i="192"/>
  <c r="L119" i="192"/>
  <c r="L120" i="192"/>
  <c r="L121" i="192"/>
  <c r="L122" i="192"/>
  <c r="L123" i="192"/>
  <c r="L124" i="192"/>
  <c r="L125" i="192"/>
  <c r="L126" i="192"/>
  <c r="L127" i="192"/>
  <c r="L128" i="192"/>
  <c r="L129" i="192"/>
  <c r="L130" i="192"/>
  <c r="L132" i="192"/>
  <c r="L133" i="192"/>
  <c r="L134" i="192"/>
  <c r="L135" i="192"/>
  <c r="L136" i="192"/>
  <c r="L137" i="192"/>
  <c r="L138" i="192"/>
  <c r="L139" i="192"/>
  <c r="L140" i="192"/>
  <c r="L141" i="192"/>
  <c r="L142" i="192"/>
  <c r="L143" i="192"/>
  <c r="L144" i="192"/>
  <c r="L145" i="192"/>
  <c r="L146" i="192"/>
  <c r="L147" i="192"/>
  <c r="L148" i="192"/>
  <c r="L106" i="192"/>
  <c r="L58" i="192"/>
  <c r="L59" i="192"/>
  <c r="L60" i="192"/>
  <c r="L61" i="192"/>
  <c r="L62" i="192"/>
  <c r="L63" i="192"/>
  <c r="L64" i="192"/>
  <c r="L65" i="192"/>
  <c r="L66" i="192"/>
  <c r="L67" i="192"/>
  <c r="L69" i="192"/>
  <c r="L70" i="192"/>
  <c r="L71" i="192"/>
  <c r="L72" i="192"/>
  <c r="L73" i="192"/>
  <c r="L74" i="192"/>
  <c r="L75" i="192"/>
  <c r="L76" i="192"/>
  <c r="L77" i="192"/>
  <c r="L78" i="192"/>
  <c r="L80" i="192"/>
  <c r="L81" i="192"/>
  <c r="L82" i="192"/>
  <c r="L83" i="192"/>
  <c r="L84" i="192"/>
  <c r="L85" i="192"/>
  <c r="L86" i="192"/>
  <c r="L87" i="192"/>
  <c r="L88" i="192"/>
  <c r="L89" i="192"/>
  <c r="L90" i="192"/>
  <c r="L91" i="192"/>
  <c r="L92" i="192"/>
  <c r="L93" i="192"/>
  <c r="L94" i="192"/>
  <c r="L95" i="192"/>
  <c r="L96" i="192"/>
  <c r="L97" i="192"/>
  <c r="L98" i="192"/>
  <c r="L99" i="192"/>
  <c r="L100" i="192"/>
  <c r="L57" i="192"/>
  <c r="L68" i="192"/>
  <c r="L131" i="192"/>
  <c r="L61" i="230"/>
  <c r="L122" i="230"/>
  <c r="L124" i="230"/>
  <c r="L125" i="230"/>
  <c r="L126" i="230"/>
  <c r="L127" i="230"/>
  <c r="L128" i="230"/>
  <c r="L129" i="230"/>
  <c r="L130" i="230"/>
  <c r="L131" i="230"/>
  <c r="L132" i="230"/>
  <c r="L133" i="230"/>
  <c r="L134" i="230"/>
  <c r="L80" i="230"/>
  <c r="L79" i="230"/>
  <c r="L78" i="230"/>
  <c r="L77" i="230"/>
  <c r="L76" i="230"/>
  <c r="L75" i="230"/>
  <c r="L135" i="230"/>
  <c r="L73" i="230"/>
  <c r="L72" i="230"/>
  <c r="L71" i="230"/>
  <c r="L70" i="230"/>
  <c r="L69" i="230"/>
  <c r="L68" i="230"/>
  <c r="L67" i="230"/>
  <c r="L66" i="230"/>
  <c r="L65" i="230"/>
  <c r="L64" i="230"/>
  <c r="L63" i="230"/>
  <c r="L62" i="230"/>
  <c r="L98" i="230"/>
  <c r="L60" i="230"/>
  <c r="L136" i="230"/>
  <c r="L137" i="230"/>
  <c r="L138" i="230"/>
  <c r="L139" i="230"/>
  <c r="L140" i="230"/>
  <c r="L99" i="230"/>
  <c r="L141" i="230"/>
  <c r="L59" i="230"/>
  <c r="L142" i="230"/>
  <c r="L123" i="230"/>
  <c r="L58" i="230"/>
  <c r="L106" i="230"/>
  <c r="L148" i="230"/>
  <c r="L147" i="230"/>
  <c r="L146" i="230"/>
  <c r="L145" i="230"/>
  <c r="L144" i="230"/>
  <c r="L57" i="230"/>
  <c r="L100" i="230"/>
  <c r="L97" i="230"/>
  <c r="L96" i="230"/>
  <c r="L95" i="230"/>
  <c r="L94" i="230"/>
  <c r="L93" i="230"/>
  <c r="L92" i="230"/>
  <c r="L91" i="230"/>
  <c r="L90" i="230"/>
  <c r="L74" i="230"/>
  <c r="L89" i="230"/>
  <c r="L88" i="230"/>
  <c r="L87" i="230"/>
  <c r="L86" i="230"/>
  <c r="L143" i="230"/>
  <c r="L85" i="230"/>
  <c r="L84" i="230"/>
  <c r="L83" i="230"/>
  <c r="L82" i="230"/>
  <c r="L81" i="230"/>
  <c r="L114" i="230"/>
  <c r="L115" i="230"/>
  <c r="L116" i="230"/>
  <c r="L117" i="230"/>
  <c r="L118" i="230"/>
  <c r="L119" i="230"/>
  <c r="L120" i="230"/>
  <c r="L121" i="230"/>
  <c r="L113" i="230"/>
  <c r="L112" i="230"/>
  <c r="L111" i="230"/>
  <c r="L110" i="230"/>
  <c r="L109" i="230"/>
  <c r="L108" i="230"/>
  <c r="L107" i="230"/>
  <c r="L58" i="220"/>
  <c r="L66" i="220"/>
  <c r="L73" i="220"/>
  <c r="L82" i="220"/>
  <c r="L86" i="220"/>
  <c r="L78" i="220"/>
  <c r="L108" i="220"/>
  <c r="L116" i="220"/>
  <c r="L125" i="220"/>
  <c r="L132" i="220"/>
  <c r="L146" i="220"/>
  <c r="L63" i="220"/>
  <c r="L94" i="220"/>
  <c r="L148" i="220"/>
  <c r="L69" i="220"/>
  <c r="L76" i="220"/>
  <c r="L83" i="220"/>
  <c r="L89" i="220"/>
  <c r="L93" i="220"/>
  <c r="L99" i="220"/>
  <c r="L140" i="220"/>
  <c r="L106" i="220"/>
  <c r="L62" i="220"/>
  <c r="L65" i="220"/>
  <c r="L70" i="220"/>
  <c r="L75" i="220"/>
  <c r="L87" i="220"/>
  <c r="L90" i="220"/>
  <c r="L98" i="220"/>
  <c r="L57" i="220"/>
  <c r="L97" i="220"/>
  <c r="L92" i="220"/>
  <c r="L88" i="220"/>
  <c r="L84" i="220"/>
  <c r="L81" i="220"/>
  <c r="L77" i="220"/>
  <c r="L74" i="220"/>
  <c r="L68" i="220"/>
  <c r="L59" i="220"/>
  <c r="L145" i="220"/>
  <c r="L142" i="220"/>
  <c r="L135" i="220"/>
  <c r="L107" i="220"/>
  <c r="L110" i="220"/>
  <c r="L109" i="220"/>
  <c r="L112" i="220"/>
  <c r="L119" i="220"/>
  <c r="L123" i="220"/>
  <c r="L128" i="220"/>
  <c r="L95" i="220"/>
  <c r="L85" i="220"/>
  <c r="L79" i="220"/>
  <c r="L71" i="220"/>
  <c r="L64" i="220"/>
  <c r="L60" i="220"/>
  <c r="L144" i="220"/>
  <c r="L141" i="220"/>
  <c r="L137" i="220"/>
  <c r="L133" i="220"/>
  <c r="L130" i="220"/>
  <c r="L126" i="220"/>
  <c r="L122" i="220"/>
  <c r="L117" i="220"/>
  <c r="L100" i="220"/>
  <c r="L111" i="220"/>
  <c r="L115" i="220"/>
  <c r="L118" i="220"/>
  <c r="L121" i="220"/>
  <c r="L127" i="220"/>
  <c r="L131" i="220"/>
  <c r="L134" i="220"/>
  <c r="L138" i="220"/>
  <c r="L147" i="220"/>
  <c r="L61" i="220"/>
  <c r="L67" i="220"/>
  <c r="L72" i="220"/>
  <c r="L80" i="220"/>
  <c r="L114" i="220"/>
  <c r="L120" i="220"/>
  <c r="L124" i="220"/>
  <c r="L129" i="220"/>
  <c r="L136" i="220"/>
  <c r="L139" i="220"/>
  <c r="L143" i="220"/>
  <c r="L96" i="220"/>
  <c r="L91" i="220"/>
  <c r="L113" i="220"/>
  <c r="L135" i="209"/>
  <c r="L136" i="209"/>
  <c r="L137" i="209"/>
  <c r="L138" i="209"/>
  <c r="L64" i="209"/>
  <c r="L65" i="209"/>
  <c r="L66" i="209"/>
  <c r="L67" i="209"/>
  <c r="L68" i="209"/>
  <c r="L69" i="209"/>
  <c r="L70" i="209"/>
  <c r="L71" i="209"/>
  <c r="L72" i="209"/>
  <c r="L73" i="209"/>
  <c r="L74" i="209"/>
  <c r="L75" i="209"/>
  <c r="L123" i="209"/>
  <c r="L124" i="209"/>
  <c r="L125" i="209"/>
  <c r="L126" i="209"/>
  <c r="L127" i="209"/>
  <c r="L139" i="209"/>
  <c r="L140" i="209"/>
  <c r="L76" i="209"/>
  <c r="L77" i="209"/>
  <c r="L78" i="209"/>
  <c r="L79" i="209"/>
  <c r="L80" i="209"/>
  <c r="L81" i="209"/>
  <c r="L82" i="209"/>
  <c r="L83" i="209"/>
  <c r="L84" i="209"/>
  <c r="L85" i="209"/>
  <c r="L86" i="209"/>
  <c r="L87" i="209"/>
  <c r="L141" i="209"/>
  <c r="L142" i="209"/>
  <c r="L144" i="209"/>
  <c r="L145" i="209"/>
  <c r="L146" i="209"/>
  <c r="L147" i="209"/>
  <c r="L148" i="209"/>
  <c r="L106" i="209"/>
  <c r="L58" i="209"/>
  <c r="L59" i="209"/>
  <c r="L60" i="209"/>
  <c r="L61" i="209"/>
  <c r="L62" i="209"/>
  <c r="L63" i="209"/>
  <c r="L88" i="209"/>
  <c r="L89" i="209"/>
  <c r="L90" i="209"/>
  <c r="L91" i="209"/>
  <c r="L92" i="209"/>
  <c r="L128" i="209"/>
  <c r="L93" i="209"/>
  <c r="L94" i="209"/>
  <c r="L95" i="209"/>
  <c r="L96" i="209"/>
  <c r="L97" i="209"/>
  <c r="L98" i="209"/>
  <c r="L99" i="209"/>
  <c r="L100" i="209"/>
  <c r="L129" i="209"/>
  <c r="L130" i="209"/>
  <c r="L108" i="209"/>
  <c r="L107" i="209"/>
  <c r="L131" i="209"/>
  <c r="L132" i="209"/>
  <c r="L112" i="209"/>
  <c r="L111" i="209"/>
  <c r="L110" i="209"/>
  <c r="L109" i="209"/>
  <c r="L113" i="209"/>
  <c r="L143" i="209"/>
  <c r="L114" i="209"/>
  <c r="L57" i="209"/>
  <c r="L115" i="209"/>
  <c r="L116" i="209"/>
  <c r="L117" i="209"/>
  <c r="L118" i="209"/>
  <c r="L119" i="209"/>
  <c r="L120" i="209"/>
  <c r="L121" i="209"/>
  <c r="L122" i="209"/>
  <c r="L133" i="209"/>
  <c r="L134" i="209"/>
  <c r="L92" i="203"/>
  <c r="L65" i="203"/>
  <c r="L64" i="203"/>
  <c r="L63" i="203"/>
  <c r="L62" i="203"/>
  <c r="L61" i="203"/>
  <c r="L60" i="203"/>
  <c r="L59" i="203"/>
  <c r="L106" i="203"/>
  <c r="L148" i="203"/>
  <c r="L147" i="203"/>
  <c r="L146" i="203"/>
  <c r="L145" i="203"/>
  <c r="L144" i="203"/>
  <c r="L143" i="203"/>
  <c r="L142" i="203"/>
  <c r="L141" i="203"/>
  <c r="L140" i="203"/>
  <c r="L139" i="203"/>
  <c r="L138" i="203"/>
  <c r="L137" i="203"/>
  <c r="L136" i="203"/>
  <c r="L135" i="203"/>
  <c r="L134" i="203"/>
  <c r="L133" i="203"/>
  <c r="L132" i="203"/>
  <c r="L131" i="203"/>
  <c r="L130" i="203"/>
  <c r="L129" i="203"/>
  <c r="L128" i="203"/>
  <c r="L127" i="203"/>
  <c r="L126" i="203"/>
  <c r="L125" i="203"/>
  <c r="L124" i="203"/>
  <c r="L123" i="203"/>
  <c r="L122" i="203"/>
  <c r="L121" i="203"/>
  <c r="L120" i="203"/>
  <c r="L119" i="203"/>
  <c r="L118" i="203"/>
  <c r="L117" i="203"/>
  <c r="L116" i="203"/>
  <c r="L115" i="203"/>
  <c r="L114" i="203"/>
  <c r="L113" i="203"/>
  <c r="L112" i="203"/>
  <c r="L111" i="203"/>
  <c r="L110" i="203"/>
  <c r="L109" i="203"/>
  <c r="L108" i="203"/>
  <c r="L82" i="203"/>
  <c r="L83" i="203"/>
  <c r="L84" i="203"/>
  <c r="L85" i="203"/>
  <c r="L86" i="203"/>
  <c r="L107" i="203"/>
  <c r="L57" i="203"/>
  <c r="L100" i="203"/>
  <c r="L99" i="203"/>
  <c r="L78" i="203"/>
  <c r="L93" i="203"/>
  <c r="L94" i="203"/>
  <c r="L95" i="203"/>
  <c r="L96" i="203"/>
  <c r="L58" i="203"/>
  <c r="L77" i="203"/>
  <c r="L76" i="203"/>
  <c r="L75" i="203"/>
  <c r="L74" i="203"/>
  <c r="L73" i="203"/>
  <c r="L72" i="203"/>
  <c r="L71" i="203"/>
  <c r="L70" i="203"/>
  <c r="L69" i="203"/>
  <c r="L98" i="203"/>
  <c r="L97" i="203"/>
  <c r="L68" i="203"/>
  <c r="L67" i="203"/>
  <c r="L66" i="203"/>
  <c r="L87" i="203"/>
  <c r="L88" i="203"/>
  <c r="L89" i="203"/>
  <c r="L90" i="203"/>
  <c r="L91" i="203"/>
  <c r="L81" i="203"/>
  <c r="L80" i="203"/>
  <c r="L79" i="203"/>
  <c r="L137" i="186"/>
  <c r="L135" i="186"/>
  <c r="L133" i="186"/>
  <c r="L131" i="186"/>
  <c r="L129" i="186"/>
  <c r="L126" i="186"/>
  <c r="L124" i="186"/>
  <c r="L122" i="186"/>
  <c r="L65" i="186"/>
  <c r="L64" i="186"/>
  <c r="L63" i="186"/>
  <c r="L62" i="186"/>
  <c r="L123" i="186"/>
  <c r="L121" i="186"/>
  <c r="L119" i="186"/>
  <c r="L117" i="186"/>
  <c r="L115" i="186"/>
  <c r="L113" i="186"/>
  <c r="L60" i="186"/>
  <c r="L58" i="186"/>
  <c r="L148" i="186"/>
  <c r="L120" i="186"/>
  <c r="L146" i="186"/>
  <c r="L145" i="186"/>
  <c r="L143" i="186"/>
  <c r="L141" i="186"/>
  <c r="L139" i="186"/>
  <c r="L118" i="186"/>
  <c r="L116" i="186"/>
  <c r="L114" i="186"/>
  <c r="L112" i="186"/>
  <c r="L111" i="186"/>
  <c r="L109" i="186"/>
  <c r="L107" i="186"/>
  <c r="L110" i="186"/>
  <c r="L108" i="186"/>
  <c r="L106" i="186"/>
  <c r="L59" i="186"/>
  <c r="L61" i="186"/>
  <c r="L74" i="186"/>
  <c r="L73" i="186"/>
  <c r="L72" i="186"/>
  <c r="L76" i="186"/>
  <c r="L77" i="186"/>
  <c r="L78" i="186"/>
  <c r="L79" i="186"/>
  <c r="L80" i="186"/>
  <c r="L81" i="186"/>
  <c r="L82" i="186"/>
  <c r="L83" i="186"/>
  <c r="L84" i="186"/>
  <c r="L85" i="186"/>
  <c r="L86" i="186"/>
  <c r="L87" i="186"/>
  <c r="L88" i="186"/>
  <c r="L89" i="186"/>
  <c r="L90" i="186"/>
  <c r="L91" i="186"/>
  <c r="L92" i="186"/>
  <c r="L93" i="186"/>
  <c r="L94" i="186"/>
  <c r="L95" i="186"/>
  <c r="L96" i="186"/>
  <c r="L97" i="186"/>
  <c r="L98" i="186"/>
  <c r="L99" i="186"/>
  <c r="L100" i="186"/>
  <c r="L57" i="186"/>
  <c r="L144" i="186"/>
  <c r="L142" i="186"/>
  <c r="L140" i="186"/>
  <c r="L138" i="186"/>
  <c r="L136" i="186"/>
  <c r="L134" i="186"/>
  <c r="L132" i="186"/>
  <c r="L130" i="186"/>
  <c r="L128" i="186"/>
  <c r="L127" i="186"/>
  <c r="L125" i="186"/>
  <c r="L71" i="186"/>
  <c r="L70" i="186"/>
  <c r="L69" i="186"/>
  <c r="L68" i="186"/>
  <c r="L67" i="186"/>
  <c r="L66" i="186"/>
  <c r="L147" i="186"/>
  <c r="L75" i="186"/>
  <c r="L62" i="194"/>
  <c r="L133" i="194"/>
  <c r="L134" i="194"/>
  <c r="L135" i="194"/>
  <c r="L136" i="194"/>
  <c r="L137" i="194"/>
  <c r="L138" i="194"/>
  <c r="L139" i="194"/>
  <c r="L140" i="194"/>
  <c r="L141" i="194"/>
  <c r="L142" i="194"/>
  <c r="L143" i="194"/>
  <c r="L144" i="194"/>
  <c r="L145" i="194"/>
  <c r="L146" i="194"/>
  <c r="L147" i="194"/>
  <c r="L148" i="194"/>
  <c r="L106" i="194"/>
  <c r="L58" i="194"/>
  <c r="L59" i="194"/>
  <c r="L60" i="194"/>
  <c r="L61" i="194"/>
  <c r="L63" i="194"/>
  <c r="L64" i="194"/>
  <c r="L65" i="194"/>
  <c r="L66" i="194"/>
  <c r="L67" i="194"/>
  <c r="L68" i="194"/>
  <c r="L69" i="194"/>
  <c r="L70" i="194"/>
  <c r="L71" i="194"/>
  <c r="L72" i="194"/>
  <c r="L73" i="194"/>
  <c r="L74" i="194"/>
  <c r="L75" i="194"/>
  <c r="L76" i="194"/>
  <c r="L77" i="194"/>
  <c r="L78" i="194"/>
  <c r="L79" i="194"/>
  <c r="L80" i="194"/>
  <c r="L81" i="194"/>
  <c r="L82" i="194"/>
  <c r="L132" i="194"/>
  <c r="L83" i="194"/>
  <c r="L84" i="194"/>
  <c r="L85" i="194"/>
  <c r="L86" i="194"/>
  <c r="L87" i="194"/>
  <c r="L88" i="194"/>
  <c r="L89" i="194"/>
  <c r="L90" i="194"/>
  <c r="L91" i="194"/>
  <c r="L92" i="194"/>
  <c r="L93" i="194"/>
  <c r="L94" i="194"/>
  <c r="L95" i="194"/>
  <c r="L96" i="194"/>
  <c r="L97" i="194"/>
  <c r="L98" i="194"/>
  <c r="L107" i="194"/>
  <c r="L108" i="194"/>
  <c r="L109" i="194"/>
  <c r="L110" i="194"/>
  <c r="L111" i="194"/>
  <c r="L112" i="194"/>
  <c r="L113" i="194"/>
  <c r="L114" i="194"/>
  <c r="L115" i="194"/>
  <c r="L116" i="194"/>
  <c r="L117" i="194"/>
  <c r="L118" i="194"/>
  <c r="L119" i="194"/>
  <c r="L120" i="194"/>
  <c r="L121" i="194"/>
  <c r="L122" i="194"/>
  <c r="L123" i="194"/>
  <c r="L124" i="194"/>
  <c r="L125" i="194"/>
  <c r="L126" i="194"/>
  <c r="L127" i="194"/>
  <c r="L128" i="194"/>
  <c r="L129" i="194"/>
  <c r="L130" i="194"/>
  <c r="L99" i="194"/>
  <c r="L100" i="194"/>
  <c r="L57" i="194"/>
  <c r="L131" i="194"/>
  <c r="L108" i="235"/>
  <c r="L107" i="235"/>
  <c r="L109" i="235"/>
  <c r="L111" i="235"/>
  <c r="L112" i="235"/>
  <c r="L115" i="235"/>
  <c r="L117" i="235"/>
  <c r="L119" i="235"/>
  <c r="L121" i="235"/>
  <c r="L124" i="235"/>
  <c r="L126" i="235"/>
  <c r="L128" i="235"/>
  <c r="L130" i="235"/>
  <c r="L132" i="235"/>
  <c r="L134" i="235"/>
  <c r="L71" i="235"/>
  <c r="L73" i="235"/>
  <c r="L75" i="235"/>
  <c r="L77" i="235"/>
  <c r="L79" i="235"/>
  <c r="L81" i="235"/>
  <c r="L83" i="235"/>
  <c r="L85" i="235"/>
  <c r="L87" i="235"/>
  <c r="L89" i="235"/>
  <c r="L90" i="235"/>
  <c r="L92" i="235"/>
  <c r="L94" i="235"/>
  <c r="L96" i="235"/>
  <c r="L98" i="235"/>
  <c r="L100" i="235"/>
  <c r="L110" i="235"/>
  <c r="L113" i="235"/>
  <c r="L114" i="235"/>
  <c r="L116" i="235"/>
  <c r="L118" i="235"/>
  <c r="L120" i="235"/>
  <c r="L122" i="235"/>
  <c r="L123" i="235"/>
  <c r="L125" i="235"/>
  <c r="L127" i="235"/>
  <c r="L129" i="235"/>
  <c r="L131" i="235"/>
  <c r="L133" i="235"/>
  <c r="L135" i="235"/>
  <c r="L136" i="235"/>
  <c r="L137" i="235"/>
  <c r="L138" i="235"/>
  <c r="L139" i="235"/>
  <c r="L140" i="235"/>
  <c r="L141" i="235"/>
  <c r="L142" i="235"/>
  <c r="L143" i="235"/>
  <c r="L144" i="235"/>
  <c r="L145" i="235"/>
  <c r="L146" i="235"/>
  <c r="L147" i="235"/>
  <c r="L148" i="235"/>
  <c r="L106" i="235"/>
  <c r="L58" i="235"/>
  <c r="L59" i="235"/>
  <c r="L60" i="235"/>
  <c r="L61" i="235"/>
  <c r="L62" i="235"/>
  <c r="L63" i="235"/>
  <c r="L64" i="235"/>
  <c r="L65" i="235"/>
  <c r="L66" i="235"/>
  <c r="L67" i="235"/>
  <c r="L68" i="235"/>
  <c r="L69" i="235"/>
  <c r="L70" i="235"/>
  <c r="L72" i="235"/>
  <c r="L74" i="235"/>
  <c r="L76" i="235"/>
  <c r="L78" i="235"/>
  <c r="L80" i="235"/>
  <c r="L82" i="235"/>
  <c r="L84" i="235"/>
  <c r="L86" i="235"/>
  <c r="L88" i="235"/>
  <c r="L91" i="235"/>
  <c r="L93" i="235"/>
  <c r="L95" i="235"/>
  <c r="L97" i="235"/>
  <c r="L99" i="235"/>
  <c r="L57" i="235"/>
  <c r="L124" i="225"/>
  <c r="L136" i="225"/>
  <c r="L137" i="225"/>
  <c r="L138" i="225"/>
  <c r="L139" i="225"/>
  <c r="L140" i="225"/>
  <c r="L141" i="225"/>
  <c r="L142" i="225"/>
  <c r="L99" i="225"/>
  <c r="L143" i="225"/>
  <c r="L144" i="225"/>
  <c r="L145" i="225"/>
  <c r="L146" i="225"/>
  <c r="L58" i="225"/>
  <c r="L60" i="225"/>
  <c r="L76" i="225"/>
  <c r="L77" i="225"/>
  <c r="L78" i="225"/>
  <c r="L79" i="225"/>
  <c r="L80" i="225"/>
  <c r="L82" i="225"/>
  <c r="L59" i="225"/>
  <c r="L81" i="225"/>
  <c r="L147" i="225"/>
  <c r="L148" i="225"/>
  <c r="L100" i="225"/>
  <c r="L97" i="225"/>
  <c r="L96" i="225"/>
  <c r="L95" i="225"/>
  <c r="L94" i="225"/>
  <c r="L93" i="225"/>
  <c r="L75" i="225"/>
  <c r="L74" i="225"/>
  <c r="L73" i="225"/>
  <c r="L72" i="225"/>
  <c r="L71" i="225"/>
  <c r="L70" i="225"/>
  <c r="L92" i="225"/>
  <c r="L91" i="225"/>
  <c r="L64" i="225"/>
  <c r="L65" i="225"/>
  <c r="L66" i="225"/>
  <c r="L67" i="225"/>
  <c r="L68" i="225"/>
  <c r="L69" i="225"/>
  <c r="L57" i="225"/>
  <c r="L98" i="225"/>
  <c r="L120" i="225"/>
  <c r="L119" i="225"/>
  <c r="L118" i="225"/>
  <c r="L117" i="225"/>
  <c r="L116" i="225"/>
  <c r="L115" i="225"/>
  <c r="L114" i="225"/>
  <c r="L113" i="225"/>
  <c r="L112" i="225"/>
  <c r="L111" i="225"/>
  <c r="L110" i="225"/>
  <c r="L109" i="225"/>
  <c r="L108" i="225"/>
  <c r="L107" i="225"/>
  <c r="L90" i="225"/>
  <c r="L89" i="225"/>
  <c r="L88" i="225"/>
  <c r="L87" i="225"/>
  <c r="L86" i="225"/>
  <c r="L85" i="225"/>
  <c r="L84" i="225"/>
  <c r="L83" i="225"/>
  <c r="L63" i="225"/>
  <c r="L62" i="225"/>
  <c r="L132" i="225"/>
  <c r="L61" i="225"/>
  <c r="L121" i="225"/>
  <c r="L122" i="225"/>
  <c r="L123" i="225"/>
  <c r="L106" i="225"/>
  <c r="L125" i="225"/>
  <c r="L126" i="225"/>
  <c r="L127" i="225"/>
  <c r="L128" i="225"/>
  <c r="L129" i="225"/>
  <c r="L130" i="225"/>
  <c r="L131" i="225"/>
  <c r="L133" i="225"/>
  <c r="L134" i="225"/>
  <c r="L135" i="225"/>
  <c r="L129" i="217"/>
  <c r="L128" i="217"/>
  <c r="L127" i="217"/>
  <c r="L126" i="217"/>
  <c r="L125" i="217"/>
  <c r="L124" i="217"/>
  <c r="L123" i="217"/>
  <c r="L122" i="217"/>
  <c r="L121" i="217"/>
  <c r="L120" i="217"/>
  <c r="L119" i="217"/>
  <c r="L118" i="217"/>
  <c r="L117" i="217"/>
  <c r="L116" i="217"/>
  <c r="L115" i="217"/>
  <c r="L114" i="217"/>
  <c r="L113" i="217"/>
  <c r="L112" i="217"/>
  <c r="L111" i="217"/>
  <c r="L110" i="217"/>
  <c r="L109" i="217"/>
  <c r="L108" i="217"/>
  <c r="L107" i="217"/>
  <c r="L142" i="217"/>
  <c r="L83" i="217"/>
  <c r="L57" i="217"/>
  <c r="L100" i="217"/>
  <c r="L99" i="217"/>
  <c r="L98" i="217"/>
  <c r="L97" i="217"/>
  <c r="L96" i="217"/>
  <c r="L95" i="217"/>
  <c r="L94" i="217"/>
  <c r="L93" i="217"/>
  <c r="L92" i="217"/>
  <c r="L91" i="217"/>
  <c r="L90" i="217"/>
  <c r="L89" i="217"/>
  <c r="L88" i="217"/>
  <c r="L87" i="217"/>
  <c r="L86" i="217"/>
  <c r="L85" i="217"/>
  <c r="L84" i="217"/>
  <c r="L143" i="217"/>
  <c r="L82" i="217"/>
  <c r="L81" i="217"/>
  <c r="L80" i="217"/>
  <c r="L79" i="217"/>
  <c r="L78" i="217"/>
  <c r="L77" i="217"/>
  <c r="L76" i="217"/>
  <c r="L75" i="217"/>
  <c r="L74" i="217"/>
  <c r="L73" i="217"/>
  <c r="L72" i="217"/>
  <c r="L71" i="217"/>
  <c r="L70" i="217"/>
  <c r="L69" i="217"/>
  <c r="L68" i="217"/>
  <c r="L67" i="217"/>
  <c r="L66" i="217"/>
  <c r="L65" i="217"/>
  <c r="L64" i="217"/>
  <c r="L63" i="217"/>
  <c r="L62" i="217"/>
  <c r="L61" i="217"/>
  <c r="L60" i="217"/>
  <c r="L59" i="217"/>
  <c r="L58" i="217"/>
  <c r="L106" i="217"/>
  <c r="L148" i="217"/>
  <c r="L147" i="217"/>
  <c r="L146" i="217"/>
  <c r="L145" i="217"/>
  <c r="L144" i="217"/>
  <c r="L141" i="217"/>
  <c r="L140" i="217"/>
  <c r="L139" i="217"/>
  <c r="L138" i="217"/>
  <c r="L137" i="217"/>
  <c r="L136" i="217"/>
  <c r="L135" i="217"/>
  <c r="L134" i="217"/>
  <c r="L133" i="217"/>
  <c r="L132" i="217"/>
  <c r="L131" i="217"/>
  <c r="L130" i="217"/>
  <c r="L121" i="200"/>
  <c r="L120" i="200"/>
  <c r="L119" i="200"/>
  <c r="L118" i="200"/>
  <c r="L117" i="200"/>
  <c r="L116" i="200"/>
  <c r="L115" i="200"/>
  <c r="L114" i="200"/>
  <c r="L113" i="200"/>
  <c r="L112" i="200"/>
  <c r="L111" i="200"/>
  <c r="L110" i="200"/>
  <c r="L109" i="200"/>
  <c r="L108" i="200"/>
  <c r="L107" i="200"/>
  <c r="L69" i="200"/>
  <c r="L68" i="200"/>
  <c r="L67" i="200"/>
  <c r="L146" i="200"/>
  <c r="L147" i="200"/>
  <c r="L148" i="200"/>
  <c r="L106" i="200"/>
  <c r="L58" i="200"/>
  <c r="L143" i="200"/>
  <c r="L128" i="200"/>
  <c r="L142" i="200"/>
  <c r="L141" i="200"/>
  <c r="L127" i="200"/>
  <c r="L129" i="200"/>
  <c r="L130" i="200"/>
  <c r="L131" i="200"/>
  <c r="L132" i="200"/>
  <c r="L144" i="200"/>
  <c r="L145" i="200"/>
  <c r="L133" i="200"/>
  <c r="L134" i="200"/>
  <c r="L135" i="200"/>
  <c r="L136" i="200"/>
  <c r="L137" i="200"/>
  <c r="L138" i="200"/>
  <c r="L139" i="200"/>
  <c r="L140" i="200"/>
  <c r="L62" i="200"/>
  <c r="L61" i="200"/>
  <c r="L63" i="200"/>
  <c r="L64" i="200"/>
  <c r="L65" i="200"/>
  <c r="L66" i="200"/>
  <c r="L60" i="200"/>
  <c r="L59" i="200"/>
  <c r="L70" i="200"/>
  <c r="L71" i="200"/>
  <c r="L72" i="200"/>
  <c r="L73" i="200"/>
  <c r="L74" i="200"/>
  <c r="L75" i="200"/>
  <c r="L76" i="200"/>
  <c r="L77" i="200"/>
  <c r="L78" i="200"/>
  <c r="L79" i="200"/>
  <c r="L80" i="200"/>
  <c r="L81" i="200"/>
  <c r="L82" i="200"/>
  <c r="L83" i="200"/>
  <c r="L84" i="200"/>
  <c r="L85" i="200"/>
  <c r="L86" i="200"/>
  <c r="L87" i="200"/>
  <c r="L88" i="200"/>
  <c r="L89" i="200"/>
  <c r="L90" i="200"/>
  <c r="L91" i="200"/>
  <c r="L92" i="200"/>
  <c r="L93" i="200"/>
  <c r="L94" i="200"/>
  <c r="L95" i="200"/>
  <c r="L96" i="200"/>
  <c r="L97" i="200"/>
  <c r="L98" i="200"/>
  <c r="L99" i="200"/>
  <c r="L100" i="200"/>
  <c r="L57" i="200"/>
  <c r="L126" i="200"/>
  <c r="L125" i="200"/>
  <c r="L124" i="200"/>
  <c r="L123" i="200"/>
  <c r="L122" i="200"/>
  <c r="L74" i="227"/>
  <c r="L75" i="227"/>
  <c r="L76" i="227"/>
  <c r="L108" i="227"/>
  <c r="L113" i="227"/>
  <c r="L117" i="227"/>
  <c r="L120" i="227"/>
  <c r="L77" i="227"/>
  <c r="L78" i="227"/>
  <c r="L79" i="227"/>
  <c r="L80" i="227"/>
  <c r="L81" i="227"/>
  <c r="L83" i="227"/>
  <c r="L84" i="227"/>
  <c r="L85" i="227"/>
  <c r="L86" i="227"/>
  <c r="L87" i="227"/>
  <c r="L88" i="227"/>
  <c r="L89" i="227"/>
  <c r="L90" i="227"/>
  <c r="L91" i="227"/>
  <c r="L92" i="227"/>
  <c r="L93" i="227"/>
  <c r="L94" i="227"/>
  <c r="L95" i="227"/>
  <c r="L96" i="227"/>
  <c r="L97" i="227"/>
  <c r="L98" i="227"/>
  <c r="L99" i="227"/>
  <c r="L100" i="227"/>
  <c r="L57" i="227"/>
  <c r="L107" i="227"/>
  <c r="L112" i="227"/>
  <c r="L115" i="227"/>
  <c r="L118" i="227"/>
  <c r="L121" i="227"/>
  <c r="L122" i="227"/>
  <c r="L119" i="227"/>
  <c r="L116" i="227"/>
  <c r="L114" i="227"/>
  <c r="L111" i="227"/>
  <c r="L110" i="227"/>
  <c r="L109" i="227"/>
  <c r="L82" i="227"/>
  <c r="L123" i="227"/>
  <c r="L124" i="227"/>
  <c r="L125" i="227"/>
  <c r="L126" i="227"/>
  <c r="L127" i="227"/>
  <c r="L128" i="227"/>
  <c r="L129" i="227"/>
  <c r="L130" i="227"/>
  <c r="L131" i="227"/>
  <c r="L132" i="227"/>
  <c r="L133" i="227"/>
  <c r="L134" i="227"/>
  <c r="L135" i="227"/>
  <c r="L136" i="227"/>
  <c r="L137" i="227"/>
  <c r="L138" i="227"/>
  <c r="L139" i="227"/>
  <c r="L140" i="227"/>
  <c r="L141" i="227"/>
  <c r="L142" i="227"/>
  <c r="L143" i="227"/>
  <c r="L144" i="227"/>
  <c r="L145" i="227"/>
  <c r="L146" i="227"/>
  <c r="L147" i="227"/>
  <c r="L148" i="227"/>
  <c r="L106" i="227"/>
  <c r="L58" i="227"/>
  <c r="L59" i="227"/>
  <c r="L60" i="227"/>
  <c r="L61" i="227"/>
  <c r="L62" i="227"/>
  <c r="L63" i="227"/>
  <c r="L64" i="227"/>
  <c r="L65" i="227"/>
  <c r="L66" i="227"/>
  <c r="L67" i="227"/>
  <c r="L68" i="227"/>
  <c r="L69" i="227"/>
  <c r="L70" i="227"/>
  <c r="L71" i="227"/>
  <c r="L72" i="227"/>
  <c r="L73" i="227"/>
  <c r="L135" i="214"/>
  <c r="L76" i="214"/>
  <c r="L73" i="214"/>
  <c r="L88" i="214"/>
  <c r="L113" i="214"/>
  <c r="L125" i="214"/>
  <c r="L131" i="214"/>
  <c r="L141" i="214"/>
  <c r="L57" i="214"/>
  <c r="L100" i="214"/>
  <c r="L80" i="214"/>
  <c r="L67" i="214"/>
  <c r="L106" i="214"/>
  <c r="L145" i="214"/>
  <c r="L137" i="214"/>
  <c r="L123" i="214"/>
  <c r="L117" i="214"/>
  <c r="L108" i="214"/>
  <c r="L107" i="214"/>
  <c r="L60" i="214"/>
  <c r="L70" i="214"/>
  <c r="L84" i="214"/>
  <c r="L91" i="214"/>
  <c r="L85" i="214"/>
  <c r="L64" i="214"/>
  <c r="L58" i="214"/>
  <c r="L130" i="214"/>
  <c r="L144" i="214"/>
  <c r="L110" i="214"/>
  <c r="L120" i="214"/>
  <c r="L136" i="214"/>
  <c r="L148" i="214"/>
  <c r="L143" i="214"/>
  <c r="L66" i="214"/>
  <c r="L75" i="214"/>
  <c r="L83" i="214"/>
  <c r="L114" i="214"/>
  <c r="L124" i="214"/>
  <c r="L146" i="214"/>
  <c r="L93" i="214"/>
  <c r="L140" i="214"/>
  <c r="L132" i="214"/>
  <c r="L59" i="214"/>
  <c r="L71" i="214"/>
  <c r="L77" i="214"/>
  <c r="L138" i="214"/>
  <c r="L116" i="214"/>
  <c r="L69" i="214"/>
  <c r="L109" i="214"/>
  <c r="L118" i="214"/>
  <c r="L126" i="214"/>
  <c r="L115" i="214"/>
  <c r="L122" i="214"/>
  <c r="L129" i="214"/>
  <c r="L133" i="214"/>
  <c r="L62" i="214"/>
  <c r="L72" i="214"/>
  <c r="L95" i="214"/>
  <c r="L86" i="214"/>
  <c r="L79" i="214"/>
  <c r="L74" i="214"/>
  <c r="L68" i="214"/>
  <c r="L147" i="214"/>
  <c r="L142" i="214"/>
  <c r="L90" i="214"/>
  <c r="L127" i="214"/>
  <c r="L97" i="214"/>
  <c r="L82" i="214"/>
  <c r="L63" i="214"/>
  <c r="L121" i="214"/>
  <c r="L112" i="214"/>
  <c r="L89" i="214"/>
  <c r="L98" i="214"/>
  <c r="L111" i="214"/>
  <c r="L119" i="214"/>
  <c r="L128" i="214"/>
  <c r="L134" i="214"/>
  <c r="L139" i="214"/>
  <c r="L61" i="214"/>
  <c r="L65" i="214"/>
  <c r="L78" i="214"/>
  <c r="L94" i="214"/>
  <c r="L99" i="214"/>
  <c r="L96" i="214"/>
  <c r="L92" i="214"/>
  <c r="L87" i="214"/>
  <c r="L81" i="214"/>
  <c r="L63" i="232"/>
  <c r="L65" i="232"/>
  <c r="L140" i="232"/>
  <c r="L66" i="232"/>
  <c r="L67" i="232"/>
  <c r="L68" i="232"/>
  <c r="L69" i="232"/>
  <c r="L70" i="232"/>
  <c r="L71" i="232"/>
  <c r="L72" i="232"/>
  <c r="L73" i="232"/>
  <c r="L74" i="232"/>
  <c r="L62" i="232"/>
  <c r="L60" i="232"/>
  <c r="L59" i="232"/>
  <c r="L106" i="232"/>
  <c r="L147" i="232"/>
  <c r="L145" i="232"/>
  <c r="L138" i="232"/>
  <c r="L135" i="232"/>
  <c r="L134" i="232"/>
  <c r="L132" i="232"/>
  <c r="L129" i="232"/>
  <c r="L127" i="232"/>
  <c r="L125" i="232"/>
  <c r="L123" i="232"/>
  <c r="L121" i="232"/>
  <c r="L119" i="232"/>
  <c r="L117" i="232"/>
  <c r="L115" i="232"/>
  <c r="L143" i="232"/>
  <c r="L113" i="232"/>
  <c r="L111" i="232"/>
  <c r="L110" i="232"/>
  <c r="L64" i="232"/>
  <c r="L107" i="232"/>
  <c r="L86" i="232"/>
  <c r="L77" i="232"/>
  <c r="L76" i="232"/>
  <c r="L75" i="232"/>
  <c r="L108" i="232"/>
  <c r="L109" i="232"/>
  <c r="L112" i="232"/>
  <c r="L61" i="232"/>
  <c r="L78" i="232"/>
  <c r="L79" i="232"/>
  <c r="L80" i="232"/>
  <c r="L81" i="232"/>
  <c r="L82" i="232"/>
  <c r="L83" i="232"/>
  <c r="L84" i="232"/>
  <c r="L85" i="232"/>
  <c r="L87" i="232"/>
  <c r="L88" i="232"/>
  <c r="L89" i="232"/>
  <c r="L90" i="232"/>
  <c r="L91" i="232"/>
  <c r="L92" i="232"/>
  <c r="L93" i="232"/>
  <c r="L94" i="232"/>
  <c r="L95" i="232"/>
  <c r="L96" i="232"/>
  <c r="L97" i="232"/>
  <c r="L98" i="232"/>
  <c r="L99" i="232"/>
  <c r="L100" i="232"/>
  <c r="L57" i="232"/>
  <c r="L114" i="232"/>
  <c r="L116" i="232"/>
  <c r="L118" i="232"/>
  <c r="L120" i="232"/>
  <c r="L122" i="232"/>
  <c r="L124" i="232"/>
  <c r="L126" i="232"/>
  <c r="L128" i="232"/>
  <c r="L130" i="232"/>
  <c r="L131" i="232"/>
  <c r="L133" i="232"/>
  <c r="L136" i="232"/>
  <c r="L137" i="232"/>
  <c r="L139" i="232"/>
  <c r="L141" i="232"/>
  <c r="L58" i="232"/>
  <c r="L148" i="232"/>
  <c r="L146" i="232"/>
  <c r="L144" i="232"/>
  <c r="L142" i="232"/>
  <c r="L100" i="222"/>
  <c r="L148" i="222"/>
  <c r="L106" i="222"/>
  <c r="L58" i="222"/>
  <c r="L59" i="222"/>
  <c r="L60" i="222"/>
  <c r="L61" i="222"/>
  <c r="L62" i="222"/>
  <c r="L63" i="222"/>
  <c r="L64" i="222"/>
  <c r="L65" i="222"/>
  <c r="L66" i="222"/>
  <c r="L67" i="222"/>
  <c r="L68" i="222"/>
  <c r="L69" i="222"/>
  <c r="L70" i="222"/>
  <c r="L97" i="222"/>
  <c r="L71" i="222"/>
  <c r="L111" i="222"/>
  <c r="L110" i="222"/>
  <c r="L109" i="222"/>
  <c r="L108" i="222"/>
  <c r="L76" i="222"/>
  <c r="L130" i="222"/>
  <c r="L131" i="222"/>
  <c r="L132" i="222"/>
  <c r="L133" i="222"/>
  <c r="L134" i="222"/>
  <c r="L135" i="222"/>
  <c r="L136" i="222"/>
  <c r="L95" i="222"/>
  <c r="L94" i="222"/>
  <c r="L93" i="222"/>
  <c r="L92" i="222"/>
  <c r="L91" i="222"/>
  <c r="L90" i="222"/>
  <c r="L89" i="222"/>
  <c r="L118" i="222"/>
  <c r="L87" i="222"/>
  <c r="L86" i="222"/>
  <c r="L85" i="222"/>
  <c r="L84" i="222"/>
  <c r="L83" i="222"/>
  <c r="L82" i="222"/>
  <c r="L137" i="222"/>
  <c r="L138" i="222"/>
  <c r="L139" i="222"/>
  <c r="L140" i="222"/>
  <c r="L141" i="222"/>
  <c r="L81" i="222"/>
  <c r="L98" i="222"/>
  <c r="L80" i="222"/>
  <c r="L79" i="222"/>
  <c r="L78" i="222"/>
  <c r="L119" i="222"/>
  <c r="L120" i="222"/>
  <c r="L121" i="222"/>
  <c r="L88" i="222"/>
  <c r="L114" i="222"/>
  <c r="L115" i="222"/>
  <c r="L116" i="222"/>
  <c r="L57" i="222"/>
  <c r="L96" i="222"/>
  <c r="L122" i="222"/>
  <c r="L123" i="222"/>
  <c r="L124" i="222"/>
  <c r="L77" i="222"/>
  <c r="L125" i="222"/>
  <c r="L126" i="222"/>
  <c r="L127" i="222"/>
  <c r="L117" i="222"/>
  <c r="L142" i="222"/>
  <c r="L128" i="222"/>
  <c r="L129" i="222"/>
  <c r="L113" i="222"/>
  <c r="L112" i="222"/>
  <c r="L99" i="222"/>
  <c r="L143" i="222"/>
  <c r="L144" i="222"/>
  <c r="L145" i="222"/>
  <c r="L146" i="222"/>
  <c r="L147" i="222"/>
  <c r="L75" i="222"/>
  <c r="L74" i="222"/>
  <c r="L73" i="222"/>
  <c r="L72" i="222"/>
  <c r="L107" i="222"/>
  <c r="L58" i="208"/>
  <c r="L59" i="208"/>
  <c r="L60" i="208"/>
  <c r="L61" i="208"/>
  <c r="L62" i="208"/>
  <c r="L63" i="208"/>
  <c r="L64" i="208"/>
  <c r="L65" i="208"/>
  <c r="L66" i="208"/>
  <c r="L67" i="208"/>
  <c r="L68" i="208"/>
  <c r="L69" i="208"/>
  <c r="L70" i="208"/>
  <c r="L71" i="208"/>
  <c r="L72" i="208"/>
  <c r="L73" i="208"/>
  <c r="L74" i="208"/>
  <c r="L75" i="208"/>
  <c r="L76" i="208"/>
  <c r="L77" i="208"/>
  <c r="L78" i="208"/>
  <c r="L79" i="208"/>
  <c r="L80" i="208"/>
  <c r="L81" i="208"/>
  <c r="L82" i="208"/>
  <c r="L83" i="208"/>
  <c r="L84" i="208"/>
  <c r="L85" i="208"/>
  <c r="L86" i="208"/>
  <c r="L87" i="208"/>
  <c r="L88" i="208"/>
  <c r="L89" i="208"/>
  <c r="L90" i="208"/>
  <c r="L91" i="208"/>
  <c r="L92" i="208"/>
  <c r="L93" i="208"/>
  <c r="L94" i="208"/>
  <c r="L95" i="208"/>
  <c r="L96" i="208"/>
  <c r="L98" i="208"/>
  <c r="L99" i="208"/>
  <c r="L100" i="208"/>
  <c r="L57" i="208"/>
  <c r="L97" i="208"/>
  <c r="L107" i="208"/>
  <c r="L108" i="208"/>
  <c r="L109" i="208"/>
  <c r="L110" i="208"/>
  <c r="L111" i="208"/>
  <c r="L112" i="208"/>
  <c r="L113" i="208"/>
  <c r="L114" i="208"/>
  <c r="L115" i="208"/>
  <c r="L116" i="208"/>
  <c r="L117" i="208"/>
  <c r="L118" i="208"/>
  <c r="L119" i="208"/>
  <c r="L120" i="208"/>
  <c r="L121" i="208"/>
  <c r="L122" i="208"/>
  <c r="L123" i="208"/>
  <c r="L124" i="208"/>
  <c r="L125" i="208"/>
  <c r="L126" i="208"/>
  <c r="L127" i="208"/>
  <c r="L128" i="208"/>
  <c r="L129" i="208"/>
  <c r="L130" i="208"/>
  <c r="L131" i="208"/>
  <c r="L132" i="208"/>
  <c r="L133" i="208"/>
  <c r="L134" i="208"/>
  <c r="L135" i="208"/>
  <c r="L136" i="208"/>
  <c r="L137" i="208"/>
  <c r="L138" i="208"/>
  <c r="L139" i="208"/>
  <c r="L140" i="208"/>
  <c r="L141" i="208"/>
  <c r="L142" i="208"/>
  <c r="L143" i="208"/>
  <c r="L144" i="208"/>
  <c r="L145" i="208"/>
  <c r="L146" i="208"/>
  <c r="L147" i="208"/>
  <c r="L148" i="208"/>
  <c r="L106" i="208"/>
  <c r="L90" i="211"/>
  <c r="L137" i="211"/>
  <c r="L136" i="211"/>
  <c r="L135" i="211"/>
  <c r="L134" i="211"/>
  <c r="L133" i="211"/>
  <c r="L132" i="211"/>
  <c r="L131" i="211"/>
  <c r="L130" i="211"/>
  <c r="L129" i="211"/>
  <c r="L128" i="211"/>
  <c r="L127" i="211"/>
  <c r="L92" i="211"/>
  <c r="L116" i="211"/>
  <c r="L115" i="211"/>
  <c r="L114" i="211"/>
  <c r="L113" i="211"/>
  <c r="L112" i="211"/>
  <c r="L111" i="211"/>
  <c r="L110" i="211"/>
  <c r="L109" i="211"/>
  <c r="L120" i="211"/>
  <c r="L89" i="211"/>
  <c r="L88" i="211"/>
  <c r="L148" i="211"/>
  <c r="L93" i="211"/>
  <c r="L94" i="211"/>
  <c r="L95" i="211"/>
  <c r="L96" i="211"/>
  <c r="L97" i="211"/>
  <c r="L98" i="211"/>
  <c r="L99" i="211"/>
  <c r="L100" i="211"/>
  <c r="L57" i="211"/>
  <c r="L107" i="211"/>
  <c r="L108" i="211"/>
  <c r="L126" i="211"/>
  <c r="L125" i="211"/>
  <c r="L124" i="211"/>
  <c r="L123" i="211"/>
  <c r="L122" i="211"/>
  <c r="L121" i="211"/>
  <c r="L91" i="211"/>
  <c r="L119" i="211"/>
  <c r="L118" i="211"/>
  <c r="L117" i="211"/>
  <c r="L87" i="211"/>
  <c r="L86" i="211"/>
  <c r="L85" i="211"/>
  <c r="L84" i="211"/>
  <c r="L83" i="211"/>
  <c r="L82" i="211"/>
  <c r="L81" i="211"/>
  <c r="L80" i="211"/>
  <c r="L79" i="211"/>
  <c r="L78" i="211"/>
  <c r="L77" i="211"/>
  <c r="L76" i="211"/>
  <c r="L75" i="211"/>
  <c r="L74" i="211"/>
  <c r="L73" i="211"/>
  <c r="L72" i="211"/>
  <c r="L71" i="211"/>
  <c r="L70" i="211"/>
  <c r="L69" i="211"/>
  <c r="L68" i="211"/>
  <c r="L67" i="211"/>
  <c r="L66" i="211"/>
  <c r="L65" i="211"/>
  <c r="L64" i="211"/>
  <c r="L63" i="211"/>
  <c r="L62" i="211"/>
  <c r="L61" i="211"/>
  <c r="L60" i="211"/>
  <c r="L59" i="211"/>
  <c r="L58" i="211"/>
  <c r="L106" i="211"/>
  <c r="L147" i="211"/>
  <c r="L146" i="211"/>
  <c r="L145" i="211"/>
  <c r="L144" i="211"/>
  <c r="L143" i="211"/>
  <c r="L142" i="211"/>
  <c r="L141" i="211"/>
  <c r="L140" i="211"/>
  <c r="L139" i="211"/>
  <c r="L138" i="211"/>
  <c r="L60" i="205"/>
  <c r="L62" i="205"/>
  <c r="L64" i="205"/>
  <c r="L66" i="205"/>
  <c r="L68" i="205"/>
  <c r="L70" i="205"/>
  <c r="L72" i="205"/>
  <c r="L74" i="205"/>
  <c r="L77" i="205"/>
  <c r="L78" i="205"/>
  <c r="L80" i="205"/>
  <c r="L82" i="205"/>
  <c r="L84" i="205"/>
  <c r="L86" i="205"/>
  <c r="L88" i="205"/>
  <c r="L89" i="205"/>
  <c r="L91" i="205"/>
  <c r="L93" i="205"/>
  <c r="L95" i="205"/>
  <c r="L111" i="205"/>
  <c r="L99" i="205"/>
  <c r="L57" i="205"/>
  <c r="L97" i="205"/>
  <c r="L108" i="205"/>
  <c r="L113" i="205"/>
  <c r="L115" i="205"/>
  <c r="L117" i="205"/>
  <c r="L118" i="205"/>
  <c r="L120" i="205"/>
  <c r="L122" i="205"/>
  <c r="L124" i="205"/>
  <c r="L127" i="205"/>
  <c r="L129" i="205"/>
  <c r="L130" i="205"/>
  <c r="L132" i="205"/>
  <c r="L133" i="205"/>
  <c r="L135" i="205"/>
  <c r="L136" i="205"/>
  <c r="L138" i="205"/>
  <c r="L140" i="205"/>
  <c r="L142" i="205"/>
  <c r="L144" i="205"/>
  <c r="L146" i="205"/>
  <c r="L148" i="205"/>
  <c r="L109" i="205"/>
  <c r="L59" i="205"/>
  <c r="L61" i="205"/>
  <c r="L63" i="205"/>
  <c r="L65" i="205"/>
  <c r="L67" i="205"/>
  <c r="L69" i="205"/>
  <c r="L71" i="205"/>
  <c r="L73" i="205"/>
  <c r="L75" i="205"/>
  <c r="L76" i="205"/>
  <c r="L81" i="205"/>
  <c r="L83" i="205"/>
  <c r="L85" i="205"/>
  <c r="L87" i="205"/>
  <c r="L90" i="205"/>
  <c r="L92" i="205"/>
  <c r="L94" i="205"/>
  <c r="L96" i="205"/>
  <c r="L98" i="205"/>
  <c r="L100" i="205"/>
  <c r="L58" i="205"/>
  <c r="L107" i="205"/>
  <c r="L110" i="205"/>
  <c r="L112" i="205"/>
  <c r="L114" i="205"/>
  <c r="L116" i="205"/>
  <c r="L119" i="205"/>
  <c r="L121" i="205"/>
  <c r="L123" i="205"/>
  <c r="L125" i="205"/>
  <c r="L126" i="205"/>
  <c r="L128" i="205"/>
  <c r="L131" i="205"/>
  <c r="L134" i="205"/>
  <c r="L137" i="205"/>
  <c r="L139" i="205"/>
  <c r="L141" i="205"/>
  <c r="L143" i="205"/>
  <c r="L145" i="205"/>
  <c r="L147" i="205"/>
  <c r="L106" i="205"/>
  <c r="L79" i="205"/>
  <c r="L106" i="177"/>
  <c r="L58" i="177"/>
  <c r="L59" i="177"/>
  <c r="L60" i="177"/>
  <c r="L61" i="177"/>
  <c r="L62" i="177"/>
  <c r="L63" i="177"/>
  <c r="L64" i="177"/>
  <c r="L65" i="177"/>
  <c r="L66" i="177"/>
  <c r="L67" i="177"/>
  <c r="L68" i="177"/>
  <c r="L70" i="177"/>
  <c r="L71" i="177"/>
  <c r="L72" i="177"/>
  <c r="L73" i="177"/>
  <c r="L74" i="177"/>
  <c r="L75" i="177"/>
  <c r="L76" i="177"/>
  <c r="L77" i="177"/>
  <c r="L78" i="177"/>
  <c r="L79" i="177"/>
  <c r="L80" i="177"/>
  <c r="L81" i="177"/>
  <c r="L82" i="177"/>
  <c r="L83" i="177"/>
  <c r="L84" i="177"/>
  <c r="L85" i="177"/>
  <c r="L86" i="177"/>
  <c r="L87" i="177"/>
  <c r="L88" i="177"/>
  <c r="L89" i="177"/>
  <c r="L91" i="177"/>
  <c r="L92" i="177"/>
  <c r="L93" i="177"/>
  <c r="L94" i="177"/>
  <c r="L95" i="177"/>
  <c r="L96" i="177"/>
  <c r="L97" i="177"/>
  <c r="L98" i="177"/>
  <c r="L99" i="177"/>
  <c r="L100" i="177"/>
  <c r="L139" i="177"/>
  <c r="L107" i="177"/>
  <c r="L108" i="177"/>
  <c r="L109" i="177"/>
  <c r="L110" i="177"/>
  <c r="L111" i="177"/>
  <c r="L112" i="177"/>
  <c r="L113" i="177"/>
  <c r="L114" i="177"/>
  <c r="L115" i="177"/>
  <c r="L116" i="177"/>
  <c r="L117" i="177"/>
  <c r="L69" i="177"/>
  <c r="L118" i="177"/>
  <c r="L90" i="177"/>
  <c r="L119" i="177"/>
  <c r="L120" i="177"/>
  <c r="L121" i="177"/>
  <c r="L122" i="177"/>
  <c r="L123" i="177"/>
  <c r="L124" i="177"/>
  <c r="L125" i="177"/>
  <c r="L126" i="177"/>
  <c r="L127" i="177"/>
  <c r="L128" i="177"/>
  <c r="L129" i="177"/>
  <c r="L130" i="177"/>
  <c r="L131" i="177"/>
  <c r="L132" i="177"/>
  <c r="L133" i="177"/>
  <c r="L134" i="177"/>
  <c r="L135" i="177"/>
  <c r="L136" i="177"/>
  <c r="L57" i="177"/>
  <c r="L137" i="177"/>
  <c r="L138" i="177"/>
  <c r="L140" i="177"/>
  <c r="L141" i="177"/>
  <c r="L142" i="177"/>
  <c r="L143" i="177"/>
  <c r="L144" i="177"/>
  <c r="L145" i="177"/>
  <c r="L146" i="177"/>
  <c r="L147" i="177"/>
  <c r="L148" i="177"/>
  <c r="L90" i="180"/>
  <c r="L91" i="180"/>
  <c r="L92" i="180"/>
  <c r="L93" i="180"/>
  <c r="L94" i="180"/>
  <c r="L95" i="180"/>
  <c r="L96" i="180"/>
  <c r="L97" i="180"/>
  <c r="L98" i="180"/>
  <c r="L99" i="180"/>
  <c r="L100" i="180"/>
  <c r="L57" i="180"/>
  <c r="L135" i="180"/>
  <c r="L134" i="180"/>
  <c r="L133" i="180"/>
  <c r="L132" i="180"/>
  <c r="L131" i="180"/>
  <c r="L130" i="180"/>
  <c r="L129" i="180"/>
  <c r="L128" i="180"/>
  <c r="L127" i="180"/>
  <c r="L126" i="180"/>
  <c r="L125" i="180"/>
  <c r="L124" i="180"/>
  <c r="L123" i="180"/>
  <c r="L122" i="180"/>
  <c r="L121" i="180"/>
  <c r="L120" i="180"/>
  <c r="L119" i="180"/>
  <c r="L118" i="180"/>
  <c r="L117" i="180"/>
  <c r="L116" i="180"/>
  <c r="L115" i="180"/>
  <c r="L114" i="180"/>
  <c r="L113" i="180"/>
  <c r="L112" i="180"/>
  <c r="L111" i="180"/>
  <c r="L110" i="180"/>
  <c r="L109" i="180"/>
  <c r="L108" i="180"/>
  <c r="L107" i="180"/>
  <c r="L89" i="180"/>
  <c r="L78" i="180"/>
  <c r="L69" i="180"/>
  <c r="L137" i="180"/>
  <c r="L138" i="180"/>
  <c r="L139" i="180"/>
  <c r="L140" i="180"/>
  <c r="L141" i="180"/>
  <c r="L142" i="180"/>
  <c r="L143" i="180"/>
  <c r="L144" i="180"/>
  <c r="L145" i="180"/>
  <c r="L146" i="180"/>
  <c r="L147" i="180"/>
  <c r="L148" i="180"/>
  <c r="L106" i="180"/>
  <c r="L58" i="180"/>
  <c r="L59" i="180"/>
  <c r="L60" i="180"/>
  <c r="L61" i="180"/>
  <c r="L62" i="180"/>
  <c r="L63" i="180"/>
  <c r="L64" i="180"/>
  <c r="L65" i="180"/>
  <c r="L66" i="180"/>
  <c r="L67" i="180"/>
  <c r="L68" i="180"/>
  <c r="L70" i="180"/>
  <c r="L71" i="180"/>
  <c r="L72" i="180"/>
  <c r="L73" i="180"/>
  <c r="L74" i="180"/>
  <c r="L75" i="180"/>
  <c r="L76" i="180"/>
  <c r="L77" i="180"/>
  <c r="L136" i="180"/>
  <c r="L79" i="180"/>
  <c r="L80" i="180"/>
  <c r="L81" i="180"/>
  <c r="L82" i="180"/>
  <c r="L83" i="180"/>
  <c r="L84" i="180"/>
  <c r="L85" i="180"/>
  <c r="L86" i="180"/>
  <c r="L87" i="180"/>
  <c r="L88" i="180"/>
  <c r="L76" i="184"/>
  <c r="L75" i="184"/>
  <c r="L74" i="184"/>
  <c r="L73" i="184"/>
  <c r="L72" i="184"/>
  <c r="L71" i="184"/>
  <c r="L70" i="184"/>
  <c r="L69" i="184"/>
  <c r="L68" i="184"/>
  <c r="L67" i="184"/>
  <c r="L66" i="184"/>
  <c r="L65" i="184"/>
  <c r="L64" i="184"/>
  <c r="L63" i="184"/>
  <c r="L62" i="184"/>
  <c r="L61" i="184"/>
  <c r="L60" i="184"/>
  <c r="L59" i="184"/>
  <c r="L58" i="184"/>
  <c r="L106" i="184"/>
  <c r="L95" i="184"/>
  <c r="L147" i="184"/>
  <c r="L146" i="184"/>
  <c r="L145" i="184"/>
  <c r="L144" i="184"/>
  <c r="L143" i="184"/>
  <c r="L142" i="184"/>
  <c r="L141" i="184"/>
  <c r="L140" i="184"/>
  <c r="L139" i="184"/>
  <c r="L138" i="184"/>
  <c r="L137" i="184"/>
  <c r="L99" i="184"/>
  <c r="L135" i="184"/>
  <c r="L134" i="184"/>
  <c r="L133" i="184"/>
  <c r="L132" i="184"/>
  <c r="L131" i="184"/>
  <c r="L130" i="184"/>
  <c r="L129" i="184"/>
  <c r="L128" i="184"/>
  <c r="L127" i="184"/>
  <c r="L126" i="184"/>
  <c r="L125" i="184"/>
  <c r="L124" i="184"/>
  <c r="L123" i="184"/>
  <c r="L122" i="184"/>
  <c r="L121" i="184"/>
  <c r="L120" i="184"/>
  <c r="L119" i="184"/>
  <c r="L118" i="184"/>
  <c r="L117" i="184"/>
  <c r="L116" i="184"/>
  <c r="L115" i="184"/>
  <c r="L114" i="184"/>
  <c r="L113" i="184"/>
  <c r="L112" i="184"/>
  <c r="L111" i="184"/>
  <c r="L110" i="184"/>
  <c r="L109" i="184"/>
  <c r="L108" i="184"/>
  <c r="L107" i="184"/>
  <c r="L97" i="184"/>
  <c r="L96" i="184"/>
  <c r="L100" i="184"/>
  <c r="L98" i="184"/>
  <c r="L94" i="184"/>
  <c r="L93" i="184"/>
  <c r="L92" i="184"/>
  <c r="L91" i="184"/>
  <c r="L90" i="184"/>
  <c r="L89" i="184"/>
  <c r="L88" i="184"/>
  <c r="L87" i="184"/>
  <c r="L57" i="184"/>
  <c r="L136" i="184"/>
  <c r="L86" i="184"/>
  <c r="L85" i="184"/>
  <c r="L84" i="184"/>
  <c r="L83" i="184"/>
  <c r="L82" i="184"/>
  <c r="L81" i="184"/>
  <c r="L80" i="184"/>
  <c r="L79" i="184"/>
  <c r="L78" i="184"/>
  <c r="L77" i="184"/>
  <c r="L148" i="184"/>
  <c r="L146" i="183"/>
  <c r="L147" i="183"/>
  <c r="L148" i="183"/>
  <c r="L106" i="183"/>
  <c r="L58" i="183"/>
  <c r="L59" i="183"/>
  <c r="L60" i="183"/>
  <c r="L61" i="183"/>
  <c r="L62" i="183"/>
  <c r="L63" i="183"/>
  <c r="L64" i="183"/>
  <c r="L65" i="183"/>
  <c r="L66" i="183"/>
  <c r="L67" i="183"/>
  <c r="L68" i="183"/>
  <c r="L69" i="183"/>
  <c r="L71" i="183"/>
  <c r="L72" i="183"/>
  <c r="L73" i="183"/>
  <c r="L74" i="183"/>
  <c r="L75" i="183"/>
  <c r="L76" i="183"/>
  <c r="L77" i="183"/>
  <c r="L78" i="183"/>
  <c r="L79" i="183"/>
  <c r="L80" i="183"/>
  <c r="L81" i="183"/>
  <c r="L82" i="183"/>
  <c r="L83" i="183"/>
  <c r="L84" i="183"/>
  <c r="L85" i="183"/>
  <c r="L86" i="183"/>
  <c r="L87" i="183"/>
  <c r="L90" i="183"/>
  <c r="L91" i="183"/>
  <c r="L92" i="183"/>
  <c r="L93" i="183"/>
  <c r="L94" i="183"/>
  <c r="L95" i="183"/>
  <c r="L96" i="183"/>
  <c r="L97" i="183"/>
  <c r="L98" i="183"/>
  <c r="L99" i="183"/>
  <c r="L70" i="183"/>
  <c r="L126" i="183"/>
  <c r="L89" i="183"/>
  <c r="L127" i="183"/>
  <c r="L128" i="183"/>
  <c r="L129" i="183"/>
  <c r="L130" i="183"/>
  <c r="L131" i="183"/>
  <c r="L132" i="183"/>
  <c r="L133" i="183"/>
  <c r="L107" i="183"/>
  <c r="L108" i="183"/>
  <c r="L109" i="183"/>
  <c r="L110" i="183"/>
  <c r="L111" i="183"/>
  <c r="L112" i="183"/>
  <c r="L113" i="183"/>
  <c r="L114" i="183"/>
  <c r="L115" i="183"/>
  <c r="L116" i="183"/>
  <c r="L134" i="183"/>
  <c r="L117" i="183"/>
  <c r="L118" i="183"/>
  <c r="L135" i="183"/>
  <c r="L136" i="183"/>
  <c r="L137" i="183"/>
  <c r="L138" i="183"/>
  <c r="L139" i="183"/>
  <c r="L140" i="183"/>
  <c r="L88" i="183"/>
  <c r="L141" i="183"/>
  <c r="L142" i="183"/>
  <c r="L143" i="183"/>
  <c r="L144" i="183"/>
  <c r="L119" i="183"/>
  <c r="L120" i="183"/>
  <c r="L145" i="183"/>
  <c r="L100" i="183"/>
  <c r="L57" i="183"/>
  <c r="L121" i="183"/>
  <c r="L122" i="183"/>
  <c r="L123" i="183"/>
  <c r="L124" i="183"/>
  <c r="L125" i="183"/>
  <c r="L88" i="176"/>
  <c r="L87" i="176"/>
  <c r="L86" i="176"/>
  <c r="L85" i="176"/>
  <c r="L84" i="176"/>
  <c r="L83" i="176"/>
  <c r="L82" i="176"/>
  <c r="L81" i="176"/>
  <c r="L80" i="176"/>
  <c r="L79" i="176"/>
  <c r="L78" i="176"/>
  <c r="L77" i="176"/>
  <c r="L76" i="176"/>
  <c r="L75" i="176"/>
  <c r="L74" i="176"/>
  <c r="L73" i="176"/>
  <c r="L72" i="176"/>
  <c r="L71" i="176"/>
  <c r="L70" i="176"/>
  <c r="L67" i="176"/>
  <c r="L66" i="176"/>
  <c r="L65" i="176"/>
  <c r="L69" i="176"/>
  <c r="L63" i="176"/>
  <c r="L62" i="176"/>
  <c r="L61" i="176"/>
  <c r="L60" i="176"/>
  <c r="L59" i="176"/>
  <c r="L58" i="176"/>
  <c r="L106" i="176"/>
  <c r="L148" i="176"/>
  <c r="L147" i="176"/>
  <c r="L68" i="176"/>
  <c r="L99" i="176"/>
  <c r="L98" i="176"/>
  <c r="L100" i="176"/>
  <c r="L57" i="176"/>
  <c r="L97" i="176"/>
  <c r="L146" i="176"/>
  <c r="L145" i="176"/>
  <c r="L144" i="176"/>
  <c r="L143" i="176"/>
  <c r="L142" i="176"/>
  <c r="L141" i="176"/>
  <c r="L140" i="176"/>
  <c r="L139" i="176"/>
  <c r="L138" i="176"/>
  <c r="L137" i="176"/>
  <c r="L136" i="176"/>
  <c r="L135" i="176"/>
  <c r="L134" i="176"/>
  <c r="L133" i="176"/>
  <c r="L132" i="176"/>
  <c r="L131" i="176"/>
  <c r="L64" i="176"/>
  <c r="L129" i="176"/>
  <c r="L128" i="176"/>
  <c r="L127" i="176"/>
  <c r="L126" i="176"/>
  <c r="L125" i="176"/>
  <c r="L124" i="176"/>
  <c r="L123" i="176"/>
  <c r="L122" i="176"/>
  <c r="L121" i="176"/>
  <c r="L120" i="176"/>
  <c r="L119" i="176"/>
  <c r="L118" i="176"/>
  <c r="L117" i="176"/>
  <c r="L116" i="176"/>
  <c r="L115" i="176"/>
  <c r="L114" i="176"/>
  <c r="L113" i="176"/>
  <c r="L112" i="176"/>
  <c r="L111" i="176"/>
  <c r="L110" i="176"/>
  <c r="L109" i="176"/>
  <c r="L108" i="176"/>
  <c r="L107" i="176"/>
  <c r="L96" i="176"/>
  <c r="L95" i="176"/>
  <c r="L94" i="176"/>
  <c r="L93" i="176"/>
  <c r="L92" i="176"/>
  <c r="L91" i="176"/>
  <c r="L90" i="176"/>
  <c r="L89" i="176"/>
  <c r="L130" i="176"/>
  <c r="L107" i="182"/>
  <c r="L115" i="182"/>
  <c r="L119" i="182"/>
  <c r="L126" i="182"/>
  <c r="L132" i="182"/>
  <c r="L141" i="182"/>
  <c r="L146" i="182"/>
  <c r="L59" i="182"/>
  <c r="L63" i="182"/>
  <c r="L69" i="182"/>
  <c r="L73" i="182"/>
  <c r="L78" i="182"/>
  <c r="L87" i="182"/>
  <c r="L92" i="182"/>
  <c r="L100" i="182"/>
  <c r="L108" i="182"/>
  <c r="L113" i="182"/>
  <c r="L122" i="182"/>
  <c r="L128" i="182"/>
  <c r="L135" i="182"/>
  <c r="L139" i="182"/>
  <c r="L145" i="182"/>
  <c r="L64" i="182"/>
  <c r="L70" i="182"/>
  <c r="L77" i="182"/>
  <c r="L82" i="182"/>
  <c r="L88" i="182"/>
  <c r="L96" i="182"/>
  <c r="L109" i="182"/>
  <c r="L116" i="182"/>
  <c r="L123" i="182"/>
  <c r="L129" i="182"/>
  <c r="L134" i="182"/>
  <c r="L140" i="182"/>
  <c r="L147" i="182"/>
  <c r="L60" i="182"/>
  <c r="L65" i="182"/>
  <c r="L71" i="182"/>
  <c r="L76" i="182"/>
  <c r="L81" i="182"/>
  <c r="L85" i="182"/>
  <c r="L89" i="182"/>
  <c r="L94" i="182"/>
  <c r="L99" i="182"/>
  <c r="L110" i="182"/>
  <c r="L118" i="182"/>
  <c r="L124" i="182"/>
  <c r="L130" i="182"/>
  <c r="L136" i="182"/>
  <c r="L142" i="182"/>
  <c r="L148" i="182"/>
  <c r="L62" i="182"/>
  <c r="L68" i="182"/>
  <c r="L75" i="182"/>
  <c r="L80" i="182"/>
  <c r="L84" i="182"/>
  <c r="L90" i="182"/>
  <c r="L97" i="182"/>
  <c r="L111" i="182"/>
  <c r="L114" i="182"/>
  <c r="L121" i="182"/>
  <c r="L127" i="182"/>
  <c r="L133" i="182"/>
  <c r="L138" i="182"/>
  <c r="L144" i="182"/>
  <c r="L58" i="182"/>
  <c r="L66" i="182"/>
  <c r="L74" i="182"/>
  <c r="L83" i="182"/>
  <c r="L93" i="182"/>
  <c r="L98" i="182"/>
  <c r="L112" i="182"/>
  <c r="L117" i="182"/>
  <c r="L120" i="182"/>
  <c r="L125" i="182"/>
  <c r="L131" i="182"/>
  <c r="L137" i="182"/>
  <c r="L143" i="182"/>
  <c r="L106" i="182"/>
  <c r="L61" i="182"/>
  <c r="L67" i="182"/>
  <c r="L72" i="182"/>
  <c r="L79" i="182"/>
  <c r="L86" i="182"/>
  <c r="L91" i="182"/>
  <c r="L95" i="182"/>
  <c r="L57" i="182"/>
  <c r="L107" i="181"/>
  <c r="L115" i="181"/>
  <c r="L118" i="181"/>
  <c r="L123" i="181"/>
  <c r="L128" i="181"/>
  <c r="L134" i="181"/>
  <c r="L141" i="181"/>
  <c r="L145" i="181"/>
  <c r="L58" i="181"/>
  <c r="L63" i="181"/>
  <c r="L67" i="181"/>
  <c r="L72" i="181"/>
  <c r="L77" i="181"/>
  <c r="L83" i="181"/>
  <c r="L88" i="181"/>
  <c r="L93" i="181"/>
  <c r="L97" i="181"/>
  <c r="L57" i="181"/>
  <c r="L108" i="181"/>
  <c r="L113" i="181"/>
  <c r="L117" i="181"/>
  <c r="L121" i="181"/>
  <c r="L127" i="181"/>
  <c r="L130" i="181"/>
  <c r="L133" i="181"/>
  <c r="L137" i="181"/>
  <c r="L146" i="181"/>
  <c r="L59" i="181"/>
  <c r="L65" i="181"/>
  <c r="L69" i="181"/>
  <c r="L74" i="181"/>
  <c r="L78" i="181"/>
  <c r="L82" i="181"/>
  <c r="L87" i="181"/>
  <c r="L92" i="181"/>
  <c r="L98" i="181"/>
  <c r="L112" i="181"/>
  <c r="L109" i="181"/>
  <c r="L116" i="181"/>
  <c r="L120" i="181"/>
  <c r="L125" i="181"/>
  <c r="L129" i="181"/>
  <c r="L136" i="181"/>
  <c r="L140" i="181"/>
  <c r="L144" i="181"/>
  <c r="L148" i="181"/>
  <c r="L61" i="181"/>
  <c r="L66" i="181"/>
  <c r="L71" i="181"/>
  <c r="L76" i="181"/>
  <c r="L81" i="181"/>
  <c r="L86" i="181"/>
  <c r="L91" i="181"/>
  <c r="L95" i="181"/>
  <c r="L111" i="181"/>
  <c r="L119" i="181"/>
  <c r="L124" i="181"/>
  <c r="L131" i="181"/>
  <c r="L135" i="181"/>
  <c r="L139" i="181"/>
  <c r="L143" i="181"/>
  <c r="L106" i="181"/>
  <c r="L62" i="181"/>
  <c r="L68" i="181"/>
  <c r="L73" i="181"/>
  <c r="L80" i="181"/>
  <c r="L85" i="181"/>
  <c r="L90" i="181"/>
  <c r="L96" i="181"/>
  <c r="L100" i="181"/>
  <c r="L110" i="181"/>
  <c r="L114" i="181"/>
  <c r="L122" i="181"/>
  <c r="L126" i="181"/>
  <c r="L132" i="181"/>
  <c r="L138" i="181"/>
  <c r="L142" i="181"/>
  <c r="L147" i="181"/>
  <c r="L60" i="181"/>
  <c r="L64" i="181"/>
  <c r="L70" i="181"/>
  <c r="L75" i="181"/>
  <c r="L79" i="181"/>
  <c r="L84" i="181"/>
  <c r="L89" i="181"/>
  <c r="L94" i="181"/>
  <c r="L99" i="181"/>
  <c r="K118" i="177"/>
  <c r="J129" i="177"/>
  <c r="K92" i="177"/>
  <c r="K135" i="177"/>
  <c r="J100" i="177"/>
  <c r="J134" i="177"/>
  <c r="K143" i="177"/>
  <c r="K121" i="177"/>
  <c r="J74" i="177"/>
  <c r="K128" i="177"/>
  <c r="J131" i="177"/>
  <c r="J87" i="177"/>
  <c r="K76" i="177"/>
  <c r="K110" i="177"/>
  <c r="K98" i="177"/>
  <c r="K97" i="177"/>
  <c r="J72" i="177"/>
  <c r="J142" i="177"/>
  <c r="K83" i="177"/>
  <c r="J91" i="177"/>
  <c r="J99" i="177"/>
  <c r="K94" i="177"/>
  <c r="K75" i="177"/>
  <c r="K82" i="177"/>
  <c r="K124" i="177"/>
  <c r="K112" i="177"/>
  <c r="K144" i="177"/>
  <c r="J96" i="177"/>
  <c r="J90" i="177"/>
  <c r="K88" i="177"/>
  <c r="J138" i="177"/>
  <c r="J95" i="177"/>
  <c r="J126" i="177"/>
  <c r="J123" i="177"/>
  <c r="J137" i="177"/>
  <c r="K108" i="177"/>
  <c r="K140" i="177"/>
  <c r="J106" i="177"/>
  <c r="K69" i="177"/>
  <c r="K133" i="177"/>
  <c r="J61" i="177"/>
  <c r="J139" i="177"/>
  <c r="K85" i="177"/>
  <c r="K122" i="177"/>
  <c r="J113" i="177"/>
  <c r="K71" i="177"/>
  <c r="K64" i="177"/>
  <c r="J117" i="177"/>
  <c r="K66" i="177"/>
  <c r="J120" i="177"/>
  <c r="J84" i="177"/>
  <c r="J114" i="177"/>
  <c r="K77" i="177"/>
  <c r="J60" i="177"/>
  <c r="J111" i="177"/>
  <c r="J67" i="177"/>
  <c r="K93" i="177"/>
  <c r="J79" i="177"/>
  <c r="K119" i="177"/>
  <c r="K107" i="177"/>
  <c r="J89" i="177"/>
  <c r="J125" i="177"/>
  <c r="J145" i="177"/>
  <c r="K62" i="177"/>
  <c r="J73" i="177"/>
  <c r="J147" i="177"/>
  <c r="K148" i="177"/>
  <c r="J136" i="177"/>
  <c r="J115" i="177"/>
  <c r="K127" i="177"/>
  <c r="K80" i="177"/>
  <c r="K58" i="177"/>
  <c r="K95" i="177"/>
  <c r="K123" i="177"/>
  <c r="J59" i="176"/>
  <c r="K99" i="177"/>
  <c r="J85" i="177"/>
  <c r="J144" i="177"/>
  <c r="K90" i="177"/>
  <c r="J112" i="177"/>
  <c r="J62" i="177"/>
  <c r="K115" i="177"/>
  <c r="J92" i="177"/>
  <c r="K138" i="177"/>
  <c r="K147" i="177"/>
  <c r="J128" i="177"/>
  <c r="K72" i="177"/>
  <c r="J76" i="177"/>
  <c r="J82" i="177"/>
  <c r="J93" i="177"/>
  <c r="J71" i="177"/>
  <c r="K113" i="177"/>
  <c r="J135" i="177"/>
  <c r="J108" i="177"/>
  <c r="K129" i="177"/>
  <c r="J69" i="177"/>
  <c r="K59" i="176"/>
  <c r="K84" i="177"/>
  <c r="K142" i="177"/>
  <c r="J148" i="177"/>
  <c r="J122" i="177"/>
  <c r="K61" i="177"/>
  <c r="J97" i="177"/>
  <c r="K139" i="177"/>
  <c r="K91" i="177"/>
  <c r="K145" i="177"/>
  <c r="J58" i="177"/>
  <c r="K125" i="177"/>
  <c r="K74" i="177"/>
  <c r="K73" i="177"/>
  <c r="J98" i="177"/>
  <c r="J140" i="177"/>
  <c r="J124" i="177"/>
  <c r="J133" i="177"/>
  <c r="J118" i="177"/>
  <c r="J110" i="177"/>
  <c r="J107" i="177"/>
  <c r="K117" i="177"/>
  <c r="K111" i="177"/>
  <c r="J121" i="177"/>
  <c r="J143" i="177"/>
  <c r="K100" i="177"/>
  <c r="K60" i="177"/>
  <c r="K114" i="177"/>
  <c r="J127" i="177"/>
  <c r="J75" i="177"/>
  <c r="K120" i="177"/>
  <c r="K137" i="177"/>
  <c r="K106" i="177"/>
  <c r="K79" i="177"/>
  <c r="J66" i="177"/>
  <c r="K96" i="177"/>
  <c r="J83" i="177"/>
  <c r="J80" i="177"/>
  <c r="K126" i="177"/>
  <c r="K89" i="177"/>
  <c r="K131" i="177"/>
  <c r="K87" i="177"/>
  <c r="K136" i="177"/>
  <c r="K134" i="177"/>
  <c r="K67" i="177"/>
  <c r="F131" i="180"/>
  <c r="L73" i="237" s="1"/>
  <c r="F139" i="180"/>
  <c r="L81" i="237" s="1"/>
  <c r="F124" i="180"/>
  <c r="L66" i="237" s="1"/>
  <c r="F99" i="180"/>
  <c r="L46" i="237" s="1"/>
  <c r="F112" i="180"/>
  <c r="L54" i="237" s="1"/>
  <c r="F85" i="180"/>
  <c r="L32" i="237" s="1"/>
  <c r="F78" i="180"/>
  <c r="L25" i="237" s="1"/>
  <c r="F146" i="180"/>
  <c r="L88" i="237" s="1"/>
  <c r="J146" i="177"/>
  <c r="K146" i="177"/>
  <c r="F134" i="180"/>
  <c r="L76" i="237" s="1"/>
  <c r="F136" i="180"/>
  <c r="L78" i="237" s="1"/>
  <c r="F142" i="180"/>
  <c r="L84" i="237" s="1"/>
  <c r="F119" i="180"/>
  <c r="L61" i="237" s="1"/>
  <c r="F59" i="177"/>
  <c r="J6" i="237" s="1"/>
  <c r="F69" i="180"/>
  <c r="L16" i="237" s="1"/>
  <c r="F72" i="180"/>
  <c r="L19" i="237" s="1"/>
  <c r="F68" i="180"/>
  <c r="L15" i="237" s="1"/>
  <c r="F94" i="180"/>
  <c r="L41" i="237" s="1"/>
  <c r="F81" i="180"/>
  <c r="L28" i="237" s="1"/>
  <c r="J81" i="177"/>
  <c r="K81" i="177"/>
  <c r="F144" i="180"/>
  <c r="L86" i="237" s="1"/>
  <c r="F70" i="180"/>
  <c r="L17" i="237" s="1"/>
  <c r="J70" i="177"/>
  <c r="K70" i="177"/>
  <c r="F138" i="180"/>
  <c r="L80" i="237" s="1"/>
  <c r="F132" i="180"/>
  <c r="L74" i="237" s="1"/>
  <c r="J132" i="177"/>
  <c r="K132" i="177"/>
  <c r="J78" i="177"/>
  <c r="J119" i="177"/>
  <c r="F90" i="180"/>
  <c r="L37" i="237" s="1"/>
  <c r="F83" i="180"/>
  <c r="L30" i="237" s="1"/>
  <c r="F87" i="180"/>
  <c r="L34" i="237" s="1"/>
  <c r="F135" i="180"/>
  <c r="L77" i="237" s="1"/>
  <c r="F137" i="180"/>
  <c r="L79" i="237" s="1"/>
  <c r="F75" i="180"/>
  <c r="L22" i="237" s="1"/>
  <c r="F98" i="180"/>
  <c r="L45" i="237" s="1"/>
  <c r="F110" i="180"/>
  <c r="L52" i="237" s="1"/>
  <c r="F107" i="180"/>
  <c r="L49" i="237" s="1"/>
  <c r="F113" i="180"/>
  <c r="L55" i="237" s="1"/>
  <c r="J64" i="177"/>
  <c r="F88" i="180"/>
  <c r="L35" i="237" s="1"/>
  <c r="F84" i="180"/>
  <c r="L31" i="237" s="1"/>
  <c r="F133" i="180"/>
  <c r="L75" i="237" s="1"/>
  <c r="F95" i="180"/>
  <c r="L42" i="237" s="1"/>
  <c r="F141" i="180"/>
  <c r="L83" i="237" s="1"/>
  <c r="J141" i="177"/>
  <c r="K141" i="177"/>
  <c r="F128" i="180"/>
  <c r="L70" i="237" s="1"/>
  <c r="J68" i="177"/>
  <c r="F117" i="180"/>
  <c r="L59" i="237" s="1"/>
  <c r="F108" i="180"/>
  <c r="L50" i="237" s="1"/>
  <c r="F109" i="180"/>
  <c r="L51" i="237" s="1"/>
  <c r="K109" i="177"/>
  <c r="J109" i="177"/>
  <c r="F115" i="180"/>
  <c r="L57" i="237" s="1"/>
  <c r="F111" i="180"/>
  <c r="L53" i="237" s="1"/>
  <c r="K68" i="177"/>
  <c r="F122" i="180"/>
  <c r="L64" i="237" s="1"/>
  <c r="F89" i="180"/>
  <c r="L36" i="237" s="1"/>
  <c r="F114" i="180"/>
  <c r="L56" i="237" s="1"/>
  <c r="F86" i="180"/>
  <c r="L33" i="237" s="1"/>
  <c r="J86" i="177"/>
  <c r="K86" i="177"/>
  <c r="F126" i="180"/>
  <c r="L68" i="237" s="1"/>
  <c r="F76" i="180"/>
  <c r="L23" i="237" s="1"/>
  <c r="F57" i="177"/>
  <c r="J4" i="237" s="1"/>
  <c r="J94" i="177"/>
  <c r="F79" i="180"/>
  <c r="L26" i="237" s="1"/>
  <c r="F130" i="180"/>
  <c r="L72" i="237" s="1"/>
  <c r="J130" i="177"/>
  <c r="K130" i="177"/>
  <c r="F82" i="180"/>
  <c r="L29" i="237" s="1"/>
  <c r="F96" i="180"/>
  <c r="L43" i="237" s="1"/>
  <c r="F143" i="180"/>
  <c r="L85" i="237" s="1"/>
  <c r="F116" i="180"/>
  <c r="L58" i="237" s="1"/>
  <c r="F77" i="180"/>
  <c r="L24" i="237" s="1"/>
  <c r="F127" i="180"/>
  <c r="L69" i="237" s="1"/>
  <c r="F125" i="180"/>
  <c r="L67" i="237" s="1"/>
  <c r="F67" i="180"/>
  <c r="L14" i="237" s="1"/>
  <c r="F71" i="180"/>
  <c r="L18" i="237" s="1"/>
  <c r="F91" i="180"/>
  <c r="L38" i="237" s="1"/>
  <c r="J77" i="177"/>
  <c r="J88" i="177"/>
  <c r="F148" i="180"/>
  <c r="L90" i="237" s="1"/>
  <c r="F60" i="180"/>
  <c r="L7" i="237" s="1"/>
  <c r="F140" i="180"/>
  <c r="L82" i="237" s="1"/>
  <c r="F106" i="180"/>
  <c r="L48" i="237" s="1"/>
  <c r="F145" i="180"/>
  <c r="L87" i="237" s="1"/>
  <c r="F65" i="180"/>
  <c r="L12" i="237" s="1"/>
  <c r="J65" i="177"/>
  <c r="K65" i="177"/>
  <c r="F80" i="180"/>
  <c r="L27" i="237" s="1"/>
  <c r="F62" i="180"/>
  <c r="L9" i="237" s="1"/>
  <c r="F73" i="180"/>
  <c r="L20" i="237" s="1"/>
  <c r="F93" i="180"/>
  <c r="L40" i="237" s="1"/>
  <c r="F123" i="180"/>
  <c r="L65" i="237" s="1"/>
  <c r="F63" i="180"/>
  <c r="L10" i="237" s="1"/>
  <c r="F100" i="180"/>
  <c r="L47" i="237" s="1"/>
  <c r="F58" i="180"/>
  <c r="F66" i="180"/>
  <c r="L13" i="237" s="1"/>
  <c r="F120" i="180"/>
  <c r="L62" i="237" s="1"/>
  <c r="F74" i="180"/>
  <c r="L21" i="237" s="1"/>
  <c r="K78" i="177"/>
  <c r="F118" i="180"/>
  <c r="L60" i="237" s="1"/>
  <c r="F97" i="180"/>
  <c r="L44" i="237" s="1"/>
  <c r="F121" i="180"/>
  <c r="L63" i="237" s="1"/>
  <c r="F129" i="180"/>
  <c r="L71" i="237" s="1"/>
  <c r="F92" i="180"/>
  <c r="L39" i="237" s="1"/>
  <c r="F147" i="180"/>
  <c r="L89" i="237" s="1"/>
  <c r="F64" i="180"/>
  <c r="L11" i="237" s="1"/>
  <c r="F61" i="180"/>
  <c r="L8" i="237" s="1"/>
  <c r="J149" i="22"/>
  <c r="K7" i="115"/>
  <c r="K5" i="115"/>
  <c r="K6" i="115"/>
  <c r="K8" i="115"/>
  <c r="K9" i="115"/>
  <c r="K3" i="115"/>
  <c r="K39" i="115"/>
  <c r="K48" i="115"/>
  <c r="K12" i="115"/>
  <c r="K52" i="115"/>
  <c r="K23" i="115"/>
  <c r="K18" i="115"/>
  <c r="K25" i="115"/>
  <c r="K53" i="115"/>
  <c r="K38" i="115"/>
  <c r="K42" i="115"/>
  <c r="K58" i="115"/>
  <c r="K21" i="115"/>
  <c r="K50" i="115"/>
  <c r="K26" i="115"/>
  <c r="K24" i="115"/>
  <c r="K60" i="115"/>
  <c r="K29" i="115"/>
  <c r="K41" i="115"/>
  <c r="K19" i="115"/>
  <c r="K43" i="115"/>
  <c r="K44" i="115"/>
  <c r="K11" i="115"/>
  <c r="K61" i="115"/>
  <c r="K49" i="115"/>
  <c r="K28" i="115"/>
  <c r="K22" i="115"/>
  <c r="K54" i="115"/>
  <c r="K34" i="115"/>
  <c r="K15" i="115"/>
  <c r="K59" i="115"/>
  <c r="K45" i="115"/>
  <c r="K32" i="115"/>
  <c r="K14" i="115"/>
  <c r="K30" i="115"/>
  <c r="K55" i="115"/>
  <c r="K35" i="115"/>
  <c r="K10" i="115"/>
  <c r="K36" i="115"/>
  <c r="K17" i="115"/>
  <c r="K46" i="115"/>
  <c r="K13" i="115"/>
  <c r="K33" i="115"/>
  <c r="K31" i="115"/>
  <c r="K51" i="115"/>
  <c r="K16" i="115"/>
  <c r="K47" i="115"/>
  <c r="K37" i="115"/>
  <c r="K56" i="115"/>
  <c r="K27" i="115"/>
  <c r="K57" i="115"/>
  <c r="K40" i="115"/>
  <c r="K20" i="115"/>
  <c r="K4" i="115"/>
  <c r="J116" i="177"/>
  <c r="K116" i="177"/>
  <c r="K149" i="22"/>
  <c r="K63" i="177"/>
  <c r="J63" i="177"/>
  <c r="K57" i="176"/>
  <c r="J57" i="176"/>
  <c r="F149" i="176"/>
  <c r="H91" i="237" s="1"/>
  <c r="CM99" i="118"/>
  <c r="CM10" i="118"/>
  <c r="G88" i="115" s="1"/>
  <c r="J103" i="22"/>
  <c r="J102" i="22"/>
  <c r="H103" i="22"/>
  <c r="J101" i="22"/>
  <c r="H102" i="22"/>
  <c r="K149" i="176" l="1"/>
  <c r="L5" i="237"/>
  <c r="J116" i="180"/>
  <c r="J57" i="177"/>
  <c r="F63" i="181"/>
  <c r="F116" i="181"/>
  <c r="N58" i="237" s="1"/>
  <c r="K116" i="180"/>
  <c r="J63" i="180"/>
  <c r="K63" i="180"/>
  <c r="K57" i="177"/>
  <c r="F149" i="177"/>
  <c r="J91" i="237" s="1"/>
  <c r="K62" i="180"/>
  <c r="J62" i="180"/>
  <c r="F62" i="181"/>
  <c r="N9" i="237" s="1"/>
  <c r="F141" i="181"/>
  <c r="N83" i="237" s="1"/>
  <c r="K141" i="180"/>
  <c r="J141" i="180"/>
  <c r="K99" i="180"/>
  <c r="F99" i="181"/>
  <c r="N46" i="237" s="1"/>
  <c r="J99" i="180"/>
  <c r="J140" i="180"/>
  <c r="F140" i="181"/>
  <c r="N82" i="237" s="1"/>
  <c r="K140" i="180"/>
  <c r="K125" i="180"/>
  <c r="F125" i="181"/>
  <c r="N67" i="237" s="1"/>
  <c r="J125" i="180"/>
  <c r="F110" i="181"/>
  <c r="N52" i="237" s="1"/>
  <c r="K110" i="180"/>
  <c r="J110" i="180"/>
  <c r="F90" i="181"/>
  <c r="N37" i="237" s="1"/>
  <c r="J90" i="180"/>
  <c r="K90" i="180"/>
  <c r="J145" i="180"/>
  <c r="K145" i="180"/>
  <c r="F145" i="181"/>
  <c r="N87" i="237" s="1"/>
  <c r="F129" i="181"/>
  <c r="N71" i="237" s="1"/>
  <c r="K129" i="180"/>
  <c r="J129" i="180"/>
  <c r="J58" i="180"/>
  <c r="K58" i="180"/>
  <c r="F58" i="181"/>
  <c r="N5" i="237" s="1"/>
  <c r="F80" i="181"/>
  <c r="N27" i="237" s="1"/>
  <c r="J80" i="180"/>
  <c r="K80" i="180"/>
  <c r="J86" i="180"/>
  <c r="K86" i="180"/>
  <c r="F86" i="181"/>
  <c r="N33" i="237" s="1"/>
  <c r="K95" i="180"/>
  <c r="J95" i="180"/>
  <c r="F95" i="181"/>
  <c r="N42" i="237" s="1"/>
  <c r="K70" i="180"/>
  <c r="F70" i="181"/>
  <c r="N17" i="237" s="1"/>
  <c r="J70" i="180"/>
  <c r="J69" i="180"/>
  <c r="F69" i="181"/>
  <c r="N16" i="237" s="1"/>
  <c r="K69" i="180"/>
  <c r="K146" i="180"/>
  <c r="J146" i="180"/>
  <c r="F146" i="181"/>
  <c r="N88" i="237" s="1"/>
  <c r="J92" i="180"/>
  <c r="K92" i="180"/>
  <c r="F92" i="181"/>
  <c r="N39" i="237" s="1"/>
  <c r="K66" i="180"/>
  <c r="J66" i="180"/>
  <c r="F66" i="181"/>
  <c r="N13" i="237" s="1"/>
  <c r="K60" i="180"/>
  <c r="F60" i="181"/>
  <c r="N7" i="237" s="1"/>
  <c r="J60" i="180"/>
  <c r="J127" i="180"/>
  <c r="K127" i="180"/>
  <c r="F127" i="181"/>
  <c r="N69" i="237" s="1"/>
  <c r="F130" i="181"/>
  <c r="N72" i="237" s="1"/>
  <c r="K130" i="180"/>
  <c r="J130" i="180"/>
  <c r="J109" i="180"/>
  <c r="K109" i="180"/>
  <c r="F109" i="181"/>
  <c r="N51" i="237" s="1"/>
  <c r="K98" i="180"/>
  <c r="J98" i="180"/>
  <c r="F98" i="181"/>
  <c r="N45" i="237" s="1"/>
  <c r="F121" i="181"/>
  <c r="N63" i="237" s="1"/>
  <c r="K121" i="180"/>
  <c r="J121" i="180"/>
  <c r="F114" i="181"/>
  <c r="N56" i="237" s="1"/>
  <c r="K114" i="180"/>
  <c r="J114" i="180"/>
  <c r="K133" i="180"/>
  <c r="J133" i="180"/>
  <c r="F133" i="181"/>
  <c r="N75" i="237" s="1"/>
  <c r="J132" i="180"/>
  <c r="K132" i="180"/>
  <c r="F132" i="181"/>
  <c r="N74" i="237" s="1"/>
  <c r="J144" i="180"/>
  <c r="K144" i="180"/>
  <c r="F144" i="181"/>
  <c r="N86" i="237" s="1"/>
  <c r="J124" i="180"/>
  <c r="K124" i="180"/>
  <c r="F124" i="181"/>
  <c r="N66" i="237" s="1"/>
  <c r="F108" i="181"/>
  <c r="N50" i="237" s="1"/>
  <c r="K108" i="180"/>
  <c r="J108" i="180"/>
  <c r="F75" i="181"/>
  <c r="N22" i="237" s="1"/>
  <c r="K75" i="180"/>
  <c r="J75" i="180"/>
  <c r="K100" i="180"/>
  <c r="J100" i="180"/>
  <c r="F100" i="181"/>
  <c r="N47" i="237" s="1"/>
  <c r="K89" i="180"/>
  <c r="J89" i="180"/>
  <c r="F89" i="181"/>
  <c r="N36" i="237" s="1"/>
  <c r="J142" i="180"/>
  <c r="K142" i="180"/>
  <c r="F142" i="181"/>
  <c r="N84" i="237" s="1"/>
  <c r="F97" i="181"/>
  <c r="N44" i="237" s="1"/>
  <c r="J97" i="180"/>
  <c r="K97" i="180"/>
  <c r="K148" i="180"/>
  <c r="J148" i="180"/>
  <c r="F148" i="181"/>
  <c r="N90" i="237" s="1"/>
  <c r="K79" i="180"/>
  <c r="J79" i="180"/>
  <c r="F79" i="181"/>
  <c r="N26" i="237" s="1"/>
  <c r="F65" i="181"/>
  <c r="N12" i="237" s="1"/>
  <c r="J65" i="180"/>
  <c r="K65" i="180"/>
  <c r="F84" i="181"/>
  <c r="N31" i="237" s="1"/>
  <c r="J84" i="180"/>
  <c r="K84" i="180"/>
  <c r="K81" i="180"/>
  <c r="F81" i="181"/>
  <c r="N28" i="237" s="1"/>
  <c r="J81" i="180"/>
  <c r="F59" i="180"/>
  <c r="K59" i="177"/>
  <c r="J59" i="177"/>
  <c r="K78" i="180"/>
  <c r="J78" i="180"/>
  <c r="F78" i="181"/>
  <c r="N25" i="237" s="1"/>
  <c r="F117" i="181"/>
  <c r="N59" i="237" s="1"/>
  <c r="J117" i="180"/>
  <c r="K117" i="180"/>
  <c r="K137" i="180"/>
  <c r="J137" i="180"/>
  <c r="F137" i="181"/>
  <c r="N79" i="237" s="1"/>
  <c r="F74" i="181"/>
  <c r="N21" i="237" s="1"/>
  <c r="J74" i="180"/>
  <c r="K74" i="180"/>
  <c r="J123" i="180"/>
  <c r="K123" i="180"/>
  <c r="F123" i="181"/>
  <c r="N65" i="237" s="1"/>
  <c r="F57" i="180"/>
  <c r="L4" i="237" s="1"/>
  <c r="J94" i="180"/>
  <c r="K94" i="180"/>
  <c r="F94" i="181"/>
  <c r="N41" i="237" s="1"/>
  <c r="J136" i="180"/>
  <c r="F136" i="181"/>
  <c r="N78" i="237" s="1"/>
  <c r="K136" i="180"/>
  <c r="J139" i="180"/>
  <c r="K139" i="180"/>
  <c r="F139" i="181"/>
  <c r="N81" i="237" s="1"/>
  <c r="J91" i="180"/>
  <c r="K91" i="180"/>
  <c r="F91" i="181"/>
  <c r="N38" i="237" s="1"/>
  <c r="K77" i="180"/>
  <c r="J77" i="180"/>
  <c r="F77" i="181"/>
  <c r="N24" i="237" s="1"/>
  <c r="J143" i="180"/>
  <c r="F143" i="181"/>
  <c r="N85" i="237" s="1"/>
  <c r="K143" i="180"/>
  <c r="J111" i="180"/>
  <c r="K111" i="180"/>
  <c r="F111" i="181"/>
  <c r="N53" i="237" s="1"/>
  <c r="F113" i="181"/>
  <c r="N55" i="237" s="1"/>
  <c r="J113" i="180"/>
  <c r="K113" i="180"/>
  <c r="K135" i="180"/>
  <c r="J135" i="180"/>
  <c r="F135" i="181"/>
  <c r="N77" i="237" s="1"/>
  <c r="F93" i="181"/>
  <c r="N40" i="237" s="1"/>
  <c r="J93" i="180"/>
  <c r="K93" i="180"/>
  <c r="J76" i="180"/>
  <c r="K76" i="180"/>
  <c r="F76" i="181"/>
  <c r="N23" i="237" s="1"/>
  <c r="J128" i="180"/>
  <c r="K128" i="180"/>
  <c r="F128" i="181"/>
  <c r="N70" i="237" s="1"/>
  <c r="K68" i="180"/>
  <c r="J68" i="180"/>
  <c r="F68" i="181"/>
  <c r="N15" i="237" s="1"/>
  <c r="K134" i="180"/>
  <c r="J134" i="180"/>
  <c r="F134" i="181"/>
  <c r="N76" i="237" s="1"/>
  <c r="F85" i="181"/>
  <c r="N32" i="237" s="1"/>
  <c r="K85" i="180"/>
  <c r="J85" i="180"/>
  <c r="K131" i="180"/>
  <c r="F131" i="181"/>
  <c r="N73" i="237" s="1"/>
  <c r="J131" i="180"/>
  <c r="J118" i="180"/>
  <c r="K118" i="180"/>
  <c r="F118" i="181"/>
  <c r="N60" i="237" s="1"/>
  <c r="J71" i="180"/>
  <c r="K71" i="180"/>
  <c r="F71" i="181"/>
  <c r="N18" i="237" s="1"/>
  <c r="J96" i="180"/>
  <c r="F96" i="181"/>
  <c r="N43" i="237" s="1"/>
  <c r="K96" i="180"/>
  <c r="J87" i="180"/>
  <c r="K87" i="180"/>
  <c r="F87" i="181"/>
  <c r="N34" i="237" s="1"/>
  <c r="F147" i="181"/>
  <c r="N89" i="237" s="1"/>
  <c r="J147" i="180"/>
  <c r="K147" i="180"/>
  <c r="J120" i="180"/>
  <c r="F120" i="181"/>
  <c r="N62" i="237" s="1"/>
  <c r="K120" i="180"/>
  <c r="K73" i="180"/>
  <c r="J73" i="180"/>
  <c r="F73" i="181"/>
  <c r="N20" i="237" s="1"/>
  <c r="J126" i="180"/>
  <c r="K126" i="180"/>
  <c r="F126" i="181"/>
  <c r="N68" i="237" s="1"/>
  <c r="J138" i="180"/>
  <c r="F138" i="181"/>
  <c r="N80" i="237" s="1"/>
  <c r="K138" i="180"/>
  <c r="J72" i="180"/>
  <c r="K72" i="180"/>
  <c r="F72" i="181"/>
  <c r="N19" i="237" s="1"/>
  <c r="K119" i="180"/>
  <c r="F119" i="181"/>
  <c r="N61" i="237" s="1"/>
  <c r="J119" i="180"/>
  <c r="K112" i="180"/>
  <c r="J112" i="180"/>
  <c r="F112" i="181"/>
  <c r="N54" i="237" s="1"/>
  <c r="J106" i="180"/>
  <c r="F106" i="181"/>
  <c r="N48" i="237" s="1"/>
  <c r="K106" i="180"/>
  <c r="K67" i="180"/>
  <c r="J67" i="180"/>
  <c r="F67" i="181"/>
  <c r="N14" i="237" s="1"/>
  <c r="K82" i="180"/>
  <c r="J82" i="180"/>
  <c r="F82" i="181"/>
  <c r="N29" i="237" s="1"/>
  <c r="F122" i="181"/>
  <c r="N64" i="237" s="1"/>
  <c r="K122" i="180"/>
  <c r="J122" i="180"/>
  <c r="F115" i="181"/>
  <c r="N57" i="237" s="1"/>
  <c r="J115" i="180"/>
  <c r="K115" i="180"/>
  <c r="J88" i="180"/>
  <c r="K88" i="180"/>
  <c r="F88" i="181"/>
  <c r="N35" i="237" s="1"/>
  <c r="K107" i="180"/>
  <c r="J107" i="180"/>
  <c r="F107" i="181"/>
  <c r="N49" i="237" s="1"/>
  <c r="J83" i="180"/>
  <c r="F83" i="181"/>
  <c r="N30" i="237" s="1"/>
  <c r="K83" i="180"/>
  <c r="J64" i="180"/>
  <c r="F64" i="181"/>
  <c r="N11" i="237" s="1"/>
  <c r="K64" i="180"/>
  <c r="J149" i="176"/>
  <c r="J61" i="180"/>
  <c r="K61" i="180"/>
  <c r="F61" i="181"/>
  <c r="N8" i="237" s="1"/>
  <c r="L149" i="191"/>
  <c r="L149" i="234"/>
  <c r="L149" i="233"/>
  <c r="L149" i="213"/>
  <c r="L149" i="195"/>
  <c r="L149" i="232"/>
  <c r="L149" i="218"/>
  <c r="L149" i="204"/>
  <c r="L149" i="201"/>
  <c r="L149" i="203"/>
  <c r="L149" i="235"/>
  <c r="L149" i="225"/>
  <c r="L149" i="193"/>
  <c r="L149" i="227"/>
  <c r="L149" i="212"/>
  <c r="L149" i="188"/>
  <c r="L149" i="194"/>
  <c r="L149" i="223"/>
  <c r="L149" i="226"/>
  <c r="L149" i="208"/>
  <c r="L149" i="192"/>
  <c r="L149" i="187"/>
  <c r="L149" i="210"/>
  <c r="L149" i="216"/>
  <c r="L149" i="199"/>
  <c r="L149" i="222"/>
  <c r="L149" i="220"/>
  <c r="L149" i="190"/>
  <c r="L149" i="236"/>
  <c r="L149" i="200"/>
  <c r="L149" i="206"/>
  <c r="L149" i="229"/>
  <c r="L149" i="224"/>
  <c r="L149" i="215"/>
  <c r="L149" i="202"/>
  <c r="L149" i="231"/>
  <c r="L149" i="209"/>
  <c r="L149" i="198"/>
  <c r="L149" i="214"/>
  <c r="L149" i="221"/>
  <c r="L149" i="211"/>
  <c r="L149" i="189"/>
  <c r="L149" i="196"/>
  <c r="L149" i="185"/>
  <c r="L149" i="230"/>
  <c r="L149" i="205"/>
  <c r="L149" i="207"/>
  <c r="L149" i="186"/>
  <c r="L149" i="228"/>
  <c r="L149" i="197"/>
  <c r="L149" i="219"/>
  <c r="L149" i="217"/>
  <c r="L149" i="181"/>
  <c r="L149" i="180"/>
  <c r="L149" i="182"/>
  <c r="L149" i="184"/>
  <c r="L149" i="183"/>
  <c r="L149" i="177"/>
  <c r="H49" i="177" s="1"/>
  <c r="L149" i="176"/>
  <c r="CL99" i="118"/>
  <c r="CL10" i="118"/>
  <c r="G87" i="115" s="1"/>
  <c r="J54" i="22"/>
  <c r="J53" i="22"/>
  <c r="J52" i="22"/>
  <c r="H54" i="22"/>
  <c r="H53" i="22"/>
  <c r="F63" i="182" l="1"/>
  <c r="N10" i="237"/>
  <c r="L6" i="237"/>
  <c r="K63" i="181"/>
  <c r="J63" i="181"/>
  <c r="F116" i="182"/>
  <c r="K116" i="181"/>
  <c r="J116" i="181"/>
  <c r="K149" i="177"/>
  <c r="J149" i="177"/>
  <c r="F146" i="182"/>
  <c r="P88" i="237" s="1"/>
  <c r="K146" i="181"/>
  <c r="J146" i="181"/>
  <c r="J110" i="181"/>
  <c r="K110" i="181"/>
  <c r="F110" i="182"/>
  <c r="P52" i="237" s="1"/>
  <c r="F122" i="182"/>
  <c r="P64" i="237" s="1"/>
  <c r="K122" i="181"/>
  <c r="J122" i="181"/>
  <c r="F72" i="182"/>
  <c r="P19" i="237" s="1"/>
  <c r="J72" i="181"/>
  <c r="K72" i="181"/>
  <c r="J131" i="181"/>
  <c r="K131" i="181"/>
  <c r="F131" i="182"/>
  <c r="P73" i="237" s="1"/>
  <c r="J77" i="181"/>
  <c r="K77" i="181"/>
  <c r="F77" i="182"/>
  <c r="P24" i="237" s="1"/>
  <c r="K57" i="180"/>
  <c r="F57" i="181"/>
  <c r="N4" i="237" s="1"/>
  <c r="F149" i="180"/>
  <c r="L91" i="237" s="1"/>
  <c r="J57" i="180"/>
  <c r="J79" i="181"/>
  <c r="F79" i="182"/>
  <c r="P26" i="237" s="1"/>
  <c r="K79" i="181"/>
  <c r="F80" i="182"/>
  <c r="P27" i="237" s="1"/>
  <c r="K80" i="181"/>
  <c r="J80" i="181"/>
  <c r="J130" i="181"/>
  <c r="K130" i="181"/>
  <c r="F130" i="182"/>
  <c r="P72" i="237" s="1"/>
  <c r="F100" i="182"/>
  <c r="P47" i="237" s="1"/>
  <c r="J100" i="181"/>
  <c r="K100" i="181"/>
  <c r="F82" i="182"/>
  <c r="P29" i="237" s="1"/>
  <c r="K82" i="181"/>
  <c r="J82" i="181"/>
  <c r="K133" i="181"/>
  <c r="J133" i="181"/>
  <c r="F133" i="182"/>
  <c r="P75" i="237" s="1"/>
  <c r="J83" i="181"/>
  <c r="F83" i="182"/>
  <c r="P30" i="237" s="1"/>
  <c r="K83" i="181"/>
  <c r="K87" i="181"/>
  <c r="J87" i="181"/>
  <c r="F87" i="182"/>
  <c r="P34" i="237" s="1"/>
  <c r="F93" i="182"/>
  <c r="P40" i="237" s="1"/>
  <c r="J93" i="181"/>
  <c r="K93" i="181"/>
  <c r="J91" i="181"/>
  <c r="F91" i="182"/>
  <c r="P38" i="237" s="1"/>
  <c r="K91" i="181"/>
  <c r="J148" i="181"/>
  <c r="F148" i="182"/>
  <c r="P90" i="237" s="1"/>
  <c r="K148" i="181"/>
  <c r="F127" i="182"/>
  <c r="P69" i="237" s="1"/>
  <c r="J127" i="181"/>
  <c r="K127" i="181"/>
  <c r="K69" i="181"/>
  <c r="J69" i="181"/>
  <c r="F69" i="182"/>
  <c r="P16" i="237" s="1"/>
  <c r="F75" i="182"/>
  <c r="P22" i="237" s="1"/>
  <c r="J75" i="181"/>
  <c r="K75" i="181"/>
  <c r="K140" i="181"/>
  <c r="F140" i="182"/>
  <c r="P82" i="237" s="1"/>
  <c r="J140" i="181"/>
  <c r="J123" i="181"/>
  <c r="K123" i="181"/>
  <c r="F123" i="182"/>
  <c r="P65" i="237" s="1"/>
  <c r="F67" i="182"/>
  <c r="P14" i="237" s="1"/>
  <c r="J67" i="181"/>
  <c r="K67" i="181"/>
  <c r="K138" i="181"/>
  <c r="J138" i="181"/>
  <c r="F138" i="182"/>
  <c r="P80" i="237" s="1"/>
  <c r="F85" i="182"/>
  <c r="P32" i="237" s="1"/>
  <c r="J85" i="181"/>
  <c r="K85" i="181"/>
  <c r="K135" i="181"/>
  <c r="J135" i="181"/>
  <c r="F135" i="182"/>
  <c r="P77" i="237" s="1"/>
  <c r="K107" i="181"/>
  <c r="J107" i="181"/>
  <c r="F107" i="182"/>
  <c r="P49" i="237" s="1"/>
  <c r="K134" i="181"/>
  <c r="J134" i="181"/>
  <c r="F134" i="182"/>
  <c r="P76" i="237" s="1"/>
  <c r="J59" i="180"/>
  <c r="K59" i="180"/>
  <c r="F59" i="181"/>
  <c r="N6" i="237" s="1"/>
  <c r="J126" i="181"/>
  <c r="K126" i="181"/>
  <c r="F126" i="182"/>
  <c r="P68" i="237" s="1"/>
  <c r="J139" i="181"/>
  <c r="F139" i="182"/>
  <c r="P81" i="237" s="1"/>
  <c r="K139" i="181"/>
  <c r="F74" i="182"/>
  <c r="P21" i="237" s="1"/>
  <c r="K74" i="181"/>
  <c r="J74" i="181"/>
  <c r="F114" i="182"/>
  <c r="P56" i="237" s="1"/>
  <c r="K114" i="181"/>
  <c r="J114" i="181"/>
  <c r="F70" i="182"/>
  <c r="P17" i="237" s="1"/>
  <c r="J70" i="181"/>
  <c r="K70" i="181"/>
  <c r="F129" i="182"/>
  <c r="P71" i="237" s="1"/>
  <c r="K129" i="181"/>
  <c r="J129" i="181"/>
  <c r="F58" i="182"/>
  <c r="P5" i="237" s="1"/>
  <c r="K58" i="181"/>
  <c r="J58" i="181"/>
  <c r="J96" i="181"/>
  <c r="K96" i="181"/>
  <c r="F96" i="182"/>
  <c r="P43" i="237" s="1"/>
  <c r="J137" i="181"/>
  <c r="K137" i="181"/>
  <c r="F137" i="182"/>
  <c r="P79" i="237" s="1"/>
  <c r="F81" i="182"/>
  <c r="P28" i="237" s="1"/>
  <c r="J81" i="181"/>
  <c r="K81" i="181"/>
  <c r="F108" i="182"/>
  <c r="P50" i="237" s="1"/>
  <c r="J108" i="181"/>
  <c r="K108" i="181"/>
  <c r="J60" i="181"/>
  <c r="K60" i="181"/>
  <c r="F60" i="182"/>
  <c r="P7" i="237" s="1"/>
  <c r="F145" i="182"/>
  <c r="P87" i="237" s="1"/>
  <c r="J145" i="181"/>
  <c r="K145" i="181"/>
  <c r="F99" i="182"/>
  <c r="P46" i="237" s="1"/>
  <c r="J99" i="181"/>
  <c r="K99" i="181"/>
  <c r="F78" i="182"/>
  <c r="P25" i="237" s="1"/>
  <c r="K78" i="181"/>
  <c r="J78" i="181"/>
  <c r="F147" i="182"/>
  <c r="P89" i="237" s="1"/>
  <c r="K147" i="181"/>
  <c r="J147" i="181"/>
  <c r="J88" i="181"/>
  <c r="K88" i="181"/>
  <c r="F88" i="182"/>
  <c r="P35" i="237" s="1"/>
  <c r="J106" i="181"/>
  <c r="F106" i="182"/>
  <c r="P48" i="237" s="1"/>
  <c r="K106" i="181"/>
  <c r="J68" i="181"/>
  <c r="K68" i="181"/>
  <c r="F68" i="182"/>
  <c r="P15" i="237" s="1"/>
  <c r="F97" i="182"/>
  <c r="P44" i="237" s="1"/>
  <c r="K97" i="181"/>
  <c r="J97" i="181"/>
  <c r="F124" i="182"/>
  <c r="P66" i="237" s="1"/>
  <c r="K124" i="181"/>
  <c r="J124" i="181"/>
  <c r="J95" i="181"/>
  <c r="F95" i="182"/>
  <c r="P42" i="237" s="1"/>
  <c r="K95" i="181"/>
  <c r="F73" i="182"/>
  <c r="P20" i="237" s="1"/>
  <c r="K73" i="181"/>
  <c r="J73" i="181"/>
  <c r="J71" i="181"/>
  <c r="F71" i="182"/>
  <c r="P18" i="237" s="1"/>
  <c r="K71" i="181"/>
  <c r="J113" i="181"/>
  <c r="K113" i="181"/>
  <c r="F113" i="182"/>
  <c r="P55" i="237" s="1"/>
  <c r="J142" i="181"/>
  <c r="F142" i="182"/>
  <c r="P84" i="237" s="1"/>
  <c r="K142" i="181"/>
  <c r="F121" i="182"/>
  <c r="P63" i="237" s="1"/>
  <c r="J121" i="181"/>
  <c r="K121" i="181"/>
  <c r="F66" i="182"/>
  <c r="P13" i="237" s="1"/>
  <c r="J66" i="181"/>
  <c r="K66" i="181"/>
  <c r="F112" i="182"/>
  <c r="P54" i="237" s="1"/>
  <c r="K112" i="181"/>
  <c r="J112" i="181"/>
  <c r="F111" i="182"/>
  <c r="P53" i="237" s="1"/>
  <c r="K111" i="181"/>
  <c r="J111" i="181"/>
  <c r="K136" i="181"/>
  <c r="J136" i="181"/>
  <c r="F136" i="182"/>
  <c r="P78" i="237" s="1"/>
  <c r="F98" i="182"/>
  <c r="P45" i="237" s="1"/>
  <c r="K98" i="181"/>
  <c r="J98" i="181"/>
  <c r="K128" i="181"/>
  <c r="F128" i="182"/>
  <c r="P70" i="237" s="1"/>
  <c r="J128" i="181"/>
  <c r="K84" i="181"/>
  <c r="J84" i="181"/>
  <c r="F84" i="182"/>
  <c r="P31" i="237" s="1"/>
  <c r="F144" i="182"/>
  <c r="P86" i="237" s="1"/>
  <c r="K144" i="181"/>
  <c r="J144" i="181"/>
  <c r="F86" i="182"/>
  <c r="P33" i="237" s="1"/>
  <c r="K86" i="181"/>
  <c r="J86" i="181"/>
  <c r="J141" i="181"/>
  <c r="K141" i="181"/>
  <c r="F141" i="182"/>
  <c r="P83" i="237" s="1"/>
  <c r="F118" i="182"/>
  <c r="P60" i="237" s="1"/>
  <c r="J118" i="181"/>
  <c r="K118" i="181"/>
  <c r="F94" i="182"/>
  <c r="P41" i="237" s="1"/>
  <c r="K94" i="181"/>
  <c r="J94" i="181"/>
  <c r="J117" i="181"/>
  <c r="F117" i="182"/>
  <c r="P59" i="237" s="1"/>
  <c r="K117" i="181"/>
  <c r="F89" i="182"/>
  <c r="P36" i="237" s="1"/>
  <c r="K89" i="181"/>
  <c r="J89" i="181"/>
  <c r="K92" i="181"/>
  <c r="F92" i="182"/>
  <c r="P39" i="237" s="1"/>
  <c r="J92" i="181"/>
  <c r="F90" i="182"/>
  <c r="P37" i="237" s="1"/>
  <c r="J90" i="181"/>
  <c r="K90" i="181"/>
  <c r="F62" i="182"/>
  <c r="P9" i="237" s="1"/>
  <c r="J62" i="181"/>
  <c r="K62" i="181"/>
  <c r="F115" i="182"/>
  <c r="P57" i="237" s="1"/>
  <c r="K115" i="181"/>
  <c r="J115" i="181"/>
  <c r="K120" i="181"/>
  <c r="F120" i="182"/>
  <c r="P62" i="237" s="1"/>
  <c r="J120" i="181"/>
  <c r="J109" i="181"/>
  <c r="K109" i="181"/>
  <c r="F109" i="182"/>
  <c r="P51" i="237" s="1"/>
  <c r="J125" i="181"/>
  <c r="F125" i="182"/>
  <c r="P67" i="237" s="1"/>
  <c r="K125" i="181"/>
  <c r="J119" i="181"/>
  <c r="K119" i="181"/>
  <c r="F119" i="182"/>
  <c r="P61" i="237" s="1"/>
  <c r="K76" i="181"/>
  <c r="J76" i="181"/>
  <c r="F76" i="182"/>
  <c r="P23" i="237" s="1"/>
  <c r="K143" i="181"/>
  <c r="F143" i="182"/>
  <c r="P85" i="237" s="1"/>
  <c r="J143" i="181"/>
  <c r="J65" i="181"/>
  <c r="F65" i="182"/>
  <c r="P12" i="237" s="1"/>
  <c r="K65" i="181"/>
  <c r="F132" i="182"/>
  <c r="P74" i="237" s="1"/>
  <c r="J132" i="181"/>
  <c r="K132" i="181"/>
  <c r="F64" i="182"/>
  <c r="P11" i="237" s="1"/>
  <c r="J64" i="181"/>
  <c r="K64" i="181"/>
  <c r="J61" i="181"/>
  <c r="K61" i="181"/>
  <c r="F61" i="182"/>
  <c r="P8" i="237" s="1"/>
  <c r="G41" i="186"/>
  <c r="H49" i="186"/>
  <c r="H49" i="229"/>
  <c r="G41" i="229"/>
  <c r="H49" i="188"/>
  <c r="G41" i="188"/>
  <c r="H49" i="207"/>
  <c r="G41" i="207"/>
  <c r="G41" i="206"/>
  <c r="H49" i="206"/>
  <c r="G41" i="212"/>
  <c r="H49" i="212"/>
  <c r="G41" i="205"/>
  <c r="H49" i="205"/>
  <c r="G41" i="200"/>
  <c r="H49" i="200"/>
  <c r="G41" i="227"/>
  <c r="H49" i="227"/>
  <c r="G41" i="230"/>
  <c r="H49" i="230"/>
  <c r="H49" i="236"/>
  <c r="G41" i="236"/>
  <c r="G41" i="193"/>
  <c r="H49" i="193"/>
  <c r="G41" i="185"/>
  <c r="H49" i="185"/>
  <c r="G41" i="190"/>
  <c r="H49" i="190"/>
  <c r="G41" i="225"/>
  <c r="H49" i="225"/>
  <c r="H49" i="196"/>
  <c r="G41" i="196"/>
  <c r="G41" i="220"/>
  <c r="H49" i="220"/>
  <c r="G41" i="235"/>
  <c r="H49" i="235"/>
  <c r="G41" i="189"/>
  <c r="H49" i="189"/>
  <c r="G41" i="222"/>
  <c r="H49" i="222"/>
  <c r="G41" i="203"/>
  <c r="H49" i="203"/>
  <c r="G41" i="211"/>
  <c r="H49" i="211"/>
  <c r="G41" i="199"/>
  <c r="H49" i="199"/>
  <c r="H49" i="201"/>
  <c r="G41" i="201"/>
  <c r="G41" i="221"/>
  <c r="H49" i="221"/>
  <c r="G41" i="216"/>
  <c r="H49" i="216"/>
  <c r="G41" i="204"/>
  <c r="H49" i="204"/>
  <c r="G41" i="214"/>
  <c r="H49" i="214"/>
  <c r="G41" i="210"/>
  <c r="H49" i="210"/>
  <c r="H49" i="218"/>
  <c r="G41" i="218"/>
  <c r="H49" i="198"/>
  <c r="G41" i="198"/>
  <c r="G41" i="187"/>
  <c r="H49" i="187"/>
  <c r="H49" i="232"/>
  <c r="G41" i="232"/>
  <c r="G41" i="209"/>
  <c r="H49" i="209"/>
  <c r="G41" i="192"/>
  <c r="H49" i="192"/>
  <c r="G41" i="195"/>
  <c r="H49" i="195"/>
  <c r="H49" i="217"/>
  <c r="G41" i="217"/>
  <c r="H49" i="231"/>
  <c r="G41" i="231"/>
  <c r="H49" i="208"/>
  <c r="G41" i="208"/>
  <c r="H49" i="213"/>
  <c r="G41" i="213"/>
  <c r="G41" i="219"/>
  <c r="H49" i="219"/>
  <c r="G41" i="202"/>
  <c r="H49" i="202"/>
  <c r="G41" i="226"/>
  <c r="H49" i="226"/>
  <c r="G41" i="233"/>
  <c r="H49" i="233"/>
  <c r="H49" i="197"/>
  <c r="G41" i="197"/>
  <c r="H49" i="215"/>
  <c r="G41" i="215"/>
  <c r="G41" i="223"/>
  <c r="H49" i="223"/>
  <c r="G41" i="234"/>
  <c r="H49" i="234"/>
  <c r="H49" i="228"/>
  <c r="G41" i="228"/>
  <c r="H49" i="224"/>
  <c r="G41" i="224"/>
  <c r="H49" i="194"/>
  <c r="G41" i="194"/>
  <c r="G41" i="191"/>
  <c r="H49" i="191"/>
  <c r="G41" i="182"/>
  <c r="H49" i="182"/>
  <c r="G41" i="184"/>
  <c r="H49" i="184"/>
  <c r="G41" i="180"/>
  <c r="H49" i="180"/>
  <c r="G41" i="181"/>
  <c r="H49" i="181"/>
  <c r="G41" i="183"/>
  <c r="H49" i="183"/>
  <c r="G41" i="177"/>
  <c r="H49" i="176"/>
  <c r="G41" i="176"/>
  <c r="CK99" i="118"/>
  <c r="CK10" i="118"/>
  <c r="G86" i="115" s="1"/>
  <c r="A107" i="22"/>
  <c r="A108" i="22" s="1"/>
  <c r="A109" i="22" s="1"/>
  <c r="A110" i="22" s="1"/>
  <c r="A111" i="22" s="1"/>
  <c r="A112" i="22" s="1"/>
  <c r="A113" i="22" s="1"/>
  <c r="A114" i="22" s="1"/>
  <c r="A115" i="22" s="1"/>
  <c r="A116" i="22" s="1"/>
  <c r="A117" i="22" s="1"/>
  <c r="A118" i="22" s="1"/>
  <c r="A119" i="22" s="1"/>
  <c r="A120" i="22" s="1"/>
  <c r="A121" i="22" s="1"/>
  <c r="A122" i="22" s="1"/>
  <c r="A123" i="22" s="1"/>
  <c r="A124" i="22" s="1"/>
  <c r="A125" i="22" s="1"/>
  <c r="A126" i="22" s="1"/>
  <c r="A127" i="22" s="1"/>
  <c r="A128" i="22" s="1"/>
  <c r="A129" i="22" s="1"/>
  <c r="A130" i="22" s="1"/>
  <c r="A131" i="22" s="1"/>
  <c r="A132" i="22" s="1"/>
  <c r="A133" i="22" s="1"/>
  <c r="A134" i="22" s="1"/>
  <c r="A135" i="22" s="1"/>
  <c r="A136" i="22" s="1"/>
  <c r="A137" i="22" s="1"/>
  <c r="A138" i="22" s="1"/>
  <c r="A139" i="22" s="1"/>
  <c r="A140" i="22" s="1"/>
  <c r="A141" i="22" s="1"/>
  <c r="A142" i="22" s="1"/>
  <c r="A143" i="22" s="1"/>
  <c r="A144" i="22" s="1"/>
  <c r="A145" i="22" s="1"/>
  <c r="A146" i="22" s="1"/>
  <c r="A147" i="22" s="1"/>
  <c r="A148" i="22" s="1"/>
  <c r="K116" i="182" l="1"/>
  <c r="P58" i="237"/>
  <c r="K63" i="182"/>
  <c r="P10" i="237"/>
  <c r="J63" i="182"/>
  <c r="F63" i="183"/>
  <c r="F116" i="183"/>
  <c r="J149" i="180"/>
  <c r="J116" i="182"/>
  <c r="J115" i="182"/>
  <c r="K115" i="182"/>
  <c r="F115" i="183"/>
  <c r="R57" i="237" s="1"/>
  <c r="J112" i="182"/>
  <c r="K112" i="182"/>
  <c r="F112" i="183"/>
  <c r="R54" i="237" s="1"/>
  <c r="J106" i="182"/>
  <c r="K106" i="182"/>
  <c r="F106" i="183"/>
  <c r="R48" i="237" s="1"/>
  <c r="K145" i="182"/>
  <c r="F145" i="183"/>
  <c r="R87" i="237" s="1"/>
  <c r="J145" i="182"/>
  <c r="K139" i="182"/>
  <c r="J139" i="182"/>
  <c r="F139" i="183"/>
  <c r="R81" i="237" s="1"/>
  <c r="J100" i="182"/>
  <c r="K100" i="182"/>
  <c r="F100" i="183"/>
  <c r="R47" i="237" s="1"/>
  <c r="J60" i="182"/>
  <c r="F60" i="183"/>
  <c r="R7" i="237" s="1"/>
  <c r="K60" i="182"/>
  <c r="J93" i="182"/>
  <c r="F93" i="183"/>
  <c r="R40" i="237" s="1"/>
  <c r="K93" i="182"/>
  <c r="F130" i="183"/>
  <c r="R72" i="237" s="1"/>
  <c r="K130" i="182"/>
  <c r="J130" i="182"/>
  <c r="F131" i="183"/>
  <c r="R73" i="237" s="1"/>
  <c r="J131" i="182"/>
  <c r="K131" i="182"/>
  <c r="F62" i="183"/>
  <c r="R9" i="237" s="1"/>
  <c r="J62" i="182"/>
  <c r="K62" i="182"/>
  <c r="J128" i="182"/>
  <c r="F128" i="183"/>
  <c r="R70" i="237" s="1"/>
  <c r="K128" i="182"/>
  <c r="J66" i="182"/>
  <c r="K66" i="182"/>
  <c r="F66" i="183"/>
  <c r="R13" i="237" s="1"/>
  <c r="J85" i="182"/>
  <c r="F85" i="183"/>
  <c r="R32" i="237" s="1"/>
  <c r="K85" i="182"/>
  <c r="F69" i="183"/>
  <c r="R16" i="237" s="1"/>
  <c r="K69" i="182"/>
  <c r="J69" i="182"/>
  <c r="F95" i="183"/>
  <c r="R42" i="237" s="1"/>
  <c r="K95" i="182"/>
  <c r="J95" i="182"/>
  <c r="F138" i="183"/>
  <c r="R80" i="237" s="1"/>
  <c r="J138" i="182"/>
  <c r="K138" i="182"/>
  <c r="K118" i="182"/>
  <c r="J118" i="182"/>
  <c r="F118" i="183"/>
  <c r="R60" i="237" s="1"/>
  <c r="F129" i="183"/>
  <c r="R71" i="237" s="1"/>
  <c r="J129" i="182"/>
  <c r="K129" i="182"/>
  <c r="J59" i="181"/>
  <c r="K59" i="181"/>
  <c r="F59" i="182"/>
  <c r="P6" i="237" s="1"/>
  <c r="F83" i="183"/>
  <c r="R30" i="237" s="1"/>
  <c r="K83" i="182"/>
  <c r="J83" i="182"/>
  <c r="F80" i="183"/>
  <c r="R27" i="237" s="1"/>
  <c r="K80" i="182"/>
  <c r="J80" i="182"/>
  <c r="F72" i="183"/>
  <c r="R19" i="237" s="1"/>
  <c r="K72" i="182"/>
  <c r="J72" i="182"/>
  <c r="J98" i="182"/>
  <c r="K98" i="182"/>
  <c r="F98" i="183"/>
  <c r="R45" i="237" s="1"/>
  <c r="K147" i="182"/>
  <c r="F147" i="183"/>
  <c r="R89" i="237" s="1"/>
  <c r="J147" i="182"/>
  <c r="J90" i="182"/>
  <c r="K90" i="182"/>
  <c r="F90" i="183"/>
  <c r="R37" i="237" s="1"/>
  <c r="J132" i="182"/>
  <c r="F132" i="183"/>
  <c r="R74" i="237" s="1"/>
  <c r="K132" i="182"/>
  <c r="F109" i="183"/>
  <c r="R51" i="237" s="1"/>
  <c r="K109" i="182"/>
  <c r="J109" i="182"/>
  <c r="J92" i="182"/>
  <c r="K92" i="182"/>
  <c r="F92" i="183"/>
  <c r="R39" i="237" s="1"/>
  <c r="J136" i="182"/>
  <c r="F136" i="183"/>
  <c r="R78" i="237" s="1"/>
  <c r="K136" i="182"/>
  <c r="J142" i="182"/>
  <c r="K142" i="182"/>
  <c r="F142" i="183"/>
  <c r="R84" i="237" s="1"/>
  <c r="K124" i="182"/>
  <c r="F124" i="183"/>
  <c r="R66" i="237" s="1"/>
  <c r="J124" i="182"/>
  <c r="K70" i="182"/>
  <c r="J70" i="182"/>
  <c r="F70" i="183"/>
  <c r="R17" i="237" s="1"/>
  <c r="F134" i="183"/>
  <c r="R76" i="237" s="1"/>
  <c r="J134" i="182"/>
  <c r="K134" i="182"/>
  <c r="J127" i="182"/>
  <c r="F127" i="183"/>
  <c r="R69" i="237" s="1"/>
  <c r="K127" i="182"/>
  <c r="K133" i="182"/>
  <c r="J133" i="182"/>
  <c r="F133" i="183"/>
  <c r="R75" i="237" s="1"/>
  <c r="F79" i="183"/>
  <c r="R26" i="237" s="1"/>
  <c r="K79" i="182"/>
  <c r="J79" i="182"/>
  <c r="K126" i="182"/>
  <c r="F126" i="183"/>
  <c r="R68" i="237" s="1"/>
  <c r="J126" i="182"/>
  <c r="F121" i="183"/>
  <c r="R63" i="237" s="1"/>
  <c r="K121" i="182"/>
  <c r="J121" i="182"/>
  <c r="F108" i="183"/>
  <c r="R50" i="237" s="1"/>
  <c r="J108" i="182"/>
  <c r="K108" i="182"/>
  <c r="K81" i="182"/>
  <c r="F81" i="183"/>
  <c r="R28" i="237" s="1"/>
  <c r="J81" i="182"/>
  <c r="F67" i="183"/>
  <c r="R14" i="237" s="1"/>
  <c r="K67" i="182"/>
  <c r="J67" i="182"/>
  <c r="F122" i="183"/>
  <c r="R64" i="237" s="1"/>
  <c r="J122" i="182"/>
  <c r="K122" i="182"/>
  <c r="F65" i="183"/>
  <c r="R12" i="237" s="1"/>
  <c r="J65" i="182"/>
  <c r="K65" i="182"/>
  <c r="K113" i="182"/>
  <c r="F113" i="183"/>
  <c r="R55" i="237" s="1"/>
  <c r="J113" i="182"/>
  <c r="J78" i="182"/>
  <c r="K78" i="182"/>
  <c r="F78" i="183"/>
  <c r="R25" i="237" s="1"/>
  <c r="F137" i="183"/>
  <c r="R79" i="237" s="1"/>
  <c r="K137" i="182"/>
  <c r="J137" i="182"/>
  <c r="F123" i="183"/>
  <c r="R65" i="237" s="1"/>
  <c r="K123" i="182"/>
  <c r="J123" i="182"/>
  <c r="F148" i="183"/>
  <c r="R90" i="237" s="1"/>
  <c r="J148" i="182"/>
  <c r="K148" i="182"/>
  <c r="J110" i="182"/>
  <c r="K110" i="182"/>
  <c r="F110" i="183"/>
  <c r="R52" i="237" s="1"/>
  <c r="K141" i="182"/>
  <c r="F141" i="183"/>
  <c r="R83" i="237" s="1"/>
  <c r="J141" i="182"/>
  <c r="J86" i="182"/>
  <c r="K86" i="182"/>
  <c r="F86" i="183"/>
  <c r="R33" i="237" s="1"/>
  <c r="K97" i="182"/>
  <c r="F97" i="183"/>
  <c r="R44" i="237" s="1"/>
  <c r="J97" i="182"/>
  <c r="K114" i="182"/>
  <c r="F114" i="183"/>
  <c r="R56" i="237" s="1"/>
  <c r="J114" i="182"/>
  <c r="F107" i="183"/>
  <c r="R49" i="237" s="1"/>
  <c r="K107" i="182"/>
  <c r="J107" i="182"/>
  <c r="K125" i="182"/>
  <c r="F125" i="183"/>
  <c r="R67" i="237" s="1"/>
  <c r="J125" i="182"/>
  <c r="J120" i="182"/>
  <c r="F120" i="183"/>
  <c r="R62" i="237" s="1"/>
  <c r="K120" i="182"/>
  <c r="F89" i="183"/>
  <c r="R36" i="237" s="1"/>
  <c r="J89" i="182"/>
  <c r="K89" i="182"/>
  <c r="F68" i="183"/>
  <c r="R15" i="237" s="1"/>
  <c r="K68" i="182"/>
  <c r="J68" i="182"/>
  <c r="F149" i="181"/>
  <c r="N91" i="237" s="1"/>
  <c r="K57" i="181"/>
  <c r="J57" i="181"/>
  <c r="F57" i="182"/>
  <c r="P4" i="237" s="1"/>
  <c r="F75" i="183"/>
  <c r="R22" i="237" s="1"/>
  <c r="K75" i="182"/>
  <c r="J75" i="182"/>
  <c r="F143" i="183"/>
  <c r="R85" i="237" s="1"/>
  <c r="J143" i="182"/>
  <c r="K143" i="182"/>
  <c r="J111" i="182"/>
  <c r="F111" i="183"/>
  <c r="R53" i="237" s="1"/>
  <c r="K111" i="182"/>
  <c r="J99" i="182"/>
  <c r="F99" i="183"/>
  <c r="R46" i="237" s="1"/>
  <c r="K99" i="182"/>
  <c r="F96" i="183"/>
  <c r="R43" i="237" s="1"/>
  <c r="K96" i="182"/>
  <c r="J96" i="182"/>
  <c r="J91" i="182"/>
  <c r="K91" i="182"/>
  <c r="F91" i="183"/>
  <c r="R38" i="237" s="1"/>
  <c r="J82" i="182"/>
  <c r="K82" i="182"/>
  <c r="F82" i="183"/>
  <c r="R29" i="237" s="1"/>
  <c r="K149" i="180"/>
  <c r="F87" i="183"/>
  <c r="R34" i="237" s="1"/>
  <c r="J87" i="182"/>
  <c r="K87" i="182"/>
  <c r="J117" i="182"/>
  <c r="K117" i="182"/>
  <c r="F117" i="183"/>
  <c r="R59" i="237" s="1"/>
  <c r="F144" i="183"/>
  <c r="R86" i="237" s="1"/>
  <c r="J144" i="182"/>
  <c r="K144" i="182"/>
  <c r="F71" i="183"/>
  <c r="R18" i="237" s="1"/>
  <c r="K71" i="182"/>
  <c r="J71" i="182"/>
  <c r="K74" i="182"/>
  <c r="F74" i="183"/>
  <c r="R21" i="237" s="1"/>
  <c r="J74" i="182"/>
  <c r="F135" i="183"/>
  <c r="R77" i="237" s="1"/>
  <c r="K135" i="182"/>
  <c r="J135" i="182"/>
  <c r="K140" i="182"/>
  <c r="F140" i="183"/>
  <c r="R82" i="237" s="1"/>
  <c r="J140" i="182"/>
  <c r="F77" i="183"/>
  <c r="R24" i="237" s="1"/>
  <c r="J77" i="182"/>
  <c r="K77" i="182"/>
  <c r="F119" i="183"/>
  <c r="R61" i="237" s="1"/>
  <c r="J119" i="182"/>
  <c r="K119" i="182"/>
  <c r="J94" i="182"/>
  <c r="K94" i="182"/>
  <c r="F94" i="183"/>
  <c r="R41" i="237" s="1"/>
  <c r="K73" i="182"/>
  <c r="F73" i="183"/>
  <c r="R20" i="237" s="1"/>
  <c r="J73" i="182"/>
  <c r="K88" i="182"/>
  <c r="J88" i="182"/>
  <c r="F88" i="183"/>
  <c r="R35" i="237" s="1"/>
  <c r="F58" i="183"/>
  <c r="R5" i="237" s="1"/>
  <c r="J58" i="182"/>
  <c r="K58" i="182"/>
  <c r="F76" i="183"/>
  <c r="R23" i="237" s="1"/>
  <c r="K76" i="182"/>
  <c r="J76" i="182"/>
  <c r="F84" i="183"/>
  <c r="R31" i="237" s="1"/>
  <c r="K84" i="182"/>
  <c r="J84" i="182"/>
  <c r="K146" i="182"/>
  <c r="J146" i="182"/>
  <c r="F146" i="183"/>
  <c r="R88" i="237" s="1"/>
  <c r="K64" i="182"/>
  <c r="F64" i="183"/>
  <c r="R11" i="237" s="1"/>
  <c r="J64" i="182"/>
  <c r="K61" i="182"/>
  <c r="F61" i="183"/>
  <c r="R8" i="237" s="1"/>
  <c r="J61" i="182"/>
  <c r="CJ10" i="118"/>
  <c r="G85" i="115" s="1"/>
  <c r="CJ99" i="118"/>
  <c r="D8" i="22"/>
  <c r="D7" i="22"/>
  <c r="D6" i="22"/>
  <c r="D5" i="22"/>
  <c r="K63" i="183" l="1"/>
  <c r="R10" i="237"/>
  <c r="J116" i="183"/>
  <c r="R58" i="237"/>
  <c r="J63" i="183"/>
  <c r="F63" i="184"/>
  <c r="K116" i="183"/>
  <c r="F116" i="184"/>
  <c r="J149" i="181"/>
  <c r="F149" i="182"/>
  <c r="P91" i="237" s="1"/>
  <c r="K149" i="181"/>
  <c r="K122" i="183"/>
  <c r="J122" i="183"/>
  <c r="F122" i="184"/>
  <c r="T64" i="237" s="1"/>
  <c r="J124" i="183"/>
  <c r="K124" i="183"/>
  <c r="F124" i="184"/>
  <c r="T66" i="237" s="1"/>
  <c r="K97" i="183"/>
  <c r="J97" i="183"/>
  <c r="F97" i="184"/>
  <c r="T44" i="237" s="1"/>
  <c r="F123" i="184"/>
  <c r="T65" i="237" s="1"/>
  <c r="J123" i="183"/>
  <c r="K123" i="183"/>
  <c r="J90" i="183"/>
  <c r="K90" i="183"/>
  <c r="F90" i="184"/>
  <c r="T37" i="237" s="1"/>
  <c r="K62" i="183"/>
  <c r="J62" i="183"/>
  <c r="F62" i="184"/>
  <c r="T9" i="237" s="1"/>
  <c r="K139" i="183"/>
  <c r="J139" i="183"/>
  <c r="F139" i="184"/>
  <c r="T81" i="237" s="1"/>
  <c r="K111" i="183"/>
  <c r="J111" i="183"/>
  <c r="F111" i="184"/>
  <c r="T53" i="237" s="1"/>
  <c r="K79" i="183"/>
  <c r="F79" i="184"/>
  <c r="T26" i="237" s="1"/>
  <c r="J79" i="183"/>
  <c r="K142" i="183"/>
  <c r="F142" i="184"/>
  <c r="T84" i="237" s="1"/>
  <c r="J142" i="183"/>
  <c r="K83" i="183"/>
  <c r="F83" i="184"/>
  <c r="T30" i="237" s="1"/>
  <c r="J83" i="183"/>
  <c r="J95" i="183"/>
  <c r="K95" i="183"/>
  <c r="F95" i="184"/>
  <c r="T42" i="237" s="1"/>
  <c r="K87" i="183"/>
  <c r="F87" i="184"/>
  <c r="T34" i="237" s="1"/>
  <c r="J87" i="183"/>
  <c r="F89" i="184"/>
  <c r="T36" i="237" s="1"/>
  <c r="J89" i="183"/>
  <c r="K89" i="183"/>
  <c r="K86" i="183"/>
  <c r="J86" i="183"/>
  <c r="F86" i="184"/>
  <c r="T33" i="237" s="1"/>
  <c r="F67" i="184"/>
  <c r="T14" i="237" s="1"/>
  <c r="K67" i="183"/>
  <c r="J67" i="183"/>
  <c r="J133" i="183"/>
  <c r="K133" i="183"/>
  <c r="F133" i="184"/>
  <c r="T75" i="237" s="1"/>
  <c r="K59" i="182"/>
  <c r="J59" i="182"/>
  <c r="F59" i="183"/>
  <c r="R6" i="237" s="1"/>
  <c r="K146" i="183"/>
  <c r="F146" i="184"/>
  <c r="T88" i="237" s="1"/>
  <c r="J146" i="183"/>
  <c r="F73" i="184"/>
  <c r="T20" i="237" s="1"/>
  <c r="J73" i="183"/>
  <c r="K73" i="183"/>
  <c r="F135" i="184"/>
  <c r="T77" i="237" s="1"/>
  <c r="K135" i="183"/>
  <c r="J135" i="183"/>
  <c r="F137" i="184"/>
  <c r="T79" i="237" s="1"/>
  <c r="J137" i="183"/>
  <c r="K137" i="183"/>
  <c r="J131" i="183"/>
  <c r="K131" i="183"/>
  <c r="F131" i="184"/>
  <c r="T73" i="237" s="1"/>
  <c r="J82" i="183"/>
  <c r="K82" i="183"/>
  <c r="F82" i="184"/>
  <c r="T29" i="237" s="1"/>
  <c r="J120" i="183"/>
  <c r="F120" i="184"/>
  <c r="T62" i="237" s="1"/>
  <c r="K120" i="183"/>
  <c r="K78" i="183"/>
  <c r="J78" i="183"/>
  <c r="F78" i="184"/>
  <c r="T25" i="237" s="1"/>
  <c r="F81" i="184"/>
  <c r="T28" i="237" s="1"/>
  <c r="K81" i="183"/>
  <c r="J81" i="183"/>
  <c r="K147" i="183"/>
  <c r="F147" i="184"/>
  <c r="T89" i="237" s="1"/>
  <c r="J147" i="183"/>
  <c r="F69" i="184"/>
  <c r="T16" i="237" s="1"/>
  <c r="K69" i="183"/>
  <c r="J69" i="183"/>
  <c r="F145" i="184"/>
  <c r="T87" i="237" s="1"/>
  <c r="K145" i="183"/>
  <c r="J145" i="183"/>
  <c r="K94" i="183"/>
  <c r="J94" i="183"/>
  <c r="F94" i="184"/>
  <c r="T41" i="237" s="1"/>
  <c r="J74" i="183"/>
  <c r="K74" i="183"/>
  <c r="F74" i="184"/>
  <c r="T21" i="237" s="1"/>
  <c r="J143" i="183"/>
  <c r="K143" i="183"/>
  <c r="F143" i="184"/>
  <c r="T85" i="237" s="1"/>
  <c r="J136" i="183"/>
  <c r="K136" i="183"/>
  <c r="F136" i="184"/>
  <c r="T78" i="237" s="1"/>
  <c r="F141" i="184"/>
  <c r="T83" i="237" s="1"/>
  <c r="J141" i="183"/>
  <c r="K141" i="183"/>
  <c r="F127" i="184"/>
  <c r="T69" i="237" s="1"/>
  <c r="K127" i="183"/>
  <c r="J127" i="183"/>
  <c r="K98" i="183"/>
  <c r="J98" i="183"/>
  <c r="F98" i="184"/>
  <c r="T45" i="237" s="1"/>
  <c r="F85" i="184"/>
  <c r="T32" i="237" s="1"/>
  <c r="J85" i="183"/>
  <c r="K85" i="183"/>
  <c r="K130" i="183"/>
  <c r="F130" i="184"/>
  <c r="T72" i="237" s="1"/>
  <c r="J130" i="183"/>
  <c r="J106" i="183"/>
  <c r="F106" i="184"/>
  <c r="T48" i="237" s="1"/>
  <c r="K106" i="183"/>
  <c r="K91" i="183"/>
  <c r="F91" i="184"/>
  <c r="T38" i="237" s="1"/>
  <c r="J91" i="183"/>
  <c r="J125" i="183"/>
  <c r="K125" i="183"/>
  <c r="F125" i="184"/>
  <c r="T67" i="237" s="1"/>
  <c r="J92" i="183"/>
  <c r="K92" i="183"/>
  <c r="F92" i="184"/>
  <c r="T39" i="237" s="1"/>
  <c r="F129" i="184"/>
  <c r="T71" i="237" s="1"/>
  <c r="K129" i="183"/>
  <c r="J129" i="183"/>
  <c r="F88" i="184"/>
  <c r="T35" i="237" s="1"/>
  <c r="K88" i="183"/>
  <c r="J88" i="183"/>
  <c r="F68" i="184"/>
  <c r="T15" i="237" s="1"/>
  <c r="J68" i="183"/>
  <c r="K68" i="183"/>
  <c r="J84" i="183"/>
  <c r="F84" i="184"/>
  <c r="T31" i="237" s="1"/>
  <c r="K84" i="183"/>
  <c r="K75" i="183"/>
  <c r="F75" i="184"/>
  <c r="T22" i="237" s="1"/>
  <c r="J75" i="183"/>
  <c r="K110" i="183"/>
  <c r="F110" i="184"/>
  <c r="T52" i="237" s="1"/>
  <c r="J110" i="183"/>
  <c r="K113" i="183"/>
  <c r="J113" i="183"/>
  <c r="F113" i="184"/>
  <c r="T55" i="237" s="1"/>
  <c r="J108" i="183"/>
  <c r="K108" i="183"/>
  <c r="F108" i="184"/>
  <c r="T50" i="237" s="1"/>
  <c r="F118" i="184"/>
  <c r="T60" i="237" s="1"/>
  <c r="K118" i="183"/>
  <c r="J118" i="183"/>
  <c r="J66" i="183"/>
  <c r="K66" i="183"/>
  <c r="F66" i="184"/>
  <c r="T13" i="237" s="1"/>
  <c r="F93" i="184"/>
  <c r="T40" i="237" s="1"/>
  <c r="K93" i="183"/>
  <c r="J93" i="183"/>
  <c r="J71" i="183"/>
  <c r="K71" i="183"/>
  <c r="F71" i="184"/>
  <c r="T18" i="237" s="1"/>
  <c r="J57" i="182"/>
  <c r="F57" i="183"/>
  <c r="R4" i="237" s="1"/>
  <c r="K57" i="182"/>
  <c r="K112" i="183"/>
  <c r="J112" i="183"/>
  <c r="F112" i="184"/>
  <c r="T54" i="237" s="1"/>
  <c r="F119" i="184"/>
  <c r="T61" i="237" s="1"/>
  <c r="K119" i="183"/>
  <c r="J119" i="183"/>
  <c r="K134" i="183"/>
  <c r="J134" i="183"/>
  <c r="F134" i="184"/>
  <c r="T76" i="237" s="1"/>
  <c r="F140" i="184"/>
  <c r="T82" i="237" s="1"/>
  <c r="K140" i="183"/>
  <c r="J140" i="183"/>
  <c r="J121" i="183"/>
  <c r="K121" i="183"/>
  <c r="F121" i="184"/>
  <c r="T63" i="237" s="1"/>
  <c r="F107" i="184"/>
  <c r="T49" i="237" s="1"/>
  <c r="K107" i="183"/>
  <c r="J107" i="183"/>
  <c r="F70" i="184"/>
  <c r="T17" i="237" s="1"/>
  <c r="K70" i="183"/>
  <c r="J70" i="183"/>
  <c r="K72" i="183"/>
  <c r="F72" i="184"/>
  <c r="T19" i="237" s="1"/>
  <c r="J72" i="183"/>
  <c r="F60" i="184"/>
  <c r="T7" i="237" s="1"/>
  <c r="J60" i="183"/>
  <c r="K60" i="183"/>
  <c r="F144" i="184"/>
  <c r="T86" i="237" s="1"/>
  <c r="J144" i="183"/>
  <c r="K144" i="183"/>
  <c r="F96" i="184"/>
  <c r="T43" i="237" s="1"/>
  <c r="J96" i="183"/>
  <c r="K96" i="183"/>
  <c r="J65" i="183"/>
  <c r="K65" i="183"/>
  <c r="F65" i="184"/>
  <c r="T12" i="237" s="1"/>
  <c r="F109" i="184"/>
  <c r="T51" i="237" s="1"/>
  <c r="K109" i="183"/>
  <c r="J109" i="183"/>
  <c r="J128" i="183"/>
  <c r="K128" i="183"/>
  <c r="F128" i="184"/>
  <c r="T70" i="237" s="1"/>
  <c r="F115" i="184"/>
  <c r="T57" i="237" s="1"/>
  <c r="J115" i="183"/>
  <c r="K115" i="183"/>
  <c r="F76" i="184"/>
  <c r="T23" i="237" s="1"/>
  <c r="K76" i="183"/>
  <c r="J76" i="183"/>
  <c r="K77" i="183"/>
  <c r="F77" i="184"/>
  <c r="T24" i="237" s="1"/>
  <c r="J77" i="183"/>
  <c r="K117" i="183"/>
  <c r="J117" i="183"/>
  <c r="F117" i="184"/>
  <c r="T59" i="237" s="1"/>
  <c r="K114" i="183"/>
  <c r="J114" i="183"/>
  <c r="F114" i="184"/>
  <c r="T56" i="237" s="1"/>
  <c r="F148" i="184"/>
  <c r="T90" i="237" s="1"/>
  <c r="K148" i="183"/>
  <c r="J148" i="183"/>
  <c r="K126" i="183"/>
  <c r="J126" i="183"/>
  <c r="F126" i="184"/>
  <c r="T68" i="237" s="1"/>
  <c r="J100" i="183"/>
  <c r="K100" i="183"/>
  <c r="F100" i="184"/>
  <c r="T47" i="237" s="1"/>
  <c r="K58" i="183"/>
  <c r="F58" i="184"/>
  <c r="T5" i="237" s="1"/>
  <c r="J58" i="183"/>
  <c r="K99" i="183"/>
  <c r="J99" i="183"/>
  <c r="F99" i="184"/>
  <c r="T46" i="237" s="1"/>
  <c r="K132" i="183"/>
  <c r="F132" i="184"/>
  <c r="T74" i="237" s="1"/>
  <c r="J132" i="183"/>
  <c r="K80" i="183"/>
  <c r="J80" i="183"/>
  <c r="F80" i="184"/>
  <c r="T27" i="237" s="1"/>
  <c r="J138" i="183"/>
  <c r="F138" i="184"/>
  <c r="T80" i="237" s="1"/>
  <c r="K138" i="183"/>
  <c r="K64" i="183"/>
  <c r="J64" i="183"/>
  <c r="F64" i="184"/>
  <c r="T11" i="237" s="1"/>
  <c r="K61" i="183"/>
  <c r="J61" i="183"/>
  <c r="F61" i="184"/>
  <c r="T8" i="237" s="1"/>
  <c r="CI10" i="118"/>
  <c r="G84" i="115" s="1"/>
  <c r="CI99" i="118"/>
  <c r="H47" i="22"/>
  <c r="H27" i="22"/>
  <c r="F116" i="185" l="1"/>
  <c r="J116" i="185" s="1"/>
  <c r="T58" i="237"/>
  <c r="F63" i="185"/>
  <c r="V10" i="237" s="1"/>
  <c r="T10" i="237"/>
  <c r="J63" i="184"/>
  <c r="K63" i="184"/>
  <c r="J116" i="184"/>
  <c r="K116" i="184"/>
  <c r="J149" i="182"/>
  <c r="K149" i="182"/>
  <c r="F85" i="185"/>
  <c r="V32" i="237" s="1"/>
  <c r="D32" i="237" s="1" a="1"/>
  <c r="K85" i="184"/>
  <c r="J85" i="184"/>
  <c r="F74" i="185"/>
  <c r="V21" i="237" s="1"/>
  <c r="D21" i="237" s="1" a="1"/>
  <c r="J74" i="184"/>
  <c r="K74" i="184"/>
  <c r="F137" i="185"/>
  <c r="V79" i="237" s="1"/>
  <c r="D79" i="237" s="1" a="1"/>
  <c r="J137" i="184"/>
  <c r="K137" i="184"/>
  <c r="F83" i="185"/>
  <c r="V30" i="237" s="1"/>
  <c r="D30" i="237" s="1" a="1"/>
  <c r="J83" i="184"/>
  <c r="K83" i="184"/>
  <c r="F75" i="185"/>
  <c r="V22" i="237" s="1"/>
  <c r="D22" i="237" s="1" a="1"/>
  <c r="J75" i="184"/>
  <c r="K75" i="184"/>
  <c r="F98" i="185"/>
  <c r="V45" i="237" s="1"/>
  <c r="D45" i="237" s="1" a="1"/>
  <c r="J98" i="184"/>
  <c r="K98" i="184"/>
  <c r="F81" i="185"/>
  <c r="V28" i="237" s="1"/>
  <c r="D28" i="237" s="1" a="1"/>
  <c r="K81" i="184"/>
  <c r="J81" i="184"/>
  <c r="F90" i="185"/>
  <c r="V37" i="237" s="1"/>
  <c r="D37" i="237" s="1" a="1"/>
  <c r="K90" i="184"/>
  <c r="J90" i="184"/>
  <c r="F125" i="185"/>
  <c r="V67" i="237" s="1"/>
  <c r="D67" i="237" s="1" a="1"/>
  <c r="J125" i="184"/>
  <c r="K125" i="184"/>
  <c r="F78" i="185"/>
  <c r="V25" i="237" s="1"/>
  <c r="D25" i="237" s="1" a="1"/>
  <c r="J78" i="184"/>
  <c r="K78" i="184"/>
  <c r="F67" i="185"/>
  <c r="V14" i="237" s="1"/>
  <c r="D14" i="237" s="1" a="1"/>
  <c r="K67" i="184"/>
  <c r="J67" i="184"/>
  <c r="F109" i="185"/>
  <c r="V51" i="237" s="1"/>
  <c r="D51" i="237" s="1" a="1"/>
  <c r="J109" i="184"/>
  <c r="K109" i="184"/>
  <c r="F94" i="185"/>
  <c r="V41" i="237" s="1"/>
  <c r="D41" i="237" s="1" a="1"/>
  <c r="J94" i="184"/>
  <c r="K94" i="184"/>
  <c r="F135" i="185"/>
  <c r="V77" i="237" s="1"/>
  <c r="D77" i="237" s="1" a="1"/>
  <c r="J135" i="184"/>
  <c r="K135" i="184"/>
  <c r="F86" i="185"/>
  <c r="V33" i="237" s="1"/>
  <c r="D33" i="237" s="1" a="1"/>
  <c r="K86" i="184"/>
  <c r="J86" i="184"/>
  <c r="F142" i="185"/>
  <c r="V84" i="237" s="1"/>
  <c r="D84" i="237" s="1" a="1"/>
  <c r="K142" i="184"/>
  <c r="J142" i="184"/>
  <c r="F58" i="185"/>
  <c r="V5" i="237" s="1"/>
  <c r="D5" i="237" s="1" a="1"/>
  <c r="J58" i="184"/>
  <c r="K58" i="184"/>
  <c r="F65" i="185"/>
  <c r="V12" i="237" s="1"/>
  <c r="D12" i="237" s="1" a="1"/>
  <c r="J65" i="184"/>
  <c r="K65" i="184"/>
  <c r="F119" i="185"/>
  <c r="V61" i="237" s="1"/>
  <c r="D61" i="237" s="1" a="1"/>
  <c r="K119" i="184"/>
  <c r="J119" i="184"/>
  <c r="F84" i="185"/>
  <c r="V31" i="237" s="1"/>
  <c r="D31" i="237" s="1" a="1"/>
  <c r="J84" i="184"/>
  <c r="K84" i="184"/>
  <c r="F72" i="185"/>
  <c r="V19" i="237" s="1"/>
  <c r="D19" i="237" s="1" a="1"/>
  <c r="K72" i="184"/>
  <c r="J72" i="184"/>
  <c r="F66" i="185"/>
  <c r="V13" i="237" s="1"/>
  <c r="D13" i="237" s="1" a="1"/>
  <c r="K66" i="184"/>
  <c r="J66" i="184"/>
  <c r="F117" i="185"/>
  <c r="V59" i="237" s="1"/>
  <c r="D59" i="237" s="1" a="1"/>
  <c r="J117" i="184"/>
  <c r="K117" i="184"/>
  <c r="F70" i="185"/>
  <c r="V17" i="237" s="1"/>
  <c r="D17" i="237" s="1" a="1"/>
  <c r="J70" i="184"/>
  <c r="K70" i="184"/>
  <c r="F112" i="185"/>
  <c r="V54" i="237" s="1"/>
  <c r="D54" i="237" s="1" a="1"/>
  <c r="J112" i="184"/>
  <c r="K112" i="184"/>
  <c r="F99" i="185"/>
  <c r="V46" i="237" s="1"/>
  <c r="D46" i="237" s="1" a="1"/>
  <c r="J99" i="184"/>
  <c r="K99" i="184"/>
  <c r="F118" i="185"/>
  <c r="V60" i="237" s="1"/>
  <c r="D60" i="237" s="1" a="1"/>
  <c r="K118" i="184"/>
  <c r="J118" i="184"/>
  <c r="F91" i="185"/>
  <c r="V38" i="237" s="1"/>
  <c r="D38" i="237" s="1" a="1"/>
  <c r="K91" i="184"/>
  <c r="J91" i="184"/>
  <c r="F127" i="185"/>
  <c r="V69" i="237" s="1"/>
  <c r="D69" i="237" s="1" a="1"/>
  <c r="J127" i="184"/>
  <c r="K127" i="184"/>
  <c r="F120" i="185"/>
  <c r="V62" i="237" s="1"/>
  <c r="D62" i="237" s="1" a="1"/>
  <c r="J120" i="184"/>
  <c r="K120" i="184"/>
  <c r="F73" i="185"/>
  <c r="V20" i="237" s="1"/>
  <c r="D20" i="237" s="1" a="1"/>
  <c r="K73" i="184"/>
  <c r="J73" i="184"/>
  <c r="F79" i="185"/>
  <c r="V26" i="237" s="1"/>
  <c r="D26" i="237" s="1" a="1"/>
  <c r="K79" i="184"/>
  <c r="J79" i="184"/>
  <c r="F123" i="185"/>
  <c r="V65" i="237" s="1"/>
  <c r="D65" i="237" s="1" a="1"/>
  <c r="K123" i="184"/>
  <c r="J123" i="184"/>
  <c r="F100" i="185"/>
  <c r="V47" i="237" s="1"/>
  <c r="D47" i="237" s="1" a="1"/>
  <c r="J100" i="184"/>
  <c r="K100" i="184"/>
  <c r="F77" i="185"/>
  <c r="V24" i="237" s="1"/>
  <c r="D24" i="237" s="1" a="1"/>
  <c r="J77" i="184"/>
  <c r="K77" i="184"/>
  <c r="F108" i="185"/>
  <c r="V50" i="237" s="1"/>
  <c r="D50" i="237" s="1" a="1"/>
  <c r="K108" i="184"/>
  <c r="J108" i="184"/>
  <c r="F97" i="185"/>
  <c r="V44" i="237" s="1"/>
  <c r="D44" i="237" s="1" a="1"/>
  <c r="K97" i="184"/>
  <c r="J97" i="184"/>
  <c r="F145" i="185"/>
  <c r="V87" i="237" s="1"/>
  <c r="D87" i="237" s="1" a="1"/>
  <c r="K145" i="184"/>
  <c r="J145" i="184"/>
  <c r="F82" i="185"/>
  <c r="V29" i="237" s="1"/>
  <c r="D29" i="237" s="1" a="1"/>
  <c r="K82" i="184"/>
  <c r="J82" i="184"/>
  <c r="F146" i="185"/>
  <c r="V88" i="237" s="1"/>
  <c r="D88" i="237" s="1" a="1"/>
  <c r="K146" i="184"/>
  <c r="J146" i="184"/>
  <c r="F89" i="185"/>
  <c r="V36" i="237" s="1"/>
  <c r="D36" i="237" s="1" a="1"/>
  <c r="J89" i="184"/>
  <c r="K89" i="184"/>
  <c r="F111" i="185"/>
  <c r="V53" i="237" s="1"/>
  <c r="D53" i="237" s="1" a="1"/>
  <c r="K111" i="184"/>
  <c r="J111" i="184"/>
  <c r="F126" i="185"/>
  <c r="V68" i="237" s="1"/>
  <c r="D68" i="237" s="1" a="1"/>
  <c r="J126" i="184"/>
  <c r="K126" i="184"/>
  <c r="F96" i="185"/>
  <c r="V43" i="237" s="1"/>
  <c r="D43" i="237" s="1" a="1"/>
  <c r="K96" i="184"/>
  <c r="J96" i="184"/>
  <c r="F121" i="185"/>
  <c r="V63" i="237" s="1"/>
  <c r="D63" i="237" s="1" a="1"/>
  <c r="K121" i="184"/>
  <c r="J121" i="184"/>
  <c r="F57" i="184"/>
  <c r="T4" i="237" s="1"/>
  <c r="J57" i="183"/>
  <c r="F149" i="183"/>
  <c r="R91" i="237" s="1"/>
  <c r="K57" i="183"/>
  <c r="F106" i="185"/>
  <c r="V48" i="237" s="1"/>
  <c r="D48" i="237" s="1" a="1"/>
  <c r="J106" i="184"/>
  <c r="K106" i="184"/>
  <c r="F141" i="185"/>
  <c r="V83" i="237" s="1"/>
  <c r="D83" i="237" s="1" a="1"/>
  <c r="K141" i="184"/>
  <c r="J141" i="184"/>
  <c r="F93" i="185"/>
  <c r="V40" i="237" s="1"/>
  <c r="D40" i="237" s="1" a="1"/>
  <c r="J93" i="184"/>
  <c r="K93" i="184"/>
  <c r="F68" i="185"/>
  <c r="V15" i="237" s="1"/>
  <c r="D15" i="237" s="1" a="1"/>
  <c r="K68" i="184"/>
  <c r="J68" i="184"/>
  <c r="F76" i="185"/>
  <c r="V23" i="237" s="1"/>
  <c r="D23" i="237" s="1" a="1"/>
  <c r="K76" i="184"/>
  <c r="J76" i="184"/>
  <c r="F113" i="185"/>
  <c r="V55" i="237" s="1"/>
  <c r="D55" i="237" s="1" a="1"/>
  <c r="K113" i="184"/>
  <c r="J113" i="184"/>
  <c r="F136" i="185"/>
  <c r="V78" i="237" s="1"/>
  <c r="D78" i="237" s="1" a="1"/>
  <c r="K136" i="184"/>
  <c r="J136" i="184"/>
  <c r="F59" i="184"/>
  <c r="T6" i="237" s="1"/>
  <c r="J59" i="183"/>
  <c r="K59" i="183"/>
  <c r="F87" i="185"/>
  <c r="V34" i="237" s="1"/>
  <c r="D34" i="237" s="1" a="1"/>
  <c r="K87" i="184"/>
  <c r="J87" i="184"/>
  <c r="F124" i="185"/>
  <c r="V66" i="237" s="1"/>
  <c r="D66" i="237" s="1" a="1"/>
  <c r="J124" i="184"/>
  <c r="K124" i="184"/>
  <c r="F71" i="185"/>
  <c r="V18" i="237" s="1"/>
  <c r="D18" i="237" s="1" a="1"/>
  <c r="K71" i="184"/>
  <c r="J71" i="184"/>
  <c r="F88" i="185"/>
  <c r="V35" i="237" s="1"/>
  <c r="D35" i="237" s="1" a="1"/>
  <c r="J88" i="184"/>
  <c r="K88" i="184"/>
  <c r="F69" i="185"/>
  <c r="V16" i="237" s="1"/>
  <c r="D16" i="237" s="1" a="1"/>
  <c r="J69" i="184"/>
  <c r="K69" i="184"/>
  <c r="F131" i="185"/>
  <c r="V73" i="237" s="1"/>
  <c r="D73" i="237" s="1" a="1"/>
  <c r="K131" i="184"/>
  <c r="J131" i="184"/>
  <c r="F139" i="185"/>
  <c r="V81" i="237" s="1"/>
  <c r="D81" i="237" s="1" a="1"/>
  <c r="J139" i="184"/>
  <c r="K139" i="184"/>
  <c r="F107" i="185"/>
  <c r="V49" i="237" s="1"/>
  <c r="D49" i="237" s="1" a="1"/>
  <c r="J107" i="184"/>
  <c r="K107" i="184"/>
  <c r="F144" i="185"/>
  <c r="V86" i="237" s="1"/>
  <c r="D86" i="237" s="1" a="1"/>
  <c r="J144" i="184"/>
  <c r="K144" i="184"/>
  <c r="F130" i="185"/>
  <c r="V72" i="237" s="1"/>
  <c r="D72" i="237" s="1" a="1"/>
  <c r="J130" i="184"/>
  <c r="K130" i="184"/>
  <c r="F95" i="185"/>
  <c r="V42" i="237" s="1"/>
  <c r="D42" i="237" s="1" a="1"/>
  <c r="K95" i="184"/>
  <c r="J95" i="184"/>
  <c r="F80" i="185"/>
  <c r="V27" i="237" s="1"/>
  <c r="D27" i="237" s="1" a="1"/>
  <c r="K80" i="184"/>
  <c r="J80" i="184"/>
  <c r="F115" i="185"/>
  <c r="V57" i="237" s="1"/>
  <c r="D57" i="237" s="1" a="1"/>
  <c r="J115" i="184"/>
  <c r="K115" i="184"/>
  <c r="F143" i="185"/>
  <c r="V85" i="237" s="1"/>
  <c r="D85" i="237" s="1" a="1"/>
  <c r="K143" i="184"/>
  <c r="J143" i="184"/>
  <c r="F147" i="185"/>
  <c r="V89" i="237" s="1"/>
  <c r="D89" i="237" s="1" a="1"/>
  <c r="J147" i="184"/>
  <c r="K147" i="184"/>
  <c r="F133" i="185"/>
  <c r="V75" i="237" s="1"/>
  <c r="D75" i="237" s="1" a="1"/>
  <c r="K133" i="184"/>
  <c r="J133" i="184"/>
  <c r="F122" i="185"/>
  <c r="V64" i="237" s="1"/>
  <c r="D64" i="237" s="1" a="1"/>
  <c r="K122" i="184"/>
  <c r="J122" i="184"/>
  <c r="F138" i="185"/>
  <c r="V80" i="237" s="1"/>
  <c r="D80" i="237" s="1" a="1"/>
  <c r="K138" i="184"/>
  <c r="J138" i="184"/>
  <c r="F128" i="185"/>
  <c r="V70" i="237" s="1"/>
  <c r="D70" i="237" s="1" a="1"/>
  <c r="J128" i="184"/>
  <c r="K128" i="184"/>
  <c r="F140" i="185"/>
  <c r="V82" i="237" s="1"/>
  <c r="D82" i="237" s="1" a="1"/>
  <c r="K140" i="184"/>
  <c r="J140" i="184"/>
  <c r="F110" i="185"/>
  <c r="V52" i="237" s="1"/>
  <c r="D52" i="237" s="1" a="1"/>
  <c r="J110" i="184"/>
  <c r="K110" i="184"/>
  <c r="F129" i="185"/>
  <c r="V71" i="237" s="1"/>
  <c r="D71" i="237" s="1" a="1"/>
  <c r="J129" i="184"/>
  <c r="K129" i="184"/>
  <c r="F62" i="185"/>
  <c r="V9" i="237" s="1"/>
  <c r="D9" i="237" s="1" a="1"/>
  <c r="J62" i="184"/>
  <c r="K62" i="184"/>
  <c r="F132" i="185"/>
  <c r="V74" i="237" s="1"/>
  <c r="D74" i="237" s="1" a="1"/>
  <c r="J132" i="184"/>
  <c r="K132" i="184"/>
  <c r="F148" i="185"/>
  <c r="V90" i="237" s="1"/>
  <c r="D90" i="237" s="1" a="1"/>
  <c r="J148" i="184"/>
  <c r="K148" i="184"/>
  <c r="F114" i="185"/>
  <c r="V56" i="237" s="1"/>
  <c r="D56" i="237" s="1" a="1"/>
  <c r="K114" i="184"/>
  <c r="J114" i="184"/>
  <c r="F60" i="185"/>
  <c r="V7" i="237" s="1"/>
  <c r="D7" i="237" s="1" a="1"/>
  <c r="J60" i="184"/>
  <c r="K60" i="184"/>
  <c r="F134" i="185"/>
  <c r="V76" i="237" s="1"/>
  <c r="D76" i="237" s="1" a="1"/>
  <c r="J134" i="184"/>
  <c r="K134" i="184"/>
  <c r="F92" i="185"/>
  <c r="V39" i="237" s="1"/>
  <c r="D39" i="237" s="1" a="1"/>
  <c r="J92" i="184"/>
  <c r="K92" i="184"/>
  <c r="F64" i="185"/>
  <c r="V11" i="237" s="1"/>
  <c r="D11" i="237" s="1" a="1"/>
  <c r="K64" i="184"/>
  <c r="J64" i="184"/>
  <c r="F61" i="185"/>
  <c r="V8" i="237" s="1"/>
  <c r="D8" i="237" s="1" a="1"/>
  <c r="J61" i="184"/>
  <c r="K61" i="184"/>
  <c r="CH10" i="118"/>
  <c r="G83" i="115" s="1"/>
  <c r="CH99" i="118"/>
  <c r="H31" i="22"/>
  <c r="H29" i="22"/>
  <c r="H33" i="22" s="1"/>
  <c r="H37" i="22"/>
  <c r="G34" i="5" s="1"/>
  <c r="L125" i="22" l="1"/>
  <c r="L109" i="22"/>
  <c r="L112" i="22"/>
  <c r="L115" i="22"/>
  <c r="L117" i="22"/>
  <c r="L120" i="22"/>
  <c r="L123" i="22"/>
  <c r="L124" i="22"/>
  <c r="L129" i="22"/>
  <c r="L133" i="22"/>
  <c r="L140" i="22"/>
  <c r="L142" i="22"/>
  <c r="L146" i="22"/>
  <c r="L126" i="22"/>
  <c r="L107" i="22"/>
  <c r="L114" i="22"/>
  <c r="L119" i="22"/>
  <c r="L122" i="22"/>
  <c r="L130" i="22"/>
  <c r="L134" i="22"/>
  <c r="L137" i="22"/>
  <c r="L144" i="22"/>
  <c r="L147" i="22"/>
  <c r="L108" i="22"/>
  <c r="L110" i="22"/>
  <c r="L113" i="22"/>
  <c r="L116" i="22"/>
  <c r="L118" i="22"/>
  <c r="L121" i="22"/>
  <c r="L128" i="22"/>
  <c r="L131" i="22"/>
  <c r="L136" i="22"/>
  <c r="L139" i="22"/>
  <c r="L143" i="22"/>
  <c r="L148" i="22"/>
  <c r="L111" i="22"/>
  <c r="L127" i="22"/>
  <c r="L132" i="22"/>
  <c r="L135" i="22"/>
  <c r="L138" i="22"/>
  <c r="L141" i="22"/>
  <c r="L145" i="22"/>
  <c r="L106" i="22"/>
  <c r="L57" i="22"/>
  <c r="L58" i="22"/>
  <c r="L59" i="22"/>
  <c r="L60" i="22"/>
  <c r="L61" i="22"/>
  <c r="L62" i="22"/>
  <c r="L63" i="22"/>
  <c r="L64" i="22"/>
  <c r="L65" i="22"/>
  <c r="L66" i="22"/>
  <c r="L67" i="22"/>
  <c r="L68" i="22"/>
  <c r="L69" i="22"/>
  <c r="L70" i="22"/>
  <c r="L71" i="22"/>
  <c r="L72" i="22"/>
  <c r="L73" i="22"/>
  <c r="L74" i="22"/>
  <c r="L75" i="22"/>
  <c r="L76" i="22"/>
  <c r="L77" i="22"/>
  <c r="L78" i="22"/>
  <c r="L79" i="22"/>
  <c r="L80" i="22"/>
  <c r="L81" i="22"/>
  <c r="L82" i="22"/>
  <c r="L83" i="22"/>
  <c r="L84" i="22"/>
  <c r="L85" i="22"/>
  <c r="L86" i="22"/>
  <c r="L87" i="22"/>
  <c r="L88" i="22"/>
  <c r="L89" i="22"/>
  <c r="L90" i="22"/>
  <c r="L91" i="22"/>
  <c r="L92" i="22"/>
  <c r="L93" i="22"/>
  <c r="L94" i="22"/>
  <c r="L95" i="22"/>
  <c r="L96" i="22"/>
  <c r="L97" i="22"/>
  <c r="L98" i="22"/>
  <c r="L99" i="22"/>
  <c r="L100" i="22"/>
  <c r="K63" i="185"/>
  <c r="D10" i="237" a="1"/>
  <c r="K116" i="185"/>
  <c r="J63" i="185"/>
  <c r="F63" i="186"/>
  <c r="F63" i="187" s="1"/>
  <c r="F116" i="186"/>
  <c r="V58" i="237"/>
  <c r="D58" i="237" s="1" a="1"/>
  <c r="J149" i="183"/>
  <c r="K149" i="183"/>
  <c r="J108" i="185"/>
  <c r="K108" i="185"/>
  <c r="F108" i="186"/>
  <c r="F110" i="186"/>
  <c r="J110" i="185"/>
  <c r="K110" i="185"/>
  <c r="J69" i="185"/>
  <c r="K69" i="185"/>
  <c r="F69" i="186"/>
  <c r="J145" i="185"/>
  <c r="K145" i="185"/>
  <c r="F145" i="186"/>
  <c r="K66" i="185"/>
  <c r="J66" i="185"/>
  <c r="F66" i="186"/>
  <c r="F98" i="186"/>
  <c r="K98" i="185"/>
  <c r="J98" i="185"/>
  <c r="J130" i="185"/>
  <c r="K130" i="185"/>
  <c r="F130" i="186"/>
  <c r="K141" i="185"/>
  <c r="J141" i="185"/>
  <c r="F141" i="186"/>
  <c r="F126" i="186"/>
  <c r="K126" i="185"/>
  <c r="J126" i="185"/>
  <c r="J118" i="185"/>
  <c r="K118" i="185"/>
  <c r="F118" i="186"/>
  <c r="J67" i="185"/>
  <c r="K67" i="185"/>
  <c r="F67" i="186"/>
  <c r="K114" i="185"/>
  <c r="J114" i="185"/>
  <c r="F114" i="186"/>
  <c r="K147" i="185"/>
  <c r="J147" i="185"/>
  <c r="F147" i="186"/>
  <c r="K136" i="185"/>
  <c r="J136" i="185"/>
  <c r="F136" i="186"/>
  <c r="J79" i="185"/>
  <c r="K79" i="185"/>
  <c r="F79" i="186"/>
  <c r="J142" i="185"/>
  <c r="K142" i="185"/>
  <c r="F142" i="186"/>
  <c r="K97" i="185"/>
  <c r="J97" i="185"/>
  <c r="F97" i="186"/>
  <c r="J72" i="185"/>
  <c r="K72" i="185"/>
  <c r="F72" i="186"/>
  <c r="K75" i="185"/>
  <c r="J75" i="185"/>
  <c r="F75" i="186"/>
  <c r="K140" i="185"/>
  <c r="J140" i="185"/>
  <c r="F140" i="186"/>
  <c r="K148" i="185"/>
  <c r="J148" i="185"/>
  <c r="F148" i="186"/>
  <c r="F144" i="186"/>
  <c r="K144" i="185"/>
  <c r="J144" i="185"/>
  <c r="J106" i="185"/>
  <c r="K106" i="185"/>
  <c r="F106" i="186"/>
  <c r="K111" i="185"/>
  <c r="J111" i="185"/>
  <c r="F111" i="186"/>
  <c r="F99" i="186"/>
  <c r="J99" i="185"/>
  <c r="K99" i="185"/>
  <c r="J78" i="185"/>
  <c r="K78" i="185"/>
  <c r="F78" i="186"/>
  <c r="J88" i="185"/>
  <c r="K88" i="185"/>
  <c r="F88" i="186"/>
  <c r="K143" i="185"/>
  <c r="J143" i="185"/>
  <c r="F143" i="186"/>
  <c r="K113" i="185"/>
  <c r="J113" i="185"/>
  <c r="F113" i="186"/>
  <c r="J73" i="185"/>
  <c r="K73" i="185"/>
  <c r="F73" i="186"/>
  <c r="F86" i="186"/>
  <c r="K86" i="185"/>
  <c r="J86" i="185"/>
  <c r="K84" i="185"/>
  <c r="J84" i="185"/>
  <c r="F84" i="186"/>
  <c r="J83" i="185"/>
  <c r="K83" i="185"/>
  <c r="F83" i="186"/>
  <c r="J125" i="185"/>
  <c r="F125" i="186"/>
  <c r="K125" i="185"/>
  <c r="J71" i="185"/>
  <c r="K71" i="185"/>
  <c r="F71" i="186"/>
  <c r="K89" i="185"/>
  <c r="J89" i="185"/>
  <c r="F89" i="186"/>
  <c r="J112" i="185"/>
  <c r="K112" i="185"/>
  <c r="F112" i="186"/>
  <c r="J92" i="185"/>
  <c r="K92" i="185"/>
  <c r="F92" i="186"/>
  <c r="J115" i="185"/>
  <c r="K115" i="185"/>
  <c r="F115" i="186"/>
  <c r="J76" i="185"/>
  <c r="K76" i="185"/>
  <c r="F76" i="186"/>
  <c r="F57" i="185"/>
  <c r="V4" i="237" s="1"/>
  <c r="D4" i="237" s="1" a="1"/>
  <c r="J57" i="184"/>
  <c r="K57" i="184"/>
  <c r="F149" i="184"/>
  <c r="T91" i="237" s="1"/>
  <c r="J120" i="185"/>
  <c r="K120" i="185"/>
  <c r="F120" i="186"/>
  <c r="K135" i="185"/>
  <c r="J135" i="185"/>
  <c r="F135" i="186"/>
  <c r="J138" i="185"/>
  <c r="K138" i="185"/>
  <c r="F138" i="186"/>
  <c r="J124" i="185"/>
  <c r="K124" i="185"/>
  <c r="F124" i="186"/>
  <c r="K77" i="185"/>
  <c r="J77" i="185"/>
  <c r="F77" i="186"/>
  <c r="K119" i="185"/>
  <c r="J119" i="185"/>
  <c r="F119" i="186"/>
  <c r="K137" i="185"/>
  <c r="J137" i="185"/>
  <c r="F137" i="186"/>
  <c r="J62" i="185"/>
  <c r="K62" i="185"/>
  <c r="F62" i="186"/>
  <c r="J139" i="185"/>
  <c r="F139" i="186"/>
  <c r="K139" i="185"/>
  <c r="K146" i="185"/>
  <c r="J146" i="185"/>
  <c r="F146" i="186"/>
  <c r="F70" i="186"/>
  <c r="J70" i="185"/>
  <c r="K70" i="185"/>
  <c r="J90" i="185"/>
  <c r="K90" i="185"/>
  <c r="F90" i="186"/>
  <c r="F94" i="186"/>
  <c r="K94" i="185"/>
  <c r="J94" i="185"/>
  <c r="F128" i="186"/>
  <c r="J128" i="185"/>
  <c r="K128" i="185"/>
  <c r="J80" i="185"/>
  <c r="F80" i="186"/>
  <c r="K80" i="185"/>
  <c r="J127" i="185"/>
  <c r="K127" i="185"/>
  <c r="F127" i="186"/>
  <c r="K122" i="185"/>
  <c r="J122" i="185"/>
  <c r="F122" i="186"/>
  <c r="J87" i="185"/>
  <c r="F87" i="186"/>
  <c r="K87" i="185"/>
  <c r="F100" i="186"/>
  <c r="J100" i="185"/>
  <c r="K100" i="185"/>
  <c r="J65" i="185"/>
  <c r="K65" i="185"/>
  <c r="F65" i="186"/>
  <c r="J74" i="185"/>
  <c r="K74" i="185"/>
  <c r="F74" i="186"/>
  <c r="J68" i="185"/>
  <c r="K68" i="185"/>
  <c r="F68" i="186"/>
  <c r="J129" i="185"/>
  <c r="F129" i="186"/>
  <c r="K129" i="185"/>
  <c r="K131" i="185"/>
  <c r="J131" i="185"/>
  <c r="F131" i="186"/>
  <c r="F82" i="186"/>
  <c r="J82" i="185"/>
  <c r="K82" i="185"/>
  <c r="K117" i="185"/>
  <c r="J117" i="185"/>
  <c r="F117" i="186"/>
  <c r="K81" i="185"/>
  <c r="J81" i="185"/>
  <c r="F81" i="186"/>
  <c r="J132" i="185"/>
  <c r="F132" i="186"/>
  <c r="K132" i="185"/>
  <c r="J134" i="185"/>
  <c r="K134" i="185"/>
  <c r="F134" i="186"/>
  <c r="K121" i="185"/>
  <c r="J121" i="185"/>
  <c r="F121" i="186"/>
  <c r="K60" i="185"/>
  <c r="J60" i="185"/>
  <c r="F60" i="186"/>
  <c r="F95" i="186"/>
  <c r="K95" i="185"/>
  <c r="J95" i="185"/>
  <c r="K93" i="185"/>
  <c r="J93" i="185"/>
  <c r="F93" i="186"/>
  <c r="J96" i="185"/>
  <c r="K96" i="185"/>
  <c r="F96" i="186"/>
  <c r="K91" i="185"/>
  <c r="F91" i="186"/>
  <c r="J91" i="185"/>
  <c r="F109" i="186"/>
  <c r="K109" i="185"/>
  <c r="J109" i="185"/>
  <c r="K107" i="185"/>
  <c r="F107" i="186"/>
  <c r="J107" i="185"/>
  <c r="F133" i="186"/>
  <c r="K133" i="185"/>
  <c r="J133" i="185"/>
  <c r="F59" i="185"/>
  <c r="V6" i="237" s="1"/>
  <c r="D6" i="237" s="1" a="1"/>
  <c r="K59" i="184"/>
  <c r="J59" i="184"/>
  <c r="F123" i="186"/>
  <c r="K123" i="185"/>
  <c r="J123" i="185"/>
  <c r="K58" i="185"/>
  <c r="J58" i="185"/>
  <c r="F58" i="186"/>
  <c r="K85" i="185"/>
  <c r="J85" i="185"/>
  <c r="F85" i="186"/>
  <c r="K85" i="186" s="1"/>
  <c r="J64" i="185"/>
  <c r="K64" i="185"/>
  <c r="F64" i="186"/>
  <c r="J61" i="185"/>
  <c r="F61" i="186"/>
  <c r="K61" i="185"/>
  <c r="K2" i="115"/>
  <c r="CG10" i="118"/>
  <c r="G82" i="115" s="1"/>
  <c r="CG99" i="118"/>
  <c r="G40" i="5"/>
  <c r="H35" i="22"/>
  <c r="K63" i="186" l="1"/>
  <c r="J63" i="186"/>
  <c r="F116" i="187"/>
  <c r="K116" i="186"/>
  <c r="J116" i="186"/>
  <c r="L149" i="22"/>
  <c r="K63" i="187"/>
  <c r="F63" i="188"/>
  <c r="J63" i="187"/>
  <c r="J149" i="184"/>
  <c r="K149" i="184"/>
  <c r="F129" i="187"/>
  <c r="K129" i="186"/>
  <c r="J129" i="186"/>
  <c r="K90" i="186"/>
  <c r="J90" i="186"/>
  <c r="F90" i="187"/>
  <c r="J84" i="186"/>
  <c r="F84" i="187"/>
  <c r="K84" i="186"/>
  <c r="J144" i="186"/>
  <c r="F144" i="187"/>
  <c r="K144" i="186"/>
  <c r="J142" i="186"/>
  <c r="K142" i="186"/>
  <c r="F142" i="187"/>
  <c r="J98" i="186"/>
  <c r="F98" i="187"/>
  <c r="K98" i="186"/>
  <c r="F59" i="186"/>
  <c r="J59" i="185"/>
  <c r="K59" i="185"/>
  <c r="K93" i="186"/>
  <c r="J93" i="186"/>
  <c r="F93" i="187"/>
  <c r="K132" i="186"/>
  <c r="J132" i="186"/>
  <c r="F132" i="187"/>
  <c r="J122" i="186"/>
  <c r="K122" i="186"/>
  <c r="F122" i="187"/>
  <c r="F120" i="187"/>
  <c r="J120" i="186"/>
  <c r="K120" i="186"/>
  <c r="K112" i="186"/>
  <c r="J112" i="186"/>
  <c r="F112" i="187"/>
  <c r="J148" i="186"/>
  <c r="K148" i="186"/>
  <c r="F148" i="187"/>
  <c r="K66" i="186"/>
  <c r="J66" i="186"/>
  <c r="F66" i="187"/>
  <c r="K68" i="186"/>
  <c r="F68" i="187"/>
  <c r="J68" i="186"/>
  <c r="F119" i="187"/>
  <c r="K119" i="186"/>
  <c r="J119" i="186"/>
  <c r="F78" i="187"/>
  <c r="K78" i="186"/>
  <c r="J78" i="186"/>
  <c r="J118" i="186"/>
  <c r="K118" i="186"/>
  <c r="F118" i="187"/>
  <c r="F81" i="187"/>
  <c r="J81" i="186"/>
  <c r="K81" i="186"/>
  <c r="F79" i="187"/>
  <c r="K79" i="186"/>
  <c r="J79" i="186"/>
  <c r="F133" i="187"/>
  <c r="J133" i="186"/>
  <c r="K133" i="186"/>
  <c r="J127" i="186"/>
  <c r="K127" i="186"/>
  <c r="F127" i="187"/>
  <c r="F89" i="187"/>
  <c r="J89" i="186"/>
  <c r="K89" i="186"/>
  <c r="F140" i="187"/>
  <c r="K140" i="186"/>
  <c r="J140" i="186"/>
  <c r="K145" i="186"/>
  <c r="J145" i="186"/>
  <c r="F145" i="187"/>
  <c r="J74" i="186"/>
  <c r="K74" i="186"/>
  <c r="F74" i="187"/>
  <c r="J70" i="186"/>
  <c r="K70" i="186"/>
  <c r="F70" i="187"/>
  <c r="J77" i="186"/>
  <c r="K77" i="186"/>
  <c r="F77" i="187"/>
  <c r="K86" i="186"/>
  <c r="J86" i="186"/>
  <c r="F86" i="187"/>
  <c r="J117" i="186"/>
  <c r="K117" i="186"/>
  <c r="F117" i="187"/>
  <c r="F146" i="187"/>
  <c r="J146" i="186"/>
  <c r="K146" i="186"/>
  <c r="J73" i="186"/>
  <c r="K73" i="186"/>
  <c r="F73" i="187"/>
  <c r="K136" i="186"/>
  <c r="J136" i="186"/>
  <c r="F136" i="187"/>
  <c r="K60" i="186"/>
  <c r="J60" i="186"/>
  <c r="F60" i="187"/>
  <c r="J57" i="185"/>
  <c r="K57" i="185"/>
  <c r="F57" i="186"/>
  <c r="F71" i="187"/>
  <c r="K71" i="186"/>
  <c r="J71" i="186"/>
  <c r="J99" i="186"/>
  <c r="K99" i="186"/>
  <c r="F99" i="187"/>
  <c r="J75" i="186"/>
  <c r="F75" i="187"/>
  <c r="K75" i="186"/>
  <c r="J126" i="186"/>
  <c r="K126" i="186"/>
  <c r="F126" i="187"/>
  <c r="J69" i="186"/>
  <c r="K69" i="186"/>
  <c r="F69" i="187"/>
  <c r="J85" i="186"/>
  <c r="F85" i="187"/>
  <c r="K107" i="186"/>
  <c r="F107" i="187"/>
  <c r="J107" i="186"/>
  <c r="J95" i="186"/>
  <c r="K95" i="186"/>
  <c r="F95" i="187"/>
  <c r="K65" i="186"/>
  <c r="F65" i="187"/>
  <c r="J65" i="186"/>
  <c r="K80" i="186"/>
  <c r="F80" i="187"/>
  <c r="J80" i="186"/>
  <c r="K124" i="186"/>
  <c r="F124" i="187"/>
  <c r="J124" i="186"/>
  <c r="J76" i="186"/>
  <c r="F76" i="187"/>
  <c r="K76" i="186"/>
  <c r="K111" i="186"/>
  <c r="J111" i="186"/>
  <c r="F111" i="187"/>
  <c r="F141" i="187"/>
  <c r="J141" i="186"/>
  <c r="K141" i="186"/>
  <c r="K113" i="186"/>
  <c r="J113" i="186"/>
  <c r="F113" i="187"/>
  <c r="K147" i="186"/>
  <c r="J147" i="186"/>
  <c r="F147" i="187"/>
  <c r="J109" i="186"/>
  <c r="K109" i="186"/>
  <c r="F109" i="187"/>
  <c r="J121" i="186"/>
  <c r="K121" i="186"/>
  <c r="F121" i="187"/>
  <c r="J139" i="186"/>
  <c r="K139" i="186"/>
  <c r="F139" i="187"/>
  <c r="J72" i="186"/>
  <c r="K72" i="186"/>
  <c r="F72" i="187"/>
  <c r="K58" i="186"/>
  <c r="J58" i="186"/>
  <c r="F58" i="187"/>
  <c r="K82" i="186"/>
  <c r="J82" i="186"/>
  <c r="F82" i="187"/>
  <c r="J138" i="186"/>
  <c r="K138" i="186"/>
  <c r="F138" i="187"/>
  <c r="K115" i="186"/>
  <c r="J115" i="186"/>
  <c r="F115" i="187"/>
  <c r="F125" i="187"/>
  <c r="K125" i="186"/>
  <c r="J125" i="186"/>
  <c r="K106" i="186"/>
  <c r="F106" i="187"/>
  <c r="J106" i="186"/>
  <c r="F130" i="187"/>
  <c r="K130" i="186"/>
  <c r="J130" i="186"/>
  <c r="K91" i="186"/>
  <c r="J91" i="186"/>
  <c r="F91" i="187"/>
  <c r="F131" i="187"/>
  <c r="K131" i="186"/>
  <c r="J131" i="186"/>
  <c r="J128" i="186"/>
  <c r="K128" i="186"/>
  <c r="F128" i="187"/>
  <c r="K62" i="186"/>
  <c r="J62" i="186"/>
  <c r="F62" i="187"/>
  <c r="J143" i="186"/>
  <c r="F143" i="187"/>
  <c r="K143" i="186"/>
  <c r="J114" i="186"/>
  <c r="K114" i="186"/>
  <c r="F114" i="187"/>
  <c r="F110" i="187"/>
  <c r="K110" i="186"/>
  <c r="J110" i="186"/>
  <c r="F134" i="187"/>
  <c r="J134" i="186"/>
  <c r="K134" i="186"/>
  <c r="K100" i="186"/>
  <c r="J100" i="186"/>
  <c r="F100" i="187"/>
  <c r="K83" i="186"/>
  <c r="F83" i="187"/>
  <c r="J83" i="186"/>
  <c r="K97" i="186"/>
  <c r="J97" i="186"/>
  <c r="F97" i="187"/>
  <c r="K108" i="186"/>
  <c r="J108" i="186"/>
  <c r="F108" i="187"/>
  <c r="J123" i="186"/>
  <c r="F123" i="187"/>
  <c r="K123" i="186"/>
  <c r="F96" i="187"/>
  <c r="J96" i="186"/>
  <c r="K96" i="186"/>
  <c r="J135" i="186"/>
  <c r="F135" i="187"/>
  <c r="K135" i="186"/>
  <c r="J92" i="186"/>
  <c r="K92" i="186"/>
  <c r="F92" i="187"/>
  <c r="F149" i="185"/>
  <c r="V91" i="237" s="1"/>
  <c r="D91" i="237" s="1" a="1"/>
  <c r="F87" i="187"/>
  <c r="J87" i="186"/>
  <c r="K87" i="186"/>
  <c r="K94" i="186"/>
  <c r="J94" i="186"/>
  <c r="F94" i="187"/>
  <c r="J137" i="186"/>
  <c r="K137" i="186"/>
  <c r="F137" i="187"/>
  <c r="J88" i="186"/>
  <c r="K88" i="186"/>
  <c r="F88" i="187"/>
  <c r="K67" i="186"/>
  <c r="J67" i="186"/>
  <c r="F67" i="187"/>
  <c r="F64" i="187"/>
  <c r="K64" i="186"/>
  <c r="J64" i="186"/>
  <c r="K61" i="186"/>
  <c r="J61" i="186"/>
  <c r="F61" i="187"/>
  <c r="N76" i="236"/>
  <c r="N76" i="226"/>
  <c r="N76" i="234"/>
  <c r="N76" i="235"/>
  <c r="N76" i="233"/>
  <c r="N76" i="229"/>
  <c r="N76" i="231"/>
  <c r="N76" i="230"/>
  <c r="N76" i="232"/>
  <c r="N76" i="227"/>
  <c r="N76" i="225"/>
  <c r="N76" i="221"/>
  <c r="N76" i="222"/>
  <c r="N76" i="215"/>
  <c r="N76" i="223"/>
  <c r="N76" i="218"/>
  <c r="N76" i="216"/>
  <c r="N76" i="224"/>
  <c r="N76" i="219"/>
  <c r="N76" i="217"/>
  <c r="N76" i="210"/>
  <c r="N76" i="212"/>
  <c r="N76" i="211"/>
  <c r="N76" i="213"/>
  <c r="N76" i="228"/>
  <c r="N76" i="214"/>
  <c r="N76" i="220"/>
  <c r="N76" i="198"/>
  <c r="N76" i="195"/>
  <c r="N76" i="203"/>
  <c r="N76" i="200"/>
  <c r="N76" i="207"/>
  <c r="N76" i="208"/>
  <c r="N76" i="209"/>
  <c r="N76" i="204"/>
  <c r="N76" i="196"/>
  <c r="N76" i="201"/>
  <c r="N76" i="197"/>
  <c r="N76" i="202"/>
  <c r="N76" i="205"/>
  <c r="N76" i="199"/>
  <c r="N76" i="206"/>
  <c r="N76" i="191"/>
  <c r="N76" i="187"/>
  <c r="N76" i="188"/>
  <c r="N76" i="190"/>
  <c r="N76" i="185"/>
  <c r="N76" i="186"/>
  <c r="N76" i="189"/>
  <c r="N76" i="194"/>
  <c r="N76" i="192"/>
  <c r="N76" i="193"/>
  <c r="N64" i="236"/>
  <c r="N64" i="222"/>
  <c r="N64" i="233"/>
  <c r="N64" i="234"/>
  <c r="N64" i="227"/>
  <c r="N64" i="228"/>
  <c r="N64" i="229"/>
  <c r="N64" i="235"/>
  <c r="N64" i="230"/>
  <c r="N64" i="231"/>
  <c r="N64" i="232"/>
  <c r="N64" i="224"/>
  <c r="N64" i="225"/>
  <c r="N64" i="226"/>
  <c r="N64" i="220"/>
  <c r="N64" i="212"/>
  <c r="N64" i="223"/>
  <c r="N64" i="215"/>
  <c r="N64" i="213"/>
  <c r="N64" i="210"/>
  <c r="N64" i="218"/>
  <c r="N64" i="221"/>
  <c r="N64" i="219"/>
  <c r="N64" i="216"/>
  <c r="N64" i="199"/>
  <c r="N64" i="202"/>
  <c r="N64" i="214"/>
  <c r="N64" i="203"/>
  <c r="N64" i="211"/>
  <c r="N64" i="217"/>
  <c r="N64" i="205"/>
  <c r="N64" i="200"/>
  <c r="N64" i="206"/>
  <c r="N64" i="201"/>
  <c r="N64" i="207"/>
  <c r="N64" i="196"/>
  <c r="N64" i="208"/>
  <c r="N64" i="198"/>
  <c r="N64" i="197"/>
  <c r="N64" i="204"/>
  <c r="N64" i="187"/>
  <c r="N64" i="194"/>
  <c r="N64" i="188"/>
  <c r="N64" i="191"/>
  <c r="N64" i="189"/>
  <c r="N64" i="209"/>
  <c r="N64" i="192"/>
  <c r="N64" i="193"/>
  <c r="N64" i="190"/>
  <c r="N64" i="185"/>
  <c r="N64" i="195"/>
  <c r="N64" i="186"/>
  <c r="N69" i="236"/>
  <c r="N69" i="233"/>
  <c r="N69" i="229"/>
  <c r="N69" i="230"/>
  <c r="N69" i="231"/>
  <c r="N69" i="232"/>
  <c r="N69" i="225"/>
  <c r="N69" i="226"/>
  <c r="N69" i="234"/>
  <c r="N69" i="235"/>
  <c r="N69" i="227"/>
  <c r="N69" i="224"/>
  <c r="N69" i="228"/>
  <c r="N69" i="221"/>
  <c r="N69" i="217"/>
  <c r="N69" i="211"/>
  <c r="N69" i="222"/>
  <c r="N69" i="218"/>
  <c r="N69" i="219"/>
  <c r="N69" i="220"/>
  <c r="N69" i="212"/>
  <c r="N69" i="213"/>
  <c r="N69" i="223"/>
  <c r="N69" i="215"/>
  <c r="N69" i="216"/>
  <c r="N69" i="206"/>
  <c r="N69" i="203"/>
  <c r="N69" i="210"/>
  <c r="N69" i="207"/>
  <c r="N69" i="208"/>
  <c r="N69" i="209"/>
  <c r="N69" i="214"/>
  <c r="N69" i="204"/>
  <c r="N69" i="205"/>
  <c r="N69" i="199"/>
  <c r="N69" i="200"/>
  <c r="N69" i="197"/>
  <c r="N69" i="195"/>
  <c r="N69" i="198"/>
  <c r="N69" i="201"/>
  <c r="N69" i="202"/>
  <c r="N69" i="185"/>
  <c r="N69" i="196"/>
  <c r="N69" i="186"/>
  <c r="N69" i="193"/>
  <c r="N69" i="191"/>
  <c r="N69" i="192"/>
  <c r="N69" i="189"/>
  <c r="N69" i="187"/>
  <c r="N69" i="194"/>
  <c r="N69" i="188"/>
  <c r="N69" i="190"/>
  <c r="N89" i="236"/>
  <c r="N89" i="229"/>
  <c r="N89" i="228"/>
  <c r="N89" i="230"/>
  <c r="N89" i="233"/>
  <c r="N89" i="231"/>
  <c r="N89" i="232"/>
  <c r="N89" i="225"/>
  <c r="N89" i="234"/>
  <c r="N89" i="226"/>
  <c r="N89" i="221"/>
  <c r="N89" i="212"/>
  <c r="N89" i="222"/>
  <c r="N89" i="213"/>
  <c r="N89" i="215"/>
  <c r="N89" i="216"/>
  <c r="N89" i="235"/>
  <c r="N89" i="214"/>
  <c r="N89" i="210"/>
  <c r="N89" i="217"/>
  <c r="N89" i="218"/>
  <c r="N89" i="227"/>
  <c r="N89" i="219"/>
  <c r="N89" i="223"/>
  <c r="N89" i="220"/>
  <c r="N89" i="201"/>
  <c r="N89" i="202"/>
  <c r="N89" i="211"/>
  <c r="N89" i="199"/>
  <c r="N89" i="224"/>
  <c r="N89" i="200"/>
  <c r="N89" i="208"/>
  <c r="N89" i="209"/>
  <c r="N89" i="206"/>
  <c r="N89" i="207"/>
  <c r="N89" i="204"/>
  <c r="N89" i="205"/>
  <c r="N89" i="203"/>
  <c r="N89" i="197"/>
  <c r="N89" i="190"/>
  <c r="N89" i="194"/>
  <c r="N89" i="191"/>
  <c r="N89" i="189"/>
  <c r="N89" i="192"/>
  <c r="N89" i="198"/>
  <c r="N89" i="195"/>
  <c r="N89" i="196"/>
  <c r="N89" i="187"/>
  <c r="N89" i="193"/>
  <c r="N89" i="185"/>
  <c r="N89" i="186"/>
  <c r="N89" i="188"/>
  <c r="N123" i="236"/>
  <c r="N123" i="226"/>
  <c r="N123" i="234"/>
  <c r="N123" i="235"/>
  <c r="N123" i="233"/>
  <c r="N123" i="223"/>
  <c r="N123" i="224"/>
  <c r="N123" i="229"/>
  <c r="N123" i="231"/>
  <c r="N123" i="230"/>
  <c r="N123" i="232"/>
  <c r="N123" i="222"/>
  <c r="N123" i="227"/>
  <c r="N123" i="228"/>
  <c r="N123" i="221"/>
  <c r="N123" i="215"/>
  <c r="N123" i="216"/>
  <c r="N123" i="208"/>
  <c r="N123" i="225"/>
  <c r="N123" i="210"/>
  <c r="N123" i="219"/>
  <c r="N123" i="214"/>
  <c r="N123" i="212"/>
  <c r="N123" i="211"/>
  <c r="N123" i="220"/>
  <c r="N123" i="213"/>
  <c r="N123" i="217"/>
  <c r="N123" i="199"/>
  <c r="N123" i="196"/>
  <c r="N123" i="200"/>
  <c r="N123" i="204"/>
  <c r="N123" i="209"/>
  <c r="N123" i="205"/>
  <c r="N123" i="206"/>
  <c r="N123" i="207"/>
  <c r="N123" i="201"/>
  <c r="N123" i="202"/>
  <c r="N123" i="203"/>
  <c r="N123" i="197"/>
  <c r="N123" i="218"/>
  <c r="N123" i="195"/>
  <c r="N123" i="187"/>
  <c r="N123" i="198"/>
  <c r="N123" i="190"/>
  <c r="N123" i="185"/>
  <c r="N123" i="194"/>
  <c r="N123" i="191"/>
  <c r="N123" i="186"/>
  <c r="N123" i="192"/>
  <c r="N123" i="188"/>
  <c r="N123" i="189"/>
  <c r="N123" i="193"/>
  <c r="N136" i="236"/>
  <c r="N136" i="231"/>
  <c r="N136" i="224"/>
  <c r="N136" i="235"/>
  <c r="N136" i="225"/>
  <c r="N136" i="226"/>
  <c r="N136" i="234"/>
  <c r="N136" i="230"/>
  <c r="N136" i="228"/>
  <c r="N136" i="227"/>
  <c r="N136" i="233"/>
  <c r="N136" i="212"/>
  <c r="N136" i="220"/>
  <c r="N136" i="213"/>
  <c r="N136" i="216"/>
  <c r="N136" i="210"/>
  <c r="N136" i="229"/>
  <c r="N136" i="222"/>
  <c r="N136" i="221"/>
  <c r="N136" i="215"/>
  <c r="N136" i="223"/>
  <c r="N136" i="218"/>
  <c r="N136" i="232"/>
  <c r="N136" i="217"/>
  <c r="N136" i="214"/>
  <c r="N136" i="219"/>
  <c r="N136" i="202"/>
  <c r="N136" i="211"/>
  <c r="N136" i="204"/>
  <c r="N136" i="203"/>
  <c r="N136" i="196"/>
  <c r="N136" i="200"/>
  <c r="N136" i="199"/>
  <c r="N136" i="206"/>
  <c r="N136" i="198"/>
  <c r="N136" i="209"/>
  <c r="N136" i="208"/>
  <c r="N136" i="207"/>
  <c r="N136" i="205"/>
  <c r="N136" i="187"/>
  <c r="N136" i="201"/>
  <c r="N136" i="192"/>
  <c r="N136" i="186"/>
  <c r="N136" i="188"/>
  <c r="N136" i="197"/>
  <c r="N136" i="195"/>
  <c r="N136" i="193"/>
  <c r="N136" i="189"/>
  <c r="N136" i="185"/>
  <c r="N136" i="191"/>
  <c r="N136" i="194"/>
  <c r="N136" i="190"/>
  <c r="N81" i="236"/>
  <c r="N81" i="227"/>
  <c r="N81" i="230"/>
  <c r="N81" i="231"/>
  <c r="N81" i="234"/>
  <c r="N81" i="235"/>
  <c r="N81" i="223"/>
  <c r="N81" i="224"/>
  <c r="N81" i="232"/>
  <c r="N81" i="225"/>
  <c r="N81" i="233"/>
  <c r="N81" i="228"/>
  <c r="N81" i="216"/>
  <c r="N81" i="217"/>
  <c r="N81" i="210"/>
  <c r="N81" i="211"/>
  <c r="N81" i="222"/>
  <c r="N81" i="229"/>
  <c r="N81" i="212"/>
  <c r="N81" i="213"/>
  <c r="N81" i="214"/>
  <c r="N81" i="220"/>
  <c r="N81" i="218"/>
  <c r="N81" i="215"/>
  <c r="N81" i="209"/>
  <c r="N81" i="221"/>
  <c r="N81" i="219"/>
  <c r="N81" i="204"/>
  <c r="N81" i="205"/>
  <c r="N81" i="198"/>
  <c r="N81" i="226"/>
  <c r="N81" i="199"/>
  <c r="N81" i="200"/>
  <c r="N81" i="206"/>
  <c r="N81" i="201"/>
  <c r="N81" i="207"/>
  <c r="N81" i="196"/>
  <c r="N81" i="202"/>
  <c r="N81" i="197"/>
  <c r="N81" i="203"/>
  <c r="N81" i="208"/>
  <c r="N81" i="195"/>
  <c r="N81" i="188"/>
  <c r="N81" i="189"/>
  <c r="N81" i="190"/>
  <c r="N81" i="191"/>
  <c r="N81" i="186"/>
  <c r="N81" i="187"/>
  <c r="N81" i="185"/>
  <c r="N81" i="194"/>
  <c r="N81" i="192"/>
  <c r="N81" i="193"/>
  <c r="N107" i="236"/>
  <c r="N107" i="227"/>
  <c r="N107" i="228"/>
  <c r="N107" i="233"/>
  <c r="N107" i="229"/>
  <c r="N107" i="230"/>
  <c r="N107" i="231"/>
  <c r="N107" i="222"/>
  <c r="N107" i="232"/>
  <c r="N107" i="225"/>
  <c r="N107" i="226"/>
  <c r="N107" i="234"/>
  <c r="N107" i="235"/>
  <c r="N107" i="223"/>
  <c r="N107" i="218"/>
  <c r="N107" i="209"/>
  <c r="N107" i="210"/>
  <c r="N107" i="224"/>
  <c r="N107" i="211"/>
  <c r="N107" i="219"/>
  <c r="N107" i="215"/>
  <c r="N107" i="214"/>
  <c r="N107" i="220"/>
  <c r="N107" i="216"/>
  <c r="N107" i="207"/>
  <c r="N107" i="212"/>
  <c r="N107" i="221"/>
  <c r="N107" i="213"/>
  <c r="N107" i="195"/>
  <c r="N107" i="196"/>
  <c r="N107" i="197"/>
  <c r="N107" i="198"/>
  <c r="N107" i="205"/>
  <c r="N107" i="199"/>
  <c r="N107" i="206"/>
  <c r="N107" i="200"/>
  <c r="N107" i="203"/>
  <c r="N107" i="204"/>
  <c r="N107" i="201"/>
  <c r="N107" i="202"/>
  <c r="N107" i="217"/>
  <c r="N107" i="191"/>
  <c r="N107" i="192"/>
  <c r="N107" i="188"/>
  <c r="N107" i="185"/>
  <c r="N107" i="194"/>
  <c r="N107" i="190"/>
  <c r="N107" i="189"/>
  <c r="N107" i="186"/>
  <c r="N107" i="193"/>
  <c r="N107" i="208"/>
  <c r="N107" i="187"/>
  <c r="N120" i="236"/>
  <c r="N120" i="229"/>
  <c r="N120" i="223"/>
  <c r="N120" i="230"/>
  <c r="N120" i="224"/>
  <c r="N120" i="227"/>
  <c r="N120" i="231"/>
  <c r="N120" i="228"/>
  <c r="N120" i="235"/>
  <c r="N120" i="232"/>
  <c r="N120" i="225"/>
  <c r="N120" i="226"/>
  <c r="N120" i="233"/>
  <c r="N120" i="234"/>
  <c r="N120" i="213"/>
  <c r="N120" i="212"/>
  <c r="N120" i="214"/>
  <c r="N120" i="209"/>
  <c r="N120" i="210"/>
  <c r="N120" i="219"/>
  <c r="N120" i="220"/>
  <c r="N120" i="215"/>
  <c r="N120" i="216"/>
  <c r="N120" i="221"/>
  <c r="N120" i="222"/>
  <c r="N120" i="217"/>
  <c r="N120" i="218"/>
  <c r="N120" i="207"/>
  <c r="N120" i="204"/>
  <c r="N120" i="205"/>
  <c r="N120" i="200"/>
  <c r="N120" i="202"/>
  <c r="N120" i="201"/>
  <c r="N120" i="199"/>
  <c r="N120" i="203"/>
  <c r="N120" i="198"/>
  <c r="N120" i="208"/>
  <c r="N120" i="196"/>
  <c r="N120" i="197"/>
  <c r="N120" i="195"/>
  <c r="N120" i="191"/>
  <c r="N120" i="192"/>
  <c r="N120" i="186"/>
  <c r="N120" i="187"/>
  <c r="N120" i="211"/>
  <c r="N120" i="193"/>
  <c r="N120" i="206"/>
  <c r="N120" i="185"/>
  <c r="N120" i="194"/>
  <c r="N120" i="189"/>
  <c r="N120" i="190"/>
  <c r="N120" i="188"/>
  <c r="N97" i="236"/>
  <c r="N97" i="231"/>
  <c r="N97" i="232"/>
  <c r="N97" i="225"/>
  <c r="N97" i="226"/>
  <c r="N97" i="223"/>
  <c r="N97" i="229"/>
  <c r="N97" i="227"/>
  <c r="N97" i="224"/>
  <c r="N97" i="230"/>
  <c r="N97" i="228"/>
  <c r="N97" i="234"/>
  <c r="N97" i="235"/>
  <c r="N97" i="212"/>
  <c r="N97" i="213"/>
  <c r="N97" i="216"/>
  <c r="N97" i="221"/>
  <c r="N97" i="222"/>
  <c r="N97" i="210"/>
  <c r="N97" i="211"/>
  <c r="N97" i="233"/>
  <c r="N97" i="219"/>
  <c r="N97" i="217"/>
  <c r="N97" i="214"/>
  <c r="N97" i="220"/>
  <c r="N97" i="218"/>
  <c r="N97" i="215"/>
  <c r="N97" i="201"/>
  <c r="N97" i="206"/>
  <c r="N97" i="194"/>
  <c r="N97" i="207"/>
  <c r="N97" i="195"/>
  <c r="N97" i="202"/>
  <c r="N97" i="204"/>
  <c r="N97" i="203"/>
  <c r="N97" i="205"/>
  <c r="N97" i="196"/>
  <c r="N97" i="198"/>
  <c r="N97" i="197"/>
  <c r="N97" i="208"/>
  <c r="N97" i="199"/>
  <c r="N97" i="209"/>
  <c r="N97" i="189"/>
  <c r="N97" i="200"/>
  <c r="N97" i="188"/>
  <c r="N97" i="192"/>
  <c r="N97" i="193"/>
  <c r="N97" i="190"/>
  <c r="N97" i="191"/>
  <c r="N97" i="186"/>
  <c r="N97" i="187"/>
  <c r="N97" i="185"/>
  <c r="N132" i="236"/>
  <c r="N132" i="224"/>
  <c r="N132" i="234"/>
  <c r="N132" i="235"/>
  <c r="N132" i="225"/>
  <c r="N132" i="226"/>
  <c r="N132" i="229"/>
  <c r="N132" i="227"/>
  <c r="N132" i="230"/>
  <c r="N132" i="228"/>
  <c r="N132" i="231"/>
  <c r="N132" i="232"/>
  <c r="N132" i="223"/>
  <c r="N132" i="221"/>
  <c r="N132" i="222"/>
  <c r="N132" i="212"/>
  <c r="N132" i="208"/>
  <c r="N132" i="219"/>
  <c r="N132" i="213"/>
  <c r="N132" i="210"/>
  <c r="N132" i="209"/>
  <c r="N132" i="220"/>
  <c r="N132" i="211"/>
  <c r="N132" i="214"/>
  <c r="N132" i="233"/>
  <c r="N132" i="217"/>
  <c r="N132" i="218"/>
  <c r="N132" i="215"/>
  <c r="N132" i="216"/>
  <c r="N132" i="197"/>
  <c r="N132" i="198"/>
  <c r="N132" i="199"/>
  <c r="N132" i="202"/>
  <c r="N132" i="203"/>
  <c r="N132" i="200"/>
  <c r="N132" i="195"/>
  <c r="N132" i="206"/>
  <c r="N132" i="204"/>
  <c r="N132" i="201"/>
  <c r="N132" i="192"/>
  <c r="N132" i="185"/>
  <c r="N132" i="207"/>
  <c r="N132" i="194"/>
  <c r="N132" i="191"/>
  <c r="N132" i="188"/>
  <c r="N132" i="189"/>
  <c r="N132" i="190"/>
  <c r="N132" i="196"/>
  <c r="N132" i="186"/>
  <c r="N132" i="187"/>
  <c r="N132" i="193"/>
  <c r="N132" i="205"/>
  <c r="N118" i="236"/>
  <c r="N118" i="230"/>
  <c r="N118" i="226"/>
  <c r="N118" i="233"/>
  <c r="N118" i="235"/>
  <c r="N118" i="231"/>
  <c r="N118" i="232"/>
  <c r="N118" i="234"/>
  <c r="N118" i="227"/>
  <c r="N118" i="224"/>
  <c r="N118" i="223"/>
  <c r="N118" i="220"/>
  <c r="N118" i="229"/>
  <c r="N118" i="212"/>
  <c r="N118" i="213"/>
  <c r="N118" i="215"/>
  <c r="N118" i="216"/>
  <c r="N118" i="214"/>
  <c r="N118" i="225"/>
  <c r="N118" i="221"/>
  <c r="N118" i="210"/>
  <c r="N118" i="222"/>
  <c r="N118" i="217"/>
  <c r="N118" i="211"/>
  <c r="N118" i="218"/>
  <c r="N118" i="228"/>
  <c r="N118" i="200"/>
  <c r="N118" i="199"/>
  <c r="N118" i="201"/>
  <c r="N118" i="204"/>
  <c r="N118" i="205"/>
  <c r="N118" i="197"/>
  <c r="N118" i="219"/>
  <c r="N118" i="208"/>
  <c r="N118" i="209"/>
  <c r="N118" i="206"/>
  <c r="N118" i="207"/>
  <c r="N118" i="202"/>
  <c r="N118" i="203"/>
  <c r="N118" i="198"/>
  <c r="N118" i="188"/>
  <c r="N118" i="189"/>
  <c r="N118" i="193"/>
  <c r="N118" i="194"/>
  <c r="N118" i="190"/>
  <c r="N118" i="185"/>
  <c r="N118" i="191"/>
  <c r="N118" i="192"/>
  <c r="N118" i="195"/>
  <c r="N118" i="196"/>
  <c r="N118" i="186"/>
  <c r="N118" i="187"/>
  <c r="N94" i="236"/>
  <c r="N94" i="225"/>
  <c r="N94" i="226"/>
  <c r="N94" i="227"/>
  <c r="N94" i="233"/>
  <c r="N94" i="228"/>
  <c r="N94" i="235"/>
  <c r="N94" i="234"/>
  <c r="N94" i="223"/>
  <c r="N94" i="231"/>
  <c r="N94" i="229"/>
  <c r="N94" i="224"/>
  <c r="N94" i="232"/>
  <c r="N94" i="230"/>
  <c r="N94" i="222"/>
  <c r="N94" i="209"/>
  <c r="N94" i="217"/>
  <c r="N94" i="218"/>
  <c r="N94" i="215"/>
  <c r="N94" i="208"/>
  <c r="N94" i="216"/>
  <c r="N94" i="219"/>
  <c r="N94" i="220"/>
  <c r="N94" i="211"/>
  <c r="N94" i="212"/>
  <c r="N94" i="213"/>
  <c r="N94" i="207"/>
  <c r="N94" i="200"/>
  <c r="N94" i="210"/>
  <c r="N94" i="195"/>
  <c r="N94" i="214"/>
  <c r="N94" i="203"/>
  <c r="N94" i="196"/>
  <c r="N94" i="204"/>
  <c r="N94" i="201"/>
  <c r="N94" i="221"/>
  <c r="N94" i="202"/>
  <c r="N94" i="197"/>
  <c r="N94" i="198"/>
  <c r="N94" i="205"/>
  <c r="N94" i="206"/>
  <c r="N94" i="188"/>
  <c r="N94" i="193"/>
  <c r="N94" i="194"/>
  <c r="N94" i="189"/>
  <c r="N94" i="190"/>
  <c r="N94" i="191"/>
  <c r="N94" i="199"/>
  <c r="N94" i="192"/>
  <c r="N94" i="187"/>
  <c r="N94" i="186"/>
  <c r="N94" i="185"/>
  <c r="N125" i="236"/>
  <c r="N125" i="231"/>
  <c r="N125" i="223"/>
  <c r="N125" i="224"/>
  <c r="N125" i="225"/>
  <c r="N125" i="232"/>
  <c r="N125" i="228"/>
  <c r="N125" i="226"/>
  <c r="N125" i="229"/>
  <c r="N125" i="227"/>
  <c r="N125" i="234"/>
  <c r="N125" i="235"/>
  <c r="N125" i="233"/>
  <c r="N125" i="215"/>
  <c r="N125" i="209"/>
  <c r="N125" i="219"/>
  <c r="N125" i="213"/>
  <c r="N125" i="220"/>
  <c r="N125" i="216"/>
  <c r="N125" i="211"/>
  <c r="N125" i="217"/>
  <c r="N125" i="221"/>
  <c r="N125" i="214"/>
  <c r="N125" i="222"/>
  <c r="N125" i="230"/>
  <c r="N125" i="212"/>
  <c r="N125" i="218"/>
  <c r="N125" i="201"/>
  <c r="N125" i="205"/>
  <c r="N125" i="204"/>
  <c r="N125" i="202"/>
  <c r="N125" i="207"/>
  <c r="N125" i="208"/>
  <c r="N125" i="210"/>
  <c r="N125" i="197"/>
  <c r="N125" i="203"/>
  <c r="N125" i="199"/>
  <c r="N125" i="198"/>
  <c r="N125" i="206"/>
  <c r="N125" i="200"/>
  <c r="N125" i="190"/>
  <c r="N125" i="185"/>
  <c r="N125" i="195"/>
  <c r="N125" i="186"/>
  <c r="N125" i="192"/>
  <c r="N125" i="188"/>
  <c r="N125" i="193"/>
  <c r="N125" i="194"/>
  <c r="N125" i="187"/>
  <c r="N125" i="196"/>
  <c r="N125" i="191"/>
  <c r="N125" i="189"/>
  <c r="N91" i="236"/>
  <c r="N91" i="226"/>
  <c r="N91" i="223"/>
  <c r="N91" i="229"/>
  <c r="N91" i="227"/>
  <c r="N91" i="224"/>
  <c r="N91" i="230"/>
  <c r="N91" i="228"/>
  <c r="N91" i="233"/>
  <c r="N91" i="234"/>
  <c r="N91" i="231"/>
  <c r="N91" i="232"/>
  <c r="N91" i="235"/>
  <c r="N91" i="209"/>
  <c r="N91" i="210"/>
  <c r="N91" i="225"/>
  <c r="N91" i="215"/>
  <c r="N91" i="216"/>
  <c r="N91" i="221"/>
  <c r="N91" i="222"/>
  <c r="N91" i="213"/>
  <c r="N91" i="214"/>
  <c r="N91" i="219"/>
  <c r="N91" i="220"/>
  <c r="N91" i="217"/>
  <c r="N91" i="211"/>
  <c r="N91" i="218"/>
  <c r="N91" i="212"/>
  <c r="N91" i="203"/>
  <c r="N91" i="201"/>
  <c r="N91" i="199"/>
  <c r="N91" i="204"/>
  <c r="N91" i="202"/>
  <c r="N91" i="200"/>
  <c r="N91" i="205"/>
  <c r="N91" i="195"/>
  <c r="N91" i="206"/>
  <c r="N91" i="196"/>
  <c r="N91" i="197"/>
  <c r="N91" i="198"/>
  <c r="N91" i="207"/>
  <c r="N91" i="208"/>
  <c r="N91" i="186"/>
  <c r="N91" i="193"/>
  <c r="N91" i="185"/>
  <c r="N91" i="194"/>
  <c r="N91" i="189"/>
  <c r="N91" i="192"/>
  <c r="N91" i="190"/>
  <c r="N91" i="187"/>
  <c r="N91" i="188"/>
  <c r="N91" i="191"/>
  <c r="N63" i="236"/>
  <c r="N63" i="229"/>
  <c r="N63" i="230"/>
  <c r="N63" i="225"/>
  <c r="N63" i="226"/>
  <c r="N63" i="233"/>
  <c r="N63" i="227"/>
  <c r="N63" i="223"/>
  <c r="N63" i="234"/>
  <c r="N63" i="228"/>
  <c r="N63" i="231"/>
  <c r="N63" i="232"/>
  <c r="N63" i="235"/>
  <c r="N63" i="212"/>
  <c r="N63" i="213"/>
  <c r="N63" i="214"/>
  <c r="N63" i="215"/>
  <c r="N63" i="210"/>
  <c r="N63" i="217"/>
  <c r="N63" i="218"/>
  <c r="N63" i="219"/>
  <c r="N63" i="220"/>
  <c r="N63" i="221"/>
  <c r="N63" i="224"/>
  <c r="N63" i="222"/>
  <c r="N63" i="216"/>
  <c r="N63" i="206"/>
  <c r="N63" i="204"/>
  <c r="N63" i="207"/>
  <c r="N63" i="205"/>
  <c r="N63" i="202"/>
  <c r="N63" i="208"/>
  <c r="N63" i="203"/>
  <c r="N63" i="198"/>
  <c r="N63" i="209"/>
  <c r="N63" i="199"/>
  <c r="N63" i="200"/>
  <c r="N63" i="201"/>
  <c r="N63" i="211"/>
  <c r="N63" i="196"/>
  <c r="N63" i="197"/>
  <c r="N63" i="192"/>
  <c r="N63" i="193"/>
  <c r="N63" i="190"/>
  <c r="N63" i="191"/>
  <c r="N63" i="186"/>
  <c r="N63" i="187"/>
  <c r="N63" i="188"/>
  <c r="N63" i="189"/>
  <c r="N63" i="185"/>
  <c r="N63" i="194"/>
  <c r="N63" i="195"/>
  <c r="N139" i="236"/>
  <c r="N139" i="231"/>
  <c r="N139" i="232"/>
  <c r="N139" i="224"/>
  <c r="N139" i="233"/>
  <c r="N139" i="234"/>
  <c r="N139" i="223"/>
  <c r="N139" i="235"/>
  <c r="N139" i="227"/>
  <c r="N139" i="228"/>
  <c r="N139" i="225"/>
  <c r="N139" i="230"/>
  <c r="N139" i="226"/>
  <c r="N139" i="229"/>
  <c r="N139" i="213"/>
  <c r="N139" i="216"/>
  <c r="N139" i="217"/>
  <c r="N139" i="219"/>
  <c r="N139" i="218"/>
  <c r="N139" i="214"/>
  <c r="N139" i="209"/>
  <c r="N139" i="222"/>
  <c r="N139" i="220"/>
  <c r="N139" i="215"/>
  <c r="N139" i="211"/>
  <c r="N139" i="197"/>
  <c r="N139" i="210"/>
  <c r="N139" i="198"/>
  <c r="N139" i="196"/>
  <c r="N139" i="199"/>
  <c r="N139" i="204"/>
  <c r="N139" i="202"/>
  <c r="N139" i="203"/>
  <c r="N139" i="205"/>
  <c r="N139" i="206"/>
  <c r="N139" i="212"/>
  <c r="N139" i="207"/>
  <c r="N139" i="208"/>
  <c r="N139" i="201"/>
  <c r="N139" i="221"/>
  <c r="N139" i="193"/>
  <c r="N139" i="191"/>
  <c r="N139" i="186"/>
  <c r="N139" i="185"/>
  <c r="N139" i="187"/>
  <c r="N139" i="190"/>
  <c r="N139" i="195"/>
  <c r="N139" i="188"/>
  <c r="N139" i="194"/>
  <c r="N139" i="200"/>
  <c r="N139" i="192"/>
  <c r="N139" i="189"/>
  <c r="N59" i="236"/>
  <c r="N59" i="230"/>
  <c r="N59" i="232"/>
  <c r="N59" i="231"/>
  <c r="N59" i="233"/>
  <c r="N59" i="234"/>
  <c r="N59" i="222"/>
  <c r="N59" i="235"/>
  <c r="N59" i="223"/>
  <c r="N59" i="224"/>
  <c r="N59" i="225"/>
  <c r="N59" i="228"/>
  <c r="N59" i="229"/>
  <c r="N59" i="226"/>
  <c r="N59" i="227"/>
  <c r="N59" i="211"/>
  <c r="N59" i="218"/>
  <c r="N59" i="219"/>
  <c r="N59" i="214"/>
  <c r="N59" i="215"/>
  <c r="N59" i="220"/>
  <c r="N59" i="221"/>
  <c r="N59" i="216"/>
  <c r="N59" i="217"/>
  <c r="N59" i="212"/>
  <c r="N59" i="213"/>
  <c r="N59" i="207"/>
  <c r="N59" i="210"/>
  <c r="N59" i="204"/>
  <c r="N59" i="205"/>
  <c r="N59" i="200"/>
  <c r="N59" i="201"/>
  <c r="N59" i="198"/>
  <c r="N59" i="195"/>
  <c r="N59" i="199"/>
  <c r="N59" i="208"/>
  <c r="N59" i="209"/>
  <c r="N59" i="202"/>
  <c r="N59" i="203"/>
  <c r="N59" i="196"/>
  <c r="N59" i="197"/>
  <c r="N59" i="188"/>
  <c r="N59" i="189"/>
  <c r="N59" i="206"/>
  <c r="N59" i="186"/>
  <c r="N59" i="187"/>
  <c r="N59" i="191"/>
  <c r="N59" i="185"/>
  <c r="N59" i="192"/>
  <c r="N59" i="194"/>
  <c r="N59" i="193"/>
  <c r="N59" i="190"/>
  <c r="N109" i="236"/>
  <c r="N109" i="235"/>
  <c r="N109" i="233"/>
  <c r="N109" i="234"/>
  <c r="N109" i="231"/>
  <c r="N109" i="232"/>
  <c r="N109" i="223"/>
  <c r="N109" i="229"/>
  <c r="N109" i="230"/>
  <c r="N109" i="225"/>
  <c r="N109" i="226"/>
  <c r="N109" i="227"/>
  <c r="N109" i="210"/>
  <c r="N109" i="211"/>
  <c r="N109" i="212"/>
  <c r="N109" i="213"/>
  <c r="N109" i="221"/>
  <c r="N109" i="222"/>
  <c r="N109" i="228"/>
  <c r="N109" i="220"/>
  <c r="N109" i="214"/>
  <c r="N109" i="218"/>
  <c r="N109" i="215"/>
  <c r="N109" i="224"/>
  <c r="N109" i="219"/>
  <c r="N109" i="216"/>
  <c r="N109" i="205"/>
  <c r="N109" i="206"/>
  <c r="N109" i="200"/>
  <c r="N109" i="207"/>
  <c r="N109" i="217"/>
  <c r="N109" i="208"/>
  <c r="N109" i="196"/>
  <c r="N109" i="197"/>
  <c r="N109" i="209"/>
  <c r="N109" i="198"/>
  <c r="N109" i="199"/>
  <c r="N109" i="202"/>
  <c r="N109" i="203"/>
  <c r="N109" i="201"/>
  <c r="N109" i="190"/>
  <c r="N109" i="186"/>
  <c r="N109" i="204"/>
  <c r="N109" i="191"/>
  <c r="N109" i="188"/>
  <c r="N109" i="192"/>
  <c r="N109" i="187"/>
  <c r="N109" i="193"/>
  <c r="N109" i="189"/>
  <c r="N109" i="185"/>
  <c r="N109" i="194"/>
  <c r="N109" i="195"/>
  <c r="N75" i="236"/>
  <c r="N75" i="223"/>
  <c r="N75" i="222"/>
  <c r="N75" i="224"/>
  <c r="N75" i="234"/>
  <c r="N75" i="235"/>
  <c r="N75" i="225"/>
  <c r="N75" i="226"/>
  <c r="N75" i="229"/>
  <c r="N75" i="230"/>
  <c r="N75" i="227"/>
  <c r="N75" i="228"/>
  <c r="N75" i="231"/>
  <c r="N75" i="233"/>
  <c r="N75" i="232"/>
  <c r="N75" i="212"/>
  <c r="N75" i="213"/>
  <c r="N75" i="220"/>
  <c r="N75" i="214"/>
  <c r="N75" i="221"/>
  <c r="N75" i="215"/>
  <c r="N75" i="216"/>
  <c r="N75" i="218"/>
  <c r="N75" i="217"/>
  <c r="N75" i="219"/>
  <c r="N75" i="211"/>
  <c r="N75" i="210"/>
  <c r="N75" i="204"/>
  <c r="N75" i="198"/>
  <c r="N75" i="200"/>
  <c r="N75" i="199"/>
  <c r="N75" i="205"/>
  <c r="N75" i="206"/>
  <c r="N75" i="207"/>
  <c r="N75" i="209"/>
  <c r="N75" i="208"/>
  <c r="N75" i="201"/>
  <c r="N75" i="196"/>
  <c r="N75" i="202"/>
  <c r="N75" i="197"/>
  <c r="N75" i="186"/>
  <c r="N75" i="194"/>
  <c r="N75" i="192"/>
  <c r="N75" i="195"/>
  <c r="N75" i="193"/>
  <c r="N75" i="185"/>
  <c r="N75" i="188"/>
  <c r="N75" i="203"/>
  <c r="N75" i="189"/>
  <c r="N75" i="190"/>
  <c r="N75" i="191"/>
  <c r="N75" i="187"/>
  <c r="N88" i="236"/>
  <c r="N88" i="222"/>
  <c r="N88" i="229"/>
  <c r="N88" i="225"/>
  <c r="N88" i="230"/>
  <c r="N88" i="227"/>
  <c r="N88" i="226"/>
  <c r="N88" i="228"/>
  <c r="N88" i="233"/>
  <c r="N88" i="234"/>
  <c r="N88" i="235"/>
  <c r="N88" i="231"/>
  <c r="N88" i="232"/>
  <c r="N88" i="224"/>
  <c r="N88" i="219"/>
  <c r="N88" i="215"/>
  <c r="N88" i="212"/>
  <c r="N88" i="220"/>
  <c r="N88" i="217"/>
  <c r="N88" i="216"/>
  <c r="N88" i="208"/>
  <c r="N88" i="218"/>
  <c r="N88" i="213"/>
  <c r="N88" i="214"/>
  <c r="N88" i="211"/>
  <c r="N88" i="221"/>
  <c r="N88" i="203"/>
  <c r="N88" i="201"/>
  <c r="N88" i="198"/>
  <c r="N88" i="199"/>
  <c r="N88" i="223"/>
  <c r="N88" i="206"/>
  <c r="N88" i="197"/>
  <c r="N88" i="209"/>
  <c r="N88" i="207"/>
  <c r="N88" i="204"/>
  <c r="N88" i="205"/>
  <c r="N88" i="210"/>
  <c r="N88" i="188"/>
  <c r="N88" i="196"/>
  <c r="N88" i="189"/>
  <c r="N88" i="200"/>
  <c r="N88" i="190"/>
  <c r="N88" i="191"/>
  <c r="N88" i="195"/>
  <c r="N88" i="185"/>
  <c r="N88" i="186"/>
  <c r="N88" i="202"/>
  <c r="N88" i="187"/>
  <c r="N88" i="193"/>
  <c r="N88" i="194"/>
  <c r="N88" i="192"/>
  <c r="N126" i="236"/>
  <c r="N126" i="229"/>
  <c r="N126" i="224"/>
  <c r="N126" i="230"/>
  <c r="N126" i="231"/>
  <c r="N126" i="232"/>
  <c r="N126" i="225"/>
  <c r="N126" i="226"/>
  <c r="N126" i="235"/>
  <c r="N126" i="233"/>
  <c r="N126" i="227"/>
  <c r="N126" i="234"/>
  <c r="N126" i="228"/>
  <c r="N126" i="215"/>
  <c r="N126" i="216"/>
  <c r="N126" i="221"/>
  <c r="N126" i="222"/>
  <c r="N126" i="213"/>
  <c r="N126" i="211"/>
  <c r="N126" i="219"/>
  <c r="N126" i="214"/>
  <c r="N126" i="212"/>
  <c r="N126" i="220"/>
  <c r="N126" i="217"/>
  <c r="N126" i="223"/>
  <c r="N126" i="218"/>
  <c r="N126" i="206"/>
  <c r="N126" i="195"/>
  <c r="N126" i="208"/>
  <c r="N126" i="207"/>
  <c r="N126" i="209"/>
  <c r="N126" i="210"/>
  <c r="N126" i="200"/>
  <c r="N126" i="201"/>
  <c r="N126" i="198"/>
  <c r="N126" i="202"/>
  <c r="N126" i="199"/>
  <c r="N126" i="203"/>
  <c r="N126" i="196"/>
  <c r="N126" i="204"/>
  <c r="N126" i="197"/>
  <c r="N126" i="205"/>
  <c r="N126" i="194"/>
  <c r="N126" i="185"/>
  <c r="N126" i="188"/>
  <c r="N126" i="192"/>
  <c r="N126" i="189"/>
  <c r="N126" i="193"/>
  <c r="N126" i="190"/>
  <c r="N126" i="191"/>
  <c r="N126" i="186"/>
  <c r="N126" i="187"/>
  <c r="N78" i="236"/>
  <c r="N78" i="222"/>
  <c r="N78" i="227"/>
  <c r="N78" i="228"/>
  <c r="N78" i="229"/>
  <c r="N78" i="230"/>
  <c r="N78" i="225"/>
  <c r="N78" i="223"/>
  <c r="N78" i="226"/>
  <c r="N78" i="234"/>
  <c r="N78" i="235"/>
  <c r="N78" i="233"/>
  <c r="N78" i="231"/>
  <c r="N78" i="220"/>
  <c r="N78" i="232"/>
  <c r="N78" i="224"/>
  <c r="N78" i="217"/>
  <c r="N78" i="221"/>
  <c r="N78" i="218"/>
  <c r="N78" i="212"/>
  <c r="N78" i="213"/>
  <c r="N78" i="215"/>
  <c r="N78" i="210"/>
  <c r="N78" i="216"/>
  <c r="N78" i="211"/>
  <c r="N78" i="214"/>
  <c r="N78" i="208"/>
  <c r="N78" i="209"/>
  <c r="N78" i="198"/>
  <c r="N78" i="219"/>
  <c r="N78" i="200"/>
  <c r="N78" i="199"/>
  <c r="N78" i="201"/>
  <c r="N78" i="206"/>
  <c r="N78" i="204"/>
  <c r="N78" i="207"/>
  <c r="N78" i="205"/>
  <c r="N78" i="202"/>
  <c r="N78" i="203"/>
  <c r="N78" i="196"/>
  <c r="N78" i="197"/>
  <c r="N78" i="193"/>
  <c r="N78" i="189"/>
  <c r="N78" i="187"/>
  <c r="N78" i="190"/>
  <c r="N78" i="188"/>
  <c r="N78" i="185"/>
  <c r="N78" i="186"/>
  <c r="N78" i="194"/>
  <c r="N78" i="195"/>
  <c r="N78" i="191"/>
  <c r="N78" i="192"/>
  <c r="N134" i="236"/>
  <c r="N134" i="229"/>
  <c r="N134" i="233"/>
  <c r="N134" i="230"/>
  <c r="N134" i="225"/>
  <c r="N134" i="231"/>
  <c r="N134" i="226"/>
  <c r="N134" i="232"/>
  <c r="N134" i="223"/>
  <c r="N134" i="224"/>
  <c r="N134" i="234"/>
  <c r="N134" i="235"/>
  <c r="N134" i="227"/>
  <c r="N134" i="228"/>
  <c r="N134" i="218"/>
  <c r="N134" i="210"/>
  <c r="N134" i="215"/>
  <c r="N134" i="211"/>
  <c r="N134" i="219"/>
  <c r="N134" i="216"/>
  <c r="N134" i="220"/>
  <c r="N134" i="212"/>
  <c r="N134" i="221"/>
  <c r="N134" i="213"/>
  <c r="N134" i="222"/>
  <c r="N134" i="206"/>
  <c r="N134" i="197"/>
  <c r="N134" i="198"/>
  <c r="N134" i="214"/>
  <c r="N134" i="199"/>
  <c r="N134" i="200"/>
  <c r="N134" i="201"/>
  <c r="N134" i="202"/>
  <c r="N134" i="195"/>
  <c r="N134" i="217"/>
  <c r="N134" i="209"/>
  <c r="N134" i="207"/>
  <c r="N134" i="203"/>
  <c r="N134" i="208"/>
  <c r="N134" i="204"/>
  <c r="N134" i="188"/>
  <c r="N134" i="189"/>
  <c r="N134" i="196"/>
  <c r="N134" i="205"/>
  <c r="N134" i="191"/>
  <c r="N134" i="185"/>
  <c r="N134" i="192"/>
  <c r="N134" i="190"/>
  <c r="N134" i="186"/>
  <c r="N134" i="193"/>
  <c r="N134" i="187"/>
  <c r="N134" i="194"/>
  <c r="N138" i="236"/>
  <c r="N138" i="222"/>
  <c r="N138" i="234"/>
  <c r="N138" i="235"/>
  <c r="N138" i="225"/>
  <c r="N138" i="231"/>
  <c r="N138" i="226"/>
  <c r="N138" i="232"/>
  <c r="N138" i="229"/>
  <c r="N138" i="227"/>
  <c r="N138" i="230"/>
  <c r="N138" i="228"/>
  <c r="N138" i="223"/>
  <c r="N138" i="233"/>
  <c r="N138" i="221"/>
  <c r="N138" i="212"/>
  <c r="N138" i="210"/>
  <c r="N138" i="209"/>
  <c r="N138" i="211"/>
  <c r="N138" i="215"/>
  <c r="N138" i="213"/>
  <c r="N138" i="219"/>
  <c r="N138" i="214"/>
  <c r="N138" i="217"/>
  <c r="N138" i="218"/>
  <c r="N138" i="216"/>
  <c r="N138" i="220"/>
  <c r="N138" i="197"/>
  <c r="N138" i="207"/>
  <c r="N138" i="224"/>
  <c r="N138" i="208"/>
  <c r="N138" i="205"/>
  <c r="N138" i="206"/>
  <c r="N138" i="198"/>
  <c r="N138" i="202"/>
  <c r="N138" i="203"/>
  <c r="N138" i="199"/>
  <c r="N138" i="204"/>
  <c r="N138" i="201"/>
  <c r="N138" i="200"/>
  <c r="N138" i="191"/>
  <c r="N138" i="192"/>
  <c r="N138" i="194"/>
  <c r="N138" i="193"/>
  <c r="N138" i="189"/>
  <c r="N138" i="195"/>
  <c r="N138" i="185"/>
  <c r="N138" i="188"/>
  <c r="N138" i="187"/>
  <c r="N138" i="190"/>
  <c r="N138" i="196"/>
  <c r="N138" i="186"/>
  <c r="N135" i="236"/>
  <c r="N135" i="223"/>
  <c r="N135" i="224"/>
  <c r="N135" i="231"/>
  <c r="N135" i="232"/>
  <c r="N135" i="233"/>
  <c r="N135" i="234"/>
  <c r="N135" i="235"/>
  <c r="N135" i="227"/>
  <c r="N135" i="229"/>
  <c r="N135" i="228"/>
  <c r="N135" i="230"/>
  <c r="N135" i="225"/>
  <c r="N135" i="214"/>
  <c r="N135" i="210"/>
  <c r="N135" i="215"/>
  <c r="N135" i="212"/>
  <c r="N135" i="211"/>
  <c r="N135" i="226"/>
  <c r="N135" i="218"/>
  <c r="N135" i="221"/>
  <c r="N135" i="219"/>
  <c r="N135" i="222"/>
  <c r="N135" i="216"/>
  <c r="N135" i="220"/>
  <c r="N135" i="217"/>
  <c r="N135" i="205"/>
  <c r="N135" i="206"/>
  <c r="N135" i="200"/>
  <c r="N135" i="195"/>
  <c r="N135" i="204"/>
  <c r="N135" i="196"/>
  <c r="N135" i="213"/>
  <c r="N135" i="197"/>
  <c r="N135" i="209"/>
  <c r="N135" i="207"/>
  <c r="N135" i="199"/>
  <c r="N135" i="208"/>
  <c r="N135" i="201"/>
  <c r="N135" i="198"/>
  <c r="N135" i="203"/>
  <c r="N135" i="202"/>
  <c r="N135" i="187"/>
  <c r="N135" i="191"/>
  <c r="N135" i="192"/>
  <c r="N135" i="185"/>
  <c r="N135" i="194"/>
  <c r="N135" i="193"/>
  <c r="N135" i="189"/>
  <c r="N135" i="188"/>
  <c r="N135" i="186"/>
  <c r="N135" i="190"/>
  <c r="N92" i="236"/>
  <c r="N92" i="234"/>
  <c r="N92" i="227"/>
  <c r="N92" i="228"/>
  <c r="N92" i="231"/>
  <c r="N92" i="235"/>
  <c r="N92" i="232"/>
  <c r="N92" i="225"/>
  <c r="N92" i="226"/>
  <c r="N92" i="223"/>
  <c r="N92" i="224"/>
  <c r="N92" i="229"/>
  <c r="N92" i="215"/>
  <c r="N92" i="230"/>
  <c r="N92" i="217"/>
  <c r="N92" i="210"/>
  <c r="N92" i="218"/>
  <c r="N92" i="211"/>
  <c r="N92" i="216"/>
  <c r="N92" i="214"/>
  <c r="N92" i="219"/>
  <c r="N92" i="220"/>
  <c r="N92" i="212"/>
  <c r="N92" i="233"/>
  <c r="N92" i="213"/>
  <c r="N92" i="221"/>
  <c r="N92" i="205"/>
  <c r="N92" i="206"/>
  <c r="N92" i="196"/>
  <c r="N92" i="209"/>
  <c r="N92" i="197"/>
  <c r="N92" i="203"/>
  <c r="N92" i="204"/>
  <c r="N92" i="198"/>
  <c r="N92" i="207"/>
  <c r="N92" i="222"/>
  <c r="N92" i="208"/>
  <c r="N92" i="201"/>
  <c r="N92" i="200"/>
  <c r="N92" i="202"/>
  <c r="N92" i="199"/>
  <c r="N92" i="193"/>
  <c r="N92" i="192"/>
  <c r="N92" i="194"/>
  <c r="N92" i="195"/>
  <c r="N92" i="186"/>
  <c r="N92" i="190"/>
  <c r="N92" i="191"/>
  <c r="N92" i="188"/>
  <c r="N92" i="189"/>
  <c r="N92" i="187"/>
  <c r="N92" i="185"/>
  <c r="N66" i="236"/>
  <c r="N66" i="229"/>
  <c r="N66" i="230"/>
  <c r="N66" i="233"/>
  <c r="N66" i="234"/>
  <c r="N66" i="225"/>
  <c r="N66" i="226"/>
  <c r="N66" i="231"/>
  <c r="N66" i="227"/>
  <c r="N66" i="232"/>
  <c r="N66" i="228"/>
  <c r="N66" i="223"/>
  <c r="N66" i="235"/>
  <c r="N66" i="214"/>
  <c r="N66" i="210"/>
  <c r="N66" i="221"/>
  <c r="N66" i="217"/>
  <c r="N66" i="211"/>
  <c r="N66" i="222"/>
  <c r="N66" i="218"/>
  <c r="N66" i="219"/>
  <c r="N66" i="220"/>
  <c r="N66" i="209"/>
  <c r="N66" i="212"/>
  <c r="N66" i="213"/>
  <c r="N66" i="224"/>
  <c r="N66" i="215"/>
  <c r="N66" i="197"/>
  <c r="N66" i="202"/>
  <c r="N66" i="206"/>
  <c r="N66" i="203"/>
  <c r="N66" i="207"/>
  <c r="N66" i="208"/>
  <c r="N66" i="204"/>
  <c r="N66" i="205"/>
  <c r="N66" i="199"/>
  <c r="N66" i="200"/>
  <c r="N66" i="201"/>
  <c r="N66" i="198"/>
  <c r="N66" i="216"/>
  <c r="N66" i="187"/>
  <c r="N66" i="185"/>
  <c r="N66" i="192"/>
  <c r="N66" i="186"/>
  <c r="N66" i="193"/>
  <c r="N66" i="190"/>
  <c r="N66" i="191"/>
  <c r="N66" i="194"/>
  <c r="N66" i="188"/>
  <c r="N66" i="195"/>
  <c r="N66" i="189"/>
  <c r="N66" i="196"/>
  <c r="N82" i="236"/>
  <c r="N82" i="234"/>
  <c r="N82" i="235"/>
  <c r="N82" i="229"/>
  <c r="N82" i="225"/>
  <c r="N82" i="230"/>
  <c r="N82" i="227"/>
  <c r="N82" i="226"/>
  <c r="N82" i="228"/>
  <c r="N82" i="231"/>
  <c r="N82" i="232"/>
  <c r="N82" i="233"/>
  <c r="N82" i="218"/>
  <c r="N82" i="215"/>
  <c r="N82" i="221"/>
  <c r="N82" i="222"/>
  <c r="N82" i="219"/>
  <c r="N82" i="214"/>
  <c r="N82" i="210"/>
  <c r="N82" i="223"/>
  <c r="N82" i="213"/>
  <c r="N82" i="224"/>
  <c r="N82" i="212"/>
  <c r="N82" i="195"/>
  <c r="N82" i="199"/>
  <c r="N82" i="205"/>
  <c r="N82" i="206"/>
  <c r="N82" i="200"/>
  <c r="N82" i="220"/>
  <c r="N82" i="198"/>
  <c r="N82" i="196"/>
  <c r="N82" i="207"/>
  <c r="N82" i="197"/>
  <c r="N82" i="208"/>
  <c r="N82" i="209"/>
  <c r="N82" i="217"/>
  <c r="N82" i="201"/>
  <c r="N82" i="216"/>
  <c r="N82" i="202"/>
  <c r="N82" i="211"/>
  <c r="N82" i="204"/>
  <c r="N82" i="203"/>
  <c r="N82" i="189"/>
  <c r="N82" i="188"/>
  <c r="N82" i="191"/>
  <c r="N82" i="185"/>
  <c r="N82" i="186"/>
  <c r="N82" i="192"/>
  <c r="N82" i="187"/>
  <c r="N82" i="194"/>
  <c r="N82" i="193"/>
  <c r="N82" i="190"/>
  <c r="N68" i="236"/>
  <c r="N68" i="235"/>
  <c r="N68" i="221"/>
  <c r="N68" i="231"/>
  <c r="N68" i="232"/>
  <c r="N68" i="223"/>
  <c r="N68" i="224"/>
  <c r="N68" i="225"/>
  <c r="N68" i="226"/>
  <c r="N68" i="233"/>
  <c r="N68" i="234"/>
  <c r="N68" i="229"/>
  <c r="N68" i="227"/>
  <c r="N68" i="230"/>
  <c r="N68" i="228"/>
  <c r="N68" i="219"/>
  <c r="N68" i="214"/>
  <c r="N68" i="210"/>
  <c r="N68" i="220"/>
  <c r="N68" i="215"/>
  <c r="N68" i="211"/>
  <c r="N68" i="217"/>
  <c r="N68" i="218"/>
  <c r="N68" i="212"/>
  <c r="N68" i="213"/>
  <c r="N68" i="209"/>
  <c r="N68" i="222"/>
  <c r="N68" i="204"/>
  <c r="N68" i="205"/>
  <c r="N68" i="194"/>
  <c r="N68" i="200"/>
  <c r="N68" i="216"/>
  <c r="N68" i="206"/>
  <c r="N68" i="202"/>
  <c r="N68" i="201"/>
  <c r="N68" i="208"/>
  <c r="N68" i="207"/>
  <c r="N68" i="203"/>
  <c r="N68" i="198"/>
  <c r="N68" i="196"/>
  <c r="N68" i="199"/>
  <c r="N68" i="197"/>
  <c r="N68" i="185"/>
  <c r="N68" i="195"/>
  <c r="N68" i="188"/>
  <c r="N68" i="189"/>
  <c r="N68" i="186"/>
  <c r="N68" i="187"/>
  <c r="N68" i="192"/>
  <c r="N68" i="193"/>
  <c r="N68" i="190"/>
  <c r="N68" i="191"/>
  <c r="N122" i="236"/>
  <c r="N122" i="220"/>
  <c r="N122" i="225"/>
  <c r="N122" i="221"/>
  <c r="N122" i="226"/>
  <c r="N122" i="227"/>
  <c r="N122" i="228"/>
  <c r="N122" i="223"/>
  <c r="N122" i="229"/>
  <c r="N122" i="224"/>
  <c r="N122" i="230"/>
  <c r="N122" i="233"/>
  <c r="N122" i="231"/>
  <c r="N122" i="232"/>
  <c r="N122" i="234"/>
  <c r="N122" i="235"/>
  <c r="N122" i="209"/>
  <c r="N122" i="219"/>
  <c r="N122" i="210"/>
  <c r="N122" i="208"/>
  <c r="N122" i="213"/>
  <c r="N122" i="217"/>
  <c r="N122" i="214"/>
  <c r="N122" i="211"/>
  <c r="N122" i="218"/>
  <c r="N122" i="212"/>
  <c r="N122" i="215"/>
  <c r="N122" i="222"/>
  <c r="N122" i="216"/>
  <c r="N122" i="195"/>
  <c r="N122" i="199"/>
  <c r="N122" i="197"/>
  <c r="N122" i="196"/>
  <c r="N122" i="200"/>
  <c r="N122" i="198"/>
  <c r="N122" i="201"/>
  <c r="N122" i="203"/>
  <c r="N122" i="202"/>
  <c r="N122" i="204"/>
  <c r="N122" i="207"/>
  <c r="N122" i="205"/>
  <c r="N122" i="206"/>
  <c r="N122" i="189"/>
  <c r="N122" i="190"/>
  <c r="N122" i="191"/>
  <c r="N122" i="192"/>
  <c r="N122" i="193"/>
  <c r="N122" i="187"/>
  <c r="N122" i="194"/>
  <c r="N122" i="188"/>
  <c r="N122" i="185"/>
  <c r="N122" i="186"/>
  <c r="N119" i="236"/>
  <c r="N119" i="231"/>
  <c r="N119" i="227"/>
  <c r="N119" i="232"/>
  <c r="N119" i="228"/>
  <c r="N119" i="233"/>
  <c r="N119" i="229"/>
  <c r="N119" i="234"/>
  <c r="N119" i="230"/>
  <c r="N119" i="223"/>
  <c r="N119" i="235"/>
  <c r="N119" i="224"/>
  <c r="N119" i="225"/>
  <c r="N119" i="226"/>
  <c r="N119" i="218"/>
  <c r="N119" i="216"/>
  <c r="N119" i="210"/>
  <c r="N119" i="219"/>
  <c r="N119" i="217"/>
  <c r="N119" i="211"/>
  <c r="N119" i="220"/>
  <c r="N119" i="221"/>
  <c r="N119" i="215"/>
  <c r="N119" i="212"/>
  <c r="N119" i="222"/>
  <c r="N119" i="213"/>
  <c r="N119" i="214"/>
  <c r="N119" i="204"/>
  <c r="N119" i="202"/>
  <c r="N119" i="200"/>
  <c r="N119" i="199"/>
  <c r="N119" i="198"/>
  <c r="N119" i="205"/>
  <c r="N119" i="206"/>
  <c r="N119" i="196"/>
  <c r="N119" i="203"/>
  <c r="N119" i="197"/>
  <c r="N119" i="207"/>
  <c r="N119" i="209"/>
  <c r="N119" i="208"/>
  <c r="N119" i="201"/>
  <c r="N119" i="194"/>
  <c r="N119" i="190"/>
  <c r="N119" i="189"/>
  <c r="N119" i="191"/>
  <c r="N119" i="192"/>
  <c r="N119" i="195"/>
  <c r="N119" i="193"/>
  <c r="N119" i="187"/>
  <c r="N119" i="186"/>
  <c r="N119" i="188"/>
  <c r="N119" i="185"/>
  <c r="N144" i="236"/>
  <c r="N144" i="234"/>
  <c r="N144" i="222"/>
  <c r="N144" i="230"/>
  <c r="N144" i="223"/>
  <c r="N144" i="231"/>
  <c r="N144" i="227"/>
  <c r="N144" i="225"/>
  <c r="N144" i="228"/>
  <c r="N144" i="226"/>
  <c r="N144" i="232"/>
  <c r="N144" i="229"/>
  <c r="N144" i="233"/>
  <c r="N144" i="235"/>
  <c r="N144" i="221"/>
  <c r="N144" i="224"/>
  <c r="N144" i="217"/>
  <c r="N144" i="214"/>
  <c r="N144" i="211"/>
  <c r="N144" i="209"/>
  <c r="N144" i="218"/>
  <c r="N144" i="215"/>
  <c r="N144" i="216"/>
  <c r="N144" i="212"/>
  <c r="N144" i="213"/>
  <c r="N144" i="219"/>
  <c r="N144" i="220"/>
  <c r="N144" i="207"/>
  <c r="N144" i="196"/>
  <c r="N144" i="197"/>
  <c r="N144" i="202"/>
  <c r="N144" i="195"/>
  <c r="N144" i="203"/>
  <c r="N144" i="204"/>
  <c r="N144" i="210"/>
  <c r="N144" i="205"/>
  <c r="N144" i="200"/>
  <c r="N144" i="201"/>
  <c r="N144" i="208"/>
  <c r="N144" i="198"/>
  <c r="N144" i="189"/>
  <c r="N144" i="199"/>
  <c r="N144" i="192"/>
  <c r="N144" i="186"/>
  <c r="N144" i="193"/>
  <c r="N144" i="187"/>
  <c r="N144" i="188"/>
  <c r="N144" i="206"/>
  <c r="N144" i="194"/>
  <c r="N144" i="185"/>
  <c r="N144" i="190"/>
  <c r="N144" i="191"/>
  <c r="N117" i="236"/>
  <c r="N117" i="231"/>
  <c r="N117" i="232"/>
  <c r="N117" i="225"/>
  <c r="N117" i="224"/>
  <c r="N117" i="234"/>
  <c r="N117" i="235"/>
  <c r="N117" i="228"/>
  <c r="N117" i="230"/>
  <c r="N117" i="226"/>
  <c r="N117" i="233"/>
  <c r="N117" i="227"/>
  <c r="N117" i="229"/>
  <c r="N117" i="221"/>
  <c r="N117" i="213"/>
  <c r="N117" i="223"/>
  <c r="N117" i="216"/>
  <c r="N117" i="219"/>
  <c r="N117" i="218"/>
  <c r="N117" i="217"/>
  <c r="N117" i="214"/>
  <c r="N117" i="222"/>
  <c r="N117" i="212"/>
  <c r="N117" i="220"/>
  <c r="N117" i="215"/>
  <c r="N117" i="200"/>
  <c r="N117" i="197"/>
  <c r="N117" i="210"/>
  <c r="N117" i="209"/>
  <c r="N117" i="198"/>
  <c r="N117" i="196"/>
  <c r="N117" i="202"/>
  <c r="N117" i="207"/>
  <c r="N117" i="199"/>
  <c r="N117" i="205"/>
  <c r="N117" i="204"/>
  <c r="N117" i="203"/>
  <c r="N117" i="211"/>
  <c r="N117" i="206"/>
  <c r="N117" i="208"/>
  <c r="N117" i="201"/>
  <c r="N117" i="193"/>
  <c r="N117" i="186"/>
  <c r="N117" i="191"/>
  <c r="N117" i="185"/>
  <c r="N117" i="187"/>
  <c r="N117" i="190"/>
  <c r="N117" i="195"/>
  <c r="N117" i="188"/>
  <c r="N117" i="194"/>
  <c r="N117" i="192"/>
  <c r="N117" i="189"/>
  <c r="N73" i="236"/>
  <c r="N73" i="229"/>
  <c r="N73" i="223"/>
  <c r="N73" i="230"/>
  <c r="N73" i="224"/>
  <c r="N73" i="227"/>
  <c r="N73" i="231"/>
  <c r="N73" i="228"/>
  <c r="N73" i="232"/>
  <c r="N73" i="235"/>
  <c r="N73" i="225"/>
  <c r="N73" i="226"/>
  <c r="N73" i="233"/>
  <c r="N73" i="234"/>
  <c r="N73" i="208"/>
  <c r="N73" i="219"/>
  <c r="N73" i="220"/>
  <c r="N73" i="216"/>
  <c r="N73" i="210"/>
  <c r="N73" i="214"/>
  <c r="N73" i="221"/>
  <c r="N73" i="215"/>
  <c r="N73" i="222"/>
  <c r="N73" i="212"/>
  <c r="N73" i="217"/>
  <c r="N73" i="213"/>
  <c r="N73" i="218"/>
  <c r="N73" i="209"/>
  <c r="N73" i="211"/>
  <c r="N73" i="200"/>
  <c r="N73" i="202"/>
  <c r="N73" i="201"/>
  <c r="N73" i="198"/>
  <c r="N73" i="203"/>
  <c r="N73" i="199"/>
  <c r="N73" i="196"/>
  <c r="N73" i="197"/>
  <c r="N73" i="206"/>
  <c r="N73" i="207"/>
  <c r="N73" i="204"/>
  <c r="N73" i="187"/>
  <c r="N73" i="205"/>
  <c r="N73" i="185"/>
  <c r="N73" i="186"/>
  <c r="N73" i="190"/>
  <c r="N73" i="191"/>
  <c r="N73" i="192"/>
  <c r="N73" i="188"/>
  <c r="N73" i="193"/>
  <c r="N73" i="189"/>
  <c r="N73" i="194"/>
  <c r="N73" i="195"/>
  <c r="N147" i="236"/>
  <c r="N147" i="221"/>
  <c r="N147" i="231"/>
  <c r="N147" i="234"/>
  <c r="N147" i="233"/>
  <c r="N147" i="232"/>
  <c r="N147" i="235"/>
  <c r="N147" i="225"/>
  <c r="N147" i="226"/>
  <c r="N147" i="229"/>
  <c r="N147" i="227"/>
  <c r="N147" i="230"/>
  <c r="N147" i="228"/>
  <c r="N147" i="223"/>
  <c r="N147" i="224"/>
  <c r="N147" i="222"/>
  <c r="N147" i="212"/>
  <c r="N147" i="210"/>
  <c r="N147" i="220"/>
  <c r="N147" i="211"/>
  <c r="N147" i="215"/>
  <c r="N147" i="219"/>
  <c r="N147" i="214"/>
  <c r="N147" i="217"/>
  <c r="N147" i="218"/>
  <c r="N147" i="216"/>
  <c r="N147" i="213"/>
  <c r="N147" i="203"/>
  <c r="N147" i="195"/>
  <c r="N147" i="205"/>
  <c r="N147" i="206"/>
  <c r="N147" i="200"/>
  <c r="N147" i="196"/>
  <c r="N147" i="197"/>
  <c r="N147" i="198"/>
  <c r="N147" i="209"/>
  <c r="N147" i="207"/>
  <c r="N147" i="199"/>
  <c r="N147" i="208"/>
  <c r="N147" i="204"/>
  <c r="N147" i="201"/>
  <c r="N147" i="190"/>
  <c r="N147" i="189"/>
  <c r="N147" i="186"/>
  <c r="N147" i="188"/>
  <c r="N147" i="185"/>
  <c r="N147" i="202"/>
  <c r="N147" i="187"/>
  <c r="N147" i="191"/>
  <c r="N147" i="192"/>
  <c r="N147" i="193"/>
  <c r="N147" i="194"/>
  <c r="N145" i="236"/>
  <c r="N145" i="225"/>
  <c r="N145" i="226"/>
  <c r="N145" i="235"/>
  <c r="N145" i="231"/>
  <c r="N145" i="232"/>
  <c r="N145" i="229"/>
  <c r="N145" i="227"/>
  <c r="N145" i="230"/>
  <c r="N145" i="228"/>
  <c r="N145" i="233"/>
  <c r="N145" i="234"/>
  <c r="N145" i="223"/>
  <c r="N145" i="224"/>
  <c r="N145" i="209"/>
  <c r="N145" i="219"/>
  <c r="N145" i="220"/>
  <c r="N145" i="214"/>
  <c r="N145" i="217"/>
  <c r="N145" i="212"/>
  <c r="N145" i="218"/>
  <c r="N145" i="213"/>
  <c r="N145" i="215"/>
  <c r="N145" i="216"/>
  <c r="N145" i="221"/>
  <c r="N145" i="210"/>
  <c r="N145" i="196"/>
  <c r="N145" i="204"/>
  <c r="N145" i="197"/>
  <c r="N145" i="205"/>
  <c r="N145" i="202"/>
  <c r="N145" i="198"/>
  <c r="N145" i="203"/>
  <c r="N145" i="199"/>
  <c r="N145" i="208"/>
  <c r="N145" i="222"/>
  <c r="N145" i="200"/>
  <c r="N145" i="206"/>
  <c r="N145" i="201"/>
  <c r="N145" i="207"/>
  <c r="N145" i="211"/>
  <c r="N145" i="185"/>
  <c r="N145" i="186"/>
  <c r="N145" i="195"/>
  <c r="N145" i="193"/>
  <c r="N145" i="187"/>
  <c r="N145" i="190"/>
  <c r="N145" i="191"/>
  <c r="N145" i="188"/>
  <c r="N145" i="189"/>
  <c r="N145" i="194"/>
  <c r="N145" i="192"/>
  <c r="N127" i="236"/>
  <c r="N127" i="227"/>
  <c r="N127" i="231"/>
  <c r="N127" i="228"/>
  <c r="N127" i="232"/>
  <c r="N127" i="225"/>
  <c r="N127" i="226"/>
  <c r="N127" i="233"/>
  <c r="N127" i="234"/>
  <c r="N127" i="235"/>
  <c r="N127" i="223"/>
  <c r="N127" i="229"/>
  <c r="N127" i="230"/>
  <c r="N127" i="214"/>
  <c r="N127" i="221"/>
  <c r="N127" i="215"/>
  <c r="N127" i="222"/>
  <c r="N127" i="219"/>
  <c r="N127" i="216"/>
  <c r="N127" i="220"/>
  <c r="N127" i="212"/>
  <c r="N127" i="217"/>
  <c r="N127" i="213"/>
  <c r="N127" i="210"/>
  <c r="N127" i="218"/>
  <c r="N127" i="224"/>
  <c r="N127" i="203"/>
  <c r="N127" i="195"/>
  <c r="N127" i="201"/>
  <c r="N127" i="197"/>
  <c r="N127" i="196"/>
  <c r="N127" i="202"/>
  <c r="N127" i="198"/>
  <c r="N127" i="211"/>
  <c r="N127" i="199"/>
  <c r="N127" i="200"/>
  <c r="N127" i="206"/>
  <c r="N127" i="204"/>
  <c r="N127" i="207"/>
  <c r="N127" i="205"/>
  <c r="N127" i="208"/>
  <c r="N127" i="209"/>
  <c r="N127" i="193"/>
  <c r="N127" i="191"/>
  <c r="N127" i="192"/>
  <c r="N127" i="194"/>
  <c r="N127" i="190"/>
  <c r="N127" i="185"/>
  <c r="N127" i="188"/>
  <c r="N127" i="186"/>
  <c r="N127" i="189"/>
  <c r="N127" i="187"/>
  <c r="N93" i="236"/>
  <c r="N93" i="225"/>
  <c r="N93" i="226"/>
  <c r="N93" i="234"/>
  <c r="N93" i="227"/>
  <c r="N93" i="235"/>
  <c r="N93" i="228"/>
  <c r="N93" i="231"/>
  <c r="N93" i="232"/>
  <c r="N93" i="229"/>
  <c r="N93" i="224"/>
  <c r="N93" i="230"/>
  <c r="N93" i="233"/>
  <c r="N93" i="221"/>
  <c r="N93" i="209"/>
  <c r="N93" i="222"/>
  <c r="N93" i="214"/>
  <c r="N93" i="223"/>
  <c r="N93" i="212"/>
  <c r="N93" i="213"/>
  <c r="N93" i="217"/>
  <c r="N93" i="218"/>
  <c r="N93" i="210"/>
  <c r="N93" i="211"/>
  <c r="N93" i="219"/>
  <c r="N93" i="215"/>
  <c r="N93" i="220"/>
  <c r="N93" i="216"/>
  <c r="N93" i="202"/>
  <c r="N93" i="203"/>
  <c r="N93" i="197"/>
  <c r="N93" i="198"/>
  <c r="N93" i="199"/>
  <c r="N93" i="200"/>
  <c r="N93" i="201"/>
  <c r="N93" i="206"/>
  <c r="N93" i="207"/>
  <c r="N93" i="204"/>
  <c r="N93" i="191"/>
  <c r="N93" i="193"/>
  <c r="N93" i="192"/>
  <c r="N93" i="194"/>
  <c r="N93" i="188"/>
  <c r="N93" i="186"/>
  <c r="N93" i="196"/>
  <c r="N93" i="189"/>
  <c r="N93" i="187"/>
  <c r="N93" i="185"/>
  <c r="N93" i="208"/>
  <c r="N93" i="205"/>
  <c r="N93" i="195"/>
  <c r="N93" i="190"/>
  <c r="N106" i="236"/>
  <c r="N106" i="222"/>
  <c r="N106" i="223"/>
  <c r="N106" i="232"/>
  <c r="N106" i="233"/>
  <c r="N106" i="230"/>
  <c r="N106" i="231"/>
  <c r="N106" i="234"/>
  <c r="N106" i="235"/>
  <c r="N106" i="224"/>
  <c r="N106" i="225"/>
  <c r="N106" i="226"/>
  <c r="N106" i="227"/>
  <c r="N106" i="228"/>
  <c r="N106" i="214"/>
  <c r="N106" i="215"/>
  <c r="N106" i="210"/>
  <c r="N106" i="229"/>
  <c r="N106" i="211"/>
  <c r="N106" i="220"/>
  <c r="N106" i="221"/>
  <c r="N106" i="218"/>
  <c r="N106" i="219"/>
  <c r="N106" i="212"/>
  <c r="N106" i="213"/>
  <c r="N106" i="216"/>
  <c r="N106" i="217"/>
  <c r="N106" i="208"/>
  <c r="N106" i="209"/>
  <c r="N106" i="206"/>
  <c r="N106" i="196"/>
  <c r="N106" i="207"/>
  <c r="N106" i="197"/>
  <c r="N106" i="202"/>
  <c r="N106" i="203"/>
  <c r="N106" i="198"/>
  <c r="N106" i="204"/>
  <c r="N106" i="199"/>
  <c r="N106" i="205"/>
  <c r="N106" i="200"/>
  <c r="N106" i="193"/>
  <c r="N106" i="190"/>
  <c r="N106" i="194"/>
  <c r="N106" i="191"/>
  <c r="N106" i="195"/>
  <c r="N106" i="187"/>
  <c r="N106" i="201"/>
  <c r="N106" i="185"/>
  <c r="N106" i="186"/>
  <c r="N106" i="188"/>
  <c r="N106" i="189"/>
  <c r="N106" i="192"/>
  <c r="N83" i="236"/>
  <c r="N83" i="233"/>
  <c r="N83" i="230"/>
  <c r="N83" i="223"/>
  <c r="N83" i="231"/>
  <c r="N83" i="224"/>
  <c r="N83" i="225"/>
  <c r="N83" i="228"/>
  <c r="N83" i="226"/>
  <c r="N83" i="229"/>
  <c r="N83" i="227"/>
  <c r="N83" i="234"/>
  <c r="N83" i="235"/>
  <c r="N83" i="215"/>
  <c r="N83" i="216"/>
  <c r="N83" i="213"/>
  <c r="N83" i="219"/>
  <c r="N83" i="220"/>
  <c r="N83" i="214"/>
  <c r="N83" i="221"/>
  <c r="N83" i="222"/>
  <c r="N83" i="212"/>
  <c r="N83" i="217"/>
  <c r="N83" i="218"/>
  <c r="N83" i="211"/>
  <c r="N83" i="232"/>
  <c r="N83" i="205"/>
  <c r="N83" i="203"/>
  <c r="N83" i="201"/>
  <c r="N83" i="204"/>
  <c r="N83" i="202"/>
  <c r="N83" i="207"/>
  <c r="N83" i="196"/>
  <c r="N83" i="208"/>
  <c r="N83" i="197"/>
  <c r="N83" i="209"/>
  <c r="N83" i="210"/>
  <c r="N83" i="198"/>
  <c r="N83" i="206"/>
  <c r="N83" i="199"/>
  <c r="N83" i="200"/>
  <c r="N83" i="185"/>
  <c r="N83" i="194"/>
  <c r="N83" i="195"/>
  <c r="N83" i="186"/>
  <c r="N83" i="192"/>
  <c r="N83" i="193"/>
  <c r="N83" i="187"/>
  <c r="N83" i="191"/>
  <c r="N83" i="189"/>
  <c r="N83" i="190"/>
  <c r="N83" i="188"/>
  <c r="N128" i="236"/>
  <c r="N128" i="228"/>
  <c r="N128" i="234"/>
  <c r="N128" i="229"/>
  <c r="N128" i="226"/>
  <c r="N128" i="235"/>
  <c r="N128" i="227"/>
  <c r="N128" i="232"/>
  <c r="N128" i="233"/>
  <c r="N128" i="230"/>
  <c r="N128" i="231"/>
  <c r="N128" i="224"/>
  <c r="N128" i="213"/>
  <c r="N128" i="218"/>
  <c r="N128" i="219"/>
  <c r="N128" i="209"/>
  <c r="N128" i="222"/>
  <c r="N128" i="223"/>
  <c r="N128" i="216"/>
  <c r="N128" i="217"/>
  <c r="N128" i="214"/>
  <c r="N128" i="225"/>
  <c r="N128" i="215"/>
  <c r="N128" i="220"/>
  <c r="N128" i="221"/>
  <c r="N128" i="210"/>
  <c r="N128" i="195"/>
  <c r="N128" i="206"/>
  <c r="N128" i="196"/>
  <c r="N128" i="207"/>
  <c r="N128" i="204"/>
  <c r="N128" i="202"/>
  <c r="N128" i="197"/>
  <c r="N128" i="205"/>
  <c r="N128" i="203"/>
  <c r="N128" i="211"/>
  <c r="N128" i="212"/>
  <c r="N128" i="198"/>
  <c r="N128" i="199"/>
  <c r="N128" i="200"/>
  <c r="N128" i="201"/>
  <c r="N128" i="208"/>
  <c r="N128" i="193"/>
  <c r="N128" i="187"/>
  <c r="N128" i="194"/>
  <c r="N128" i="185"/>
  <c r="N128" i="188"/>
  <c r="N128" i="186"/>
  <c r="N128" i="190"/>
  <c r="N128" i="189"/>
  <c r="N128" i="191"/>
  <c r="N128" i="192"/>
  <c r="N85" i="236"/>
  <c r="N85" i="227"/>
  <c r="N85" i="228"/>
  <c r="N85" i="231"/>
  <c r="N85" i="232"/>
  <c r="N85" i="223"/>
  <c r="N85" i="224"/>
  <c r="N85" i="229"/>
  <c r="N85" i="230"/>
  <c r="N85" i="225"/>
  <c r="N85" i="233"/>
  <c r="N85" i="226"/>
  <c r="N85" i="234"/>
  <c r="N85" i="235"/>
  <c r="N85" i="221"/>
  <c r="N85" i="219"/>
  <c r="N85" i="217"/>
  <c r="N85" i="210"/>
  <c r="N85" i="222"/>
  <c r="N85" i="218"/>
  <c r="N85" i="211"/>
  <c r="N85" i="209"/>
  <c r="N85" i="212"/>
  <c r="N85" i="215"/>
  <c r="N85" i="220"/>
  <c r="N85" i="216"/>
  <c r="N85" i="213"/>
  <c r="N85" i="206"/>
  <c r="N85" i="200"/>
  <c r="N85" i="194"/>
  <c r="N85" i="214"/>
  <c r="N85" i="199"/>
  <c r="N85" i="198"/>
  <c r="N85" i="207"/>
  <c r="N85" i="196"/>
  <c r="N85" i="208"/>
  <c r="N85" i="204"/>
  <c r="N85" i="201"/>
  <c r="N85" i="197"/>
  <c r="N85" i="202"/>
  <c r="N85" i="192"/>
  <c r="N85" i="191"/>
  <c r="N85" i="188"/>
  <c r="N85" i="193"/>
  <c r="N85" i="190"/>
  <c r="N85" i="189"/>
  <c r="N85" i="203"/>
  <c r="N85" i="195"/>
  <c r="N85" i="205"/>
  <c r="N85" i="185"/>
  <c r="N85" i="187"/>
  <c r="N85" i="186"/>
  <c r="N80" i="236"/>
  <c r="N80" i="225"/>
  <c r="N80" i="234"/>
  <c r="N80" i="227"/>
  <c r="N80" i="226"/>
  <c r="N80" i="235"/>
  <c r="N80" i="228"/>
  <c r="N80" i="231"/>
  <c r="N80" i="232"/>
  <c r="N80" i="233"/>
  <c r="N80" i="229"/>
  <c r="N80" i="230"/>
  <c r="N80" i="214"/>
  <c r="N80" i="221"/>
  <c r="N80" i="222"/>
  <c r="N80" i="212"/>
  <c r="N80" i="220"/>
  <c r="N80" i="223"/>
  <c r="N80" i="224"/>
  <c r="N80" i="210"/>
  <c r="N80" i="219"/>
  <c r="N80" i="216"/>
  <c r="N80" i="215"/>
  <c r="N80" i="217"/>
  <c r="N80" i="218"/>
  <c r="N80" i="205"/>
  <c r="N80" i="206"/>
  <c r="N80" i="202"/>
  <c r="N80" i="204"/>
  <c r="N80" i="203"/>
  <c r="N80" i="196"/>
  <c r="N80" i="199"/>
  <c r="N80" i="197"/>
  <c r="N80" i="207"/>
  <c r="N80" i="198"/>
  <c r="N80" i="208"/>
  <c r="N80" i="211"/>
  <c r="N80" i="213"/>
  <c r="N80" i="201"/>
  <c r="N80" i="200"/>
  <c r="N80" i="209"/>
  <c r="N80" i="190"/>
  <c r="N80" i="195"/>
  <c r="N80" i="187"/>
  <c r="N80" i="194"/>
  <c r="N80" i="188"/>
  <c r="N80" i="186"/>
  <c r="N80" i="191"/>
  <c r="N80" i="192"/>
  <c r="N80" i="189"/>
  <c r="N80" i="193"/>
  <c r="N80" i="185"/>
  <c r="N115" i="236"/>
  <c r="N115" i="225"/>
  <c r="N115" i="234"/>
  <c r="N115" i="226"/>
  <c r="N115" i="235"/>
  <c r="N115" i="227"/>
  <c r="N115" i="228"/>
  <c r="N115" i="224"/>
  <c r="N115" i="233"/>
  <c r="N115" i="231"/>
  <c r="N115" i="232"/>
  <c r="N115" i="229"/>
  <c r="N115" i="230"/>
  <c r="N115" i="221"/>
  <c r="N115" i="217"/>
  <c r="N115" i="222"/>
  <c r="N115" i="218"/>
  <c r="N115" i="208"/>
  <c r="N115" i="216"/>
  <c r="N115" i="210"/>
  <c r="N115" i="223"/>
  <c r="N115" i="212"/>
  <c r="N115" i="213"/>
  <c r="N115" i="219"/>
  <c r="N115" i="220"/>
  <c r="N115" i="214"/>
  <c r="N115" i="197"/>
  <c r="N115" i="206"/>
  <c r="N115" i="207"/>
  <c r="N115" i="202"/>
  <c r="N115" i="200"/>
  <c r="N115" i="203"/>
  <c r="N115" i="201"/>
  <c r="N115" i="204"/>
  <c r="N115" i="205"/>
  <c r="N115" i="198"/>
  <c r="N115" i="199"/>
  <c r="N115" i="211"/>
  <c r="N115" i="215"/>
  <c r="N115" i="194"/>
  <c r="N115" i="195"/>
  <c r="N115" i="190"/>
  <c r="N115" i="185"/>
  <c r="N115" i="209"/>
  <c r="N115" i="191"/>
  <c r="N115" i="186"/>
  <c r="N115" i="196"/>
  <c r="N115" i="187"/>
  <c r="N115" i="188"/>
  <c r="N115" i="192"/>
  <c r="N115" i="189"/>
  <c r="N115" i="193"/>
  <c r="N129" i="236"/>
  <c r="N129" i="235"/>
  <c r="N129" i="222"/>
  <c r="N129" i="233"/>
  <c r="N129" i="231"/>
  <c r="N129" i="223"/>
  <c r="N129" i="232"/>
  <c r="N129" i="229"/>
  <c r="N129" i="227"/>
  <c r="N129" i="230"/>
  <c r="N129" i="228"/>
  <c r="N129" i="225"/>
  <c r="N129" i="226"/>
  <c r="N129" i="215"/>
  <c r="N129" i="219"/>
  <c r="N129" i="216"/>
  <c r="N129" i="220"/>
  <c r="N129" i="224"/>
  <c r="N129" i="217"/>
  <c r="N129" i="214"/>
  <c r="N129" i="210"/>
  <c r="N129" i="234"/>
  <c r="N129" i="218"/>
  <c r="N129" i="212"/>
  <c r="N129" i="211"/>
  <c r="N129" i="213"/>
  <c r="N129" i="221"/>
  <c r="N129" i="201"/>
  <c r="N129" i="209"/>
  <c r="N129" i="207"/>
  <c r="N129" i="202"/>
  <c r="N129" i="208"/>
  <c r="N129" i="205"/>
  <c r="N129" i="206"/>
  <c r="N129" i="203"/>
  <c r="N129" i="204"/>
  <c r="N129" i="197"/>
  <c r="N129" i="198"/>
  <c r="N129" i="195"/>
  <c r="N129" i="199"/>
  <c r="N129" i="196"/>
  <c r="N129" i="194"/>
  <c r="N129" i="187"/>
  <c r="N129" i="185"/>
  <c r="N129" i="193"/>
  <c r="N129" i="190"/>
  <c r="N129" i="186"/>
  <c r="N129" i="188"/>
  <c r="N129" i="200"/>
  <c r="N129" i="189"/>
  <c r="N129" i="192"/>
  <c r="N129" i="191"/>
  <c r="N111" i="236"/>
  <c r="N111" i="223"/>
  <c r="N111" i="224"/>
  <c r="N111" i="227"/>
  <c r="N111" i="228"/>
  <c r="N111" i="225"/>
  <c r="N111" i="234"/>
  <c r="N111" i="229"/>
  <c r="N111" i="226"/>
  <c r="N111" i="235"/>
  <c r="N111" i="230"/>
  <c r="N111" i="233"/>
  <c r="N111" i="231"/>
  <c r="N111" i="217"/>
  <c r="N111" i="218"/>
  <c r="N111" i="214"/>
  <c r="N111" i="232"/>
  <c r="N111" i="221"/>
  <c r="N111" i="222"/>
  <c r="N111" i="219"/>
  <c r="N111" i="220"/>
  <c r="N111" i="215"/>
  <c r="N111" i="212"/>
  <c r="N111" i="216"/>
  <c r="N111" i="213"/>
  <c r="N111" i="208"/>
  <c r="N111" i="209"/>
  <c r="N111" i="198"/>
  <c r="N111" i="206"/>
  <c r="N111" i="199"/>
  <c r="N111" i="207"/>
  <c r="N111" i="202"/>
  <c r="N111" i="204"/>
  <c r="N111" i="203"/>
  <c r="N111" i="205"/>
  <c r="N111" i="210"/>
  <c r="N111" i="211"/>
  <c r="N111" i="200"/>
  <c r="N111" i="201"/>
  <c r="N111" i="196"/>
  <c r="N111" i="197"/>
  <c r="N111" i="190"/>
  <c r="N111" i="191"/>
  <c r="N111" i="186"/>
  <c r="N111" i="185"/>
  <c r="N111" i="187"/>
  <c r="N111" i="194"/>
  <c r="N111" i="195"/>
  <c r="N111" i="188"/>
  <c r="N111" i="189"/>
  <c r="N111" i="192"/>
  <c r="N111" i="193"/>
  <c r="N77" i="236"/>
  <c r="N77" i="223"/>
  <c r="N77" i="235"/>
  <c r="N77" i="224"/>
  <c r="N77" i="225"/>
  <c r="N77" i="226"/>
  <c r="N77" i="229"/>
  <c r="N77" i="227"/>
  <c r="N77" i="233"/>
  <c r="N77" i="230"/>
  <c r="N77" i="228"/>
  <c r="N77" i="234"/>
  <c r="N77" i="231"/>
  <c r="N77" i="218"/>
  <c r="N77" i="215"/>
  <c r="N77" i="216"/>
  <c r="N77" i="232"/>
  <c r="N77" i="221"/>
  <c r="N77" i="222"/>
  <c r="N77" i="219"/>
  <c r="N77" i="212"/>
  <c r="N77" i="220"/>
  <c r="N77" i="213"/>
  <c r="N77" i="214"/>
  <c r="N77" i="210"/>
  <c r="N77" i="211"/>
  <c r="N77" i="206"/>
  <c r="N77" i="204"/>
  <c r="N77" i="201"/>
  <c r="N77" i="207"/>
  <c r="N77" i="205"/>
  <c r="N77" i="196"/>
  <c r="N77" i="197"/>
  <c r="N77" i="194"/>
  <c r="N77" i="195"/>
  <c r="N77" i="202"/>
  <c r="N77" i="203"/>
  <c r="N77" i="208"/>
  <c r="N77" i="209"/>
  <c r="N77" i="198"/>
  <c r="N77" i="199"/>
  <c r="N77" i="217"/>
  <c r="N77" i="200"/>
  <c r="N77" i="188"/>
  <c r="N77" i="189"/>
  <c r="N77" i="185"/>
  <c r="N77" i="190"/>
  <c r="N77" i="191"/>
  <c r="N77" i="186"/>
  <c r="N77" i="192"/>
  <c r="N77" i="187"/>
  <c r="N77" i="193"/>
  <c r="N65" i="236"/>
  <c r="N65" i="231"/>
  <c r="N65" i="229"/>
  <c r="N65" i="226"/>
  <c r="N65" i="232"/>
  <c r="N65" i="230"/>
  <c r="N65" i="223"/>
  <c r="N65" i="227"/>
  <c r="N65" i="228"/>
  <c r="N65" i="233"/>
  <c r="N65" i="210"/>
  <c r="N65" i="235"/>
  <c r="N65" i="224"/>
  <c r="N65" i="211"/>
  <c r="N65" i="225"/>
  <c r="N65" i="218"/>
  <c r="N65" i="219"/>
  <c r="N65" i="215"/>
  <c r="N65" i="214"/>
  <c r="N65" i="234"/>
  <c r="N65" i="220"/>
  <c r="N65" i="216"/>
  <c r="N65" i="217"/>
  <c r="N65" i="221"/>
  <c r="N65" i="212"/>
  <c r="N65" i="198"/>
  <c r="N65" i="197"/>
  <c r="N65" i="200"/>
  <c r="N65" i="203"/>
  <c r="N65" i="199"/>
  <c r="N65" i="201"/>
  <c r="N65" i="213"/>
  <c r="N65" i="209"/>
  <c r="N65" i="202"/>
  <c r="N65" i="207"/>
  <c r="N65" i="208"/>
  <c r="N65" i="222"/>
  <c r="N65" i="205"/>
  <c r="N65" i="190"/>
  <c r="N65" i="192"/>
  <c r="N65" i="189"/>
  <c r="N65" i="204"/>
  <c r="N65" i="193"/>
  <c r="N65" i="187"/>
  <c r="N65" i="191"/>
  <c r="N65" i="206"/>
  <c r="N65" i="196"/>
  <c r="N65" i="194"/>
  <c r="N65" i="186"/>
  <c r="N65" i="185"/>
  <c r="N65" i="195"/>
  <c r="N65" i="188"/>
  <c r="N87" i="236"/>
  <c r="N87" i="227"/>
  <c r="N87" i="234"/>
  <c r="N87" i="228"/>
  <c r="N87" i="225"/>
  <c r="N87" i="235"/>
  <c r="N87" i="226"/>
  <c r="N87" i="223"/>
  <c r="N87" i="229"/>
  <c r="N87" i="231"/>
  <c r="N87" i="230"/>
  <c r="N87" i="232"/>
  <c r="N87" i="233"/>
  <c r="N87" i="222"/>
  <c r="N87" i="213"/>
  <c r="N87" i="210"/>
  <c r="N87" i="214"/>
  <c r="N87" i="211"/>
  <c r="N87" i="217"/>
  <c r="N87" i="218"/>
  <c r="N87" i="212"/>
  <c r="N87" i="215"/>
  <c r="N87" i="216"/>
  <c r="N87" i="224"/>
  <c r="N87" i="219"/>
  <c r="N87" i="202"/>
  <c r="N87" i="220"/>
  <c r="N87" i="197"/>
  <c r="N87" i="206"/>
  <c r="N87" i="198"/>
  <c r="N87" i="207"/>
  <c r="N87" i="195"/>
  <c r="N87" i="199"/>
  <c r="N87" i="221"/>
  <c r="N87" i="203"/>
  <c r="N87" i="200"/>
  <c r="N87" i="208"/>
  <c r="N87" i="204"/>
  <c r="N87" i="209"/>
  <c r="N87" i="205"/>
  <c r="N87" i="190"/>
  <c r="N87" i="188"/>
  <c r="N87" i="194"/>
  <c r="N87" i="193"/>
  <c r="N87" i="189"/>
  <c r="N87" i="187"/>
  <c r="N87" i="186"/>
  <c r="N87" i="196"/>
  <c r="N87" i="191"/>
  <c r="N87" i="192"/>
  <c r="N87" i="201"/>
  <c r="N87" i="185"/>
  <c r="N112" i="236"/>
  <c r="N112" i="227"/>
  <c r="N112" i="226"/>
  <c r="N112" i="224"/>
  <c r="N112" i="228"/>
  <c r="N112" i="229"/>
  <c r="N112" i="235"/>
  <c r="N112" i="230"/>
  <c r="N112" i="231"/>
  <c r="N112" i="232"/>
  <c r="N112" i="233"/>
  <c r="N112" i="234"/>
  <c r="N112" i="223"/>
  <c r="N112" i="219"/>
  <c r="N112" i="220"/>
  <c r="N112" i="221"/>
  <c r="N112" i="225"/>
  <c r="N112" i="222"/>
  <c r="N112" i="215"/>
  <c r="N112" i="216"/>
  <c r="N112" i="213"/>
  <c r="N112" i="212"/>
  <c r="N112" i="214"/>
  <c r="N112" i="217"/>
  <c r="N112" i="218"/>
  <c r="N112" i="203"/>
  <c r="N112" i="198"/>
  <c r="N112" i="200"/>
  <c r="N112" i="199"/>
  <c r="N112" i="201"/>
  <c r="N112" i="210"/>
  <c r="N112" i="211"/>
  <c r="N112" i="196"/>
  <c r="N112" i="197"/>
  <c r="N112" i="208"/>
  <c r="N112" i="209"/>
  <c r="N112" i="206"/>
  <c r="N112" i="207"/>
  <c r="N112" i="204"/>
  <c r="N112" i="205"/>
  <c r="N112" i="188"/>
  <c r="N112" i="194"/>
  <c r="N112" i="189"/>
  <c r="N112" i="195"/>
  <c r="N112" i="192"/>
  <c r="N112" i="193"/>
  <c r="N112" i="190"/>
  <c r="N112" i="202"/>
  <c r="N112" i="191"/>
  <c r="N112" i="187"/>
  <c r="N112" i="185"/>
  <c r="N112" i="186"/>
  <c r="N98" i="236"/>
  <c r="N98" i="235"/>
  <c r="N98" i="225"/>
  <c r="N98" i="228"/>
  <c r="N98" i="224"/>
  <c r="N98" i="226"/>
  <c r="N98" i="229"/>
  <c r="N98" i="227"/>
  <c r="N98" i="232"/>
  <c r="N98" i="233"/>
  <c r="N98" i="230"/>
  <c r="N98" i="217"/>
  <c r="N98" i="222"/>
  <c r="N98" i="223"/>
  <c r="N98" i="220"/>
  <c r="N98" i="216"/>
  <c r="N98" i="213"/>
  <c r="N98" i="212"/>
  <c r="N98" i="234"/>
  <c r="N98" i="231"/>
  <c r="N98" i="214"/>
  <c r="N98" i="221"/>
  <c r="N98" i="215"/>
  <c r="N98" i="211"/>
  <c r="N98" i="199"/>
  <c r="N98" i="195"/>
  <c r="N98" i="203"/>
  <c r="N98" i="218"/>
  <c r="N98" i="205"/>
  <c r="N98" i="201"/>
  <c r="N98" i="206"/>
  <c r="N98" i="204"/>
  <c r="N98" i="202"/>
  <c r="N98" i="196"/>
  <c r="N98" i="219"/>
  <c r="N98" i="209"/>
  <c r="N98" i="208"/>
  <c r="N98" i="200"/>
  <c r="N98" i="198"/>
  <c r="N98" i="207"/>
  <c r="N98" i="190"/>
  <c r="N98" i="185"/>
  <c r="N98" i="189"/>
  <c r="N98" i="188"/>
  <c r="N98" i="194"/>
  <c r="N98" i="210"/>
  <c r="N98" i="192"/>
  <c r="N98" i="193"/>
  <c r="N98" i="197"/>
  <c r="N98" i="186"/>
  <c r="N98" i="191"/>
  <c r="N98" i="187"/>
  <c r="N86" i="236"/>
  <c r="N86" i="235"/>
  <c r="N86" i="227"/>
  <c r="N86" i="231"/>
  <c r="N86" i="228"/>
  <c r="N86" i="232"/>
  <c r="N86" i="225"/>
  <c r="N86" i="226"/>
  <c r="N86" i="233"/>
  <c r="N86" i="234"/>
  <c r="N86" i="229"/>
  <c r="N86" i="230"/>
  <c r="N86" i="224"/>
  <c r="N86" i="210"/>
  <c r="N86" i="211"/>
  <c r="N86" i="223"/>
  <c r="N86" i="221"/>
  <c r="N86" i="214"/>
  <c r="N86" i="222"/>
  <c r="N86" i="218"/>
  <c r="N86" i="219"/>
  <c r="N86" i="212"/>
  <c r="N86" i="213"/>
  <c r="N86" i="220"/>
  <c r="N86" i="216"/>
  <c r="N86" i="217"/>
  <c r="N86" i="215"/>
  <c r="N86" i="206"/>
  <c r="N86" i="203"/>
  <c r="N86" i="199"/>
  <c r="N86" i="200"/>
  <c r="N86" i="209"/>
  <c r="N86" i="198"/>
  <c r="N86" i="196"/>
  <c r="N86" i="197"/>
  <c r="N86" i="195"/>
  <c r="N86" i="207"/>
  <c r="N86" i="208"/>
  <c r="N86" i="201"/>
  <c r="N86" i="204"/>
  <c r="N86" i="202"/>
  <c r="N86" i="194"/>
  <c r="N86" i="185"/>
  <c r="N86" i="191"/>
  <c r="N86" i="186"/>
  <c r="N86" i="189"/>
  <c r="N86" i="192"/>
  <c r="N86" i="193"/>
  <c r="N86" i="205"/>
  <c r="N86" i="190"/>
  <c r="N86" i="188"/>
  <c r="N86" i="187"/>
  <c r="N113" i="236"/>
  <c r="N113" i="233"/>
  <c r="N113" i="231"/>
  <c r="N113" i="232"/>
  <c r="N113" i="223"/>
  <c r="N113" i="224"/>
  <c r="N113" i="234"/>
  <c r="N113" i="235"/>
  <c r="N113" i="222"/>
  <c r="N113" i="225"/>
  <c r="N113" i="226"/>
  <c r="N113" i="229"/>
  <c r="N113" i="227"/>
  <c r="N113" i="217"/>
  <c r="N113" i="218"/>
  <c r="N113" i="215"/>
  <c r="N113" i="212"/>
  <c r="N113" i="216"/>
  <c r="N113" i="210"/>
  <c r="N113" i="211"/>
  <c r="N113" i="221"/>
  <c r="N113" i="219"/>
  <c r="N113" i="209"/>
  <c r="N113" i="220"/>
  <c r="N113" i="228"/>
  <c r="N113" i="213"/>
  <c r="N113" i="214"/>
  <c r="N113" i="196"/>
  <c r="N113" i="230"/>
  <c r="N113" i="200"/>
  <c r="N113" i="206"/>
  <c r="N113" i="204"/>
  <c r="N113" i="201"/>
  <c r="N113" i="207"/>
  <c r="N113" i="205"/>
  <c r="N113" i="202"/>
  <c r="N113" i="203"/>
  <c r="N113" i="197"/>
  <c r="N113" i="198"/>
  <c r="N113" i="208"/>
  <c r="N113" i="199"/>
  <c r="N113" i="194"/>
  <c r="N113" i="191"/>
  <c r="N113" i="192"/>
  <c r="N113" i="185"/>
  <c r="N113" i="186"/>
  <c r="N113" i="190"/>
  <c r="N113" i="188"/>
  <c r="N113" i="195"/>
  <c r="N113" i="189"/>
  <c r="N113" i="187"/>
  <c r="N113" i="193"/>
  <c r="N70" i="236"/>
  <c r="N70" i="229"/>
  <c r="N70" i="230"/>
  <c r="N70" i="225"/>
  <c r="N70" i="221"/>
  <c r="N70" i="226"/>
  <c r="N70" i="233"/>
  <c r="N70" i="234"/>
  <c r="N70" i="223"/>
  <c r="N70" i="224"/>
  <c r="N70" i="227"/>
  <c r="N70" i="235"/>
  <c r="N70" i="228"/>
  <c r="N70" i="231"/>
  <c r="N70" i="232"/>
  <c r="N70" i="217"/>
  <c r="N70" i="218"/>
  <c r="N70" i="209"/>
  <c r="N70" i="219"/>
  <c r="N70" i="215"/>
  <c r="N70" i="220"/>
  <c r="N70" i="216"/>
  <c r="N70" i="222"/>
  <c r="N70" i="214"/>
  <c r="N70" i="213"/>
  <c r="N70" i="211"/>
  <c r="N70" i="212"/>
  <c r="N70" i="197"/>
  <c r="N70" i="196"/>
  <c r="N70" i="202"/>
  <c r="N70" i="198"/>
  <c r="N70" i="203"/>
  <c r="N70" i="199"/>
  <c r="N70" i="200"/>
  <c r="N70" i="207"/>
  <c r="N70" i="210"/>
  <c r="N70" i="208"/>
  <c r="N70" i="204"/>
  <c r="N70" i="205"/>
  <c r="N70" i="201"/>
  <c r="N70" i="189"/>
  <c r="N70" i="193"/>
  <c r="N70" i="187"/>
  <c r="N70" i="194"/>
  <c r="N70" i="195"/>
  <c r="N70" i="206"/>
  <c r="N70" i="190"/>
  <c r="N70" i="191"/>
  <c r="N70" i="192"/>
  <c r="N70" i="185"/>
  <c r="N70" i="186"/>
  <c r="N70" i="188"/>
  <c r="N140" i="236"/>
  <c r="N140" i="220"/>
  <c r="N140" i="222"/>
  <c r="N140" i="230"/>
  <c r="N140" i="223"/>
  <c r="N140" i="231"/>
  <c r="N140" i="226"/>
  <c r="N140" i="234"/>
  <c r="N140" i="227"/>
  <c r="N140" i="235"/>
  <c r="N140" i="232"/>
  <c r="N140" i="224"/>
  <c r="N140" i="233"/>
  <c r="N140" i="225"/>
  <c r="N140" i="228"/>
  <c r="N140" i="229"/>
  <c r="N140" i="218"/>
  <c r="N140" i="219"/>
  <c r="N140" i="214"/>
  <c r="N140" i="215"/>
  <c r="N140" i="221"/>
  <c r="N140" i="216"/>
  <c r="N140" i="217"/>
  <c r="N140" i="210"/>
  <c r="N140" i="212"/>
  <c r="N140" i="211"/>
  <c r="N140" i="213"/>
  <c r="N140" i="194"/>
  <c r="N140" i="196"/>
  <c r="N140" i="197"/>
  <c r="N140" i="206"/>
  <c r="N140" i="207"/>
  <c r="N140" i="204"/>
  <c r="N140" i="208"/>
  <c r="N140" i="205"/>
  <c r="N140" i="209"/>
  <c r="N140" i="200"/>
  <c r="N140" i="201"/>
  <c r="N140" i="202"/>
  <c r="N140" i="198"/>
  <c r="N140" i="193"/>
  <c r="N140" i="190"/>
  <c r="N140" i="191"/>
  <c r="N140" i="186"/>
  <c r="N140" i="187"/>
  <c r="N140" i="192"/>
  <c r="N140" i="195"/>
  <c r="N140" i="185"/>
  <c r="N140" i="203"/>
  <c r="N140" i="188"/>
  <c r="N140" i="199"/>
  <c r="N140" i="189"/>
  <c r="N90" i="236"/>
  <c r="N90" i="231"/>
  <c r="N90" i="232"/>
  <c r="N90" i="221"/>
  <c r="N90" i="227"/>
  <c r="N90" i="228"/>
  <c r="N90" i="229"/>
  <c r="N90" i="230"/>
  <c r="N90" i="225"/>
  <c r="N90" i="226"/>
  <c r="N90" i="234"/>
  <c r="N90" i="233"/>
  <c r="N90" i="235"/>
  <c r="N90" i="223"/>
  <c r="N90" i="224"/>
  <c r="N90" i="217"/>
  <c r="N90" i="222"/>
  <c r="N90" i="218"/>
  <c r="N90" i="211"/>
  <c r="N90" i="212"/>
  <c r="N90" i="219"/>
  <c r="N90" i="220"/>
  <c r="N90" i="215"/>
  <c r="N90" i="216"/>
  <c r="N90" i="213"/>
  <c r="N90" i="214"/>
  <c r="N90" i="207"/>
  <c r="N90" i="208"/>
  <c r="N90" i="197"/>
  <c r="N90" i="209"/>
  <c r="N90" i="198"/>
  <c r="N90" i="210"/>
  <c r="N90" i="203"/>
  <c r="N90" i="204"/>
  <c r="N90" i="201"/>
  <c r="N90" i="202"/>
  <c r="N90" i="195"/>
  <c r="N90" i="205"/>
  <c r="N90" i="206"/>
  <c r="N90" i="199"/>
  <c r="N90" i="189"/>
  <c r="N90" i="190"/>
  <c r="N90" i="188"/>
  <c r="N90" i="200"/>
  <c r="N90" i="196"/>
  <c r="N90" i="193"/>
  <c r="N90" i="194"/>
  <c r="N90" i="191"/>
  <c r="N90" i="185"/>
  <c r="N90" i="192"/>
  <c r="N90" i="187"/>
  <c r="N90" i="186"/>
  <c r="N99" i="236"/>
  <c r="N99" i="228"/>
  <c r="N99" i="229"/>
  <c r="N99" i="234"/>
  <c r="N99" i="230"/>
  <c r="N99" i="225"/>
  <c r="N99" i="235"/>
  <c r="N99" i="226"/>
  <c r="N99" i="231"/>
  <c r="N99" i="223"/>
  <c r="N99" i="222"/>
  <c r="N99" i="232"/>
  <c r="N99" i="224"/>
  <c r="N99" i="233"/>
  <c r="N99" i="211"/>
  <c r="N99" i="221"/>
  <c r="N99" i="213"/>
  <c r="N99" i="214"/>
  <c r="N99" i="217"/>
  <c r="N99" i="218"/>
  <c r="N99" i="212"/>
  <c r="N99" i="209"/>
  <c r="N99" i="227"/>
  <c r="N99" i="219"/>
  <c r="N99" i="215"/>
  <c r="N99" i="208"/>
  <c r="N99" i="204"/>
  <c r="N99" i="205"/>
  <c r="N99" i="220"/>
  <c r="N99" i="202"/>
  <c r="N99" i="203"/>
  <c r="N99" i="197"/>
  <c r="N99" i="210"/>
  <c r="N99" i="198"/>
  <c r="N99" i="199"/>
  <c r="N99" i="195"/>
  <c r="N99" i="216"/>
  <c r="N99" i="206"/>
  <c r="N99" i="207"/>
  <c r="N99" i="200"/>
  <c r="N99" i="186"/>
  <c r="N99" i="192"/>
  <c r="N99" i="193"/>
  <c r="N99" i="201"/>
  <c r="N99" i="194"/>
  <c r="N99" i="190"/>
  <c r="N99" i="188"/>
  <c r="N99" i="187"/>
  <c r="N99" i="191"/>
  <c r="N99" i="189"/>
  <c r="N99" i="196"/>
  <c r="N99" i="185"/>
  <c r="N130" i="236"/>
  <c r="N130" i="235"/>
  <c r="N130" i="221"/>
  <c r="N130" i="231"/>
  <c r="N130" i="232"/>
  <c r="N130" i="223"/>
  <c r="N130" i="224"/>
  <c r="N130" i="225"/>
  <c r="N130" i="226"/>
  <c r="N130" i="233"/>
  <c r="N130" i="234"/>
  <c r="N130" i="229"/>
  <c r="N130" i="227"/>
  <c r="N130" i="230"/>
  <c r="N130" i="228"/>
  <c r="N130" i="219"/>
  <c r="N130" i="220"/>
  <c r="N130" i="215"/>
  <c r="N130" i="210"/>
  <c r="N130" i="211"/>
  <c r="N130" i="216"/>
  <c r="N130" i="212"/>
  <c r="N130" i="217"/>
  <c r="N130" i="214"/>
  <c r="N130" i="213"/>
  <c r="N130" i="222"/>
  <c r="N130" i="197"/>
  <c r="N130" i="205"/>
  <c r="N130" i="206"/>
  <c r="N130" i="200"/>
  <c r="N130" i="204"/>
  <c r="N130" i="207"/>
  <c r="N130" i="195"/>
  <c r="N130" i="208"/>
  <c r="N130" i="201"/>
  <c r="N130" i="218"/>
  <c r="N130" i="209"/>
  <c r="N130" i="202"/>
  <c r="N130" i="203"/>
  <c r="N130" i="198"/>
  <c r="N130" i="185"/>
  <c r="N130" i="186"/>
  <c r="N130" i="189"/>
  <c r="N130" i="196"/>
  <c r="N130" i="194"/>
  <c r="N130" i="187"/>
  <c r="N130" i="192"/>
  <c r="N130" i="188"/>
  <c r="N130" i="199"/>
  <c r="N130" i="193"/>
  <c r="N130" i="191"/>
  <c r="N130" i="190"/>
  <c r="N141" i="236"/>
  <c r="N141" i="233"/>
  <c r="N141" i="223"/>
  <c r="N141" i="235"/>
  <c r="N141" i="234"/>
  <c r="N141" i="225"/>
  <c r="N141" i="224"/>
  <c r="N141" i="228"/>
  <c r="N141" i="226"/>
  <c r="N141" i="229"/>
  <c r="N141" i="227"/>
  <c r="N141" i="231"/>
  <c r="N141" i="232"/>
  <c r="N141" i="230"/>
  <c r="N141" i="218"/>
  <c r="N141" i="219"/>
  <c r="N141" i="217"/>
  <c r="N141" i="209"/>
  <c r="N141" i="222"/>
  <c r="N141" i="220"/>
  <c r="N141" i="215"/>
  <c r="N141" i="212"/>
  <c r="N141" i="210"/>
  <c r="N141" i="216"/>
  <c r="N141" i="213"/>
  <c r="N141" i="221"/>
  <c r="N141" i="214"/>
  <c r="N141" i="205"/>
  <c r="N141" i="202"/>
  <c r="N141" i="203"/>
  <c r="N141" i="201"/>
  <c r="N141" i="206"/>
  <c r="N141" i="211"/>
  <c r="N141" i="196"/>
  <c r="N141" i="197"/>
  <c r="N141" i="208"/>
  <c r="N141" i="199"/>
  <c r="N141" i="198"/>
  <c r="N141" i="207"/>
  <c r="N141" i="200"/>
  <c r="N141" i="195"/>
  <c r="N141" i="187"/>
  <c r="N141" i="186"/>
  <c r="N141" i="204"/>
  <c r="N141" i="191"/>
  <c r="N141" i="185"/>
  <c r="N141" i="188"/>
  <c r="N141" i="194"/>
  <c r="N141" i="189"/>
  <c r="N141" i="192"/>
  <c r="N141" i="193"/>
  <c r="N141" i="190"/>
  <c r="N84" i="236"/>
  <c r="N84" i="231"/>
  <c r="N84" i="227"/>
  <c r="N84" i="232"/>
  <c r="N84" i="228"/>
  <c r="N84" i="221"/>
  <c r="N84" i="223"/>
  <c r="N84" i="229"/>
  <c r="N84" i="224"/>
  <c r="N84" i="230"/>
  <c r="N84" i="225"/>
  <c r="N84" i="226"/>
  <c r="N84" i="234"/>
  <c r="N84" i="235"/>
  <c r="N84" i="233"/>
  <c r="N84" i="212"/>
  <c r="N84" i="210"/>
  <c r="N84" i="213"/>
  <c r="N84" i="211"/>
  <c r="N84" i="222"/>
  <c r="N84" i="217"/>
  <c r="N84" i="218"/>
  <c r="N84" i="219"/>
  <c r="N84" i="220"/>
  <c r="N84" i="215"/>
  <c r="N84" i="216"/>
  <c r="N84" i="214"/>
  <c r="N84" i="197"/>
  <c r="N84" i="198"/>
  <c r="N84" i="195"/>
  <c r="N84" i="196"/>
  <c r="N84" i="208"/>
  <c r="N84" i="204"/>
  <c r="N84" i="209"/>
  <c r="N84" i="205"/>
  <c r="N84" i="201"/>
  <c r="N84" i="206"/>
  <c r="N84" i="207"/>
  <c r="N84" i="199"/>
  <c r="N84" i="200"/>
  <c r="N84" i="202"/>
  <c r="N84" i="185"/>
  <c r="N84" i="187"/>
  <c r="N84" i="190"/>
  <c r="N84" i="193"/>
  <c r="N84" i="191"/>
  <c r="N84" i="192"/>
  <c r="N84" i="203"/>
  <c r="N84" i="194"/>
  <c r="N84" i="188"/>
  <c r="N84" i="189"/>
  <c r="N84" i="186"/>
  <c r="N133" i="236"/>
  <c r="N133" i="235"/>
  <c r="N133" i="224"/>
  <c r="N133" i="231"/>
  <c r="N133" i="227"/>
  <c r="N133" i="232"/>
  <c r="N133" i="228"/>
  <c r="N133" i="222"/>
  <c r="N133" i="229"/>
  <c r="N133" i="233"/>
  <c r="N133" i="230"/>
  <c r="N133" i="225"/>
  <c r="N133" i="226"/>
  <c r="N133" i="213"/>
  <c r="N133" i="214"/>
  <c r="N133" i="234"/>
  <c r="N133" i="221"/>
  <c r="N133" i="217"/>
  <c r="N133" i="210"/>
  <c r="N133" i="218"/>
  <c r="N133" i="211"/>
  <c r="N133" i="212"/>
  <c r="N133" i="219"/>
  <c r="N133" i="223"/>
  <c r="N133" i="220"/>
  <c r="N133" i="215"/>
  <c r="N133" i="202"/>
  <c r="N133" i="198"/>
  <c r="N133" i="203"/>
  <c r="N133" i="200"/>
  <c r="N133" i="199"/>
  <c r="N133" i="208"/>
  <c r="N133" i="201"/>
  <c r="N133" i="209"/>
  <c r="N133" i="216"/>
  <c r="N133" i="196"/>
  <c r="N133" i="206"/>
  <c r="N133" i="204"/>
  <c r="N133" i="197"/>
  <c r="N133" i="207"/>
  <c r="N133" i="205"/>
  <c r="N133" i="185"/>
  <c r="N133" i="186"/>
  <c r="N133" i="190"/>
  <c r="N133" i="192"/>
  <c r="N133" i="191"/>
  <c r="N133" i="193"/>
  <c r="N133" i="188"/>
  <c r="N133" i="189"/>
  <c r="N133" i="187"/>
  <c r="N133" i="194"/>
  <c r="N133" i="195"/>
  <c r="N148" i="236"/>
  <c r="N148" i="226"/>
  <c r="N148" i="227"/>
  <c r="N148" i="228"/>
  <c r="N148" i="229"/>
  <c r="N148" i="230"/>
  <c r="N148" i="223"/>
  <c r="N148" i="231"/>
  <c r="N148" i="234"/>
  <c r="N148" i="225"/>
  <c r="N148" i="235"/>
  <c r="N148" i="232"/>
  <c r="N148" i="213"/>
  <c r="N148" i="212"/>
  <c r="N148" i="224"/>
  <c r="N148" i="215"/>
  <c r="N148" i="221"/>
  <c r="N148" i="214"/>
  <c r="N148" i="210"/>
  <c r="N148" i="217"/>
  <c r="N148" i="211"/>
  <c r="N148" i="219"/>
  <c r="N148" i="218"/>
  <c r="N148" i="220"/>
  <c r="N148" i="222"/>
  <c r="N148" i="233"/>
  <c r="N148" i="207"/>
  <c r="N148" i="208"/>
  <c r="N148" i="201"/>
  <c r="N148" i="200"/>
  <c r="N148" i="205"/>
  <c r="N148" i="209"/>
  <c r="N148" i="206"/>
  <c r="N148" i="216"/>
  <c r="N148" i="197"/>
  <c r="N148" i="202"/>
  <c r="N148" i="204"/>
  <c r="N148" i="203"/>
  <c r="N148" i="198"/>
  <c r="N148" i="192"/>
  <c r="N148" i="188"/>
  <c r="N148" i="185"/>
  <c r="N148" i="199"/>
  <c r="N148" i="193"/>
  <c r="N148" i="191"/>
  <c r="N148" i="190"/>
  <c r="N148" i="187"/>
  <c r="N148" i="195"/>
  <c r="N148" i="194"/>
  <c r="N148" i="189"/>
  <c r="N148" i="196"/>
  <c r="N148" i="186"/>
  <c r="N95" i="236"/>
  <c r="N95" i="233"/>
  <c r="N95" i="231"/>
  <c r="N95" i="232"/>
  <c r="N95" i="234"/>
  <c r="N95" i="227"/>
  <c r="N95" i="235"/>
  <c r="N95" i="228"/>
  <c r="N95" i="229"/>
  <c r="N95" i="225"/>
  <c r="N95" i="230"/>
  <c r="N95" i="226"/>
  <c r="N95" i="219"/>
  <c r="N95" i="220"/>
  <c r="N95" i="212"/>
  <c r="N95" i="213"/>
  <c r="N95" i="223"/>
  <c r="N95" i="221"/>
  <c r="N95" i="224"/>
  <c r="N95" i="222"/>
  <c r="N95" i="215"/>
  <c r="N95" i="216"/>
  <c r="N95" i="217"/>
  <c r="N95" i="214"/>
  <c r="N95" i="211"/>
  <c r="N95" i="210"/>
  <c r="N95" i="208"/>
  <c r="N95" i="195"/>
  <c r="N95" i="218"/>
  <c r="N95" i="209"/>
  <c r="N95" i="196"/>
  <c r="N95" i="204"/>
  <c r="N95" i="205"/>
  <c r="N95" i="197"/>
  <c r="N95" i="200"/>
  <c r="N95" i="199"/>
  <c r="N95" i="198"/>
  <c r="N95" i="201"/>
  <c r="N95" i="206"/>
  <c r="N95" i="202"/>
  <c r="N95" i="193"/>
  <c r="N95" i="207"/>
  <c r="N95" i="185"/>
  <c r="N95" i="186"/>
  <c r="N95" i="187"/>
  <c r="N95" i="191"/>
  <c r="N95" i="189"/>
  <c r="N95" i="188"/>
  <c r="N95" i="203"/>
  <c r="N95" i="192"/>
  <c r="N95" i="190"/>
  <c r="N95" i="194"/>
  <c r="N124" i="236"/>
  <c r="N124" i="232"/>
  <c r="N124" i="233"/>
  <c r="N124" i="230"/>
  <c r="N124" i="231"/>
  <c r="N124" i="234"/>
  <c r="N124" i="222"/>
  <c r="N124" i="235"/>
  <c r="N124" i="224"/>
  <c r="N124" i="225"/>
  <c r="N124" i="228"/>
  <c r="N124" i="229"/>
  <c r="N124" i="226"/>
  <c r="N124" i="227"/>
  <c r="N124" i="212"/>
  <c r="N124" i="213"/>
  <c r="N124" i="223"/>
  <c r="N124" i="218"/>
  <c r="N124" i="214"/>
  <c r="N124" i="219"/>
  <c r="N124" i="215"/>
  <c r="N124" i="210"/>
  <c r="N124" i="220"/>
  <c r="N124" i="221"/>
  <c r="N124" i="216"/>
  <c r="N124" i="217"/>
  <c r="N124" i="198"/>
  <c r="N124" i="196"/>
  <c r="N124" i="206"/>
  <c r="N124" i="199"/>
  <c r="N124" i="197"/>
  <c r="N124" i="207"/>
  <c r="N124" i="200"/>
  <c r="N124" i="201"/>
  <c r="N124" i="211"/>
  <c r="N124" i="202"/>
  <c r="N124" i="203"/>
  <c r="N124" i="208"/>
  <c r="N124" i="209"/>
  <c r="N124" i="204"/>
  <c r="N124" i="190"/>
  <c r="N124" i="188"/>
  <c r="N124" i="191"/>
  <c r="N124" i="189"/>
  <c r="N124" i="192"/>
  <c r="N124" i="193"/>
  <c r="N124" i="186"/>
  <c r="N124" i="187"/>
  <c r="N124" i="185"/>
  <c r="N124" i="205"/>
  <c r="N124" i="194"/>
  <c r="N124" i="195"/>
  <c r="N74" i="236"/>
  <c r="N74" i="226"/>
  <c r="N74" i="223"/>
  <c r="N74" i="224"/>
  <c r="N74" i="235"/>
  <c r="N74" i="231"/>
  <c r="N74" i="227"/>
  <c r="N74" i="232"/>
  <c r="N74" i="228"/>
  <c r="N74" i="233"/>
  <c r="N74" i="234"/>
  <c r="N74" i="229"/>
  <c r="N74" i="220"/>
  <c r="N74" i="215"/>
  <c r="N74" i="216"/>
  <c r="N74" i="213"/>
  <c r="N74" i="214"/>
  <c r="N74" i="225"/>
  <c r="N74" i="221"/>
  <c r="N74" i="222"/>
  <c r="N74" i="217"/>
  <c r="N74" i="210"/>
  <c r="N74" i="218"/>
  <c r="N74" i="212"/>
  <c r="N74" i="230"/>
  <c r="N74" i="195"/>
  <c r="N74" i="219"/>
  <c r="N74" i="211"/>
  <c r="N74" i="202"/>
  <c r="N74" i="203"/>
  <c r="N74" i="200"/>
  <c r="N74" i="208"/>
  <c r="N74" i="201"/>
  <c r="N74" i="198"/>
  <c r="N74" i="209"/>
  <c r="N74" i="199"/>
  <c r="N74" i="196"/>
  <c r="N74" i="206"/>
  <c r="N74" i="204"/>
  <c r="N74" i="197"/>
  <c r="N74" i="207"/>
  <c r="N74" i="205"/>
  <c r="N74" i="189"/>
  <c r="N74" i="185"/>
  <c r="N74" i="186"/>
  <c r="N74" i="190"/>
  <c r="N74" i="192"/>
  <c r="N74" i="191"/>
  <c r="N74" i="187"/>
  <c r="N74" i="193"/>
  <c r="N74" i="194"/>
  <c r="N74" i="188"/>
  <c r="N57" i="236"/>
  <c r="N57" i="222"/>
  <c r="N57" i="233"/>
  <c r="N57" i="234"/>
  <c r="N57" i="231"/>
  <c r="N57" i="232"/>
  <c r="N57" i="223"/>
  <c r="N57" i="224"/>
  <c r="N57" i="227"/>
  <c r="N57" i="225"/>
  <c r="N57" i="228"/>
  <c r="N57" i="226"/>
  <c r="N57" i="235"/>
  <c r="N57" i="229"/>
  <c r="N57" i="219"/>
  <c r="N57" i="230"/>
  <c r="N57" i="220"/>
  <c r="N57" i="221"/>
  <c r="N57" i="211"/>
  <c r="N57" i="217"/>
  <c r="N57" i="212"/>
  <c r="N57" i="218"/>
  <c r="N57" i="215"/>
  <c r="N57" i="216"/>
  <c r="N57" i="213"/>
  <c r="N57" i="214"/>
  <c r="N57" i="209"/>
  <c r="N57" i="203"/>
  <c r="N57" i="210"/>
  <c r="N57" i="204"/>
  <c r="N57" i="197"/>
  <c r="N57" i="198"/>
  <c r="N57" i="205"/>
  <c r="N57" i="207"/>
  <c r="N57" i="206"/>
  <c r="N57" i="208"/>
  <c r="N57" i="201"/>
  <c r="N57" i="199"/>
  <c r="N57" i="202"/>
  <c r="N57" i="200"/>
  <c r="N57" i="185"/>
  <c r="N57" i="186"/>
  <c r="N57" i="191"/>
  <c r="N57" i="192"/>
  <c r="N57" i="195"/>
  <c r="N57" i="196"/>
  <c r="N57" i="187"/>
  <c r="N57" i="188"/>
  <c r="N57" i="189"/>
  <c r="N57" i="190"/>
  <c r="N57" i="193"/>
  <c r="N57" i="194"/>
  <c r="N146" i="236"/>
  <c r="N146" i="229"/>
  <c r="N146" i="230"/>
  <c r="N146" i="225"/>
  <c r="N146" i="226"/>
  <c r="N146" i="234"/>
  <c r="N146" i="235"/>
  <c r="N146" i="233"/>
  <c r="N146" i="227"/>
  <c r="N146" i="228"/>
  <c r="N146" i="223"/>
  <c r="N146" i="224"/>
  <c r="N146" i="231"/>
  <c r="N146" i="232"/>
  <c r="N146" i="217"/>
  <c r="N146" i="218"/>
  <c r="N146" i="215"/>
  <c r="N146" i="216"/>
  <c r="N146" i="219"/>
  <c r="N146" i="221"/>
  <c r="N146" i="220"/>
  <c r="N146" i="222"/>
  <c r="N146" i="214"/>
  <c r="N146" i="212"/>
  <c r="N146" i="210"/>
  <c r="N146" i="206"/>
  <c r="N146" i="207"/>
  <c r="N146" i="195"/>
  <c r="N146" i="197"/>
  <c r="N146" i="196"/>
  <c r="N146" i="202"/>
  <c r="N146" i="198"/>
  <c r="N146" i="203"/>
  <c r="N146" i="199"/>
  <c r="N146" i="200"/>
  <c r="N146" i="211"/>
  <c r="N146" i="213"/>
  <c r="N146" i="208"/>
  <c r="N146" i="209"/>
  <c r="N146" i="204"/>
  <c r="N146" i="205"/>
  <c r="N146" i="201"/>
  <c r="N146" i="185"/>
  <c r="N146" i="188"/>
  <c r="N146" i="193"/>
  <c r="N146" i="189"/>
  <c r="N146" i="186"/>
  <c r="N146" i="187"/>
  <c r="N146" i="190"/>
  <c r="N146" i="191"/>
  <c r="N146" i="192"/>
  <c r="N146" i="194"/>
  <c r="N114" i="236"/>
  <c r="N114" i="235"/>
  <c r="N114" i="224"/>
  <c r="N114" i="233"/>
  <c r="N114" i="227"/>
  <c r="N114" i="228"/>
  <c r="N114" i="230"/>
  <c r="N114" i="229"/>
  <c r="N114" i="234"/>
  <c r="N114" i="226"/>
  <c r="N114" i="231"/>
  <c r="N114" i="223"/>
  <c r="N114" i="216"/>
  <c r="N114" i="214"/>
  <c r="N114" i="211"/>
  <c r="N114" i="218"/>
  <c r="N114" i="232"/>
  <c r="N114" i="215"/>
  <c r="N114" i="212"/>
  <c r="N114" i="209"/>
  <c r="N114" i="220"/>
  <c r="N114" i="225"/>
  <c r="N114" i="221"/>
  <c r="N114" i="213"/>
  <c r="N114" i="219"/>
  <c r="N114" i="196"/>
  <c r="N114" i="204"/>
  <c r="N114" i="197"/>
  <c r="N114" i="203"/>
  <c r="N114" i="207"/>
  <c r="N114" i="217"/>
  <c r="N114" i="222"/>
  <c r="N114" i="208"/>
  <c r="N114" i="205"/>
  <c r="N114" i="199"/>
  <c r="N114" i="200"/>
  <c r="N114" i="198"/>
  <c r="N114" i="206"/>
  <c r="N114" i="201"/>
  <c r="N114" i="210"/>
  <c r="N114" i="202"/>
  <c r="N114" i="194"/>
  <c r="N114" i="185"/>
  <c r="N114" i="190"/>
  <c r="N114" i="186"/>
  <c r="N114" i="193"/>
  <c r="N114" i="191"/>
  <c r="N114" i="192"/>
  <c r="N114" i="187"/>
  <c r="N114" i="195"/>
  <c r="N114" i="189"/>
  <c r="N114" i="188"/>
  <c r="N71" i="236"/>
  <c r="N71" i="233"/>
  <c r="N71" i="222"/>
  <c r="N71" i="235"/>
  <c r="N71" i="231"/>
  <c r="N71" i="223"/>
  <c r="N71" i="232"/>
  <c r="N71" i="224"/>
  <c r="N71" i="225"/>
  <c r="N71" i="226"/>
  <c r="N71" i="234"/>
  <c r="N71" i="229"/>
  <c r="N71" i="227"/>
  <c r="N71" i="230"/>
  <c r="N71" i="228"/>
  <c r="N71" i="210"/>
  <c r="N71" i="216"/>
  <c r="N71" i="211"/>
  <c r="N71" i="217"/>
  <c r="N71" i="221"/>
  <c r="N71" i="212"/>
  <c r="N71" i="213"/>
  <c r="N71" i="218"/>
  <c r="N71" i="214"/>
  <c r="N71" i="219"/>
  <c r="N71" i="220"/>
  <c r="N71" i="205"/>
  <c r="N71" i="206"/>
  <c r="N71" i="200"/>
  <c r="N71" i="204"/>
  <c r="N71" i="195"/>
  <c r="N71" i="207"/>
  <c r="N71" i="208"/>
  <c r="N71" i="203"/>
  <c r="N71" i="209"/>
  <c r="N71" i="201"/>
  <c r="N71" i="202"/>
  <c r="N71" i="198"/>
  <c r="N71" i="196"/>
  <c r="N71" i="199"/>
  <c r="N71" i="197"/>
  <c r="N71" i="215"/>
  <c r="N71" i="193"/>
  <c r="N71" i="189"/>
  <c r="N71" i="194"/>
  <c r="N71" i="186"/>
  <c r="N71" i="187"/>
  <c r="N71" i="188"/>
  <c r="N71" i="191"/>
  <c r="N71" i="190"/>
  <c r="N71" i="192"/>
  <c r="N71" i="185"/>
  <c r="N143" i="236"/>
  <c r="N143" i="234"/>
  <c r="N143" i="227"/>
  <c r="N143" i="228"/>
  <c r="N143" i="225"/>
  <c r="N143" i="222"/>
  <c r="N143" i="229"/>
  <c r="N143" i="226"/>
  <c r="N143" i="223"/>
  <c r="N143" i="230"/>
  <c r="N143" i="233"/>
  <c r="N143" i="231"/>
  <c r="N143" i="232"/>
  <c r="N143" i="235"/>
  <c r="N143" i="217"/>
  <c r="N143" i="218"/>
  <c r="N143" i="214"/>
  <c r="N143" i="215"/>
  <c r="N143" i="216"/>
  <c r="N143" i="224"/>
  <c r="N143" i="219"/>
  <c r="N143" i="220"/>
  <c r="N143" i="210"/>
  <c r="N143" i="212"/>
  <c r="N143" i="211"/>
  <c r="N143" i="213"/>
  <c r="N143" i="221"/>
  <c r="N143" i="198"/>
  <c r="N143" i="206"/>
  <c r="N143" i="199"/>
  <c r="N143" i="207"/>
  <c r="N143" i="202"/>
  <c r="N143" i="204"/>
  <c r="N143" i="203"/>
  <c r="N143" i="205"/>
  <c r="N143" i="208"/>
  <c r="N143" i="209"/>
  <c r="N143" i="200"/>
  <c r="N143" i="201"/>
  <c r="N143" i="197"/>
  <c r="N143" i="196"/>
  <c r="N143" i="186"/>
  <c r="N143" i="195"/>
  <c r="N143" i="190"/>
  <c r="N143" i="185"/>
  <c r="N143" i="187"/>
  <c r="N143" i="188"/>
  <c r="N143" i="194"/>
  <c r="N143" i="189"/>
  <c r="N143" i="193"/>
  <c r="N143" i="191"/>
  <c r="N143" i="192"/>
  <c r="N60" i="236"/>
  <c r="N60" i="222"/>
  <c r="N60" i="227"/>
  <c r="N60" i="231"/>
  <c r="N60" i="228"/>
  <c r="N60" i="232"/>
  <c r="N60" i="225"/>
  <c r="N60" i="235"/>
  <c r="N60" i="226"/>
  <c r="N60" i="233"/>
  <c r="N60" i="234"/>
  <c r="N60" i="229"/>
  <c r="N60" i="223"/>
  <c r="N60" i="230"/>
  <c r="N60" i="219"/>
  <c r="N60" i="213"/>
  <c r="N60" i="220"/>
  <c r="N60" i="224"/>
  <c r="N60" i="210"/>
  <c r="N60" i="216"/>
  <c r="N60" i="214"/>
  <c r="N60" i="211"/>
  <c r="N60" i="215"/>
  <c r="N60" i="221"/>
  <c r="N60" i="217"/>
  <c r="N60" i="218"/>
  <c r="N60" i="209"/>
  <c r="N60" i="200"/>
  <c r="N60" i="202"/>
  <c r="N60" i="201"/>
  <c r="N60" i="198"/>
  <c r="N60" i="203"/>
  <c r="N60" i="199"/>
  <c r="N60" i="196"/>
  <c r="N60" i="212"/>
  <c r="N60" i="197"/>
  <c r="N60" i="206"/>
  <c r="N60" i="207"/>
  <c r="N60" i="204"/>
  <c r="N60" i="205"/>
  <c r="N60" i="185"/>
  <c r="N60" i="190"/>
  <c r="N60" i="191"/>
  <c r="N60" i="192"/>
  <c r="N60" i="188"/>
  <c r="N60" i="193"/>
  <c r="N60" i="189"/>
  <c r="N60" i="208"/>
  <c r="N60" i="194"/>
  <c r="N60" i="195"/>
  <c r="N60" i="186"/>
  <c r="N60" i="187"/>
  <c r="N116" i="236"/>
  <c r="N116" i="234"/>
  <c r="N116" i="235"/>
  <c r="N116" i="232"/>
  <c r="N116" i="233"/>
  <c r="N116" i="231"/>
  <c r="N116" i="223"/>
  <c r="N116" i="224"/>
  <c r="N116" i="225"/>
  <c r="N116" i="229"/>
  <c r="N116" i="227"/>
  <c r="N116" i="226"/>
  <c r="N116" i="221"/>
  <c r="N116" i="212"/>
  <c r="N116" i="222"/>
  <c r="N116" i="219"/>
  <c r="N116" i="217"/>
  <c r="N116" i="215"/>
  <c r="N116" i="213"/>
  <c r="N116" i="220"/>
  <c r="N116" i="218"/>
  <c r="N116" i="216"/>
  <c r="N116" i="211"/>
  <c r="N116" i="228"/>
  <c r="N116" i="214"/>
  <c r="N116" i="210"/>
  <c r="N116" i="230"/>
  <c r="N116" i="207"/>
  <c r="N116" i="208"/>
  <c r="N116" i="204"/>
  <c r="N116" i="205"/>
  <c r="N116" i="194"/>
  <c r="N116" i="199"/>
  <c r="N116" i="200"/>
  <c r="N116" i="206"/>
  <c r="N116" i="202"/>
  <c r="N116" i="203"/>
  <c r="N116" i="197"/>
  <c r="N116" i="201"/>
  <c r="N116" i="198"/>
  <c r="N116" i="191"/>
  <c r="N116" i="187"/>
  <c r="N116" i="195"/>
  <c r="N116" i="190"/>
  <c r="N116" i="209"/>
  <c r="N116" i="196"/>
  <c r="N116" i="185"/>
  <c r="N116" i="188"/>
  <c r="N116" i="186"/>
  <c r="N116" i="192"/>
  <c r="N116" i="189"/>
  <c r="N116" i="193"/>
  <c r="N79" i="236"/>
  <c r="N79" i="233"/>
  <c r="N79" i="227"/>
  <c r="N79" i="234"/>
  <c r="N79" i="229"/>
  <c r="N79" i="230"/>
  <c r="N79" i="231"/>
  <c r="N79" i="226"/>
  <c r="N79" i="224"/>
  <c r="N79" i="228"/>
  <c r="N79" i="225"/>
  <c r="N79" i="216"/>
  <c r="N79" i="213"/>
  <c r="N79" i="212"/>
  <c r="N79" i="232"/>
  <c r="N79" i="235"/>
  <c r="N79" i="215"/>
  <c r="N79" i="221"/>
  <c r="N79" i="217"/>
  <c r="N79" i="214"/>
  <c r="N79" i="219"/>
  <c r="N79" i="218"/>
  <c r="N79" i="223"/>
  <c r="N79" i="220"/>
  <c r="N79" i="199"/>
  <c r="N79" i="205"/>
  <c r="N79" i="208"/>
  <c r="N79" i="201"/>
  <c r="N79" i="200"/>
  <c r="N79" i="203"/>
  <c r="N79" i="202"/>
  <c r="N79" i="209"/>
  <c r="N79" i="207"/>
  <c r="N79" i="206"/>
  <c r="N79" i="196"/>
  <c r="N79" i="222"/>
  <c r="N79" i="210"/>
  <c r="N79" i="204"/>
  <c r="N79" i="188"/>
  <c r="N79" i="185"/>
  <c r="N79" i="211"/>
  <c r="N79" i="198"/>
  <c r="N79" i="191"/>
  <c r="N79" i="190"/>
  <c r="N79" i="189"/>
  <c r="N79" i="193"/>
  <c r="N79" i="192"/>
  <c r="N79" i="187"/>
  <c r="N79" i="195"/>
  <c r="N79" i="194"/>
  <c r="N79" i="197"/>
  <c r="N79" i="186"/>
  <c r="N108" i="236"/>
  <c r="N108" i="228"/>
  <c r="N108" i="229"/>
  <c r="N108" i="222"/>
  <c r="N108" i="230"/>
  <c r="N108" i="231"/>
  <c r="N108" i="224"/>
  <c r="N108" i="234"/>
  <c r="N108" i="235"/>
  <c r="N108" i="225"/>
  <c r="N108" i="232"/>
  <c r="N108" i="233"/>
  <c r="N108" i="226"/>
  <c r="N108" i="227"/>
  <c r="N108" i="212"/>
  <c r="N108" i="215"/>
  <c r="N108" i="221"/>
  <c r="N108" i="213"/>
  <c r="N108" i="210"/>
  <c r="N108" i="208"/>
  <c r="N108" i="217"/>
  <c r="N108" i="214"/>
  <c r="N108" i="218"/>
  <c r="N108" i="219"/>
  <c r="N108" i="220"/>
  <c r="N108" i="223"/>
  <c r="N108" i="216"/>
  <c r="N108" i="205"/>
  <c r="N108" i="200"/>
  <c r="N108" i="201"/>
  <c r="N108" i="195"/>
  <c r="N108" i="209"/>
  <c r="N108" i="206"/>
  <c r="N108" i="207"/>
  <c r="N108" i="202"/>
  <c r="N108" i="203"/>
  <c r="N108" i="197"/>
  <c r="N108" i="198"/>
  <c r="N108" i="211"/>
  <c r="N108" i="199"/>
  <c r="N108" i="204"/>
  <c r="N108" i="188"/>
  <c r="N108" i="185"/>
  <c r="N108" i="196"/>
  <c r="N108" i="190"/>
  <c r="N108" i="191"/>
  <c r="N108" i="192"/>
  <c r="N108" i="186"/>
  <c r="N108" i="187"/>
  <c r="N108" i="189"/>
  <c r="N108" i="193"/>
  <c r="N108" i="194"/>
  <c r="N137" i="236"/>
  <c r="N137" i="224"/>
  <c r="N137" i="225"/>
  <c r="N137" i="232"/>
  <c r="N137" i="228"/>
  <c r="N137" i="233"/>
  <c r="N137" i="229"/>
  <c r="N137" i="226"/>
  <c r="N137" i="227"/>
  <c r="N137" i="230"/>
  <c r="N137" i="231"/>
  <c r="N137" i="234"/>
  <c r="N137" i="235"/>
  <c r="N137" i="221"/>
  <c r="N137" i="216"/>
  <c r="N137" i="217"/>
  <c r="N137" i="222"/>
  <c r="N137" i="223"/>
  <c r="N137" i="214"/>
  <c r="N137" i="212"/>
  <c r="N137" i="215"/>
  <c r="N137" i="213"/>
  <c r="N137" i="210"/>
  <c r="N137" i="218"/>
  <c r="N137" i="211"/>
  <c r="N137" i="208"/>
  <c r="N137" i="197"/>
  <c r="N137" i="209"/>
  <c r="N137" i="202"/>
  <c r="N137" i="203"/>
  <c r="N137" i="199"/>
  <c r="N137" i="200"/>
  <c r="N137" i="206"/>
  <c r="N137" i="201"/>
  <c r="N137" i="219"/>
  <c r="N137" i="207"/>
  <c r="N137" i="204"/>
  <c r="N137" i="205"/>
  <c r="N137" i="220"/>
  <c r="N137" i="188"/>
  <c r="N137" i="189"/>
  <c r="N137" i="198"/>
  <c r="N137" i="186"/>
  <c r="N137" i="187"/>
  <c r="N137" i="190"/>
  <c r="N137" i="191"/>
  <c r="N137" i="196"/>
  <c r="N137" i="192"/>
  <c r="N137" i="193"/>
  <c r="N137" i="185"/>
  <c r="N137" i="194"/>
  <c r="N137" i="195"/>
  <c r="N62" i="236"/>
  <c r="N62" i="221"/>
  <c r="N62" i="234"/>
  <c r="N62" i="235"/>
  <c r="N62" i="225"/>
  <c r="N62" i="229"/>
  <c r="N62" i="226"/>
  <c r="N62" i="230"/>
  <c r="N62" i="227"/>
  <c r="N62" i="228"/>
  <c r="N62" i="222"/>
  <c r="N62" i="231"/>
  <c r="N62" i="232"/>
  <c r="N62" i="233"/>
  <c r="N62" i="224"/>
  <c r="N62" i="216"/>
  <c r="N62" i="214"/>
  <c r="N62" i="220"/>
  <c r="N62" i="215"/>
  <c r="N62" i="210"/>
  <c r="N62" i="223"/>
  <c r="N62" i="218"/>
  <c r="N62" i="217"/>
  <c r="N62" i="219"/>
  <c r="N62" i="212"/>
  <c r="N62" i="202"/>
  <c r="N62" i="203"/>
  <c r="N62" i="209"/>
  <c r="N62" i="199"/>
  <c r="N62" i="205"/>
  <c r="N62" i="200"/>
  <c r="N62" i="206"/>
  <c r="N62" i="201"/>
  <c r="N62" i="198"/>
  <c r="N62" i="208"/>
  <c r="N62" i="196"/>
  <c r="N62" i="207"/>
  <c r="N62" i="213"/>
  <c r="N62" i="204"/>
  <c r="N62" i="194"/>
  <c r="N62" i="192"/>
  <c r="N62" i="195"/>
  <c r="N62" i="193"/>
  <c r="N62" i="188"/>
  <c r="N62" i="197"/>
  <c r="N62" i="189"/>
  <c r="N62" i="211"/>
  <c r="N62" i="190"/>
  <c r="N62" i="191"/>
  <c r="N62" i="185"/>
  <c r="N62" i="187"/>
  <c r="N62" i="186"/>
  <c r="N110" i="236"/>
  <c r="N110" i="232"/>
  <c r="N110" i="234"/>
  <c r="N110" i="230"/>
  <c r="N110" i="224"/>
  <c r="N110" i="225"/>
  <c r="N110" i="226"/>
  <c r="N110" i="235"/>
  <c r="N110" i="227"/>
  <c r="N110" i="228"/>
  <c r="N110" i="233"/>
  <c r="N110" i="229"/>
  <c r="N110" i="220"/>
  <c r="N110" i="212"/>
  <c r="N110" i="231"/>
  <c r="N110" i="221"/>
  <c r="N110" i="214"/>
  <c r="N110" i="211"/>
  <c r="N110" i="218"/>
  <c r="N110" i="217"/>
  <c r="N110" i="215"/>
  <c r="N110" i="222"/>
  <c r="N110" i="223"/>
  <c r="N110" i="216"/>
  <c r="N110" i="213"/>
  <c r="N110" i="208"/>
  <c r="N110" i="202"/>
  <c r="N110" i="206"/>
  <c r="N110" i="198"/>
  <c r="N110" i="219"/>
  <c r="N110" i="196"/>
  <c r="N110" i="197"/>
  <c r="N110" i="204"/>
  <c r="N110" i="203"/>
  <c r="N110" i="199"/>
  <c r="N110" i="210"/>
  <c r="N110" i="205"/>
  <c r="N110" i="209"/>
  <c r="N110" i="200"/>
  <c r="N110" i="189"/>
  <c r="N110" i="192"/>
  <c r="N110" i="201"/>
  <c r="N110" i="193"/>
  <c r="N110" i="187"/>
  <c r="N110" i="194"/>
  <c r="N110" i="188"/>
  <c r="N110" i="207"/>
  <c r="N110" i="186"/>
  <c r="N110" i="190"/>
  <c r="N110" i="195"/>
  <c r="N110" i="185"/>
  <c r="N110" i="191"/>
  <c r="N61" i="236"/>
  <c r="N61" i="228"/>
  <c r="N61" i="229"/>
  <c r="N61" i="226"/>
  <c r="N61" i="227"/>
  <c r="N61" i="232"/>
  <c r="N61" i="224"/>
  <c r="N61" i="233"/>
  <c r="N61" i="230"/>
  <c r="N61" i="225"/>
  <c r="N61" i="231"/>
  <c r="N61" i="234"/>
  <c r="N61" i="235"/>
  <c r="N61" i="220"/>
  <c r="N61" i="221"/>
  <c r="N61" i="222"/>
  <c r="N61" i="212"/>
  <c r="N61" i="223"/>
  <c r="N61" i="214"/>
  <c r="N61" i="213"/>
  <c r="N61" i="210"/>
  <c r="N61" i="215"/>
  <c r="N61" i="211"/>
  <c r="N61" i="218"/>
  <c r="N61" i="219"/>
  <c r="N61" i="216"/>
  <c r="N61" i="217"/>
  <c r="N61" i="194"/>
  <c r="N61" i="200"/>
  <c r="N61" i="206"/>
  <c r="N61" i="201"/>
  <c r="N61" i="207"/>
  <c r="N61" i="204"/>
  <c r="N61" i="205"/>
  <c r="N61" i="196"/>
  <c r="N61" i="197"/>
  <c r="N61" i="202"/>
  <c r="N61" i="203"/>
  <c r="N61" i="198"/>
  <c r="N61" i="208"/>
  <c r="N61" i="199"/>
  <c r="N61" i="209"/>
  <c r="N61" i="187"/>
  <c r="N61" i="195"/>
  <c r="N61" i="190"/>
  <c r="N61" i="191"/>
  <c r="N61" i="192"/>
  <c r="N61" i="193"/>
  <c r="N61" i="185"/>
  <c r="N61" i="186"/>
  <c r="N61" i="188"/>
  <c r="N61" i="189"/>
  <c r="N96" i="236"/>
  <c r="N96" i="226"/>
  <c r="N96" i="231"/>
  <c r="N96" i="223"/>
  <c r="N96" i="232"/>
  <c r="N96" i="224"/>
  <c r="N96" i="234"/>
  <c r="N96" i="235"/>
  <c r="N96" i="229"/>
  <c r="N96" i="230"/>
  <c r="N96" i="227"/>
  <c r="N96" i="233"/>
  <c r="N96" i="228"/>
  <c r="N96" i="220"/>
  <c r="N96" i="216"/>
  <c r="N96" i="213"/>
  <c r="N96" i="221"/>
  <c r="N96" i="219"/>
  <c r="N96" i="225"/>
  <c r="N96" i="222"/>
  <c r="N96" i="214"/>
  <c r="N96" i="217"/>
  <c r="N96" i="212"/>
  <c r="N96" i="218"/>
  <c r="N96" i="210"/>
  <c r="N96" i="207"/>
  <c r="N96" i="204"/>
  <c r="N96" i="208"/>
  <c r="N96" i="209"/>
  <c r="N96" i="196"/>
  <c r="N96" i="197"/>
  <c r="N96" i="211"/>
  <c r="N96" i="202"/>
  <c r="N96" i="198"/>
  <c r="N96" i="205"/>
  <c r="N96" i="203"/>
  <c r="N96" i="199"/>
  <c r="N96" i="206"/>
  <c r="N96" i="201"/>
  <c r="N96" i="200"/>
  <c r="N96" i="215"/>
  <c r="N96" i="195"/>
  <c r="N96" i="186"/>
  <c r="N96" i="185"/>
  <c r="N96" i="192"/>
  <c r="N96" i="193"/>
  <c r="N96" i="188"/>
  <c r="N96" i="190"/>
  <c r="N96" i="194"/>
  <c r="N96" i="187"/>
  <c r="N96" i="191"/>
  <c r="N96" i="189"/>
  <c r="N131" i="236"/>
  <c r="N131" i="234"/>
  <c r="N131" i="235"/>
  <c r="N131" i="225"/>
  <c r="N131" i="221"/>
  <c r="N131" i="226"/>
  <c r="N131" i="227"/>
  <c r="N131" i="228"/>
  <c r="N131" i="223"/>
  <c r="N131" i="229"/>
  <c r="N131" i="224"/>
  <c r="N131" i="233"/>
  <c r="N131" i="230"/>
  <c r="N131" i="231"/>
  <c r="N131" i="213"/>
  <c r="N131" i="209"/>
  <c r="N131" i="214"/>
  <c r="N131" i="210"/>
  <c r="N131" i="217"/>
  <c r="N131" i="215"/>
  <c r="N131" i="218"/>
  <c r="N131" i="216"/>
  <c r="N131" i="211"/>
  <c r="N131" i="232"/>
  <c r="N131" i="219"/>
  <c r="N131" i="212"/>
  <c r="N131" i="220"/>
  <c r="N131" i="222"/>
  <c r="N131" i="198"/>
  <c r="N131" i="193"/>
  <c r="N131" i="195"/>
  <c r="N131" i="205"/>
  <c r="N131" i="196"/>
  <c r="N131" i="206"/>
  <c r="N131" i="201"/>
  <c r="N131" i="202"/>
  <c r="N131" i="203"/>
  <c r="N131" i="199"/>
  <c r="N131" i="204"/>
  <c r="N131" i="200"/>
  <c r="N131" i="207"/>
  <c r="N131" i="197"/>
  <c r="N131" i="189"/>
  <c r="N131" i="191"/>
  <c r="N131" i="190"/>
  <c r="N131" i="192"/>
  <c r="N131" i="185"/>
  <c r="N131" i="186"/>
  <c r="N131" i="187"/>
  <c r="N131" i="188"/>
  <c r="N131" i="208"/>
  <c r="N131" i="194"/>
  <c r="N58" i="236"/>
  <c r="N58" i="235"/>
  <c r="N58" i="229"/>
  <c r="N58" i="233"/>
  <c r="N58" i="230"/>
  <c r="N58" i="225"/>
  <c r="N58" i="226"/>
  <c r="N58" i="223"/>
  <c r="N58" i="231"/>
  <c r="N58" i="232"/>
  <c r="N58" i="227"/>
  <c r="N58" i="219"/>
  <c r="N58" i="217"/>
  <c r="N58" i="215"/>
  <c r="N58" i="209"/>
  <c r="N58" i="234"/>
  <c r="N58" i="220"/>
  <c r="N58" i="218"/>
  <c r="N58" i="228"/>
  <c r="N58" i="216"/>
  <c r="N58" i="214"/>
  <c r="N58" i="224"/>
  <c r="N58" i="211"/>
  <c r="N58" i="221"/>
  <c r="N58" i="213"/>
  <c r="N58" i="207"/>
  <c r="N58" i="208"/>
  <c r="N58" i="196"/>
  <c r="N58" i="197"/>
  <c r="N58" i="222"/>
  <c r="N58" i="205"/>
  <c r="N58" i="200"/>
  <c r="N58" i="206"/>
  <c r="N58" i="204"/>
  <c r="N58" i="201"/>
  <c r="N58" i="210"/>
  <c r="N58" i="199"/>
  <c r="N58" i="198"/>
  <c r="N58" i="202"/>
  <c r="N58" i="212"/>
  <c r="N58" i="203"/>
  <c r="N58" i="188"/>
  <c r="N58" i="185"/>
  <c r="N58" i="191"/>
  <c r="N58" i="186"/>
  <c r="N58" i="189"/>
  <c r="N58" i="195"/>
  <c r="N58" i="192"/>
  <c r="N58" i="193"/>
  <c r="N58" i="194"/>
  <c r="N58" i="187"/>
  <c r="N58" i="190"/>
  <c r="N72" i="236"/>
  <c r="N72" i="231"/>
  <c r="N72" i="225"/>
  <c r="N72" i="232"/>
  <c r="N72" i="224"/>
  <c r="N72" i="234"/>
  <c r="N72" i="235"/>
  <c r="N72" i="228"/>
  <c r="N72" i="230"/>
  <c r="N72" i="226"/>
  <c r="N72" i="233"/>
  <c r="N72" i="227"/>
  <c r="N72" i="229"/>
  <c r="N72" i="215"/>
  <c r="N72" i="209"/>
  <c r="N72" i="220"/>
  <c r="N72" i="210"/>
  <c r="N72" i="221"/>
  <c r="N72" i="213"/>
  <c r="N72" i="223"/>
  <c r="N72" i="219"/>
  <c r="N72" i="218"/>
  <c r="N72" i="216"/>
  <c r="N72" i="217"/>
  <c r="N72" i="222"/>
  <c r="N72" i="211"/>
  <c r="N72" i="212"/>
  <c r="N72" i="214"/>
  <c r="N72" i="201"/>
  <c r="N72" i="196"/>
  <c r="N72" i="197"/>
  <c r="N72" i="202"/>
  <c r="N72" i="206"/>
  <c r="N72" i="198"/>
  <c r="N72" i="207"/>
  <c r="N72" i="199"/>
  <c r="N72" i="204"/>
  <c r="N72" i="205"/>
  <c r="N72" i="203"/>
  <c r="N72" i="208"/>
  <c r="N72" i="192"/>
  <c r="N72" i="193"/>
  <c r="N72" i="185"/>
  <c r="N72" i="200"/>
  <c r="N72" i="186"/>
  <c r="N72" i="189"/>
  <c r="N72" i="187"/>
  <c r="N72" i="194"/>
  <c r="N72" i="190"/>
  <c r="N72" i="195"/>
  <c r="N72" i="188"/>
  <c r="N72" i="191"/>
  <c r="N142" i="236"/>
  <c r="N142" i="235"/>
  <c r="N142" i="221"/>
  <c r="N142" i="232"/>
  <c r="N142" i="227"/>
  <c r="N142" i="228"/>
  <c r="N142" i="233"/>
  <c r="N142" i="229"/>
  <c r="N142" i="224"/>
  <c r="N142" i="230"/>
  <c r="N142" i="225"/>
  <c r="N142" i="231"/>
  <c r="N142" i="226"/>
  <c r="N142" i="218"/>
  <c r="N142" i="211"/>
  <c r="N142" i="219"/>
  <c r="N142" i="217"/>
  <c r="N142" i="212"/>
  <c r="N142" i="234"/>
  <c r="N142" i="216"/>
  <c r="N142" i="223"/>
  <c r="N142" i="220"/>
  <c r="N142" i="222"/>
  <c r="N142" i="215"/>
  <c r="N142" i="214"/>
  <c r="N142" i="213"/>
  <c r="N142" i="204"/>
  <c r="N142" i="199"/>
  <c r="N142" i="198"/>
  <c r="N142" i="197"/>
  <c r="N142" i="209"/>
  <c r="N142" i="196"/>
  <c r="N142" i="210"/>
  <c r="N142" i="203"/>
  <c r="N142" i="208"/>
  <c r="N142" i="205"/>
  <c r="N142" i="206"/>
  <c r="N142" i="200"/>
  <c r="N142" i="195"/>
  <c r="N142" i="201"/>
  <c r="N142" i="207"/>
  <c r="N142" i="202"/>
  <c r="N142" i="189"/>
  <c r="N142" i="194"/>
  <c r="N142" i="192"/>
  <c r="N142" i="188"/>
  <c r="N142" i="187"/>
  <c r="N142" i="185"/>
  <c r="N142" i="191"/>
  <c r="N142" i="190"/>
  <c r="N142" i="193"/>
  <c r="N142" i="186"/>
  <c r="N67" i="236"/>
  <c r="N67" i="234"/>
  <c r="N67" i="231"/>
  <c r="N67" i="227"/>
  <c r="N67" i="223"/>
  <c r="N67" i="232"/>
  <c r="N67" i="228"/>
  <c r="N67" i="224"/>
  <c r="N67" i="235"/>
  <c r="N67" i="229"/>
  <c r="N67" i="230"/>
  <c r="N67" i="225"/>
  <c r="N67" i="226"/>
  <c r="N67" i="216"/>
  <c r="N67" i="219"/>
  <c r="N67" i="212"/>
  <c r="N67" i="233"/>
  <c r="N67" i="220"/>
  <c r="N67" i="214"/>
  <c r="N67" i="213"/>
  <c r="N67" i="210"/>
  <c r="N67" i="215"/>
  <c r="N67" i="211"/>
  <c r="N67" i="221"/>
  <c r="N67" i="222"/>
  <c r="N67" i="217"/>
  <c r="N67" i="218"/>
  <c r="N67" i="209"/>
  <c r="N67" i="203"/>
  <c r="N67" i="200"/>
  <c r="N67" i="206"/>
  <c r="N67" i="201"/>
  <c r="N67" i="207"/>
  <c r="N67" i="204"/>
  <c r="N67" i="205"/>
  <c r="N67" i="196"/>
  <c r="N67" i="198"/>
  <c r="N67" i="197"/>
  <c r="N67" i="199"/>
  <c r="N67" i="187"/>
  <c r="N67" i="190"/>
  <c r="N67" i="188"/>
  <c r="N67" i="191"/>
  <c r="N67" i="189"/>
  <c r="N67" i="192"/>
  <c r="N67" i="202"/>
  <c r="N67" i="193"/>
  <c r="N67" i="208"/>
  <c r="N67" i="194"/>
  <c r="N67" i="195"/>
  <c r="N67" i="185"/>
  <c r="N67" i="186"/>
  <c r="N121" i="236"/>
  <c r="N121" i="232"/>
  <c r="N121" i="225"/>
  <c r="N121" i="226"/>
  <c r="N121" i="222"/>
  <c r="N121" i="227"/>
  <c r="N121" i="235"/>
  <c r="N121" i="233"/>
  <c r="N121" i="228"/>
  <c r="N121" i="234"/>
  <c r="N121" i="223"/>
  <c r="N121" i="229"/>
  <c r="N121" i="224"/>
  <c r="N121" i="221"/>
  <c r="N121" i="231"/>
  <c r="N121" i="212"/>
  <c r="N121" i="219"/>
  <c r="N121" i="213"/>
  <c r="N121" i="220"/>
  <c r="N121" i="210"/>
  <c r="N121" i="217"/>
  <c r="N121" i="218"/>
  <c r="N121" i="214"/>
  <c r="N121" i="215"/>
  <c r="N121" i="230"/>
  <c r="N121" i="216"/>
  <c r="N121" i="200"/>
  <c r="N121" i="201"/>
  <c r="N121" i="208"/>
  <c r="N121" i="209"/>
  <c r="N121" i="195"/>
  <c r="N121" i="211"/>
  <c r="N121" i="204"/>
  <c r="N121" i="202"/>
  <c r="N121" i="197"/>
  <c r="N121" i="205"/>
  <c r="N121" i="203"/>
  <c r="N121" i="206"/>
  <c r="N121" i="198"/>
  <c r="N121" i="207"/>
  <c r="N121" i="187"/>
  <c r="N121" i="188"/>
  <c r="N121" i="185"/>
  <c r="N121" i="186"/>
  <c r="N121" i="196"/>
  <c r="N121" i="193"/>
  <c r="N121" i="194"/>
  <c r="N121" i="191"/>
  <c r="N121" i="192"/>
  <c r="N121" i="199"/>
  <c r="N121" i="189"/>
  <c r="N121" i="190"/>
  <c r="N100" i="236"/>
  <c r="N100" i="220"/>
  <c r="N100" i="234"/>
  <c r="N100" i="235"/>
  <c r="N100" i="233"/>
  <c r="N100" i="223"/>
  <c r="N100" i="224"/>
  <c r="N100" i="231"/>
  <c r="N100" i="232"/>
  <c r="N100" i="225"/>
  <c r="N100" i="229"/>
  <c r="N100" i="227"/>
  <c r="N100" i="226"/>
  <c r="N100" i="230"/>
  <c r="N100" i="228"/>
  <c r="N100" i="221"/>
  <c r="N100" i="222"/>
  <c r="N100" i="217"/>
  <c r="N100" i="213"/>
  <c r="N100" i="218"/>
  <c r="N100" i="216"/>
  <c r="N100" i="215"/>
  <c r="N100" i="219"/>
  <c r="N100" i="210"/>
  <c r="N100" i="209"/>
  <c r="N100" i="212"/>
  <c r="N100" i="211"/>
  <c r="N100" i="214"/>
  <c r="N100" i="207"/>
  <c r="N100" i="208"/>
  <c r="N100" i="199"/>
  <c r="N100" i="204"/>
  <c r="N100" i="196"/>
  <c r="N100" i="197"/>
  <c r="N100" i="202"/>
  <c r="N100" i="203"/>
  <c r="N100" i="200"/>
  <c r="N100" i="205"/>
  <c r="N100" i="206"/>
  <c r="N100" i="198"/>
  <c r="N100" i="201"/>
  <c r="N100" i="193"/>
  <c r="N100" i="194"/>
  <c r="N100" i="187"/>
  <c r="N100" i="195"/>
  <c r="N100" i="185"/>
  <c r="N100" i="192"/>
  <c r="N100" i="186"/>
  <c r="N100" i="189"/>
  <c r="N100" i="190"/>
  <c r="N100" i="191"/>
  <c r="N100" i="188"/>
  <c r="N139" i="184"/>
  <c r="N139" i="183"/>
  <c r="N139" i="180"/>
  <c r="N139" i="181"/>
  <c r="N139" i="182"/>
  <c r="N89" i="182"/>
  <c r="N89" i="183"/>
  <c r="N89" i="180"/>
  <c r="N89" i="181"/>
  <c r="N89" i="184"/>
  <c r="N123" i="183"/>
  <c r="N123" i="182"/>
  <c r="N123" i="184"/>
  <c r="N123" i="180"/>
  <c r="N123" i="181"/>
  <c r="N136" i="184"/>
  <c r="N136" i="180"/>
  <c r="N136" i="181"/>
  <c r="N136" i="182"/>
  <c r="N136" i="183"/>
  <c r="N81" i="182"/>
  <c r="N81" i="183"/>
  <c r="N81" i="181"/>
  <c r="N81" i="180"/>
  <c r="N81" i="184"/>
  <c r="N107" i="183"/>
  <c r="N107" i="180"/>
  <c r="N107" i="181"/>
  <c r="N107" i="182"/>
  <c r="N107" i="184"/>
  <c r="N120" i="180"/>
  <c r="N120" i="181"/>
  <c r="N120" i="184"/>
  <c r="N120" i="182"/>
  <c r="N120" i="183"/>
  <c r="N66" i="182"/>
  <c r="N66" i="183"/>
  <c r="N66" i="184"/>
  <c r="N66" i="180"/>
  <c r="N66" i="181"/>
  <c r="N118" i="181"/>
  <c r="N118" i="182"/>
  <c r="N118" i="180"/>
  <c r="N118" i="183"/>
  <c r="N118" i="184"/>
  <c r="N64" i="184"/>
  <c r="N64" i="181"/>
  <c r="N64" i="182"/>
  <c r="N64" i="183"/>
  <c r="N64" i="180"/>
  <c r="N91" i="181"/>
  <c r="N91" i="180"/>
  <c r="N91" i="184"/>
  <c r="N91" i="182"/>
  <c r="N91" i="183"/>
  <c r="N63" i="182"/>
  <c r="N63" i="183"/>
  <c r="N63" i="181"/>
  <c r="N63" i="184"/>
  <c r="N63" i="180"/>
  <c r="N146" i="180"/>
  <c r="N146" i="181"/>
  <c r="N146" i="182"/>
  <c r="N146" i="183"/>
  <c r="N146" i="184"/>
  <c r="N112" i="180"/>
  <c r="N112" i="181"/>
  <c r="N112" i="184"/>
  <c r="N112" i="182"/>
  <c r="N112" i="183"/>
  <c r="N109" i="183"/>
  <c r="N109" i="181"/>
  <c r="N109" i="182"/>
  <c r="N109" i="180"/>
  <c r="N109" i="184"/>
  <c r="N75" i="184"/>
  <c r="N75" i="182"/>
  <c r="N75" i="183"/>
  <c r="N75" i="180"/>
  <c r="N75" i="181"/>
  <c r="N88" i="184"/>
  <c r="N88" i="180"/>
  <c r="N88" i="182"/>
  <c r="N88" i="183"/>
  <c r="N88" i="181"/>
  <c r="N128" i="182"/>
  <c r="N128" i="183"/>
  <c r="N128" i="181"/>
  <c r="N128" i="180"/>
  <c r="N128" i="184"/>
  <c r="N132" i="180"/>
  <c r="N132" i="181"/>
  <c r="N132" i="182"/>
  <c r="N132" i="183"/>
  <c r="N132" i="184"/>
  <c r="N134" i="180"/>
  <c r="N134" i="183"/>
  <c r="N134" i="181"/>
  <c r="N134" i="184"/>
  <c r="N134" i="182"/>
  <c r="N138" i="184"/>
  <c r="N138" i="182"/>
  <c r="N138" i="183"/>
  <c r="N138" i="180"/>
  <c r="N138" i="181"/>
  <c r="N135" i="181"/>
  <c r="N135" i="180"/>
  <c r="N135" i="184"/>
  <c r="N135" i="183"/>
  <c r="N135" i="182"/>
  <c r="N94" i="182"/>
  <c r="N94" i="183"/>
  <c r="N94" i="181"/>
  <c r="N94" i="184"/>
  <c r="N94" i="180"/>
  <c r="N125" i="184"/>
  <c r="N125" i="180"/>
  <c r="N125" i="181"/>
  <c r="N125" i="182"/>
  <c r="N125" i="183"/>
  <c r="N68" i="180"/>
  <c r="N68" i="181"/>
  <c r="N68" i="182"/>
  <c r="N68" i="183"/>
  <c r="N68" i="184"/>
  <c r="N122" i="180"/>
  <c r="N122" i="181"/>
  <c r="N122" i="182"/>
  <c r="N122" i="183"/>
  <c r="N122" i="184"/>
  <c r="N119" i="184"/>
  <c r="N119" i="181"/>
  <c r="N119" i="180"/>
  <c r="N119" i="182"/>
  <c r="N119" i="183"/>
  <c r="N110" i="182"/>
  <c r="N110" i="184"/>
  <c r="N110" i="183"/>
  <c r="N110" i="180"/>
  <c r="N110" i="181"/>
  <c r="N61" i="184"/>
  <c r="N61" i="180"/>
  <c r="N61" i="181"/>
  <c r="N61" i="182"/>
  <c r="N61" i="183"/>
  <c r="N73" i="180"/>
  <c r="N73" i="181"/>
  <c r="N73" i="182"/>
  <c r="N73" i="184"/>
  <c r="N73" i="183"/>
  <c r="N145" i="182"/>
  <c r="N145" i="183"/>
  <c r="N145" i="180"/>
  <c r="N145" i="181"/>
  <c r="N145" i="184"/>
  <c r="N127" i="180"/>
  <c r="N127" i="181"/>
  <c r="N127" i="182"/>
  <c r="N127" i="183"/>
  <c r="N127" i="184"/>
  <c r="N93" i="184"/>
  <c r="N93" i="180"/>
  <c r="N93" i="182"/>
  <c r="N93" i="183"/>
  <c r="N93" i="181"/>
  <c r="N106" i="184"/>
  <c r="N106" i="180"/>
  <c r="N106" i="182"/>
  <c r="N106" i="183"/>
  <c r="N106" i="181"/>
  <c r="N144" i="184"/>
  <c r="N144" i="180"/>
  <c r="N144" i="183"/>
  <c r="N144" i="181"/>
  <c r="N144" i="182"/>
  <c r="N117" i="182"/>
  <c r="N117" i="183"/>
  <c r="N117" i="180"/>
  <c r="N117" i="181"/>
  <c r="N117" i="184"/>
  <c r="N80" i="180"/>
  <c r="N80" i="184"/>
  <c r="N80" i="181"/>
  <c r="N80" i="182"/>
  <c r="N80" i="183"/>
  <c r="N115" i="184"/>
  <c r="N115" i="180"/>
  <c r="N115" i="181"/>
  <c r="N115" i="182"/>
  <c r="N115" i="183"/>
  <c r="N129" i="182"/>
  <c r="N129" i="180"/>
  <c r="N129" i="183"/>
  <c r="N129" i="184"/>
  <c r="N129" i="181"/>
  <c r="N111" i="180"/>
  <c r="N111" i="181"/>
  <c r="N111" i="182"/>
  <c r="N111" i="184"/>
  <c r="N111" i="183"/>
  <c r="N77" i="182"/>
  <c r="N77" i="181"/>
  <c r="N77" i="180"/>
  <c r="N77" i="183"/>
  <c r="N77" i="184"/>
  <c r="N65" i="180"/>
  <c r="N65" i="181"/>
  <c r="N65" i="182"/>
  <c r="N65" i="184"/>
  <c r="N65" i="183"/>
  <c r="N114" i="182"/>
  <c r="N114" i="180"/>
  <c r="N114" i="183"/>
  <c r="N114" i="181"/>
  <c r="N114" i="184"/>
  <c r="N85" i="180"/>
  <c r="N85" i="183"/>
  <c r="N85" i="181"/>
  <c r="N85" i="184"/>
  <c r="N85" i="182"/>
  <c r="N98" i="181"/>
  <c r="N98" i="182"/>
  <c r="N98" i="183"/>
  <c r="N98" i="180"/>
  <c r="N98" i="184"/>
  <c r="N86" i="181"/>
  <c r="N86" i="180"/>
  <c r="N86" i="184"/>
  <c r="N86" i="182"/>
  <c r="N86" i="183"/>
  <c r="N113" i="182"/>
  <c r="N113" i="181"/>
  <c r="N113" i="180"/>
  <c r="N113" i="183"/>
  <c r="N113" i="184"/>
  <c r="N70" i="180"/>
  <c r="N70" i="181"/>
  <c r="N70" i="182"/>
  <c r="N70" i="183"/>
  <c r="N70" i="184"/>
  <c r="N140" i="181"/>
  <c r="N140" i="180"/>
  <c r="N140" i="184"/>
  <c r="N140" i="182"/>
  <c r="N140" i="183"/>
  <c r="N90" i="182"/>
  <c r="N90" i="183"/>
  <c r="N90" i="180"/>
  <c r="N90" i="181"/>
  <c r="N90" i="184"/>
  <c r="N99" i="182"/>
  <c r="N99" i="183"/>
  <c r="N99" i="180"/>
  <c r="N99" i="181"/>
  <c r="N99" i="184"/>
  <c r="N78" i="183"/>
  <c r="N78" i="180"/>
  <c r="N78" i="184"/>
  <c r="N78" i="181"/>
  <c r="N78" i="182"/>
  <c r="N59" i="180"/>
  <c r="N59" i="182"/>
  <c r="N59" i="183"/>
  <c r="N59" i="184"/>
  <c r="N59" i="181"/>
  <c r="N143" i="180"/>
  <c r="N143" i="181"/>
  <c r="N143" i="184"/>
  <c r="N143" i="182"/>
  <c r="N143" i="183"/>
  <c r="N133" i="180"/>
  <c r="N133" i="184"/>
  <c r="N133" i="183"/>
  <c r="N133" i="181"/>
  <c r="N133" i="182"/>
  <c r="N148" i="184"/>
  <c r="N148" i="182"/>
  <c r="N148" i="183"/>
  <c r="N148" i="180"/>
  <c r="N148" i="181"/>
  <c r="N95" i="180"/>
  <c r="N95" i="181"/>
  <c r="N95" i="182"/>
  <c r="N95" i="184"/>
  <c r="N95" i="183"/>
  <c r="N124" i="184"/>
  <c r="N124" i="181"/>
  <c r="N124" i="180"/>
  <c r="N124" i="182"/>
  <c r="N124" i="183"/>
  <c r="N74" i="181"/>
  <c r="N74" i="184"/>
  <c r="N74" i="182"/>
  <c r="N74" i="183"/>
  <c r="N74" i="180"/>
  <c r="N130" i="184"/>
  <c r="N130" i="180"/>
  <c r="N130" i="181"/>
  <c r="N130" i="182"/>
  <c r="N130" i="183"/>
  <c r="N141" i="184"/>
  <c r="N141" i="182"/>
  <c r="N141" i="180"/>
  <c r="N141" i="183"/>
  <c r="N141" i="181"/>
  <c r="N84" i="182"/>
  <c r="N84" i="183"/>
  <c r="N84" i="184"/>
  <c r="N84" i="180"/>
  <c r="N84" i="181"/>
  <c r="N131" i="184"/>
  <c r="N131" i="183"/>
  <c r="N131" i="180"/>
  <c r="N131" i="181"/>
  <c r="N131" i="182"/>
  <c r="N60" i="181"/>
  <c r="N60" i="182"/>
  <c r="N60" i="183"/>
  <c r="N60" i="180"/>
  <c r="N60" i="184"/>
  <c r="N116" i="183"/>
  <c r="N116" i="180"/>
  <c r="N116" i="181"/>
  <c r="N116" i="182"/>
  <c r="N116" i="184"/>
  <c r="N79" i="181"/>
  <c r="N79" i="180"/>
  <c r="N79" i="184"/>
  <c r="N79" i="182"/>
  <c r="N79" i="183"/>
  <c r="N108" i="184"/>
  <c r="N108" i="180"/>
  <c r="N108" i="181"/>
  <c r="N108" i="182"/>
  <c r="N108" i="183"/>
  <c r="N137" i="184"/>
  <c r="N137" i="181"/>
  <c r="N137" i="180"/>
  <c r="N137" i="182"/>
  <c r="N137" i="183"/>
  <c r="N57" i="182"/>
  <c r="N57" i="180"/>
  <c r="N57" i="183"/>
  <c r="N57" i="181"/>
  <c r="N57" i="184"/>
  <c r="N69" i="180"/>
  <c r="N69" i="184"/>
  <c r="N69" i="182"/>
  <c r="N69" i="181"/>
  <c r="N69" i="183"/>
  <c r="N71" i="181"/>
  <c r="N71" i="184"/>
  <c r="N71" i="182"/>
  <c r="N71" i="183"/>
  <c r="N71" i="180"/>
  <c r="N82" i="181"/>
  <c r="N82" i="183"/>
  <c r="N82" i="180"/>
  <c r="N82" i="184"/>
  <c r="N82" i="182"/>
  <c r="N58" i="180"/>
  <c r="N58" i="182"/>
  <c r="N58" i="183"/>
  <c r="N58" i="184"/>
  <c r="N58" i="181"/>
  <c r="N72" i="180"/>
  <c r="N72" i="183"/>
  <c r="N72" i="181"/>
  <c r="N72" i="182"/>
  <c r="N72" i="184"/>
  <c r="N142" i="184"/>
  <c r="N142" i="180"/>
  <c r="N142" i="181"/>
  <c r="N142" i="182"/>
  <c r="N142" i="183"/>
  <c r="N67" i="184"/>
  <c r="N67" i="181"/>
  <c r="N67" i="180"/>
  <c r="N67" i="182"/>
  <c r="N67" i="183"/>
  <c r="N121" i="182"/>
  <c r="N121" i="183"/>
  <c r="N121" i="180"/>
  <c r="N121" i="181"/>
  <c r="N121" i="184"/>
  <c r="N62" i="182"/>
  <c r="N62" i="183"/>
  <c r="N62" i="184"/>
  <c r="N62" i="180"/>
  <c r="N62" i="181"/>
  <c r="N76" i="180"/>
  <c r="N76" i="183"/>
  <c r="N76" i="184"/>
  <c r="N76" i="182"/>
  <c r="N76" i="181"/>
  <c r="N96" i="182"/>
  <c r="N96" i="183"/>
  <c r="N96" i="181"/>
  <c r="N96" i="180"/>
  <c r="N96" i="184"/>
  <c r="N147" i="181"/>
  <c r="N147" i="182"/>
  <c r="N147" i="180"/>
  <c r="N147" i="183"/>
  <c r="N147" i="184"/>
  <c r="N83" i="180"/>
  <c r="N83" i="181"/>
  <c r="N83" i="182"/>
  <c r="N83" i="184"/>
  <c r="N83" i="183"/>
  <c r="N97" i="183"/>
  <c r="N97" i="181"/>
  <c r="N97" i="180"/>
  <c r="N97" i="182"/>
  <c r="N97" i="184"/>
  <c r="N126" i="184"/>
  <c r="N126" i="183"/>
  <c r="N126" i="180"/>
  <c r="N126" i="181"/>
  <c r="N126" i="182"/>
  <c r="N92" i="181"/>
  <c r="N92" i="180"/>
  <c r="N92" i="183"/>
  <c r="N92" i="182"/>
  <c r="N92" i="184"/>
  <c r="N87" i="181"/>
  <c r="N87" i="180"/>
  <c r="N87" i="182"/>
  <c r="N87" i="183"/>
  <c r="N87" i="184"/>
  <c r="N100" i="180"/>
  <c r="N100" i="181"/>
  <c r="N100" i="182"/>
  <c r="N100" i="183"/>
  <c r="N100" i="184"/>
  <c r="N139" i="176"/>
  <c r="N139" i="177"/>
  <c r="N89" i="176"/>
  <c r="N89" i="177"/>
  <c r="N136" i="176"/>
  <c r="N136" i="177"/>
  <c r="N146" i="176"/>
  <c r="N146" i="177"/>
  <c r="N107" i="176"/>
  <c r="N107" i="177"/>
  <c r="N120" i="176"/>
  <c r="N120" i="177"/>
  <c r="N118" i="176"/>
  <c r="N118" i="177"/>
  <c r="N114" i="176"/>
  <c r="N114" i="177"/>
  <c r="N125" i="176"/>
  <c r="N125" i="177"/>
  <c r="N91" i="176"/>
  <c r="N91" i="177"/>
  <c r="N63" i="176"/>
  <c r="N63" i="177"/>
  <c r="N130" i="176"/>
  <c r="N130" i="177"/>
  <c r="N78" i="176"/>
  <c r="N78" i="177"/>
  <c r="N75" i="176"/>
  <c r="N75" i="177"/>
  <c r="N88" i="176"/>
  <c r="N88" i="177"/>
  <c r="N94" i="176"/>
  <c r="N94" i="177"/>
  <c r="N85" i="176"/>
  <c r="N85" i="177"/>
  <c r="N134" i="176"/>
  <c r="N134" i="177"/>
  <c r="N138" i="176"/>
  <c r="N138" i="177"/>
  <c r="N135" i="176"/>
  <c r="N135" i="177"/>
  <c r="N69" i="176"/>
  <c r="N69" i="177"/>
  <c r="N61" i="176"/>
  <c r="N61" i="177"/>
  <c r="N96" i="176"/>
  <c r="N96" i="177"/>
  <c r="N68" i="176"/>
  <c r="N68" i="177"/>
  <c r="N122" i="176"/>
  <c r="N122" i="177"/>
  <c r="N119" i="176"/>
  <c r="N119" i="177"/>
  <c r="N123" i="176"/>
  <c r="N123" i="177"/>
  <c r="N109" i="176"/>
  <c r="N109" i="177"/>
  <c r="N127" i="176"/>
  <c r="N127" i="177"/>
  <c r="N93" i="176"/>
  <c r="N93" i="177"/>
  <c r="N106" i="176"/>
  <c r="N106" i="177"/>
  <c r="N76" i="176"/>
  <c r="N76" i="177"/>
  <c r="N117" i="176"/>
  <c r="N117" i="177"/>
  <c r="N73" i="176"/>
  <c r="N73" i="177"/>
  <c r="N147" i="176"/>
  <c r="N147" i="177"/>
  <c r="N115" i="176"/>
  <c r="N115" i="177"/>
  <c r="N129" i="176"/>
  <c r="N129" i="177"/>
  <c r="N111" i="176"/>
  <c r="N111" i="177"/>
  <c r="N77" i="176"/>
  <c r="N77" i="177"/>
  <c r="N65" i="176"/>
  <c r="N65" i="177"/>
  <c r="N110" i="176"/>
  <c r="N110" i="177"/>
  <c r="N112" i="176"/>
  <c r="N112" i="177"/>
  <c r="N59" i="176"/>
  <c r="N59" i="177"/>
  <c r="N82" i="176"/>
  <c r="N82" i="177"/>
  <c r="N86" i="176"/>
  <c r="N86" i="177"/>
  <c r="N113" i="176"/>
  <c r="N113" i="177"/>
  <c r="N70" i="176"/>
  <c r="N70" i="177"/>
  <c r="N140" i="176"/>
  <c r="N140" i="177"/>
  <c r="N90" i="176"/>
  <c r="N90" i="177"/>
  <c r="N99" i="177"/>
  <c r="N144" i="176"/>
  <c r="N144" i="177"/>
  <c r="N132" i="176"/>
  <c r="N132" i="177"/>
  <c r="N80" i="176"/>
  <c r="N80" i="177"/>
  <c r="N133" i="176"/>
  <c r="N133" i="177"/>
  <c r="N148" i="177"/>
  <c r="N95" i="176"/>
  <c r="N95" i="177"/>
  <c r="N124" i="176"/>
  <c r="N124" i="177"/>
  <c r="N74" i="176"/>
  <c r="N74" i="177"/>
  <c r="N128" i="176"/>
  <c r="N128" i="177"/>
  <c r="N71" i="176"/>
  <c r="N71" i="177"/>
  <c r="N84" i="176"/>
  <c r="N84" i="177"/>
  <c r="N145" i="176"/>
  <c r="N145" i="177"/>
  <c r="N60" i="176"/>
  <c r="N60" i="177"/>
  <c r="N116" i="176"/>
  <c r="N116" i="177"/>
  <c r="N79" i="176"/>
  <c r="N79" i="177"/>
  <c r="N108" i="176"/>
  <c r="N108" i="177"/>
  <c r="N137" i="176"/>
  <c r="N137" i="177"/>
  <c r="N57" i="177"/>
  <c r="N64" i="176"/>
  <c r="N64" i="177"/>
  <c r="N66" i="176"/>
  <c r="N66" i="177"/>
  <c r="N143" i="176"/>
  <c r="N143" i="177"/>
  <c r="N58" i="176"/>
  <c r="N58" i="177"/>
  <c r="N72" i="176"/>
  <c r="N72" i="177"/>
  <c r="N142" i="176"/>
  <c r="N142" i="177"/>
  <c r="N67" i="176"/>
  <c r="N67" i="177"/>
  <c r="N121" i="176"/>
  <c r="N121" i="177"/>
  <c r="N62" i="176"/>
  <c r="N62" i="177"/>
  <c r="N81" i="176"/>
  <c r="N81" i="177"/>
  <c r="N141" i="176"/>
  <c r="N141" i="177"/>
  <c r="N98" i="176"/>
  <c r="N98" i="177"/>
  <c r="N131" i="176"/>
  <c r="N131" i="177"/>
  <c r="N83" i="176"/>
  <c r="N83" i="177"/>
  <c r="N97" i="176"/>
  <c r="N97" i="177"/>
  <c r="N126" i="176"/>
  <c r="N126" i="177"/>
  <c r="N92" i="176"/>
  <c r="N92" i="177"/>
  <c r="N87" i="176"/>
  <c r="N87" i="177"/>
  <c r="N100" i="177"/>
  <c r="N99" i="22"/>
  <c r="N99" i="176"/>
  <c r="N148" i="22"/>
  <c r="N148" i="176"/>
  <c r="N57" i="22"/>
  <c r="N57" i="176"/>
  <c r="N100" i="22"/>
  <c r="N100" i="176"/>
  <c r="N92" i="22"/>
  <c r="N87" i="22"/>
  <c r="N67" i="22"/>
  <c r="N110" i="22"/>
  <c r="N76" i="22"/>
  <c r="N64" i="22"/>
  <c r="N72" i="22"/>
  <c r="N94" i="22"/>
  <c r="N139" i="22"/>
  <c r="N89" i="22"/>
  <c r="N126" i="22"/>
  <c r="N112" i="22"/>
  <c r="N78" i="22"/>
  <c r="N123" i="22"/>
  <c r="N61" i="22"/>
  <c r="N59" i="22"/>
  <c r="N132" i="22"/>
  <c r="N141" i="22"/>
  <c r="N107" i="22"/>
  <c r="N136" i="22"/>
  <c r="N97" i="22"/>
  <c r="N128" i="22"/>
  <c r="N71" i="22"/>
  <c r="N66" i="22"/>
  <c r="N120" i="22"/>
  <c r="N118" i="22"/>
  <c r="N137" i="22"/>
  <c r="N81" i="22"/>
  <c r="N114" i="22"/>
  <c r="N147" i="22"/>
  <c r="N80" i="22"/>
  <c r="N134" i="22"/>
  <c r="N75" i="22"/>
  <c r="N63" i="22"/>
  <c r="N121" i="22"/>
  <c r="N109" i="22"/>
  <c r="N115" i="22"/>
  <c r="N143" i="22"/>
  <c r="N68" i="22"/>
  <c r="N138" i="22"/>
  <c r="N88" i="22"/>
  <c r="N84" i="22"/>
  <c r="N98" i="22"/>
  <c r="N131" i="22"/>
  <c r="N129" i="22"/>
  <c r="N127" i="22"/>
  <c r="N93" i="22"/>
  <c r="N122" i="22"/>
  <c r="N142" i="22"/>
  <c r="N130" i="22"/>
  <c r="N117" i="22"/>
  <c r="N125" i="22"/>
  <c r="N82" i="22"/>
  <c r="N133" i="22"/>
  <c r="N111" i="22"/>
  <c r="N77" i="22"/>
  <c r="N106" i="22"/>
  <c r="N135" i="22"/>
  <c r="N62" i="22"/>
  <c r="N69" i="22"/>
  <c r="N96" i="22"/>
  <c r="N60" i="22"/>
  <c r="N70" i="22"/>
  <c r="N140" i="22"/>
  <c r="N65" i="22"/>
  <c r="N119" i="22"/>
  <c r="N146" i="22"/>
  <c r="N73" i="22"/>
  <c r="N145" i="22"/>
  <c r="N113" i="22"/>
  <c r="N58" i="22"/>
  <c r="N95" i="22"/>
  <c r="N124" i="22"/>
  <c r="N90" i="22"/>
  <c r="N83" i="22"/>
  <c r="N144" i="22"/>
  <c r="N85" i="22"/>
  <c r="N91" i="22"/>
  <c r="N86" i="22"/>
  <c r="N116" i="22"/>
  <c r="N79" i="22"/>
  <c r="N108" i="22"/>
  <c r="N74" i="22"/>
  <c r="CF10" i="118"/>
  <c r="G81" i="115" s="1"/>
  <c r="CF99" i="118"/>
  <c r="K116" i="187" l="1"/>
  <c r="F116" i="188"/>
  <c r="J116" i="187"/>
  <c r="F63" i="189"/>
  <c r="J63" i="188"/>
  <c r="K63" i="188"/>
  <c r="J149" i="185"/>
  <c r="K149" i="185"/>
  <c r="J121" i="187"/>
  <c r="F121" i="188"/>
  <c r="K121" i="187"/>
  <c r="F99" i="188"/>
  <c r="J99" i="187"/>
  <c r="K99" i="187"/>
  <c r="J120" i="187"/>
  <c r="K120" i="187"/>
  <c r="F120" i="188"/>
  <c r="J142" i="187"/>
  <c r="K142" i="187"/>
  <c r="F142" i="188"/>
  <c r="J108" i="187"/>
  <c r="K108" i="187"/>
  <c r="F108" i="188"/>
  <c r="F131" i="188"/>
  <c r="K131" i="187"/>
  <c r="J131" i="187"/>
  <c r="J138" i="187"/>
  <c r="K138" i="187"/>
  <c r="F138" i="188"/>
  <c r="J74" i="187"/>
  <c r="K74" i="187"/>
  <c r="F74" i="188"/>
  <c r="K119" i="187"/>
  <c r="J119" i="187"/>
  <c r="F119" i="188"/>
  <c r="K122" i="187"/>
  <c r="J122" i="187"/>
  <c r="F122" i="188"/>
  <c r="K110" i="187"/>
  <c r="F110" i="188"/>
  <c r="J110" i="187"/>
  <c r="J91" i="187"/>
  <c r="F91" i="188"/>
  <c r="K91" i="187"/>
  <c r="J107" i="187"/>
  <c r="K107" i="187"/>
  <c r="F107" i="188"/>
  <c r="J133" i="187"/>
  <c r="K133" i="187"/>
  <c r="F133" i="188"/>
  <c r="J87" i="187"/>
  <c r="K87" i="187"/>
  <c r="F87" i="188"/>
  <c r="J114" i="187"/>
  <c r="K114" i="187"/>
  <c r="F114" i="188"/>
  <c r="K109" i="187"/>
  <c r="J109" i="187"/>
  <c r="F109" i="188"/>
  <c r="J76" i="187"/>
  <c r="K76" i="187"/>
  <c r="F76" i="188"/>
  <c r="J68" i="187"/>
  <c r="K68" i="187"/>
  <c r="F68" i="188"/>
  <c r="K97" i="187"/>
  <c r="J97" i="187"/>
  <c r="F97" i="188"/>
  <c r="J82" i="187"/>
  <c r="K82" i="187"/>
  <c r="F82" i="188"/>
  <c r="J85" i="187"/>
  <c r="F85" i="188"/>
  <c r="K85" i="187"/>
  <c r="J146" i="187"/>
  <c r="F146" i="188"/>
  <c r="K146" i="187"/>
  <c r="K145" i="187"/>
  <c r="J145" i="187"/>
  <c r="F145" i="188"/>
  <c r="F132" i="188"/>
  <c r="J132" i="187"/>
  <c r="K132" i="187"/>
  <c r="K144" i="187"/>
  <c r="J144" i="187"/>
  <c r="F144" i="188"/>
  <c r="F67" i="188"/>
  <c r="K67" i="187"/>
  <c r="J67" i="187"/>
  <c r="J92" i="187"/>
  <c r="K92" i="187"/>
  <c r="F92" i="188"/>
  <c r="F71" i="188"/>
  <c r="J71" i="187"/>
  <c r="K71" i="187"/>
  <c r="J117" i="187"/>
  <c r="K117" i="187"/>
  <c r="F117" i="188"/>
  <c r="K79" i="187"/>
  <c r="J79" i="187"/>
  <c r="F79" i="188"/>
  <c r="J66" i="187"/>
  <c r="K66" i="187"/>
  <c r="F66" i="188"/>
  <c r="K147" i="187"/>
  <c r="J147" i="187"/>
  <c r="F147" i="188"/>
  <c r="K124" i="187"/>
  <c r="J124" i="187"/>
  <c r="F124" i="188"/>
  <c r="K57" i="186"/>
  <c r="J57" i="186"/>
  <c r="F57" i="187"/>
  <c r="K143" i="187"/>
  <c r="J143" i="187"/>
  <c r="F143" i="188"/>
  <c r="F130" i="188"/>
  <c r="J130" i="187"/>
  <c r="K130" i="187"/>
  <c r="K58" i="187"/>
  <c r="J58" i="187"/>
  <c r="F58" i="188"/>
  <c r="F69" i="188"/>
  <c r="J69" i="187"/>
  <c r="K69" i="187"/>
  <c r="J93" i="187"/>
  <c r="K93" i="187"/>
  <c r="F93" i="188"/>
  <c r="K84" i="187"/>
  <c r="J84" i="187"/>
  <c r="F84" i="188"/>
  <c r="K88" i="187"/>
  <c r="F88" i="188"/>
  <c r="J88" i="187"/>
  <c r="K83" i="187"/>
  <c r="J83" i="187"/>
  <c r="F83" i="188"/>
  <c r="K86" i="187"/>
  <c r="J86" i="187"/>
  <c r="F86" i="188"/>
  <c r="K81" i="187"/>
  <c r="F81" i="188"/>
  <c r="J81" i="187"/>
  <c r="J148" i="187"/>
  <c r="K148" i="187"/>
  <c r="F148" i="188"/>
  <c r="J135" i="187"/>
  <c r="F135" i="188"/>
  <c r="K135" i="187"/>
  <c r="K62" i="187"/>
  <c r="J62" i="187"/>
  <c r="F62" i="188"/>
  <c r="J106" i="187"/>
  <c r="F106" i="188"/>
  <c r="K106" i="187"/>
  <c r="F113" i="188"/>
  <c r="J113" i="187"/>
  <c r="K113" i="187"/>
  <c r="J80" i="187"/>
  <c r="K80" i="187"/>
  <c r="F80" i="188"/>
  <c r="J60" i="187"/>
  <c r="K60" i="187"/>
  <c r="F60" i="188"/>
  <c r="J140" i="187"/>
  <c r="K140" i="187"/>
  <c r="F140" i="188"/>
  <c r="K118" i="187"/>
  <c r="J118" i="187"/>
  <c r="F118" i="188"/>
  <c r="K90" i="187"/>
  <c r="J90" i="187"/>
  <c r="F90" i="188"/>
  <c r="K100" i="187"/>
  <c r="J100" i="187"/>
  <c r="F100" i="188"/>
  <c r="J72" i="187"/>
  <c r="K72" i="187"/>
  <c r="F72" i="188"/>
  <c r="J126" i="187"/>
  <c r="F126" i="188"/>
  <c r="K126" i="187"/>
  <c r="K137" i="187"/>
  <c r="J137" i="187"/>
  <c r="F137" i="188"/>
  <c r="F77" i="188"/>
  <c r="K77" i="187"/>
  <c r="J77" i="187"/>
  <c r="J112" i="187"/>
  <c r="F112" i="188"/>
  <c r="K112" i="187"/>
  <c r="F128" i="188"/>
  <c r="J128" i="187"/>
  <c r="K128" i="187"/>
  <c r="J65" i="187"/>
  <c r="K65" i="187"/>
  <c r="F65" i="188"/>
  <c r="J136" i="187"/>
  <c r="F136" i="188"/>
  <c r="K136" i="187"/>
  <c r="J89" i="187"/>
  <c r="K89" i="187"/>
  <c r="F89" i="188"/>
  <c r="K59" i="186"/>
  <c r="F59" i="187"/>
  <c r="J59" i="186"/>
  <c r="K96" i="187"/>
  <c r="J96" i="187"/>
  <c r="F96" i="188"/>
  <c r="K125" i="187"/>
  <c r="F125" i="188"/>
  <c r="J125" i="187"/>
  <c r="J139" i="187"/>
  <c r="F139" i="188"/>
  <c r="K139" i="187"/>
  <c r="F127" i="188"/>
  <c r="K127" i="187"/>
  <c r="J127" i="187"/>
  <c r="F149" i="186"/>
  <c r="K94" i="187"/>
  <c r="J94" i="187"/>
  <c r="F94" i="188"/>
  <c r="K115" i="187"/>
  <c r="F115" i="188"/>
  <c r="J115" i="187"/>
  <c r="F141" i="188"/>
  <c r="K141" i="187"/>
  <c r="J141" i="187"/>
  <c r="J95" i="187"/>
  <c r="K95" i="187"/>
  <c r="F95" i="188"/>
  <c r="K75" i="187"/>
  <c r="J75" i="187"/>
  <c r="F75" i="188"/>
  <c r="J70" i="187"/>
  <c r="K70" i="187"/>
  <c r="F70" i="188"/>
  <c r="K78" i="187"/>
  <c r="J78" i="187"/>
  <c r="F78" i="188"/>
  <c r="J98" i="187"/>
  <c r="K98" i="187"/>
  <c r="F98" i="188"/>
  <c r="K129" i="187"/>
  <c r="J129" i="187"/>
  <c r="F129" i="188"/>
  <c r="J123" i="187"/>
  <c r="K123" i="187"/>
  <c r="F123" i="188"/>
  <c r="J134" i="187"/>
  <c r="K134" i="187"/>
  <c r="F134" i="188"/>
  <c r="J111" i="187"/>
  <c r="F111" i="188"/>
  <c r="K111" i="187"/>
  <c r="J73" i="187"/>
  <c r="K73" i="187"/>
  <c r="F73" i="188"/>
  <c r="J64" i="187"/>
  <c r="F64" i="188"/>
  <c r="K64" i="187"/>
  <c r="J61" i="187"/>
  <c r="K61" i="187"/>
  <c r="F61" i="188"/>
  <c r="N149" i="200"/>
  <c r="N149" i="224"/>
  <c r="N149" i="202"/>
  <c r="N149" i="215"/>
  <c r="N149" i="223"/>
  <c r="N149" i="199"/>
  <c r="N149" i="218"/>
  <c r="N149" i="232"/>
  <c r="N149" i="201"/>
  <c r="N149" i="212"/>
  <c r="N149" i="231"/>
  <c r="N149" i="194"/>
  <c r="N149" i="208"/>
  <c r="N149" i="217"/>
  <c r="N149" i="234"/>
  <c r="N149" i="193"/>
  <c r="N149" i="206"/>
  <c r="N149" i="211"/>
  <c r="N149" i="233"/>
  <c r="N149" i="190"/>
  <c r="N149" i="207"/>
  <c r="N149" i="221"/>
  <c r="N149" i="222"/>
  <c r="N149" i="189"/>
  <c r="N149" i="205"/>
  <c r="N149" i="220"/>
  <c r="N149" i="236"/>
  <c r="N149" i="188"/>
  <c r="N149" i="198"/>
  <c r="N149" i="230"/>
  <c r="N149" i="187"/>
  <c r="N149" i="197"/>
  <c r="N149" i="219"/>
  <c r="N149" i="196"/>
  <c r="N149" i="204"/>
  <c r="N149" i="229"/>
  <c r="N149" i="195"/>
  <c r="N149" i="210"/>
  <c r="N149" i="235"/>
  <c r="N149" i="192"/>
  <c r="N149" i="203"/>
  <c r="N149" i="226"/>
  <c r="N149" i="191"/>
  <c r="N149" i="209"/>
  <c r="N149" i="228"/>
  <c r="N149" i="216"/>
  <c r="N149" i="186"/>
  <c r="N149" i="214"/>
  <c r="N149" i="225"/>
  <c r="N149" i="185"/>
  <c r="N149" i="213"/>
  <c r="N149" i="227"/>
  <c r="N149" i="184"/>
  <c r="N149" i="181"/>
  <c r="N149" i="183"/>
  <c r="N149" i="180"/>
  <c r="N149" i="182"/>
  <c r="N149" i="177"/>
  <c r="N149" i="176"/>
  <c r="N149" i="22"/>
  <c r="CE10" i="118"/>
  <c r="G80" i="115" s="1"/>
  <c r="CE99" i="118"/>
  <c r="G41" i="22"/>
  <c r="G35" i="5" s="1"/>
  <c r="H49" i="22"/>
  <c r="H43" i="22"/>
  <c r="H45" i="22" s="1"/>
  <c r="L670" i="5"/>
  <c r="L669" i="5"/>
  <c r="L668" i="5"/>
  <c r="L667" i="5"/>
  <c r="L666" i="5"/>
  <c r="L665" i="5"/>
  <c r="L664" i="5"/>
  <c r="L663" i="5"/>
  <c r="L662" i="5"/>
  <c r="L661" i="5"/>
  <c r="L660" i="5"/>
  <c r="L659" i="5"/>
  <c r="L658" i="5"/>
  <c r="L657" i="5"/>
  <c r="L656" i="5"/>
  <c r="L655" i="5"/>
  <c r="L654" i="5"/>
  <c r="L653" i="5"/>
  <c r="L652" i="5"/>
  <c r="L651" i="5"/>
  <c r="L650" i="5"/>
  <c r="L649" i="5"/>
  <c r="L648" i="5"/>
  <c r="L647" i="5"/>
  <c r="L646" i="5"/>
  <c r="L645" i="5"/>
  <c r="L644" i="5"/>
  <c r="L643" i="5"/>
  <c r="L642" i="5"/>
  <c r="L641" i="5"/>
  <c r="L640" i="5"/>
  <c r="L639" i="5"/>
  <c r="L638" i="5"/>
  <c r="L637" i="5"/>
  <c r="L636" i="5"/>
  <c r="L635" i="5"/>
  <c r="L634" i="5"/>
  <c r="L633" i="5"/>
  <c r="L632" i="5"/>
  <c r="L631" i="5"/>
  <c r="L630" i="5"/>
  <c r="L629" i="5"/>
  <c r="L628" i="5"/>
  <c r="L627" i="5"/>
  <c r="L626" i="5"/>
  <c r="L625" i="5"/>
  <c r="L624" i="5"/>
  <c r="L623" i="5"/>
  <c r="L622" i="5"/>
  <c r="L621" i="5"/>
  <c r="L620" i="5"/>
  <c r="L619" i="5"/>
  <c r="L618" i="5"/>
  <c r="L617" i="5"/>
  <c r="L616" i="5"/>
  <c r="L615" i="5"/>
  <c r="L614" i="5"/>
  <c r="L613" i="5"/>
  <c r="L612" i="5"/>
  <c r="L611" i="5"/>
  <c r="L610" i="5"/>
  <c r="L609" i="5"/>
  <c r="L608" i="5"/>
  <c r="L607" i="5"/>
  <c r="L606" i="5"/>
  <c r="L605" i="5"/>
  <c r="L604" i="5"/>
  <c r="L603" i="5"/>
  <c r="L602" i="5"/>
  <c r="L601" i="5"/>
  <c r="L600" i="5"/>
  <c r="L599" i="5"/>
  <c r="L598" i="5"/>
  <c r="L597" i="5"/>
  <c r="L596" i="5"/>
  <c r="L595" i="5"/>
  <c r="L594" i="5"/>
  <c r="L593" i="5"/>
  <c r="L592" i="5"/>
  <c r="L591" i="5"/>
  <c r="L590" i="5"/>
  <c r="L589" i="5"/>
  <c r="L588" i="5"/>
  <c r="L587" i="5"/>
  <c r="L586" i="5"/>
  <c r="L585" i="5"/>
  <c r="L584" i="5"/>
  <c r="L583" i="5"/>
  <c r="L582" i="5"/>
  <c r="L581" i="5"/>
  <c r="L580" i="5"/>
  <c r="L579" i="5"/>
  <c r="L578" i="5"/>
  <c r="L577" i="5"/>
  <c r="L576" i="5"/>
  <c r="L575" i="5"/>
  <c r="L574" i="5"/>
  <c r="L573" i="5"/>
  <c r="L572" i="5"/>
  <c r="L571" i="5"/>
  <c r="L570" i="5"/>
  <c r="L569" i="5"/>
  <c r="L568" i="5"/>
  <c r="L567" i="5"/>
  <c r="L566" i="5"/>
  <c r="L565" i="5"/>
  <c r="L564" i="5"/>
  <c r="L563" i="5"/>
  <c r="L562" i="5"/>
  <c r="L561" i="5"/>
  <c r="L560" i="5"/>
  <c r="L559" i="5"/>
  <c r="L558" i="5"/>
  <c r="L557" i="5"/>
  <c r="L556" i="5"/>
  <c r="L555" i="5"/>
  <c r="L554" i="5"/>
  <c r="L553" i="5"/>
  <c r="L552" i="5"/>
  <c r="L551" i="5"/>
  <c r="L550" i="5"/>
  <c r="L549" i="5"/>
  <c r="L548" i="5"/>
  <c r="L547" i="5"/>
  <c r="L546" i="5"/>
  <c r="L545" i="5"/>
  <c r="L544" i="5"/>
  <c r="L543" i="5"/>
  <c r="L542" i="5"/>
  <c r="L541" i="5"/>
  <c r="L540" i="5"/>
  <c r="L539" i="5"/>
  <c r="L538" i="5"/>
  <c r="L537" i="5"/>
  <c r="L536" i="5"/>
  <c r="L535" i="5"/>
  <c r="L534" i="5"/>
  <c r="L533" i="5"/>
  <c r="L532" i="5"/>
  <c r="L531" i="5"/>
  <c r="L530" i="5"/>
  <c r="L529" i="5"/>
  <c r="L528" i="5"/>
  <c r="L527" i="5"/>
  <c r="L526" i="5"/>
  <c r="L525" i="5"/>
  <c r="L524" i="5"/>
  <c r="L523" i="5"/>
  <c r="L522" i="5"/>
  <c r="L521" i="5"/>
  <c r="L520" i="5"/>
  <c r="L519" i="5"/>
  <c r="L518" i="5"/>
  <c r="L517" i="5"/>
  <c r="L516" i="5"/>
  <c r="L515" i="5"/>
  <c r="L514" i="5"/>
  <c r="L513" i="5"/>
  <c r="L512" i="5"/>
  <c r="L511" i="5"/>
  <c r="L510" i="5"/>
  <c r="L509" i="5"/>
  <c r="L508" i="5"/>
  <c r="L507" i="5"/>
  <c r="L506" i="5"/>
  <c r="L505" i="5"/>
  <c r="L504" i="5"/>
  <c r="L503" i="5"/>
  <c r="L502" i="5"/>
  <c r="L501" i="5"/>
  <c r="L500" i="5"/>
  <c r="L499" i="5"/>
  <c r="L498" i="5"/>
  <c r="L497" i="5"/>
  <c r="L496" i="5"/>
  <c r="L495" i="5"/>
  <c r="L494" i="5"/>
  <c r="L493" i="5"/>
  <c r="L492" i="5"/>
  <c r="L491" i="5"/>
  <c r="L490" i="5"/>
  <c r="L489" i="5"/>
  <c r="L488" i="5"/>
  <c r="L487" i="5"/>
  <c r="L486" i="5"/>
  <c r="L485" i="5"/>
  <c r="L484" i="5"/>
  <c r="L483" i="5"/>
  <c r="L482" i="5"/>
  <c r="L481" i="5"/>
  <c r="L480" i="5"/>
  <c r="L479" i="5"/>
  <c r="L478" i="5"/>
  <c r="L477" i="5"/>
  <c r="L476" i="5"/>
  <c r="L475" i="5"/>
  <c r="L474" i="5"/>
  <c r="L473" i="5"/>
  <c r="L472" i="5"/>
  <c r="L471" i="5"/>
  <c r="L470" i="5"/>
  <c r="L469" i="5"/>
  <c r="L468" i="5"/>
  <c r="L467" i="5"/>
  <c r="L466" i="5"/>
  <c r="L465" i="5"/>
  <c r="L464" i="5"/>
  <c r="L463" i="5"/>
  <c r="L462" i="5"/>
  <c r="L461" i="5"/>
  <c r="L460" i="5"/>
  <c r="L459" i="5"/>
  <c r="L458" i="5"/>
  <c r="L457" i="5"/>
  <c r="L456" i="5"/>
  <c r="L455" i="5"/>
  <c r="L454" i="5"/>
  <c r="L453" i="5"/>
  <c r="L452" i="5"/>
  <c r="L451" i="5"/>
  <c r="L450" i="5"/>
  <c r="L449" i="5"/>
  <c r="L448" i="5"/>
  <c r="L447" i="5"/>
  <c r="L446" i="5"/>
  <c r="L445" i="5"/>
  <c r="L444" i="5"/>
  <c r="L443" i="5"/>
  <c r="L442" i="5"/>
  <c r="L441" i="5"/>
  <c r="L440" i="5"/>
  <c r="L439" i="5"/>
  <c r="L438" i="5"/>
  <c r="L437" i="5"/>
  <c r="L436" i="5"/>
  <c r="L435" i="5"/>
  <c r="L434" i="5"/>
  <c r="L433" i="5"/>
  <c r="L432" i="5"/>
  <c r="L431" i="5"/>
  <c r="L430" i="5"/>
  <c r="L429" i="5"/>
  <c r="L428" i="5"/>
  <c r="L427" i="5"/>
  <c r="L426" i="5"/>
  <c r="L425" i="5"/>
  <c r="L424" i="5"/>
  <c r="L423" i="5"/>
  <c r="L422" i="5"/>
  <c r="L421" i="5"/>
  <c r="L420" i="5"/>
  <c r="L419" i="5"/>
  <c r="L418" i="5"/>
  <c r="L417" i="5"/>
  <c r="L416" i="5"/>
  <c r="L415" i="5"/>
  <c r="L414" i="5"/>
  <c r="L413" i="5"/>
  <c r="L412" i="5"/>
  <c r="L411" i="5"/>
  <c r="L410" i="5"/>
  <c r="L409" i="5"/>
  <c r="L408" i="5"/>
  <c r="L407" i="5"/>
  <c r="L406" i="5"/>
  <c r="L405" i="5"/>
  <c r="L404" i="5"/>
  <c r="L403" i="5"/>
  <c r="L402" i="5"/>
  <c r="L401" i="5"/>
  <c r="L400" i="5"/>
  <c r="L399" i="5"/>
  <c r="L398" i="5"/>
  <c r="L397" i="5"/>
  <c r="L396" i="5"/>
  <c r="L395" i="5"/>
  <c r="L394" i="5"/>
  <c r="L393" i="5"/>
  <c r="L392" i="5"/>
  <c r="L391" i="5"/>
  <c r="L390" i="5"/>
  <c r="L389" i="5"/>
  <c r="L388" i="5"/>
  <c r="L387" i="5"/>
  <c r="L386" i="5"/>
  <c r="L385" i="5"/>
  <c r="L384" i="5"/>
  <c r="L383" i="5"/>
  <c r="L382" i="5"/>
  <c r="L381" i="5"/>
  <c r="L380" i="5"/>
  <c r="L379" i="5"/>
  <c r="L378" i="5"/>
  <c r="L377" i="5"/>
  <c r="L376" i="5"/>
  <c r="L375" i="5"/>
  <c r="L374" i="5"/>
  <c r="L373" i="5"/>
  <c r="L372" i="5"/>
  <c r="L371" i="5"/>
  <c r="L370" i="5"/>
  <c r="L369" i="5"/>
  <c r="L368" i="5"/>
  <c r="L367" i="5"/>
  <c r="L366" i="5"/>
  <c r="L365" i="5"/>
  <c r="L364" i="5"/>
  <c r="L363" i="5"/>
  <c r="L362" i="5"/>
  <c r="L361" i="5"/>
  <c r="L360" i="5"/>
  <c r="L359" i="5"/>
  <c r="L358" i="5"/>
  <c r="L357" i="5"/>
  <c r="L356" i="5"/>
  <c r="L355" i="5"/>
  <c r="L354" i="5"/>
  <c r="L353" i="5"/>
  <c r="L352" i="5"/>
  <c r="L351" i="5"/>
  <c r="L350" i="5"/>
  <c r="L349" i="5"/>
  <c r="L348" i="5"/>
  <c r="L347" i="5"/>
  <c r="L346" i="5"/>
  <c r="L345" i="5"/>
  <c r="L344" i="5"/>
  <c r="L343" i="5"/>
  <c r="L342" i="5"/>
  <c r="L341" i="5"/>
  <c r="L340" i="5"/>
  <c r="L339" i="5"/>
  <c r="L338" i="5"/>
  <c r="L337" i="5"/>
  <c r="L336" i="5"/>
  <c r="L335" i="5"/>
  <c r="L334" i="5"/>
  <c r="L333" i="5"/>
  <c r="L332" i="5"/>
  <c r="L331" i="5"/>
  <c r="L330" i="5"/>
  <c r="L329" i="5"/>
  <c r="L328" i="5"/>
  <c r="L327" i="5"/>
  <c r="L326" i="5"/>
  <c r="L325" i="5"/>
  <c r="L324" i="5"/>
  <c r="L323" i="5"/>
  <c r="L322" i="5"/>
  <c r="L321" i="5"/>
  <c r="L320" i="5"/>
  <c r="L319" i="5"/>
  <c r="L318" i="5"/>
  <c r="L317" i="5"/>
  <c r="L316" i="5"/>
  <c r="L315" i="5"/>
  <c r="L314" i="5"/>
  <c r="L313" i="5"/>
  <c r="L312" i="5"/>
  <c r="L311" i="5"/>
  <c r="L310" i="5"/>
  <c r="L309" i="5"/>
  <c r="L308" i="5"/>
  <c r="L307" i="5"/>
  <c r="L306" i="5"/>
  <c r="L305" i="5"/>
  <c r="L304" i="5"/>
  <c r="L303" i="5"/>
  <c r="L302" i="5"/>
  <c r="L301" i="5"/>
  <c r="L300" i="5"/>
  <c r="L299" i="5"/>
  <c r="L298" i="5"/>
  <c r="L297" i="5"/>
  <c r="L296" i="5"/>
  <c r="L295" i="5"/>
  <c r="L294" i="5"/>
  <c r="L293" i="5"/>
  <c r="L292" i="5"/>
  <c r="L291" i="5"/>
  <c r="L290" i="5"/>
  <c r="L289" i="5"/>
  <c r="L288" i="5"/>
  <c r="L287" i="5"/>
  <c r="L286" i="5"/>
  <c r="L285" i="5"/>
  <c r="L284" i="5"/>
  <c r="L283" i="5"/>
  <c r="L282" i="5"/>
  <c r="L281" i="5"/>
  <c r="L280" i="5"/>
  <c r="L279" i="5"/>
  <c r="L278" i="5"/>
  <c r="L277" i="5"/>
  <c r="L276" i="5"/>
  <c r="L275" i="5"/>
  <c r="L274" i="5"/>
  <c r="L273" i="5"/>
  <c r="L272" i="5"/>
  <c r="L271" i="5"/>
  <c r="L270" i="5"/>
  <c r="L269" i="5"/>
  <c r="L268" i="5"/>
  <c r="L267" i="5"/>
  <c r="L266" i="5"/>
  <c r="L265" i="5"/>
  <c r="L264" i="5"/>
  <c r="L263" i="5"/>
  <c r="L262" i="5"/>
  <c r="L261" i="5"/>
  <c r="L260" i="5"/>
  <c r="L259" i="5"/>
  <c r="L258" i="5"/>
  <c r="L257" i="5"/>
  <c r="L256" i="5"/>
  <c r="L255" i="5"/>
  <c r="L254" i="5"/>
  <c r="L253" i="5"/>
  <c r="L252" i="5"/>
  <c r="L251" i="5"/>
  <c r="L250" i="5"/>
  <c r="L249" i="5"/>
  <c r="L248" i="5"/>
  <c r="L247" i="5"/>
  <c r="L246" i="5"/>
  <c r="L245" i="5"/>
  <c r="L244" i="5"/>
  <c r="L243" i="5"/>
  <c r="L242" i="5"/>
  <c r="L241" i="5"/>
  <c r="L240" i="5"/>
  <c r="L239" i="5"/>
  <c r="L238" i="5"/>
  <c r="L237" i="5"/>
  <c r="L236" i="5"/>
  <c r="L235" i="5"/>
  <c r="L234" i="5"/>
  <c r="L233" i="5"/>
  <c r="L232" i="5"/>
  <c r="L231" i="5"/>
  <c r="L230" i="5"/>
  <c r="L229" i="5"/>
  <c r="L228" i="5"/>
  <c r="L227" i="5"/>
  <c r="L226" i="5"/>
  <c r="L225" i="5"/>
  <c r="L224" i="5"/>
  <c r="L223" i="5"/>
  <c r="L222" i="5"/>
  <c r="L221" i="5"/>
  <c r="L220" i="5"/>
  <c r="L219" i="5"/>
  <c r="L218" i="5"/>
  <c r="L217" i="5"/>
  <c r="L216" i="5"/>
  <c r="L215" i="5"/>
  <c r="L214" i="5"/>
  <c r="L213" i="5"/>
  <c r="L212" i="5"/>
  <c r="L211" i="5"/>
  <c r="L210" i="5"/>
  <c r="L209" i="5"/>
  <c r="L208" i="5"/>
  <c r="L207" i="5"/>
  <c r="L206" i="5"/>
  <c r="L205" i="5"/>
  <c r="L204" i="5"/>
  <c r="L203" i="5"/>
  <c r="L202" i="5"/>
  <c r="L201" i="5"/>
  <c r="L200" i="5"/>
  <c r="L199" i="5"/>
  <c r="L198" i="5"/>
  <c r="L197" i="5"/>
  <c r="L196" i="5"/>
  <c r="L195" i="5"/>
  <c r="L194" i="5"/>
  <c r="L193" i="5"/>
  <c r="L192" i="5"/>
  <c r="L191" i="5"/>
  <c r="L190" i="5"/>
  <c r="L189" i="5"/>
  <c r="L188" i="5"/>
  <c r="L187" i="5"/>
  <c r="L186" i="5"/>
  <c r="L185" i="5"/>
  <c r="L184" i="5"/>
  <c r="L183" i="5"/>
  <c r="L182" i="5"/>
  <c r="L181" i="5"/>
  <c r="L180" i="5"/>
  <c r="L179" i="5"/>
  <c r="L178" i="5"/>
  <c r="L177" i="5"/>
  <c r="L176" i="5"/>
  <c r="L175" i="5"/>
  <c r="L174" i="5"/>
  <c r="L173" i="5"/>
  <c r="L172" i="5"/>
  <c r="L171" i="5"/>
  <c r="L170" i="5"/>
  <c r="L169" i="5"/>
  <c r="L168" i="5"/>
  <c r="L167" i="5"/>
  <c r="L166" i="5"/>
  <c r="L165" i="5"/>
  <c r="L164" i="5"/>
  <c r="L163" i="5"/>
  <c r="L162" i="5"/>
  <c r="L161" i="5"/>
  <c r="L160" i="5"/>
  <c r="L159" i="5"/>
  <c r="L158" i="5"/>
  <c r="L157" i="5"/>
  <c r="L156" i="5"/>
  <c r="L155" i="5"/>
  <c r="L154" i="5"/>
  <c r="L153" i="5"/>
  <c r="L152" i="5"/>
  <c r="L151" i="5"/>
  <c r="L150" i="5"/>
  <c r="L149" i="5"/>
  <c r="L148" i="5"/>
  <c r="L147" i="5"/>
  <c r="L146" i="5"/>
  <c r="L145" i="5"/>
  <c r="L144" i="5"/>
  <c r="L143" i="5"/>
  <c r="L142" i="5"/>
  <c r="L141" i="5"/>
  <c r="L140" i="5"/>
  <c r="L139" i="5"/>
  <c r="L138" i="5"/>
  <c r="L137" i="5"/>
  <c r="L136" i="5"/>
  <c r="L135" i="5"/>
  <c r="L134" i="5"/>
  <c r="L133" i="5"/>
  <c r="L132" i="5"/>
  <c r="L131" i="5"/>
  <c r="L130" i="5"/>
  <c r="L129" i="5"/>
  <c r="L128" i="5"/>
  <c r="L127" i="5"/>
  <c r="L126" i="5"/>
  <c r="L125" i="5"/>
  <c r="L124" i="5"/>
  <c r="L123" i="5"/>
  <c r="L122" i="5"/>
  <c r="L121" i="5"/>
  <c r="L120" i="5"/>
  <c r="L119" i="5"/>
  <c r="L118" i="5"/>
  <c r="L117" i="5"/>
  <c r="L116" i="5"/>
  <c r="L115" i="5"/>
  <c r="L114" i="5"/>
  <c r="L113" i="5"/>
  <c r="L112" i="5"/>
  <c r="L111" i="5"/>
  <c r="L110" i="5"/>
  <c r="L109" i="5"/>
  <c r="L108" i="5"/>
  <c r="L107" i="5"/>
  <c r="L106" i="5"/>
  <c r="L105" i="5"/>
  <c r="L104" i="5"/>
  <c r="L103" i="5"/>
  <c r="L102" i="5"/>
  <c r="L101" i="5"/>
  <c r="L100" i="5"/>
  <c r="L99" i="5"/>
  <c r="L98" i="5"/>
  <c r="L97" i="5"/>
  <c r="L96" i="5"/>
  <c r="L95" i="5"/>
  <c r="L94" i="5"/>
  <c r="L93" i="5"/>
  <c r="L92" i="5"/>
  <c r="L91" i="5"/>
  <c r="L90" i="5"/>
  <c r="L89" i="5"/>
  <c r="L88" i="5"/>
  <c r="L87" i="5"/>
  <c r="L86" i="5"/>
  <c r="L85" i="5"/>
  <c r="L84" i="5"/>
  <c r="L83" i="5"/>
  <c r="L82" i="5"/>
  <c r="L81" i="5"/>
  <c r="L80" i="5"/>
  <c r="L79" i="5"/>
  <c r="L78" i="5"/>
  <c r="L77" i="5"/>
  <c r="L76" i="5"/>
  <c r="L75" i="5"/>
  <c r="L74" i="5"/>
  <c r="L73" i="5"/>
  <c r="L72" i="5"/>
  <c r="L71" i="5"/>
  <c r="L70" i="5"/>
  <c r="L69" i="5"/>
  <c r="L68" i="5"/>
  <c r="L67" i="5"/>
  <c r="L66" i="5"/>
  <c r="L65" i="5"/>
  <c r="L64" i="5"/>
  <c r="L63" i="5"/>
  <c r="L62" i="5"/>
  <c r="L61" i="5"/>
  <c r="L60" i="5"/>
  <c r="L59" i="5"/>
  <c r="L58" i="5"/>
  <c r="L57" i="5"/>
  <c r="L56" i="5"/>
  <c r="L44" i="5"/>
  <c r="L42" i="5"/>
  <c r="K116" i="188" l="1"/>
  <c r="J116" i="188"/>
  <c r="F116" i="189"/>
  <c r="J63" i="189"/>
  <c r="K63" i="189"/>
  <c r="F63" i="190"/>
  <c r="J149" i="186"/>
  <c r="K149" i="186"/>
  <c r="J95" i="188"/>
  <c r="K95" i="188"/>
  <c r="F95" i="189"/>
  <c r="F136" i="189"/>
  <c r="J136" i="188"/>
  <c r="K136" i="188"/>
  <c r="K140" i="188"/>
  <c r="J140" i="188"/>
  <c r="F140" i="189"/>
  <c r="J67" i="188"/>
  <c r="K67" i="188"/>
  <c r="F67" i="189"/>
  <c r="J82" i="188"/>
  <c r="F82" i="189"/>
  <c r="K82" i="188"/>
  <c r="K108" i="188"/>
  <c r="J108" i="188"/>
  <c r="F108" i="189"/>
  <c r="F144" i="189"/>
  <c r="J144" i="188"/>
  <c r="K144" i="188"/>
  <c r="K122" i="188"/>
  <c r="F122" i="189"/>
  <c r="J122" i="188"/>
  <c r="K129" i="188"/>
  <c r="J129" i="188"/>
  <c r="F129" i="189"/>
  <c r="F139" i="189"/>
  <c r="J139" i="188"/>
  <c r="K139" i="188"/>
  <c r="J65" i="188"/>
  <c r="K65" i="188"/>
  <c r="F65" i="189"/>
  <c r="K126" i="188"/>
  <c r="F126" i="189"/>
  <c r="J126" i="188"/>
  <c r="J88" i="188"/>
  <c r="K88" i="188"/>
  <c r="F88" i="189"/>
  <c r="J130" i="188"/>
  <c r="K130" i="188"/>
  <c r="F130" i="189"/>
  <c r="J79" i="188"/>
  <c r="K79" i="188"/>
  <c r="F79" i="189"/>
  <c r="K87" i="188"/>
  <c r="F87" i="189"/>
  <c r="J87" i="188"/>
  <c r="J60" i="188"/>
  <c r="K60" i="188"/>
  <c r="F60" i="189"/>
  <c r="J135" i="188"/>
  <c r="K135" i="188"/>
  <c r="F135" i="189"/>
  <c r="K143" i="188"/>
  <c r="J143" i="188"/>
  <c r="F143" i="189"/>
  <c r="K97" i="188"/>
  <c r="F97" i="189"/>
  <c r="J97" i="188"/>
  <c r="J84" i="188"/>
  <c r="K84" i="188"/>
  <c r="F84" i="189"/>
  <c r="J119" i="188"/>
  <c r="F119" i="189"/>
  <c r="K119" i="188"/>
  <c r="J142" i="188"/>
  <c r="F142" i="189"/>
  <c r="K142" i="188"/>
  <c r="K98" i="188"/>
  <c r="J98" i="188"/>
  <c r="F98" i="189"/>
  <c r="F125" i="189"/>
  <c r="J125" i="188"/>
  <c r="K125" i="188"/>
  <c r="K72" i="188"/>
  <c r="J72" i="188"/>
  <c r="F72" i="189"/>
  <c r="J73" i="188"/>
  <c r="F73" i="189"/>
  <c r="K73" i="188"/>
  <c r="J141" i="188"/>
  <c r="F141" i="189"/>
  <c r="K141" i="188"/>
  <c r="K148" i="188"/>
  <c r="J148" i="188"/>
  <c r="F148" i="189"/>
  <c r="K117" i="188"/>
  <c r="J117" i="188"/>
  <c r="F117" i="189"/>
  <c r="J133" i="188"/>
  <c r="F133" i="189"/>
  <c r="K133" i="188"/>
  <c r="J96" i="188"/>
  <c r="K96" i="188"/>
  <c r="F96" i="189"/>
  <c r="K80" i="188"/>
  <c r="F80" i="189"/>
  <c r="J80" i="188"/>
  <c r="K57" i="187"/>
  <c r="J57" i="187"/>
  <c r="F57" i="188"/>
  <c r="J132" i="188"/>
  <c r="K132" i="188"/>
  <c r="F132" i="189"/>
  <c r="J68" i="188"/>
  <c r="F68" i="189"/>
  <c r="K68" i="188"/>
  <c r="F78" i="189"/>
  <c r="J78" i="188"/>
  <c r="K78" i="188"/>
  <c r="J115" i="188"/>
  <c r="K115" i="188"/>
  <c r="F115" i="189"/>
  <c r="J128" i="188"/>
  <c r="K128" i="188"/>
  <c r="F128" i="189"/>
  <c r="F100" i="189"/>
  <c r="J100" i="188"/>
  <c r="K100" i="188"/>
  <c r="K93" i="188"/>
  <c r="J93" i="188"/>
  <c r="F93" i="189"/>
  <c r="K145" i="188"/>
  <c r="F145" i="189"/>
  <c r="J145" i="188"/>
  <c r="K74" i="188"/>
  <c r="F74" i="189"/>
  <c r="J74" i="188"/>
  <c r="J120" i="188"/>
  <c r="K120" i="188"/>
  <c r="F120" i="189"/>
  <c r="K107" i="188"/>
  <c r="J107" i="188"/>
  <c r="F107" i="189"/>
  <c r="J94" i="188"/>
  <c r="K94" i="188"/>
  <c r="F94" i="189"/>
  <c r="J112" i="188"/>
  <c r="K112" i="188"/>
  <c r="F112" i="189"/>
  <c r="J81" i="188"/>
  <c r="K81" i="188"/>
  <c r="F81" i="189"/>
  <c r="J124" i="188"/>
  <c r="K124" i="188"/>
  <c r="F124" i="189"/>
  <c r="J76" i="188"/>
  <c r="K76" i="188"/>
  <c r="F76" i="189"/>
  <c r="J111" i="188"/>
  <c r="K111" i="188"/>
  <c r="F111" i="189"/>
  <c r="J70" i="188"/>
  <c r="K70" i="188"/>
  <c r="F70" i="189"/>
  <c r="J59" i="187"/>
  <c r="F59" i="188"/>
  <c r="K59" i="187"/>
  <c r="J90" i="188"/>
  <c r="F90" i="189"/>
  <c r="K90" i="188"/>
  <c r="K71" i="188"/>
  <c r="J71" i="188"/>
  <c r="F71" i="189"/>
  <c r="J138" i="188"/>
  <c r="K138" i="188"/>
  <c r="F138" i="189"/>
  <c r="F113" i="189"/>
  <c r="J113" i="188"/>
  <c r="K113" i="188"/>
  <c r="K86" i="188"/>
  <c r="J86" i="188"/>
  <c r="F86" i="189"/>
  <c r="J92" i="188"/>
  <c r="K92" i="188"/>
  <c r="F92" i="189"/>
  <c r="K146" i="188"/>
  <c r="J146" i="188"/>
  <c r="F146" i="189"/>
  <c r="J89" i="188"/>
  <c r="F89" i="189"/>
  <c r="K89" i="188"/>
  <c r="J69" i="188"/>
  <c r="K69" i="188"/>
  <c r="F69" i="189"/>
  <c r="K147" i="188"/>
  <c r="F147" i="189"/>
  <c r="J147" i="188"/>
  <c r="K109" i="188"/>
  <c r="J109" i="188"/>
  <c r="F109" i="189"/>
  <c r="J91" i="188"/>
  <c r="F91" i="189"/>
  <c r="K91" i="188"/>
  <c r="K99" i="188"/>
  <c r="F99" i="189"/>
  <c r="J99" i="188"/>
  <c r="K75" i="188"/>
  <c r="F75" i="189"/>
  <c r="J75" i="188"/>
  <c r="J77" i="188"/>
  <c r="K77" i="188"/>
  <c r="F77" i="189"/>
  <c r="F118" i="189"/>
  <c r="K118" i="188"/>
  <c r="J118" i="188"/>
  <c r="F106" i="189"/>
  <c r="K106" i="188"/>
  <c r="J106" i="188"/>
  <c r="J58" i="188"/>
  <c r="K58" i="188"/>
  <c r="F58" i="189"/>
  <c r="J134" i="188"/>
  <c r="F134" i="189"/>
  <c r="K134" i="188"/>
  <c r="F149" i="187"/>
  <c r="K123" i="188"/>
  <c r="J123" i="188"/>
  <c r="F123" i="189"/>
  <c r="F137" i="189"/>
  <c r="K137" i="188"/>
  <c r="J137" i="188"/>
  <c r="F83" i="189"/>
  <c r="J83" i="188"/>
  <c r="K83" i="188"/>
  <c r="K85" i="188"/>
  <c r="J85" i="188"/>
  <c r="F85" i="189"/>
  <c r="K121" i="188"/>
  <c r="F121" i="189"/>
  <c r="J121" i="188"/>
  <c r="K127" i="188"/>
  <c r="J127" i="188"/>
  <c r="F127" i="189"/>
  <c r="F62" i="189"/>
  <c r="K62" i="188"/>
  <c r="J62" i="188"/>
  <c r="K66" i="188"/>
  <c r="J66" i="188"/>
  <c r="F66" i="189"/>
  <c r="J114" i="188"/>
  <c r="F114" i="189"/>
  <c r="K114" i="188"/>
  <c r="K110" i="188"/>
  <c r="J110" i="188"/>
  <c r="F110" i="189"/>
  <c r="F131" i="189"/>
  <c r="K131" i="188"/>
  <c r="J131" i="188"/>
  <c r="K64" i="188"/>
  <c r="F64" i="189"/>
  <c r="J64" i="188"/>
  <c r="F61" i="189"/>
  <c r="J61" i="188"/>
  <c r="K61" i="188"/>
  <c r="H47" i="236"/>
  <c r="H51" i="236" s="1"/>
  <c r="H47" i="234"/>
  <c r="H51" i="234" s="1"/>
  <c r="H47" i="227"/>
  <c r="H51" i="227" s="1"/>
  <c r="H47" i="218"/>
  <c r="H51" i="218" s="1"/>
  <c r="H47" i="211"/>
  <c r="H51" i="211" s="1"/>
  <c r="H47" i="204"/>
  <c r="H51" i="204" s="1"/>
  <c r="H47" i="186"/>
  <c r="H51" i="186" s="1"/>
  <c r="H47" i="185"/>
  <c r="H51" i="185" s="1"/>
  <c r="H47" i="199"/>
  <c r="H51" i="199" s="1"/>
  <c r="H47" i="206"/>
  <c r="H51" i="206" s="1"/>
  <c r="H47" i="205"/>
  <c r="H51" i="205" s="1"/>
  <c r="H47" i="188"/>
  <c r="H51" i="188" s="1"/>
  <c r="H47" i="235"/>
  <c r="H51" i="235" s="1"/>
  <c r="H47" i="219"/>
  <c r="H51" i="219" s="1"/>
  <c r="H47" i="195"/>
  <c r="H51" i="195" s="1"/>
  <c r="H47" i="187"/>
  <c r="H51" i="187" s="1"/>
  <c r="H47" i="193"/>
  <c r="H51" i="193" s="1"/>
  <c r="H47" i="200"/>
  <c r="H51" i="200" s="1"/>
  <c r="H47" i="190"/>
  <c r="H51" i="190" s="1"/>
  <c r="H47" i="212"/>
  <c r="H51" i="212" s="1"/>
  <c r="H47" i="226"/>
  <c r="H51" i="226" s="1"/>
  <c r="H47" i="210"/>
  <c r="H51" i="210" s="1"/>
  <c r="H47" i="201"/>
  <c r="H51" i="201" s="1"/>
  <c r="H47" i="194"/>
  <c r="H51" i="194" s="1"/>
  <c r="H47" i="191"/>
  <c r="H51" i="191" s="1"/>
  <c r="H47" i="213"/>
  <c r="H51" i="213" s="1"/>
  <c r="H47" i="202"/>
  <c r="H51" i="202" s="1"/>
  <c r="H47" i="208"/>
  <c r="H51" i="208" s="1"/>
  <c r="H47" i="209"/>
  <c r="H51" i="209" s="1"/>
  <c r="H47" i="192"/>
  <c r="H51" i="192" s="1"/>
  <c r="H47" i="189"/>
  <c r="H51" i="189" s="1"/>
  <c r="H47" i="225"/>
  <c r="H51" i="225" s="1"/>
  <c r="H47" i="198"/>
  <c r="H51" i="198" s="1"/>
  <c r="H47" i="232"/>
  <c r="H51" i="232" s="1"/>
  <c r="H47" i="216"/>
  <c r="H51" i="216" s="1"/>
  <c r="H47" i="215"/>
  <c r="H51" i="215" s="1"/>
  <c r="H47" i="233"/>
  <c r="H51" i="233" s="1"/>
  <c r="H47" i="224"/>
  <c r="H51" i="224" s="1"/>
  <c r="H47" i="217"/>
  <c r="H51" i="217" s="1"/>
  <c r="H47" i="222"/>
  <c r="H51" i="222" s="1"/>
  <c r="H47" i="203"/>
  <c r="H51" i="203" s="1"/>
  <c r="H47" i="230"/>
  <c r="H51" i="230" s="1"/>
  <c r="H47" i="223"/>
  <c r="H51" i="223" s="1"/>
  <c r="H47" i="214"/>
  <c r="H51" i="214" s="1"/>
  <c r="H47" i="197"/>
  <c r="H51" i="197" s="1"/>
  <c r="H47" i="221"/>
  <c r="H51" i="221" s="1"/>
  <c r="H47" i="231"/>
  <c r="H51" i="231" s="1"/>
  <c r="H47" i="207"/>
  <c r="H51" i="207" s="1"/>
  <c r="H47" i="220"/>
  <c r="H51" i="220" s="1"/>
  <c r="H47" i="196"/>
  <c r="H51" i="196" s="1"/>
  <c r="H47" i="228"/>
  <c r="H51" i="228" s="1"/>
  <c r="H47" i="229"/>
  <c r="H51" i="229" s="1"/>
  <c r="H43" i="236"/>
  <c r="H45" i="236" s="1"/>
  <c r="H43" i="195"/>
  <c r="H45" i="195" s="1"/>
  <c r="H43" i="185"/>
  <c r="H45" i="185" s="1"/>
  <c r="H43" i="198"/>
  <c r="H45" i="198" s="1"/>
  <c r="H43" i="227"/>
  <c r="H45" i="227" s="1"/>
  <c r="H43" i="211"/>
  <c r="H45" i="211" s="1"/>
  <c r="H43" i="203"/>
  <c r="H45" i="203" s="1"/>
  <c r="H43" i="192"/>
  <c r="H45" i="192" s="1"/>
  <c r="H43" i="235"/>
  <c r="H45" i="235" s="1"/>
  <c r="H43" i="219"/>
  <c r="H45" i="219" s="1"/>
  <c r="H43" i="187"/>
  <c r="H45" i="187" s="1"/>
  <c r="H43" i="201"/>
  <c r="H45" i="201" s="1"/>
  <c r="H43" i="206"/>
  <c r="H45" i="206" s="1"/>
  <c r="H43" i="189"/>
  <c r="H45" i="189" s="1"/>
  <c r="H43" i="234"/>
  <c r="H45" i="234" s="1"/>
  <c r="H43" i="226"/>
  <c r="H45" i="226" s="1"/>
  <c r="H43" i="218"/>
  <c r="H45" i="218" s="1"/>
  <c r="H43" i="210"/>
  <c r="H45" i="210" s="1"/>
  <c r="H43" i="194"/>
  <c r="H45" i="194" s="1"/>
  <c r="H43" i="193"/>
  <c r="H45" i="193" s="1"/>
  <c r="H43" i="214"/>
  <c r="H45" i="214" s="1"/>
  <c r="H43" i="213"/>
  <c r="H45" i="213" s="1"/>
  <c r="H43" i="220"/>
  <c r="H45" i="220" s="1"/>
  <c r="H43" i="232"/>
  <c r="H45" i="232" s="1"/>
  <c r="H43" i="225"/>
  <c r="H45" i="225" s="1"/>
  <c r="H43" i="216"/>
  <c r="H45" i="216" s="1"/>
  <c r="H43" i="202"/>
  <c r="H45" i="202" s="1"/>
  <c r="H43" i="186"/>
  <c r="H45" i="186" s="1"/>
  <c r="H43" i="191"/>
  <c r="H45" i="191" s="1"/>
  <c r="H43" i="215"/>
  <c r="H45" i="215" s="1"/>
  <c r="H43" i="196"/>
  <c r="H45" i="196" s="1"/>
  <c r="H43" i="233"/>
  <c r="H45" i="233" s="1"/>
  <c r="H43" i="217"/>
  <c r="H45" i="217" s="1"/>
  <c r="H43" i="209"/>
  <c r="H45" i="209" s="1"/>
  <c r="H43" i="200"/>
  <c r="H45" i="200" s="1"/>
  <c r="H43" i="207"/>
  <c r="H45" i="207" s="1"/>
  <c r="H43" i="190"/>
  <c r="H45" i="190" s="1"/>
  <c r="H43" i="188"/>
  <c r="H45" i="188" s="1"/>
  <c r="H43" i="224"/>
  <c r="H45" i="224" s="1"/>
  <c r="H43" i="208"/>
  <c r="H45" i="208" s="1"/>
  <c r="H43" i="221"/>
  <c r="H45" i="221" s="1"/>
  <c r="H43" i="212"/>
  <c r="H45" i="212" s="1"/>
  <c r="H43" i="197"/>
  <c r="H45" i="197" s="1"/>
  <c r="H43" i="223"/>
  <c r="H45" i="223" s="1"/>
  <c r="H43" i="205"/>
  <c r="H45" i="205" s="1"/>
  <c r="H43" i="204"/>
  <c r="H45" i="204" s="1"/>
  <c r="H43" i="230"/>
  <c r="H45" i="230" s="1"/>
  <c r="H43" i="199"/>
  <c r="H45" i="199" s="1"/>
  <c r="H43" i="231"/>
  <c r="H45" i="231" s="1"/>
  <c r="H43" i="222"/>
  <c r="H45" i="222" s="1"/>
  <c r="H43" i="228"/>
  <c r="H45" i="228" s="1"/>
  <c r="H43" i="229"/>
  <c r="H45" i="229" s="1"/>
  <c r="H47" i="184"/>
  <c r="H51" i="184" s="1"/>
  <c r="H47" i="182"/>
  <c r="H51" i="182" s="1"/>
  <c r="H47" i="180"/>
  <c r="H51" i="180" s="1"/>
  <c r="H47" i="181"/>
  <c r="H51" i="181" s="1"/>
  <c r="H47" i="183"/>
  <c r="H51" i="183" s="1"/>
  <c r="H43" i="181"/>
  <c r="H45" i="181" s="1"/>
  <c r="H43" i="180"/>
  <c r="H45" i="180" s="1"/>
  <c r="H43" i="184"/>
  <c r="H45" i="184" s="1"/>
  <c r="H43" i="183"/>
  <c r="H45" i="183" s="1"/>
  <c r="H43" i="182"/>
  <c r="H45" i="182" s="1"/>
  <c r="H47" i="176"/>
  <c r="H51" i="176" s="1"/>
  <c r="H47" i="177"/>
  <c r="H51" i="177" s="1"/>
  <c r="H43" i="176"/>
  <c r="H45" i="176" s="1"/>
  <c r="H43" i="177"/>
  <c r="H45" i="177" s="1"/>
  <c r="CD10" i="118"/>
  <c r="G79" i="115" s="1"/>
  <c r="CD99" i="118"/>
  <c r="H51" i="22"/>
  <c r="J116" i="189" l="1"/>
  <c r="K116" i="189"/>
  <c r="F116" i="190"/>
  <c r="K63" i="190"/>
  <c r="F63" i="191"/>
  <c r="J63" i="191" s="1"/>
  <c r="J63" i="190"/>
  <c r="J149" i="187"/>
  <c r="K149" i="187"/>
  <c r="K84" i="189"/>
  <c r="F84" i="190"/>
  <c r="J84" i="189"/>
  <c r="J87" i="189"/>
  <c r="K87" i="189"/>
  <c r="F87" i="190"/>
  <c r="F86" i="190"/>
  <c r="K86" i="189"/>
  <c r="J86" i="189"/>
  <c r="J59" i="188"/>
  <c r="K59" i="188"/>
  <c r="F59" i="189"/>
  <c r="K72" i="189"/>
  <c r="J72" i="189"/>
  <c r="F72" i="190"/>
  <c r="K82" i="189"/>
  <c r="J82" i="189"/>
  <c r="F82" i="190"/>
  <c r="K137" i="189"/>
  <c r="F137" i="190"/>
  <c r="J137" i="189"/>
  <c r="J118" i="189"/>
  <c r="K118" i="189"/>
  <c r="F118" i="190"/>
  <c r="J112" i="189"/>
  <c r="K112" i="189"/>
  <c r="F112" i="190"/>
  <c r="K145" i="189"/>
  <c r="J145" i="189"/>
  <c r="F145" i="190"/>
  <c r="J78" i="189"/>
  <c r="K78" i="189"/>
  <c r="F78" i="190"/>
  <c r="K79" i="189"/>
  <c r="F79" i="190"/>
  <c r="J79" i="189"/>
  <c r="J62" i="189"/>
  <c r="K62" i="189"/>
  <c r="F62" i="190"/>
  <c r="J123" i="189"/>
  <c r="K123" i="189"/>
  <c r="F123" i="190"/>
  <c r="K77" i="189"/>
  <c r="J77" i="189"/>
  <c r="F77" i="190"/>
  <c r="J147" i="189"/>
  <c r="K147" i="189"/>
  <c r="F147" i="190"/>
  <c r="K70" i="189"/>
  <c r="F70" i="190"/>
  <c r="J70" i="189"/>
  <c r="K133" i="189"/>
  <c r="J133" i="189"/>
  <c r="F133" i="190"/>
  <c r="K139" i="189"/>
  <c r="J139" i="189"/>
  <c r="F139" i="190"/>
  <c r="J67" i="189"/>
  <c r="K67" i="189"/>
  <c r="F67" i="190"/>
  <c r="J127" i="189"/>
  <c r="F127" i="190"/>
  <c r="K127" i="189"/>
  <c r="K97" i="189"/>
  <c r="J97" i="189"/>
  <c r="F97" i="190"/>
  <c r="J129" i="189"/>
  <c r="F129" i="190"/>
  <c r="K129" i="189"/>
  <c r="K93" i="189"/>
  <c r="J93" i="189"/>
  <c r="F93" i="190"/>
  <c r="F68" i="190"/>
  <c r="J68" i="189"/>
  <c r="K68" i="189"/>
  <c r="F69" i="190"/>
  <c r="J69" i="189"/>
  <c r="K69" i="189"/>
  <c r="J94" i="189"/>
  <c r="K94" i="189"/>
  <c r="F94" i="190"/>
  <c r="J117" i="189"/>
  <c r="K117" i="189"/>
  <c r="F117" i="190"/>
  <c r="J130" i="189"/>
  <c r="F130" i="190"/>
  <c r="K130" i="189"/>
  <c r="K113" i="189"/>
  <c r="F113" i="190"/>
  <c r="J113" i="189"/>
  <c r="K111" i="189"/>
  <c r="J111" i="189"/>
  <c r="F111" i="190"/>
  <c r="K132" i="189"/>
  <c r="J132" i="189"/>
  <c r="F132" i="190"/>
  <c r="J125" i="189"/>
  <c r="K125" i="189"/>
  <c r="F125" i="190"/>
  <c r="K143" i="189"/>
  <c r="F143" i="190"/>
  <c r="J143" i="189"/>
  <c r="K140" i="189"/>
  <c r="F140" i="190"/>
  <c r="J140" i="189"/>
  <c r="K131" i="189"/>
  <c r="J131" i="189"/>
  <c r="F131" i="190"/>
  <c r="J75" i="189"/>
  <c r="F75" i="190"/>
  <c r="K75" i="189"/>
  <c r="K138" i="189"/>
  <c r="F138" i="190"/>
  <c r="J138" i="189"/>
  <c r="J98" i="189"/>
  <c r="K98" i="189"/>
  <c r="F98" i="190"/>
  <c r="K110" i="189"/>
  <c r="F110" i="190"/>
  <c r="J110" i="189"/>
  <c r="K121" i="189"/>
  <c r="J121" i="189"/>
  <c r="F121" i="190"/>
  <c r="J134" i="189"/>
  <c r="K134" i="189"/>
  <c r="F134" i="190"/>
  <c r="F107" i="190"/>
  <c r="J107" i="189"/>
  <c r="K107" i="189"/>
  <c r="K148" i="189"/>
  <c r="J148" i="189"/>
  <c r="F148" i="190"/>
  <c r="K88" i="189"/>
  <c r="J88" i="189"/>
  <c r="F88" i="190"/>
  <c r="J122" i="189"/>
  <c r="K122" i="189"/>
  <c r="F122" i="190"/>
  <c r="K89" i="189"/>
  <c r="F89" i="190"/>
  <c r="J89" i="189"/>
  <c r="K76" i="189"/>
  <c r="J76" i="189"/>
  <c r="F76" i="190"/>
  <c r="J100" i="189"/>
  <c r="K100" i="189"/>
  <c r="F100" i="190"/>
  <c r="J57" i="188"/>
  <c r="K57" i="188"/>
  <c r="F57" i="189"/>
  <c r="K135" i="189"/>
  <c r="F135" i="190"/>
  <c r="J135" i="189"/>
  <c r="K85" i="189"/>
  <c r="J85" i="189"/>
  <c r="F85" i="190"/>
  <c r="J58" i="189"/>
  <c r="K58" i="189"/>
  <c r="F58" i="190"/>
  <c r="K99" i="189"/>
  <c r="J99" i="189"/>
  <c r="F99" i="190"/>
  <c r="J71" i="189"/>
  <c r="F71" i="190"/>
  <c r="K71" i="189"/>
  <c r="F128" i="190"/>
  <c r="J128" i="189"/>
  <c r="K128" i="189"/>
  <c r="K146" i="189"/>
  <c r="F146" i="190"/>
  <c r="J146" i="189"/>
  <c r="K120" i="189"/>
  <c r="F120" i="190"/>
  <c r="J120" i="189"/>
  <c r="F142" i="190"/>
  <c r="J142" i="189"/>
  <c r="K142" i="189"/>
  <c r="J136" i="189"/>
  <c r="K136" i="189"/>
  <c r="F136" i="190"/>
  <c r="J114" i="189"/>
  <c r="F114" i="190"/>
  <c r="K114" i="189"/>
  <c r="J124" i="189"/>
  <c r="K124" i="189"/>
  <c r="F124" i="190"/>
  <c r="J141" i="189"/>
  <c r="F141" i="190"/>
  <c r="K141" i="189"/>
  <c r="F60" i="190"/>
  <c r="J60" i="189"/>
  <c r="K60" i="189"/>
  <c r="K126" i="189"/>
  <c r="F126" i="190"/>
  <c r="J126" i="189"/>
  <c r="K144" i="189"/>
  <c r="F144" i="190"/>
  <c r="J144" i="189"/>
  <c r="F95" i="190"/>
  <c r="K95" i="189"/>
  <c r="J95" i="189"/>
  <c r="K91" i="189"/>
  <c r="F91" i="190"/>
  <c r="J91" i="189"/>
  <c r="K115" i="189"/>
  <c r="J115" i="189"/>
  <c r="F115" i="190"/>
  <c r="J80" i="189"/>
  <c r="K80" i="189"/>
  <c r="F80" i="190"/>
  <c r="J108" i="189"/>
  <c r="K108" i="189"/>
  <c r="F108" i="190"/>
  <c r="F149" i="188"/>
  <c r="K66" i="189"/>
  <c r="J66" i="189"/>
  <c r="F66" i="190"/>
  <c r="J92" i="189"/>
  <c r="K92" i="189"/>
  <c r="F92" i="190"/>
  <c r="J90" i="189"/>
  <c r="K90" i="189"/>
  <c r="F90" i="190"/>
  <c r="J119" i="189"/>
  <c r="F119" i="190"/>
  <c r="K119" i="189"/>
  <c r="J65" i="189"/>
  <c r="K65" i="189"/>
  <c r="F65" i="190"/>
  <c r="J83" i="189"/>
  <c r="K83" i="189"/>
  <c r="F83" i="190"/>
  <c r="J106" i="189"/>
  <c r="F106" i="190"/>
  <c r="K106" i="189"/>
  <c r="K109" i="189"/>
  <c r="J109" i="189"/>
  <c r="F109" i="190"/>
  <c r="K81" i="189"/>
  <c r="F81" i="190"/>
  <c r="J81" i="189"/>
  <c r="F74" i="190"/>
  <c r="J74" i="189"/>
  <c r="K74" i="189"/>
  <c r="J96" i="189"/>
  <c r="K96" i="189"/>
  <c r="F96" i="190"/>
  <c r="K73" i="189"/>
  <c r="F73" i="190"/>
  <c r="J73" i="189"/>
  <c r="K64" i="189"/>
  <c r="F64" i="190"/>
  <c r="J64" i="189"/>
  <c r="K61" i="189"/>
  <c r="J61" i="189"/>
  <c r="F61" i="190"/>
  <c r="CC10" i="118"/>
  <c r="G78" i="115" s="1"/>
  <c r="CC99" i="118"/>
  <c r="J116" i="190" l="1"/>
  <c r="K116" i="190"/>
  <c r="F116" i="191"/>
  <c r="F63" i="192"/>
  <c r="K63" i="192" s="1"/>
  <c r="K63" i="191"/>
  <c r="J149" i="188"/>
  <c r="F149" i="189"/>
  <c r="K149" i="188"/>
  <c r="J76" i="190"/>
  <c r="K76" i="190"/>
  <c r="F76" i="191"/>
  <c r="J132" i="190"/>
  <c r="K132" i="190"/>
  <c r="F132" i="191"/>
  <c r="J147" i="190"/>
  <c r="K147" i="190"/>
  <c r="F147" i="191"/>
  <c r="J109" i="190"/>
  <c r="K109" i="190"/>
  <c r="F109" i="191"/>
  <c r="J90" i="190"/>
  <c r="K90" i="190"/>
  <c r="F90" i="191"/>
  <c r="K115" i="190"/>
  <c r="J115" i="190"/>
  <c r="F115" i="191"/>
  <c r="J142" i="190"/>
  <c r="K142" i="190"/>
  <c r="F142" i="191"/>
  <c r="K58" i="190"/>
  <c r="J58" i="190"/>
  <c r="F58" i="191"/>
  <c r="K107" i="190"/>
  <c r="J107" i="190"/>
  <c r="F107" i="191"/>
  <c r="J72" i="190"/>
  <c r="K72" i="190"/>
  <c r="F72" i="191"/>
  <c r="K60" i="190"/>
  <c r="J60" i="190"/>
  <c r="F60" i="191"/>
  <c r="K134" i="190"/>
  <c r="J134" i="190"/>
  <c r="F134" i="191"/>
  <c r="K75" i="190"/>
  <c r="J75" i="190"/>
  <c r="F75" i="191"/>
  <c r="K127" i="190"/>
  <c r="J127" i="190"/>
  <c r="F127" i="191"/>
  <c r="J145" i="190"/>
  <c r="F145" i="191"/>
  <c r="K145" i="190"/>
  <c r="K88" i="190"/>
  <c r="J88" i="190"/>
  <c r="F88" i="191"/>
  <c r="J120" i="190"/>
  <c r="K120" i="190"/>
  <c r="F120" i="191"/>
  <c r="K111" i="190"/>
  <c r="J111" i="190"/>
  <c r="F111" i="191"/>
  <c r="J77" i="190"/>
  <c r="K77" i="190"/>
  <c r="F77" i="191"/>
  <c r="J92" i="190"/>
  <c r="K92" i="190"/>
  <c r="F92" i="191"/>
  <c r="J141" i="190"/>
  <c r="K141" i="190"/>
  <c r="F141" i="191"/>
  <c r="F85" i="191"/>
  <c r="K85" i="190"/>
  <c r="J85" i="190"/>
  <c r="F89" i="191"/>
  <c r="J89" i="190"/>
  <c r="K89" i="190"/>
  <c r="K131" i="190"/>
  <c r="J131" i="190"/>
  <c r="F131" i="191"/>
  <c r="K69" i="190"/>
  <c r="J69" i="190"/>
  <c r="F69" i="191"/>
  <c r="J67" i="190"/>
  <c r="K67" i="190"/>
  <c r="F67" i="191"/>
  <c r="K59" i="189"/>
  <c r="J59" i="189"/>
  <c r="F59" i="190"/>
  <c r="J106" i="190"/>
  <c r="K106" i="190"/>
  <c r="F106" i="191"/>
  <c r="K91" i="190"/>
  <c r="J91" i="190"/>
  <c r="F91" i="191"/>
  <c r="K121" i="190"/>
  <c r="J121" i="190"/>
  <c r="F121" i="191"/>
  <c r="J112" i="190"/>
  <c r="K112" i="190"/>
  <c r="F112" i="191"/>
  <c r="K73" i="190"/>
  <c r="J73" i="190"/>
  <c r="F73" i="191"/>
  <c r="K124" i="190"/>
  <c r="J124" i="190"/>
  <c r="F124" i="191"/>
  <c r="J146" i="190"/>
  <c r="K146" i="190"/>
  <c r="F146" i="191"/>
  <c r="K122" i="190"/>
  <c r="J122" i="190"/>
  <c r="F122" i="191"/>
  <c r="J123" i="190"/>
  <c r="K123" i="190"/>
  <c r="F123" i="191"/>
  <c r="J62" i="190"/>
  <c r="K62" i="190"/>
  <c r="F62" i="191"/>
  <c r="J83" i="190"/>
  <c r="K83" i="190"/>
  <c r="F83" i="191"/>
  <c r="K66" i="190"/>
  <c r="J66" i="190"/>
  <c r="F66" i="191"/>
  <c r="K113" i="190"/>
  <c r="J113" i="190"/>
  <c r="F113" i="191"/>
  <c r="J68" i="190"/>
  <c r="K68" i="190"/>
  <c r="F68" i="191"/>
  <c r="K139" i="190"/>
  <c r="J139" i="190"/>
  <c r="F139" i="191"/>
  <c r="J96" i="190"/>
  <c r="K96" i="190"/>
  <c r="F96" i="191"/>
  <c r="J135" i="190"/>
  <c r="K135" i="190"/>
  <c r="F135" i="191"/>
  <c r="K140" i="190"/>
  <c r="J140" i="190"/>
  <c r="F140" i="191"/>
  <c r="J93" i="190"/>
  <c r="K93" i="190"/>
  <c r="F93" i="191"/>
  <c r="J118" i="190"/>
  <c r="K118" i="190"/>
  <c r="F118" i="191"/>
  <c r="J110" i="190"/>
  <c r="K110" i="190"/>
  <c r="F110" i="191"/>
  <c r="K86" i="190"/>
  <c r="J86" i="190"/>
  <c r="F86" i="191"/>
  <c r="K114" i="190"/>
  <c r="J114" i="190"/>
  <c r="F114" i="191"/>
  <c r="K128" i="190"/>
  <c r="J128" i="190"/>
  <c r="F128" i="191"/>
  <c r="F57" i="190"/>
  <c r="K57" i="189"/>
  <c r="J57" i="189"/>
  <c r="K130" i="190"/>
  <c r="J130" i="190"/>
  <c r="F130" i="191"/>
  <c r="J133" i="190"/>
  <c r="K133" i="190"/>
  <c r="F133" i="191"/>
  <c r="K87" i="190"/>
  <c r="J87" i="190"/>
  <c r="F87" i="191"/>
  <c r="F143" i="191"/>
  <c r="K143" i="190"/>
  <c r="J143" i="190"/>
  <c r="K136" i="190"/>
  <c r="J136" i="190"/>
  <c r="F136" i="191"/>
  <c r="J71" i="190"/>
  <c r="K71" i="190"/>
  <c r="F71" i="191"/>
  <c r="K148" i="190"/>
  <c r="J148" i="190"/>
  <c r="F148" i="191"/>
  <c r="K117" i="190"/>
  <c r="J117" i="190"/>
  <c r="F117" i="191"/>
  <c r="K129" i="190"/>
  <c r="J129" i="190"/>
  <c r="F129" i="191"/>
  <c r="K137" i="190"/>
  <c r="J137" i="190"/>
  <c r="F137" i="191"/>
  <c r="F65" i="191"/>
  <c r="J65" i="190"/>
  <c r="K65" i="190"/>
  <c r="K144" i="190"/>
  <c r="J144" i="190"/>
  <c r="F144" i="191"/>
  <c r="K98" i="190"/>
  <c r="J98" i="190"/>
  <c r="F98" i="191"/>
  <c r="J74" i="190"/>
  <c r="K74" i="190"/>
  <c r="F74" i="191"/>
  <c r="K100" i="190"/>
  <c r="F100" i="191"/>
  <c r="J100" i="190"/>
  <c r="K125" i="190"/>
  <c r="F125" i="191"/>
  <c r="J125" i="190"/>
  <c r="K79" i="190"/>
  <c r="J79" i="190"/>
  <c r="F79" i="191"/>
  <c r="J95" i="190"/>
  <c r="K95" i="190"/>
  <c r="F95" i="191"/>
  <c r="J108" i="190"/>
  <c r="K108" i="190"/>
  <c r="F108" i="191"/>
  <c r="K80" i="190"/>
  <c r="J80" i="190"/>
  <c r="F80" i="191"/>
  <c r="J126" i="190"/>
  <c r="K126" i="190"/>
  <c r="F126" i="191"/>
  <c r="J99" i="190"/>
  <c r="K99" i="190"/>
  <c r="F99" i="191"/>
  <c r="K97" i="190"/>
  <c r="J97" i="190"/>
  <c r="F97" i="191"/>
  <c r="J70" i="190"/>
  <c r="K70" i="190"/>
  <c r="F70" i="191"/>
  <c r="J82" i="190"/>
  <c r="K82" i="190"/>
  <c r="F82" i="191"/>
  <c r="K84" i="190"/>
  <c r="F84" i="191"/>
  <c r="J84" i="190"/>
  <c r="F81" i="191"/>
  <c r="J81" i="190"/>
  <c r="K81" i="190"/>
  <c r="J119" i="190"/>
  <c r="K119" i="190"/>
  <c r="F119" i="191"/>
  <c r="K138" i="190"/>
  <c r="J138" i="190"/>
  <c r="F138" i="191"/>
  <c r="J94" i="190"/>
  <c r="K94" i="190"/>
  <c r="F94" i="191"/>
  <c r="J78" i="190"/>
  <c r="K78" i="190"/>
  <c r="F78" i="191"/>
  <c r="K64" i="190"/>
  <c r="J64" i="190"/>
  <c r="F64" i="191"/>
  <c r="J61" i="190"/>
  <c r="K61" i="190"/>
  <c r="F61" i="191"/>
  <c r="CB99" i="118"/>
  <c r="CB10" i="118"/>
  <c r="G77" i="115" s="1"/>
  <c r="K116" i="191" l="1"/>
  <c r="J116" i="191"/>
  <c r="F116" i="192"/>
  <c r="F63" i="193"/>
  <c r="K63" i="193" s="1"/>
  <c r="J63" i="192"/>
  <c r="J149" i="189"/>
  <c r="F149" i="190"/>
  <c r="K149" i="189"/>
  <c r="K119" i="191"/>
  <c r="J119" i="191"/>
  <c r="F119" i="192"/>
  <c r="J144" i="191"/>
  <c r="K144" i="191"/>
  <c r="F144" i="192"/>
  <c r="J110" i="191"/>
  <c r="K110" i="191"/>
  <c r="F110" i="192"/>
  <c r="J73" i="191"/>
  <c r="K73" i="191"/>
  <c r="F73" i="192"/>
  <c r="J85" i="191"/>
  <c r="K85" i="191"/>
  <c r="F85" i="192"/>
  <c r="K88" i="191"/>
  <c r="J88" i="191"/>
  <c r="F88" i="192"/>
  <c r="K79" i="191"/>
  <c r="J79" i="191"/>
  <c r="F79" i="192"/>
  <c r="F130" i="192"/>
  <c r="J130" i="191"/>
  <c r="K130" i="191"/>
  <c r="K62" i="191"/>
  <c r="J62" i="191"/>
  <c r="F62" i="192"/>
  <c r="J141" i="191"/>
  <c r="K141" i="191"/>
  <c r="F141" i="192"/>
  <c r="J90" i="191"/>
  <c r="K90" i="191"/>
  <c r="F90" i="192"/>
  <c r="K71" i="191"/>
  <c r="J71" i="191"/>
  <c r="F71" i="192"/>
  <c r="J139" i="191"/>
  <c r="K139" i="191"/>
  <c r="F139" i="192"/>
  <c r="J67" i="191"/>
  <c r="K67" i="191"/>
  <c r="F67" i="192"/>
  <c r="K72" i="191"/>
  <c r="F72" i="192"/>
  <c r="J72" i="191"/>
  <c r="J118" i="191"/>
  <c r="K118" i="191"/>
  <c r="F118" i="192"/>
  <c r="K112" i="191"/>
  <c r="J112" i="191"/>
  <c r="F112" i="192"/>
  <c r="J99" i="191"/>
  <c r="F99" i="192"/>
  <c r="K99" i="191"/>
  <c r="K123" i="191"/>
  <c r="J123" i="191"/>
  <c r="F123" i="192"/>
  <c r="K92" i="191"/>
  <c r="J92" i="191"/>
  <c r="F92" i="192"/>
  <c r="K145" i="191"/>
  <c r="J145" i="191"/>
  <c r="F145" i="192"/>
  <c r="K109" i="191"/>
  <c r="J109" i="191"/>
  <c r="F109" i="192"/>
  <c r="J81" i="191"/>
  <c r="K81" i="191"/>
  <c r="F81" i="192"/>
  <c r="K126" i="191"/>
  <c r="J126" i="191"/>
  <c r="F126" i="192"/>
  <c r="J125" i="191"/>
  <c r="K125" i="191"/>
  <c r="F125" i="192"/>
  <c r="J65" i="191"/>
  <c r="K65" i="191"/>
  <c r="F65" i="192"/>
  <c r="F136" i="192"/>
  <c r="J136" i="191"/>
  <c r="K136" i="191"/>
  <c r="K68" i="191"/>
  <c r="J68" i="191"/>
  <c r="F68" i="192"/>
  <c r="J69" i="191"/>
  <c r="K69" i="191"/>
  <c r="F69" i="192"/>
  <c r="J107" i="191"/>
  <c r="K107" i="191"/>
  <c r="F107" i="192"/>
  <c r="K137" i="191"/>
  <c r="J137" i="191"/>
  <c r="F137" i="192"/>
  <c r="F57" i="191"/>
  <c r="K57" i="190"/>
  <c r="J57" i="190"/>
  <c r="J93" i="191"/>
  <c r="K93" i="191"/>
  <c r="F93" i="192"/>
  <c r="K121" i="191"/>
  <c r="J121" i="191"/>
  <c r="F121" i="192"/>
  <c r="J127" i="191"/>
  <c r="K127" i="191"/>
  <c r="F127" i="192"/>
  <c r="J78" i="191"/>
  <c r="K78" i="191"/>
  <c r="F78" i="192"/>
  <c r="J84" i="191"/>
  <c r="F84" i="192"/>
  <c r="K84" i="191"/>
  <c r="K128" i="191"/>
  <c r="J128" i="191"/>
  <c r="F128" i="192"/>
  <c r="K122" i="191"/>
  <c r="J122" i="191"/>
  <c r="F122" i="192"/>
  <c r="F77" i="192"/>
  <c r="J77" i="191"/>
  <c r="K77" i="191"/>
  <c r="J147" i="191"/>
  <c r="K147" i="191"/>
  <c r="F147" i="192"/>
  <c r="K80" i="191"/>
  <c r="J80" i="191"/>
  <c r="F80" i="192"/>
  <c r="J100" i="191"/>
  <c r="F100" i="192"/>
  <c r="K100" i="191"/>
  <c r="J113" i="191"/>
  <c r="K113" i="191"/>
  <c r="F113" i="192"/>
  <c r="J131" i="191"/>
  <c r="K131" i="191"/>
  <c r="F131" i="192"/>
  <c r="F58" i="192"/>
  <c r="J58" i="191"/>
  <c r="K58" i="191"/>
  <c r="K82" i="191"/>
  <c r="J82" i="191"/>
  <c r="F82" i="192"/>
  <c r="J129" i="191"/>
  <c r="F129" i="192"/>
  <c r="K129" i="191"/>
  <c r="F140" i="192"/>
  <c r="K140" i="191"/>
  <c r="J140" i="191"/>
  <c r="K91" i="191"/>
  <c r="J91" i="191"/>
  <c r="F91" i="192"/>
  <c r="K75" i="191"/>
  <c r="J75" i="191"/>
  <c r="F75" i="192"/>
  <c r="K94" i="191"/>
  <c r="J94" i="191"/>
  <c r="F94" i="192"/>
  <c r="K74" i="191"/>
  <c r="J74" i="191"/>
  <c r="F74" i="192"/>
  <c r="F143" i="192"/>
  <c r="K143" i="191"/>
  <c r="J143" i="191"/>
  <c r="K114" i="191"/>
  <c r="J114" i="191"/>
  <c r="F114" i="192"/>
  <c r="K146" i="191"/>
  <c r="J146" i="191"/>
  <c r="F146" i="192"/>
  <c r="K111" i="191"/>
  <c r="J111" i="191"/>
  <c r="F111" i="192"/>
  <c r="J132" i="191"/>
  <c r="K132" i="191"/>
  <c r="F132" i="192"/>
  <c r="K108" i="191"/>
  <c r="J108" i="191"/>
  <c r="F108" i="192"/>
  <c r="F87" i="192"/>
  <c r="K87" i="191"/>
  <c r="J87" i="191"/>
  <c r="K66" i="191"/>
  <c r="F66" i="192"/>
  <c r="J66" i="191"/>
  <c r="K142" i="191"/>
  <c r="J142" i="191"/>
  <c r="F142" i="192"/>
  <c r="J70" i="191"/>
  <c r="K70" i="191"/>
  <c r="F70" i="192"/>
  <c r="F117" i="192"/>
  <c r="J117" i="191"/>
  <c r="K117" i="191"/>
  <c r="K135" i="191"/>
  <c r="J135" i="191"/>
  <c r="F135" i="192"/>
  <c r="K106" i="191"/>
  <c r="F106" i="192"/>
  <c r="J106" i="191"/>
  <c r="K134" i="191"/>
  <c r="J134" i="191"/>
  <c r="F134" i="192"/>
  <c r="K98" i="191"/>
  <c r="J98" i="191"/>
  <c r="F98" i="192"/>
  <c r="J86" i="191"/>
  <c r="K86" i="191"/>
  <c r="F86" i="192"/>
  <c r="K124" i="191"/>
  <c r="J124" i="191"/>
  <c r="F124" i="192"/>
  <c r="K89" i="191"/>
  <c r="F89" i="192"/>
  <c r="J89" i="191"/>
  <c r="J120" i="191"/>
  <c r="K120" i="191"/>
  <c r="F120" i="192"/>
  <c r="K76" i="191"/>
  <c r="J76" i="191"/>
  <c r="F76" i="192"/>
  <c r="J138" i="191"/>
  <c r="K138" i="191"/>
  <c r="F138" i="192"/>
  <c r="J95" i="191"/>
  <c r="F95" i="192"/>
  <c r="K95" i="191"/>
  <c r="J133" i="191"/>
  <c r="K133" i="191"/>
  <c r="F133" i="192"/>
  <c r="F83" i="192"/>
  <c r="J83" i="191"/>
  <c r="K83" i="191"/>
  <c r="J115" i="191"/>
  <c r="K115" i="191"/>
  <c r="F115" i="192"/>
  <c r="F97" i="192"/>
  <c r="K97" i="191"/>
  <c r="J97" i="191"/>
  <c r="F148" i="192"/>
  <c r="J148" i="191"/>
  <c r="K148" i="191"/>
  <c r="J96" i="191"/>
  <c r="K96" i="191"/>
  <c r="F96" i="192"/>
  <c r="K59" i="190"/>
  <c r="J59" i="190"/>
  <c r="F59" i="191"/>
  <c r="J60" i="191"/>
  <c r="K60" i="191"/>
  <c r="F60" i="192"/>
  <c r="K64" i="191"/>
  <c r="J64" i="191"/>
  <c r="F64" i="192"/>
  <c r="K61" i="191"/>
  <c r="F61" i="192"/>
  <c r="J61" i="191"/>
  <c r="CA99" i="118"/>
  <c r="CA10" i="118"/>
  <c r="G76" i="115" s="1"/>
  <c r="J116" i="192" l="1"/>
  <c r="K116" i="192"/>
  <c r="F116" i="193"/>
  <c r="J63" i="193"/>
  <c r="F63" i="194"/>
  <c r="K63" i="194" s="1"/>
  <c r="J149" i="190"/>
  <c r="K149" i="190"/>
  <c r="F136" i="193"/>
  <c r="K136" i="192"/>
  <c r="J136" i="192"/>
  <c r="K145" i="192"/>
  <c r="F145" i="193"/>
  <c r="J145" i="192"/>
  <c r="K80" i="192"/>
  <c r="J80" i="192"/>
  <c r="F80" i="193"/>
  <c r="K84" i="192"/>
  <c r="J84" i="192"/>
  <c r="F84" i="193"/>
  <c r="F57" i="192"/>
  <c r="K57" i="191"/>
  <c r="J57" i="191"/>
  <c r="K65" i="192"/>
  <c r="F65" i="193"/>
  <c r="J65" i="192"/>
  <c r="K141" i="192"/>
  <c r="J141" i="192"/>
  <c r="F141" i="193"/>
  <c r="F85" i="193"/>
  <c r="J85" i="192"/>
  <c r="K85" i="192"/>
  <c r="J86" i="192"/>
  <c r="K86" i="192"/>
  <c r="F86" i="193"/>
  <c r="J74" i="192"/>
  <c r="F74" i="193"/>
  <c r="K74" i="192"/>
  <c r="J129" i="192"/>
  <c r="K129" i="192"/>
  <c r="F129" i="193"/>
  <c r="K148" i="192"/>
  <c r="F148" i="193"/>
  <c r="J148" i="192"/>
  <c r="J138" i="192"/>
  <c r="K138" i="192"/>
  <c r="F138" i="193"/>
  <c r="K117" i="192"/>
  <c r="J117" i="192"/>
  <c r="F117" i="193"/>
  <c r="K132" i="192"/>
  <c r="J132" i="192"/>
  <c r="F132" i="193"/>
  <c r="J70" i="192"/>
  <c r="K70" i="192"/>
  <c r="F70" i="193"/>
  <c r="K82" i="192"/>
  <c r="J82" i="192"/>
  <c r="F82" i="193"/>
  <c r="K137" i="192"/>
  <c r="J137" i="192"/>
  <c r="F137" i="193"/>
  <c r="K92" i="192"/>
  <c r="J92" i="192"/>
  <c r="F92" i="193"/>
  <c r="J72" i="192"/>
  <c r="K72" i="192"/>
  <c r="F72" i="193"/>
  <c r="K98" i="192"/>
  <c r="J98" i="192"/>
  <c r="F98" i="193"/>
  <c r="K94" i="192"/>
  <c r="J94" i="192"/>
  <c r="F94" i="193"/>
  <c r="K111" i="192"/>
  <c r="J111" i="192"/>
  <c r="F111" i="193"/>
  <c r="F147" i="193"/>
  <c r="K147" i="192"/>
  <c r="J147" i="192"/>
  <c r="K125" i="192"/>
  <c r="J125" i="192"/>
  <c r="F125" i="193"/>
  <c r="J62" i="192"/>
  <c r="K62" i="192"/>
  <c r="F62" i="193"/>
  <c r="J73" i="192"/>
  <c r="K73" i="192"/>
  <c r="F73" i="193"/>
  <c r="J78" i="192"/>
  <c r="K78" i="192"/>
  <c r="F78" i="193"/>
  <c r="K97" i="192"/>
  <c r="F97" i="193"/>
  <c r="J97" i="192"/>
  <c r="K76" i="192"/>
  <c r="J76" i="192"/>
  <c r="F76" i="193"/>
  <c r="K115" i="192"/>
  <c r="J115" i="192"/>
  <c r="F115" i="193"/>
  <c r="K142" i="192"/>
  <c r="J142" i="192"/>
  <c r="F142" i="193"/>
  <c r="K107" i="192"/>
  <c r="J107" i="192"/>
  <c r="F107" i="193"/>
  <c r="K67" i="192"/>
  <c r="J67" i="192"/>
  <c r="F67" i="193"/>
  <c r="J75" i="192"/>
  <c r="K75" i="192"/>
  <c r="F75" i="193"/>
  <c r="J127" i="192"/>
  <c r="K127" i="192"/>
  <c r="F127" i="193"/>
  <c r="K123" i="192"/>
  <c r="J123" i="192"/>
  <c r="F123" i="193"/>
  <c r="K60" i="192"/>
  <c r="J60" i="192"/>
  <c r="F60" i="193"/>
  <c r="K134" i="192"/>
  <c r="J134" i="192"/>
  <c r="F134" i="193"/>
  <c r="K120" i="192"/>
  <c r="F120" i="193"/>
  <c r="J120" i="192"/>
  <c r="K146" i="192"/>
  <c r="J146" i="192"/>
  <c r="F146" i="193"/>
  <c r="K58" i="192"/>
  <c r="J58" i="192"/>
  <c r="F58" i="193"/>
  <c r="J126" i="192"/>
  <c r="K126" i="192"/>
  <c r="F126" i="193"/>
  <c r="K110" i="192"/>
  <c r="J110" i="192"/>
  <c r="F110" i="193"/>
  <c r="K131" i="192"/>
  <c r="J131" i="192"/>
  <c r="F131" i="193"/>
  <c r="K69" i="192"/>
  <c r="J69" i="192"/>
  <c r="F69" i="193"/>
  <c r="K139" i="192"/>
  <c r="J139" i="192"/>
  <c r="F139" i="193"/>
  <c r="K121" i="192"/>
  <c r="J121" i="192"/>
  <c r="F121" i="193"/>
  <c r="J130" i="192"/>
  <c r="K130" i="192"/>
  <c r="F130" i="193"/>
  <c r="K83" i="192"/>
  <c r="J83" i="192"/>
  <c r="F83" i="193"/>
  <c r="K106" i="192"/>
  <c r="J106" i="192"/>
  <c r="F106" i="193"/>
  <c r="J114" i="192"/>
  <c r="K114" i="192"/>
  <c r="F114" i="193"/>
  <c r="K122" i="192"/>
  <c r="J122" i="192"/>
  <c r="F122" i="193"/>
  <c r="J81" i="192"/>
  <c r="K81" i="192"/>
  <c r="F81" i="193"/>
  <c r="J99" i="192"/>
  <c r="K99" i="192"/>
  <c r="F99" i="193"/>
  <c r="K79" i="192"/>
  <c r="J79" i="192"/>
  <c r="F79" i="193"/>
  <c r="J144" i="192"/>
  <c r="K144" i="192"/>
  <c r="F144" i="193"/>
  <c r="J71" i="192"/>
  <c r="K71" i="192"/>
  <c r="F71" i="193"/>
  <c r="F66" i="193"/>
  <c r="J66" i="192"/>
  <c r="K66" i="192"/>
  <c r="J91" i="192"/>
  <c r="K91" i="192"/>
  <c r="F91" i="193"/>
  <c r="K77" i="192"/>
  <c r="J77" i="192"/>
  <c r="F77" i="193"/>
  <c r="K68" i="192"/>
  <c r="J68" i="192"/>
  <c r="F68" i="193"/>
  <c r="K96" i="192"/>
  <c r="J96" i="192"/>
  <c r="F96" i="193"/>
  <c r="K135" i="192"/>
  <c r="J135" i="192"/>
  <c r="F135" i="193"/>
  <c r="K93" i="192"/>
  <c r="F93" i="193"/>
  <c r="J93" i="192"/>
  <c r="K112" i="192"/>
  <c r="J112" i="192"/>
  <c r="F112" i="193"/>
  <c r="F113" i="193"/>
  <c r="K113" i="192"/>
  <c r="J113" i="192"/>
  <c r="K124" i="192"/>
  <c r="J124" i="192"/>
  <c r="F124" i="193"/>
  <c r="F87" i="193"/>
  <c r="J87" i="192"/>
  <c r="K87" i="192"/>
  <c r="K128" i="192"/>
  <c r="J128" i="192"/>
  <c r="F128" i="193"/>
  <c r="F109" i="193"/>
  <c r="J109" i="192"/>
  <c r="K109" i="192"/>
  <c r="J119" i="192"/>
  <c r="F119" i="193"/>
  <c r="K119" i="192"/>
  <c r="J59" i="191"/>
  <c r="K59" i="191"/>
  <c r="F59" i="192"/>
  <c r="J133" i="192"/>
  <c r="K133" i="192"/>
  <c r="F133" i="193"/>
  <c r="J89" i="192"/>
  <c r="F89" i="193"/>
  <c r="K89" i="192"/>
  <c r="F108" i="193"/>
  <c r="J108" i="192"/>
  <c r="K108" i="192"/>
  <c r="J140" i="192"/>
  <c r="K140" i="192"/>
  <c r="F140" i="193"/>
  <c r="F90" i="193"/>
  <c r="K90" i="192"/>
  <c r="J90" i="192"/>
  <c r="K88" i="192"/>
  <c r="J88" i="192"/>
  <c r="F88" i="193"/>
  <c r="F149" i="191"/>
  <c r="J95" i="192"/>
  <c r="K95" i="192"/>
  <c r="F95" i="193"/>
  <c r="J143" i="192"/>
  <c r="K143" i="192"/>
  <c r="F143" i="193"/>
  <c r="J100" i="192"/>
  <c r="F100" i="193"/>
  <c r="K100" i="192"/>
  <c r="J118" i="192"/>
  <c r="F118" i="193"/>
  <c r="K118" i="192"/>
  <c r="K64" i="192"/>
  <c r="F64" i="193"/>
  <c r="J64" i="192"/>
  <c r="J61" i="192"/>
  <c r="K61" i="192"/>
  <c r="F61" i="193"/>
  <c r="BZ99" i="118"/>
  <c r="BZ10" i="118"/>
  <c r="G75" i="115" s="1"/>
  <c r="K116" i="193" l="1"/>
  <c r="J116" i="193"/>
  <c r="F116" i="194"/>
  <c r="J63" i="194"/>
  <c r="F63" i="195"/>
  <c r="J63" i="195" s="1"/>
  <c r="J149" i="191"/>
  <c r="K149" i="191"/>
  <c r="J130" i="193"/>
  <c r="F130" i="194"/>
  <c r="K130" i="193"/>
  <c r="K66" i="193"/>
  <c r="J66" i="193"/>
  <c r="F66" i="194"/>
  <c r="K122" i="193"/>
  <c r="F122" i="194"/>
  <c r="J122" i="193"/>
  <c r="F123" i="194"/>
  <c r="K123" i="193"/>
  <c r="J123" i="193"/>
  <c r="J98" i="193"/>
  <c r="K98" i="193"/>
  <c r="F98" i="194"/>
  <c r="K133" i="193"/>
  <c r="J133" i="193"/>
  <c r="F133" i="194"/>
  <c r="J71" i="193"/>
  <c r="K71" i="193"/>
  <c r="F71" i="194"/>
  <c r="K58" i="193"/>
  <c r="F58" i="194"/>
  <c r="J58" i="193"/>
  <c r="K62" i="193"/>
  <c r="J62" i="193"/>
  <c r="F62" i="194"/>
  <c r="J88" i="193"/>
  <c r="K88" i="193"/>
  <c r="F88" i="194"/>
  <c r="F87" i="194"/>
  <c r="K87" i="193"/>
  <c r="J87" i="193"/>
  <c r="J96" i="193"/>
  <c r="F96" i="194"/>
  <c r="K96" i="193"/>
  <c r="F139" i="194"/>
  <c r="K139" i="193"/>
  <c r="J139" i="193"/>
  <c r="J115" i="193"/>
  <c r="F115" i="194"/>
  <c r="K115" i="193"/>
  <c r="J77" i="193"/>
  <c r="K77" i="193"/>
  <c r="F77" i="194"/>
  <c r="J124" i="193"/>
  <c r="F124" i="194"/>
  <c r="K124" i="193"/>
  <c r="J114" i="193"/>
  <c r="K114" i="193"/>
  <c r="F114" i="194"/>
  <c r="K127" i="193"/>
  <c r="J127" i="193"/>
  <c r="F127" i="194"/>
  <c r="J72" i="193"/>
  <c r="K72" i="193"/>
  <c r="F72" i="194"/>
  <c r="K132" i="193"/>
  <c r="J132" i="193"/>
  <c r="F132" i="194"/>
  <c r="J74" i="193"/>
  <c r="F74" i="194"/>
  <c r="K74" i="193"/>
  <c r="J57" i="192"/>
  <c r="K57" i="192"/>
  <c r="F57" i="193"/>
  <c r="F59" i="193"/>
  <c r="K59" i="192"/>
  <c r="J59" i="192"/>
  <c r="J144" i="193"/>
  <c r="K144" i="193"/>
  <c r="F144" i="194"/>
  <c r="K146" i="193"/>
  <c r="J146" i="193"/>
  <c r="F146" i="194"/>
  <c r="K125" i="193"/>
  <c r="J125" i="193"/>
  <c r="F125" i="194"/>
  <c r="J84" i="193"/>
  <c r="K84" i="193"/>
  <c r="F84" i="194"/>
  <c r="K68" i="193"/>
  <c r="F68" i="194"/>
  <c r="J68" i="193"/>
  <c r="K69" i="193"/>
  <c r="F69" i="194"/>
  <c r="J69" i="193"/>
  <c r="K76" i="193"/>
  <c r="J76" i="193"/>
  <c r="F76" i="194"/>
  <c r="K86" i="193"/>
  <c r="J86" i="193"/>
  <c r="F86" i="194"/>
  <c r="K118" i="193"/>
  <c r="F118" i="194"/>
  <c r="J118" i="193"/>
  <c r="K106" i="193"/>
  <c r="J106" i="193"/>
  <c r="F106" i="194"/>
  <c r="J75" i="193"/>
  <c r="K75" i="193"/>
  <c r="F75" i="194"/>
  <c r="J92" i="193"/>
  <c r="F92" i="194"/>
  <c r="K92" i="193"/>
  <c r="K117" i="193"/>
  <c r="J117" i="193"/>
  <c r="F117" i="194"/>
  <c r="J90" i="193"/>
  <c r="K90" i="193"/>
  <c r="F90" i="194"/>
  <c r="J79" i="193"/>
  <c r="K79" i="193"/>
  <c r="F79" i="194"/>
  <c r="J80" i="193"/>
  <c r="K80" i="193"/>
  <c r="F80" i="194"/>
  <c r="F131" i="194"/>
  <c r="J131" i="193"/>
  <c r="K131" i="193"/>
  <c r="J120" i="193"/>
  <c r="F120" i="194"/>
  <c r="K120" i="193"/>
  <c r="J83" i="193"/>
  <c r="F83" i="194"/>
  <c r="K83" i="193"/>
  <c r="J67" i="193"/>
  <c r="K67" i="193"/>
  <c r="F67" i="194"/>
  <c r="J97" i="193"/>
  <c r="K97" i="193"/>
  <c r="F97" i="194"/>
  <c r="K147" i="193"/>
  <c r="J147" i="193"/>
  <c r="F147" i="194"/>
  <c r="J137" i="193"/>
  <c r="K137" i="193"/>
  <c r="F137" i="194"/>
  <c r="K138" i="193"/>
  <c r="F138" i="194"/>
  <c r="J138" i="193"/>
  <c r="K113" i="193"/>
  <c r="F113" i="194"/>
  <c r="J113" i="193"/>
  <c r="K100" i="193"/>
  <c r="J100" i="193"/>
  <c r="F100" i="194"/>
  <c r="F112" i="194"/>
  <c r="J112" i="193"/>
  <c r="K112" i="193"/>
  <c r="J99" i="193"/>
  <c r="K99" i="193"/>
  <c r="F99" i="194"/>
  <c r="K134" i="193"/>
  <c r="J134" i="193"/>
  <c r="F134" i="194"/>
  <c r="F111" i="194"/>
  <c r="J111" i="193"/>
  <c r="K111" i="193"/>
  <c r="J85" i="193"/>
  <c r="K85" i="193"/>
  <c r="F85" i="194"/>
  <c r="J119" i="193"/>
  <c r="K119" i="193"/>
  <c r="F119" i="194"/>
  <c r="J143" i="193"/>
  <c r="K143" i="193"/>
  <c r="F143" i="194"/>
  <c r="F91" i="194"/>
  <c r="K91" i="193"/>
  <c r="J91" i="193"/>
  <c r="J110" i="193"/>
  <c r="K110" i="193"/>
  <c r="F110" i="194"/>
  <c r="J78" i="193"/>
  <c r="K78" i="193"/>
  <c r="F78" i="194"/>
  <c r="K141" i="193"/>
  <c r="J141" i="193"/>
  <c r="F141" i="194"/>
  <c r="F145" i="194"/>
  <c r="J145" i="193"/>
  <c r="K145" i="193"/>
  <c r="K107" i="193"/>
  <c r="J107" i="193"/>
  <c r="F107" i="194"/>
  <c r="J82" i="193"/>
  <c r="K82" i="193"/>
  <c r="F82" i="194"/>
  <c r="J148" i="193"/>
  <c r="K148" i="193"/>
  <c r="F148" i="194"/>
  <c r="F140" i="194"/>
  <c r="K140" i="193"/>
  <c r="J140" i="193"/>
  <c r="J94" i="193"/>
  <c r="K94" i="193"/>
  <c r="F94" i="194"/>
  <c r="F149" i="192"/>
  <c r="K95" i="193"/>
  <c r="J95" i="193"/>
  <c r="F95" i="194"/>
  <c r="K126" i="193"/>
  <c r="F126" i="194"/>
  <c r="J126" i="193"/>
  <c r="J73" i="193"/>
  <c r="K73" i="193"/>
  <c r="F73" i="194"/>
  <c r="K109" i="193"/>
  <c r="J109" i="193"/>
  <c r="F109" i="194"/>
  <c r="J108" i="193"/>
  <c r="F108" i="194"/>
  <c r="K108" i="193"/>
  <c r="K128" i="193"/>
  <c r="J128" i="193"/>
  <c r="F128" i="194"/>
  <c r="J93" i="193"/>
  <c r="F93" i="194"/>
  <c r="K93" i="193"/>
  <c r="J81" i="193"/>
  <c r="F81" i="194"/>
  <c r="K81" i="193"/>
  <c r="K60" i="193"/>
  <c r="J60" i="193"/>
  <c r="F60" i="194"/>
  <c r="F89" i="194"/>
  <c r="J89" i="193"/>
  <c r="K89" i="193"/>
  <c r="J135" i="193"/>
  <c r="K135" i="193"/>
  <c r="F135" i="194"/>
  <c r="K121" i="193"/>
  <c r="F121" i="194"/>
  <c r="J121" i="193"/>
  <c r="F142" i="194"/>
  <c r="K142" i="193"/>
  <c r="J142" i="193"/>
  <c r="F70" i="194"/>
  <c r="J70" i="193"/>
  <c r="K70" i="193"/>
  <c r="K129" i="193"/>
  <c r="J129" i="193"/>
  <c r="F129" i="194"/>
  <c r="K65" i="193"/>
  <c r="F65" i="194"/>
  <c r="J65" i="193"/>
  <c r="K136" i="193"/>
  <c r="J136" i="193"/>
  <c r="F136" i="194"/>
  <c r="K64" i="193"/>
  <c r="F64" i="194"/>
  <c r="J64" i="193"/>
  <c r="K61" i="193"/>
  <c r="F61" i="194"/>
  <c r="J61" i="193"/>
  <c r="BY99" i="118"/>
  <c r="BY10" i="118"/>
  <c r="G74" i="115" s="1"/>
  <c r="J116" i="194" l="1"/>
  <c r="K116" i="194"/>
  <c r="F116" i="195"/>
  <c r="F63" i="196"/>
  <c r="K63" i="195"/>
  <c r="J149" i="192"/>
  <c r="K149" i="192"/>
  <c r="J70" i="194"/>
  <c r="F70" i="195"/>
  <c r="K70" i="194"/>
  <c r="K113" i="194"/>
  <c r="F113" i="195"/>
  <c r="J113" i="194"/>
  <c r="K90" i="194"/>
  <c r="J90" i="194"/>
  <c r="F90" i="195"/>
  <c r="K118" i="194"/>
  <c r="J118" i="194"/>
  <c r="F118" i="195"/>
  <c r="J124" i="194"/>
  <c r="K124" i="194"/>
  <c r="F124" i="195"/>
  <c r="F87" i="195"/>
  <c r="J87" i="194"/>
  <c r="K87" i="194"/>
  <c r="F98" i="195"/>
  <c r="K98" i="194"/>
  <c r="J98" i="194"/>
  <c r="K147" i="194"/>
  <c r="J147" i="194"/>
  <c r="F147" i="195"/>
  <c r="K81" i="194"/>
  <c r="F81" i="195"/>
  <c r="J81" i="194"/>
  <c r="F110" i="195"/>
  <c r="K110" i="194"/>
  <c r="J110" i="194"/>
  <c r="K125" i="194"/>
  <c r="J125" i="194"/>
  <c r="F125" i="195"/>
  <c r="F74" i="195"/>
  <c r="K74" i="194"/>
  <c r="J74" i="194"/>
  <c r="K88" i="194"/>
  <c r="F88" i="195"/>
  <c r="J88" i="194"/>
  <c r="K69" i="194"/>
  <c r="F69" i="195"/>
  <c r="J69" i="194"/>
  <c r="J111" i="194"/>
  <c r="K111" i="194"/>
  <c r="F111" i="195"/>
  <c r="K77" i="194"/>
  <c r="J77" i="194"/>
  <c r="F77" i="195"/>
  <c r="F142" i="195"/>
  <c r="K142" i="194"/>
  <c r="J142" i="194"/>
  <c r="J126" i="194"/>
  <c r="K126" i="194"/>
  <c r="F126" i="195"/>
  <c r="F134" i="195"/>
  <c r="J134" i="194"/>
  <c r="K134" i="194"/>
  <c r="J138" i="194"/>
  <c r="K138" i="194"/>
  <c r="F138" i="195"/>
  <c r="K117" i="194"/>
  <c r="J117" i="194"/>
  <c r="F117" i="195"/>
  <c r="J132" i="194"/>
  <c r="K132" i="194"/>
  <c r="F132" i="195"/>
  <c r="K75" i="194"/>
  <c r="F75" i="195"/>
  <c r="J75" i="194"/>
  <c r="K82" i="194"/>
  <c r="J82" i="194"/>
  <c r="F82" i="195"/>
  <c r="J83" i="194"/>
  <c r="K83" i="194"/>
  <c r="F83" i="195"/>
  <c r="J86" i="194"/>
  <c r="K86" i="194"/>
  <c r="F86" i="195"/>
  <c r="F93" i="195"/>
  <c r="J93" i="194"/>
  <c r="K93" i="194"/>
  <c r="F146" i="195"/>
  <c r="K146" i="194"/>
  <c r="J146" i="194"/>
  <c r="K62" i="194"/>
  <c r="J62" i="194"/>
  <c r="F62" i="195"/>
  <c r="J136" i="194"/>
  <c r="F136" i="195"/>
  <c r="K136" i="194"/>
  <c r="J121" i="194"/>
  <c r="K121" i="194"/>
  <c r="F121" i="195"/>
  <c r="K95" i="194"/>
  <c r="F95" i="195"/>
  <c r="J95" i="194"/>
  <c r="K107" i="194"/>
  <c r="J107" i="194"/>
  <c r="F107" i="195"/>
  <c r="J137" i="194"/>
  <c r="K137" i="194"/>
  <c r="F137" i="195"/>
  <c r="J120" i="194"/>
  <c r="K120" i="194"/>
  <c r="F120" i="195"/>
  <c r="K76" i="194"/>
  <c r="J76" i="194"/>
  <c r="F76" i="195"/>
  <c r="F123" i="195"/>
  <c r="J123" i="194"/>
  <c r="K123" i="194"/>
  <c r="J127" i="194"/>
  <c r="K127" i="194"/>
  <c r="F127" i="195"/>
  <c r="J128" i="194"/>
  <c r="K128" i="194"/>
  <c r="F128" i="195"/>
  <c r="J91" i="194"/>
  <c r="K91" i="194"/>
  <c r="F91" i="195"/>
  <c r="F99" i="195"/>
  <c r="J99" i="194"/>
  <c r="K99" i="194"/>
  <c r="F72" i="195"/>
  <c r="K72" i="194"/>
  <c r="J72" i="194"/>
  <c r="F115" i="195"/>
  <c r="J115" i="194"/>
  <c r="K115" i="194"/>
  <c r="J135" i="194"/>
  <c r="K135" i="194"/>
  <c r="F135" i="195"/>
  <c r="J143" i="194"/>
  <c r="K143" i="194"/>
  <c r="F143" i="195"/>
  <c r="J92" i="194"/>
  <c r="K92" i="194"/>
  <c r="F92" i="195"/>
  <c r="J144" i="194"/>
  <c r="K144" i="194"/>
  <c r="F144" i="195"/>
  <c r="J122" i="194"/>
  <c r="K122" i="194"/>
  <c r="F122" i="195"/>
  <c r="F58" i="195"/>
  <c r="J58" i="194"/>
  <c r="K58" i="194"/>
  <c r="K66" i="194"/>
  <c r="J66" i="194"/>
  <c r="F66" i="195"/>
  <c r="J94" i="194"/>
  <c r="K94" i="194"/>
  <c r="F94" i="195"/>
  <c r="K108" i="194"/>
  <c r="F108" i="195"/>
  <c r="J108" i="194"/>
  <c r="J145" i="194"/>
  <c r="K145" i="194"/>
  <c r="F145" i="195"/>
  <c r="J71" i="194"/>
  <c r="K71" i="194"/>
  <c r="F71" i="195"/>
  <c r="J119" i="194"/>
  <c r="K119" i="194"/>
  <c r="F119" i="195"/>
  <c r="K80" i="194"/>
  <c r="F80" i="195"/>
  <c r="J80" i="194"/>
  <c r="J139" i="194"/>
  <c r="K139" i="194"/>
  <c r="F139" i="195"/>
  <c r="K129" i="194"/>
  <c r="J129" i="194"/>
  <c r="F129" i="195"/>
  <c r="F141" i="195"/>
  <c r="J141" i="194"/>
  <c r="K141" i="194"/>
  <c r="K112" i="194"/>
  <c r="F112" i="195"/>
  <c r="J112" i="194"/>
  <c r="K97" i="194"/>
  <c r="J97" i="194"/>
  <c r="F97" i="195"/>
  <c r="K89" i="194"/>
  <c r="J89" i="194"/>
  <c r="F89" i="195"/>
  <c r="K109" i="194"/>
  <c r="F109" i="195"/>
  <c r="J109" i="194"/>
  <c r="J100" i="194"/>
  <c r="K100" i="194"/>
  <c r="F100" i="195"/>
  <c r="J106" i="194"/>
  <c r="F106" i="195"/>
  <c r="K106" i="194"/>
  <c r="K68" i="194"/>
  <c r="J68" i="194"/>
  <c r="F68" i="195"/>
  <c r="J59" i="193"/>
  <c r="K59" i="193"/>
  <c r="F59" i="194"/>
  <c r="J114" i="194"/>
  <c r="K114" i="194"/>
  <c r="F114" i="195"/>
  <c r="J96" i="194"/>
  <c r="K96" i="194"/>
  <c r="F96" i="195"/>
  <c r="J60" i="194"/>
  <c r="F60" i="195"/>
  <c r="K60" i="194"/>
  <c r="J85" i="194"/>
  <c r="K85" i="194"/>
  <c r="F85" i="195"/>
  <c r="J79" i="194"/>
  <c r="F79" i="195"/>
  <c r="K79" i="194"/>
  <c r="F57" i="194"/>
  <c r="K57" i="193"/>
  <c r="J57" i="193"/>
  <c r="J133" i="194"/>
  <c r="K133" i="194"/>
  <c r="F133" i="195"/>
  <c r="F149" i="193"/>
  <c r="J140" i="194"/>
  <c r="K140" i="194"/>
  <c r="F140" i="195"/>
  <c r="F78" i="195"/>
  <c r="J78" i="194"/>
  <c r="K78" i="194"/>
  <c r="J67" i="194"/>
  <c r="F67" i="195"/>
  <c r="K67" i="194"/>
  <c r="F84" i="195"/>
  <c r="J84" i="194"/>
  <c r="K84" i="194"/>
  <c r="F130" i="195"/>
  <c r="J130" i="194"/>
  <c r="K130" i="194"/>
  <c r="J65" i="194"/>
  <c r="K65" i="194"/>
  <c r="F65" i="195"/>
  <c r="K131" i="194"/>
  <c r="F131" i="195"/>
  <c r="J131" i="194"/>
  <c r="K73" i="194"/>
  <c r="J73" i="194"/>
  <c r="F73" i="195"/>
  <c r="K148" i="194"/>
  <c r="J148" i="194"/>
  <c r="F148" i="195"/>
  <c r="F64" i="195"/>
  <c r="J64" i="194"/>
  <c r="K64" i="194"/>
  <c r="F61" i="195"/>
  <c r="K61" i="194"/>
  <c r="J61" i="194"/>
  <c r="BX99" i="118"/>
  <c r="BX10" i="118"/>
  <c r="G73" i="115" s="1"/>
  <c r="K116" i="195" l="1"/>
  <c r="F116" i="196"/>
  <c r="J116" i="195"/>
  <c r="F63" i="197"/>
  <c r="F63" i="198" s="1"/>
  <c r="J63" i="196"/>
  <c r="K63" i="196"/>
  <c r="J149" i="193"/>
  <c r="F149" i="194"/>
  <c r="K149" i="193"/>
  <c r="F96" i="196"/>
  <c r="J96" i="195"/>
  <c r="K96" i="195"/>
  <c r="J141" i="195"/>
  <c r="K141" i="195"/>
  <c r="F141" i="196"/>
  <c r="J145" i="195"/>
  <c r="K145" i="195"/>
  <c r="F145" i="196"/>
  <c r="F115" i="196"/>
  <c r="K115" i="195"/>
  <c r="J115" i="195"/>
  <c r="K95" i="195"/>
  <c r="J95" i="195"/>
  <c r="F95" i="196"/>
  <c r="F93" i="196"/>
  <c r="J93" i="195"/>
  <c r="K93" i="195"/>
  <c r="K117" i="195"/>
  <c r="J117" i="195"/>
  <c r="F117" i="196"/>
  <c r="K87" i="195"/>
  <c r="J87" i="195"/>
  <c r="F87" i="196"/>
  <c r="J133" i="195"/>
  <c r="K133" i="195"/>
  <c r="F133" i="196"/>
  <c r="K129" i="195"/>
  <c r="J129" i="195"/>
  <c r="F129" i="196"/>
  <c r="F86" i="196"/>
  <c r="K86" i="195"/>
  <c r="J86" i="195"/>
  <c r="K124" i="195"/>
  <c r="J124" i="195"/>
  <c r="F124" i="196"/>
  <c r="J144" i="195"/>
  <c r="K144" i="195"/>
  <c r="F144" i="196"/>
  <c r="F123" i="196"/>
  <c r="J123" i="195"/>
  <c r="K123" i="195"/>
  <c r="K121" i="195"/>
  <c r="J121" i="195"/>
  <c r="F121" i="196"/>
  <c r="K111" i="195"/>
  <c r="J111" i="195"/>
  <c r="F111" i="196"/>
  <c r="J130" i="195"/>
  <c r="F130" i="196"/>
  <c r="K130" i="195"/>
  <c r="J114" i="195"/>
  <c r="F114" i="196"/>
  <c r="K114" i="195"/>
  <c r="K109" i="195"/>
  <c r="J109" i="195"/>
  <c r="F109" i="196"/>
  <c r="K72" i="195"/>
  <c r="J72" i="195"/>
  <c r="F72" i="196"/>
  <c r="J76" i="195"/>
  <c r="K76" i="195"/>
  <c r="F76" i="196"/>
  <c r="K138" i="195"/>
  <c r="F138" i="196"/>
  <c r="J138" i="195"/>
  <c r="K110" i="195"/>
  <c r="J110" i="195"/>
  <c r="F110" i="196"/>
  <c r="K139" i="195"/>
  <c r="J139" i="195"/>
  <c r="F139" i="196"/>
  <c r="K108" i="195"/>
  <c r="J108" i="195"/>
  <c r="F108" i="196"/>
  <c r="K83" i="195"/>
  <c r="F83" i="196"/>
  <c r="J83" i="195"/>
  <c r="J118" i="195"/>
  <c r="K118" i="195"/>
  <c r="F118" i="196"/>
  <c r="J148" i="195"/>
  <c r="F148" i="196"/>
  <c r="K148" i="195"/>
  <c r="F89" i="196"/>
  <c r="K89" i="195"/>
  <c r="J89" i="195"/>
  <c r="J92" i="195"/>
  <c r="F92" i="196"/>
  <c r="K92" i="195"/>
  <c r="F81" i="196"/>
  <c r="J81" i="195"/>
  <c r="K81" i="195"/>
  <c r="J84" i="195"/>
  <c r="K84" i="195"/>
  <c r="F84" i="196"/>
  <c r="J57" i="194"/>
  <c r="K57" i="194"/>
  <c r="F57" i="195"/>
  <c r="J59" i="194"/>
  <c r="F59" i="195"/>
  <c r="K59" i="194"/>
  <c r="K94" i="195"/>
  <c r="J94" i="195"/>
  <c r="F94" i="196"/>
  <c r="K99" i="195"/>
  <c r="J99" i="195"/>
  <c r="F99" i="196"/>
  <c r="F120" i="196"/>
  <c r="K120" i="195"/>
  <c r="J120" i="195"/>
  <c r="F136" i="196"/>
  <c r="J136" i="195"/>
  <c r="K136" i="195"/>
  <c r="F69" i="196"/>
  <c r="K69" i="195"/>
  <c r="J69" i="195"/>
  <c r="J91" i="195"/>
  <c r="K91" i="195"/>
  <c r="F91" i="196"/>
  <c r="K82" i="195"/>
  <c r="J82" i="195"/>
  <c r="F82" i="196"/>
  <c r="K90" i="195"/>
  <c r="J90" i="195"/>
  <c r="F90" i="196"/>
  <c r="J62" i="195"/>
  <c r="K62" i="195"/>
  <c r="F62" i="196"/>
  <c r="K134" i="195"/>
  <c r="J134" i="195"/>
  <c r="F134" i="196"/>
  <c r="K147" i="195"/>
  <c r="J147" i="195"/>
  <c r="F147" i="196"/>
  <c r="J66" i="195"/>
  <c r="K66" i="195"/>
  <c r="F66" i="196"/>
  <c r="F137" i="196"/>
  <c r="J137" i="195"/>
  <c r="K137" i="195"/>
  <c r="F126" i="196"/>
  <c r="J126" i="195"/>
  <c r="K126" i="195"/>
  <c r="J88" i="195"/>
  <c r="K88" i="195"/>
  <c r="F88" i="196"/>
  <c r="J85" i="195"/>
  <c r="K85" i="195"/>
  <c r="F85" i="196"/>
  <c r="K119" i="195"/>
  <c r="J119" i="195"/>
  <c r="F119" i="196"/>
  <c r="F128" i="196"/>
  <c r="K128" i="195"/>
  <c r="J128" i="195"/>
  <c r="J135" i="195"/>
  <c r="K135" i="195"/>
  <c r="F135" i="196"/>
  <c r="J75" i="195"/>
  <c r="K75" i="195"/>
  <c r="F75" i="196"/>
  <c r="K113" i="195"/>
  <c r="J113" i="195"/>
  <c r="F113" i="196"/>
  <c r="J131" i="195"/>
  <c r="K131" i="195"/>
  <c r="F131" i="196"/>
  <c r="J78" i="195"/>
  <c r="K78" i="195"/>
  <c r="F78" i="196"/>
  <c r="J112" i="195"/>
  <c r="K112" i="195"/>
  <c r="F112" i="196"/>
  <c r="F107" i="196"/>
  <c r="J107" i="195"/>
  <c r="K107" i="195"/>
  <c r="K73" i="195"/>
  <c r="F73" i="196"/>
  <c r="J73" i="195"/>
  <c r="J79" i="195"/>
  <c r="K79" i="195"/>
  <c r="F79" i="196"/>
  <c r="J80" i="195"/>
  <c r="K80" i="195"/>
  <c r="F80" i="196"/>
  <c r="J68" i="195"/>
  <c r="F68" i="196"/>
  <c r="K68" i="195"/>
  <c r="J71" i="195"/>
  <c r="K71" i="195"/>
  <c r="F71" i="196"/>
  <c r="J127" i="195"/>
  <c r="K127" i="195"/>
  <c r="F127" i="196"/>
  <c r="K146" i="195"/>
  <c r="J146" i="195"/>
  <c r="F146" i="196"/>
  <c r="J132" i="195"/>
  <c r="K132" i="195"/>
  <c r="F132" i="196"/>
  <c r="J74" i="195"/>
  <c r="K74" i="195"/>
  <c r="F74" i="196"/>
  <c r="K98" i="195"/>
  <c r="J98" i="195"/>
  <c r="F98" i="196"/>
  <c r="K67" i="195"/>
  <c r="J67" i="195"/>
  <c r="F67" i="196"/>
  <c r="K97" i="195"/>
  <c r="J97" i="195"/>
  <c r="F97" i="196"/>
  <c r="K143" i="195"/>
  <c r="J143" i="195"/>
  <c r="F143" i="196"/>
  <c r="K140" i="195"/>
  <c r="J140" i="195"/>
  <c r="F140" i="196"/>
  <c r="K106" i="195"/>
  <c r="J106" i="195"/>
  <c r="F106" i="196"/>
  <c r="J65" i="195"/>
  <c r="K65" i="195"/>
  <c r="F65" i="196"/>
  <c r="K60" i="195"/>
  <c r="J60" i="195"/>
  <c r="F60" i="196"/>
  <c r="K58" i="195"/>
  <c r="J58" i="195"/>
  <c r="F58" i="196"/>
  <c r="F142" i="196"/>
  <c r="J142" i="195"/>
  <c r="K142" i="195"/>
  <c r="K125" i="195"/>
  <c r="J125" i="195"/>
  <c r="F125" i="196"/>
  <c r="J70" i="195"/>
  <c r="K70" i="195"/>
  <c r="F70" i="196"/>
  <c r="J100" i="195"/>
  <c r="F100" i="196"/>
  <c r="K100" i="195"/>
  <c r="K122" i="195"/>
  <c r="J122" i="195"/>
  <c r="F122" i="196"/>
  <c r="J77" i="195"/>
  <c r="K77" i="195"/>
  <c r="F77" i="196"/>
  <c r="J64" i="195"/>
  <c r="F64" i="196"/>
  <c r="K64" i="195"/>
  <c r="K61" i="195"/>
  <c r="F61" i="196"/>
  <c r="J61" i="195"/>
  <c r="BW99" i="118"/>
  <c r="BW10" i="118"/>
  <c r="G72" i="115" s="1"/>
  <c r="J116" i="196" l="1"/>
  <c r="K116" i="196"/>
  <c r="F116" i="197"/>
  <c r="J63" i="197"/>
  <c r="K63" i="197"/>
  <c r="J149" i="194"/>
  <c r="K149" i="194"/>
  <c r="F149" i="195"/>
  <c r="J98" i="196"/>
  <c r="F98" i="197"/>
  <c r="K98" i="196"/>
  <c r="F107" i="197"/>
  <c r="K107" i="196"/>
  <c r="J107" i="196"/>
  <c r="K136" i="196"/>
  <c r="J136" i="196"/>
  <c r="F136" i="197"/>
  <c r="K84" i="196"/>
  <c r="J84" i="196"/>
  <c r="F84" i="197"/>
  <c r="F111" i="197"/>
  <c r="K111" i="196"/>
  <c r="J111" i="196"/>
  <c r="J93" i="196"/>
  <c r="K93" i="196"/>
  <c r="F93" i="197"/>
  <c r="J70" i="196"/>
  <c r="K70" i="196"/>
  <c r="F70" i="197"/>
  <c r="K112" i="196"/>
  <c r="J112" i="196"/>
  <c r="F112" i="197"/>
  <c r="J135" i="196"/>
  <c r="F135" i="197"/>
  <c r="K135" i="196"/>
  <c r="J76" i="196"/>
  <c r="K76" i="196"/>
  <c r="F76" i="197"/>
  <c r="F86" i="197"/>
  <c r="J86" i="196"/>
  <c r="K86" i="196"/>
  <c r="K95" i="196"/>
  <c r="J95" i="196"/>
  <c r="F95" i="197"/>
  <c r="K77" i="196"/>
  <c r="J77" i="196"/>
  <c r="F77" i="197"/>
  <c r="J106" i="196"/>
  <c r="F106" i="197"/>
  <c r="K106" i="196"/>
  <c r="J125" i="196"/>
  <c r="K125" i="196"/>
  <c r="F125" i="197"/>
  <c r="J126" i="196"/>
  <c r="F126" i="197"/>
  <c r="K126" i="196"/>
  <c r="K90" i="196"/>
  <c r="J90" i="196"/>
  <c r="F90" i="197"/>
  <c r="K129" i="196"/>
  <c r="F129" i="197"/>
  <c r="J129" i="196"/>
  <c r="K74" i="196"/>
  <c r="F74" i="197"/>
  <c r="J74" i="196"/>
  <c r="J68" i="196"/>
  <c r="K68" i="196"/>
  <c r="F68" i="197"/>
  <c r="K120" i="196"/>
  <c r="J120" i="196"/>
  <c r="F120" i="197"/>
  <c r="J83" i="196"/>
  <c r="K83" i="196"/>
  <c r="F83" i="197"/>
  <c r="J121" i="196"/>
  <c r="K121" i="196"/>
  <c r="F121" i="197"/>
  <c r="J78" i="196"/>
  <c r="F78" i="197"/>
  <c r="K78" i="196"/>
  <c r="K99" i="196"/>
  <c r="J99" i="196"/>
  <c r="F99" i="197"/>
  <c r="K72" i="196"/>
  <c r="J72" i="196"/>
  <c r="F72" i="197"/>
  <c r="F80" i="197"/>
  <c r="K80" i="196"/>
  <c r="J80" i="196"/>
  <c r="J137" i="196"/>
  <c r="K137" i="196"/>
  <c r="F137" i="197"/>
  <c r="K82" i="196"/>
  <c r="J82" i="196"/>
  <c r="F82" i="197"/>
  <c r="K81" i="196"/>
  <c r="F81" i="197"/>
  <c r="J81" i="196"/>
  <c r="K108" i="196"/>
  <c r="J108" i="196"/>
  <c r="F108" i="197"/>
  <c r="J133" i="196"/>
  <c r="K133" i="196"/>
  <c r="F133" i="197"/>
  <c r="F128" i="197"/>
  <c r="K128" i="196"/>
  <c r="J128" i="196"/>
  <c r="F115" i="197"/>
  <c r="J115" i="196"/>
  <c r="K115" i="196"/>
  <c r="K142" i="196"/>
  <c r="J142" i="196"/>
  <c r="F142" i="197"/>
  <c r="J143" i="196"/>
  <c r="K143" i="196"/>
  <c r="F143" i="197"/>
  <c r="J131" i="196"/>
  <c r="K131" i="196"/>
  <c r="F131" i="197"/>
  <c r="J119" i="196"/>
  <c r="K119" i="196"/>
  <c r="F119" i="197"/>
  <c r="J94" i="196"/>
  <c r="K94" i="196"/>
  <c r="F94" i="197"/>
  <c r="J92" i="196"/>
  <c r="F92" i="197"/>
  <c r="K92" i="196"/>
  <c r="K109" i="196"/>
  <c r="J109" i="196"/>
  <c r="F109" i="197"/>
  <c r="K145" i="196"/>
  <c r="J145" i="196"/>
  <c r="F145" i="197"/>
  <c r="J58" i="196"/>
  <c r="K58" i="196"/>
  <c r="F58" i="197"/>
  <c r="F79" i="197"/>
  <c r="K79" i="196"/>
  <c r="J79" i="196"/>
  <c r="K91" i="196"/>
  <c r="J91" i="196"/>
  <c r="F91" i="197"/>
  <c r="F139" i="197"/>
  <c r="K139" i="196"/>
  <c r="J139" i="196"/>
  <c r="J123" i="196"/>
  <c r="F123" i="197"/>
  <c r="K123" i="196"/>
  <c r="J87" i="196"/>
  <c r="K87" i="196"/>
  <c r="F87" i="197"/>
  <c r="K144" i="196"/>
  <c r="F144" i="197"/>
  <c r="J144" i="196"/>
  <c r="J85" i="196"/>
  <c r="K85" i="196"/>
  <c r="F85" i="197"/>
  <c r="J141" i="196"/>
  <c r="K141" i="196"/>
  <c r="F141" i="197"/>
  <c r="F122" i="197"/>
  <c r="K122" i="196"/>
  <c r="J122" i="196"/>
  <c r="K146" i="196"/>
  <c r="J146" i="196"/>
  <c r="F146" i="197"/>
  <c r="K60" i="196"/>
  <c r="F60" i="197"/>
  <c r="J60" i="196"/>
  <c r="F113" i="197"/>
  <c r="J113" i="196"/>
  <c r="K113" i="196"/>
  <c r="J59" i="195"/>
  <c r="F59" i="196"/>
  <c r="K59" i="195"/>
  <c r="K89" i="196"/>
  <c r="J89" i="196"/>
  <c r="F89" i="197"/>
  <c r="J110" i="196"/>
  <c r="F110" i="197"/>
  <c r="K110" i="196"/>
  <c r="K114" i="196"/>
  <c r="J114" i="196"/>
  <c r="F114" i="197"/>
  <c r="K117" i="196"/>
  <c r="J117" i="196"/>
  <c r="F117" i="197"/>
  <c r="J132" i="196"/>
  <c r="K132" i="196"/>
  <c r="F132" i="197"/>
  <c r="J147" i="196"/>
  <c r="K147" i="196"/>
  <c r="F147" i="197"/>
  <c r="F97" i="197"/>
  <c r="K97" i="196"/>
  <c r="J97" i="196"/>
  <c r="K127" i="196"/>
  <c r="J127" i="196"/>
  <c r="F127" i="197"/>
  <c r="J73" i="196"/>
  <c r="K73" i="196"/>
  <c r="F73" i="197"/>
  <c r="K134" i="196"/>
  <c r="J134" i="196"/>
  <c r="F134" i="197"/>
  <c r="F124" i="197"/>
  <c r="K124" i="196"/>
  <c r="J124" i="196"/>
  <c r="J100" i="196"/>
  <c r="K100" i="196"/>
  <c r="F100" i="197"/>
  <c r="J67" i="196"/>
  <c r="F67" i="197"/>
  <c r="K67" i="196"/>
  <c r="J88" i="196"/>
  <c r="K88" i="196"/>
  <c r="F88" i="197"/>
  <c r="K69" i="196"/>
  <c r="F69" i="197"/>
  <c r="J69" i="196"/>
  <c r="K57" i="195"/>
  <c r="J57" i="195"/>
  <c r="F57" i="196"/>
  <c r="K148" i="196"/>
  <c r="J148" i="196"/>
  <c r="F148" i="197"/>
  <c r="J65" i="196"/>
  <c r="K65" i="196"/>
  <c r="F65" i="197"/>
  <c r="J75" i="196"/>
  <c r="F75" i="197"/>
  <c r="K75" i="196"/>
  <c r="K130" i="196"/>
  <c r="J130" i="196"/>
  <c r="F130" i="197"/>
  <c r="K140" i="196"/>
  <c r="J140" i="196"/>
  <c r="F140" i="197"/>
  <c r="J66" i="196"/>
  <c r="K66" i="196"/>
  <c r="F66" i="197"/>
  <c r="J71" i="196"/>
  <c r="F71" i="197"/>
  <c r="K71" i="196"/>
  <c r="K62" i="196"/>
  <c r="J62" i="196"/>
  <c r="F62" i="197"/>
  <c r="K118" i="196"/>
  <c r="F118" i="197"/>
  <c r="J118" i="196"/>
  <c r="F138" i="197"/>
  <c r="J138" i="196"/>
  <c r="K138" i="196"/>
  <c r="J96" i="196"/>
  <c r="K96" i="196"/>
  <c r="F96" i="197"/>
  <c r="K64" i="196"/>
  <c r="F64" i="197"/>
  <c r="J64" i="196"/>
  <c r="K61" i="196"/>
  <c r="F61" i="197"/>
  <c r="J61" i="196"/>
  <c r="J63" i="198"/>
  <c r="K63" i="198"/>
  <c r="F63" i="199"/>
  <c r="BV99" i="118"/>
  <c r="BV10" i="118"/>
  <c r="G71" i="115" s="1"/>
  <c r="J116" i="197" l="1"/>
  <c r="K116" i="197"/>
  <c r="F116" i="198"/>
  <c r="J149" i="195"/>
  <c r="K149" i="195"/>
  <c r="K146" i="197"/>
  <c r="J146" i="197"/>
  <c r="F146" i="198"/>
  <c r="F131" i="198"/>
  <c r="J131" i="197"/>
  <c r="K131" i="197"/>
  <c r="J120" i="197"/>
  <c r="F120" i="198"/>
  <c r="K120" i="197"/>
  <c r="J65" i="197"/>
  <c r="K65" i="197"/>
  <c r="F65" i="198"/>
  <c r="J67" i="197"/>
  <c r="F67" i="198"/>
  <c r="K67" i="197"/>
  <c r="J145" i="197"/>
  <c r="K145" i="197"/>
  <c r="F145" i="198"/>
  <c r="F72" i="198"/>
  <c r="J72" i="197"/>
  <c r="K72" i="197"/>
  <c r="K86" i="197"/>
  <c r="J86" i="197"/>
  <c r="F86" i="198"/>
  <c r="K80" i="197"/>
  <c r="J80" i="197"/>
  <c r="F80" i="198"/>
  <c r="K126" i="197"/>
  <c r="J126" i="197"/>
  <c r="F126" i="198"/>
  <c r="F110" i="198"/>
  <c r="J110" i="197"/>
  <c r="K110" i="197"/>
  <c r="F108" i="198"/>
  <c r="J108" i="197"/>
  <c r="K108" i="197"/>
  <c r="J125" i="197"/>
  <c r="F125" i="198"/>
  <c r="K125" i="197"/>
  <c r="F76" i="198"/>
  <c r="J76" i="197"/>
  <c r="K76" i="197"/>
  <c r="J71" i="197"/>
  <c r="F71" i="198"/>
  <c r="K71" i="197"/>
  <c r="K100" i="197"/>
  <c r="F100" i="198"/>
  <c r="J100" i="197"/>
  <c r="K123" i="197"/>
  <c r="J123" i="197"/>
  <c r="F123" i="198"/>
  <c r="K143" i="197"/>
  <c r="F143" i="198"/>
  <c r="J143" i="197"/>
  <c r="K68" i="197"/>
  <c r="J68" i="197"/>
  <c r="F68" i="198"/>
  <c r="J111" i="197"/>
  <c r="K111" i="197"/>
  <c r="F111" i="198"/>
  <c r="K109" i="197"/>
  <c r="F109" i="198"/>
  <c r="J109" i="197"/>
  <c r="K99" i="197"/>
  <c r="J99" i="197"/>
  <c r="F99" i="198"/>
  <c r="K84" i="197"/>
  <c r="F84" i="198"/>
  <c r="J84" i="197"/>
  <c r="J122" i="197"/>
  <c r="K122" i="197"/>
  <c r="F122" i="198"/>
  <c r="J66" i="197"/>
  <c r="K66" i="197"/>
  <c r="F66" i="198"/>
  <c r="J147" i="197"/>
  <c r="K147" i="197"/>
  <c r="F147" i="198"/>
  <c r="K96" i="197"/>
  <c r="J96" i="197"/>
  <c r="F96" i="198"/>
  <c r="K141" i="197"/>
  <c r="J141" i="197"/>
  <c r="F141" i="198"/>
  <c r="J142" i="197"/>
  <c r="K142" i="197"/>
  <c r="F142" i="198"/>
  <c r="J81" i="197"/>
  <c r="K81" i="197"/>
  <c r="F81" i="198"/>
  <c r="K135" i="197"/>
  <c r="J135" i="197"/>
  <c r="F135" i="198"/>
  <c r="K148" i="197"/>
  <c r="J148" i="197"/>
  <c r="F148" i="198"/>
  <c r="J139" i="197"/>
  <c r="F139" i="198"/>
  <c r="K139" i="197"/>
  <c r="J74" i="197"/>
  <c r="K74" i="197"/>
  <c r="F74" i="198"/>
  <c r="J106" i="197"/>
  <c r="K106" i="197"/>
  <c r="F106" i="198"/>
  <c r="F136" i="198"/>
  <c r="J136" i="197"/>
  <c r="K136" i="197"/>
  <c r="F134" i="198"/>
  <c r="K134" i="197"/>
  <c r="J134" i="197"/>
  <c r="J85" i="197"/>
  <c r="K85" i="197"/>
  <c r="F85" i="198"/>
  <c r="J77" i="197"/>
  <c r="F77" i="198"/>
  <c r="K77" i="197"/>
  <c r="K57" i="196"/>
  <c r="F57" i="197"/>
  <c r="J57" i="196"/>
  <c r="F140" i="198"/>
  <c r="J140" i="197"/>
  <c r="K140" i="197"/>
  <c r="F59" i="197"/>
  <c r="K59" i="196"/>
  <c r="J59" i="196"/>
  <c r="J91" i="197"/>
  <c r="F91" i="198"/>
  <c r="K91" i="197"/>
  <c r="K78" i="197"/>
  <c r="F78" i="198"/>
  <c r="J78" i="197"/>
  <c r="J94" i="197"/>
  <c r="F94" i="198"/>
  <c r="K94" i="197"/>
  <c r="J121" i="197"/>
  <c r="K121" i="197"/>
  <c r="F121" i="198"/>
  <c r="J129" i="197"/>
  <c r="K129" i="197"/>
  <c r="F129" i="198"/>
  <c r="K124" i="197"/>
  <c r="J124" i="197"/>
  <c r="F124" i="198"/>
  <c r="F132" i="198"/>
  <c r="K132" i="197"/>
  <c r="J132" i="197"/>
  <c r="K92" i="197"/>
  <c r="J92" i="197"/>
  <c r="F92" i="198"/>
  <c r="K138" i="197"/>
  <c r="F138" i="198"/>
  <c r="J138" i="197"/>
  <c r="J130" i="197"/>
  <c r="K130" i="197"/>
  <c r="F130" i="198"/>
  <c r="K69" i="197"/>
  <c r="J69" i="197"/>
  <c r="F69" i="198"/>
  <c r="J117" i="197"/>
  <c r="K117" i="197"/>
  <c r="F117" i="198"/>
  <c r="F115" i="198"/>
  <c r="J115" i="197"/>
  <c r="K115" i="197"/>
  <c r="K137" i="197"/>
  <c r="J137" i="197"/>
  <c r="F137" i="198"/>
  <c r="J70" i="197"/>
  <c r="K70" i="197"/>
  <c r="F70" i="198"/>
  <c r="F89" i="198"/>
  <c r="K89" i="197"/>
  <c r="J89" i="197"/>
  <c r="K82" i="197"/>
  <c r="F82" i="198"/>
  <c r="J82" i="197"/>
  <c r="F112" i="198"/>
  <c r="K112" i="197"/>
  <c r="J112" i="197"/>
  <c r="J73" i="197"/>
  <c r="K73" i="197"/>
  <c r="F73" i="198"/>
  <c r="F113" i="198"/>
  <c r="K113" i="197"/>
  <c r="J113" i="197"/>
  <c r="J90" i="197"/>
  <c r="K90" i="197"/>
  <c r="F90" i="198"/>
  <c r="J95" i="197"/>
  <c r="F95" i="198"/>
  <c r="K95" i="197"/>
  <c r="J107" i="197"/>
  <c r="K107" i="197"/>
  <c r="F107" i="198"/>
  <c r="K88" i="197"/>
  <c r="F88" i="198"/>
  <c r="J88" i="197"/>
  <c r="J144" i="197"/>
  <c r="F144" i="198"/>
  <c r="K144" i="197"/>
  <c r="K79" i="197"/>
  <c r="F79" i="198"/>
  <c r="J79" i="197"/>
  <c r="J119" i="197"/>
  <c r="F119" i="198"/>
  <c r="K119" i="197"/>
  <c r="K83" i="197"/>
  <c r="F83" i="198"/>
  <c r="J83" i="197"/>
  <c r="J97" i="197"/>
  <c r="K97" i="197"/>
  <c r="F97" i="198"/>
  <c r="K118" i="197"/>
  <c r="J118" i="197"/>
  <c r="F118" i="198"/>
  <c r="J114" i="197"/>
  <c r="K114" i="197"/>
  <c r="F114" i="198"/>
  <c r="K60" i="197"/>
  <c r="J60" i="197"/>
  <c r="F60" i="198"/>
  <c r="K58" i="197"/>
  <c r="F58" i="198"/>
  <c r="J58" i="197"/>
  <c r="K128" i="197"/>
  <c r="J128" i="197"/>
  <c r="F128" i="198"/>
  <c r="K93" i="197"/>
  <c r="F93" i="198"/>
  <c r="J93" i="197"/>
  <c r="K98" i="197"/>
  <c r="F98" i="198"/>
  <c r="J98" i="197"/>
  <c r="F149" i="196"/>
  <c r="J62" i="197"/>
  <c r="F62" i="198"/>
  <c r="K62" i="197"/>
  <c r="K75" i="197"/>
  <c r="J75" i="197"/>
  <c r="F75" i="198"/>
  <c r="K127" i="197"/>
  <c r="F127" i="198"/>
  <c r="J127" i="197"/>
  <c r="F87" i="198"/>
  <c r="J87" i="197"/>
  <c r="K87" i="197"/>
  <c r="J133" i="197"/>
  <c r="K133" i="197"/>
  <c r="F133" i="198"/>
  <c r="J64" i="197"/>
  <c r="F64" i="198"/>
  <c r="K64" i="197"/>
  <c r="K61" i="197"/>
  <c r="F61" i="198"/>
  <c r="J61" i="197"/>
  <c r="J63" i="199"/>
  <c r="K63" i="199"/>
  <c r="F63" i="200"/>
  <c r="BU99" i="118"/>
  <c r="BU10" i="118"/>
  <c r="G70" i="115" s="1"/>
  <c r="J116" i="198" l="1"/>
  <c r="K116" i="198"/>
  <c r="F116" i="199"/>
  <c r="J149" i="196"/>
  <c r="K149" i="196"/>
  <c r="F79" i="199"/>
  <c r="J79" i="198"/>
  <c r="K79" i="198"/>
  <c r="F95" i="199"/>
  <c r="J95" i="198"/>
  <c r="K95" i="198"/>
  <c r="F69" i="199"/>
  <c r="K69" i="198"/>
  <c r="J69" i="198"/>
  <c r="J100" i="198"/>
  <c r="K100" i="198"/>
  <c r="F100" i="199"/>
  <c r="K110" i="198"/>
  <c r="J110" i="198"/>
  <c r="F110" i="199"/>
  <c r="J60" i="198"/>
  <c r="K60" i="198"/>
  <c r="F60" i="199"/>
  <c r="F119" i="199"/>
  <c r="J119" i="198"/>
  <c r="K119" i="198"/>
  <c r="J147" i="198"/>
  <c r="K147" i="198"/>
  <c r="F147" i="199"/>
  <c r="J109" i="198"/>
  <c r="F109" i="199"/>
  <c r="K109" i="198"/>
  <c r="J70" i="198"/>
  <c r="F70" i="199"/>
  <c r="K70" i="198"/>
  <c r="F87" i="199"/>
  <c r="K87" i="198"/>
  <c r="J87" i="198"/>
  <c r="K62" i="198"/>
  <c r="J62" i="198"/>
  <c r="F62" i="199"/>
  <c r="F90" i="199"/>
  <c r="K90" i="198"/>
  <c r="J90" i="198"/>
  <c r="K129" i="198"/>
  <c r="J129" i="198"/>
  <c r="F129" i="199"/>
  <c r="J134" i="198"/>
  <c r="K134" i="198"/>
  <c r="F134" i="199"/>
  <c r="K135" i="198"/>
  <c r="F135" i="199"/>
  <c r="J135" i="198"/>
  <c r="J126" i="198"/>
  <c r="K126" i="198"/>
  <c r="F126" i="199"/>
  <c r="J67" i="198"/>
  <c r="K67" i="198"/>
  <c r="F67" i="199"/>
  <c r="J89" i="198"/>
  <c r="K89" i="198"/>
  <c r="F89" i="199"/>
  <c r="K130" i="198"/>
  <c r="J130" i="198"/>
  <c r="F130" i="199"/>
  <c r="F59" i="198"/>
  <c r="J59" i="197"/>
  <c r="K59" i="197"/>
  <c r="K111" i="198"/>
  <c r="J111" i="198"/>
  <c r="F111" i="199"/>
  <c r="K71" i="198"/>
  <c r="J71" i="198"/>
  <c r="F71" i="199"/>
  <c r="K65" i="198"/>
  <c r="J65" i="198"/>
  <c r="F65" i="199"/>
  <c r="K80" i="198"/>
  <c r="F80" i="199"/>
  <c r="J80" i="198"/>
  <c r="J98" i="198"/>
  <c r="K98" i="198"/>
  <c r="F98" i="199"/>
  <c r="F140" i="199"/>
  <c r="J140" i="198"/>
  <c r="K140" i="198"/>
  <c r="F106" i="199"/>
  <c r="K106" i="198"/>
  <c r="J106" i="198"/>
  <c r="J68" i="198"/>
  <c r="K68" i="198"/>
  <c r="F68" i="199"/>
  <c r="J118" i="198"/>
  <c r="K118" i="198"/>
  <c r="F118" i="199"/>
  <c r="J144" i="198"/>
  <c r="F144" i="199"/>
  <c r="K144" i="198"/>
  <c r="F113" i="199"/>
  <c r="J113" i="198"/>
  <c r="K113" i="198"/>
  <c r="F137" i="199"/>
  <c r="J137" i="198"/>
  <c r="K137" i="198"/>
  <c r="F138" i="199"/>
  <c r="K138" i="198"/>
  <c r="J138" i="198"/>
  <c r="K122" i="198"/>
  <c r="J122" i="198"/>
  <c r="F122" i="199"/>
  <c r="J76" i="198"/>
  <c r="K76" i="198"/>
  <c r="F76" i="199"/>
  <c r="J66" i="198"/>
  <c r="K66" i="198"/>
  <c r="F66" i="199"/>
  <c r="J136" i="198"/>
  <c r="K136" i="198"/>
  <c r="F136" i="199"/>
  <c r="J73" i="198"/>
  <c r="K73" i="198"/>
  <c r="F73" i="199"/>
  <c r="J57" i="197"/>
  <c r="F57" i="198"/>
  <c r="K57" i="197"/>
  <c r="J142" i="198"/>
  <c r="K142" i="198"/>
  <c r="F142" i="199"/>
  <c r="K86" i="198"/>
  <c r="J86" i="198"/>
  <c r="F86" i="199"/>
  <c r="J120" i="198"/>
  <c r="F120" i="199"/>
  <c r="K120" i="198"/>
  <c r="J121" i="198"/>
  <c r="F121" i="199"/>
  <c r="K121" i="198"/>
  <c r="J93" i="198"/>
  <c r="K93" i="198"/>
  <c r="F93" i="199"/>
  <c r="K92" i="198"/>
  <c r="J92" i="198"/>
  <c r="F92" i="199"/>
  <c r="J94" i="198"/>
  <c r="F94" i="199"/>
  <c r="K94" i="198"/>
  <c r="J74" i="198"/>
  <c r="K74" i="198"/>
  <c r="F74" i="199"/>
  <c r="J125" i="198"/>
  <c r="K125" i="198"/>
  <c r="F125" i="199"/>
  <c r="F143" i="199"/>
  <c r="J143" i="198"/>
  <c r="K143" i="198"/>
  <c r="J133" i="198"/>
  <c r="K133" i="198"/>
  <c r="F133" i="199"/>
  <c r="J81" i="198"/>
  <c r="K81" i="198"/>
  <c r="F81" i="199"/>
  <c r="J97" i="198"/>
  <c r="K97" i="198"/>
  <c r="F97" i="199"/>
  <c r="K88" i="198"/>
  <c r="J88" i="198"/>
  <c r="F88" i="199"/>
  <c r="F128" i="199"/>
  <c r="K128" i="198"/>
  <c r="J128" i="198"/>
  <c r="J77" i="198"/>
  <c r="K77" i="198"/>
  <c r="F77" i="199"/>
  <c r="K141" i="198"/>
  <c r="J141" i="198"/>
  <c r="F141" i="199"/>
  <c r="F84" i="199"/>
  <c r="J84" i="198"/>
  <c r="K84" i="198"/>
  <c r="J123" i="198"/>
  <c r="K123" i="198"/>
  <c r="F123" i="199"/>
  <c r="K131" i="198"/>
  <c r="J131" i="198"/>
  <c r="F131" i="199"/>
  <c r="K114" i="198"/>
  <c r="J114" i="198"/>
  <c r="F114" i="199"/>
  <c r="J78" i="198"/>
  <c r="F78" i="199"/>
  <c r="K78" i="198"/>
  <c r="J112" i="198"/>
  <c r="F112" i="199"/>
  <c r="K112" i="198"/>
  <c r="K117" i="198"/>
  <c r="F117" i="199"/>
  <c r="J117" i="198"/>
  <c r="K85" i="198"/>
  <c r="J85" i="198"/>
  <c r="F85" i="199"/>
  <c r="F139" i="199"/>
  <c r="K139" i="198"/>
  <c r="J139" i="198"/>
  <c r="F99" i="199"/>
  <c r="J99" i="198"/>
  <c r="K99" i="198"/>
  <c r="J108" i="198"/>
  <c r="K108" i="198"/>
  <c r="F108" i="199"/>
  <c r="J72" i="198"/>
  <c r="K72" i="198"/>
  <c r="F72" i="199"/>
  <c r="J146" i="198"/>
  <c r="K146" i="198"/>
  <c r="F146" i="199"/>
  <c r="F127" i="199"/>
  <c r="K127" i="198"/>
  <c r="J127" i="198"/>
  <c r="J107" i="198"/>
  <c r="K107" i="198"/>
  <c r="F107" i="199"/>
  <c r="J115" i="198"/>
  <c r="K115" i="198"/>
  <c r="F115" i="199"/>
  <c r="F149" i="197"/>
  <c r="J149" i="197" s="1"/>
  <c r="J75" i="198"/>
  <c r="F75" i="199"/>
  <c r="K75" i="198"/>
  <c r="K83" i="198"/>
  <c r="J83" i="198"/>
  <c r="F83" i="199"/>
  <c r="K132" i="198"/>
  <c r="J132" i="198"/>
  <c r="F132" i="199"/>
  <c r="K96" i="198"/>
  <c r="J96" i="198"/>
  <c r="F96" i="199"/>
  <c r="K145" i="198"/>
  <c r="J145" i="198"/>
  <c r="F145" i="199"/>
  <c r="K58" i="198"/>
  <c r="J58" i="198"/>
  <c r="F58" i="199"/>
  <c r="K82" i="198"/>
  <c r="F82" i="199"/>
  <c r="J82" i="198"/>
  <c r="J124" i="198"/>
  <c r="K124" i="198"/>
  <c r="F124" i="199"/>
  <c r="J91" i="198"/>
  <c r="K91" i="198"/>
  <c r="F91" i="199"/>
  <c r="J148" i="198"/>
  <c r="K148" i="198"/>
  <c r="F148" i="199"/>
  <c r="F64" i="199"/>
  <c r="K64" i="198"/>
  <c r="J64" i="198"/>
  <c r="F61" i="199"/>
  <c r="K61" i="198"/>
  <c r="J61" i="198"/>
  <c r="K63" i="200"/>
  <c r="J63" i="200"/>
  <c r="F63" i="201"/>
  <c r="BT10" i="118"/>
  <c r="G69" i="115" s="1"/>
  <c r="BT99" i="118"/>
  <c r="K116" i="199" l="1"/>
  <c r="J116" i="199"/>
  <c r="F116" i="200"/>
  <c r="K149" i="197"/>
  <c r="J72" i="199"/>
  <c r="F72" i="200"/>
  <c r="K72" i="199"/>
  <c r="F117" i="200"/>
  <c r="K117" i="199"/>
  <c r="J117" i="199"/>
  <c r="J97" i="199"/>
  <c r="F97" i="200"/>
  <c r="K97" i="199"/>
  <c r="F66" i="200"/>
  <c r="K66" i="199"/>
  <c r="J66" i="199"/>
  <c r="F140" i="200"/>
  <c r="K140" i="199"/>
  <c r="J140" i="199"/>
  <c r="J135" i="199"/>
  <c r="K135" i="199"/>
  <c r="F135" i="200"/>
  <c r="K87" i="199"/>
  <c r="J87" i="199"/>
  <c r="F87" i="200"/>
  <c r="F110" i="200"/>
  <c r="K110" i="199"/>
  <c r="J110" i="199"/>
  <c r="J75" i="199"/>
  <c r="K75" i="199"/>
  <c r="F75" i="200"/>
  <c r="J86" i="199"/>
  <c r="K86" i="199"/>
  <c r="F86" i="200"/>
  <c r="F113" i="200"/>
  <c r="J113" i="199"/>
  <c r="K113" i="199"/>
  <c r="J98" i="199"/>
  <c r="K98" i="199"/>
  <c r="F98" i="200"/>
  <c r="F59" i="199"/>
  <c r="K59" i="198"/>
  <c r="J59" i="198"/>
  <c r="F134" i="200"/>
  <c r="J134" i="199"/>
  <c r="K134" i="199"/>
  <c r="J70" i="199"/>
  <c r="K70" i="199"/>
  <c r="F70" i="200"/>
  <c r="J108" i="199"/>
  <c r="K108" i="199"/>
  <c r="F108" i="200"/>
  <c r="J112" i="199"/>
  <c r="F112" i="200"/>
  <c r="K112" i="199"/>
  <c r="J84" i="199"/>
  <c r="F84" i="200"/>
  <c r="K84" i="199"/>
  <c r="J81" i="199"/>
  <c r="K81" i="199"/>
  <c r="F81" i="200"/>
  <c r="J94" i="199"/>
  <c r="K94" i="199"/>
  <c r="F94" i="200"/>
  <c r="J76" i="199"/>
  <c r="K76" i="199"/>
  <c r="F76" i="200"/>
  <c r="F144" i="200"/>
  <c r="J144" i="199"/>
  <c r="K144" i="199"/>
  <c r="J130" i="199"/>
  <c r="F130" i="200"/>
  <c r="K130" i="199"/>
  <c r="K58" i="199"/>
  <c r="J58" i="199"/>
  <c r="F58" i="200"/>
  <c r="J145" i="199"/>
  <c r="F145" i="200"/>
  <c r="K145" i="199"/>
  <c r="K115" i="199"/>
  <c r="F115" i="200"/>
  <c r="J115" i="199"/>
  <c r="F141" i="200"/>
  <c r="K141" i="199"/>
  <c r="J141" i="199"/>
  <c r="J142" i="199"/>
  <c r="K142" i="199"/>
  <c r="F142" i="200"/>
  <c r="J100" i="199"/>
  <c r="K100" i="199"/>
  <c r="F100" i="200"/>
  <c r="F148" i="200"/>
  <c r="J148" i="199"/>
  <c r="K148" i="199"/>
  <c r="K92" i="199"/>
  <c r="J92" i="199"/>
  <c r="F92" i="200"/>
  <c r="F118" i="200"/>
  <c r="J118" i="199"/>
  <c r="K118" i="199"/>
  <c r="J80" i="199"/>
  <c r="K80" i="199"/>
  <c r="F80" i="200"/>
  <c r="F129" i="200"/>
  <c r="J129" i="199"/>
  <c r="K129" i="199"/>
  <c r="F109" i="200"/>
  <c r="K109" i="199"/>
  <c r="J109" i="199"/>
  <c r="K78" i="199"/>
  <c r="F78" i="200"/>
  <c r="J78" i="199"/>
  <c r="J133" i="199"/>
  <c r="F133" i="200"/>
  <c r="K133" i="199"/>
  <c r="J122" i="199"/>
  <c r="K122" i="199"/>
  <c r="F122" i="200"/>
  <c r="J89" i="199"/>
  <c r="K89" i="199"/>
  <c r="F89" i="200"/>
  <c r="J147" i="199"/>
  <c r="F147" i="200"/>
  <c r="K147" i="199"/>
  <c r="J96" i="199"/>
  <c r="K96" i="199"/>
  <c r="F96" i="200"/>
  <c r="K107" i="199"/>
  <c r="F107" i="200"/>
  <c r="J107" i="199"/>
  <c r="K65" i="199"/>
  <c r="J65" i="199"/>
  <c r="F65" i="200"/>
  <c r="K91" i="199"/>
  <c r="J91" i="199"/>
  <c r="F91" i="200"/>
  <c r="J114" i="199"/>
  <c r="F114" i="200"/>
  <c r="K114" i="199"/>
  <c r="K93" i="199"/>
  <c r="J93" i="199"/>
  <c r="F93" i="200"/>
  <c r="J57" i="198"/>
  <c r="K57" i="198"/>
  <c r="F57" i="199"/>
  <c r="F68" i="200"/>
  <c r="K68" i="199"/>
  <c r="J68" i="199"/>
  <c r="J77" i="199"/>
  <c r="K77" i="199"/>
  <c r="F77" i="200"/>
  <c r="K99" i="199"/>
  <c r="F99" i="200"/>
  <c r="J99" i="199"/>
  <c r="K67" i="199"/>
  <c r="J67" i="199"/>
  <c r="F67" i="200"/>
  <c r="J69" i="199"/>
  <c r="K69" i="199"/>
  <c r="F69" i="200"/>
  <c r="K132" i="199"/>
  <c r="F132" i="200"/>
  <c r="J132" i="199"/>
  <c r="J73" i="199"/>
  <c r="F73" i="200"/>
  <c r="K73" i="199"/>
  <c r="J71" i="199"/>
  <c r="K71" i="199"/>
  <c r="F71" i="200"/>
  <c r="J90" i="199"/>
  <c r="K90" i="199"/>
  <c r="F90" i="200"/>
  <c r="K143" i="199"/>
  <c r="J143" i="199"/>
  <c r="F143" i="200"/>
  <c r="F138" i="200"/>
  <c r="J138" i="199"/>
  <c r="K138" i="199"/>
  <c r="F62" i="200"/>
  <c r="J62" i="199"/>
  <c r="K62" i="199"/>
  <c r="J127" i="199"/>
  <c r="K127" i="199"/>
  <c r="F127" i="200"/>
  <c r="K85" i="199"/>
  <c r="J85" i="199"/>
  <c r="F85" i="200"/>
  <c r="J128" i="199"/>
  <c r="K128" i="199"/>
  <c r="F128" i="200"/>
  <c r="K125" i="199"/>
  <c r="J125" i="199"/>
  <c r="F125" i="200"/>
  <c r="J121" i="199"/>
  <c r="K121" i="199"/>
  <c r="F121" i="200"/>
  <c r="J126" i="199"/>
  <c r="F126" i="200"/>
  <c r="K126" i="199"/>
  <c r="K119" i="199"/>
  <c r="F119" i="200"/>
  <c r="J119" i="199"/>
  <c r="F95" i="200"/>
  <c r="K95" i="199"/>
  <c r="J95" i="199"/>
  <c r="K83" i="199"/>
  <c r="F83" i="200"/>
  <c r="J83" i="199"/>
  <c r="K88" i="199"/>
  <c r="J88" i="199"/>
  <c r="F88" i="200"/>
  <c r="K136" i="199"/>
  <c r="J136" i="199"/>
  <c r="F136" i="200"/>
  <c r="J106" i="199"/>
  <c r="F106" i="200"/>
  <c r="K106" i="199"/>
  <c r="K111" i="199"/>
  <c r="J111" i="199"/>
  <c r="F111" i="200"/>
  <c r="J60" i="199"/>
  <c r="F60" i="200"/>
  <c r="K60" i="199"/>
  <c r="K139" i="199"/>
  <c r="F139" i="200"/>
  <c r="J139" i="199"/>
  <c r="K146" i="199"/>
  <c r="F146" i="200"/>
  <c r="J146" i="199"/>
  <c r="F149" i="198"/>
  <c r="J149" i="198" s="1"/>
  <c r="J123" i="199"/>
  <c r="K123" i="199"/>
  <c r="F123" i="200"/>
  <c r="K137" i="199"/>
  <c r="J137" i="199"/>
  <c r="F137" i="200"/>
  <c r="K124" i="199"/>
  <c r="F124" i="200"/>
  <c r="J124" i="199"/>
  <c r="K131" i="199"/>
  <c r="J131" i="199"/>
  <c r="F131" i="200"/>
  <c r="K82" i="199"/>
  <c r="J82" i="199"/>
  <c r="F82" i="200"/>
  <c r="K74" i="199"/>
  <c r="F74" i="200"/>
  <c r="J74" i="199"/>
  <c r="K120" i="199"/>
  <c r="J120" i="199"/>
  <c r="F120" i="200"/>
  <c r="J79" i="199"/>
  <c r="F79" i="200"/>
  <c r="K79" i="199"/>
  <c r="F64" i="200"/>
  <c r="K64" i="199"/>
  <c r="J64" i="199"/>
  <c r="K61" i="199"/>
  <c r="F61" i="200"/>
  <c r="J61" i="199"/>
  <c r="K63" i="201"/>
  <c r="J63" i="201"/>
  <c r="F63" i="202"/>
  <c r="BS10" i="118"/>
  <c r="G68" i="115" s="1"/>
  <c r="BS99" i="118"/>
  <c r="F116" i="201" l="1"/>
  <c r="K116" i="200"/>
  <c r="J116" i="200"/>
  <c r="K149" i="198"/>
  <c r="J88" i="200"/>
  <c r="K88" i="200"/>
  <c r="F88" i="201"/>
  <c r="J62" i="200"/>
  <c r="F62" i="201"/>
  <c r="K62" i="200"/>
  <c r="K141" i="200"/>
  <c r="J141" i="200"/>
  <c r="F141" i="201"/>
  <c r="J76" i="200"/>
  <c r="K76" i="200"/>
  <c r="F76" i="201"/>
  <c r="J113" i="200"/>
  <c r="K113" i="200"/>
  <c r="F113" i="201"/>
  <c r="K131" i="200"/>
  <c r="J131" i="200"/>
  <c r="F131" i="201"/>
  <c r="J132" i="200"/>
  <c r="F132" i="201"/>
  <c r="K132" i="200"/>
  <c r="J68" i="200"/>
  <c r="F68" i="201"/>
  <c r="K68" i="200"/>
  <c r="J133" i="200"/>
  <c r="K133" i="200"/>
  <c r="F133" i="201"/>
  <c r="J118" i="200"/>
  <c r="F118" i="201"/>
  <c r="K118" i="200"/>
  <c r="J86" i="200"/>
  <c r="K86" i="200"/>
  <c r="F86" i="201"/>
  <c r="J139" i="200"/>
  <c r="K139" i="200"/>
  <c r="F139" i="201"/>
  <c r="F125" i="201"/>
  <c r="K125" i="200"/>
  <c r="J125" i="200"/>
  <c r="J57" i="199"/>
  <c r="K57" i="199"/>
  <c r="F57" i="200"/>
  <c r="K107" i="200"/>
  <c r="J107" i="200"/>
  <c r="F107" i="201"/>
  <c r="K92" i="200"/>
  <c r="F92" i="201"/>
  <c r="J92" i="200"/>
  <c r="K115" i="200"/>
  <c r="J115" i="200"/>
  <c r="F115" i="201"/>
  <c r="J70" i="200"/>
  <c r="K70" i="200"/>
  <c r="F70" i="201"/>
  <c r="K140" i="200"/>
  <c r="J140" i="200"/>
  <c r="F140" i="201"/>
  <c r="J138" i="200"/>
  <c r="K138" i="200"/>
  <c r="F138" i="201"/>
  <c r="J69" i="200"/>
  <c r="K69" i="200"/>
  <c r="F69" i="201"/>
  <c r="F94" i="201"/>
  <c r="K94" i="200"/>
  <c r="J94" i="200"/>
  <c r="K143" i="200"/>
  <c r="J143" i="200"/>
  <c r="F143" i="201"/>
  <c r="J96" i="200"/>
  <c r="K96" i="200"/>
  <c r="F96" i="201"/>
  <c r="J78" i="200"/>
  <c r="K78" i="200"/>
  <c r="F78" i="201"/>
  <c r="K75" i="200"/>
  <c r="F75" i="201"/>
  <c r="J75" i="200"/>
  <c r="J83" i="200"/>
  <c r="K83" i="200"/>
  <c r="F83" i="201"/>
  <c r="F124" i="201"/>
  <c r="K124" i="200"/>
  <c r="J124" i="200"/>
  <c r="J60" i="200"/>
  <c r="F60" i="201"/>
  <c r="K60" i="200"/>
  <c r="J128" i="200"/>
  <c r="F128" i="201"/>
  <c r="K128" i="200"/>
  <c r="J93" i="200"/>
  <c r="F93" i="201"/>
  <c r="K93" i="200"/>
  <c r="K145" i="200"/>
  <c r="J145" i="200"/>
  <c r="F145" i="201"/>
  <c r="J66" i="200"/>
  <c r="K66" i="200"/>
  <c r="F66" i="201"/>
  <c r="J79" i="200"/>
  <c r="K79" i="200"/>
  <c r="F79" i="201"/>
  <c r="K67" i="200"/>
  <c r="J67" i="200"/>
  <c r="F67" i="201"/>
  <c r="J81" i="200"/>
  <c r="K81" i="200"/>
  <c r="F81" i="201"/>
  <c r="J137" i="200"/>
  <c r="K137" i="200"/>
  <c r="F137" i="201"/>
  <c r="K111" i="200"/>
  <c r="J111" i="200"/>
  <c r="F111" i="201"/>
  <c r="J90" i="200"/>
  <c r="K90" i="200"/>
  <c r="F90" i="201"/>
  <c r="K148" i="200"/>
  <c r="J148" i="200"/>
  <c r="F148" i="201"/>
  <c r="K58" i="200"/>
  <c r="J58" i="200"/>
  <c r="F58" i="201"/>
  <c r="K134" i="200"/>
  <c r="F134" i="201"/>
  <c r="J134" i="200"/>
  <c r="J97" i="200"/>
  <c r="K97" i="200"/>
  <c r="F97" i="201"/>
  <c r="J120" i="200"/>
  <c r="K120" i="200"/>
  <c r="F120" i="201"/>
  <c r="J95" i="200"/>
  <c r="F95" i="201"/>
  <c r="K95" i="200"/>
  <c r="J85" i="200"/>
  <c r="F85" i="201"/>
  <c r="K85" i="200"/>
  <c r="K147" i="200"/>
  <c r="F147" i="201"/>
  <c r="J147" i="200"/>
  <c r="F109" i="201"/>
  <c r="J109" i="200"/>
  <c r="K109" i="200"/>
  <c r="K100" i="200"/>
  <c r="F100" i="201"/>
  <c r="J100" i="200"/>
  <c r="J114" i="200"/>
  <c r="F114" i="201"/>
  <c r="K114" i="200"/>
  <c r="J110" i="200"/>
  <c r="K110" i="200"/>
  <c r="F110" i="201"/>
  <c r="J123" i="200"/>
  <c r="K123" i="200"/>
  <c r="F123" i="201"/>
  <c r="F119" i="201"/>
  <c r="J119" i="200"/>
  <c r="K119" i="200"/>
  <c r="J71" i="200"/>
  <c r="K71" i="200"/>
  <c r="F71" i="201"/>
  <c r="F99" i="201"/>
  <c r="J99" i="200"/>
  <c r="K99" i="200"/>
  <c r="K89" i="200"/>
  <c r="J89" i="200"/>
  <c r="F89" i="201"/>
  <c r="J84" i="200"/>
  <c r="K84" i="200"/>
  <c r="F84" i="201"/>
  <c r="F59" i="200"/>
  <c r="J59" i="199"/>
  <c r="K59" i="199"/>
  <c r="F87" i="201"/>
  <c r="J87" i="200"/>
  <c r="K87" i="200"/>
  <c r="J106" i="200"/>
  <c r="F106" i="201"/>
  <c r="K106" i="200"/>
  <c r="K127" i="200"/>
  <c r="J127" i="200"/>
  <c r="F127" i="201"/>
  <c r="J91" i="200"/>
  <c r="F91" i="201"/>
  <c r="K91" i="200"/>
  <c r="K129" i="200"/>
  <c r="F129" i="201"/>
  <c r="J129" i="200"/>
  <c r="J142" i="200"/>
  <c r="K142" i="200"/>
  <c r="F142" i="201"/>
  <c r="J130" i="200"/>
  <c r="F130" i="201"/>
  <c r="K130" i="200"/>
  <c r="K98" i="200"/>
  <c r="J98" i="200"/>
  <c r="F98" i="201"/>
  <c r="J117" i="200"/>
  <c r="K117" i="200"/>
  <c r="F117" i="201"/>
  <c r="K74" i="200"/>
  <c r="F74" i="201"/>
  <c r="J74" i="200"/>
  <c r="J77" i="200"/>
  <c r="F77" i="201"/>
  <c r="K77" i="200"/>
  <c r="J80" i="200"/>
  <c r="K80" i="200"/>
  <c r="F80" i="201"/>
  <c r="J136" i="200"/>
  <c r="F136" i="201"/>
  <c r="K136" i="200"/>
  <c r="K126" i="200"/>
  <c r="F126" i="201"/>
  <c r="J126" i="200"/>
  <c r="J122" i="200"/>
  <c r="F122" i="201"/>
  <c r="K122" i="200"/>
  <c r="K112" i="200"/>
  <c r="F112" i="201"/>
  <c r="J112" i="200"/>
  <c r="J135" i="200"/>
  <c r="K135" i="200"/>
  <c r="F135" i="201"/>
  <c r="J72" i="200"/>
  <c r="K72" i="200"/>
  <c r="F72" i="201"/>
  <c r="F149" i="199"/>
  <c r="J149" i="199" s="1"/>
  <c r="K82" i="200"/>
  <c r="J82" i="200"/>
  <c r="F82" i="201"/>
  <c r="J73" i="200"/>
  <c r="K73" i="200"/>
  <c r="F73" i="201"/>
  <c r="J65" i="200"/>
  <c r="K65" i="200"/>
  <c r="F65" i="201"/>
  <c r="K146" i="200"/>
  <c r="J146" i="200"/>
  <c r="F146" i="201"/>
  <c r="F121" i="201"/>
  <c r="J121" i="200"/>
  <c r="K121" i="200"/>
  <c r="K144" i="200"/>
  <c r="J144" i="200"/>
  <c r="F144" i="201"/>
  <c r="K108" i="200"/>
  <c r="F108" i="201"/>
  <c r="J108" i="200"/>
  <c r="J64" i="200"/>
  <c r="F64" i="201"/>
  <c r="K64" i="200"/>
  <c r="K61" i="200"/>
  <c r="F61" i="201"/>
  <c r="J61" i="200"/>
  <c r="K63" i="202"/>
  <c r="J63" i="202"/>
  <c r="F63" i="203"/>
  <c r="BR10" i="118"/>
  <c r="G67" i="115" s="1"/>
  <c r="BR99" i="118"/>
  <c r="K116" i="201" l="1"/>
  <c r="J116" i="201"/>
  <c r="F116" i="202"/>
  <c r="K149" i="199"/>
  <c r="F149" i="200"/>
  <c r="J149" i="200" s="1"/>
  <c r="F87" i="202"/>
  <c r="K87" i="201"/>
  <c r="J87" i="201"/>
  <c r="J137" i="201"/>
  <c r="F137" i="202"/>
  <c r="K137" i="201"/>
  <c r="K69" i="201"/>
  <c r="J69" i="201"/>
  <c r="F69" i="202"/>
  <c r="K92" i="201"/>
  <c r="J92" i="201"/>
  <c r="F92" i="202"/>
  <c r="K113" i="201"/>
  <c r="F113" i="202"/>
  <c r="J113" i="201"/>
  <c r="F65" i="202"/>
  <c r="J65" i="201"/>
  <c r="K65" i="201"/>
  <c r="J77" i="201"/>
  <c r="F77" i="202"/>
  <c r="K77" i="201"/>
  <c r="J109" i="201"/>
  <c r="K109" i="201"/>
  <c r="F109" i="202"/>
  <c r="J119" i="201"/>
  <c r="K119" i="201"/>
  <c r="F119" i="202"/>
  <c r="J134" i="201"/>
  <c r="K134" i="201"/>
  <c r="F134" i="202"/>
  <c r="K75" i="201"/>
  <c r="F75" i="202"/>
  <c r="J75" i="201"/>
  <c r="J107" i="201"/>
  <c r="K107" i="201"/>
  <c r="F107" i="202"/>
  <c r="J118" i="201"/>
  <c r="F118" i="202"/>
  <c r="K118" i="201"/>
  <c r="K112" i="201"/>
  <c r="J112" i="201"/>
  <c r="F112" i="202"/>
  <c r="K129" i="201"/>
  <c r="J129" i="201"/>
  <c r="F129" i="202"/>
  <c r="J59" i="200"/>
  <c r="K59" i="200"/>
  <c r="F59" i="201"/>
  <c r="J123" i="201"/>
  <c r="K123" i="201"/>
  <c r="F123" i="202"/>
  <c r="J147" i="201"/>
  <c r="F147" i="202"/>
  <c r="K147" i="201"/>
  <c r="F81" i="202"/>
  <c r="J81" i="201"/>
  <c r="K81" i="201"/>
  <c r="J93" i="201"/>
  <c r="K93" i="201"/>
  <c r="F93" i="202"/>
  <c r="J138" i="201"/>
  <c r="K138" i="201"/>
  <c r="F138" i="202"/>
  <c r="J74" i="201"/>
  <c r="K74" i="201"/>
  <c r="F74" i="202"/>
  <c r="J84" i="201"/>
  <c r="K84" i="201"/>
  <c r="F84" i="202"/>
  <c r="J58" i="201"/>
  <c r="K58" i="201"/>
  <c r="F58" i="202"/>
  <c r="J78" i="201"/>
  <c r="K78" i="201"/>
  <c r="F78" i="202"/>
  <c r="J133" i="201"/>
  <c r="K133" i="201"/>
  <c r="F133" i="202"/>
  <c r="J76" i="201"/>
  <c r="K76" i="201"/>
  <c r="F76" i="202"/>
  <c r="J122" i="201"/>
  <c r="F122" i="202"/>
  <c r="K122" i="201"/>
  <c r="J57" i="200"/>
  <c r="K57" i="200"/>
  <c r="F57" i="201"/>
  <c r="J100" i="201"/>
  <c r="K100" i="201"/>
  <c r="F100" i="202"/>
  <c r="J108" i="201"/>
  <c r="K108" i="201"/>
  <c r="F108" i="202"/>
  <c r="J117" i="201"/>
  <c r="F117" i="202"/>
  <c r="K117" i="201"/>
  <c r="K91" i="201"/>
  <c r="J91" i="201"/>
  <c r="F91" i="202"/>
  <c r="J110" i="201"/>
  <c r="F110" i="202"/>
  <c r="K110" i="201"/>
  <c r="K85" i="201"/>
  <c r="F85" i="202"/>
  <c r="J85" i="201"/>
  <c r="J67" i="201"/>
  <c r="K67" i="201"/>
  <c r="F67" i="202"/>
  <c r="J128" i="201"/>
  <c r="K128" i="201"/>
  <c r="F128" i="202"/>
  <c r="K140" i="201"/>
  <c r="F140" i="202"/>
  <c r="J140" i="201"/>
  <c r="F130" i="202"/>
  <c r="J130" i="201"/>
  <c r="K130" i="201"/>
  <c r="J73" i="201"/>
  <c r="K73" i="201"/>
  <c r="F73" i="202"/>
  <c r="J82" i="201"/>
  <c r="F82" i="202"/>
  <c r="K82" i="201"/>
  <c r="J89" i="201"/>
  <c r="F89" i="202"/>
  <c r="K89" i="201"/>
  <c r="K148" i="201"/>
  <c r="F148" i="202"/>
  <c r="J148" i="201"/>
  <c r="J96" i="201"/>
  <c r="F96" i="202"/>
  <c r="K96" i="201"/>
  <c r="F141" i="202"/>
  <c r="K141" i="201"/>
  <c r="J141" i="201"/>
  <c r="F68" i="202"/>
  <c r="J68" i="201"/>
  <c r="K68" i="201"/>
  <c r="F71" i="202"/>
  <c r="K71" i="201"/>
  <c r="J71" i="201"/>
  <c r="J144" i="201"/>
  <c r="K144" i="201"/>
  <c r="F144" i="202"/>
  <c r="J127" i="201"/>
  <c r="K127" i="201"/>
  <c r="F127" i="202"/>
  <c r="J98" i="201"/>
  <c r="F98" i="202"/>
  <c r="K98" i="201"/>
  <c r="F95" i="202"/>
  <c r="J95" i="201"/>
  <c r="K95" i="201"/>
  <c r="K79" i="201"/>
  <c r="J79" i="201"/>
  <c r="F79" i="202"/>
  <c r="J60" i="201"/>
  <c r="K60" i="201"/>
  <c r="F60" i="202"/>
  <c r="J70" i="201"/>
  <c r="F70" i="202"/>
  <c r="K70" i="201"/>
  <c r="J114" i="201"/>
  <c r="F114" i="202"/>
  <c r="K114" i="201"/>
  <c r="K90" i="201"/>
  <c r="J90" i="201"/>
  <c r="F90" i="202"/>
  <c r="F143" i="202"/>
  <c r="K143" i="201"/>
  <c r="J143" i="201"/>
  <c r="J125" i="201"/>
  <c r="K125" i="201"/>
  <c r="F125" i="202"/>
  <c r="J121" i="201"/>
  <c r="F121" i="202"/>
  <c r="K121" i="201"/>
  <c r="K72" i="201"/>
  <c r="J72" i="201"/>
  <c r="F72" i="202"/>
  <c r="F136" i="202"/>
  <c r="K136" i="201"/>
  <c r="J136" i="201"/>
  <c r="K120" i="201"/>
  <c r="J120" i="201"/>
  <c r="F120" i="202"/>
  <c r="J139" i="201"/>
  <c r="K139" i="201"/>
  <c r="F139" i="202"/>
  <c r="J132" i="201"/>
  <c r="K132" i="201"/>
  <c r="F132" i="202"/>
  <c r="J62" i="201"/>
  <c r="F62" i="202"/>
  <c r="K62" i="201"/>
  <c r="K126" i="201"/>
  <c r="F126" i="202"/>
  <c r="J126" i="201"/>
  <c r="K106" i="201"/>
  <c r="J106" i="201"/>
  <c r="F106" i="202"/>
  <c r="K99" i="201"/>
  <c r="J99" i="201"/>
  <c r="F99" i="202"/>
  <c r="K66" i="201"/>
  <c r="J66" i="201"/>
  <c r="F66" i="202"/>
  <c r="K115" i="201"/>
  <c r="J115" i="201"/>
  <c r="F115" i="202"/>
  <c r="J124" i="201"/>
  <c r="K124" i="201"/>
  <c r="F124" i="202"/>
  <c r="K131" i="201"/>
  <c r="J131" i="201"/>
  <c r="F131" i="202"/>
  <c r="J88" i="201"/>
  <c r="F88" i="202"/>
  <c r="K88" i="201"/>
  <c r="J80" i="201"/>
  <c r="K80" i="201"/>
  <c r="F80" i="202"/>
  <c r="K111" i="201"/>
  <c r="J111" i="201"/>
  <c r="F111" i="202"/>
  <c r="J146" i="201"/>
  <c r="F146" i="202"/>
  <c r="K146" i="201"/>
  <c r="K135" i="201"/>
  <c r="J135" i="201"/>
  <c r="F135" i="202"/>
  <c r="F97" i="202"/>
  <c r="K97" i="201"/>
  <c r="J97" i="201"/>
  <c r="K83" i="201"/>
  <c r="J83" i="201"/>
  <c r="F83" i="202"/>
  <c r="F86" i="202"/>
  <c r="J86" i="201"/>
  <c r="K86" i="201"/>
  <c r="K142" i="201"/>
  <c r="J142" i="201"/>
  <c r="F142" i="202"/>
  <c r="F145" i="202"/>
  <c r="K145" i="201"/>
  <c r="J145" i="201"/>
  <c r="K94" i="201"/>
  <c r="J94" i="201"/>
  <c r="F94" i="202"/>
  <c r="F64" i="202"/>
  <c r="J64" i="201"/>
  <c r="K64" i="201"/>
  <c r="J61" i="201"/>
  <c r="K61" i="201"/>
  <c r="F61" i="202"/>
  <c r="K63" i="203"/>
  <c r="J63" i="203"/>
  <c r="F63" i="204"/>
  <c r="BQ10" i="118"/>
  <c r="G66" i="115" s="1"/>
  <c r="BQ99" i="118"/>
  <c r="J116" i="202" l="1"/>
  <c r="K116" i="202"/>
  <c r="F116" i="203"/>
  <c r="F149" i="201"/>
  <c r="J149" i="201" s="1"/>
  <c r="K149" i="200"/>
  <c r="F66" i="203"/>
  <c r="J66" i="202"/>
  <c r="K66" i="202"/>
  <c r="J60" i="202"/>
  <c r="K60" i="202"/>
  <c r="F60" i="203"/>
  <c r="K128" i="202"/>
  <c r="J128" i="202"/>
  <c r="F128" i="203"/>
  <c r="F117" i="203"/>
  <c r="K117" i="202"/>
  <c r="J117" i="202"/>
  <c r="F138" i="203"/>
  <c r="J138" i="202"/>
  <c r="K138" i="202"/>
  <c r="K75" i="202"/>
  <c r="J75" i="202"/>
  <c r="F75" i="203"/>
  <c r="K65" i="202"/>
  <c r="J65" i="202"/>
  <c r="F65" i="203"/>
  <c r="J108" i="202"/>
  <c r="K108" i="202"/>
  <c r="F108" i="203"/>
  <c r="K129" i="202"/>
  <c r="J129" i="202"/>
  <c r="F129" i="203"/>
  <c r="J134" i="202"/>
  <c r="K134" i="202"/>
  <c r="F134" i="203"/>
  <c r="J113" i="202"/>
  <c r="K113" i="202"/>
  <c r="F113" i="203"/>
  <c r="F86" i="203"/>
  <c r="J86" i="202"/>
  <c r="K86" i="202"/>
  <c r="K80" i="202"/>
  <c r="J80" i="202"/>
  <c r="F80" i="203"/>
  <c r="J125" i="202"/>
  <c r="K125" i="202"/>
  <c r="F125" i="203"/>
  <c r="K133" i="202"/>
  <c r="J133" i="202"/>
  <c r="F133" i="203"/>
  <c r="K83" i="202"/>
  <c r="J83" i="202"/>
  <c r="F83" i="203"/>
  <c r="F139" i="203"/>
  <c r="K139" i="202"/>
  <c r="J139" i="202"/>
  <c r="F99" i="203"/>
  <c r="K99" i="202"/>
  <c r="J99" i="202"/>
  <c r="K79" i="202"/>
  <c r="J79" i="202"/>
  <c r="F79" i="203"/>
  <c r="K67" i="202"/>
  <c r="J67" i="202"/>
  <c r="F67" i="203"/>
  <c r="F93" i="203"/>
  <c r="J93" i="202"/>
  <c r="K93" i="202"/>
  <c r="K89" i="202"/>
  <c r="F89" i="203"/>
  <c r="J89" i="202"/>
  <c r="J71" i="202"/>
  <c r="K71" i="202"/>
  <c r="F71" i="203"/>
  <c r="J78" i="202"/>
  <c r="F78" i="203"/>
  <c r="K78" i="202"/>
  <c r="K92" i="202"/>
  <c r="J92" i="202"/>
  <c r="F92" i="203"/>
  <c r="J115" i="202"/>
  <c r="K115" i="202"/>
  <c r="F115" i="203"/>
  <c r="K88" i="202"/>
  <c r="J88" i="202"/>
  <c r="F88" i="203"/>
  <c r="J120" i="202"/>
  <c r="K120" i="202"/>
  <c r="F120" i="203"/>
  <c r="K112" i="202"/>
  <c r="J112" i="202"/>
  <c r="F112" i="203"/>
  <c r="K82" i="202"/>
  <c r="J82" i="202"/>
  <c r="F82" i="203"/>
  <c r="K100" i="202"/>
  <c r="F100" i="203"/>
  <c r="J100" i="202"/>
  <c r="J119" i="202"/>
  <c r="K119" i="202"/>
  <c r="F119" i="203"/>
  <c r="F94" i="203"/>
  <c r="J94" i="202"/>
  <c r="K94" i="202"/>
  <c r="K106" i="202"/>
  <c r="F106" i="203"/>
  <c r="J106" i="202"/>
  <c r="K143" i="202"/>
  <c r="J143" i="202"/>
  <c r="F143" i="203"/>
  <c r="K131" i="202"/>
  <c r="J131" i="202"/>
  <c r="F131" i="203"/>
  <c r="J90" i="202"/>
  <c r="K90" i="202"/>
  <c r="F90" i="203"/>
  <c r="J68" i="202"/>
  <c r="K68" i="202"/>
  <c r="F68" i="203"/>
  <c r="K73" i="202"/>
  <c r="J73" i="202"/>
  <c r="F73" i="203"/>
  <c r="J85" i="202"/>
  <c r="F85" i="203"/>
  <c r="K85" i="202"/>
  <c r="J58" i="202"/>
  <c r="K58" i="202"/>
  <c r="F58" i="203"/>
  <c r="F69" i="203"/>
  <c r="J69" i="202"/>
  <c r="K69" i="202"/>
  <c r="K135" i="202"/>
  <c r="F135" i="203"/>
  <c r="J135" i="202"/>
  <c r="J95" i="202"/>
  <c r="K95" i="202"/>
  <c r="F95" i="203"/>
  <c r="J57" i="201"/>
  <c r="K57" i="201"/>
  <c r="F57" i="202"/>
  <c r="K81" i="202"/>
  <c r="J81" i="202"/>
  <c r="F81" i="203"/>
  <c r="K109" i="202"/>
  <c r="F109" i="203"/>
  <c r="J109" i="202"/>
  <c r="J124" i="202"/>
  <c r="K124" i="202"/>
  <c r="F124" i="203"/>
  <c r="F126" i="203"/>
  <c r="J126" i="202"/>
  <c r="K126" i="202"/>
  <c r="F136" i="203"/>
  <c r="K136" i="202"/>
  <c r="J136" i="202"/>
  <c r="K98" i="202"/>
  <c r="F98" i="203"/>
  <c r="J98" i="202"/>
  <c r="K141" i="202"/>
  <c r="J141" i="202"/>
  <c r="F141" i="203"/>
  <c r="K110" i="202"/>
  <c r="J110" i="202"/>
  <c r="F110" i="203"/>
  <c r="J84" i="202"/>
  <c r="K84" i="202"/>
  <c r="F84" i="203"/>
  <c r="K147" i="202"/>
  <c r="J147" i="202"/>
  <c r="F147" i="203"/>
  <c r="J118" i="202"/>
  <c r="F118" i="203"/>
  <c r="K118" i="202"/>
  <c r="K137" i="202"/>
  <c r="J137" i="202"/>
  <c r="F137" i="203"/>
  <c r="F97" i="203"/>
  <c r="J97" i="202"/>
  <c r="K97" i="202"/>
  <c r="K145" i="202"/>
  <c r="J145" i="202"/>
  <c r="F145" i="203"/>
  <c r="J72" i="202"/>
  <c r="K72" i="202"/>
  <c r="F72" i="203"/>
  <c r="J114" i="202"/>
  <c r="F114" i="203"/>
  <c r="K114" i="202"/>
  <c r="K142" i="202"/>
  <c r="J142" i="202"/>
  <c r="F142" i="203"/>
  <c r="K146" i="202"/>
  <c r="J146" i="202"/>
  <c r="F146" i="203"/>
  <c r="K127" i="202"/>
  <c r="J127" i="202"/>
  <c r="F127" i="203"/>
  <c r="J96" i="202"/>
  <c r="K96" i="202"/>
  <c r="F96" i="203"/>
  <c r="K130" i="202"/>
  <c r="J130" i="202"/>
  <c r="F130" i="203"/>
  <c r="F91" i="203"/>
  <c r="J91" i="202"/>
  <c r="K91" i="202"/>
  <c r="J122" i="202"/>
  <c r="K122" i="202"/>
  <c r="F122" i="203"/>
  <c r="J123" i="202"/>
  <c r="K123" i="202"/>
  <c r="F123" i="203"/>
  <c r="K107" i="202"/>
  <c r="J107" i="202"/>
  <c r="F107" i="203"/>
  <c r="J77" i="202"/>
  <c r="K77" i="202"/>
  <c r="F77" i="203"/>
  <c r="J62" i="202"/>
  <c r="K62" i="202"/>
  <c r="F62" i="203"/>
  <c r="K74" i="202"/>
  <c r="F74" i="203"/>
  <c r="J74" i="202"/>
  <c r="F111" i="203"/>
  <c r="J111" i="202"/>
  <c r="K111" i="202"/>
  <c r="J70" i="202"/>
  <c r="F70" i="203"/>
  <c r="K70" i="202"/>
  <c r="K140" i="202"/>
  <c r="J140" i="202"/>
  <c r="F140" i="203"/>
  <c r="K76" i="202"/>
  <c r="J76" i="202"/>
  <c r="F76" i="203"/>
  <c r="J132" i="202"/>
  <c r="K132" i="202"/>
  <c r="F132" i="203"/>
  <c r="J121" i="202"/>
  <c r="K121" i="202"/>
  <c r="F121" i="203"/>
  <c r="J144" i="202"/>
  <c r="K144" i="202"/>
  <c r="F144" i="203"/>
  <c r="F148" i="203"/>
  <c r="K148" i="202"/>
  <c r="J148" i="202"/>
  <c r="K59" i="201"/>
  <c r="J59" i="201"/>
  <c r="F59" i="202"/>
  <c r="K87" i="202"/>
  <c r="F87" i="203"/>
  <c r="J87" i="202"/>
  <c r="K64" i="202"/>
  <c r="J64" i="202"/>
  <c r="F64" i="203"/>
  <c r="K61" i="202"/>
  <c r="F61" i="203"/>
  <c r="J61" i="202"/>
  <c r="J63" i="204"/>
  <c r="K63" i="204"/>
  <c r="F63" i="205"/>
  <c r="BP10" i="118"/>
  <c r="G65" i="115" s="1"/>
  <c r="BP99" i="118"/>
  <c r="F116" i="204" l="1"/>
  <c r="J116" i="203"/>
  <c r="K116" i="203"/>
  <c r="F149" i="202"/>
  <c r="J149" i="202" s="1"/>
  <c r="K149" i="201"/>
  <c r="J79" i="203"/>
  <c r="F79" i="204"/>
  <c r="K79" i="203"/>
  <c r="F123" i="204"/>
  <c r="J123" i="203"/>
  <c r="K123" i="203"/>
  <c r="J110" i="203"/>
  <c r="K110" i="203"/>
  <c r="F110" i="204"/>
  <c r="J90" i="203"/>
  <c r="K90" i="203"/>
  <c r="F90" i="204"/>
  <c r="F115" i="204"/>
  <c r="K115" i="203"/>
  <c r="J115" i="203"/>
  <c r="J121" i="203"/>
  <c r="K121" i="203"/>
  <c r="F121" i="204"/>
  <c r="J146" i="203"/>
  <c r="F146" i="204"/>
  <c r="K146" i="203"/>
  <c r="F93" i="204"/>
  <c r="J93" i="203"/>
  <c r="K93" i="203"/>
  <c r="K133" i="203"/>
  <c r="J133" i="203"/>
  <c r="F133" i="204"/>
  <c r="F134" i="204"/>
  <c r="K134" i="203"/>
  <c r="J134" i="203"/>
  <c r="K111" i="203"/>
  <c r="J111" i="203"/>
  <c r="F111" i="204"/>
  <c r="F122" i="204"/>
  <c r="K122" i="203"/>
  <c r="J122" i="203"/>
  <c r="F97" i="204"/>
  <c r="K97" i="203"/>
  <c r="J97" i="203"/>
  <c r="F141" i="204"/>
  <c r="J141" i="203"/>
  <c r="K141" i="203"/>
  <c r="J109" i="203"/>
  <c r="K109" i="203"/>
  <c r="F109" i="204"/>
  <c r="J69" i="203"/>
  <c r="K69" i="203"/>
  <c r="F69" i="204"/>
  <c r="J131" i="203"/>
  <c r="K131" i="203"/>
  <c r="F131" i="204"/>
  <c r="K100" i="203"/>
  <c r="J100" i="203"/>
  <c r="F100" i="204"/>
  <c r="J67" i="203"/>
  <c r="F67" i="204"/>
  <c r="K67" i="203"/>
  <c r="J138" i="203"/>
  <c r="K138" i="203"/>
  <c r="F138" i="204"/>
  <c r="K58" i="203"/>
  <c r="F58" i="204"/>
  <c r="J58" i="203"/>
  <c r="J92" i="203"/>
  <c r="F92" i="204"/>
  <c r="K92" i="203"/>
  <c r="K132" i="203"/>
  <c r="J132" i="203"/>
  <c r="F132" i="204"/>
  <c r="J74" i="203"/>
  <c r="F74" i="204"/>
  <c r="K74" i="203"/>
  <c r="J142" i="203"/>
  <c r="K142" i="203"/>
  <c r="F142" i="204"/>
  <c r="F81" i="204"/>
  <c r="J81" i="203"/>
  <c r="K81" i="203"/>
  <c r="F82" i="204"/>
  <c r="K82" i="203"/>
  <c r="J82" i="203"/>
  <c r="K125" i="203"/>
  <c r="F125" i="204"/>
  <c r="J125" i="203"/>
  <c r="J129" i="203"/>
  <c r="K129" i="203"/>
  <c r="F129" i="204"/>
  <c r="J117" i="203"/>
  <c r="K117" i="203"/>
  <c r="F117" i="204"/>
  <c r="K87" i="203"/>
  <c r="J87" i="203"/>
  <c r="F87" i="204"/>
  <c r="J62" i="203"/>
  <c r="F62" i="204"/>
  <c r="K62" i="203"/>
  <c r="K98" i="203"/>
  <c r="J98" i="203"/>
  <c r="F98" i="204"/>
  <c r="J128" i="203"/>
  <c r="K128" i="203"/>
  <c r="F128" i="204"/>
  <c r="J76" i="203"/>
  <c r="K76" i="203"/>
  <c r="F76" i="204"/>
  <c r="F91" i="204"/>
  <c r="K91" i="203"/>
  <c r="J91" i="203"/>
  <c r="J118" i="203"/>
  <c r="K118" i="203"/>
  <c r="F118" i="204"/>
  <c r="K57" i="202"/>
  <c r="J57" i="202"/>
  <c r="F57" i="203"/>
  <c r="J85" i="203"/>
  <c r="K85" i="203"/>
  <c r="F85" i="204"/>
  <c r="K112" i="203"/>
  <c r="J112" i="203"/>
  <c r="F112" i="204"/>
  <c r="J78" i="203"/>
  <c r="K78" i="203"/>
  <c r="F78" i="204"/>
  <c r="J80" i="203"/>
  <c r="K80" i="203"/>
  <c r="F80" i="204"/>
  <c r="J108" i="203"/>
  <c r="K108" i="203"/>
  <c r="F108" i="204"/>
  <c r="J59" i="202"/>
  <c r="F59" i="203"/>
  <c r="K59" i="202"/>
  <c r="F130" i="204"/>
  <c r="J130" i="203"/>
  <c r="K130" i="203"/>
  <c r="J114" i="203"/>
  <c r="F114" i="204"/>
  <c r="K114" i="203"/>
  <c r="J137" i="203"/>
  <c r="K137" i="203"/>
  <c r="F137" i="204"/>
  <c r="K143" i="203"/>
  <c r="J143" i="203"/>
  <c r="F143" i="204"/>
  <c r="K71" i="203"/>
  <c r="F71" i="204"/>
  <c r="J71" i="203"/>
  <c r="F60" i="204"/>
  <c r="J60" i="203"/>
  <c r="K60" i="203"/>
  <c r="J147" i="203"/>
  <c r="K147" i="203"/>
  <c r="F147" i="204"/>
  <c r="K73" i="203"/>
  <c r="J73" i="203"/>
  <c r="F73" i="204"/>
  <c r="K140" i="203"/>
  <c r="J140" i="203"/>
  <c r="F140" i="204"/>
  <c r="J72" i="203"/>
  <c r="K72" i="203"/>
  <c r="F72" i="204"/>
  <c r="F136" i="204"/>
  <c r="K136" i="203"/>
  <c r="J136" i="203"/>
  <c r="K95" i="203"/>
  <c r="J95" i="203"/>
  <c r="F95" i="204"/>
  <c r="K120" i="203"/>
  <c r="J120" i="203"/>
  <c r="F120" i="204"/>
  <c r="F99" i="204"/>
  <c r="J99" i="203"/>
  <c r="K99" i="203"/>
  <c r="K65" i="203"/>
  <c r="J65" i="203"/>
  <c r="F65" i="204"/>
  <c r="J96" i="203"/>
  <c r="K96" i="203"/>
  <c r="F96" i="204"/>
  <c r="J77" i="203"/>
  <c r="K77" i="203"/>
  <c r="F77" i="204"/>
  <c r="J106" i="203"/>
  <c r="K106" i="203"/>
  <c r="F106" i="204"/>
  <c r="J107" i="203"/>
  <c r="K107" i="203"/>
  <c r="F107" i="204"/>
  <c r="K84" i="203"/>
  <c r="J84" i="203"/>
  <c r="F84" i="204"/>
  <c r="K68" i="203"/>
  <c r="J68" i="203"/>
  <c r="F68" i="204"/>
  <c r="K86" i="203"/>
  <c r="J86" i="203"/>
  <c r="F86" i="204"/>
  <c r="F148" i="204"/>
  <c r="K148" i="203"/>
  <c r="J148" i="203"/>
  <c r="J145" i="203"/>
  <c r="F145" i="204"/>
  <c r="K145" i="203"/>
  <c r="F126" i="204"/>
  <c r="J126" i="203"/>
  <c r="K126" i="203"/>
  <c r="J94" i="203"/>
  <c r="K94" i="203"/>
  <c r="F94" i="204"/>
  <c r="F88" i="204"/>
  <c r="J88" i="203"/>
  <c r="K88" i="203"/>
  <c r="J89" i="203"/>
  <c r="K89" i="203"/>
  <c r="F89" i="204"/>
  <c r="J139" i="203"/>
  <c r="K139" i="203"/>
  <c r="F139" i="204"/>
  <c r="K75" i="203"/>
  <c r="J75" i="203"/>
  <c r="F75" i="204"/>
  <c r="F144" i="204"/>
  <c r="K144" i="203"/>
  <c r="J144" i="203"/>
  <c r="J70" i="203"/>
  <c r="F70" i="204"/>
  <c r="K70" i="203"/>
  <c r="J127" i="203"/>
  <c r="F127" i="204"/>
  <c r="K127" i="203"/>
  <c r="F124" i="204"/>
  <c r="K124" i="203"/>
  <c r="J124" i="203"/>
  <c r="F135" i="204"/>
  <c r="K135" i="203"/>
  <c r="J135" i="203"/>
  <c r="J119" i="203"/>
  <c r="F119" i="204"/>
  <c r="K119" i="203"/>
  <c r="K83" i="203"/>
  <c r="J83" i="203"/>
  <c r="F83" i="204"/>
  <c r="J113" i="203"/>
  <c r="F113" i="204"/>
  <c r="K113" i="203"/>
  <c r="K66" i="203"/>
  <c r="J66" i="203"/>
  <c r="F66" i="204"/>
  <c r="K64" i="203"/>
  <c r="J64" i="203"/>
  <c r="F64" i="204"/>
  <c r="K61" i="203"/>
  <c r="F61" i="204"/>
  <c r="J61" i="203"/>
  <c r="K63" i="205"/>
  <c r="J63" i="205"/>
  <c r="F63" i="206"/>
  <c r="BO10" i="118"/>
  <c r="G64" i="115" s="1"/>
  <c r="BO99" i="118"/>
  <c r="J116" i="204" l="1"/>
  <c r="K116" i="204"/>
  <c r="F116" i="205"/>
  <c r="F149" i="203"/>
  <c r="J149" i="203" s="1"/>
  <c r="K149" i="202"/>
  <c r="J94" i="204"/>
  <c r="K94" i="204"/>
  <c r="F94" i="205"/>
  <c r="K119" i="204"/>
  <c r="J119" i="204"/>
  <c r="F119" i="205"/>
  <c r="J144" i="204"/>
  <c r="F144" i="205"/>
  <c r="K144" i="204"/>
  <c r="K140" i="204"/>
  <c r="F140" i="205"/>
  <c r="J140" i="204"/>
  <c r="K118" i="204"/>
  <c r="J118" i="204"/>
  <c r="F118" i="205"/>
  <c r="J62" i="204"/>
  <c r="K62" i="204"/>
  <c r="F62" i="205"/>
  <c r="J82" i="204"/>
  <c r="K82" i="204"/>
  <c r="F82" i="205"/>
  <c r="K124" i="204"/>
  <c r="J124" i="204"/>
  <c r="F124" i="205"/>
  <c r="K58" i="204"/>
  <c r="J58" i="204"/>
  <c r="F58" i="205"/>
  <c r="J80" i="204"/>
  <c r="K80" i="204"/>
  <c r="F80" i="205"/>
  <c r="K126" i="204"/>
  <c r="J126" i="204"/>
  <c r="F126" i="205"/>
  <c r="K107" i="204"/>
  <c r="J107" i="204"/>
  <c r="F107" i="205"/>
  <c r="F137" i="205"/>
  <c r="J137" i="204"/>
  <c r="K137" i="204"/>
  <c r="J87" i="204"/>
  <c r="K87" i="204"/>
  <c r="F87" i="205"/>
  <c r="K109" i="204"/>
  <c r="J109" i="204"/>
  <c r="F109" i="205"/>
  <c r="K99" i="204"/>
  <c r="J99" i="204"/>
  <c r="F99" i="205"/>
  <c r="J73" i="204"/>
  <c r="K73" i="204"/>
  <c r="F73" i="205"/>
  <c r="K81" i="204"/>
  <c r="F81" i="205"/>
  <c r="J81" i="204"/>
  <c r="J138" i="204"/>
  <c r="F138" i="205"/>
  <c r="K138" i="204"/>
  <c r="J134" i="204"/>
  <c r="K134" i="204"/>
  <c r="F134" i="205"/>
  <c r="J115" i="204"/>
  <c r="K115" i="204"/>
  <c r="F115" i="205"/>
  <c r="J135" i="204"/>
  <c r="F135" i="205"/>
  <c r="K135" i="204"/>
  <c r="K139" i="204"/>
  <c r="F139" i="205"/>
  <c r="J139" i="204"/>
  <c r="F145" i="205"/>
  <c r="J145" i="204"/>
  <c r="K145" i="204"/>
  <c r="K120" i="204"/>
  <c r="J120" i="204"/>
  <c r="F120" i="205"/>
  <c r="J78" i="204"/>
  <c r="K78" i="204"/>
  <c r="F78" i="205"/>
  <c r="F142" i="205"/>
  <c r="K142" i="204"/>
  <c r="J142" i="204"/>
  <c r="K133" i="204"/>
  <c r="J133" i="204"/>
  <c r="F133" i="205"/>
  <c r="J90" i="204"/>
  <c r="K90" i="204"/>
  <c r="F90" i="205"/>
  <c r="F75" i="205"/>
  <c r="J75" i="204"/>
  <c r="K75" i="204"/>
  <c r="K106" i="204"/>
  <c r="J106" i="204"/>
  <c r="F106" i="205"/>
  <c r="K91" i="204"/>
  <c r="J91" i="204"/>
  <c r="F91" i="205"/>
  <c r="J117" i="204"/>
  <c r="F117" i="205"/>
  <c r="K117" i="204"/>
  <c r="F147" i="205"/>
  <c r="K147" i="204"/>
  <c r="J147" i="204"/>
  <c r="J95" i="204"/>
  <c r="K95" i="204"/>
  <c r="F95" i="205"/>
  <c r="J112" i="204"/>
  <c r="K112" i="204"/>
  <c r="F112" i="205"/>
  <c r="J67" i="204"/>
  <c r="K67" i="204"/>
  <c r="F67" i="205"/>
  <c r="K141" i="204"/>
  <c r="J141" i="204"/>
  <c r="F141" i="205"/>
  <c r="K110" i="204"/>
  <c r="J110" i="204"/>
  <c r="F110" i="205"/>
  <c r="K129" i="204"/>
  <c r="J129" i="204"/>
  <c r="F129" i="205"/>
  <c r="J74" i="204"/>
  <c r="K74" i="204"/>
  <c r="F74" i="205"/>
  <c r="F77" i="205"/>
  <c r="J77" i="204"/>
  <c r="K77" i="204"/>
  <c r="J127" i="204"/>
  <c r="K127" i="204"/>
  <c r="F127" i="205"/>
  <c r="J86" i="204"/>
  <c r="K86" i="204"/>
  <c r="F86" i="205"/>
  <c r="K128" i="204"/>
  <c r="J128" i="204"/>
  <c r="F128" i="205"/>
  <c r="J100" i="204"/>
  <c r="K100" i="204"/>
  <c r="F100" i="205"/>
  <c r="J93" i="204"/>
  <c r="K93" i="204"/>
  <c r="F93" i="205"/>
  <c r="K148" i="204"/>
  <c r="J148" i="204"/>
  <c r="F148" i="205"/>
  <c r="F85" i="205"/>
  <c r="J85" i="204"/>
  <c r="K85" i="204"/>
  <c r="J132" i="204"/>
  <c r="K132" i="204"/>
  <c r="F132" i="205"/>
  <c r="J97" i="204"/>
  <c r="K97" i="204"/>
  <c r="F97" i="205"/>
  <c r="K114" i="204"/>
  <c r="F114" i="205"/>
  <c r="J114" i="204"/>
  <c r="F96" i="205"/>
  <c r="K96" i="204"/>
  <c r="J96" i="204"/>
  <c r="F60" i="205"/>
  <c r="K60" i="204"/>
  <c r="J60" i="204"/>
  <c r="K146" i="204"/>
  <c r="J146" i="204"/>
  <c r="F146" i="205"/>
  <c r="J113" i="204"/>
  <c r="F113" i="205"/>
  <c r="K113" i="204"/>
  <c r="J130" i="204"/>
  <c r="K130" i="204"/>
  <c r="F130" i="205"/>
  <c r="J83" i="204"/>
  <c r="K83" i="204"/>
  <c r="F83" i="205"/>
  <c r="K70" i="204"/>
  <c r="F70" i="205"/>
  <c r="J70" i="204"/>
  <c r="J88" i="204"/>
  <c r="F88" i="205"/>
  <c r="K88" i="204"/>
  <c r="J68" i="204"/>
  <c r="K68" i="204"/>
  <c r="F68" i="205"/>
  <c r="K136" i="204"/>
  <c r="J136" i="204"/>
  <c r="F136" i="205"/>
  <c r="K59" i="203"/>
  <c r="J59" i="203"/>
  <c r="F59" i="204"/>
  <c r="J98" i="204"/>
  <c r="K98" i="204"/>
  <c r="F98" i="205"/>
  <c r="F125" i="205"/>
  <c r="K125" i="204"/>
  <c r="J125" i="204"/>
  <c r="J131" i="204"/>
  <c r="K131" i="204"/>
  <c r="F131" i="205"/>
  <c r="K123" i="204"/>
  <c r="J123" i="204"/>
  <c r="F123" i="205"/>
  <c r="K76" i="204"/>
  <c r="F76" i="205"/>
  <c r="J76" i="204"/>
  <c r="F71" i="205"/>
  <c r="K71" i="204"/>
  <c r="J71" i="204"/>
  <c r="K57" i="203"/>
  <c r="F57" i="204"/>
  <c r="J57" i="203"/>
  <c r="K122" i="204"/>
  <c r="J122" i="204"/>
  <c r="F122" i="205"/>
  <c r="K121" i="204"/>
  <c r="J121" i="204"/>
  <c r="F121" i="205"/>
  <c r="K66" i="204"/>
  <c r="J66" i="204"/>
  <c r="F66" i="205"/>
  <c r="F89" i="205"/>
  <c r="K89" i="204"/>
  <c r="J89" i="204"/>
  <c r="F72" i="205"/>
  <c r="K72" i="204"/>
  <c r="J72" i="204"/>
  <c r="J65" i="204"/>
  <c r="F65" i="205"/>
  <c r="K65" i="204"/>
  <c r="F108" i="205"/>
  <c r="K108" i="204"/>
  <c r="J108" i="204"/>
  <c r="K92" i="204"/>
  <c r="F92" i="205"/>
  <c r="J92" i="204"/>
  <c r="K111" i="204"/>
  <c r="F111" i="205"/>
  <c r="J111" i="204"/>
  <c r="F79" i="205"/>
  <c r="J79" i="204"/>
  <c r="K79" i="204"/>
  <c r="K84" i="204"/>
  <c r="F84" i="205"/>
  <c r="J84" i="204"/>
  <c r="K143" i="204"/>
  <c r="J143" i="204"/>
  <c r="F143" i="205"/>
  <c r="F69" i="205"/>
  <c r="K69" i="204"/>
  <c r="J69" i="204"/>
  <c r="K64" i="204"/>
  <c r="J64" i="204"/>
  <c r="F64" i="205"/>
  <c r="J61" i="204"/>
  <c r="K61" i="204"/>
  <c r="F61" i="205"/>
  <c r="K63" i="206"/>
  <c r="J63" i="206"/>
  <c r="F63" i="207"/>
  <c r="BN10" i="118"/>
  <c r="G63" i="115" s="1"/>
  <c r="BN99" i="118"/>
  <c r="J116" i="205" l="1"/>
  <c r="K116" i="205"/>
  <c r="F116" i="206"/>
  <c r="F149" i="204"/>
  <c r="J149" i="204" s="1"/>
  <c r="K149" i="203"/>
  <c r="K72" i="205"/>
  <c r="J72" i="205"/>
  <c r="F72" i="206"/>
  <c r="F67" i="206"/>
  <c r="J67" i="205"/>
  <c r="K67" i="205"/>
  <c r="F142" i="206"/>
  <c r="J142" i="205"/>
  <c r="K142" i="205"/>
  <c r="K115" i="205"/>
  <c r="J115" i="205"/>
  <c r="F115" i="206"/>
  <c r="J79" i="205"/>
  <c r="K79" i="205"/>
  <c r="F79" i="206"/>
  <c r="K83" i="205"/>
  <c r="F83" i="206"/>
  <c r="J83" i="205"/>
  <c r="J78" i="205"/>
  <c r="K78" i="205"/>
  <c r="F78" i="206"/>
  <c r="J118" i="205"/>
  <c r="K118" i="205"/>
  <c r="F118" i="206"/>
  <c r="J80" i="205"/>
  <c r="K80" i="205"/>
  <c r="F80" i="206"/>
  <c r="J59" i="204"/>
  <c r="K59" i="204"/>
  <c r="F59" i="205"/>
  <c r="F96" i="206"/>
  <c r="K96" i="205"/>
  <c r="J96" i="205"/>
  <c r="K106" i="205"/>
  <c r="J106" i="205"/>
  <c r="F106" i="206"/>
  <c r="F89" i="206"/>
  <c r="J89" i="205"/>
  <c r="K89" i="205"/>
  <c r="K77" i="205"/>
  <c r="F77" i="206"/>
  <c r="J77" i="205"/>
  <c r="F112" i="206"/>
  <c r="K112" i="205"/>
  <c r="J112" i="205"/>
  <c r="J134" i="205"/>
  <c r="F134" i="206"/>
  <c r="K134" i="205"/>
  <c r="J109" i="205"/>
  <c r="F109" i="206"/>
  <c r="K109" i="205"/>
  <c r="F111" i="206"/>
  <c r="J111" i="205"/>
  <c r="K111" i="205"/>
  <c r="F66" i="206"/>
  <c r="K66" i="205"/>
  <c r="J66" i="205"/>
  <c r="J76" i="205"/>
  <c r="K76" i="205"/>
  <c r="F76" i="206"/>
  <c r="K130" i="205"/>
  <c r="J130" i="205"/>
  <c r="F130" i="206"/>
  <c r="J114" i="205"/>
  <c r="K114" i="205"/>
  <c r="F114" i="206"/>
  <c r="J74" i="205"/>
  <c r="K74" i="205"/>
  <c r="F74" i="206"/>
  <c r="K120" i="205"/>
  <c r="J120" i="205"/>
  <c r="F120" i="206"/>
  <c r="K136" i="205"/>
  <c r="J136" i="205"/>
  <c r="F136" i="206"/>
  <c r="F100" i="206"/>
  <c r="K100" i="205"/>
  <c r="J100" i="205"/>
  <c r="K87" i="205"/>
  <c r="F87" i="206"/>
  <c r="J87" i="205"/>
  <c r="J58" i="205"/>
  <c r="K58" i="205"/>
  <c r="F58" i="206"/>
  <c r="J140" i="205"/>
  <c r="K140" i="205"/>
  <c r="F140" i="206"/>
  <c r="J93" i="205"/>
  <c r="K93" i="205"/>
  <c r="F93" i="206"/>
  <c r="J92" i="205"/>
  <c r="K92" i="205"/>
  <c r="F92" i="206"/>
  <c r="J123" i="205"/>
  <c r="K123" i="205"/>
  <c r="F123" i="206"/>
  <c r="F97" i="206"/>
  <c r="K97" i="205"/>
  <c r="J97" i="205"/>
  <c r="J95" i="205"/>
  <c r="K95" i="205"/>
  <c r="F95" i="206"/>
  <c r="J75" i="205"/>
  <c r="K75" i="205"/>
  <c r="F75" i="206"/>
  <c r="K138" i="205"/>
  <c r="J138" i="205"/>
  <c r="F138" i="206"/>
  <c r="K69" i="205"/>
  <c r="J69" i="205"/>
  <c r="F69" i="206"/>
  <c r="F68" i="206"/>
  <c r="J68" i="205"/>
  <c r="K68" i="205"/>
  <c r="F113" i="206"/>
  <c r="K113" i="205"/>
  <c r="J113" i="205"/>
  <c r="J128" i="205"/>
  <c r="F128" i="206"/>
  <c r="K128" i="205"/>
  <c r="K90" i="205"/>
  <c r="J90" i="205"/>
  <c r="F90" i="206"/>
  <c r="K124" i="205"/>
  <c r="J124" i="205"/>
  <c r="F124" i="206"/>
  <c r="J144" i="205"/>
  <c r="F144" i="206"/>
  <c r="K144" i="205"/>
  <c r="K143" i="205"/>
  <c r="J143" i="205"/>
  <c r="F143" i="206"/>
  <c r="J131" i="205"/>
  <c r="F131" i="206"/>
  <c r="K131" i="205"/>
  <c r="K132" i="205"/>
  <c r="F132" i="206"/>
  <c r="J132" i="205"/>
  <c r="J145" i="205"/>
  <c r="K145" i="205"/>
  <c r="F145" i="206"/>
  <c r="J71" i="205"/>
  <c r="K71" i="205"/>
  <c r="F71" i="206"/>
  <c r="J108" i="205"/>
  <c r="K108" i="205"/>
  <c r="F108" i="206"/>
  <c r="K122" i="205"/>
  <c r="J122" i="205"/>
  <c r="F122" i="206"/>
  <c r="K146" i="205"/>
  <c r="J146" i="205"/>
  <c r="F146" i="206"/>
  <c r="J110" i="205"/>
  <c r="K110" i="205"/>
  <c r="F110" i="206"/>
  <c r="J81" i="205"/>
  <c r="F81" i="206"/>
  <c r="K81" i="205"/>
  <c r="J137" i="205"/>
  <c r="F137" i="206"/>
  <c r="K137" i="205"/>
  <c r="K119" i="205"/>
  <c r="J119" i="205"/>
  <c r="F119" i="206"/>
  <c r="K121" i="205"/>
  <c r="F121" i="206"/>
  <c r="J121" i="205"/>
  <c r="J129" i="205"/>
  <c r="K129" i="205"/>
  <c r="F129" i="206"/>
  <c r="J86" i="205"/>
  <c r="K86" i="205"/>
  <c r="F86" i="206"/>
  <c r="K147" i="205"/>
  <c r="J147" i="205"/>
  <c r="F147" i="206"/>
  <c r="J133" i="205"/>
  <c r="K133" i="205"/>
  <c r="F133" i="206"/>
  <c r="K139" i="205"/>
  <c r="J139" i="205"/>
  <c r="F139" i="206"/>
  <c r="F107" i="206"/>
  <c r="K107" i="205"/>
  <c r="J107" i="205"/>
  <c r="K82" i="205"/>
  <c r="F82" i="206"/>
  <c r="J82" i="205"/>
  <c r="K65" i="205"/>
  <c r="J65" i="205"/>
  <c r="F65" i="206"/>
  <c r="J88" i="205"/>
  <c r="K88" i="205"/>
  <c r="F88" i="206"/>
  <c r="K73" i="205"/>
  <c r="F73" i="206"/>
  <c r="J73" i="205"/>
  <c r="J84" i="205"/>
  <c r="K84" i="205"/>
  <c r="F84" i="206"/>
  <c r="J141" i="205"/>
  <c r="K141" i="205"/>
  <c r="F141" i="206"/>
  <c r="K117" i="205"/>
  <c r="F117" i="206"/>
  <c r="J117" i="205"/>
  <c r="J94" i="205"/>
  <c r="F94" i="206"/>
  <c r="K94" i="205"/>
  <c r="J57" i="204"/>
  <c r="F57" i="205"/>
  <c r="K57" i="204"/>
  <c r="F125" i="206"/>
  <c r="K125" i="205"/>
  <c r="J125" i="205"/>
  <c r="F85" i="206"/>
  <c r="J85" i="205"/>
  <c r="K85" i="205"/>
  <c r="K127" i="205"/>
  <c r="J127" i="205"/>
  <c r="F127" i="206"/>
  <c r="F135" i="206"/>
  <c r="J135" i="205"/>
  <c r="K135" i="205"/>
  <c r="J126" i="205"/>
  <c r="K126" i="205"/>
  <c r="F126" i="206"/>
  <c r="K62" i="205"/>
  <c r="J62" i="205"/>
  <c r="F62" i="206"/>
  <c r="J98" i="205"/>
  <c r="K98" i="205"/>
  <c r="F98" i="206"/>
  <c r="F70" i="206"/>
  <c r="J70" i="205"/>
  <c r="K70" i="205"/>
  <c r="J60" i="205"/>
  <c r="F60" i="206"/>
  <c r="K60" i="205"/>
  <c r="K148" i="205"/>
  <c r="F148" i="206"/>
  <c r="J148" i="205"/>
  <c r="K91" i="205"/>
  <c r="J91" i="205"/>
  <c r="F91" i="206"/>
  <c r="K99" i="205"/>
  <c r="J99" i="205"/>
  <c r="F99" i="206"/>
  <c r="F64" i="206"/>
  <c r="J64" i="205"/>
  <c r="K64" i="205"/>
  <c r="K61" i="205"/>
  <c r="J61" i="205"/>
  <c r="F61" i="206"/>
  <c r="K63" i="207"/>
  <c r="J63" i="207"/>
  <c r="F63" i="208"/>
  <c r="BM10" i="118"/>
  <c r="G62" i="115" s="1"/>
  <c r="BM99" i="118"/>
  <c r="K116" i="206" l="1"/>
  <c r="J116" i="206"/>
  <c r="F116" i="207"/>
  <c r="K149" i="204"/>
  <c r="K60" i="206"/>
  <c r="F60" i="207"/>
  <c r="J60" i="206"/>
  <c r="J135" i="206"/>
  <c r="K135" i="206"/>
  <c r="F135" i="207"/>
  <c r="F69" i="207"/>
  <c r="K69" i="206"/>
  <c r="J69" i="206"/>
  <c r="K130" i="206"/>
  <c r="J130" i="206"/>
  <c r="F130" i="207"/>
  <c r="J134" i="206"/>
  <c r="K134" i="206"/>
  <c r="F134" i="207"/>
  <c r="K96" i="206"/>
  <c r="F96" i="207"/>
  <c r="J96" i="206"/>
  <c r="J79" i="206"/>
  <c r="K79" i="206"/>
  <c r="F79" i="207"/>
  <c r="K124" i="206"/>
  <c r="J124" i="206"/>
  <c r="F124" i="207"/>
  <c r="K59" i="205"/>
  <c r="F59" i="206"/>
  <c r="J59" i="205"/>
  <c r="J141" i="206"/>
  <c r="K141" i="206"/>
  <c r="F141" i="207"/>
  <c r="J127" i="206"/>
  <c r="K127" i="206"/>
  <c r="F127" i="207"/>
  <c r="K117" i="206"/>
  <c r="J117" i="206"/>
  <c r="F117" i="207"/>
  <c r="J86" i="206"/>
  <c r="K86" i="206"/>
  <c r="F86" i="207"/>
  <c r="K81" i="206"/>
  <c r="J81" i="206"/>
  <c r="F81" i="207"/>
  <c r="K145" i="206"/>
  <c r="J145" i="206"/>
  <c r="F145" i="207"/>
  <c r="K92" i="206"/>
  <c r="J92" i="206"/>
  <c r="F92" i="207"/>
  <c r="J76" i="206"/>
  <c r="K76" i="206"/>
  <c r="F76" i="207"/>
  <c r="J70" i="206"/>
  <c r="K70" i="206"/>
  <c r="F70" i="207"/>
  <c r="K129" i="206"/>
  <c r="F129" i="207"/>
  <c r="J129" i="206"/>
  <c r="F90" i="207"/>
  <c r="K90" i="206"/>
  <c r="J90" i="206"/>
  <c r="K136" i="206"/>
  <c r="J136" i="206"/>
  <c r="F136" i="207"/>
  <c r="K112" i="206"/>
  <c r="J112" i="206"/>
  <c r="F112" i="207"/>
  <c r="J80" i="206"/>
  <c r="K80" i="206"/>
  <c r="F80" i="207"/>
  <c r="K115" i="206"/>
  <c r="J115" i="206"/>
  <c r="F115" i="207"/>
  <c r="J98" i="206"/>
  <c r="K98" i="206"/>
  <c r="F98" i="207"/>
  <c r="F93" i="207"/>
  <c r="J93" i="206"/>
  <c r="K93" i="206"/>
  <c r="K99" i="206"/>
  <c r="F99" i="207"/>
  <c r="J99" i="206"/>
  <c r="F85" i="207"/>
  <c r="K85" i="206"/>
  <c r="J85" i="206"/>
  <c r="K84" i="206"/>
  <c r="J84" i="206"/>
  <c r="F84" i="207"/>
  <c r="K146" i="206"/>
  <c r="J146" i="206"/>
  <c r="F146" i="207"/>
  <c r="J132" i="206"/>
  <c r="K132" i="206"/>
  <c r="F132" i="207"/>
  <c r="J75" i="206"/>
  <c r="K75" i="206"/>
  <c r="F75" i="207"/>
  <c r="K77" i="206"/>
  <c r="J77" i="206"/>
  <c r="F77" i="207"/>
  <c r="K82" i="206"/>
  <c r="J82" i="206"/>
  <c r="F82" i="207"/>
  <c r="K107" i="206"/>
  <c r="J107" i="206"/>
  <c r="F107" i="207"/>
  <c r="F120" i="207"/>
  <c r="K120" i="206"/>
  <c r="J120" i="206"/>
  <c r="J118" i="206"/>
  <c r="K118" i="206"/>
  <c r="F118" i="207"/>
  <c r="K66" i="206"/>
  <c r="F66" i="207"/>
  <c r="J66" i="206"/>
  <c r="J62" i="206"/>
  <c r="K62" i="206"/>
  <c r="F62" i="207"/>
  <c r="J91" i="206"/>
  <c r="K91" i="206"/>
  <c r="F91" i="207"/>
  <c r="K125" i="206"/>
  <c r="J125" i="206"/>
  <c r="F125" i="207"/>
  <c r="J122" i="206"/>
  <c r="K122" i="206"/>
  <c r="F122" i="207"/>
  <c r="K131" i="206"/>
  <c r="J131" i="206"/>
  <c r="F131" i="207"/>
  <c r="J95" i="206"/>
  <c r="K95" i="206"/>
  <c r="F95" i="207"/>
  <c r="J142" i="206"/>
  <c r="F142" i="207"/>
  <c r="K142" i="206"/>
  <c r="J121" i="206"/>
  <c r="K121" i="206"/>
  <c r="F121" i="207"/>
  <c r="K140" i="206"/>
  <c r="J140" i="206"/>
  <c r="F140" i="207"/>
  <c r="K73" i="206"/>
  <c r="J73" i="206"/>
  <c r="F73" i="207"/>
  <c r="K119" i="206"/>
  <c r="J119" i="206"/>
  <c r="F119" i="207"/>
  <c r="K74" i="206"/>
  <c r="J74" i="206"/>
  <c r="F74" i="207"/>
  <c r="K89" i="206"/>
  <c r="F89" i="207"/>
  <c r="J89" i="206"/>
  <c r="J78" i="206"/>
  <c r="F78" i="207"/>
  <c r="K78" i="206"/>
  <c r="K138" i="206"/>
  <c r="J138" i="206"/>
  <c r="F138" i="207"/>
  <c r="F126" i="207"/>
  <c r="J126" i="206"/>
  <c r="K126" i="206"/>
  <c r="J57" i="205"/>
  <c r="K57" i="205"/>
  <c r="F57" i="206"/>
  <c r="J133" i="206"/>
  <c r="F133" i="207"/>
  <c r="K133" i="206"/>
  <c r="J143" i="206"/>
  <c r="F143" i="207"/>
  <c r="K143" i="206"/>
  <c r="K58" i="206"/>
  <c r="F58" i="207"/>
  <c r="J58" i="206"/>
  <c r="F111" i="207"/>
  <c r="K111" i="206"/>
  <c r="J111" i="206"/>
  <c r="F106" i="207"/>
  <c r="J106" i="206"/>
  <c r="K106" i="206"/>
  <c r="J128" i="206"/>
  <c r="K128" i="206"/>
  <c r="F128" i="207"/>
  <c r="J88" i="206"/>
  <c r="K88" i="206"/>
  <c r="F88" i="207"/>
  <c r="K108" i="206"/>
  <c r="J108" i="206"/>
  <c r="F108" i="207"/>
  <c r="J113" i="206"/>
  <c r="K113" i="206"/>
  <c r="F113" i="207"/>
  <c r="J67" i="206"/>
  <c r="F67" i="207"/>
  <c r="K67" i="206"/>
  <c r="J110" i="206"/>
  <c r="K110" i="206"/>
  <c r="F110" i="207"/>
  <c r="J139" i="206"/>
  <c r="K139" i="206"/>
  <c r="F139" i="207"/>
  <c r="J148" i="206"/>
  <c r="F148" i="207"/>
  <c r="K148" i="206"/>
  <c r="J114" i="206"/>
  <c r="K114" i="206"/>
  <c r="F114" i="207"/>
  <c r="J109" i="206"/>
  <c r="F109" i="207"/>
  <c r="K109" i="206"/>
  <c r="J72" i="206"/>
  <c r="K72" i="206"/>
  <c r="F72" i="207"/>
  <c r="J100" i="206"/>
  <c r="F100" i="207"/>
  <c r="K100" i="206"/>
  <c r="J94" i="206"/>
  <c r="F94" i="207"/>
  <c r="K94" i="206"/>
  <c r="F147" i="207"/>
  <c r="K147" i="206"/>
  <c r="J147" i="206"/>
  <c r="J137" i="206"/>
  <c r="F137" i="207"/>
  <c r="K137" i="206"/>
  <c r="J97" i="206"/>
  <c r="K97" i="206"/>
  <c r="F97" i="207"/>
  <c r="J83" i="206"/>
  <c r="K83" i="206"/>
  <c r="F83" i="207"/>
  <c r="F149" i="205"/>
  <c r="J149" i="205" s="1"/>
  <c r="K65" i="206"/>
  <c r="J65" i="206"/>
  <c r="F65" i="207"/>
  <c r="K71" i="206"/>
  <c r="J71" i="206"/>
  <c r="F71" i="207"/>
  <c r="K144" i="206"/>
  <c r="F144" i="207"/>
  <c r="J144" i="206"/>
  <c r="F68" i="207"/>
  <c r="K68" i="206"/>
  <c r="J68" i="206"/>
  <c r="J123" i="206"/>
  <c r="K123" i="206"/>
  <c r="F123" i="207"/>
  <c r="F87" i="207"/>
  <c r="J87" i="206"/>
  <c r="K87" i="206"/>
  <c r="J64" i="206"/>
  <c r="K64" i="206"/>
  <c r="F64" i="207"/>
  <c r="F61" i="207"/>
  <c r="K61" i="206"/>
  <c r="J61" i="206"/>
  <c r="J63" i="208"/>
  <c r="K63" i="208"/>
  <c r="F63" i="209"/>
  <c r="BL99" i="118"/>
  <c r="BL10" i="118"/>
  <c r="G61" i="115" s="1"/>
  <c r="K116" i="207" l="1"/>
  <c r="J116" i="207"/>
  <c r="F116" i="208"/>
  <c r="K149" i="205"/>
  <c r="J114" i="207"/>
  <c r="K114" i="207"/>
  <c r="F114" i="208"/>
  <c r="J111" i="207"/>
  <c r="K111" i="207"/>
  <c r="F111" i="208"/>
  <c r="J138" i="207"/>
  <c r="K138" i="207"/>
  <c r="F138" i="208"/>
  <c r="J118" i="207"/>
  <c r="K118" i="207"/>
  <c r="F118" i="208"/>
  <c r="J136" i="207"/>
  <c r="F136" i="208"/>
  <c r="K136" i="207"/>
  <c r="J71" i="207"/>
  <c r="K71" i="207"/>
  <c r="F71" i="208"/>
  <c r="K122" i="207"/>
  <c r="F122" i="208"/>
  <c r="J122" i="207"/>
  <c r="F134" i="208"/>
  <c r="J134" i="207"/>
  <c r="K134" i="207"/>
  <c r="J108" i="207"/>
  <c r="K108" i="207"/>
  <c r="F108" i="208"/>
  <c r="J58" i="207"/>
  <c r="K58" i="207"/>
  <c r="F58" i="208"/>
  <c r="J140" i="207"/>
  <c r="K140" i="207"/>
  <c r="F140" i="208"/>
  <c r="K132" i="207"/>
  <c r="F132" i="208"/>
  <c r="J132" i="207"/>
  <c r="K145" i="207"/>
  <c r="J145" i="207"/>
  <c r="F145" i="208"/>
  <c r="J141" i="207"/>
  <c r="K141" i="207"/>
  <c r="F141" i="208"/>
  <c r="K147" i="207"/>
  <c r="J147" i="207"/>
  <c r="F147" i="208"/>
  <c r="J93" i="207"/>
  <c r="K93" i="207"/>
  <c r="F93" i="208"/>
  <c r="K125" i="207"/>
  <c r="F125" i="208"/>
  <c r="J125" i="207"/>
  <c r="K98" i="207"/>
  <c r="F98" i="208"/>
  <c r="J98" i="207"/>
  <c r="J130" i="207"/>
  <c r="K130" i="207"/>
  <c r="F130" i="208"/>
  <c r="F65" i="208"/>
  <c r="K65" i="207"/>
  <c r="J65" i="207"/>
  <c r="J148" i="207"/>
  <c r="K148" i="207"/>
  <c r="F148" i="208"/>
  <c r="F78" i="208"/>
  <c r="K78" i="207"/>
  <c r="J78" i="207"/>
  <c r="K94" i="207"/>
  <c r="J94" i="207"/>
  <c r="F94" i="208"/>
  <c r="K88" i="207"/>
  <c r="J88" i="207"/>
  <c r="F88" i="208"/>
  <c r="K143" i="207"/>
  <c r="J143" i="207"/>
  <c r="F143" i="208"/>
  <c r="K121" i="207"/>
  <c r="F121" i="208"/>
  <c r="J121" i="207"/>
  <c r="K120" i="207"/>
  <c r="J120" i="207"/>
  <c r="F120" i="208"/>
  <c r="F146" i="208"/>
  <c r="J146" i="207"/>
  <c r="K146" i="207"/>
  <c r="F90" i="208"/>
  <c r="K90" i="207"/>
  <c r="J90" i="207"/>
  <c r="J139" i="207"/>
  <c r="K139" i="207"/>
  <c r="F139" i="208"/>
  <c r="K107" i="207"/>
  <c r="J107" i="207"/>
  <c r="F107" i="208"/>
  <c r="K81" i="207"/>
  <c r="J81" i="207"/>
  <c r="F81" i="208"/>
  <c r="K59" i="206"/>
  <c r="J59" i="206"/>
  <c r="F59" i="207"/>
  <c r="K87" i="207"/>
  <c r="J87" i="207"/>
  <c r="F87" i="208"/>
  <c r="F89" i="208"/>
  <c r="K89" i="207"/>
  <c r="J89" i="207"/>
  <c r="K91" i="207"/>
  <c r="J91" i="207"/>
  <c r="F91" i="208"/>
  <c r="J115" i="207"/>
  <c r="F115" i="208"/>
  <c r="K115" i="207"/>
  <c r="K129" i="207"/>
  <c r="J129" i="207"/>
  <c r="F129" i="208"/>
  <c r="K123" i="207"/>
  <c r="J123" i="207"/>
  <c r="F123" i="208"/>
  <c r="F83" i="208"/>
  <c r="K83" i="207"/>
  <c r="J83" i="207"/>
  <c r="J100" i="207"/>
  <c r="F100" i="208"/>
  <c r="K100" i="207"/>
  <c r="J128" i="207"/>
  <c r="F128" i="208"/>
  <c r="K128" i="207"/>
  <c r="F133" i="208"/>
  <c r="J133" i="207"/>
  <c r="K133" i="207"/>
  <c r="J84" i="207"/>
  <c r="F84" i="208"/>
  <c r="K84" i="207"/>
  <c r="J124" i="207"/>
  <c r="F124" i="208"/>
  <c r="K124" i="207"/>
  <c r="J82" i="207"/>
  <c r="K82" i="207"/>
  <c r="F82" i="208"/>
  <c r="J70" i="207"/>
  <c r="K70" i="207"/>
  <c r="F70" i="208"/>
  <c r="J86" i="207"/>
  <c r="K86" i="207"/>
  <c r="F86" i="208"/>
  <c r="K69" i="207"/>
  <c r="J69" i="207"/>
  <c r="F69" i="208"/>
  <c r="J72" i="207"/>
  <c r="K72" i="207"/>
  <c r="F72" i="208"/>
  <c r="K57" i="206"/>
  <c r="F57" i="207"/>
  <c r="J57" i="206"/>
  <c r="J62" i="207"/>
  <c r="F62" i="208"/>
  <c r="K62" i="207"/>
  <c r="K80" i="207"/>
  <c r="J80" i="207"/>
  <c r="F80" i="208"/>
  <c r="K135" i="207"/>
  <c r="J135" i="207"/>
  <c r="F135" i="208"/>
  <c r="F97" i="208"/>
  <c r="K97" i="207"/>
  <c r="J97" i="207"/>
  <c r="K95" i="207"/>
  <c r="J95" i="207"/>
  <c r="F95" i="208"/>
  <c r="K79" i="207"/>
  <c r="J79" i="207"/>
  <c r="F79" i="208"/>
  <c r="J110" i="207"/>
  <c r="F110" i="208"/>
  <c r="K110" i="207"/>
  <c r="J119" i="207"/>
  <c r="F119" i="208"/>
  <c r="K119" i="207"/>
  <c r="K77" i="207"/>
  <c r="F77" i="208"/>
  <c r="J77" i="207"/>
  <c r="K76" i="207"/>
  <c r="J76" i="207"/>
  <c r="F76" i="208"/>
  <c r="F117" i="208"/>
  <c r="K117" i="207"/>
  <c r="J117" i="207"/>
  <c r="J142" i="207"/>
  <c r="K142" i="207"/>
  <c r="F142" i="208"/>
  <c r="J106" i="207"/>
  <c r="K106" i="207"/>
  <c r="F106" i="208"/>
  <c r="J85" i="207"/>
  <c r="K85" i="207"/>
  <c r="F85" i="208"/>
  <c r="K112" i="207"/>
  <c r="J112" i="207"/>
  <c r="F112" i="208"/>
  <c r="J74" i="207"/>
  <c r="K74" i="207"/>
  <c r="F74" i="208"/>
  <c r="J68" i="207"/>
  <c r="K68" i="207"/>
  <c r="F68" i="208"/>
  <c r="F67" i="208"/>
  <c r="K67" i="207"/>
  <c r="J67" i="207"/>
  <c r="F149" i="206"/>
  <c r="J149" i="206" s="1"/>
  <c r="K109" i="207"/>
  <c r="F109" i="208"/>
  <c r="J109" i="207"/>
  <c r="F131" i="208"/>
  <c r="J131" i="207"/>
  <c r="K131" i="207"/>
  <c r="J66" i="207"/>
  <c r="K66" i="207"/>
  <c r="F66" i="208"/>
  <c r="J60" i="207"/>
  <c r="K60" i="207"/>
  <c r="F60" i="208"/>
  <c r="F144" i="208"/>
  <c r="J144" i="207"/>
  <c r="K144" i="207"/>
  <c r="K137" i="207"/>
  <c r="J137" i="207"/>
  <c r="F137" i="208"/>
  <c r="J113" i="207"/>
  <c r="K113" i="207"/>
  <c r="F113" i="208"/>
  <c r="K126" i="207"/>
  <c r="J126" i="207"/>
  <c r="F126" i="208"/>
  <c r="J73" i="207"/>
  <c r="K73" i="207"/>
  <c r="F73" i="208"/>
  <c r="F75" i="208"/>
  <c r="J75" i="207"/>
  <c r="K75" i="207"/>
  <c r="K99" i="207"/>
  <c r="J99" i="207"/>
  <c r="F99" i="208"/>
  <c r="F92" i="208"/>
  <c r="J92" i="207"/>
  <c r="K92" i="207"/>
  <c r="J127" i="207"/>
  <c r="K127" i="207"/>
  <c r="F127" i="208"/>
  <c r="K96" i="207"/>
  <c r="J96" i="207"/>
  <c r="F96" i="208"/>
  <c r="J64" i="207"/>
  <c r="F64" i="208"/>
  <c r="K64" i="207"/>
  <c r="K61" i="207"/>
  <c r="J61" i="207"/>
  <c r="F61" i="208"/>
  <c r="J63" i="209"/>
  <c r="K63" i="209"/>
  <c r="F63" i="210"/>
  <c r="BK99" i="118"/>
  <c r="BK10" i="118"/>
  <c r="G60" i="115" s="1"/>
  <c r="J116" i="208" l="1"/>
  <c r="K116" i="208"/>
  <c r="F116" i="209"/>
  <c r="K149" i="206"/>
  <c r="F149" i="207"/>
  <c r="J149" i="207" s="1"/>
  <c r="J133" i="208"/>
  <c r="K133" i="208"/>
  <c r="F133" i="209"/>
  <c r="K148" i="208"/>
  <c r="F148" i="209"/>
  <c r="J148" i="208"/>
  <c r="J80" i="208"/>
  <c r="K80" i="208"/>
  <c r="F80" i="209"/>
  <c r="K115" i="208"/>
  <c r="J115" i="208"/>
  <c r="F115" i="209"/>
  <c r="K121" i="208"/>
  <c r="J121" i="208"/>
  <c r="F121" i="209"/>
  <c r="K147" i="208"/>
  <c r="J147" i="208"/>
  <c r="F147" i="209"/>
  <c r="K58" i="208"/>
  <c r="J58" i="208"/>
  <c r="F58" i="209"/>
  <c r="J136" i="208"/>
  <c r="F136" i="209"/>
  <c r="K136" i="208"/>
  <c r="K68" i="208"/>
  <c r="J68" i="208"/>
  <c r="F68" i="209"/>
  <c r="K91" i="208"/>
  <c r="J91" i="208"/>
  <c r="F91" i="209"/>
  <c r="J128" i="208"/>
  <c r="K128" i="208"/>
  <c r="F128" i="209"/>
  <c r="K75" i="208"/>
  <c r="J75" i="208"/>
  <c r="F75" i="209"/>
  <c r="J60" i="208"/>
  <c r="F60" i="209"/>
  <c r="K60" i="208"/>
  <c r="F73" i="209"/>
  <c r="K73" i="208"/>
  <c r="J73" i="208"/>
  <c r="J79" i="208"/>
  <c r="K79" i="208"/>
  <c r="F79" i="209"/>
  <c r="K62" i="208"/>
  <c r="J62" i="208"/>
  <c r="F62" i="209"/>
  <c r="J143" i="208"/>
  <c r="K143" i="208"/>
  <c r="F143" i="209"/>
  <c r="J118" i="208"/>
  <c r="F118" i="209"/>
  <c r="K118" i="208"/>
  <c r="K100" i="208"/>
  <c r="J100" i="208"/>
  <c r="F100" i="209"/>
  <c r="K144" i="208"/>
  <c r="J144" i="208"/>
  <c r="F144" i="209"/>
  <c r="J67" i="208"/>
  <c r="K67" i="208"/>
  <c r="F67" i="209"/>
  <c r="K142" i="208"/>
  <c r="F142" i="209"/>
  <c r="J142" i="208"/>
  <c r="F110" i="209"/>
  <c r="J110" i="208"/>
  <c r="K110" i="208"/>
  <c r="K70" i="208"/>
  <c r="J70" i="208"/>
  <c r="F70" i="209"/>
  <c r="K107" i="208"/>
  <c r="J107" i="208"/>
  <c r="F107" i="209"/>
  <c r="J96" i="208"/>
  <c r="K96" i="208"/>
  <c r="F96" i="209"/>
  <c r="F82" i="209"/>
  <c r="K82" i="208"/>
  <c r="J82" i="208"/>
  <c r="K139" i="208"/>
  <c r="F139" i="209"/>
  <c r="J139" i="208"/>
  <c r="K65" i="208"/>
  <c r="J65" i="208"/>
  <c r="F65" i="209"/>
  <c r="J108" i="208"/>
  <c r="K108" i="208"/>
  <c r="F108" i="209"/>
  <c r="J66" i="208"/>
  <c r="K66" i="208"/>
  <c r="F66" i="209"/>
  <c r="J74" i="208"/>
  <c r="K74" i="208"/>
  <c r="F74" i="209"/>
  <c r="J130" i="208"/>
  <c r="K130" i="208"/>
  <c r="F130" i="209"/>
  <c r="F141" i="209"/>
  <c r="K141" i="208"/>
  <c r="J141" i="208"/>
  <c r="K126" i="208"/>
  <c r="F126" i="209"/>
  <c r="J126" i="208"/>
  <c r="J117" i="208"/>
  <c r="K117" i="208"/>
  <c r="F117" i="209"/>
  <c r="J95" i="208"/>
  <c r="K95" i="208"/>
  <c r="F95" i="209"/>
  <c r="K57" i="207"/>
  <c r="F57" i="208"/>
  <c r="J57" i="207"/>
  <c r="F88" i="209"/>
  <c r="J88" i="208"/>
  <c r="K88" i="208"/>
  <c r="F138" i="209"/>
  <c r="K138" i="208"/>
  <c r="J138" i="208"/>
  <c r="F127" i="209"/>
  <c r="J127" i="208"/>
  <c r="K127" i="208"/>
  <c r="J76" i="208"/>
  <c r="K76" i="208"/>
  <c r="F76" i="209"/>
  <c r="F89" i="209"/>
  <c r="J89" i="208"/>
  <c r="K89" i="208"/>
  <c r="J87" i="208"/>
  <c r="K87" i="208"/>
  <c r="F87" i="209"/>
  <c r="K145" i="208"/>
  <c r="J145" i="208"/>
  <c r="F145" i="209"/>
  <c r="J113" i="208"/>
  <c r="K113" i="208"/>
  <c r="F113" i="209"/>
  <c r="K123" i="208"/>
  <c r="J123" i="208"/>
  <c r="F123" i="209"/>
  <c r="J90" i="208"/>
  <c r="F90" i="209"/>
  <c r="K90" i="208"/>
  <c r="J94" i="208"/>
  <c r="K94" i="208"/>
  <c r="F94" i="209"/>
  <c r="K98" i="208"/>
  <c r="J98" i="208"/>
  <c r="F98" i="209"/>
  <c r="F134" i="209"/>
  <c r="K134" i="208"/>
  <c r="J134" i="208"/>
  <c r="J111" i="208"/>
  <c r="K111" i="208"/>
  <c r="F111" i="209"/>
  <c r="J124" i="208"/>
  <c r="K124" i="208"/>
  <c r="F124" i="209"/>
  <c r="F131" i="209"/>
  <c r="K131" i="208"/>
  <c r="J131" i="208"/>
  <c r="J85" i="208"/>
  <c r="K85" i="208"/>
  <c r="F85" i="209"/>
  <c r="J77" i="208"/>
  <c r="K77" i="208"/>
  <c r="F77" i="209"/>
  <c r="F97" i="209"/>
  <c r="J97" i="208"/>
  <c r="K97" i="208"/>
  <c r="J69" i="208"/>
  <c r="K69" i="208"/>
  <c r="F69" i="209"/>
  <c r="J84" i="208"/>
  <c r="F84" i="209"/>
  <c r="K84" i="208"/>
  <c r="J59" i="207"/>
  <c r="F59" i="208"/>
  <c r="K59" i="207"/>
  <c r="K122" i="208"/>
  <c r="J122" i="208"/>
  <c r="F122" i="209"/>
  <c r="K112" i="208"/>
  <c r="J112" i="208"/>
  <c r="F112" i="209"/>
  <c r="K83" i="208"/>
  <c r="F83" i="209"/>
  <c r="J83" i="208"/>
  <c r="J92" i="208"/>
  <c r="K92" i="208"/>
  <c r="F92" i="209"/>
  <c r="K137" i="208"/>
  <c r="J137" i="208"/>
  <c r="F137" i="209"/>
  <c r="J109" i="208"/>
  <c r="K109" i="208"/>
  <c r="F109" i="209"/>
  <c r="J135" i="208"/>
  <c r="F135" i="209"/>
  <c r="K135" i="208"/>
  <c r="J129" i="208"/>
  <c r="K129" i="208"/>
  <c r="F129" i="209"/>
  <c r="J146" i="208"/>
  <c r="K146" i="208"/>
  <c r="F146" i="209"/>
  <c r="K125" i="208"/>
  <c r="F125" i="209"/>
  <c r="J125" i="208"/>
  <c r="K132" i="208"/>
  <c r="J132" i="208"/>
  <c r="F132" i="209"/>
  <c r="K114" i="208"/>
  <c r="J114" i="208"/>
  <c r="F114" i="209"/>
  <c r="K72" i="208"/>
  <c r="J72" i="208"/>
  <c r="F72" i="209"/>
  <c r="K99" i="208"/>
  <c r="J99" i="208"/>
  <c r="F99" i="209"/>
  <c r="J120" i="208"/>
  <c r="K120" i="208"/>
  <c r="F120" i="209"/>
  <c r="F71" i="209"/>
  <c r="J71" i="208"/>
  <c r="K71" i="208"/>
  <c r="K106" i="208"/>
  <c r="J106" i="208"/>
  <c r="F106" i="209"/>
  <c r="K119" i="208"/>
  <c r="J119" i="208"/>
  <c r="F119" i="209"/>
  <c r="J86" i="208"/>
  <c r="K86" i="208"/>
  <c r="F86" i="209"/>
  <c r="K81" i="208"/>
  <c r="F81" i="209"/>
  <c r="J81" i="208"/>
  <c r="F78" i="209"/>
  <c r="K78" i="208"/>
  <c r="J78" i="208"/>
  <c r="J93" i="208"/>
  <c r="K93" i="208"/>
  <c r="F93" i="209"/>
  <c r="K140" i="208"/>
  <c r="J140" i="208"/>
  <c r="F140" i="209"/>
  <c r="F64" i="209"/>
  <c r="J64" i="208"/>
  <c r="K64" i="208"/>
  <c r="K61" i="208"/>
  <c r="J61" i="208"/>
  <c r="F61" i="209"/>
  <c r="J63" i="210"/>
  <c r="K63" i="210"/>
  <c r="F63" i="211"/>
  <c r="BJ99" i="118"/>
  <c r="BJ10" i="118"/>
  <c r="G59" i="115" s="1"/>
  <c r="J116" i="209" l="1"/>
  <c r="K116" i="209"/>
  <c r="F116" i="210"/>
  <c r="F149" i="208"/>
  <c r="J149" i="208" s="1"/>
  <c r="K149" i="207"/>
  <c r="J93" i="209"/>
  <c r="K93" i="209"/>
  <c r="F93" i="210"/>
  <c r="K81" i="209"/>
  <c r="J81" i="209"/>
  <c r="F81" i="210"/>
  <c r="J146" i="209"/>
  <c r="K146" i="209"/>
  <c r="F146" i="210"/>
  <c r="J124" i="209"/>
  <c r="K124" i="209"/>
  <c r="F124" i="210"/>
  <c r="F90" i="210"/>
  <c r="K90" i="209"/>
  <c r="J90" i="209"/>
  <c r="J89" i="209"/>
  <c r="K89" i="209"/>
  <c r="F89" i="210"/>
  <c r="F95" i="210"/>
  <c r="J95" i="209"/>
  <c r="K95" i="209"/>
  <c r="J82" i="209"/>
  <c r="F82" i="210"/>
  <c r="K82" i="209"/>
  <c r="K67" i="209"/>
  <c r="F67" i="210"/>
  <c r="J67" i="209"/>
  <c r="K121" i="209"/>
  <c r="J121" i="209"/>
  <c r="F121" i="210"/>
  <c r="K96" i="209"/>
  <c r="J96" i="209"/>
  <c r="F96" i="210"/>
  <c r="K91" i="209"/>
  <c r="F91" i="210"/>
  <c r="J91" i="209"/>
  <c r="J79" i="209"/>
  <c r="K79" i="209"/>
  <c r="F79" i="210"/>
  <c r="F129" i="210"/>
  <c r="K129" i="209"/>
  <c r="J129" i="209"/>
  <c r="K83" i="209"/>
  <c r="J83" i="209"/>
  <c r="F83" i="210"/>
  <c r="J111" i="209"/>
  <c r="K111" i="209"/>
  <c r="F111" i="210"/>
  <c r="K117" i="209"/>
  <c r="J117" i="209"/>
  <c r="F117" i="210"/>
  <c r="J144" i="209"/>
  <c r="K144" i="209"/>
  <c r="F144" i="210"/>
  <c r="K115" i="209"/>
  <c r="J115" i="209"/>
  <c r="F115" i="210"/>
  <c r="J68" i="209"/>
  <c r="F68" i="210"/>
  <c r="K68" i="209"/>
  <c r="J108" i="209"/>
  <c r="F108" i="210"/>
  <c r="K108" i="209"/>
  <c r="J127" i="209"/>
  <c r="K127" i="209"/>
  <c r="F127" i="210"/>
  <c r="J100" i="209"/>
  <c r="K100" i="209"/>
  <c r="F100" i="210"/>
  <c r="K140" i="209"/>
  <c r="J140" i="209"/>
  <c r="F140" i="210"/>
  <c r="K114" i="209"/>
  <c r="F114" i="210"/>
  <c r="J114" i="209"/>
  <c r="F135" i="210"/>
  <c r="K135" i="209"/>
  <c r="J135" i="209"/>
  <c r="K77" i="209"/>
  <c r="F77" i="210"/>
  <c r="J77" i="209"/>
  <c r="F126" i="210"/>
  <c r="K126" i="209"/>
  <c r="J126" i="209"/>
  <c r="J70" i="209"/>
  <c r="F70" i="210"/>
  <c r="K70" i="209"/>
  <c r="K73" i="209"/>
  <c r="J73" i="209"/>
  <c r="F73" i="210"/>
  <c r="J80" i="209"/>
  <c r="F80" i="210"/>
  <c r="K80" i="209"/>
  <c r="K66" i="209"/>
  <c r="J66" i="209"/>
  <c r="F66" i="210"/>
  <c r="K97" i="209"/>
  <c r="F97" i="210"/>
  <c r="J97" i="209"/>
  <c r="J106" i="209"/>
  <c r="K106" i="209"/>
  <c r="F106" i="210"/>
  <c r="J122" i="209"/>
  <c r="K122" i="209"/>
  <c r="F122" i="210"/>
  <c r="F134" i="210"/>
  <c r="K134" i="209"/>
  <c r="J134" i="209"/>
  <c r="F145" i="210"/>
  <c r="J145" i="209"/>
  <c r="K145" i="209"/>
  <c r="J65" i="209"/>
  <c r="F65" i="210"/>
  <c r="K65" i="209"/>
  <c r="J136" i="209"/>
  <c r="F136" i="210"/>
  <c r="K136" i="209"/>
  <c r="J72" i="209"/>
  <c r="K72" i="209"/>
  <c r="F72" i="210"/>
  <c r="F138" i="210"/>
  <c r="J138" i="209"/>
  <c r="K138" i="209"/>
  <c r="F60" i="210"/>
  <c r="K60" i="209"/>
  <c r="J60" i="209"/>
  <c r="J118" i="209"/>
  <c r="K118" i="209"/>
  <c r="F118" i="210"/>
  <c r="K58" i="209"/>
  <c r="J58" i="209"/>
  <c r="F58" i="210"/>
  <c r="K112" i="209"/>
  <c r="J112" i="209"/>
  <c r="F112" i="210"/>
  <c r="K132" i="209"/>
  <c r="J132" i="209"/>
  <c r="F132" i="210"/>
  <c r="J85" i="209"/>
  <c r="K85" i="209"/>
  <c r="F85" i="210"/>
  <c r="K87" i="209"/>
  <c r="F87" i="210"/>
  <c r="J87" i="209"/>
  <c r="F141" i="210"/>
  <c r="J141" i="209"/>
  <c r="K141" i="209"/>
  <c r="K75" i="209"/>
  <c r="J75" i="209"/>
  <c r="F75" i="210"/>
  <c r="J148" i="209"/>
  <c r="K148" i="209"/>
  <c r="F148" i="210"/>
  <c r="K69" i="209"/>
  <c r="J69" i="209"/>
  <c r="F69" i="210"/>
  <c r="J123" i="209"/>
  <c r="K123" i="209"/>
  <c r="F123" i="210"/>
  <c r="K113" i="209"/>
  <c r="J113" i="209"/>
  <c r="F113" i="210"/>
  <c r="J137" i="209"/>
  <c r="F137" i="210"/>
  <c r="K137" i="209"/>
  <c r="J59" i="208"/>
  <c r="K59" i="208"/>
  <c r="F59" i="209"/>
  <c r="K94" i="209"/>
  <c r="J94" i="209"/>
  <c r="F94" i="210"/>
  <c r="J88" i="209"/>
  <c r="K88" i="209"/>
  <c r="F88" i="210"/>
  <c r="J130" i="209"/>
  <c r="K130" i="209"/>
  <c r="F130" i="210"/>
  <c r="F139" i="210"/>
  <c r="J139" i="209"/>
  <c r="K139" i="209"/>
  <c r="F110" i="210"/>
  <c r="K110" i="209"/>
  <c r="J110" i="209"/>
  <c r="K143" i="209"/>
  <c r="J143" i="209"/>
  <c r="F143" i="210"/>
  <c r="J99" i="209"/>
  <c r="K99" i="209"/>
  <c r="F99" i="210"/>
  <c r="F107" i="210"/>
  <c r="K107" i="209"/>
  <c r="J107" i="209"/>
  <c r="J109" i="209"/>
  <c r="K109" i="209"/>
  <c r="F109" i="210"/>
  <c r="K71" i="209"/>
  <c r="J71" i="209"/>
  <c r="F71" i="210"/>
  <c r="J147" i="209"/>
  <c r="K147" i="209"/>
  <c r="F147" i="210"/>
  <c r="J133" i="209"/>
  <c r="F133" i="210"/>
  <c r="K133" i="209"/>
  <c r="J98" i="209"/>
  <c r="K98" i="209"/>
  <c r="F98" i="210"/>
  <c r="J78" i="209"/>
  <c r="K78" i="209"/>
  <c r="F78" i="210"/>
  <c r="J120" i="209"/>
  <c r="K120" i="209"/>
  <c r="F120" i="210"/>
  <c r="J125" i="209"/>
  <c r="K125" i="209"/>
  <c r="F125" i="210"/>
  <c r="F57" i="209"/>
  <c r="K57" i="208"/>
  <c r="J57" i="208"/>
  <c r="J142" i="209"/>
  <c r="K142" i="209"/>
  <c r="F142" i="210"/>
  <c r="F128" i="210"/>
  <c r="J128" i="209"/>
  <c r="K128" i="209"/>
  <c r="K76" i="209"/>
  <c r="J76" i="209"/>
  <c r="F76" i="210"/>
  <c r="K86" i="209"/>
  <c r="J86" i="209"/>
  <c r="F86" i="210"/>
  <c r="J119" i="209"/>
  <c r="K119" i="209"/>
  <c r="F119" i="210"/>
  <c r="K92" i="209"/>
  <c r="J92" i="209"/>
  <c r="F92" i="210"/>
  <c r="J84" i="209"/>
  <c r="K84" i="209"/>
  <c r="F84" i="210"/>
  <c r="J131" i="209"/>
  <c r="F131" i="210"/>
  <c r="K131" i="209"/>
  <c r="K74" i="209"/>
  <c r="J74" i="209"/>
  <c r="F74" i="210"/>
  <c r="K62" i="209"/>
  <c r="J62" i="209"/>
  <c r="F62" i="210"/>
  <c r="J64" i="209"/>
  <c r="F64" i="210"/>
  <c r="K64" i="209"/>
  <c r="J61" i="209"/>
  <c r="K61" i="209"/>
  <c r="F61" i="210"/>
  <c r="J63" i="211"/>
  <c r="K63" i="211"/>
  <c r="F63" i="212"/>
  <c r="BI99" i="118"/>
  <c r="BI10" i="118"/>
  <c r="G58" i="115" s="1"/>
  <c r="J116" i="210" l="1"/>
  <c r="K116" i="210"/>
  <c r="F116" i="211"/>
  <c r="K149" i="208"/>
  <c r="K70" i="210"/>
  <c r="J70" i="210"/>
  <c r="F70" i="211"/>
  <c r="F98" i="211"/>
  <c r="J98" i="210"/>
  <c r="K98" i="210"/>
  <c r="K66" i="210"/>
  <c r="J66" i="210"/>
  <c r="F66" i="211"/>
  <c r="K77" i="210"/>
  <c r="J77" i="210"/>
  <c r="F77" i="211"/>
  <c r="J111" i="210"/>
  <c r="K111" i="210"/>
  <c r="F111" i="211"/>
  <c r="F59" i="210"/>
  <c r="J59" i="209"/>
  <c r="K59" i="209"/>
  <c r="J142" i="210"/>
  <c r="K142" i="210"/>
  <c r="F142" i="211"/>
  <c r="J123" i="210"/>
  <c r="F123" i="211"/>
  <c r="K123" i="210"/>
  <c r="K87" i="210"/>
  <c r="J87" i="210"/>
  <c r="F87" i="211"/>
  <c r="J128" i="210"/>
  <c r="K128" i="210"/>
  <c r="F128" i="211"/>
  <c r="K92" i="210"/>
  <c r="J92" i="210"/>
  <c r="F92" i="211"/>
  <c r="J107" i="210"/>
  <c r="K107" i="210"/>
  <c r="F107" i="211"/>
  <c r="J88" i="210"/>
  <c r="K88" i="210"/>
  <c r="F88" i="211"/>
  <c r="F108" i="211"/>
  <c r="J108" i="210"/>
  <c r="K108" i="210"/>
  <c r="J121" i="210"/>
  <c r="K121" i="210"/>
  <c r="F121" i="211"/>
  <c r="J86" i="210"/>
  <c r="K86" i="210"/>
  <c r="F86" i="211"/>
  <c r="F74" i="211"/>
  <c r="K74" i="210"/>
  <c r="J74" i="210"/>
  <c r="J106" i="210"/>
  <c r="K106" i="210"/>
  <c r="F106" i="211"/>
  <c r="J99" i="210"/>
  <c r="K99" i="210"/>
  <c r="F99" i="211"/>
  <c r="K85" i="210"/>
  <c r="J85" i="210"/>
  <c r="F85" i="211"/>
  <c r="K145" i="210"/>
  <c r="J145" i="210"/>
  <c r="F145" i="211"/>
  <c r="F83" i="211"/>
  <c r="J83" i="210"/>
  <c r="K83" i="210"/>
  <c r="J90" i="210"/>
  <c r="K90" i="210"/>
  <c r="F90" i="211"/>
  <c r="J69" i="210"/>
  <c r="F69" i="211"/>
  <c r="K69" i="210"/>
  <c r="J60" i="210"/>
  <c r="K60" i="210"/>
  <c r="F60" i="211"/>
  <c r="J80" i="210"/>
  <c r="K80" i="210"/>
  <c r="F80" i="211"/>
  <c r="F135" i="211"/>
  <c r="K135" i="210"/>
  <c r="J135" i="210"/>
  <c r="F124" i="211"/>
  <c r="K124" i="210"/>
  <c r="J124" i="210"/>
  <c r="F71" i="211"/>
  <c r="J71" i="210"/>
  <c r="K71" i="210"/>
  <c r="J119" i="210"/>
  <c r="K119" i="210"/>
  <c r="F119" i="211"/>
  <c r="K133" i="210"/>
  <c r="J133" i="210"/>
  <c r="F133" i="211"/>
  <c r="F94" i="211"/>
  <c r="K94" i="210"/>
  <c r="J94" i="210"/>
  <c r="J68" i="210"/>
  <c r="K68" i="210"/>
  <c r="F68" i="211"/>
  <c r="J120" i="210"/>
  <c r="K120" i="210"/>
  <c r="F120" i="211"/>
  <c r="J62" i="210"/>
  <c r="F62" i="211"/>
  <c r="K62" i="210"/>
  <c r="J57" i="209"/>
  <c r="K57" i="209"/>
  <c r="F57" i="210"/>
  <c r="K143" i="210"/>
  <c r="J143" i="210"/>
  <c r="F143" i="211"/>
  <c r="J132" i="210"/>
  <c r="K132" i="210"/>
  <c r="F132" i="211"/>
  <c r="K134" i="210"/>
  <c r="F134" i="211"/>
  <c r="J134" i="210"/>
  <c r="J73" i="210"/>
  <c r="K73" i="210"/>
  <c r="F73" i="211"/>
  <c r="F114" i="211"/>
  <c r="K114" i="210"/>
  <c r="J114" i="210"/>
  <c r="J67" i="210"/>
  <c r="K67" i="210"/>
  <c r="F67" i="211"/>
  <c r="J125" i="210"/>
  <c r="K125" i="210"/>
  <c r="F125" i="211"/>
  <c r="K147" i="210"/>
  <c r="J147" i="210"/>
  <c r="F147" i="211"/>
  <c r="F148" i="211"/>
  <c r="K148" i="210"/>
  <c r="J148" i="210"/>
  <c r="K138" i="210"/>
  <c r="J138" i="210"/>
  <c r="F138" i="211"/>
  <c r="J122" i="210"/>
  <c r="K122" i="210"/>
  <c r="F122" i="211"/>
  <c r="K115" i="210"/>
  <c r="F115" i="211"/>
  <c r="J115" i="210"/>
  <c r="K146" i="210"/>
  <c r="J146" i="210"/>
  <c r="F146" i="211"/>
  <c r="K72" i="210"/>
  <c r="J72" i="210"/>
  <c r="F72" i="211"/>
  <c r="J140" i="210"/>
  <c r="F140" i="211"/>
  <c r="K140" i="210"/>
  <c r="J129" i="210"/>
  <c r="F129" i="211"/>
  <c r="K129" i="210"/>
  <c r="K112" i="210"/>
  <c r="J112" i="210"/>
  <c r="F112" i="211"/>
  <c r="K79" i="210"/>
  <c r="F79" i="211"/>
  <c r="J79" i="210"/>
  <c r="J82" i="210"/>
  <c r="K82" i="210"/>
  <c r="F82" i="211"/>
  <c r="K81" i="210"/>
  <c r="J81" i="210"/>
  <c r="F81" i="211"/>
  <c r="J76" i="210"/>
  <c r="K76" i="210"/>
  <c r="F76" i="211"/>
  <c r="J110" i="210"/>
  <c r="K110" i="210"/>
  <c r="F110" i="211"/>
  <c r="K100" i="210"/>
  <c r="J100" i="210"/>
  <c r="F100" i="211"/>
  <c r="J137" i="210"/>
  <c r="F137" i="211"/>
  <c r="K137" i="210"/>
  <c r="J58" i="210"/>
  <c r="K58" i="210"/>
  <c r="F58" i="211"/>
  <c r="J136" i="210"/>
  <c r="F136" i="211"/>
  <c r="K136" i="210"/>
  <c r="K75" i="210"/>
  <c r="J75" i="210"/>
  <c r="F75" i="211"/>
  <c r="J131" i="210"/>
  <c r="K131" i="210"/>
  <c r="F131" i="211"/>
  <c r="J78" i="210"/>
  <c r="K78" i="210"/>
  <c r="F78" i="211"/>
  <c r="K109" i="210"/>
  <c r="J109" i="210"/>
  <c r="F109" i="211"/>
  <c r="J117" i="210"/>
  <c r="F117" i="211"/>
  <c r="K117" i="210"/>
  <c r="J91" i="210"/>
  <c r="K91" i="210"/>
  <c r="F91" i="211"/>
  <c r="J95" i="210"/>
  <c r="K95" i="210"/>
  <c r="F95" i="211"/>
  <c r="J93" i="210"/>
  <c r="K93" i="210"/>
  <c r="F93" i="211"/>
  <c r="K139" i="210"/>
  <c r="J139" i="210"/>
  <c r="F139" i="211"/>
  <c r="K113" i="210"/>
  <c r="F113" i="211"/>
  <c r="J113" i="210"/>
  <c r="J97" i="210"/>
  <c r="K97" i="210"/>
  <c r="F97" i="211"/>
  <c r="K126" i="210"/>
  <c r="J126" i="210"/>
  <c r="F126" i="211"/>
  <c r="J127" i="210"/>
  <c r="K127" i="210"/>
  <c r="F127" i="211"/>
  <c r="K89" i="210"/>
  <c r="J89" i="210"/>
  <c r="F89" i="211"/>
  <c r="K144" i="210"/>
  <c r="J144" i="210"/>
  <c r="F144" i="211"/>
  <c r="F149" i="209"/>
  <c r="J149" i="209" s="1"/>
  <c r="K84" i="210"/>
  <c r="J84" i="210"/>
  <c r="F84" i="211"/>
  <c r="K130" i="210"/>
  <c r="J130" i="210"/>
  <c r="F130" i="211"/>
  <c r="J141" i="210"/>
  <c r="F141" i="211"/>
  <c r="K141" i="210"/>
  <c r="J118" i="210"/>
  <c r="F118" i="211"/>
  <c r="K118" i="210"/>
  <c r="J65" i="210"/>
  <c r="K65" i="210"/>
  <c r="F65" i="211"/>
  <c r="K96" i="210"/>
  <c r="J96" i="210"/>
  <c r="F96" i="211"/>
  <c r="J64" i="210"/>
  <c r="K64" i="210"/>
  <c r="F64" i="211"/>
  <c r="K61" i="210"/>
  <c r="J61" i="210"/>
  <c r="F61" i="211"/>
  <c r="K63" i="212"/>
  <c r="J63" i="212"/>
  <c r="F63" i="213"/>
  <c r="BH10" i="118"/>
  <c r="G57" i="115" s="1"/>
  <c r="BH99" i="118"/>
  <c r="J116" i="211" l="1"/>
  <c r="K116" i="211"/>
  <c r="F116" i="212"/>
  <c r="F149" i="210"/>
  <c r="J149" i="210" s="1"/>
  <c r="K149" i="209"/>
  <c r="F95" i="212"/>
  <c r="J95" i="211"/>
  <c r="K95" i="211"/>
  <c r="K112" i="211"/>
  <c r="J112" i="211"/>
  <c r="F112" i="212"/>
  <c r="F115" i="212"/>
  <c r="K115" i="211"/>
  <c r="J115" i="211"/>
  <c r="J143" i="211"/>
  <c r="K143" i="211"/>
  <c r="F143" i="212"/>
  <c r="F135" i="212"/>
  <c r="J135" i="211"/>
  <c r="K135" i="211"/>
  <c r="K145" i="211"/>
  <c r="J145" i="211"/>
  <c r="F145" i="212"/>
  <c r="F59" i="211"/>
  <c r="J59" i="210"/>
  <c r="K59" i="210"/>
  <c r="K126" i="211"/>
  <c r="J126" i="211"/>
  <c r="F126" i="212"/>
  <c r="K110" i="211"/>
  <c r="J110" i="211"/>
  <c r="F110" i="212"/>
  <c r="J67" i="211"/>
  <c r="K67" i="211"/>
  <c r="F67" i="212"/>
  <c r="K94" i="211"/>
  <c r="F94" i="212"/>
  <c r="J94" i="211"/>
  <c r="J80" i="211"/>
  <c r="F80" i="212"/>
  <c r="K80" i="211"/>
  <c r="F128" i="212"/>
  <c r="J128" i="211"/>
  <c r="K128" i="211"/>
  <c r="K111" i="211"/>
  <c r="J111" i="211"/>
  <c r="F111" i="212"/>
  <c r="F130" i="212"/>
  <c r="J130" i="211"/>
  <c r="K130" i="211"/>
  <c r="K75" i="211"/>
  <c r="J75" i="211"/>
  <c r="F75" i="212"/>
  <c r="J122" i="211"/>
  <c r="K122" i="211"/>
  <c r="F122" i="212"/>
  <c r="J133" i="211"/>
  <c r="F133" i="212"/>
  <c r="K133" i="211"/>
  <c r="F121" i="212"/>
  <c r="K121" i="211"/>
  <c r="J121" i="211"/>
  <c r="J65" i="211"/>
  <c r="K65" i="211"/>
  <c r="F65" i="212"/>
  <c r="K91" i="211"/>
  <c r="J91" i="211"/>
  <c r="F91" i="212"/>
  <c r="J57" i="210"/>
  <c r="K57" i="210"/>
  <c r="F57" i="211"/>
  <c r="F85" i="212"/>
  <c r="J85" i="211"/>
  <c r="K85" i="211"/>
  <c r="F77" i="212"/>
  <c r="J77" i="211"/>
  <c r="K77" i="211"/>
  <c r="K84" i="211"/>
  <c r="J84" i="211"/>
  <c r="F84" i="212"/>
  <c r="J97" i="211"/>
  <c r="K97" i="211"/>
  <c r="F97" i="212"/>
  <c r="J76" i="211"/>
  <c r="K76" i="211"/>
  <c r="F76" i="212"/>
  <c r="F60" i="212"/>
  <c r="J60" i="211"/>
  <c r="K60" i="211"/>
  <c r="J87" i="211"/>
  <c r="F87" i="212"/>
  <c r="K87" i="211"/>
  <c r="J96" i="211"/>
  <c r="K96" i="211"/>
  <c r="F96" i="212"/>
  <c r="J138" i="211"/>
  <c r="K138" i="211"/>
  <c r="F138" i="212"/>
  <c r="F119" i="212"/>
  <c r="J119" i="211"/>
  <c r="K119" i="211"/>
  <c r="K129" i="211"/>
  <c r="F129" i="212"/>
  <c r="J129" i="211"/>
  <c r="K136" i="211"/>
  <c r="F136" i="212"/>
  <c r="J136" i="211"/>
  <c r="J114" i="211"/>
  <c r="K114" i="211"/>
  <c r="F114" i="212"/>
  <c r="J99" i="211"/>
  <c r="K99" i="211"/>
  <c r="F99" i="212"/>
  <c r="J117" i="211"/>
  <c r="K117" i="211"/>
  <c r="F117" i="212"/>
  <c r="K81" i="211"/>
  <c r="J81" i="211"/>
  <c r="F81" i="212"/>
  <c r="J140" i="211"/>
  <c r="K140" i="211"/>
  <c r="F140" i="212"/>
  <c r="K73" i="211"/>
  <c r="J73" i="211"/>
  <c r="F73" i="212"/>
  <c r="J62" i="211"/>
  <c r="F62" i="212"/>
  <c r="K62" i="211"/>
  <c r="K108" i="211"/>
  <c r="J108" i="211"/>
  <c r="F108" i="212"/>
  <c r="F66" i="212"/>
  <c r="J66" i="211"/>
  <c r="K66" i="211"/>
  <c r="J69" i="211"/>
  <c r="K69" i="211"/>
  <c r="F69" i="212"/>
  <c r="K88" i="211"/>
  <c r="J88" i="211"/>
  <c r="F88" i="212"/>
  <c r="K123" i="211"/>
  <c r="F123" i="212"/>
  <c r="J123" i="211"/>
  <c r="F72" i="212"/>
  <c r="J72" i="211"/>
  <c r="K72" i="211"/>
  <c r="K120" i="211"/>
  <c r="J120" i="211"/>
  <c r="F120" i="212"/>
  <c r="J106" i="211"/>
  <c r="K106" i="211"/>
  <c r="F106" i="212"/>
  <c r="J113" i="211"/>
  <c r="K113" i="211"/>
  <c r="F113" i="212"/>
  <c r="J58" i="211"/>
  <c r="F58" i="212"/>
  <c r="K58" i="211"/>
  <c r="J109" i="211"/>
  <c r="K109" i="211"/>
  <c r="F109" i="212"/>
  <c r="J139" i="211"/>
  <c r="K139" i="211"/>
  <c r="F139" i="212"/>
  <c r="J82" i="211"/>
  <c r="K82" i="211"/>
  <c r="F82" i="212"/>
  <c r="F148" i="212"/>
  <c r="K148" i="211"/>
  <c r="J148" i="211"/>
  <c r="K71" i="211"/>
  <c r="J71" i="211"/>
  <c r="F71" i="212"/>
  <c r="F90" i="212"/>
  <c r="J90" i="211"/>
  <c r="K90" i="211"/>
  <c r="J142" i="211"/>
  <c r="K142" i="211"/>
  <c r="F142" i="212"/>
  <c r="K89" i="211"/>
  <c r="J89" i="211"/>
  <c r="F89" i="212"/>
  <c r="K147" i="211"/>
  <c r="J147" i="211"/>
  <c r="F147" i="212"/>
  <c r="J134" i="211"/>
  <c r="K134" i="211"/>
  <c r="F134" i="212"/>
  <c r="J107" i="211"/>
  <c r="K107" i="211"/>
  <c r="F107" i="212"/>
  <c r="K118" i="211"/>
  <c r="J118" i="211"/>
  <c r="F118" i="212"/>
  <c r="K78" i="211"/>
  <c r="F78" i="212"/>
  <c r="J78" i="211"/>
  <c r="K137" i="211"/>
  <c r="J137" i="211"/>
  <c r="F137" i="212"/>
  <c r="J146" i="211"/>
  <c r="K146" i="211"/>
  <c r="F146" i="212"/>
  <c r="K68" i="211"/>
  <c r="F68" i="212"/>
  <c r="J68" i="211"/>
  <c r="J98" i="211"/>
  <c r="K98" i="211"/>
  <c r="F98" i="212"/>
  <c r="J93" i="211"/>
  <c r="K93" i="211"/>
  <c r="F93" i="212"/>
  <c r="J132" i="211"/>
  <c r="K132" i="211"/>
  <c r="F132" i="212"/>
  <c r="J124" i="211"/>
  <c r="K124" i="211"/>
  <c r="F124" i="212"/>
  <c r="K70" i="211"/>
  <c r="J70" i="211"/>
  <c r="F70" i="212"/>
  <c r="J144" i="211"/>
  <c r="K144" i="211"/>
  <c r="F144" i="212"/>
  <c r="J127" i="211"/>
  <c r="K127" i="211"/>
  <c r="F127" i="212"/>
  <c r="J100" i="211"/>
  <c r="F100" i="212"/>
  <c r="K100" i="211"/>
  <c r="K79" i="211"/>
  <c r="F79" i="212"/>
  <c r="J79" i="211"/>
  <c r="K125" i="211"/>
  <c r="J125" i="211"/>
  <c r="F125" i="212"/>
  <c r="K74" i="211"/>
  <c r="J74" i="211"/>
  <c r="F74" i="212"/>
  <c r="K92" i="211"/>
  <c r="J92" i="211"/>
  <c r="F92" i="212"/>
  <c r="K141" i="211"/>
  <c r="F141" i="212"/>
  <c r="J141" i="211"/>
  <c r="F131" i="212"/>
  <c r="J131" i="211"/>
  <c r="K131" i="211"/>
  <c r="J83" i="211"/>
  <c r="K83" i="211"/>
  <c r="F83" i="212"/>
  <c r="K86" i="211"/>
  <c r="J86" i="211"/>
  <c r="F86" i="212"/>
  <c r="F64" i="212"/>
  <c r="J64" i="211"/>
  <c r="K64" i="211"/>
  <c r="K61" i="211"/>
  <c r="F61" i="212"/>
  <c r="J61" i="211"/>
  <c r="J63" i="213"/>
  <c r="K63" i="213"/>
  <c r="F63" i="214"/>
  <c r="BG10" i="118"/>
  <c r="G56" i="115" s="1"/>
  <c r="BG99" i="118"/>
  <c r="K116" i="212" l="1"/>
  <c r="J116" i="212"/>
  <c r="F116" i="213"/>
  <c r="K149" i="210"/>
  <c r="F149" i="211"/>
  <c r="J149" i="211" s="1"/>
  <c r="K141" i="212"/>
  <c r="J141" i="212"/>
  <c r="F141" i="213"/>
  <c r="F93" i="213"/>
  <c r="J93" i="212"/>
  <c r="K93" i="212"/>
  <c r="J78" i="212"/>
  <c r="K78" i="212"/>
  <c r="F78" i="213"/>
  <c r="J139" i="212"/>
  <c r="F139" i="213"/>
  <c r="K139" i="212"/>
  <c r="K66" i="212"/>
  <c r="J66" i="212"/>
  <c r="F66" i="213"/>
  <c r="K117" i="212"/>
  <c r="J117" i="212"/>
  <c r="F117" i="213"/>
  <c r="K91" i="212"/>
  <c r="J91" i="212"/>
  <c r="F91" i="213"/>
  <c r="J94" i="212"/>
  <c r="K94" i="212"/>
  <c r="F94" i="213"/>
  <c r="K134" i="212"/>
  <c r="J134" i="212"/>
  <c r="F134" i="213"/>
  <c r="J127" i="212"/>
  <c r="F127" i="213"/>
  <c r="K127" i="212"/>
  <c r="F142" i="213"/>
  <c r="J142" i="212"/>
  <c r="K142" i="212"/>
  <c r="F108" i="213"/>
  <c r="J108" i="212"/>
  <c r="K108" i="212"/>
  <c r="K119" i="212"/>
  <c r="J119" i="212"/>
  <c r="F119" i="213"/>
  <c r="K97" i="212"/>
  <c r="J97" i="212"/>
  <c r="F97" i="213"/>
  <c r="K92" i="212"/>
  <c r="J92" i="212"/>
  <c r="F92" i="213"/>
  <c r="K118" i="212"/>
  <c r="J118" i="212"/>
  <c r="F118" i="213"/>
  <c r="K138" i="212"/>
  <c r="J138" i="212"/>
  <c r="F138" i="213"/>
  <c r="F67" i="213"/>
  <c r="J67" i="212"/>
  <c r="K67" i="212"/>
  <c r="J86" i="212"/>
  <c r="F86" i="213"/>
  <c r="K86" i="212"/>
  <c r="F113" i="213"/>
  <c r="K113" i="212"/>
  <c r="J113" i="212"/>
  <c r="F98" i="213"/>
  <c r="K98" i="212"/>
  <c r="J98" i="212"/>
  <c r="J109" i="212"/>
  <c r="F109" i="213"/>
  <c r="K109" i="212"/>
  <c r="K99" i="212"/>
  <c r="J99" i="212"/>
  <c r="F99" i="213"/>
  <c r="K65" i="212"/>
  <c r="J65" i="212"/>
  <c r="F65" i="213"/>
  <c r="J135" i="212"/>
  <c r="K135" i="212"/>
  <c r="F135" i="213"/>
  <c r="K125" i="212"/>
  <c r="J125" i="212"/>
  <c r="F125" i="213"/>
  <c r="J144" i="212"/>
  <c r="F144" i="213"/>
  <c r="K144" i="212"/>
  <c r="K72" i="212"/>
  <c r="J72" i="212"/>
  <c r="F72" i="213"/>
  <c r="K84" i="212"/>
  <c r="F84" i="213"/>
  <c r="J84" i="212"/>
  <c r="F130" i="213"/>
  <c r="K130" i="212"/>
  <c r="J130" i="212"/>
  <c r="K143" i="212"/>
  <c r="J143" i="212"/>
  <c r="F143" i="213"/>
  <c r="J146" i="212"/>
  <c r="K146" i="212"/>
  <c r="F146" i="213"/>
  <c r="J74" i="212"/>
  <c r="K74" i="212"/>
  <c r="F74" i="213"/>
  <c r="F107" i="213"/>
  <c r="K107" i="212"/>
  <c r="J107" i="212"/>
  <c r="K62" i="212"/>
  <c r="J62" i="212"/>
  <c r="F62" i="213"/>
  <c r="F96" i="213"/>
  <c r="K96" i="212"/>
  <c r="J96" i="212"/>
  <c r="F110" i="213"/>
  <c r="K110" i="212"/>
  <c r="J110" i="212"/>
  <c r="K123" i="212"/>
  <c r="J123" i="212"/>
  <c r="F123" i="213"/>
  <c r="K114" i="212"/>
  <c r="J114" i="212"/>
  <c r="F114" i="213"/>
  <c r="K111" i="212"/>
  <c r="J111" i="212"/>
  <c r="F111" i="213"/>
  <c r="J90" i="212"/>
  <c r="F90" i="213"/>
  <c r="K90" i="212"/>
  <c r="K70" i="212"/>
  <c r="J70" i="212"/>
  <c r="F70" i="213"/>
  <c r="K68" i="212"/>
  <c r="F68" i="213"/>
  <c r="J68" i="212"/>
  <c r="F71" i="213"/>
  <c r="K71" i="212"/>
  <c r="J71" i="212"/>
  <c r="K58" i="212"/>
  <c r="F58" i="213"/>
  <c r="J58" i="212"/>
  <c r="J73" i="212"/>
  <c r="F73" i="213"/>
  <c r="K73" i="212"/>
  <c r="F88" i="213"/>
  <c r="J88" i="212"/>
  <c r="K88" i="212"/>
  <c r="J121" i="212"/>
  <c r="K121" i="212"/>
  <c r="F121" i="213"/>
  <c r="K126" i="212"/>
  <c r="J126" i="212"/>
  <c r="F126" i="213"/>
  <c r="F77" i="213"/>
  <c r="J77" i="212"/>
  <c r="K77" i="212"/>
  <c r="K115" i="212"/>
  <c r="J115" i="212"/>
  <c r="F115" i="213"/>
  <c r="K124" i="212"/>
  <c r="J124" i="212"/>
  <c r="F124" i="213"/>
  <c r="J140" i="212"/>
  <c r="F140" i="213"/>
  <c r="K140" i="212"/>
  <c r="K136" i="212"/>
  <c r="F136" i="213"/>
  <c r="J136" i="212"/>
  <c r="F133" i="213"/>
  <c r="J133" i="212"/>
  <c r="K133" i="212"/>
  <c r="F112" i="213"/>
  <c r="J112" i="212"/>
  <c r="K112" i="212"/>
  <c r="K147" i="212"/>
  <c r="J147" i="212"/>
  <c r="F147" i="213"/>
  <c r="J69" i="212"/>
  <c r="K69" i="212"/>
  <c r="F69" i="213"/>
  <c r="K128" i="212"/>
  <c r="J128" i="212"/>
  <c r="F128" i="213"/>
  <c r="K79" i="212"/>
  <c r="F79" i="213"/>
  <c r="J79" i="212"/>
  <c r="F137" i="213"/>
  <c r="J137" i="212"/>
  <c r="K137" i="212"/>
  <c r="K148" i="212"/>
  <c r="F148" i="213"/>
  <c r="J148" i="212"/>
  <c r="K106" i="212"/>
  <c r="F106" i="213"/>
  <c r="J106" i="212"/>
  <c r="K85" i="212"/>
  <c r="J85" i="212"/>
  <c r="F85" i="213"/>
  <c r="K122" i="212"/>
  <c r="J122" i="212"/>
  <c r="F122" i="213"/>
  <c r="F132" i="213"/>
  <c r="K132" i="212"/>
  <c r="J132" i="212"/>
  <c r="J82" i="212"/>
  <c r="K82" i="212"/>
  <c r="F82" i="213"/>
  <c r="K81" i="212"/>
  <c r="J81" i="212"/>
  <c r="F81" i="213"/>
  <c r="K129" i="212"/>
  <c r="F129" i="213"/>
  <c r="J129" i="212"/>
  <c r="K60" i="212"/>
  <c r="J60" i="212"/>
  <c r="F60" i="213"/>
  <c r="F57" i="212"/>
  <c r="K57" i="211"/>
  <c r="J57" i="211"/>
  <c r="F80" i="213"/>
  <c r="J80" i="212"/>
  <c r="K80" i="212"/>
  <c r="K59" i="211"/>
  <c r="J59" i="211"/>
  <c r="F59" i="212"/>
  <c r="J131" i="212"/>
  <c r="F131" i="213"/>
  <c r="K131" i="212"/>
  <c r="J89" i="212"/>
  <c r="K89" i="212"/>
  <c r="F89" i="213"/>
  <c r="F76" i="213"/>
  <c r="K76" i="212"/>
  <c r="J76" i="212"/>
  <c r="J145" i="212"/>
  <c r="K145" i="212"/>
  <c r="F145" i="213"/>
  <c r="F83" i="213"/>
  <c r="K83" i="212"/>
  <c r="J83" i="212"/>
  <c r="J87" i="212"/>
  <c r="F87" i="213"/>
  <c r="K87" i="212"/>
  <c r="F100" i="213"/>
  <c r="J100" i="212"/>
  <c r="K100" i="212"/>
  <c r="K120" i="212"/>
  <c r="J120" i="212"/>
  <c r="F120" i="213"/>
  <c r="K75" i="212"/>
  <c r="J75" i="212"/>
  <c r="F75" i="213"/>
  <c r="F95" i="213"/>
  <c r="K95" i="212"/>
  <c r="J95" i="212"/>
  <c r="J64" i="212"/>
  <c r="F64" i="213"/>
  <c r="K64" i="212"/>
  <c r="F61" i="213"/>
  <c r="K61" i="212"/>
  <c r="J61" i="212"/>
  <c r="K63" i="214"/>
  <c r="J63" i="214"/>
  <c r="F63" i="215"/>
  <c r="BF10" i="118"/>
  <c r="G55" i="115" s="1"/>
  <c r="BF99" i="118"/>
  <c r="J116" i="213" l="1"/>
  <c r="K116" i="213"/>
  <c r="F116" i="214"/>
  <c r="K149" i="211"/>
  <c r="F57" i="213"/>
  <c r="J57" i="212"/>
  <c r="K57" i="212"/>
  <c r="K122" i="213"/>
  <c r="F122" i="214"/>
  <c r="J122" i="213"/>
  <c r="F133" i="214"/>
  <c r="K133" i="213"/>
  <c r="J133" i="213"/>
  <c r="J66" i="213"/>
  <c r="F66" i="214"/>
  <c r="K66" i="213"/>
  <c r="J100" i="213"/>
  <c r="F100" i="214"/>
  <c r="K100" i="213"/>
  <c r="K129" i="213"/>
  <c r="F129" i="214"/>
  <c r="J129" i="213"/>
  <c r="K140" i="213"/>
  <c r="F140" i="214"/>
  <c r="J140" i="213"/>
  <c r="K125" i="213"/>
  <c r="F125" i="214"/>
  <c r="J125" i="213"/>
  <c r="J142" i="213"/>
  <c r="K142" i="213"/>
  <c r="F142" i="214"/>
  <c r="F131" i="214"/>
  <c r="K131" i="213"/>
  <c r="J131" i="213"/>
  <c r="F110" i="214"/>
  <c r="J110" i="213"/>
  <c r="K110" i="213"/>
  <c r="J143" i="213"/>
  <c r="K143" i="213"/>
  <c r="F143" i="214"/>
  <c r="K98" i="213"/>
  <c r="J98" i="213"/>
  <c r="F98" i="214"/>
  <c r="J92" i="213"/>
  <c r="K92" i="213"/>
  <c r="F92" i="214"/>
  <c r="K87" i="213"/>
  <c r="F87" i="214"/>
  <c r="J87" i="213"/>
  <c r="F81" i="214"/>
  <c r="J81" i="213"/>
  <c r="K81" i="213"/>
  <c r="F106" i="214"/>
  <c r="K106" i="213"/>
  <c r="J106" i="213"/>
  <c r="J124" i="213"/>
  <c r="K124" i="213"/>
  <c r="F124" i="214"/>
  <c r="J127" i="213"/>
  <c r="K127" i="213"/>
  <c r="F127" i="214"/>
  <c r="K69" i="213"/>
  <c r="J69" i="213"/>
  <c r="F69" i="214"/>
  <c r="K70" i="213"/>
  <c r="F70" i="214"/>
  <c r="J70" i="213"/>
  <c r="K59" i="212"/>
  <c r="F59" i="213"/>
  <c r="J59" i="212"/>
  <c r="J147" i="213"/>
  <c r="K147" i="213"/>
  <c r="F147" i="214"/>
  <c r="J88" i="213"/>
  <c r="F88" i="214"/>
  <c r="K88" i="213"/>
  <c r="K135" i="213"/>
  <c r="J135" i="213"/>
  <c r="F135" i="214"/>
  <c r="J113" i="213"/>
  <c r="K113" i="213"/>
  <c r="F113" i="214"/>
  <c r="K134" i="213"/>
  <c r="J134" i="213"/>
  <c r="F134" i="214"/>
  <c r="J139" i="213"/>
  <c r="F139" i="214"/>
  <c r="K139" i="213"/>
  <c r="K96" i="213"/>
  <c r="J96" i="213"/>
  <c r="F96" i="214"/>
  <c r="F82" i="214"/>
  <c r="K82" i="213"/>
  <c r="J82" i="213"/>
  <c r="J148" i="213"/>
  <c r="K148" i="213"/>
  <c r="F148" i="214"/>
  <c r="J115" i="213"/>
  <c r="K115" i="213"/>
  <c r="F115" i="214"/>
  <c r="F73" i="214"/>
  <c r="J73" i="213"/>
  <c r="K73" i="213"/>
  <c r="K62" i="213"/>
  <c r="J62" i="213"/>
  <c r="F62" i="214"/>
  <c r="F97" i="214"/>
  <c r="J97" i="213"/>
  <c r="K97" i="213"/>
  <c r="F78" i="214"/>
  <c r="J78" i="213"/>
  <c r="K78" i="213"/>
  <c r="F83" i="214"/>
  <c r="J83" i="213"/>
  <c r="K83" i="213"/>
  <c r="K111" i="213"/>
  <c r="J111" i="213"/>
  <c r="F111" i="214"/>
  <c r="K130" i="213"/>
  <c r="F130" i="214"/>
  <c r="J130" i="213"/>
  <c r="F65" i="214"/>
  <c r="J65" i="213"/>
  <c r="K65" i="213"/>
  <c r="K86" i="213"/>
  <c r="J86" i="213"/>
  <c r="F86" i="214"/>
  <c r="K95" i="213"/>
  <c r="J95" i="213"/>
  <c r="F95" i="214"/>
  <c r="J145" i="213"/>
  <c r="K145" i="213"/>
  <c r="F145" i="214"/>
  <c r="K94" i="213"/>
  <c r="F94" i="214"/>
  <c r="J94" i="213"/>
  <c r="J90" i="213"/>
  <c r="K90" i="213"/>
  <c r="F90" i="214"/>
  <c r="F75" i="214"/>
  <c r="K75" i="213"/>
  <c r="J75" i="213"/>
  <c r="K80" i="213"/>
  <c r="F80" i="214"/>
  <c r="J80" i="213"/>
  <c r="K112" i="213"/>
  <c r="F112" i="214"/>
  <c r="J112" i="213"/>
  <c r="J58" i="213"/>
  <c r="F58" i="214"/>
  <c r="K58" i="213"/>
  <c r="J84" i="213"/>
  <c r="F84" i="214"/>
  <c r="K84" i="213"/>
  <c r="K119" i="213"/>
  <c r="J119" i="213"/>
  <c r="F119" i="214"/>
  <c r="K137" i="213"/>
  <c r="F137" i="214"/>
  <c r="J137" i="213"/>
  <c r="K114" i="213"/>
  <c r="J114" i="213"/>
  <c r="F114" i="214"/>
  <c r="J99" i="213"/>
  <c r="K99" i="213"/>
  <c r="F99" i="214"/>
  <c r="J132" i="213"/>
  <c r="K132" i="213"/>
  <c r="F132" i="214"/>
  <c r="K77" i="213"/>
  <c r="J77" i="213"/>
  <c r="F77" i="214"/>
  <c r="K107" i="213"/>
  <c r="J107" i="213"/>
  <c r="F107" i="214"/>
  <c r="K72" i="213"/>
  <c r="F72" i="214"/>
  <c r="J72" i="213"/>
  <c r="J67" i="213"/>
  <c r="K67" i="213"/>
  <c r="F67" i="214"/>
  <c r="K91" i="213"/>
  <c r="J91" i="213"/>
  <c r="F91" i="214"/>
  <c r="J126" i="213"/>
  <c r="K126" i="213"/>
  <c r="F126" i="214"/>
  <c r="K74" i="213"/>
  <c r="J74" i="213"/>
  <c r="F74" i="214"/>
  <c r="K138" i="213"/>
  <c r="F138" i="214"/>
  <c r="J138" i="213"/>
  <c r="J93" i="213"/>
  <c r="K93" i="213"/>
  <c r="F93" i="214"/>
  <c r="J76" i="213"/>
  <c r="F76" i="214"/>
  <c r="K76" i="213"/>
  <c r="J60" i="213"/>
  <c r="F60" i="214"/>
  <c r="K60" i="213"/>
  <c r="F71" i="214"/>
  <c r="K71" i="213"/>
  <c r="J71" i="213"/>
  <c r="K123" i="213"/>
  <c r="J123" i="213"/>
  <c r="F123" i="214"/>
  <c r="J141" i="213"/>
  <c r="F141" i="214"/>
  <c r="K141" i="213"/>
  <c r="J89" i="213"/>
  <c r="K89" i="213"/>
  <c r="F89" i="214"/>
  <c r="J128" i="213"/>
  <c r="K128" i="213"/>
  <c r="F128" i="214"/>
  <c r="K136" i="213"/>
  <c r="F136" i="214"/>
  <c r="J136" i="213"/>
  <c r="K109" i="213"/>
  <c r="F109" i="214"/>
  <c r="J109" i="213"/>
  <c r="J108" i="213"/>
  <c r="K108" i="213"/>
  <c r="F108" i="214"/>
  <c r="K117" i="213"/>
  <c r="F117" i="214"/>
  <c r="J117" i="213"/>
  <c r="K120" i="213"/>
  <c r="F120" i="214"/>
  <c r="J120" i="213"/>
  <c r="K79" i="213"/>
  <c r="F79" i="214"/>
  <c r="J79" i="213"/>
  <c r="F149" i="212"/>
  <c r="J149" i="212" s="1"/>
  <c r="F85" i="214"/>
  <c r="K85" i="213"/>
  <c r="J85" i="213"/>
  <c r="J121" i="213"/>
  <c r="K121" i="213"/>
  <c r="F121" i="214"/>
  <c r="J68" i="213"/>
  <c r="K68" i="213"/>
  <c r="F68" i="214"/>
  <c r="K146" i="213"/>
  <c r="J146" i="213"/>
  <c r="F146" i="214"/>
  <c r="J144" i="213"/>
  <c r="K144" i="213"/>
  <c r="F144" i="214"/>
  <c r="J118" i="213"/>
  <c r="K118" i="213"/>
  <c r="F118" i="214"/>
  <c r="J64" i="213"/>
  <c r="K64" i="213"/>
  <c r="F64" i="214"/>
  <c r="J61" i="213"/>
  <c r="K61" i="213"/>
  <c r="F61" i="214"/>
  <c r="J63" i="215"/>
  <c r="K63" i="215"/>
  <c r="F63" i="216"/>
  <c r="BE10" i="118"/>
  <c r="G54" i="115" s="1"/>
  <c r="BE99" i="118"/>
  <c r="J116" i="214" l="1"/>
  <c r="K116" i="214"/>
  <c r="F116" i="215"/>
  <c r="F149" i="213"/>
  <c r="J149" i="213" s="1"/>
  <c r="K149" i="212"/>
  <c r="F117" i="215"/>
  <c r="J117" i="214"/>
  <c r="K117" i="214"/>
  <c r="F93" i="215"/>
  <c r="K93" i="214"/>
  <c r="J93" i="214"/>
  <c r="K115" i="214"/>
  <c r="J115" i="214"/>
  <c r="F115" i="215"/>
  <c r="J110" i="214"/>
  <c r="K110" i="214"/>
  <c r="F110" i="215"/>
  <c r="J81" i="214"/>
  <c r="K81" i="214"/>
  <c r="F81" i="215"/>
  <c r="J100" i="214"/>
  <c r="K100" i="214"/>
  <c r="F100" i="215"/>
  <c r="K114" i="214"/>
  <c r="J114" i="214"/>
  <c r="F114" i="215"/>
  <c r="J69" i="214"/>
  <c r="K69" i="214"/>
  <c r="F69" i="215"/>
  <c r="J87" i="214"/>
  <c r="F87" i="215"/>
  <c r="K87" i="214"/>
  <c r="K131" i="214"/>
  <c r="J131" i="214"/>
  <c r="F131" i="215"/>
  <c r="J80" i="214"/>
  <c r="K80" i="214"/>
  <c r="F80" i="215"/>
  <c r="J107" i="214"/>
  <c r="K107" i="214"/>
  <c r="F107" i="215"/>
  <c r="J137" i="214"/>
  <c r="K137" i="214"/>
  <c r="F137" i="215"/>
  <c r="K86" i="214"/>
  <c r="J86" i="214"/>
  <c r="F86" i="215"/>
  <c r="J135" i="214"/>
  <c r="K135" i="214"/>
  <c r="F135" i="215"/>
  <c r="K142" i="214"/>
  <c r="F142" i="215"/>
  <c r="J142" i="214"/>
  <c r="K66" i="214"/>
  <c r="J66" i="214"/>
  <c r="F66" i="215"/>
  <c r="J113" i="214"/>
  <c r="K113" i="214"/>
  <c r="F113" i="215"/>
  <c r="K72" i="214"/>
  <c r="J72" i="214"/>
  <c r="F72" i="215"/>
  <c r="J83" i="214"/>
  <c r="K83" i="214"/>
  <c r="F83" i="215"/>
  <c r="K148" i="214"/>
  <c r="J148" i="214"/>
  <c r="F148" i="215"/>
  <c r="J138" i="214"/>
  <c r="K138" i="214"/>
  <c r="F138" i="215"/>
  <c r="F118" i="215"/>
  <c r="K118" i="214"/>
  <c r="J118" i="214"/>
  <c r="F109" i="215"/>
  <c r="J109" i="214"/>
  <c r="K109" i="214"/>
  <c r="J74" i="214"/>
  <c r="K74" i="214"/>
  <c r="F74" i="215"/>
  <c r="K78" i="214"/>
  <c r="J78" i="214"/>
  <c r="F78" i="215"/>
  <c r="J92" i="214"/>
  <c r="K92" i="214"/>
  <c r="F92" i="215"/>
  <c r="K112" i="214"/>
  <c r="J112" i="214"/>
  <c r="F112" i="215"/>
  <c r="K141" i="214"/>
  <c r="F141" i="215"/>
  <c r="J141" i="214"/>
  <c r="F95" i="215"/>
  <c r="K95" i="214"/>
  <c r="J95" i="214"/>
  <c r="J70" i="214"/>
  <c r="K70" i="214"/>
  <c r="F70" i="215"/>
  <c r="F123" i="215"/>
  <c r="K123" i="214"/>
  <c r="J123" i="214"/>
  <c r="J85" i="214"/>
  <c r="F85" i="215"/>
  <c r="K85" i="214"/>
  <c r="K119" i="214"/>
  <c r="F119" i="215"/>
  <c r="J119" i="214"/>
  <c r="J127" i="214"/>
  <c r="F127" i="215"/>
  <c r="K127" i="214"/>
  <c r="J77" i="214"/>
  <c r="K77" i="214"/>
  <c r="F77" i="215"/>
  <c r="J75" i="214"/>
  <c r="F75" i="215"/>
  <c r="K75" i="214"/>
  <c r="K82" i="214"/>
  <c r="J82" i="214"/>
  <c r="F82" i="215"/>
  <c r="K144" i="214"/>
  <c r="J144" i="214"/>
  <c r="F144" i="215"/>
  <c r="K136" i="214"/>
  <c r="J136" i="214"/>
  <c r="F136" i="215"/>
  <c r="F71" i="215"/>
  <c r="J71" i="214"/>
  <c r="K71" i="214"/>
  <c r="J126" i="214"/>
  <c r="F126" i="215"/>
  <c r="K126" i="214"/>
  <c r="K90" i="214"/>
  <c r="F90" i="215"/>
  <c r="J90" i="214"/>
  <c r="J97" i="214"/>
  <c r="K97" i="214"/>
  <c r="F97" i="215"/>
  <c r="J96" i="214"/>
  <c r="K96" i="214"/>
  <c r="F96" i="215"/>
  <c r="K88" i="214"/>
  <c r="F88" i="215"/>
  <c r="J88" i="214"/>
  <c r="J98" i="214"/>
  <c r="K98" i="214"/>
  <c r="F98" i="215"/>
  <c r="K125" i="214"/>
  <c r="F125" i="215"/>
  <c r="J125" i="214"/>
  <c r="J133" i="214"/>
  <c r="K133" i="214"/>
  <c r="F133" i="215"/>
  <c r="K121" i="214"/>
  <c r="J121" i="214"/>
  <c r="F121" i="215"/>
  <c r="J79" i="214"/>
  <c r="K79" i="214"/>
  <c r="F79" i="215"/>
  <c r="J65" i="214"/>
  <c r="K65" i="214"/>
  <c r="F65" i="215"/>
  <c r="K62" i="214"/>
  <c r="J62" i="214"/>
  <c r="F62" i="215"/>
  <c r="J124" i="214"/>
  <c r="K124" i="214"/>
  <c r="F124" i="215"/>
  <c r="J108" i="214"/>
  <c r="F108" i="215"/>
  <c r="K108" i="214"/>
  <c r="K128" i="214"/>
  <c r="F128" i="215"/>
  <c r="J128" i="214"/>
  <c r="J60" i="214"/>
  <c r="F60" i="215"/>
  <c r="K60" i="214"/>
  <c r="J132" i="214"/>
  <c r="K132" i="214"/>
  <c r="F132" i="215"/>
  <c r="F84" i="215"/>
  <c r="K84" i="214"/>
  <c r="J84" i="214"/>
  <c r="J147" i="214"/>
  <c r="F147" i="215"/>
  <c r="K147" i="214"/>
  <c r="F122" i="215"/>
  <c r="K122" i="214"/>
  <c r="J122" i="214"/>
  <c r="K146" i="214"/>
  <c r="J146" i="214"/>
  <c r="F146" i="215"/>
  <c r="K91" i="214"/>
  <c r="J91" i="214"/>
  <c r="F91" i="215"/>
  <c r="K130" i="214"/>
  <c r="J130" i="214"/>
  <c r="F130" i="215"/>
  <c r="K143" i="214"/>
  <c r="J143" i="214"/>
  <c r="F143" i="215"/>
  <c r="K140" i="214"/>
  <c r="J140" i="214"/>
  <c r="F140" i="215"/>
  <c r="J120" i="214"/>
  <c r="F120" i="215"/>
  <c r="K120" i="214"/>
  <c r="J94" i="214"/>
  <c r="K94" i="214"/>
  <c r="F94" i="215"/>
  <c r="K139" i="214"/>
  <c r="F139" i="215"/>
  <c r="J139" i="214"/>
  <c r="J89" i="214"/>
  <c r="K89" i="214"/>
  <c r="F89" i="215"/>
  <c r="J76" i="214"/>
  <c r="F76" i="215"/>
  <c r="K76" i="214"/>
  <c r="K99" i="214"/>
  <c r="F99" i="215"/>
  <c r="J99" i="214"/>
  <c r="K58" i="214"/>
  <c r="J58" i="214"/>
  <c r="F58" i="215"/>
  <c r="J111" i="214"/>
  <c r="K111" i="214"/>
  <c r="F111" i="215"/>
  <c r="J68" i="214"/>
  <c r="F68" i="215"/>
  <c r="K68" i="214"/>
  <c r="K67" i="214"/>
  <c r="F67" i="215"/>
  <c r="J67" i="214"/>
  <c r="K145" i="214"/>
  <c r="J145" i="214"/>
  <c r="F145" i="215"/>
  <c r="K73" i="214"/>
  <c r="J73" i="214"/>
  <c r="F73" i="215"/>
  <c r="K134" i="214"/>
  <c r="J134" i="214"/>
  <c r="F134" i="215"/>
  <c r="F59" i="214"/>
  <c r="K59" i="213"/>
  <c r="J59" i="213"/>
  <c r="F106" i="215"/>
  <c r="J106" i="214"/>
  <c r="K106" i="214"/>
  <c r="K129" i="214"/>
  <c r="F129" i="215"/>
  <c r="J129" i="214"/>
  <c r="K57" i="213"/>
  <c r="J57" i="213"/>
  <c r="F57" i="214"/>
  <c r="F64" i="215"/>
  <c r="J64" i="214"/>
  <c r="K64" i="214"/>
  <c r="J61" i="214"/>
  <c r="F61" i="215"/>
  <c r="K61" i="214"/>
  <c r="J63" i="216"/>
  <c r="K63" i="216"/>
  <c r="F63" i="217"/>
  <c r="BD10" i="118"/>
  <c r="G53" i="115" s="1"/>
  <c r="BD99" i="118"/>
  <c r="F116" i="216" l="1"/>
  <c r="J116" i="215"/>
  <c r="K116" i="215"/>
  <c r="K149" i="213"/>
  <c r="K84" i="215"/>
  <c r="J84" i="215"/>
  <c r="F84" i="216"/>
  <c r="J62" i="215"/>
  <c r="K62" i="215"/>
  <c r="F62" i="216"/>
  <c r="K125" i="215"/>
  <c r="J125" i="215"/>
  <c r="F125" i="216"/>
  <c r="J148" i="215"/>
  <c r="F148" i="216"/>
  <c r="K148" i="215"/>
  <c r="F142" i="216"/>
  <c r="J142" i="215"/>
  <c r="K142" i="215"/>
  <c r="K81" i="215"/>
  <c r="J81" i="215"/>
  <c r="F81" i="216"/>
  <c r="J78" i="215"/>
  <c r="F78" i="216"/>
  <c r="K78" i="215"/>
  <c r="K131" i="215"/>
  <c r="J131" i="215"/>
  <c r="F131" i="216"/>
  <c r="J124" i="215"/>
  <c r="K124" i="215"/>
  <c r="F124" i="216"/>
  <c r="K111" i="215"/>
  <c r="J111" i="215"/>
  <c r="F111" i="216"/>
  <c r="F139" i="216"/>
  <c r="J139" i="215"/>
  <c r="K139" i="215"/>
  <c r="K123" i="215"/>
  <c r="J123" i="215"/>
  <c r="F123" i="216"/>
  <c r="K134" i="215"/>
  <c r="J134" i="215"/>
  <c r="F134" i="216"/>
  <c r="K91" i="215"/>
  <c r="J91" i="215"/>
  <c r="F91" i="216"/>
  <c r="K98" i="215"/>
  <c r="J98" i="215"/>
  <c r="F98" i="216"/>
  <c r="J126" i="215"/>
  <c r="F126" i="216"/>
  <c r="K126" i="215"/>
  <c r="F70" i="216"/>
  <c r="J70" i="215"/>
  <c r="K70" i="215"/>
  <c r="J135" i="215"/>
  <c r="K135" i="215"/>
  <c r="F135" i="216"/>
  <c r="J132" i="215"/>
  <c r="F132" i="216"/>
  <c r="K132" i="215"/>
  <c r="F75" i="216"/>
  <c r="K75" i="215"/>
  <c r="J75" i="215"/>
  <c r="F65" i="216"/>
  <c r="J65" i="215"/>
  <c r="K65" i="215"/>
  <c r="K77" i="215"/>
  <c r="F77" i="216"/>
  <c r="J77" i="215"/>
  <c r="F83" i="216"/>
  <c r="K83" i="215"/>
  <c r="J83" i="215"/>
  <c r="J110" i="215"/>
  <c r="F110" i="216"/>
  <c r="K110" i="215"/>
  <c r="J74" i="215"/>
  <c r="K74" i="215"/>
  <c r="F74" i="216"/>
  <c r="J59" i="214"/>
  <c r="K59" i="214"/>
  <c r="F59" i="215"/>
  <c r="K58" i="215"/>
  <c r="F58" i="216"/>
  <c r="J58" i="215"/>
  <c r="K73" i="215"/>
  <c r="F73" i="216"/>
  <c r="J73" i="215"/>
  <c r="K146" i="215"/>
  <c r="J146" i="215"/>
  <c r="F146" i="216"/>
  <c r="K60" i="215"/>
  <c r="F60" i="216"/>
  <c r="J60" i="215"/>
  <c r="F86" i="216"/>
  <c r="J86" i="215"/>
  <c r="K86" i="215"/>
  <c r="K87" i="215"/>
  <c r="J87" i="215"/>
  <c r="F87" i="216"/>
  <c r="K67" i="215"/>
  <c r="J67" i="215"/>
  <c r="F67" i="216"/>
  <c r="K57" i="214"/>
  <c r="J57" i="214"/>
  <c r="F57" i="215"/>
  <c r="J79" i="215"/>
  <c r="K79" i="215"/>
  <c r="F79" i="216"/>
  <c r="J88" i="215"/>
  <c r="K88" i="215"/>
  <c r="F88" i="216"/>
  <c r="J71" i="215"/>
  <c r="K71" i="215"/>
  <c r="F71" i="216"/>
  <c r="J72" i="215"/>
  <c r="K72" i="215"/>
  <c r="F72" i="216"/>
  <c r="K115" i="215"/>
  <c r="J115" i="215"/>
  <c r="F115" i="216"/>
  <c r="K94" i="215"/>
  <c r="J94" i="215"/>
  <c r="F94" i="216"/>
  <c r="J120" i="215"/>
  <c r="K120" i="215"/>
  <c r="F120" i="216"/>
  <c r="K136" i="215"/>
  <c r="F136" i="216"/>
  <c r="J136" i="215"/>
  <c r="J127" i="215"/>
  <c r="K127" i="215"/>
  <c r="F127" i="216"/>
  <c r="J95" i="215"/>
  <c r="K95" i="215"/>
  <c r="F95" i="216"/>
  <c r="J69" i="215"/>
  <c r="K69" i="215"/>
  <c r="F69" i="216"/>
  <c r="K143" i="215"/>
  <c r="J143" i="215"/>
  <c r="F143" i="216"/>
  <c r="J99" i="215"/>
  <c r="F99" i="216"/>
  <c r="K99" i="215"/>
  <c r="K128" i="215"/>
  <c r="F128" i="216"/>
  <c r="J128" i="215"/>
  <c r="F96" i="216"/>
  <c r="K96" i="215"/>
  <c r="J96" i="215"/>
  <c r="J137" i="215"/>
  <c r="K137" i="215"/>
  <c r="F137" i="216"/>
  <c r="K140" i="215"/>
  <c r="F140" i="216"/>
  <c r="J140" i="215"/>
  <c r="F121" i="216"/>
  <c r="K121" i="215"/>
  <c r="J121" i="215"/>
  <c r="J141" i="215"/>
  <c r="F141" i="216"/>
  <c r="K141" i="215"/>
  <c r="K109" i="215"/>
  <c r="J109" i="215"/>
  <c r="F109" i="216"/>
  <c r="K113" i="215"/>
  <c r="F113" i="216"/>
  <c r="J113" i="215"/>
  <c r="J129" i="215"/>
  <c r="K129" i="215"/>
  <c r="F129" i="216"/>
  <c r="F122" i="216"/>
  <c r="K122" i="215"/>
  <c r="J122" i="215"/>
  <c r="J144" i="215"/>
  <c r="K144" i="215"/>
  <c r="F144" i="216"/>
  <c r="F119" i="216"/>
  <c r="J119" i="215"/>
  <c r="K119" i="215"/>
  <c r="J114" i="215"/>
  <c r="K114" i="215"/>
  <c r="F114" i="216"/>
  <c r="K147" i="215"/>
  <c r="J147" i="215"/>
  <c r="F147" i="216"/>
  <c r="J145" i="215"/>
  <c r="F145" i="216"/>
  <c r="K145" i="215"/>
  <c r="K76" i="215"/>
  <c r="J76" i="215"/>
  <c r="F76" i="216"/>
  <c r="K108" i="215"/>
  <c r="J108" i="215"/>
  <c r="F108" i="216"/>
  <c r="K97" i="215"/>
  <c r="J97" i="215"/>
  <c r="F97" i="216"/>
  <c r="J112" i="215"/>
  <c r="K112" i="215"/>
  <c r="F112" i="216"/>
  <c r="J107" i="215"/>
  <c r="K107" i="215"/>
  <c r="F107" i="216"/>
  <c r="K93" i="215"/>
  <c r="J93" i="215"/>
  <c r="F93" i="216"/>
  <c r="J133" i="215"/>
  <c r="F133" i="216"/>
  <c r="K133" i="215"/>
  <c r="K118" i="215"/>
  <c r="J118" i="215"/>
  <c r="F118" i="216"/>
  <c r="F66" i="216"/>
  <c r="J66" i="215"/>
  <c r="K66" i="215"/>
  <c r="K82" i="215"/>
  <c r="J82" i="215"/>
  <c r="F82" i="216"/>
  <c r="K85" i="215"/>
  <c r="J85" i="215"/>
  <c r="F85" i="216"/>
  <c r="J138" i="215"/>
  <c r="F138" i="216"/>
  <c r="K138" i="215"/>
  <c r="F100" i="216"/>
  <c r="J100" i="215"/>
  <c r="K100" i="215"/>
  <c r="F89" i="216"/>
  <c r="J89" i="215"/>
  <c r="K89" i="215"/>
  <c r="F106" i="216"/>
  <c r="K106" i="215"/>
  <c r="J106" i="215"/>
  <c r="J92" i="215"/>
  <c r="K92" i="215"/>
  <c r="F92" i="216"/>
  <c r="F80" i="216"/>
  <c r="K80" i="215"/>
  <c r="J80" i="215"/>
  <c r="J117" i="215"/>
  <c r="F117" i="216"/>
  <c r="K117" i="215"/>
  <c r="F149" i="214"/>
  <c r="J149" i="214" s="1"/>
  <c r="J68" i="215"/>
  <c r="K68" i="215"/>
  <c r="F68" i="216"/>
  <c r="K130" i="215"/>
  <c r="J130" i="215"/>
  <c r="F130" i="216"/>
  <c r="J90" i="215"/>
  <c r="K90" i="215"/>
  <c r="F90" i="216"/>
  <c r="J64" i="215"/>
  <c r="F64" i="216"/>
  <c r="K64" i="215"/>
  <c r="K61" i="215"/>
  <c r="F61" i="216"/>
  <c r="J61" i="215"/>
  <c r="J63" i="217"/>
  <c r="K63" i="217"/>
  <c r="F63" i="218"/>
  <c r="BC99" i="118"/>
  <c r="BC10" i="118"/>
  <c r="G52" i="115" s="1"/>
  <c r="F116" i="217" l="1"/>
  <c r="K116" i="216"/>
  <c r="J116" i="216"/>
  <c r="F149" i="215"/>
  <c r="J149" i="215" s="1"/>
  <c r="K149" i="214"/>
  <c r="J139" i="216"/>
  <c r="K139" i="216"/>
  <c r="F139" i="217"/>
  <c r="J133" i="216"/>
  <c r="K133" i="216"/>
  <c r="F133" i="217"/>
  <c r="J144" i="216"/>
  <c r="K144" i="216"/>
  <c r="F144" i="217"/>
  <c r="J141" i="216"/>
  <c r="K141" i="216"/>
  <c r="F141" i="217"/>
  <c r="K59" i="215"/>
  <c r="J59" i="215"/>
  <c r="F59" i="216"/>
  <c r="J111" i="216"/>
  <c r="K111" i="216"/>
  <c r="F111" i="217"/>
  <c r="K138" i="216"/>
  <c r="F138" i="217"/>
  <c r="J138" i="216"/>
  <c r="K76" i="216"/>
  <c r="F76" i="217"/>
  <c r="J76" i="216"/>
  <c r="K136" i="216"/>
  <c r="J136" i="216"/>
  <c r="F136" i="217"/>
  <c r="K65" i="216"/>
  <c r="J65" i="216"/>
  <c r="F65" i="217"/>
  <c r="J98" i="216"/>
  <c r="K98" i="216"/>
  <c r="F98" i="217"/>
  <c r="K142" i="216"/>
  <c r="J142" i="216"/>
  <c r="F142" i="217"/>
  <c r="K93" i="216"/>
  <c r="J93" i="216"/>
  <c r="F93" i="217"/>
  <c r="K99" i="216"/>
  <c r="J99" i="216"/>
  <c r="F99" i="217"/>
  <c r="J88" i="216"/>
  <c r="K88" i="216"/>
  <c r="F88" i="217"/>
  <c r="F85" i="217"/>
  <c r="J85" i="216"/>
  <c r="K85" i="216"/>
  <c r="J86" i="216"/>
  <c r="F86" i="217"/>
  <c r="K86" i="216"/>
  <c r="F74" i="217"/>
  <c r="J74" i="216"/>
  <c r="K74" i="216"/>
  <c r="K124" i="216"/>
  <c r="J124" i="216"/>
  <c r="F124" i="217"/>
  <c r="J148" i="216"/>
  <c r="F148" i="217"/>
  <c r="K148" i="216"/>
  <c r="K126" i="216"/>
  <c r="J126" i="216"/>
  <c r="F126" i="217"/>
  <c r="F80" i="217"/>
  <c r="J80" i="216"/>
  <c r="K80" i="216"/>
  <c r="K90" i="216"/>
  <c r="J90" i="216"/>
  <c r="F90" i="217"/>
  <c r="K92" i="216"/>
  <c r="J92" i="216"/>
  <c r="F92" i="217"/>
  <c r="J121" i="216"/>
  <c r="K121" i="216"/>
  <c r="F121" i="217"/>
  <c r="J143" i="216"/>
  <c r="K143" i="216"/>
  <c r="F143" i="217"/>
  <c r="K75" i="216"/>
  <c r="F75" i="217"/>
  <c r="J75" i="216"/>
  <c r="J91" i="216"/>
  <c r="K91" i="216"/>
  <c r="F91" i="217"/>
  <c r="K100" i="216"/>
  <c r="J100" i="216"/>
  <c r="F100" i="217"/>
  <c r="K120" i="216"/>
  <c r="J120" i="216"/>
  <c r="F120" i="217"/>
  <c r="K107" i="216"/>
  <c r="J107" i="216"/>
  <c r="F107" i="217"/>
  <c r="K145" i="216"/>
  <c r="J145" i="216"/>
  <c r="F145" i="217"/>
  <c r="F122" i="217"/>
  <c r="J122" i="216"/>
  <c r="K122" i="216"/>
  <c r="J79" i="216"/>
  <c r="K79" i="216"/>
  <c r="F79" i="217"/>
  <c r="K60" i="216"/>
  <c r="F60" i="217"/>
  <c r="J60" i="216"/>
  <c r="J125" i="216"/>
  <c r="F125" i="217"/>
  <c r="K125" i="216"/>
  <c r="K129" i="216"/>
  <c r="J129" i="216"/>
  <c r="F129" i="217"/>
  <c r="K140" i="216"/>
  <c r="F140" i="217"/>
  <c r="J140" i="216"/>
  <c r="J94" i="216"/>
  <c r="K94" i="216"/>
  <c r="F94" i="217"/>
  <c r="F132" i="217"/>
  <c r="K132" i="216"/>
  <c r="J132" i="216"/>
  <c r="F131" i="217"/>
  <c r="J131" i="216"/>
  <c r="K131" i="216"/>
  <c r="J71" i="216"/>
  <c r="K71" i="216"/>
  <c r="F71" i="217"/>
  <c r="J82" i="216"/>
  <c r="K82" i="216"/>
  <c r="F82" i="217"/>
  <c r="K130" i="216"/>
  <c r="J130" i="216"/>
  <c r="F130" i="217"/>
  <c r="F147" i="217"/>
  <c r="K147" i="216"/>
  <c r="J147" i="216"/>
  <c r="K69" i="216"/>
  <c r="J69" i="216"/>
  <c r="F69" i="217"/>
  <c r="J146" i="216"/>
  <c r="F146" i="217"/>
  <c r="K146" i="216"/>
  <c r="F110" i="217"/>
  <c r="K110" i="216"/>
  <c r="J110" i="216"/>
  <c r="J134" i="216"/>
  <c r="F134" i="217"/>
  <c r="K134" i="216"/>
  <c r="K112" i="216"/>
  <c r="J112" i="216"/>
  <c r="F112" i="217"/>
  <c r="J137" i="216"/>
  <c r="K137" i="216"/>
  <c r="F137" i="217"/>
  <c r="K57" i="215"/>
  <c r="F57" i="216"/>
  <c r="J57" i="215"/>
  <c r="J135" i="216"/>
  <c r="K135" i="216"/>
  <c r="F135" i="217"/>
  <c r="J62" i="216"/>
  <c r="K62" i="216"/>
  <c r="F62" i="217"/>
  <c r="J106" i="216"/>
  <c r="K106" i="216"/>
  <c r="F106" i="217"/>
  <c r="F115" i="217"/>
  <c r="K115" i="216"/>
  <c r="J115" i="216"/>
  <c r="F128" i="217"/>
  <c r="K128" i="216"/>
  <c r="J128" i="216"/>
  <c r="F123" i="217"/>
  <c r="K123" i="216"/>
  <c r="J123" i="216"/>
  <c r="K78" i="216"/>
  <c r="J78" i="216"/>
  <c r="F78" i="217"/>
  <c r="F114" i="217"/>
  <c r="K114" i="216"/>
  <c r="J114" i="216"/>
  <c r="K113" i="216"/>
  <c r="J113" i="216"/>
  <c r="F113" i="217"/>
  <c r="F66" i="217"/>
  <c r="J66" i="216"/>
  <c r="K66" i="216"/>
  <c r="K97" i="216"/>
  <c r="J97" i="216"/>
  <c r="F97" i="217"/>
  <c r="K67" i="216"/>
  <c r="J67" i="216"/>
  <c r="F67" i="217"/>
  <c r="J73" i="216"/>
  <c r="K73" i="216"/>
  <c r="F73" i="217"/>
  <c r="J83" i="216"/>
  <c r="K83" i="216"/>
  <c r="F83" i="217"/>
  <c r="J84" i="216"/>
  <c r="K84" i="216"/>
  <c r="F84" i="217"/>
  <c r="K117" i="216"/>
  <c r="J117" i="216"/>
  <c r="F117" i="217"/>
  <c r="K119" i="216"/>
  <c r="J119" i="216"/>
  <c r="F119" i="217"/>
  <c r="J68" i="216"/>
  <c r="F68" i="217"/>
  <c r="K68" i="216"/>
  <c r="J95" i="216"/>
  <c r="K95" i="216"/>
  <c r="F95" i="217"/>
  <c r="K89" i="216"/>
  <c r="J89" i="216"/>
  <c r="F89" i="217"/>
  <c r="K118" i="216"/>
  <c r="F118" i="217"/>
  <c r="J118" i="216"/>
  <c r="K109" i="216"/>
  <c r="J109" i="216"/>
  <c r="F109" i="217"/>
  <c r="K72" i="216"/>
  <c r="F72" i="217"/>
  <c r="J72" i="216"/>
  <c r="F81" i="217"/>
  <c r="K81" i="216"/>
  <c r="J81" i="216"/>
  <c r="K96" i="216"/>
  <c r="J96" i="216"/>
  <c r="F96" i="217"/>
  <c r="J127" i="216"/>
  <c r="F127" i="217"/>
  <c r="K127" i="216"/>
  <c r="K77" i="216"/>
  <c r="F77" i="217"/>
  <c r="J77" i="216"/>
  <c r="J70" i="216"/>
  <c r="K70" i="216"/>
  <c r="F70" i="217"/>
  <c r="F108" i="217"/>
  <c r="K108" i="216"/>
  <c r="J108" i="216"/>
  <c r="J87" i="216"/>
  <c r="K87" i="216"/>
  <c r="F87" i="217"/>
  <c r="J58" i="216"/>
  <c r="K58" i="216"/>
  <c r="F58" i="217"/>
  <c r="K64" i="216"/>
  <c r="J64" i="216"/>
  <c r="F64" i="217"/>
  <c r="F61" i="217"/>
  <c r="K61" i="216"/>
  <c r="J61" i="216"/>
  <c r="J63" i="218"/>
  <c r="K63" i="218"/>
  <c r="F63" i="219"/>
  <c r="BB99" i="118"/>
  <c r="BB10" i="118"/>
  <c r="G51" i="115" s="1"/>
  <c r="K116" i="217" l="1"/>
  <c r="J116" i="217"/>
  <c r="F116" i="218"/>
  <c r="F149" i="216"/>
  <c r="J149" i="216" s="1"/>
  <c r="K149" i="215"/>
  <c r="K72" i="217"/>
  <c r="F72" i="218"/>
  <c r="J72" i="217"/>
  <c r="F67" i="218"/>
  <c r="K67" i="217"/>
  <c r="J67" i="217"/>
  <c r="F145" i="218"/>
  <c r="J145" i="217"/>
  <c r="K145" i="217"/>
  <c r="J75" i="217"/>
  <c r="K75" i="217"/>
  <c r="F75" i="218"/>
  <c r="K80" i="217"/>
  <c r="J80" i="217"/>
  <c r="F80" i="218"/>
  <c r="J106" i="217"/>
  <c r="K106" i="217"/>
  <c r="F106" i="218"/>
  <c r="J119" i="217"/>
  <c r="K119" i="217"/>
  <c r="F119" i="218"/>
  <c r="J135" i="217"/>
  <c r="K135" i="217"/>
  <c r="F135" i="218"/>
  <c r="J129" i="217"/>
  <c r="F129" i="218"/>
  <c r="K129" i="217"/>
  <c r="K126" i="217"/>
  <c r="J126" i="217"/>
  <c r="F126" i="218"/>
  <c r="J59" i="216"/>
  <c r="K59" i="216"/>
  <c r="F59" i="217"/>
  <c r="K89" i="217"/>
  <c r="J89" i="217"/>
  <c r="F89" i="218"/>
  <c r="K109" i="217"/>
  <c r="F109" i="218"/>
  <c r="J109" i="217"/>
  <c r="J110" i="217"/>
  <c r="K110" i="217"/>
  <c r="F110" i="218"/>
  <c r="K71" i="217"/>
  <c r="J71" i="217"/>
  <c r="F71" i="218"/>
  <c r="J143" i="217"/>
  <c r="K143" i="217"/>
  <c r="F143" i="218"/>
  <c r="K85" i="217"/>
  <c r="F85" i="218"/>
  <c r="J85" i="217"/>
  <c r="F65" i="218"/>
  <c r="K65" i="217"/>
  <c r="J65" i="217"/>
  <c r="J95" i="217"/>
  <c r="K95" i="217"/>
  <c r="F95" i="218"/>
  <c r="J66" i="217"/>
  <c r="K66" i="217"/>
  <c r="F66" i="218"/>
  <c r="J94" i="217"/>
  <c r="K94" i="217"/>
  <c r="F94" i="218"/>
  <c r="K70" i="217"/>
  <c r="J70" i="217"/>
  <c r="F70" i="218"/>
  <c r="J88" i="217"/>
  <c r="F88" i="218"/>
  <c r="K88" i="217"/>
  <c r="J117" i="217"/>
  <c r="K117" i="217"/>
  <c r="F117" i="218"/>
  <c r="J146" i="217"/>
  <c r="F146" i="218"/>
  <c r="K146" i="217"/>
  <c r="J141" i="217"/>
  <c r="K141" i="217"/>
  <c r="F141" i="218"/>
  <c r="J147" i="217"/>
  <c r="F147" i="218"/>
  <c r="K147" i="217"/>
  <c r="J97" i="217"/>
  <c r="K97" i="217"/>
  <c r="F97" i="218"/>
  <c r="K107" i="217"/>
  <c r="J107" i="217"/>
  <c r="F107" i="218"/>
  <c r="K123" i="217"/>
  <c r="J123" i="217"/>
  <c r="F123" i="218"/>
  <c r="K57" i="216"/>
  <c r="F57" i="217"/>
  <c r="J57" i="216"/>
  <c r="K125" i="217"/>
  <c r="F125" i="218"/>
  <c r="J125" i="217"/>
  <c r="K121" i="217"/>
  <c r="J121" i="217"/>
  <c r="F121" i="218"/>
  <c r="K148" i="217"/>
  <c r="J148" i="217"/>
  <c r="F148" i="218"/>
  <c r="K136" i="217"/>
  <c r="F136" i="218"/>
  <c r="J136" i="217"/>
  <c r="K77" i="217"/>
  <c r="J77" i="217"/>
  <c r="F77" i="218"/>
  <c r="K118" i="217"/>
  <c r="J118" i="217"/>
  <c r="F118" i="218"/>
  <c r="F69" i="218"/>
  <c r="J69" i="217"/>
  <c r="K69" i="217"/>
  <c r="K120" i="217"/>
  <c r="F120" i="218"/>
  <c r="J120" i="217"/>
  <c r="K99" i="217"/>
  <c r="J99" i="217"/>
  <c r="F99" i="218"/>
  <c r="K58" i="217"/>
  <c r="F58" i="218"/>
  <c r="J58" i="217"/>
  <c r="K127" i="217"/>
  <c r="J127" i="217"/>
  <c r="F127" i="218"/>
  <c r="F84" i="218"/>
  <c r="K84" i="217"/>
  <c r="J84" i="217"/>
  <c r="F128" i="218"/>
  <c r="J128" i="217"/>
  <c r="K128" i="217"/>
  <c r="J137" i="217"/>
  <c r="F137" i="218"/>
  <c r="K137" i="217"/>
  <c r="K131" i="217"/>
  <c r="F131" i="218"/>
  <c r="J131" i="217"/>
  <c r="K124" i="217"/>
  <c r="J124" i="217"/>
  <c r="F124" i="218"/>
  <c r="J144" i="217"/>
  <c r="F144" i="218"/>
  <c r="K144" i="217"/>
  <c r="J60" i="217"/>
  <c r="K60" i="217"/>
  <c r="F60" i="218"/>
  <c r="K92" i="217"/>
  <c r="J92" i="217"/>
  <c r="F92" i="218"/>
  <c r="J96" i="217"/>
  <c r="K96" i="217"/>
  <c r="F96" i="218"/>
  <c r="J113" i="217"/>
  <c r="K113" i="217"/>
  <c r="F113" i="218"/>
  <c r="K100" i="217"/>
  <c r="J100" i="217"/>
  <c r="F100" i="218"/>
  <c r="J93" i="217"/>
  <c r="K93" i="217"/>
  <c r="F93" i="218"/>
  <c r="F76" i="218"/>
  <c r="K76" i="217"/>
  <c r="J76" i="217"/>
  <c r="J87" i="217"/>
  <c r="K87" i="217"/>
  <c r="F87" i="218"/>
  <c r="J83" i="217"/>
  <c r="K83" i="217"/>
  <c r="F83" i="218"/>
  <c r="K115" i="217"/>
  <c r="J115" i="217"/>
  <c r="F115" i="218"/>
  <c r="J112" i="217"/>
  <c r="K112" i="217"/>
  <c r="F112" i="218"/>
  <c r="J132" i="217"/>
  <c r="F132" i="218"/>
  <c r="K132" i="217"/>
  <c r="J79" i="217"/>
  <c r="F79" i="218"/>
  <c r="K79" i="217"/>
  <c r="K133" i="217"/>
  <c r="J133" i="217"/>
  <c r="F133" i="218"/>
  <c r="J90" i="217"/>
  <c r="F90" i="218"/>
  <c r="K90" i="217"/>
  <c r="J130" i="217"/>
  <c r="K130" i="217"/>
  <c r="F130" i="218"/>
  <c r="K91" i="217"/>
  <c r="J91" i="217"/>
  <c r="F91" i="218"/>
  <c r="F74" i="218"/>
  <c r="J74" i="217"/>
  <c r="K74" i="217"/>
  <c r="J142" i="217"/>
  <c r="F142" i="218"/>
  <c r="K142" i="217"/>
  <c r="J138" i="217"/>
  <c r="K138" i="217"/>
  <c r="F138" i="218"/>
  <c r="K73" i="217"/>
  <c r="J73" i="217"/>
  <c r="F73" i="218"/>
  <c r="K139" i="217"/>
  <c r="J139" i="217"/>
  <c r="F139" i="218"/>
  <c r="K81" i="217"/>
  <c r="J81" i="217"/>
  <c r="F81" i="218"/>
  <c r="K114" i="217"/>
  <c r="J114" i="217"/>
  <c r="F114" i="218"/>
  <c r="J62" i="217"/>
  <c r="K62" i="217"/>
  <c r="F62" i="218"/>
  <c r="J134" i="217"/>
  <c r="F134" i="218"/>
  <c r="K134" i="217"/>
  <c r="J86" i="217"/>
  <c r="F86" i="218"/>
  <c r="K86" i="217"/>
  <c r="F111" i="218"/>
  <c r="J111" i="217"/>
  <c r="K111" i="217"/>
  <c r="F108" i="218"/>
  <c r="J108" i="217"/>
  <c r="K108" i="217"/>
  <c r="J68" i="217"/>
  <c r="K68" i="217"/>
  <c r="F68" i="218"/>
  <c r="K78" i="217"/>
  <c r="F78" i="218"/>
  <c r="J78" i="217"/>
  <c r="F82" i="218"/>
  <c r="J82" i="217"/>
  <c r="K82" i="217"/>
  <c r="K140" i="217"/>
  <c r="F140" i="218"/>
  <c r="J140" i="217"/>
  <c r="K122" i="217"/>
  <c r="J122" i="217"/>
  <c r="F122" i="218"/>
  <c r="J98" i="217"/>
  <c r="K98" i="217"/>
  <c r="F98" i="218"/>
  <c r="J64" i="217"/>
  <c r="K64" i="217"/>
  <c r="F64" i="218"/>
  <c r="K61" i="217"/>
  <c r="J61" i="217"/>
  <c r="F61" i="218"/>
  <c r="J63" i="219"/>
  <c r="K63" i="219"/>
  <c r="F63" i="220"/>
  <c r="BA99" i="118"/>
  <c r="BA10" i="118"/>
  <c r="G50" i="115" s="1"/>
  <c r="J116" i="218" l="1"/>
  <c r="F116" i="219"/>
  <c r="K116" i="218"/>
  <c r="F149" i="217"/>
  <c r="J149" i="217" s="1"/>
  <c r="K149" i="216"/>
  <c r="J73" i="218"/>
  <c r="K73" i="218"/>
  <c r="F73" i="219"/>
  <c r="J100" i="218"/>
  <c r="K100" i="218"/>
  <c r="F100" i="219"/>
  <c r="F144" i="219"/>
  <c r="K144" i="218"/>
  <c r="J144" i="218"/>
  <c r="K84" i="218"/>
  <c r="F84" i="219"/>
  <c r="J84" i="218"/>
  <c r="F118" i="219"/>
  <c r="J118" i="218"/>
  <c r="K118" i="218"/>
  <c r="K125" i="218"/>
  <c r="J125" i="218"/>
  <c r="F125" i="219"/>
  <c r="F94" i="219"/>
  <c r="J94" i="218"/>
  <c r="K94" i="218"/>
  <c r="J60" i="218"/>
  <c r="K60" i="218"/>
  <c r="F60" i="219"/>
  <c r="J82" i="218"/>
  <c r="K82" i="218"/>
  <c r="F82" i="219"/>
  <c r="K115" i="218"/>
  <c r="F115" i="219"/>
  <c r="J115" i="218"/>
  <c r="J127" i="218"/>
  <c r="F127" i="219"/>
  <c r="K127" i="218"/>
  <c r="F141" i="219"/>
  <c r="K141" i="218"/>
  <c r="J141" i="218"/>
  <c r="J126" i="218"/>
  <c r="F126" i="219"/>
  <c r="K126" i="218"/>
  <c r="F80" i="219"/>
  <c r="K80" i="218"/>
  <c r="J80" i="218"/>
  <c r="F76" i="219"/>
  <c r="K76" i="218"/>
  <c r="J76" i="218"/>
  <c r="F134" i="219"/>
  <c r="K134" i="218"/>
  <c r="J134" i="218"/>
  <c r="J124" i="218"/>
  <c r="F124" i="219"/>
  <c r="K124" i="218"/>
  <c r="K71" i="218"/>
  <c r="J71" i="218"/>
  <c r="F71" i="219"/>
  <c r="J78" i="218"/>
  <c r="K78" i="218"/>
  <c r="F78" i="219"/>
  <c r="J138" i="218"/>
  <c r="K138" i="218"/>
  <c r="F138" i="219"/>
  <c r="J90" i="218"/>
  <c r="K90" i="218"/>
  <c r="F90" i="219"/>
  <c r="K113" i="218"/>
  <c r="F113" i="219"/>
  <c r="J113" i="218"/>
  <c r="K77" i="218"/>
  <c r="J77" i="218"/>
  <c r="F77" i="219"/>
  <c r="K57" i="217"/>
  <c r="J57" i="217"/>
  <c r="F57" i="218"/>
  <c r="F66" i="219"/>
  <c r="J66" i="218"/>
  <c r="K66" i="218"/>
  <c r="J62" i="218"/>
  <c r="K62" i="218"/>
  <c r="F62" i="219"/>
  <c r="K83" i="218"/>
  <c r="J83" i="218"/>
  <c r="F83" i="219"/>
  <c r="J75" i="218"/>
  <c r="K75" i="218"/>
  <c r="F75" i="219"/>
  <c r="K68" i="218"/>
  <c r="J68" i="218"/>
  <c r="F68" i="219"/>
  <c r="J133" i="218"/>
  <c r="K133" i="218"/>
  <c r="F133" i="219"/>
  <c r="J58" i="218"/>
  <c r="K58" i="218"/>
  <c r="F58" i="219"/>
  <c r="K123" i="218"/>
  <c r="J123" i="218"/>
  <c r="F123" i="219"/>
  <c r="J146" i="218"/>
  <c r="K146" i="218"/>
  <c r="F146" i="219"/>
  <c r="K110" i="218"/>
  <c r="J110" i="218"/>
  <c r="F110" i="219"/>
  <c r="J129" i="218"/>
  <c r="F129" i="219"/>
  <c r="K129" i="218"/>
  <c r="F98" i="219"/>
  <c r="K98" i="218"/>
  <c r="J98" i="218"/>
  <c r="J96" i="218"/>
  <c r="F96" i="219"/>
  <c r="K96" i="218"/>
  <c r="F131" i="219"/>
  <c r="K131" i="218"/>
  <c r="J131" i="218"/>
  <c r="F95" i="219"/>
  <c r="J95" i="218"/>
  <c r="K95" i="218"/>
  <c r="K114" i="218"/>
  <c r="J114" i="218"/>
  <c r="F114" i="219"/>
  <c r="K142" i="218"/>
  <c r="J142" i="218"/>
  <c r="F142" i="219"/>
  <c r="F87" i="219"/>
  <c r="K87" i="218"/>
  <c r="J87" i="218"/>
  <c r="K99" i="218"/>
  <c r="J99" i="218"/>
  <c r="F99" i="219"/>
  <c r="F136" i="219"/>
  <c r="K136" i="218"/>
  <c r="J136" i="218"/>
  <c r="K117" i="218"/>
  <c r="J117" i="218"/>
  <c r="F117" i="219"/>
  <c r="F135" i="219"/>
  <c r="J135" i="218"/>
  <c r="K135" i="218"/>
  <c r="K107" i="218"/>
  <c r="J107" i="218"/>
  <c r="F107" i="219"/>
  <c r="J79" i="218"/>
  <c r="F79" i="219"/>
  <c r="K79" i="218"/>
  <c r="K92" i="218"/>
  <c r="J92" i="218"/>
  <c r="F92" i="219"/>
  <c r="J137" i="218"/>
  <c r="F137" i="219"/>
  <c r="K137" i="218"/>
  <c r="F148" i="219"/>
  <c r="K148" i="218"/>
  <c r="J148" i="218"/>
  <c r="J109" i="218"/>
  <c r="K109" i="218"/>
  <c r="F109" i="219"/>
  <c r="J145" i="218"/>
  <c r="K145" i="218"/>
  <c r="F145" i="219"/>
  <c r="J122" i="218"/>
  <c r="K122" i="218"/>
  <c r="F122" i="219"/>
  <c r="K108" i="218"/>
  <c r="J108" i="218"/>
  <c r="F108" i="219"/>
  <c r="K81" i="218"/>
  <c r="J81" i="218"/>
  <c r="F81" i="219"/>
  <c r="K119" i="218"/>
  <c r="F119" i="219"/>
  <c r="J119" i="218"/>
  <c r="K74" i="218"/>
  <c r="J74" i="218"/>
  <c r="F74" i="219"/>
  <c r="K120" i="218"/>
  <c r="F120" i="219"/>
  <c r="J120" i="218"/>
  <c r="J97" i="218"/>
  <c r="K97" i="218"/>
  <c r="F97" i="219"/>
  <c r="F88" i="219"/>
  <c r="K88" i="218"/>
  <c r="J88" i="218"/>
  <c r="J65" i="218"/>
  <c r="K65" i="218"/>
  <c r="F65" i="219"/>
  <c r="F89" i="219"/>
  <c r="K89" i="218"/>
  <c r="J89" i="218"/>
  <c r="J121" i="218"/>
  <c r="K121" i="218"/>
  <c r="F121" i="219"/>
  <c r="K67" i="218"/>
  <c r="J67" i="218"/>
  <c r="F67" i="219"/>
  <c r="J140" i="218"/>
  <c r="F140" i="219"/>
  <c r="K140" i="218"/>
  <c r="J111" i="218"/>
  <c r="K111" i="218"/>
  <c r="F111" i="219"/>
  <c r="K139" i="218"/>
  <c r="J139" i="218"/>
  <c r="F139" i="219"/>
  <c r="K93" i="218"/>
  <c r="J93" i="218"/>
  <c r="F93" i="219"/>
  <c r="K128" i="218"/>
  <c r="J128" i="218"/>
  <c r="F128" i="219"/>
  <c r="J70" i="218"/>
  <c r="K70" i="218"/>
  <c r="F70" i="219"/>
  <c r="K85" i="218"/>
  <c r="J85" i="218"/>
  <c r="F85" i="219"/>
  <c r="K91" i="218"/>
  <c r="J91" i="218"/>
  <c r="F91" i="219"/>
  <c r="K132" i="218"/>
  <c r="J132" i="218"/>
  <c r="F132" i="219"/>
  <c r="J112" i="218"/>
  <c r="K112" i="218"/>
  <c r="F112" i="219"/>
  <c r="K59" i="217"/>
  <c r="F59" i="218"/>
  <c r="J59" i="217"/>
  <c r="F106" i="219"/>
  <c r="J106" i="218"/>
  <c r="K106" i="218"/>
  <c r="K72" i="218"/>
  <c r="J72" i="218"/>
  <c r="F72" i="219"/>
  <c r="K86" i="218"/>
  <c r="J86" i="218"/>
  <c r="F86" i="219"/>
  <c r="K130" i="218"/>
  <c r="J130" i="218"/>
  <c r="F130" i="219"/>
  <c r="J69" i="218"/>
  <c r="K69" i="218"/>
  <c r="F69" i="219"/>
  <c r="F147" i="219"/>
  <c r="J147" i="218"/>
  <c r="K147" i="218"/>
  <c r="F143" i="219"/>
  <c r="K143" i="218"/>
  <c r="J143" i="218"/>
  <c r="K64" i="218"/>
  <c r="J64" i="218"/>
  <c r="F64" i="219"/>
  <c r="F61" i="219"/>
  <c r="J61" i="218"/>
  <c r="K61" i="218"/>
  <c r="K63" i="220"/>
  <c r="J63" i="220"/>
  <c r="F63" i="221"/>
  <c r="AZ99" i="118"/>
  <c r="AZ10" i="118"/>
  <c r="G49" i="115" s="1"/>
  <c r="J116" i="219" l="1"/>
  <c r="F116" i="220"/>
  <c r="K116" i="219"/>
  <c r="K149" i="217"/>
  <c r="J121" i="219"/>
  <c r="K121" i="219"/>
  <c r="F121" i="220"/>
  <c r="F120" i="220"/>
  <c r="K120" i="219"/>
  <c r="J120" i="219"/>
  <c r="K131" i="219"/>
  <c r="F131" i="220"/>
  <c r="J131" i="219"/>
  <c r="J123" i="219"/>
  <c r="K123" i="219"/>
  <c r="F123" i="220"/>
  <c r="K127" i="219"/>
  <c r="J127" i="219"/>
  <c r="F127" i="220"/>
  <c r="J93" i="219"/>
  <c r="K93" i="219"/>
  <c r="F93" i="220"/>
  <c r="J145" i="219"/>
  <c r="F145" i="220"/>
  <c r="K145" i="219"/>
  <c r="K79" i="219"/>
  <c r="J79" i="219"/>
  <c r="F79" i="220"/>
  <c r="F90" i="220"/>
  <c r="J90" i="219"/>
  <c r="K90" i="219"/>
  <c r="J132" i="219"/>
  <c r="K132" i="219"/>
  <c r="F132" i="220"/>
  <c r="K74" i="219"/>
  <c r="F74" i="220"/>
  <c r="J74" i="219"/>
  <c r="K96" i="219"/>
  <c r="J96" i="219"/>
  <c r="F96" i="220"/>
  <c r="J62" i="219"/>
  <c r="K62" i="219"/>
  <c r="F62" i="220"/>
  <c r="K134" i="219"/>
  <c r="J134" i="219"/>
  <c r="F134" i="220"/>
  <c r="K86" i="219"/>
  <c r="F86" i="220"/>
  <c r="J86" i="219"/>
  <c r="J107" i="219"/>
  <c r="K107" i="219"/>
  <c r="F107" i="220"/>
  <c r="J58" i="219"/>
  <c r="K58" i="219"/>
  <c r="F58" i="220"/>
  <c r="K115" i="219"/>
  <c r="J115" i="219"/>
  <c r="F115" i="220"/>
  <c r="J118" i="219"/>
  <c r="F118" i="220"/>
  <c r="K118" i="219"/>
  <c r="J139" i="219"/>
  <c r="K139" i="219"/>
  <c r="F139" i="220"/>
  <c r="K109" i="219"/>
  <c r="J109" i="219"/>
  <c r="F109" i="220"/>
  <c r="J87" i="219"/>
  <c r="K87" i="219"/>
  <c r="F87" i="220"/>
  <c r="F138" i="220"/>
  <c r="J138" i="219"/>
  <c r="K138" i="219"/>
  <c r="K91" i="219"/>
  <c r="F91" i="220"/>
  <c r="J91" i="219"/>
  <c r="J89" i="219"/>
  <c r="K89" i="219"/>
  <c r="F89" i="220"/>
  <c r="K142" i="219"/>
  <c r="J142" i="219"/>
  <c r="F142" i="220"/>
  <c r="K76" i="219"/>
  <c r="J76" i="219"/>
  <c r="F76" i="220"/>
  <c r="K82" i="219"/>
  <c r="J82" i="219"/>
  <c r="F82" i="220"/>
  <c r="K84" i="219"/>
  <c r="J84" i="219"/>
  <c r="F84" i="220"/>
  <c r="J98" i="219"/>
  <c r="K98" i="219"/>
  <c r="F98" i="220"/>
  <c r="K133" i="219"/>
  <c r="J133" i="219"/>
  <c r="F133" i="220"/>
  <c r="K111" i="219"/>
  <c r="F111" i="220"/>
  <c r="J111" i="219"/>
  <c r="F66" i="220"/>
  <c r="J66" i="219"/>
  <c r="K66" i="219"/>
  <c r="K78" i="219"/>
  <c r="J78" i="219"/>
  <c r="F78" i="220"/>
  <c r="J85" i="219"/>
  <c r="K85" i="219"/>
  <c r="F85" i="220"/>
  <c r="K81" i="219"/>
  <c r="J81" i="219"/>
  <c r="F81" i="220"/>
  <c r="F135" i="220"/>
  <c r="J135" i="219"/>
  <c r="K135" i="219"/>
  <c r="F114" i="220"/>
  <c r="K114" i="219"/>
  <c r="J114" i="219"/>
  <c r="J129" i="219"/>
  <c r="F129" i="220"/>
  <c r="K129" i="219"/>
  <c r="J57" i="218"/>
  <c r="K57" i="218"/>
  <c r="F57" i="219"/>
  <c r="F80" i="220"/>
  <c r="K80" i="219"/>
  <c r="J80" i="219"/>
  <c r="J60" i="219"/>
  <c r="K60" i="219"/>
  <c r="F60" i="220"/>
  <c r="K72" i="219"/>
  <c r="J72" i="219"/>
  <c r="F72" i="220"/>
  <c r="K143" i="219"/>
  <c r="J143" i="219"/>
  <c r="F143" i="220"/>
  <c r="K148" i="219"/>
  <c r="J148" i="219"/>
  <c r="F148" i="220"/>
  <c r="F117" i="220"/>
  <c r="K117" i="219"/>
  <c r="J117" i="219"/>
  <c r="F68" i="220"/>
  <c r="K68" i="219"/>
  <c r="J68" i="219"/>
  <c r="K144" i="219"/>
  <c r="J144" i="219"/>
  <c r="F144" i="220"/>
  <c r="J110" i="219"/>
  <c r="K110" i="219"/>
  <c r="F110" i="220"/>
  <c r="K71" i="219"/>
  <c r="J71" i="219"/>
  <c r="F71" i="220"/>
  <c r="K126" i="219"/>
  <c r="J126" i="219"/>
  <c r="F126" i="220"/>
  <c r="J100" i="219"/>
  <c r="K100" i="219"/>
  <c r="F100" i="220"/>
  <c r="J106" i="219"/>
  <c r="K106" i="219"/>
  <c r="F106" i="220"/>
  <c r="J70" i="219"/>
  <c r="K70" i="219"/>
  <c r="F70" i="220"/>
  <c r="J140" i="219"/>
  <c r="K140" i="219"/>
  <c r="F140" i="220"/>
  <c r="J88" i="219"/>
  <c r="K88" i="219"/>
  <c r="F88" i="220"/>
  <c r="J108" i="219"/>
  <c r="F108" i="220"/>
  <c r="K108" i="219"/>
  <c r="J137" i="219"/>
  <c r="K137" i="219"/>
  <c r="F137" i="220"/>
  <c r="F77" i="220"/>
  <c r="J77" i="219"/>
  <c r="K77" i="219"/>
  <c r="F147" i="220"/>
  <c r="K147" i="219"/>
  <c r="J147" i="219"/>
  <c r="K97" i="219"/>
  <c r="F97" i="220"/>
  <c r="J97" i="219"/>
  <c r="K75" i="219"/>
  <c r="F75" i="220"/>
  <c r="J75" i="219"/>
  <c r="J130" i="219"/>
  <c r="K130" i="219"/>
  <c r="F130" i="220"/>
  <c r="F69" i="220"/>
  <c r="J69" i="219"/>
  <c r="K69" i="219"/>
  <c r="K59" i="218"/>
  <c r="J59" i="218"/>
  <c r="F59" i="219"/>
  <c r="J67" i="219"/>
  <c r="K67" i="219"/>
  <c r="F67" i="220"/>
  <c r="K92" i="219"/>
  <c r="J92" i="219"/>
  <c r="F92" i="220"/>
  <c r="K95" i="219"/>
  <c r="J95" i="219"/>
  <c r="F95" i="220"/>
  <c r="J146" i="219"/>
  <c r="F146" i="220"/>
  <c r="K146" i="219"/>
  <c r="K94" i="219"/>
  <c r="F94" i="220"/>
  <c r="J94" i="219"/>
  <c r="J73" i="219"/>
  <c r="K73" i="219"/>
  <c r="F73" i="220"/>
  <c r="K119" i="219"/>
  <c r="J119" i="219"/>
  <c r="F119" i="220"/>
  <c r="K128" i="219"/>
  <c r="J128" i="219"/>
  <c r="F128" i="220"/>
  <c r="K122" i="219"/>
  <c r="J122" i="219"/>
  <c r="F122" i="220"/>
  <c r="K136" i="219"/>
  <c r="F136" i="220"/>
  <c r="J136" i="219"/>
  <c r="K124" i="219"/>
  <c r="J124" i="219"/>
  <c r="F124" i="220"/>
  <c r="F141" i="220"/>
  <c r="J141" i="219"/>
  <c r="K141" i="219"/>
  <c r="F125" i="220"/>
  <c r="K125" i="219"/>
  <c r="J125" i="219"/>
  <c r="J65" i="219"/>
  <c r="K65" i="219"/>
  <c r="F65" i="220"/>
  <c r="F149" i="218"/>
  <c r="J149" i="218" s="1"/>
  <c r="J112" i="219"/>
  <c r="F112" i="220"/>
  <c r="K112" i="219"/>
  <c r="J99" i="219"/>
  <c r="K99" i="219"/>
  <c r="F99" i="220"/>
  <c r="J83" i="219"/>
  <c r="K83" i="219"/>
  <c r="F83" i="220"/>
  <c r="J113" i="219"/>
  <c r="K113" i="219"/>
  <c r="F113" i="220"/>
  <c r="K64" i="219"/>
  <c r="J64" i="219"/>
  <c r="F64" i="220"/>
  <c r="F61" i="220"/>
  <c r="K61" i="219"/>
  <c r="J61" i="219"/>
  <c r="K63" i="221"/>
  <c r="J63" i="221"/>
  <c r="F63" i="222"/>
  <c r="AY99" i="118"/>
  <c r="AY10" i="118"/>
  <c r="G48" i="115" s="1"/>
  <c r="K116" i="220" l="1"/>
  <c r="J116" i="220"/>
  <c r="F116" i="221"/>
  <c r="K149" i="218"/>
  <c r="J144" i="220"/>
  <c r="F144" i="221"/>
  <c r="K144" i="220"/>
  <c r="F114" i="221"/>
  <c r="K114" i="220"/>
  <c r="J114" i="220"/>
  <c r="K107" i="220"/>
  <c r="J107" i="220"/>
  <c r="F107" i="221"/>
  <c r="J74" i="220"/>
  <c r="K74" i="220"/>
  <c r="F74" i="221"/>
  <c r="K59" i="219"/>
  <c r="J59" i="219"/>
  <c r="F59" i="220"/>
  <c r="J136" i="220"/>
  <c r="K136" i="220"/>
  <c r="F136" i="221"/>
  <c r="J77" i="220"/>
  <c r="K77" i="220"/>
  <c r="F77" i="221"/>
  <c r="J109" i="220"/>
  <c r="F109" i="221"/>
  <c r="K109" i="220"/>
  <c r="K127" i="220"/>
  <c r="J127" i="220"/>
  <c r="F127" i="221"/>
  <c r="F112" i="221"/>
  <c r="K112" i="220"/>
  <c r="J112" i="220"/>
  <c r="J106" i="220"/>
  <c r="K106" i="220"/>
  <c r="F106" i="221"/>
  <c r="J111" i="220"/>
  <c r="F111" i="221"/>
  <c r="K111" i="220"/>
  <c r="F122" i="221"/>
  <c r="J122" i="220"/>
  <c r="K122" i="220"/>
  <c r="K146" i="220"/>
  <c r="F146" i="221"/>
  <c r="J146" i="220"/>
  <c r="K69" i="220"/>
  <c r="J69" i="220"/>
  <c r="F69" i="221"/>
  <c r="K137" i="220"/>
  <c r="J137" i="220"/>
  <c r="F137" i="221"/>
  <c r="K60" i="220"/>
  <c r="J60" i="220"/>
  <c r="F60" i="221"/>
  <c r="K142" i="220"/>
  <c r="J142" i="220"/>
  <c r="F142" i="221"/>
  <c r="F132" i="221"/>
  <c r="K132" i="220"/>
  <c r="J132" i="220"/>
  <c r="J110" i="220"/>
  <c r="K110" i="220"/>
  <c r="F110" i="221"/>
  <c r="F65" i="221"/>
  <c r="J65" i="220"/>
  <c r="K65" i="220"/>
  <c r="J130" i="220"/>
  <c r="F130" i="221"/>
  <c r="K130" i="220"/>
  <c r="K135" i="220"/>
  <c r="J135" i="220"/>
  <c r="F135" i="221"/>
  <c r="K133" i="220"/>
  <c r="J133" i="220"/>
  <c r="F133" i="221"/>
  <c r="J123" i="220"/>
  <c r="K123" i="220"/>
  <c r="F123" i="221"/>
  <c r="K100" i="220"/>
  <c r="F100" i="221"/>
  <c r="J100" i="220"/>
  <c r="J81" i="220"/>
  <c r="K81" i="220"/>
  <c r="F81" i="221"/>
  <c r="F86" i="221"/>
  <c r="K86" i="220"/>
  <c r="J86" i="220"/>
  <c r="F128" i="221"/>
  <c r="K128" i="220"/>
  <c r="J128" i="220"/>
  <c r="J68" i="220"/>
  <c r="K68" i="220"/>
  <c r="F68" i="221"/>
  <c r="K89" i="220"/>
  <c r="F89" i="221"/>
  <c r="J89" i="220"/>
  <c r="K113" i="220"/>
  <c r="J113" i="220"/>
  <c r="F113" i="221"/>
  <c r="J108" i="220"/>
  <c r="F108" i="221"/>
  <c r="K108" i="220"/>
  <c r="J98" i="220"/>
  <c r="F98" i="221"/>
  <c r="K98" i="220"/>
  <c r="K134" i="220"/>
  <c r="F134" i="221"/>
  <c r="J134" i="220"/>
  <c r="K139" i="220"/>
  <c r="J139" i="220"/>
  <c r="F139" i="221"/>
  <c r="J92" i="220"/>
  <c r="F92" i="221"/>
  <c r="K92" i="220"/>
  <c r="K75" i="220"/>
  <c r="J75" i="220"/>
  <c r="F75" i="221"/>
  <c r="J126" i="220"/>
  <c r="F126" i="221"/>
  <c r="K126" i="220"/>
  <c r="K80" i="220"/>
  <c r="F80" i="221"/>
  <c r="J80" i="220"/>
  <c r="F85" i="221"/>
  <c r="K85" i="220"/>
  <c r="J85" i="220"/>
  <c r="F90" i="221"/>
  <c r="J90" i="220"/>
  <c r="K90" i="220"/>
  <c r="K125" i="220"/>
  <c r="J125" i="220"/>
  <c r="F125" i="221"/>
  <c r="F119" i="221"/>
  <c r="K119" i="220"/>
  <c r="J119" i="220"/>
  <c r="K88" i="220"/>
  <c r="F88" i="221"/>
  <c r="J88" i="220"/>
  <c r="J117" i="220"/>
  <c r="F117" i="221"/>
  <c r="K117" i="220"/>
  <c r="J57" i="219"/>
  <c r="K57" i="219"/>
  <c r="F57" i="220"/>
  <c r="J118" i="220"/>
  <c r="F118" i="221"/>
  <c r="K118" i="220"/>
  <c r="K79" i="220"/>
  <c r="F79" i="221"/>
  <c r="J79" i="220"/>
  <c r="F131" i="221"/>
  <c r="J131" i="220"/>
  <c r="K131" i="220"/>
  <c r="J83" i="220"/>
  <c r="K83" i="220"/>
  <c r="F83" i="221"/>
  <c r="K148" i="220"/>
  <c r="J148" i="220"/>
  <c r="F148" i="221"/>
  <c r="J84" i="220"/>
  <c r="F84" i="221"/>
  <c r="K84" i="220"/>
  <c r="F91" i="221"/>
  <c r="K91" i="220"/>
  <c r="J91" i="220"/>
  <c r="J62" i="220"/>
  <c r="K62" i="220"/>
  <c r="F62" i="221"/>
  <c r="F115" i="221"/>
  <c r="K115" i="220"/>
  <c r="J115" i="220"/>
  <c r="J97" i="220"/>
  <c r="K97" i="220"/>
  <c r="F97" i="221"/>
  <c r="F71" i="221"/>
  <c r="J71" i="220"/>
  <c r="K71" i="220"/>
  <c r="J78" i="220"/>
  <c r="F78" i="221"/>
  <c r="K78" i="220"/>
  <c r="J141" i="220"/>
  <c r="K141" i="220"/>
  <c r="F141" i="221"/>
  <c r="K73" i="220"/>
  <c r="F73" i="221"/>
  <c r="J73" i="220"/>
  <c r="J140" i="220"/>
  <c r="K140" i="220"/>
  <c r="F140" i="221"/>
  <c r="J95" i="220"/>
  <c r="K95" i="220"/>
  <c r="F95" i="221"/>
  <c r="F67" i="221"/>
  <c r="J67" i="220"/>
  <c r="K67" i="220"/>
  <c r="K99" i="220"/>
  <c r="F99" i="221"/>
  <c r="J99" i="220"/>
  <c r="K124" i="220"/>
  <c r="J124" i="220"/>
  <c r="F124" i="221"/>
  <c r="J143" i="220"/>
  <c r="K143" i="220"/>
  <c r="F143" i="221"/>
  <c r="F129" i="221"/>
  <c r="J129" i="220"/>
  <c r="K129" i="220"/>
  <c r="J82" i="220"/>
  <c r="F82" i="221"/>
  <c r="K82" i="220"/>
  <c r="J96" i="220"/>
  <c r="F96" i="221"/>
  <c r="K96" i="220"/>
  <c r="J145" i="220"/>
  <c r="F145" i="221"/>
  <c r="K145" i="220"/>
  <c r="K120" i="220"/>
  <c r="J120" i="220"/>
  <c r="F120" i="221"/>
  <c r="J138" i="220"/>
  <c r="K138" i="220"/>
  <c r="F138" i="221"/>
  <c r="K58" i="220"/>
  <c r="F58" i="221"/>
  <c r="J58" i="220"/>
  <c r="K121" i="220"/>
  <c r="F121" i="221"/>
  <c r="J121" i="220"/>
  <c r="F149" i="219"/>
  <c r="J149" i="219" s="1"/>
  <c r="K147" i="220"/>
  <c r="J147" i="220"/>
  <c r="F147" i="221"/>
  <c r="J70" i="220"/>
  <c r="K70" i="220"/>
  <c r="F70" i="221"/>
  <c r="J87" i="220"/>
  <c r="K87" i="220"/>
  <c r="F87" i="221"/>
  <c r="J93" i="220"/>
  <c r="F93" i="221"/>
  <c r="K93" i="220"/>
  <c r="K94" i="220"/>
  <c r="J94" i="220"/>
  <c r="F94" i="221"/>
  <c r="J72" i="220"/>
  <c r="F72" i="221"/>
  <c r="K72" i="220"/>
  <c r="J66" i="220"/>
  <c r="K66" i="220"/>
  <c r="F66" i="221"/>
  <c r="F76" i="221"/>
  <c r="J76" i="220"/>
  <c r="K76" i="220"/>
  <c r="K64" i="220"/>
  <c r="F64" i="221"/>
  <c r="J64" i="220"/>
  <c r="J61" i="220"/>
  <c r="K61" i="220"/>
  <c r="F61" i="221"/>
  <c r="K63" i="222"/>
  <c r="J63" i="222"/>
  <c r="F63" i="223"/>
  <c r="AX99" i="118"/>
  <c r="AX10" i="118"/>
  <c r="G47" i="115" s="1"/>
  <c r="J116" i="221" l="1"/>
  <c r="K116" i="221"/>
  <c r="F116" i="222"/>
  <c r="F149" i="220"/>
  <c r="J149" i="220" s="1"/>
  <c r="K149" i="219"/>
  <c r="J121" i="221"/>
  <c r="K121" i="221"/>
  <c r="F121" i="222"/>
  <c r="K78" i="221"/>
  <c r="J78" i="221"/>
  <c r="F78" i="222"/>
  <c r="K91" i="221"/>
  <c r="J91" i="221"/>
  <c r="F91" i="222"/>
  <c r="K113" i="221"/>
  <c r="J113" i="221"/>
  <c r="F113" i="222"/>
  <c r="J137" i="221"/>
  <c r="K137" i="221"/>
  <c r="F137" i="222"/>
  <c r="F94" i="222"/>
  <c r="J94" i="221"/>
  <c r="K94" i="221"/>
  <c r="F118" i="222"/>
  <c r="J118" i="221"/>
  <c r="K118" i="221"/>
  <c r="K59" i="220"/>
  <c r="F59" i="221"/>
  <c r="J59" i="220"/>
  <c r="J82" i="221"/>
  <c r="K82" i="221"/>
  <c r="F82" i="222"/>
  <c r="J67" i="221"/>
  <c r="K67" i="221"/>
  <c r="F67" i="222"/>
  <c r="J84" i="221"/>
  <c r="K84" i="221"/>
  <c r="F84" i="222"/>
  <c r="J92" i="221"/>
  <c r="K92" i="221"/>
  <c r="F92" i="222"/>
  <c r="J93" i="221"/>
  <c r="K93" i="221"/>
  <c r="F93" i="222"/>
  <c r="J58" i="221"/>
  <c r="K58" i="221"/>
  <c r="F58" i="222"/>
  <c r="F95" i="222"/>
  <c r="J95" i="221"/>
  <c r="K95" i="221"/>
  <c r="K57" i="220"/>
  <c r="J57" i="220"/>
  <c r="F57" i="221"/>
  <c r="J100" i="221"/>
  <c r="F100" i="222"/>
  <c r="K100" i="221"/>
  <c r="K65" i="221"/>
  <c r="J65" i="221"/>
  <c r="F65" i="222"/>
  <c r="J69" i="221"/>
  <c r="K69" i="221"/>
  <c r="F69" i="222"/>
  <c r="K71" i="221"/>
  <c r="J71" i="221"/>
  <c r="F71" i="222"/>
  <c r="J148" i="221"/>
  <c r="K148" i="221"/>
  <c r="F148" i="222"/>
  <c r="J90" i="221"/>
  <c r="F90" i="222"/>
  <c r="K90" i="221"/>
  <c r="J139" i="221"/>
  <c r="K139" i="221"/>
  <c r="F139" i="222"/>
  <c r="K89" i="221"/>
  <c r="F89" i="222"/>
  <c r="J89" i="221"/>
  <c r="J110" i="221"/>
  <c r="F110" i="222"/>
  <c r="K110" i="221"/>
  <c r="K112" i="221"/>
  <c r="J112" i="221"/>
  <c r="F112" i="222"/>
  <c r="J74" i="221"/>
  <c r="F74" i="222"/>
  <c r="K74" i="221"/>
  <c r="J127" i="221"/>
  <c r="K127" i="221"/>
  <c r="F127" i="222"/>
  <c r="J123" i="221"/>
  <c r="F123" i="222"/>
  <c r="K123" i="221"/>
  <c r="K129" i="221"/>
  <c r="F129" i="222"/>
  <c r="J129" i="221"/>
  <c r="K140" i="221"/>
  <c r="J140" i="221"/>
  <c r="F140" i="222"/>
  <c r="K68" i="221"/>
  <c r="F68" i="222"/>
  <c r="J68" i="221"/>
  <c r="J143" i="221"/>
  <c r="K143" i="221"/>
  <c r="F143" i="222"/>
  <c r="K83" i="221"/>
  <c r="J83" i="221"/>
  <c r="F83" i="222"/>
  <c r="J117" i="221"/>
  <c r="F117" i="222"/>
  <c r="K117" i="221"/>
  <c r="F85" i="222"/>
  <c r="K85" i="221"/>
  <c r="J85" i="221"/>
  <c r="K146" i="221"/>
  <c r="J146" i="221"/>
  <c r="F146" i="222"/>
  <c r="K107" i="221"/>
  <c r="J107" i="221"/>
  <c r="F107" i="222"/>
  <c r="J134" i="221"/>
  <c r="F134" i="222"/>
  <c r="K134" i="221"/>
  <c r="J133" i="221"/>
  <c r="F133" i="222"/>
  <c r="K133" i="221"/>
  <c r="J109" i="221"/>
  <c r="K109" i="221"/>
  <c r="F109" i="222"/>
  <c r="J97" i="221"/>
  <c r="K97" i="221"/>
  <c r="F97" i="222"/>
  <c r="J76" i="221"/>
  <c r="K76" i="221"/>
  <c r="F76" i="222"/>
  <c r="J70" i="221"/>
  <c r="K70" i="221"/>
  <c r="F70" i="222"/>
  <c r="J120" i="221"/>
  <c r="K120" i="221"/>
  <c r="F120" i="222"/>
  <c r="K80" i="221"/>
  <c r="F80" i="222"/>
  <c r="J80" i="221"/>
  <c r="F124" i="222"/>
  <c r="J124" i="221"/>
  <c r="K124" i="221"/>
  <c r="J73" i="221"/>
  <c r="K73" i="221"/>
  <c r="F73" i="222"/>
  <c r="K115" i="221"/>
  <c r="J115" i="221"/>
  <c r="F115" i="222"/>
  <c r="K88" i="221"/>
  <c r="J88" i="221"/>
  <c r="F88" i="222"/>
  <c r="K142" i="221"/>
  <c r="J142" i="221"/>
  <c r="F142" i="222"/>
  <c r="K138" i="221"/>
  <c r="J138" i="221"/>
  <c r="F138" i="222"/>
  <c r="K66" i="221"/>
  <c r="F66" i="222"/>
  <c r="J66" i="221"/>
  <c r="K132" i="221"/>
  <c r="F132" i="222"/>
  <c r="J132" i="221"/>
  <c r="K147" i="221"/>
  <c r="J147" i="221"/>
  <c r="F147" i="222"/>
  <c r="K62" i="221"/>
  <c r="J62" i="221"/>
  <c r="F62" i="222"/>
  <c r="K98" i="221"/>
  <c r="J98" i="221"/>
  <c r="F98" i="222"/>
  <c r="J128" i="221"/>
  <c r="K128" i="221"/>
  <c r="F128" i="222"/>
  <c r="K135" i="221"/>
  <c r="J135" i="221"/>
  <c r="F135" i="222"/>
  <c r="J122" i="221"/>
  <c r="K122" i="221"/>
  <c r="F122" i="222"/>
  <c r="K77" i="221"/>
  <c r="J77" i="221"/>
  <c r="F77" i="222"/>
  <c r="K145" i="221"/>
  <c r="J145" i="221"/>
  <c r="F145" i="222"/>
  <c r="F141" i="222"/>
  <c r="J141" i="221"/>
  <c r="K141" i="221"/>
  <c r="K131" i="221"/>
  <c r="J131" i="221"/>
  <c r="F131" i="222"/>
  <c r="K126" i="221"/>
  <c r="J126" i="221"/>
  <c r="F126" i="222"/>
  <c r="J114" i="221"/>
  <c r="K114" i="221"/>
  <c r="F114" i="222"/>
  <c r="J87" i="221"/>
  <c r="K87" i="221"/>
  <c r="F87" i="222"/>
  <c r="K72" i="221"/>
  <c r="J72" i="221"/>
  <c r="F72" i="222"/>
  <c r="K60" i="221"/>
  <c r="J60" i="221"/>
  <c r="F60" i="222"/>
  <c r="K111" i="221"/>
  <c r="J111" i="221"/>
  <c r="F111" i="222"/>
  <c r="K99" i="221"/>
  <c r="J99" i="221"/>
  <c r="F99" i="222"/>
  <c r="F79" i="222"/>
  <c r="J79" i="221"/>
  <c r="K79" i="221"/>
  <c r="K119" i="221"/>
  <c r="J119" i="221"/>
  <c r="F119" i="222"/>
  <c r="K75" i="221"/>
  <c r="J75" i="221"/>
  <c r="F75" i="222"/>
  <c r="K108" i="221"/>
  <c r="J108" i="221"/>
  <c r="F108" i="222"/>
  <c r="J86" i="221"/>
  <c r="K86" i="221"/>
  <c r="F86" i="222"/>
  <c r="F136" i="222"/>
  <c r="J136" i="221"/>
  <c r="K136" i="221"/>
  <c r="F144" i="222"/>
  <c r="K144" i="221"/>
  <c r="J144" i="221"/>
  <c r="J96" i="221"/>
  <c r="K96" i="221"/>
  <c r="F96" i="222"/>
  <c r="J125" i="221"/>
  <c r="K125" i="221"/>
  <c r="F125" i="222"/>
  <c r="J81" i="221"/>
  <c r="K81" i="221"/>
  <c r="F81" i="222"/>
  <c r="J130" i="221"/>
  <c r="K130" i="221"/>
  <c r="F130" i="222"/>
  <c r="K106" i="221"/>
  <c r="J106" i="221"/>
  <c r="F106" i="222"/>
  <c r="J64" i="221"/>
  <c r="K64" i="221"/>
  <c r="F64" i="222"/>
  <c r="J61" i="221"/>
  <c r="K61" i="221"/>
  <c r="F61" i="222"/>
  <c r="J63" i="223"/>
  <c r="K63" i="223"/>
  <c r="F63" i="224"/>
  <c r="AW99" i="118"/>
  <c r="AW10" i="118"/>
  <c r="G46" i="115" s="1"/>
  <c r="K116" i="222" l="1"/>
  <c r="J116" i="222"/>
  <c r="F116" i="223"/>
  <c r="K149" i="220"/>
  <c r="F149" i="221"/>
  <c r="J149" i="221" s="1"/>
  <c r="K125" i="222"/>
  <c r="J125" i="222"/>
  <c r="F125" i="223"/>
  <c r="K131" i="222"/>
  <c r="J131" i="222"/>
  <c r="F131" i="223"/>
  <c r="J73" i="222"/>
  <c r="K73" i="222"/>
  <c r="F73" i="223"/>
  <c r="J74" i="222"/>
  <c r="K74" i="222"/>
  <c r="F74" i="223"/>
  <c r="J57" i="221"/>
  <c r="K57" i="221"/>
  <c r="F57" i="222"/>
  <c r="F94" i="223"/>
  <c r="K94" i="222"/>
  <c r="J94" i="222"/>
  <c r="K60" i="222"/>
  <c r="F60" i="223"/>
  <c r="J60" i="222"/>
  <c r="J146" i="222"/>
  <c r="F146" i="223"/>
  <c r="K146" i="222"/>
  <c r="J68" i="222"/>
  <c r="K68" i="222"/>
  <c r="F68" i="223"/>
  <c r="K148" i="222"/>
  <c r="F148" i="223"/>
  <c r="J148" i="222"/>
  <c r="K137" i="222"/>
  <c r="F137" i="223"/>
  <c r="J137" i="222"/>
  <c r="J75" i="222"/>
  <c r="F75" i="223"/>
  <c r="K75" i="222"/>
  <c r="K128" i="222"/>
  <c r="F128" i="223"/>
  <c r="J128" i="222"/>
  <c r="J66" i="222"/>
  <c r="K66" i="222"/>
  <c r="F66" i="223"/>
  <c r="J97" i="222"/>
  <c r="K97" i="222"/>
  <c r="F97" i="223"/>
  <c r="J112" i="222"/>
  <c r="K112" i="222"/>
  <c r="F112" i="223"/>
  <c r="K67" i="222"/>
  <c r="F67" i="223"/>
  <c r="J67" i="222"/>
  <c r="K140" i="222"/>
  <c r="J140" i="222"/>
  <c r="F140" i="223"/>
  <c r="K96" i="222"/>
  <c r="F96" i="223"/>
  <c r="J96" i="222"/>
  <c r="F72" i="223"/>
  <c r="J72" i="222"/>
  <c r="K72" i="222"/>
  <c r="J138" i="222"/>
  <c r="K138" i="222"/>
  <c r="F138" i="223"/>
  <c r="K71" i="222"/>
  <c r="J71" i="222"/>
  <c r="F71" i="223"/>
  <c r="K113" i="222"/>
  <c r="J113" i="222"/>
  <c r="F113" i="223"/>
  <c r="K119" i="222"/>
  <c r="J119" i="222"/>
  <c r="F119" i="223"/>
  <c r="K141" i="222"/>
  <c r="J141" i="222"/>
  <c r="F141" i="223"/>
  <c r="F98" i="223"/>
  <c r="J98" i="222"/>
  <c r="K98" i="222"/>
  <c r="K124" i="222"/>
  <c r="J124" i="222"/>
  <c r="F124" i="223"/>
  <c r="K109" i="222"/>
  <c r="J109" i="222"/>
  <c r="F109" i="223"/>
  <c r="K95" i="222"/>
  <c r="J95" i="222"/>
  <c r="F95" i="223"/>
  <c r="J82" i="222"/>
  <c r="K82" i="222"/>
  <c r="F82" i="223"/>
  <c r="K145" i="222"/>
  <c r="J145" i="222"/>
  <c r="F145" i="223"/>
  <c r="K85" i="222"/>
  <c r="J85" i="222"/>
  <c r="F85" i="223"/>
  <c r="J110" i="222"/>
  <c r="K110" i="222"/>
  <c r="F110" i="223"/>
  <c r="J58" i="222"/>
  <c r="K58" i="222"/>
  <c r="F58" i="223"/>
  <c r="K87" i="222"/>
  <c r="J87" i="222"/>
  <c r="F87" i="223"/>
  <c r="F129" i="223"/>
  <c r="J129" i="222"/>
  <c r="K129" i="222"/>
  <c r="J69" i="222"/>
  <c r="F69" i="223"/>
  <c r="K69" i="222"/>
  <c r="F91" i="223"/>
  <c r="K91" i="222"/>
  <c r="J91" i="222"/>
  <c r="F106" i="223"/>
  <c r="K106" i="222"/>
  <c r="J106" i="222"/>
  <c r="K142" i="222"/>
  <c r="F142" i="223"/>
  <c r="J142" i="222"/>
  <c r="J80" i="222"/>
  <c r="F80" i="223"/>
  <c r="K80" i="222"/>
  <c r="J144" i="222"/>
  <c r="K144" i="222"/>
  <c r="F144" i="223"/>
  <c r="J62" i="222"/>
  <c r="K62" i="222"/>
  <c r="F62" i="223"/>
  <c r="J117" i="222"/>
  <c r="F117" i="223"/>
  <c r="K117" i="222"/>
  <c r="F89" i="223"/>
  <c r="K89" i="222"/>
  <c r="J89" i="222"/>
  <c r="J93" i="222"/>
  <c r="K93" i="222"/>
  <c r="F93" i="223"/>
  <c r="K59" i="221"/>
  <c r="J59" i="221"/>
  <c r="F59" i="222"/>
  <c r="F88" i="223"/>
  <c r="K88" i="222"/>
  <c r="J88" i="222"/>
  <c r="F83" i="223"/>
  <c r="J83" i="222"/>
  <c r="K83" i="222"/>
  <c r="K123" i="222"/>
  <c r="F123" i="223"/>
  <c r="J123" i="222"/>
  <c r="J65" i="222"/>
  <c r="K65" i="222"/>
  <c r="F65" i="223"/>
  <c r="J78" i="222"/>
  <c r="K78" i="222"/>
  <c r="F78" i="223"/>
  <c r="K130" i="222"/>
  <c r="J130" i="222"/>
  <c r="F130" i="223"/>
  <c r="F79" i="223"/>
  <c r="J79" i="222"/>
  <c r="K79" i="222"/>
  <c r="K114" i="222"/>
  <c r="J114" i="222"/>
  <c r="F114" i="223"/>
  <c r="J136" i="222"/>
  <c r="K136" i="222"/>
  <c r="F136" i="223"/>
  <c r="K99" i="222"/>
  <c r="F99" i="223"/>
  <c r="J99" i="222"/>
  <c r="J147" i="222"/>
  <c r="K147" i="222"/>
  <c r="F147" i="223"/>
  <c r="J139" i="222"/>
  <c r="F139" i="223"/>
  <c r="K139" i="222"/>
  <c r="F92" i="223"/>
  <c r="K92" i="222"/>
  <c r="J92" i="222"/>
  <c r="J81" i="222"/>
  <c r="K81" i="222"/>
  <c r="F81" i="223"/>
  <c r="J126" i="222"/>
  <c r="K126" i="222"/>
  <c r="F126" i="223"/>
  <c r="J115" i="222"/>
  <c r="K115" i="222"/>
  <c r="F115" i="223"/>
  <c r="K143" i="222"/>
  <c r="J143" i="222"/>
  <c r="F143" i="223"/>
  <c r="J118" i="222"/>
  <c r="K118" i="222"/>
  <c r="F118" i="223"/>
  <c r="F121" i="223"/>
  <c r="K121" i="222"/>
  <c r="J121" i="222"/>
  <c r="F77" i="223"/>
  <c r="K77" i="222"/>
  <c r="J77" i="222"/>
  <c r="K120" i="222"/>
  <c r="J120" i="222"/>
  <c r="F120" i="223"/>
  <c r="F133" i="223"/>
  <c r="J133" i="222"/>
  <c r="K133" i="222"/>
  <c r="J122" i="222"/>
  <c r="K122" i="222"/>
  <c r="F122" i="223"/>
  <c r="J70" i="222"/>
  <c r="K70" i="222"/>
  <c r="F70" i="223"/>
  <c r="K134" i="222"/>
  <c r="J134" i="222"/>
  <c r="F134" i="223"/>
  <c r="K111" i="222"/>
  <c r="J111" i="222"/>
  <c r="F111" i="223"/>
  <c r="K107" i="222"/>
  <c r="J107" i="222"/>
  <c r="F107" i="223"/>
  <c r="K100" i="222"/>
  <c r="F100" i="223"/>
  <c r="J100" i="222"/>
  <c r="J86" i="222"/>
  <c r="F86" i="223"/>
  <c r="K86" i="222"/>
  <c r="J127" i="222"/>
  <c r="K127" i="222"/>
  <c r="F127" i="223"/>
  <c r="J108" i="222"/>
  <c r="K108" i="222"/>
  <c r="F108" i="223"/>
  <c r="K135" i="222"/>
  <c r="J135" i="222"/>
  <c r="F135" i="223"/>
  <c r="K132" i="222"/>
  <c r="J132" i="222"/>
  <c r="F132" i="223"/>
  <c r="J76" i="222"/>
  <c r="K76" i="222"/>
  <c r="F76" i="223"/>
  <c r="K90" i="222"/>
  <c r="J90" i="222"/>
  <c r="F90" i="223"/>
  <c r="J84" i="222"/>
  <c r="F84" i="223"/>
  <c r="K84" i="222"/>
  <c r="K64" i="222"/>
  <c r="J64" i="222"/>
  <c r="F64" i="223"/>
  <c r="K61" i="222"/>
  <c r="F61" i="223"/>
  <c r="J61" i="222"/>
  <c r="J63" i="224"/>
  <c r="K63" i="224"/>
  <c r="F63" i="225"/>
  <c r="AV99" i="118"/>
  <c r="AV10" i="118"/>
  <c r="G45" i="115" s="1"/>
  <c r="J116" i="223" l="1"/>
  <c r="F116" i="224"/>
  <c r="K116" i="223"/>
  <c r="K149" i="221"/>
  <c r="F130" i="224"/>
  <c r="K130" i="223"/>
  <c r="J130" i="223"/>
  <c r="F138" i="224"/>
  <c r="J138" i="223"/>
  <c r="K138" i="223"/>
  <c r="K94" i="223"/>
  <c r="J94" i="223"/>
  <c r="F94" i="224"/>
  <c r="K107" i="223"/>
  <c r="F107" i="224"/>
  <c r="J107" i="223"/>
  <c r="K147" i="223"/>
  <c r="J147" i="223"/>
  <c r="F147" i="224"/>
  <c r="J88" i="223"/>
  <c r="K88" i="223"/>
  <c r="F88" i="224"/>
  <c r="K144" i="223"/>
  <c r="J144" i="223"/>
  <c r="F144" i="224"/>
  <c r="F69" i="224"/>
  <c r="J69" i="223"/>
  <c r="K69" i="223"/>
  <c r="F57" i="223"/>
  <c r="J57" i="222"/>
  <c r="K57" i="222"/>
  <c r="K135" i="223"/>
  <c r="F135" i="224"/>
  <c r="J135" i="223"/>
  <c r="K133" i="223"/>
  <c r="J133" i="223"/>
  <c r="F133" i="224"/>
  <c r="K115" i="223"/>
  <c r="J115" i="223"/>
  <c r="F115" i="224"/>
  <c r="J59" i="222"/>
  <c r="K59" i="222"/>
  <c r="F59" i="223"/>
  <c r="K145" i="223"/>
  <c r="J145" i="223"/>
  <c r="F145" i="224"/>
  <c r="F97" i="224"/>
  <c r="J97" i="223"/>
  <c r="K97" i="223"/>
  <c r="F148" i="224"/>
  <c r="K148" i="223"/>
  <c r="J148" i="223"/>
  <c r="F78" i="224"/>
  <c r="K78" i="223"/>
  <c r="J78" i="223"/>
  <c r="J98" i="223"/>
  <c r="F98" i="224"/>
  <c r="K98" i="223"/>
  <c r="K120" i="223"/>
  <c r="F120" i="224"/>
  <c r="J120" i="223"/>
  <c r="J111" i="223"/>
  <c r="K111" i="223"/>
  <c r="F111" i="224"/>
  <c r="K141" i="223"/>
  <c r="J141" i="223"/>
  <c r="F141" i="224"/>
  <c r="K68" i="223"/>
  <c r="J68" i="223"/>
  <c r="F68" i="224"/>
  <c r="K74" i="223"/>
  <c r="J74" i="223"/>
  <c r="F74" i="224"/>
  <c r="J108" i="223"/>
  <c r="K108" i="223"/>
  <c r="F108" i="224"/>
  <c r="F126" i="224"/>
  <c r="K126" i="223"/>
  <c r="J126" i="223"/>
  <c r="K99" i="223"/>
  <c r="J99" i="223"/>
  <c r="F99" i="224"/>
  <c r="K93" i="223"/>
  <c r="F93" i="224"/>
  <c r="J93" i="223"/>
  <c r="K80" i="223"/>
  <c r="J80" i="223"/>
  <c r="F80" i="224"/>
  <c r="J129" i="223"/>
  <c r="K129" i="223"/>
  <c r="F129" i="224"/>
  <c r="K82" i="223"/>
  <c r="J82" i="223"/>
  <c r="F82" i="224"/>
  <c r="K72" i="223"/>
  <c r="J72" i="223"/>
  <c r="F72" i="224"/>
  <c r="F66" i="224"/>
  <c r="K66" i="223"/>
  <c r="J66" i="223"/>
  <c r="J65" i="223"/>
  <c r="K65" i="223"/>
  <c r="F65" i="224"/>
  <c r="K87" i="223"/>
  <c r="J87" i="223"/>
  <c r="F87" i="224"/>
  <c r="F84" i="224"/>
  <c r="J84" i="223"/>
  <c r="K84" i="223"/>
  <c r="K134" i="223"/>
  <c r="J134" i="223"/>
  <c r="F134" i="224"/>
  <c r="J136" i="223"/>
  <c r="K136" i="223"/>
  <c r="F136" i="224"/>
  <c r="F119" i="224"/>
  <c r="K119" i="223"/>
  <c r="J119" i="223"/>
  <c r="J96" i="223"/>
  <c r="K96" i="223"/>
  <c r="F96" i="224"/>
  <c r="K73" i="223"/>
  <c r="F73" i="224"/>
  <c r="J73" i="223"/>
  <c r="K95" i="223"/>
  <c r="J95" i="223"/>
  <c r="F95" i="224"/>
  <c r="K146" i="223"/>
  <c r="J146" i="223"/>
  <c r="F146" i="224"/>
  <c r="F127" i="224"/>
  <c r="J127" i="223"/>
  <c r="K127" i="223"/>
  <c r="K77" i="223"/>
  <c r="J77" i="223"/>
  <c r="F77" i="224"/>
  <c r="J81" i="223"/>
  <c r="K81" i="223"/>
  <c r="F81" i="224"/>
  <c r="K142" i="223"/>
  <c r="F142" i="224"/>
  <c r="J142" i="223"/>
  <c r="F90" i="224"/>
  <c r="K90" i="223"/>
  <c r="J90" i="223"/>
  <c r="J58" i="223"/>
  <c r="K58" i="223"/>
  <c r="F58" i="224"/>
  <c r="J140" i="223"/>
  <c r="F140" i="224"/>
  <c r="K140" i="223"/>
  <c r="J128" i="223"/>
  <c r="F128" i="224"/>
  <c r="K128" i="223"/>
  <c r="K70" i="223"/>
  <c r="J70" i="223"/>
  <c r="F70" i="224"/>
  <c r="J114" i="223"/>
  <c r="K114" i="223"/>
  <c r="F114" i="224"/>
  <c r="K123" i="223"/>
  <c r="J123" i="223"/>
  <c r="F123" i="224"/>
  <c r="J89" i="223"/>
  <c r="K89" i="223"/>
  <c r="F89" i="224"/>
  <c r="K113" i="223"/>
  <c r="J113" i="223"/>
  <c r="F113" i="224"/>
  <c r="K131" i="223"/>
  <c r="J131" i="223"/>
  <c r="F131" i="224"/>
  <c r="F121" i="224"/>
  <c r="K121" i="223"/>
  <c r="J121" i="223"/>
  <c r="J109" i="223"/>
  <c r="K109" i="223"/>
  <c r="F109" i="224"/>
  <c r="F60" i="224"/>
  <c r="K60" i="223"/>
  <c r="J60" i="223"/>
  <c r="F76" i="224"/>
  <c r="K76" i="223"/>
  <c r="J76" i="223"/>
  <c r="K86" i="223"/>
  <c r="J86" i="223"/>
  <c r="F86" i="224"/>
  <c r="K118" i="223"/>
  <c r="J118" i="223"/>
  <c r="F118" i="224"/>
  <c r="J117" i="223"/>
  <c r="K117" i="223"/>
  <c r="F117" i="224"/>
  <c r="K106" i="223"/>
  <c r="J106" i="223"/>
  <c r="F106" i="224"/>
  <c r="J110" i="223"/>
  <c r="F110" i="224"/>
  <c r="K110" i="223"/>
  <c r="J75" i="223"/>
  <c r="F75" i="224"/>
  <c r="K75" i="223"/>
  <c r="J125" i="223"/>
  <c r="F125" i="224"/>
  <c r="K125" i="223"/>
  <c r="J62" i="223"/>
  <c r="K62" i="223"/>
  <c r="F62" i="224"/>
  <c r="K124" i="223"/>
  <c r="J124" i="223"/>
  <c r="F124" i="224"/>
  <c r="J122" i="223"/>
  <c r="F122" i="224"/>
  <c r="K122" i="223"/>
  <c r="K92" i="223"/>
  <c r="J92" i="223"/>
  <c r="F92" i="224"/>
  <c r="J71" i="223"/>
  <c r="K71" i="223"/>
  <c r="F71" i="224"/>
  <c r="J67" i="223"/>
  <c r="K67" i="223"/>
  <c r="F67" i="224"/>
  <c r="K83" i="223"/>
  <c r="J83" i="223"/>
  <c r="F83" i="224"/>
  <c r="F149" i="222"/>
  <c r="J149" i="222" s="1"/>
  <c r="K132" i="223"/>
  <c r="J132" i="223"/>
  <c r="F132" i="224"/>
  <c r="K100" i="223"/>
  <c r="J100" i="223"/>
  <c r="F100" i="224"/>
  <c r="J143" i="223"/>
  <c r="K143" i="223"/>
  <c r="F143" i="224"/>
  <c r="J139" i="223"/>
  <c r="F139" i="224"/>
  <c r="K139" i="223"/>
  <c r="F79" i="224"/>
  <c r="J79" i="223"/>
  <c r="K79" i="223"/>
  <c r="K91" i="223"/>
  <c r="F91" i="224"/>
  <c r="J91" i="223"/>
  <c r="J85" i="223"/>
  <c r="K85" i="223"/>
  <c r="F85" i="224"/>
  <c r="K112" i="223"/>
  <c r="J112" i="223"/>
  <c r="F112" i="224"/>
  <c r="J137" i="223"/>
  <c r="F137" i="224"/>
  <c r="K137" i="223"/>
  <c r="F64" i="224"/>
  <c r="K64" i="223"/>
  <c r="J64" i="223"/>
  <c r="J61" i="223"/>
  <c r="K61" i="223"/>
  <c r="F61" i="224"/>
  <c r="J63" i="225"/>
  <c r="K63" i="225"/>
  <c r="F63" i="226"/>
  <c r="AU99" i="118"/>
  <c r="AU10" i="118"/>
  <c r="G44" i="115" s="1"/>
  <c r="K116" i="224" l="1"/>
  <c r="F116" i="225"/>
  <c r="J116" i="224"/>
  <c r="K149" i="222"/>
  <c r="K119" i="224"/>
  <c r="J119" i="224"/>
  <c r="F119" i="225"/>
  <c r="K93" i="224"/>
  <c r="J93" i="224"/>
  <c r="F93" i="225"/>
  <c r="K124" i="224"/>
  <c r="J124" i="224"/>
  <c r="F124" i="225"/>
  <c r="J60" i="224"/>
  <c r="F60" i="225"/>
  <c r="K60" i="224"/>
  <c r="K123" i="224"/>
  <c r="J123" i="224"/>
  <c r="F123" i="225"/>
  <c r="K127" i="224"/>
  <c r="J127" i="224"/>
  <c r="F127" i="225"/>
  <c r="K136" i="224"/>
  <c r="J136" i="224"/>
  <c r="F136" i="225"/>
  <c r="K141" i="224"/>
  <c r="F141" i="225"/>
  <c r="J141" i="224"/>
  <c r="J147" i="224"/>
  <c r="F147" i="225"/>
  <c r="K147" i="224"/>
  <c r="K83" i="224"/>
  <c r="J83" i="224"/>
  <c r="F83" i="225"/>
  <c r="K109" i="224"/>
  <c r="J109" i="224"/>
  <c r="F109" i="225"/>
  <c r="J146" i="224"/>
  <c r="F146" i="225"/>
  <c r="K146" i="224"/>
  <c r="J66" i="224"/>
  <c r="F66" i="225"/>
  <c r="K66" i="224"/>
  <c r="K99" i="224"/>
  <c r="J99" i="224"/>
  <c r="F99" i="225"/>
  <c r="J148" i="224"/>
  <c r="K148" i="224"/>
  <c r="F148" i="225"/>
  <c r="K117" i="224"/>
  <c r="F117" i="225"/>
  <c r="J117" i="224"/>
  <c r="K72" i="224"/>
  <c r="J72" i="224"/>
  <c r="F72" i="225"/>
  <c r="K135" i="224"/>
  <c r="F135" i="225"/>
  <c r="J135" i="224"/>
  <c r="K79" i="224"/>
  <c r="J79" i="224"/>
  <c r="F79" i="225"/>
  <c r="K62" i="224"/>
  <c r="J62" i="224"/>
  <c r="F62" i="225"/>
  <c r="J114" i="224"/>
  <c r="K114" i="224"/>
  <c r="F114" i="225"/>
  <c r="F134" i="225"/>
  <c r="J134" i="224"/>
  <c r="K134" i="224"/>
  <c r="K111" i="224"/>
  <c r="J111" i="224"/>
  <c r="F111" i="225"/>
  <c r="K107" i="224"/>
  <c r="F107" i="225"/>
  <c r="J107" i="224"/>
  <c r="K58" i="224"/>
  <c r="J58" i="224"/>
  <c r="F58" i="225"/>
  <c r="J67" i="224"/>
  <c r="F67" i="225"/>
  <c r="K67" i="224"/>
  <c r="K95" i="224"/>
  <c r="J95" i="224"/>
  <c r="F95" i="225"/>
  <c r="F145" i="225"/>
  <c r="J145" i="224"/>
  <c r="K145" i="224"/>
  <c r="J97" i="224"/>
  <c r="K97" i="224"/>
  <c r="F97" i="225"/>
  <c r="K139" i="224"/>
  <c r="J139" i="224"/>
  <c r="F139" i="225"/>
  <c r="J118" i="224"/>
  <c r="K118" i="224"/>
  <c r="F118" i="225"/>
  <c r="F82" i="225"/>
  <c r="J82" i="224"/>
  <c r="K82" i="224"/>
  <c r="F137" i="225"/>
  <c r="J137" i="224"/>
  <c r="K137" i="224"/>
  <c r="J121" i="224"/>
  <c r="F121" i="225"/>
  <c r="K121" i="224"/>
  <c r="K70" i="224"/>
  <c r="F70" i="225"/>
  <c r="J70" i="224"/>
  <c r="K142" i="224"/>
  <c r="J142" i="224"/>
  <c r="F142" i="225"/>
  <c r="K126" i="224"/>
  <c r="F126" i="225"/>
  <c r="J126" i="224"/>
  <c r="J57" i="223"/>
  <c r="K57" i="223"/>
  <c r="F57" i="224"/>
  <c r="F94" i="225"/>
  <c r="K94" i="224"/>
  <c r="J94" i="224"/>
  <c r="K125" i="224"/>
  <c r="J125" i="224"/>
  <c r="F125" i="225"/>
  <c r="J131" i="224"/>
  <c r="K131" i="224"/>
  <c r="F131" i="225"/>
  <c r="J108" i="224"/>
  <c r="K108" i="224"/>
  <c r="F108" i="225"/>
  <c r="J120" i="224"/>
  <c r="K120" i="224"/>
  <c r="F120" i="225"/>
  <c r="F143" i="225"/>
  <c r="K143" i="224"/>
  <c r="J143" i="224"/>
  <c r="F71" i="225"/>
  <c r="J71" i="224"/>
  <c r="K71" i="224"/>
  <c r="K112" i="224"/>
  <c r="J112" i="224"/>
  <c r="F112" i="225"/>
  <c r="K86" i="224"/>
  <c r="J86" i="224"/>
  <c r="F86" i="225"/>
  <c r="K81" i="224"/>
  <c r="J81" i="224"/>
  <c r="F81" i="225"/>
  <c r="J73" i="224"/>
  <c r="F73" i="225"/>
  <c r="K73" i="224"/>
  <c r="K84" i="224"/>
  <c r="F84" i="225"/>
  <c r="J84" i="224"/>
  <c r="J129" i="224"/>
  <c r="F129" i="225"/>
  <c r="K129" i="224"/>
  <c r="F59" i="224"/>
  <c r="K59" i="223"/>
  <c r="J59" i="223"/>
  <c r="F106" i="225"/>
  <c r="K106" i="224"/>
  <c r="J106" i="224"/>
  <c r="K87" i="224"/>
  <c r="F87" i="225"/>
  <c r="J87" i="224"/>
  <c r="K69" i="224"/>
  <c r="F69" i="225"/>
  <c r="J69" i="224"/>
  <c r="J90" i="224"/>
  <c r="K90" i="224"/>
  <c r="F90" i="225"/>
  <c r="J92" i="224"/>
  <c r="K92" i="224"/>
  <c r="F92" i="225"/>
  <c r="F128" i="225"/>
  <c r="K128" i="224"/>
  <c r="J128" i="224"/>
  <c r="J96" i="224"/>
  <c r="K96" i="224"/>
  <c r="F96" i="225"/>
  <c r="F98" i="225"/>
  <c r="J98" i="224"/>
  <c r="K98" i="224"/>
  <c r="K144" i="224"/>
  <c r="F144" i="225"/>
  <c r="J144" i="224"/>
  <c r="K74" i="224"/>
  <c r="J74" i="224"/>
  <c r="F74" i="225"/>
  <c r="J85" i="224"/>
  <c r="K85" i="224"/>
  <c r="F85" i="225"/>
  <c r="J77" i="224"/>
  <c r="F77" i="225"/>
  <c r="K77" i="224"/>
  <c r="J80" i="224"/>
  <c r="K80" i="224"/>
  <c r="F80" i="225"/>
  <c r="J115" i="224"/>
  <c r="K115" i="224"/>
  <c r="F115" i="225"/>
  <c r="K138" i="224"/>
  <c r="F138" i="225"/>
  <c r="J138" i="224"/>
  <c r="J100" i="224"/>
  <c r="K100" i="224"/>
  <c r="F100" i="225"/>
  <c r="J113" i="224"/>
  <c r="F113" i="225"/>
  <c r="K113" i="224"/>
  <c r="K65" i="224"/>
  <c r="J65" i="224"/>
  <c r="F65" i="225"/>
  <c r="K91" i="224"/>
  <c r="J91" i="224"/>
  <c r="F91" i="225"/>
  <c r="K75" i="224"/>
  <c r="F75" i="225"/>
  <c r="J75" i="224"/>
  <c r="F149" i="223"/>
  <c r="J149" i="223" s="1"/>
  <c r="F132" i="225"/>
  <c r="K132" i="224"/>
  <c r="J132" i="224"/>
  <c r="F110" i="225"/>
  <c r="K110" i="224"/>
  <c r="J110" i="224"/>
  <c r="F76" i="225"/>
  <c r="K76" i="224"/>
  <c r="J76" i="224"/>
  <c r="K89" i="224"/>
  <c r="J89" i="224"/>
  <c r="F89" i="225"/>
  <c r="K140" i="224"/>
  <c r="F140" i="225"/>
  <c r="J140" i="224"/>
  <c r="J68" i="224"/>
  <c r="K68" i="224"/>
  <c r="F68" i="225"/>
  <c r="J88" i="224"/>
  <c r="K88" i="224"/>
  <c r="F88" i="225"/>
  <c r="K122" i="224"/>
  <c r="F122" i="225"/>
  <c r="J122" i="224"/>
  <c r="K78" i="224"/>
  <c r="F78" i="225"/>
  <c r="J78" i="224"/>
  <c r="K133" i="224"/>
  <c r="J133" i="224"/>
  <c r="F133" i="225"/>
  <c r="J130" i="224"/>
  <c r="F130" i="225"/>
  <c r="K130" i="224"/>
  <c r="J64" i="224"/>
  <c r="K64" i="224"/>
  <c r="F64" i="225"/>
  <c r="K61" i="224"/>
  <c r="J61" i="224"/>
  <c r="F61" i="225"/>
  <c r="J63" i="226"/>
  <c r="K63" i="226"/>
  <c r="F63" i="227"/>
  <c r="AT10" i="118"/>
  <c r="G43" i="115" s="1"/>
  <c r="AT99" i="118"/>
  <c r="K116" i="225" l="1"/>
  <c r="J116" i="225"/>
  <c r="F116" i="226"/>
  <c r="K149" i="223"/>
  <c r="K81" i="225"/>
  <c r="J81" i="225"/>
  <c r="F81" i="226"/>
  <c r="J134" i="225"/>
  <c r="K134" i="225"/>
  <c r="F134" i="226"/>
  <c r="J77" i="225"/>
  <c r="K77" i="225"/>
  <c r="F77" i="226"/>
  <c r="J114" i="225"/>
  <c r="K114" i="225"/>
  <c r="F114" i="226"/>
  <c r="K117" i="225"/>
  <c r="J117" i="225"/>
  <c r="F117" i="226"/>
  <c r="J123" i="225"/>
  <c r="F123" i="226"/>
  <c r="K123" i="225"/>
  <c r="K110" i="225"/>
  <c r="F110" i="226"/>
  <c r="J110" i="225"/>
  <c r="F108" i="226"/>
  <c r="J108" i="225"/>
  <c r="K108" i="225"/>
  <c r="K126" i="225"/>
  <c r="J126" i="225"/>
  <c r="F126" i="226"/>
  <c r="J82" i="225"/>
  <c r="K82" i="225"/>
  <c r="F82" i="226"/>
  <c r="F83" i="226"/>
  <c r="K83" i="225"/>
  <c r="J83" i="225"/>
  <c r="K100" i="225"/>
  <c r="J100" i="225"/>
  <c r="F100" i="226"/>
  <c r="J85" i="225"/>
  <c r="K85" i="225"/>
  <c r="F85" i="226"/>
  <c r="F106" i="226"/>
  <c r="K106" i="225"/>
  <c r="J106" i="225"/>
  <c r="J86" i="225"/>
  <c r="K86" i="225"/>
  <c r="F86" i="226"/>
  <c r="K118" i="225"/>
  <c r="F118" i="226"/>
  <c r="J118" i="225"/>
  <c r="J67" i="225"/>
  <c r="K67" i="225"/>
  <c r="F67" i="226"/>
  <c r="K148" i="225"/>
  <c r="F148" i="226"/>
  <c r="J148" i="225"/>
  <c r="F92" i="226"/>
  <c r="J92" i="225"/>
  <c r="K92" i="225"/>
  <c r="J131" i="225"/>
  <c r="K131" i="225"/>
  <c r="F131" i="226"/>
  <c r="J58" i="225"/>
  <c r="K58" i="225"/>
  <c r="F58" i="226"/>
  <c r="J60" i="225"/>
  <c r="K60" i="225"/>
  <c r="F60" i="226"/>
  <c r="F68" i="226"/>
  <c r="J68" i="225"/>
  <c r="K68" i="225"/>
  <c r="K132" i="225"/>
  <c r="J132" i="225"/>
  <c r="F132" i="226"/>
  <c r="F130" i="226"/>
  <c r="J130" i="225"/>
  <c r="K130" i="225"/>
  <c r="K74" i="225"/>
  <c r="J74" i="225"/>
  <c r="F74" i="226"/>
  <c r="K59" i="224"/>
  <c r="F59" i="225"/>
  <c r="J59" i="224"/>
  <c r="K112" i="225"/>
  <c r="J112" i="225"/>
  <c r="F112" i="226"/>
  <c r="J139" i="225"/>
  <c r="F139" i="226"/>
  <c r="K139" i="225"/>
  <c r="K99" i="225"/>
  <c r="J99" i="225"/>
  <c r="F99" i="226"/>
  <c r="J147" i="225"/>
  <c r="K147" i="225"/>
  <c r="F147" i="226"/>
  <c r="F88" i="226"/>
  <c r="J88" i="225"/>
  <c r="K88" i="225"/>
  <c r="F128" i="226"/>
  <c r="J128" i="225"/>
  <c r="K128" i="225"/>
  <c r="K79" i="225"/>
  <c r="J79" i="225"/>
  <c r="F79" i="226"/>
  <c r="K124" i="225"/>
  <c r="J124" i="225"/>
  <c r="F124" i="226"/>
  <c r="F133" i="226"/>
  <c r="J133" i="225"/>
  <c r="K133" i="225"/>
  <c r="J140" i="225"/>
  <c r="K140" i="225"/>
  <c r="F140" i="226"/>
  <c r="K75" i="225"/>
  <c r="J75" i="225"/>
  <c r="F75" i="226"/>
  <c r="J138" i="225"/>
  <c r="K138" i="225"/>
  <c r="F138" i="226"/>
  <c r="K90" i="225"/>
  <c r="F90" i="226"/>
  <c r="J90" i="225"/>
  <c r="K129" i="225"/>
  <c r="J129" i="225"/>
  <c r="F129" i="226"/>
  <c r="F125" i="226"/>
  <c r="K125" i="225"/>
  <c r="J125" i="225"/>
  <c r="J70" i="225"/>
  <c r="F70" i="226"/>
  <c r="K70" i="225"/>
  <c r="J142" i="225"/>
  <c r="K142" i="225"/>
  <c r="F142" i="226"/>
  <c r="J97" i="225"/>
  <c r="K97" i="225"/>
  <c r="F97" i="226"/>
  <c r="K107" i="225"/>
  <c r="F107" i="226"/>
  <c r="J107" i="225"/>
  <c r="J141" i="225"/>
  <c r="K141" i="225"/>
  <c r="F141" i="226"/>
  <c r="K89" i="225"/>
  <c r="F89" i="226"/>
  <c r="J89" i="225"/>
  <c r="K91" i="225"/>
  <c r="J91" i="225"/>
  <c r="F91" i="226"/>
  <c r="J115" i="225"/>
  <c r="K115" i="225"/>
  <c r="F115" i="226"/>
  <c r="J144" i="225"/>
  <c r="K144" i="225"/>
  <c r="F144" i="226"/>
  <c r="K66" i="225"/>
  <c r="F66" i="226"/>
  <c r="J66" i="225"/>
  <c r="J93" i="225"/>
  <c r="K93" i="225"/>
  <c r="F93" i="226"/>
  <c r="K71" i="225"/>
  <c r="J71" i="225"/>
  <c r="F71" i="226"/>
  <c r="J121" i="225"/>
  <c r="K121" i="225"/>
  <c r="F121" i="226"/>
  <c r="J111" i="225"/>
  <c r="F111" i="226"/>
  <c r="K111" i="225"/>
  <c r="K135" i="225"/>
  <c r="J135" i="225"/>
  <c r="F135" i="226"/>
  <c r="J136" i="225"/>
  <c r="K136" i="225"/>
  <c r="F136" i="226"/>
  <c r="J62" i="225"/>
  <c r="K62" i="225"/>
  <c r="F62" i="226"/>
  <c r="K84" i="225"/>
  <c r="J84" i="225"/>
  <c r="F84" i="226"/>
  <c r="J78" i="225"/>
  <c r="K78" i="225"/>
  <c r="F78" i="226"/>
  <c r="K69" i="225"/>
  <c r="F69" i="226"/>
  <c r="J69" i="225"/>
  <c r="F65" i="226"/>
  <c r="J65" i="225"/>
  <c r="K65" i="225"/>
  <c r="J80" i="225"/>
  <c r="K80" i="225"/>
  <c r="F80" i="226"/>
  <c r="J94" i="225"/>
  <c r="K94" i="225"/>
  <c r="F94" i="226"/>
  <c r="K72" i="225"/>
  <c r="J72" i="225"/>
  <c r="F72" i="226"/>
  <c r="J146" i="225"/>
  <c r="K146" i="225"/>
  <c r="F146" i="226"/>
  <c r="K119" i="225"/>
  <c r="J119" i="225"/>
  <c r="F119" i="226"/>
  <c r="F149" i="224"/>
  <c r="J149" i="224" s="1"/>
  <c r="J98" i="225"/>
  <c r="F98" i="226"/>
  <c r="K98" i="225"/>
  <c r="F73" i="226"/>
  <c r="K73" i="225"/>
  <c r="J73" i="225"/>
  <c r="K143" i="225"/>
  <c r="J143" i="225"/>
  <c r="F143" i="226"/>
  <c r="K57" i="224"/>
  <c r="J57" i="224"/>
  <c r="F57" i="225"/>
  <c r="J145" i="225"/>
  <c r="K145" i="225"/>
  <c r="F145" i="226"/>
  <c r="F127" i="226"/>
  <c r="K127" i="225"/>
  <c r="J127" i="225"/>
  <c r="J113" i="225"/>
  <c r="K113" i="225"/>
  <c r="F113" i="226"/>
  <c r="F122" i="226"/>
  <c r="K122" i="225"/>
  <c r="J122" i="225"/>
  <c r="J76" i="225"/>
  <c r="K76" i="225"/>
  <c r="F76" i="226"/>
  <c r="J96" i="225"/>
  <c r="K96" i="225"/>
  <c r="F96" i="226"/>
  <c r="J87" i="225"/>
  <c r="F87" i="226"/>
  <c r="K87" i="225"/>
  <c r="K120" i="225"/>
  <c r="J120" i="225"/>
  <c r="F120" i="226"/>
  <c r="J137" i="225"/>
  <c r="F137" i="226"/>
  <c r="K137" i="225"/>
  <c r="J95" i="225"/>
  <c r="K95" i="225"/>
  <c r="F95" i="226"/>
  <c r="J109" i="225"/>
  <c r="K109" i="225"/>
  <c r="F109" i="226"/>
  <c r="K64" i="225"/>
  <c r="J64" i="225"/>
  <c r="F64" i="226"/>
  <c r="K61" i="225"/>
  <c r="J61" i="225"/>
  <c r="F61" i="226"/>
  <c r="J63" i="227"/>
  <c r="K63" i="227"/>
  <c r="F63" i="228"/>
  <c r="AS99" i="118"/>
  <c r="AS10" i="118"/>
  <c r="G42" i="115" s="1"/>
  <c r="J116" i="226" l="1"/>
  <c r="K116" i="226"/>
  <c r="F116" i="227"/>
  <c r="K149" i="224"/>
  <c r="J69" i="226"/>
  <c r="F69" i="227"/>
  <c r="K69" i="226"/>
  <c r="K98" i="226"/>
  <c r="J98" i="226"/>
  <c r="F98" i="227"/>
  <c r="K70" i="226"/>
  <c r="F70" i="227"/>
  <c r="J70" i="226"/>
  <c r="K93" i="226"/>
  <c r="J93" i="226"/>
  <c r="F93" i="227"/>
  <c r="K89" i="226"/>
  <c r="J89" i="226"/>
  <c r="F89" i="227"/>
  <c r="J140" i="226"/>
  <c r="K140" i="226"/>
  <c r="F140" i="227"/>
  <c r="K58" i="226"/>
  <c r="F58" i="227"/>
  <c r="J58" i="226"/>
  <c r="F118" i="227"/>
  <c r="K118" i="226"/>
  <c r="J118" i="226"/>
  <c r="J83" i="226"/>
  <c r="K83" i="226"/>
  <c r="F83" i="227"/>
  <c r="J117" i="226"/>
  <c r="F117" i="227"/>
  <c r="K117" i="226"/>
  <c r="F107" i="227"/>
  <c r="J107" i="226"/>
  <c r="K107" i="226"/>
  <c r="J111" i="226"/>
  <c r="F111" i="227"/>
  <c r="K111" i="226"/>
  <c r="F97" i="227"/>
  <c r="J97" i="226"/>
  <c r="K97" i="226"/>
  <c r="F80" i="227"/>
  <c r="J80" i="226"/>
  <c r="K80" i="226"/>
  <c r="J59" i="225"/>
  <c r="K59" i="225"/>
  <c r="F59" i="226"/>
  <c r="J87" i="226"/>
  <c r="K87" i="226"/>
  <c r="F87" i="227"/>
  <c r="K127" i="226"/>
  <c r="J127" i="226"/>
  <c r="F127" i="227"/>
  <c r="K136" i="226"/>
  <c r="J136" i="226"/>
  <c r="F136" i="227"/>
  <c r="J82" i="226"/>
  <c r="K82" i="226"/>
  <c r="F82" i="227"/>
  <c r="K88" i="226"/>
  <c r="J88" i="226"/>
  <c r="F88" i="227"/>
  <c r="F74" i="227"/>
  <c r="J74" i="226"/>
  <c r="K74" i="226"/>
  <c r="J145" i="226"/>
  <c r="K145" i="226"/>
  <c r="F145" i="227"/>
  <c r="K141" i="226"/>
  <c r="F141" i="227"/>
  <c r="J141" i="226"/>
  <c r="K147" i="226"/>
  <c r="F147" i="227"/>
  <c r="J147" i="226"/>
  <c r="J86" i="226"/>
  <c r="K86" i="226"/>
  <c r="F86" i="227"/>
  <c r="J109" i="226"/>
  <c r="F109" i="227"/>
  <c r="K109" i="226"/>
  <c r="K65" i="226"/>
  <c r="J65" i="226"/>
  <c r="F65" i="227"/>
  <c r="K135" i="226"/>
  <c r="J135" i="226"/>
  <c r="F135" i="227"/>
  <c r="J66" i="226"/>
  <c r="F66" i="227"/>
  <c r="K66" i="226"/>
  <c r="K129" i="226"/>
  <c r="J129" i="226"/>
  <c r="F129" i="227"/>
  <c r="F126" i="227"/>
  <c r="J126" i="226"/>
  <c r="K126" i="226"/>
  <c r="J96" i="226"/>
  <c r="K96" i="226"/>
  <c r="F96" i="227"/>
  <c r="J119" i="226"/>
  <c r="K119" i="226"/>
  <c r="F119" i="227"/>
  <c r="K125" i="226"/>
  <c r="F125" i="227"/>
  <c r="J125" i="226"/>
  <c r="J131" i="226"/>
  <c r="K131" i="226"/>
  <c r="F131" i="227"/>
  <c r="J114" i="226"/>
  <c r="F114" i="227"/>
  <c r="K114" i="226"/>
  <c r="K57" i="225"/>
  <c r="J57" i="225"/>
  <c r="F57" i="226"/>
  <c r="K133" i="226"/>
  <c r="J133" i="226"/>
  <c r="F133" i="227"/>
  <c r="K99" i="226"/>
  <c r="J99" i="226"/>
  <c r="F99" i="227"/>
  <c r="K77" i="226"/>
  <c r="J77" i="226"/>
  <c r="F77" i="227"/>
  <c r="K146" i="226"/>
  <c r="J146" i="226"/>
  <c r="F146" i="227"/>
  <c r="K124" i="226"/>
  <c r="F124" i="227"/>
  <c r="J124" i="226"/>
  <c r="K130" i="226"/>
  <c r="J130" i="226"/>
  <c r="F130" i="227"/>
  <c r="J95" i="226"/>
  <c r="K95" i="226"/>
  <c r="F95" i="227"/>
  <c r="K132" i="226"/>
  <c r="J132" i="226"/>
  <c r="F132" i="227"/>
  <c r="K106" i="226"/>
  <c r="J106" i="226"/>
  <c r="F106" i="227"/>
  <c r="J85" i="226"/>
  <c r="K85" i="226"/>
  <c r="F85" i="227"/>
  <c r="K79" i="226"/>
  <c r="F79" i="227"/>
  <c r="J79" i="226"/>
  <c r="F139" i="227"/>
  <c r="K139" i="226"/>
  <c r="J139" i="226"/>
  <c r="J108" i="226"/>
  <c r="K108" i="226"/>
  <c r="F108" i="227"/>
  <c r="K134" i="226"/>
  <c r="J134" i="226"/>
  <c r="F134" i="227"/>
  <c r="F144" i="227"/>
  <c r="K144" i="226"/>
  <c r="J144" i="226"/>
  <c r="F115" i="227"/>
  <c r="J115" i="226"/>
  <c r="K115" i="226"/>
  <c r="J121" i="226"/>
  <c r="K121" i="226"/>
  <c r="F121" i="227"/>
  <c r="J138" i="226"/>
  <c r="K138" i="226"/>
  <c r="F138" i="227"/>
  <c r="J148" i="226"/>
  <c r="F148" i="227"/>
  <c r="K148" i="226"/>
  <c r="J76" i="226"/>
  <c r="K76" i="226"/>
  <c r="F76" i="227"/>
  <c r="J143" i="226"/>
  <c r="K143" i="226"/>
  <c r="F143" i="227"/>
  <c r="K78" i="226"/>
  <c r="J78" i="226"/>
  <c r="F78" i="227"/>
  <c r="F90" i="227"/>
  <c r="K90" i="226"/>
  <c r="J90" i="226"/>
  <c r="K92" i="226"/>
  <c r="J92" i="226"/>
  <c r="F92" i="227"/>
  <c r="J72" i="226"/>
  <c r="K72" i="226"/>
  <c r="F72" i="227"/>
  <c r="F137" i="227"/>
  <c r="K137" i="226"/>
  <c r="J137" i="226"/>
  <c r="J122" i="226"/>
  <c r="K122" i="226"/>
  <c r="F122" i="227"/>
  <c r="J84" i="226"/>
  <c r="K84" i="226"/>
  <c r="F84" i="227"/>
  <c r="K142" i="226"/>
  <c r="J142" i="226"/>
  <c r="F142" i="227"/>
  <c r="K112" i="226"/>
  <c r="J112" i="226"/>
  <c r="F112" i="227"/>
  <c r="K100" i="226"/>
  <c r="F100" i="227"/>
  <c r="J100" i="226"/>
  <c r="K110" i="226"/>
  <c r="J110" i="226"/>
  <c r="F110" i="227"/>
  <c r="J113" i="226"/>
  <c r="K113" i="226"/>
  <c r="F113" i="227"/>
  <c r="J94" i="226"/>
  <c r="K94" i="226"/>
  <c r="F94" i="227"/>
  <c r="K91" i="226"/>
  <c r="J91" i="226"/>
  <c r="F91" i="227"/>
  <c r="K68" i="226"/>
  <c r="J68" i="226"/>
  <c r="F68" i="227"/>
  <c r="J67" i="226"/>
  <c r="K67" i="226"/>
  <c r="F67" i="227"/>
  <c r="F81" i="227"/>
  <c r="K81" i="226"/>
  <c r="J81" i="226"/>
  <c r="F149" i="225"/>
  <c r="J149" i="225" s="1"/>
  <c r="K120" i="226"/>
  <c r="J120" i="226"/>
  <c r="F120" i="227"/>
  <c r="J73" i="226"/>
  <c r="K73" i="226"/>
  <c r="F73" i="227"/>
  <c r="K71" i="226"/>
  <c r="F71" i="227"/>
  <c r="J71" i="226"/>
  <c r="K75" i="226"/>
  <c r="F75" i="227"/>
  <c r="J75" i="226"/>
  <c r="K60" i="226"/>
  <c r="J60" i="226"/>
  <c r="F60" i="227"/>
  <c r="K62" i="226"/>
  <c r="J62" i="226"/>
  <c r="F62" i="227"/>
  <c r="K128" i="226"/>
  <c r="J128" i="226"/>
  <c r="F128" i="227"/>
  <c r="K123" i="226"/>
  <c r="J123" i="226"/>
  <c r="F123" i="227"/>
  <c r="K64" i="226"/>
  <c r="J64" i="226"/>
  <c r="F64" i="227"/>
  <c r="K61" i="226"/>
  <c r="J61" i="226"/>
  <c r="F61" i="227"/>
  <c r="K63" i="228"/>
  <c r="J63" i="228"/>
  <c r="F63" i="229"/>
  <c r="AR10" i="118"/>
  <c r="G41" i="115" s="1"/>
  <c r="AR99" i="118"/>
  <c r="F116" i="228" l="1"/>
  <c r="K116" i="227"/>
  <c r="J116" i="227"/>
  <c r="K149" i="225"/>
  <c r="K81" i="227"/>
  <c r="J81" i="227"/>
  <c r="F81" i="228"/>
  <c r="K110" i="227"/>
  <c r="J110" i="227"/>
  <c r="F110" i="228"/>
  <c r="K79" i="227"/>
  <c r="J79" i="227"/>
  <c r="F79" i="228"/>
  <c r="J57" i="226"/>
  <c r="K57" i="226"/>
  <c r="F57" i="227"/>
  <c r="K107" i="227"/>
  <c r="J107" i="227"/>
  <c r="F107" i="228"/>
  <c r="J89" i="227"/>
  <c r="K89" i="227"/>
  <c r="F89" i="228"/>
  <c r="J67" i="227"/>
  <c r="K67" i="227"/>
  <c r="F67" i="228"/>
  <c r="J143" i="227"/>
  <c r="K143" i="227"/>
  <c r="F143" i="228"/>
  <c r="F75" i="228"/>
  <c r="K75" i="227"/>
  <c r="J75" i="227"/>
  <c r="J115" i="227"/>
  <c r="K115" i="227"/>
  <c r="F115" i="228"/>
  <c r="J85" i="227"/>
  <c r="K85" i="227"/>
  <c r="F85" i="228"/>
  <c r="J124" i="227"/>
  <c r="K124" i="227"/>
  <c r="F124" i="228"/>
  <c r="J109" i="227"/>
  <c r="K109" i="227"/>
  <c r="F109" i="228"/>
  <c r="F74" i="228"/>
  <c r="K74" i="227"/>
  <c r="J74" i="227"/>
  <c r="J59" i="226"/>
  <c r="K59" i="226"/>
  <c r="F59" i="227"/>
  <c r="J117" i="227"/>
  <c r="F117" i="228"/>
  <c r="K117" i="227"/>
  <c r="J88" i="227"/>
  <c r="K88" i="227"/>
  <c r="F88" i="228"/>
  <c r="J93" i="227"/>
  <c r="K93" i="227"/>
  <c r="F93" i="228"/>
  <c r="F68" i="228"/>
  <c r="J68" i="227"/>
  <c r="K68" i="227"/>
  <c r="J100" i="227"/>
  <c r="K100" i="227"/>
  <c r="F100" i="228"/>
  <c r="F137" i="228"/>
  <c r="J137" i="227"/>
  <c r="K137" i="227"/>
  <c r="J76" i="227"/>
  <c r="K76" i="227"/>
  <c r="F76" i="228"/>
  <c r="F146" i="228"/>
  <c r="K146" i="227"/>
  <c r="J146" i="227"/>
  <c r="F114" i="228"/>
  <c r="K114" i="227"/>
  <c r="J114" i="227"/>
  <c r="J126" i="227"/>
  <c r="K126" i="227"/>
  <c r="F126" i="228"/>
  <c r="K86" i="227"/>
  <c r="J86" i="227"/>
  <c r="F86" i="228"/>
  <c r="F83" i="228"/>
  <c r="K83" i="227"/>
  <c r="J83" i="227"/>
  <c r="F123" i="228"/>
  <c r="J123" i="227"/>
  <c r="K123" i="227"/>
  <c r="K71" i="227"/>
  <c r="F71" i="228"/>
  <c r="J71" i="227"/>
  <c r="J72" i="227"/>
  <c r="K72" i="227"/>
  <c r="F72" i="228"/>
  <c r="J144" i="227"/>
  <c r="K144" i="227"/>
  <c r="F144" i="228"/>
  <c r="J106" i="227"/>
  <c r="K106" i="227"/>
  <c r="F106" i="228"/>
  <c r="J129" i="227"/>
  <c r="K129" i="227"/>
  <c r="F129" i="228"/>
  <c r="J112" i="227"/>
  <c r="K112" i="227"/>
  <c r="F112" i="228"/>
  <c r="J134" i="227"/>
  <c r="K134" i="227"/>
  <c r="F134" i="228"/>
  <c r="K131" i="227"/>
  <c r="J131" i="227"/>
  <c r="F131" i="228"/>
  <c r="F82" i="228"/>
  <c r="J82" i="227"/>
  <c r="K82" i="227"/>
  <c r="J73" i="227"/>
  <c r="K73" i="227"/>
  <c r="F73" i="228"/>
  <c r="K91" i="227"/>
  <c r="J91" i="227"/>
  <c r="F91" i="228"/>
  <c r="K77" i="227"/>
  <c r="F77" i="228"/>
  <c r="J77" i="227"/>
  <c r="F80" i="228"/>
  <c r="J80" i="227"/>
  <c r="K80" i="227"/>
  <c r="J70" i="227"/>
  <c r="F70" i="228"/>
  <c r="K70" i="227"/>
  <c r="K128" i="227"/>
  <c r="J128" i="227"/>
  <c r="F128" i="228"/>
  <c r="K92" i="227"/>
  <c r="J92" i="227"/>
  <c r="F92" i="228"/>
  <c r="J148" i="227"/>
  <c r="F148" i="228"/>
  <c r="K148" i="227"/>
  <c r="K132" i="227"/>
  <c r="J132" i="227"/>
  <c r="F132" i="228"/>
  <c r="F147" i="228"/>
  <c r="J147" i="227"/>
  <c r="K147" i="227"/>
  <c r="J142" i="227"/>
  <c r="K142" i="227"/>
  <c r="F142" i="228"/>
  <c r="K108" i="227"/>
  <c r="J108" i="227"/>
  <c r="F108" i="228"/>
  <c r="F66" i="228"/>
  <c r="K66" i="227"/>
  <c r="J66" i="227"/>
  <c r="K136" i="227"/>
  <c r="J136" i="227"/>
  <c r="F136" i="228"/>
  <c r="J118" i="227"/>
  <c r="K118" i="227"/>
  <c r="F118" i="228"/>
  <c r="J98" i="227"/>
  <c r="K98" i="227"/>
  <c r="F98" i="228"/>
  <c r="J96" i="227"/>
  <c r="F96" i="228"/>
  <c r="K96" i="227"/>
  <c r="J87" i="227"/>
  <c r="K87" i="227"/>
  <c r="F87" i="228"/>
  <c r="J120" i="227"/>
  <c r="K120" i="227"/>
  <c r="F120" i="228"/>
  <c r="J94" i="227"/>
  <c r="K94" i="227"/>
  <c r="F94" i="228"/>
  <c r="K138" i="227"/>
  <c r="J138" i="227"/>
  <c r="F138" i="228"/>
  <c r="K99" i="227"/>
  <c r="J99" i="227"/>
  <c r="F99" i="228"/>
  <c r="J125" i="227"/>
  <c r="F125" i="228"/>
  <c r="K125" i="227"/>
  <c r="F97" i="228"/>
  <c r="J97" i="227"/>
  <c r="K97" i="227"/>
  <c r="K122" i="227"/>
  <c r="F122" i="228"/>
  <c r="J122" i="227"/>
  <c r="K62" i="227"/>
  <c r="J62" i="227"/>
  <c r="F62" i="228"/>
  <c r="K95" i="227"/>
  <c r="F95" i="228"/>
  <c r="J95" i="227"/>
  <c r="J135" i="227"/>
  <c r="K135" i="227"/>
  <c r="F135" i="228"/>
  <c r="J141" i="227"/>
  <c r="F141" i="228"/>
  <c r="K141" i="227"/>
  <c r="K58" i="227"/>
  <c r="J58" i="227"/>
  <c r="F58" i="228"/>
  <c r="K84" i="227"/>
  <c r="J84" i="227"/>
  <c r="F84" i="228"/>
  <c r="K119" i="227"/>
  <c r="F119" i="228"/>
  <c r="J119" i="227"/>
  <c r="F127" i="228"/>
  <c r="K127" i="227"/>
  <c r="J127" i="227"/>
  <c r="K111" i="227"/>
  <c r="J111" i="227"/>
  <c r="F111" i="228"/>
  <c r="K113" i="227"/>
  <c r="J113" i="227"/>
  <c r="F113" i="228"/>
  <c r="K90" i="227"/>
  <c r="F90" i="228"/>
  <c r="J90" i="227"/>
  <c r="K121" i="227"/>
  <c r="F121" i="228"/>
  <c r="J121" i="227"/>
  <c r="K133" i="227"/>
  <c r="J133" i="227"/>
  <c r="F133" i="228"/>
  <c r="K145" i="227"/>
  <c r="J145" i="227"/>
  <c r="F145" i="228"/>
  <c r="J140" i="227"/>
  <c r="K140" i="227"/>
  <c r="F140" i="228"/>
  <c r="J69" i="227"/>
  <c r="K69" i="227"/>
  <c r="F69" i="228"/>
  <c r="F149" i="226"/>
  <c r="J149" i="226" s="1"/>
  <c r="J60" i="227"/>
  <c r="K60" i="227"/>
  <c r="F60" i="228"/>
  <c r="F78" i="228"/>
  <c r="J78" i="227"/>
  <c r="K78" i="227"/>
  <c r="F139" i="228"/>
  <c r="J139" i="227"/>
  <c r="K139" i="227"/>
  <c r="K130" i="227"/>
  <c r="J130" i="227"/>
  <c r="F130" i="228"/>
  <c r="J65" i="227"/>
  <c r="K65" i="227"/>
  <c r="F65" i="228"/>
  <c r="F64" i="228"/>
  <c r="J64" i="227"/>
  <c r="K64" i="227"/>
  <c r="J61" i="227"/>
  <c r="F61" i="228"/>
  <c r="K61" i="227"/>
  <c r="K63" i="229"/>
  <c r="J63" i="229"/>
  <c r="F63" i="230"/>
  <c r="AQ10" i="118"/>
  <c r="G40" i="115" s="1"/>
  <c r="AQ99" i="118"/>
  <c r="K116" i="228" l="1"/>
  <c r="F116" i="229"/>
  <c r="J116" i="228"/>
  <c r="K149" i="226"/>
  <c r="K127" i="228"/>
  <c r="F127" i="229"/>
  <c r="J127" i="228"/>
  <c r="K142" i="228"/>
  <c r="F142" i="229"/>
  <c r="J142" i="228"/>
  <c r="K106" i="228"/>
  <c r="J106" i="228"/>
  <c r="F106" i="229"/>
  <c r="J118" i="228"/>
  <c r="K118" i="228"/>
  <c r="F118" i="229"/>
  <c r="K78" i="228"/>
  <c r="J78" i="228"/>
  <c r="F78" i="229"/>
  <c r="F95" i="229"/>
  <c r="K95" i="228"/>
  <c r="J95" i="228"/>
  <c r="J98" i="228"/>
  <c r="K98" i="228"/>
  <c r="F98" i="229"/>
  <c r="J83" i="228"/>
  <c r="F83" i="229"/>
  <c r="K83" i="228"/>
  <c r="F117" i="229"/>
  <c r="K117" i="228"/>
  <c r="J117" i="228"/>
  <c r="K107" i="228"/>
  <c r="J107" i="228"/>
  <c r="F107" i="229"/>
  <c r="K131" i="228"/>
  <c r="J131" i="228"/>
  <c r="F131" i="229"/>
  <c r="J57" i="227"/>
  <c r="F57" i="228"/>
  <c r="K57" i="227"/>
  <c r="K126" i="228"/>
  <c r="J126" i="228"/>
  <c r="F126" i="229"/>
  <c r="F60" i="229"/>
  <c r="J60" i="228"/>
  <c r="K60" i="228"/>
  <c r="K119" i="228"/>
  <c r="J119" i="228"/>
  <c r="F119" i="229"/>
  <c r="J138" i="228"/>
  <c r="F138" i="229"/>
  <c r="K138" i="228"/>
  <c r="J86" i="228"/>
  <c r="K86" i="228"/>
  <c r="F86" i="229"/>
  <c r="J115" i="228"/>
  <c r="F115" i="229"/>
  <c r="K115" i="228"/>
  <c r="K121" i="228"/>
  <c r="J121" i="228"/>
  <c r="F121" i="229"/>
  <c r="K62" i="228"/>
  <c r="J62" i="228"/>
  <c r="F62" i="229"/>
  <c r="J70" i="228"/>
  <c r="K70" i="228"/>
  <c r="F70" i="229"/>
  <c r="K82" i="228"/>
  <c r="J82" i="228"/>
  <c r="F82" i="229"/>
  <c r="F144" i="229"/>
  <c r="J144" i="228"/>
  <c r="K144" i="228"/>
  <c r="J137" i="228"/>
  <c r="K137" i="228"/>
  <c r="F137" i="229"/>
  <c r="K59" i="227"/>
  <c r="J59" i="227"/>
  <c r="F59" i="228"/>
  <c r="J100" i="228"/>
  <c r="K100" i="228"/>
  <c r="F100" i="229"/>
  <c r="K94" i="228"/>
  <c r="J94" i="228"/>
  <c r="F94" i="229"/>
  <c r="K147" i="228"/>
  <c r="F147" i="229"/>
  <c r="J147" i="228"/>
  <c r="J65" i="228"/>
  <c r="K65" i="228"/>
  <c r="F65" i="229"/>
  <c r="J69" i="228"/>
  <c r="K69" i="228"/>
  <c r="F69" i="229"/>
  <c r="J90" i="228"/>
  <c r="K90" i="228"/>
  <c r="F90" i="229"/>
  <c r="K132" i="228"/>
  <c r="J132" i="228"/>
  <c r="F132" i="229"/>
  <c r="J72" i="228"/>
  <c r="K72" i="228"/>
  <c r="F72" i="229"/>
  <c r="J136" i="228"/>
  <c r="F136" i="229"/>
  <c r="K136" i="228"/>
  <c r="K80" i="228"/>
  <c r="J80" i="228"/>
  <c r="F80" i="229"/>
  <c r="J134" i="228"/>
  <c r="F134" i="229"/>
  <c r="K134" i="228"/>
  <c r="K75" i="228"/>
  <c r="J75" i="228"/>
  <c r="F75" i="229"/>
  <c r="J79" i="228"/>
  <c r="K79" i="228"/>
  <c r="F79" i="229"/>
  <c r="K113" i="228"/>
  <c r="J113" i="228"/>
  <c r="F113" i="229"/>
  <c r="F120" i="229"/>
  <c r="K120" i="228"/>
  <c r="J120" i="228"/>
  <c r="K74" i="228"/>
  <c r="J74" i="228"/>
  <c r="F74" i="229"/>
  <c r="J143" i="228"/>
  <c r="K143" i="228"/>
  <c r="F143" i="229"/>
  <c r="J84" i="228"/>
  <c r="K84" i="228"/>
  <c r="F84" i="229"/>
  <c r="J122" i="228"/>
  <c r="F122" i="229"/>
  <c r="K122" i="228"/>
  <c r="J130" i="228"/>
  <c r="K130" i="228"/>
  <c r="F130" i="229"/>
  <c r="K140" i="228"/>
  <c r="J140" i="228"/>
  <c r="F140" i="229"/>
  <c r="K77" i="228"/>
  <c r="J77" i="228"/>
  <c r="F77" i="229"/>
  <c r="J68" i="228"/>
  <c r="K68" i="228"/>
  <c r="F68" i="229"/>
  <c r="J109" i="228"/>
  <c r="K109" i="228"/>
  <c r="F109" i="229"/>
  <c r="K58" i="228"/>
  <c r="J58" i="228"/>
  <c r="F58" i="229"/>
  <c r="K148" i="228"/>
  <c r="J148" i="228"/>
  <c r="F148" i="229"/>
  <c r="K112" i="228"/>
  <c r="J112" i="228"/>
  <c r="F112" i="229"/>
  <c r="K71" i="228"/>
  <c r="J71" i="228"/>
  <c r="F71" i="229"/>
  <c r="F114" i="229"/>
  <c r="K114" i="228"/>
  <c r="J114" i="228"/>
  <c r="K93" i="228"/>
  <c r="J93" i="228"/>
  <c r="F93" i="229"/>
  <c r="J110" i="228"/>
  <c r="F110" i="229"/>
  <c r="K110" i="228"/>
  <c r="J67" i="228"/>
  <c r="K67" i="228"/>
  <c r="F67" i="229"/>
  <c r="K145" i="228"/>
  <c r="J145" i="228"/>
  <c r="F145" i="229"/>
  <c r="K92" i="228"/>
  <c r="J92" i="228"/>
  <c r="F92" i="229"/>
  <c r="J124" i="228"/>
  <c r="F124" i="229"/>
  <c r="K124" i="228"/>
  <c r="F135" i="229"/>
  <c r="J135" i="228"/>
  <c r="K135" i="228"/>
  <c r="F125" i="229"/>
  <c r="J125" i="228"/>
  <c r="K125" i="228"/>
  <c r="J108" i="228"/>
  <c r="K108" i="228"/>
  <c r="F108" i="229"/>
  <c r="J129" i="228"/>
  <c r="K129" i="228"/>
  <c r="F129" i="229"/>
  <c r="F146" i="229"/>
  <c r="J146" i="228"/>
  <c r="K146" i="228"/>
  <c r="F88" i="229"/>
  <c r="J88" i="228"/>
  <c r="K88" i="228"/>
  <c r="F81" i="229"/>
  <c r="J81" i="228"/>
  <c r="K81" i="228"/>
  <c r="F111" i="229"/>
  <c r="J111" i="228"/>
  <c r="K111" i="228"/>
  <c r="K141" i="228"/>
  <c r="J141" i="228"/>
  <c r="F141" i="229"/>
  <c r="F87" i="229"/>
  <c r="K87" i="228"/>
  <c r="J87" i="228"/>
  <c r="F91" i="229"/>
  <c r="K91" i="228"/>
  <c r="J91" i="228"/>
  <c r="F149" i="227"/>
  <c r="J149" i="227" s="1"/>
  <c r="J73" i="228"/>
  <c r="K73" i="228"/>
  <c r="F73" i="229"/>
  <c r="F123" i="229"/>
  <c r="K123" i="228"/>
  <c r="J123" i="228"/>
  <c r="J76" i="228"/>
  <c r="K76" i="228"/>
  <c r="F76" i="229"/>
  <c r="F89" i="229"/>
  <c r="J89" i="228"/>
  <c r="K89" i="228"/>
  <c r="J97" i="228"/>
  <c r="K97" i="228"/>
  <c r="F97" i="229"/>
  <c r="K66" i="228"/>
  <c r="J66" i="228"/>
  <c r="F66" i="229"/>
  <c r="K139" i="228"/>
  <c r="J139" i="228"/>
  <c r="F139" i="229"/>
  <c r="F133" i="229"/>
  <c r="K133" i="228"/>
  <c r="J133" i="228"/>
  <c r="K99" i="228"/>
  <c r="J99" i="228"/>
  <c r="F99" i="229"/>
  <c r="F96" i="229"/>
  <c r="J96" i="228"/>
  <c r="K96" i="228"/>
  <c r="J128" i="228"/>
  <c r="K128" i="228"/>
  <c r="F128" i="229"/>
  <c r="K85" i="228"/>
  <c r="J85" i="228"/>
  <c r="F85" i="229"/>
  <c r="F64" i="229"/>
  <c r="J64" i="228"/>
  <c r="K64" i="228"/>
  <c r="K61" i="228"/>
  <c r="F61" i="229"/>
  <c r="J61" i="228"/>
  <c r="J63" i="230"/>
  <c r="K63" i="230"/>
  <c r="F63" i="231"/>
  <c r="AP10" i="118"/>
  <c r="G39" i="115" s="1"/>
  <c r="AP99" i="118"/>
  <c r="K116" i="229" l="1"/>
  <c r="J116" i="229"/>
  <c r="F116" i="230"/>
  <c r="F149" i="228"/>
  <c r="J149" i="228" s="1"/>
  <c r="K149" i="227"/>
  <c r="J76" i="229"/>
  <c r="F76" i="230"/>
  <c r="K76" i="229"/>
  <c r="K141" i="229"/>
  <c r="F141" i="230"/>
  <c r="J141" i="229"/>
  <c r="K71" i="229"/>
  <c r="F71" i="230"/>
  <c r="J71" i="229"/>
  <c r="K75" i="229"/>
  <c r="J75" i="229"/>
  <c r="F75" i="230"/>
  <c r="J70" i="229"/>
  <c r="F70" i="230"/>
  <c r="K70" i="229"/>
  <c r="K138" i="229"/>
  <c r="J138" i="229"/>
  <c r="F138" i="230"/>
  <c r="J78" i="229"/>
  <c r="F78" i="230"/>
  <c r="K78" i="229"/>
  <c r="F89" i="230"/>
  <c r="J89" i="229"/>
  <c r="K89" i="229"/>
  <c r="K87" i="229"/>
  <c r="F87" i="230"/>
  <c r="J87" i="229"/>
  <c r="J129" i="229"/>
  <c r="K129" i="229"/>
  <c r="F129" i="230"/>
  <c r="K114" i="229"/>
  <c r="J114" i="229"/>
  <c r="F114" i="230"/>
  <c r="K68" i="229"/>
  <c r="J68" i="229"/>
  <c r="F68" i="230"/>
  <c r="J132" i="229"/>
  <c r="K132" i="229"/>
  <c r="F132" i="230"/>
  <c r="J143" i="229"/>
  <c r="K143" i="229"/>
  <c r="F143" i="230"/>
  <c r="J100" i="229"/>
  <c r="F100" i="230"/>
  <c r="K100" i="229"/>
  <c r="K107" i="229"/>
  <c r="J107" i="229"/>
  <c r="F107" i="230"/>
  <c r="F95" i="230"/>
  <c r="K95" i="229"/>
  <c r="J95" i="229"/>
  <c r="K145" i="229"/>
  <c r="F145" i="230"/>
  <c r="J145" i="229"/>
  <c r="J108" i="229"/>
  <c r="K108" i="229"/>
  <c r="F108" i="230"/>
  <c r="K77" i="229"/>
  <c r="F77" i="230"/>
  <c r="J77" i="229"/>
  <c r="J90" i="229"/>
  <c r="K90" i="229"/>
  <c r="F90" i="230"/>
  <c r="J119" i="229"/>
  <c r="K119" i="229"/>
  <c r="F119" i="230"/>
  <c r="K139" i="229"/>
  <c r="J139" i="229"/>
  <c r="F139" i="230"/>
  <c r="J67" i="229"/>
  <c r="F67" i="230"/>
  <c r="K67" i="229"/>
  <c r="K74" i="229"/>
  <c r="J74" i="229"/>
  <c r="F74" i="230"/>
  <c r="J134" i="229"/>
  <c r="K134" i="229"/>
  <c r="F134" i="230"/>
  <c r="J59" i="228"/>
  <c r="K59" i="228"/>
  <c r="F59" i="229"/>
  <c r="K112" i="229"/>
  <c r="F112" i="230"/>
  <c r="J112" i="229"/>
  <c r="J85" i="229"/>
  <c r="K85" i="229"/>
  <c r="F85" i="230"/>
  <c r="F123" i="230"/>
  <c r="K123" i="229"/>
  <c r="J123" i="229"/>
  <c r="K111" i="229"/>
  <c r="F111" i="230"/>
  <c r="J111" i="229"/>
  <c r="K140" i="229"/>
  <c r="J140" i="229"/>
  <c r="F140" i="230"/>
  <c r="K69" i="229"/>
  <c r="J69" i="229"/>
  <c r="F69" i="230"/>
  <c r="J106" i="229"/>
  <c r="F106" i="230"/>
  <c r="K106" i="229"/>
  <c r="K73" i="229"/>
  <c r="F73" i="230"/>
  <c r="J73" i="229"/>
  <c r="K148" i="229"/>
  <c r="J148" i="229"/>
  <c r="F148" i="230"/>
  <c r="F80" i="230"/>
  <c r="J80" i="229"/>
  <c r="K80" i="229"/>
  <c r="J121" i="229"/>
  <c r="F121" i="230"/>
  <c r="K121" i="229"/>
  <c r="F117" i="230"/>
  <c r="J117" i="229"/>
  <c r="K117" i="229"/>
  <c r="F66" i="230"/>
  <c r="K66" i="229"/>
  <c r="J66" i="229"/>
  <c r="K125" i="229"/>
  <c r="J125" i="229"/>
  <c r="F125" i="230"/>
  <c r="J137" i="229"/>
  <c r="K137" i="229"/>
  <c r="F137" i="230"/>
  <c r="J60" i="229"/>
  <c r="K60" i="229"/>
  <c r="F60" i="230"/>
  <c r="J128" i="229"/>
  <c r="K128" i="229"/>
  <c r="F128" i="230"/>
  <c r="J81" i="229"/>
  <c r="F81" i="230"/>
  <c r="K81" i="229"/>
  <c r="J110" i="229"/>
  <c r="F110" i="230"/>
  <c r="K110" i="229"/>
  <c r="K130" i="229"/>
  <c r="J130" i="229"/>
  <c r="F130" i="230"/>
  <c r="J65" i="229"/>
  <c r="K65" i="229"/>
  <c r="F65" i="230"/>
  <c r="J126" i="229"/>
  <c r="K126" i="229"/>
  <c r="F126" i="230"/>
  <c r="J83" i="229"/>
  <c r="K83" i="229"/>
  <c r="F83" i="230"/>
  <c r="J58" i="229"/>
  <c r="K58" i="229"/>
  <c r="F58" i="230"/>
  <c r="K120" i="229"/>
  <c r="J120" i="229"/>
  <c r="F120" i="230"/>
  <c r="K136" i="229"/>
  <c r="J136" i="229"/>
  <c r="F136" i="230"/>
  <c r="J115" i="229"/>
  <c r="F115" i="230"/>
  <c r="K115" i="229"/>
  <c r="K98" i="229"/>
  <c r="J98" i="229"/>
  <c r="F98" i="230"/>
  <c r="J142" i="229"/>
  <c r="K142" i="229"/>
  <c r="F142" i="230"/>
  <c r="K133" i="229"/>
  <c r="J133" i="229"/>
  <c r="F133" i="230"/>
  <c r="F118" i="230"/>
  <c r="J118" i="229"/>
  <c r="K118" i="229"/>
  <c r="J88" i="229"/>
  <c r="K88" i="229"/>
  <c r="F88" i="230"/>
  <c r="J135" i="229"/>
  <c r="F135" i="230"/>
  <c r="K135" i="229"/>
  <c r="F93" i="230"/>
  <c r="J93" i="229"/>
  <c r="K93" i="229"/>
  <c r="K113" i="229"/>
  <c r="J113" i="229"/>
  <c r="F113" i="230"/>
  <c r="K91" i="229"/>
  <c r="F91" i="230"/>
  <c r="J91" i="229"/>
  <c r="K124" i="229"/>
  <c r="J124" i="229"/>
  <c r="F124" i="230"/>
  <c r="K109" i="229"/>
  <c r="F109" i="230"/>
  <c r="J109" i="229"/>
  <c r="K122" i="229"/>
  <c r="F122" i="230"/>
  <c r="J122" i="229"/>
  <c r="K72" i="229"/>
  <c r="F72" i="230"/>
  <c r="J72" i="229"/>
  <c r="J147" i="229"/>
  <c r="F147" i="230"/>
  <c r="K147" i="229"/>
  <c r="K144" i="229"/>
  <c r="J144" i="229"/>
  <c r="F144" i="230"/>
  <c r="J86" i="229"/>
  <c r="F86" i="230"/>
  <c r="K86" i="229"/>
  <c r="K57" i="228"/>
  <c r="J57" i="228"/>
  <c r="F57" i="229"/>
  <c r="J62" i="229"/>
  <c r="K62" i="229"/>
  <c r="F62" i="230"/>
  <c r="K97" i="229"/>
  <c r="F97" i="230"/>
  <c r="J97" i="229"/>
  <c r="K96" i="229"/>
  <c r="J96" i="229"/>
  <c r="F96" i="230"/>
  <c r="F79" i="230"/>
  <c r="J79" i="229"/>
  <c r="K79" i="229"/>
  <c r="J82" i="229"/>
  <c r="K82" i="229"/>
  <c r="F82" i="230"/>
  <c r="K127" i="229"/>
  <c r="J127" i="229"/>
  <c r="F127" i="230"/>
  <c r="J99" i="229"/>
  <c r="K99" i="229"/>
  <c r="F99" i="230"/>
  <c r="K146" i="229"/>
  <c r="J146" i="229"/>
  <c r="F146" i="230"/>
  <c r="F92" i="230"/>
  <c r="K92" i="229"/>
  <c r="J92" i="229"/>
  <c r="J84" i="229"/>
  <c r="K84" i="229"/>
  <c r="F84" i="230"/>
  <c r="K94" i="229"/>
  <c r="J94" i="229"/>
  <c r="F94" i="230"/>
  <c r="F131" i="230"/>
  <c r="K131" i="229"/>
  <c r="J131" i="229"/>
  <c r="K64" i="229"/>
  <c r="J64" i="229"/>
  <c r="F64" i="230"/>
  <c r="J61" i="229"/>
  <c r="K61" i="229"/>
  <c r="F61" i="230"/>
  <c r="J63" i="231"/>
  <c r="K63" i="231"/>
  <c r="F63" i="232"/>
  <c r="AO10" i="118"/>
  <c r="G38" i="115" s="1"/>
  <c r="AO99" i="118"/>
  <c r="K116" i="230" l="1"/>
  <c r="J116" i="230"/>
  <c r="F116" i="231"/>
  <c r="K149" i="228"/>
  <c r="F90" i="231"/>
  <c r="J90" i="230"/>
  <c r="K90" i="230"/>
  <c r="J146" i="230"/>
  <c r="K146" i="230"/>
  <c r="F146" i="231"/>
  <c r="K130" i="230"/>
  <c r="F130" i="231"/>
  <c r="J130" i="230"/>
  <c r="K80" i="230"/>
  <c r="J80" i="230"/>
  <c r="F80" i="231"/>
  <c r="F92" i="231"/>
  <c r="K92" i="230"/>
  <c r="J92" i="230"/>
  <c r="K96" i="230"/>
  <c r="J96" i="230"/>
  <c r="F96" i="231"/>
  <c r="F137" i="231"/>
  <c r="J137" i="230"/>
  <c r="K137" i="230"/>
  <c r="J134" i="230"/>
  <c r="K134" i="230"/>
  <c r="F134" i="231"/>
  <c r="K129" i="230"/>
  <c r="F129" i="231"/>
  <c r="J129" i="230"/>
  <c r="F70" i="231"/>
  <c r="J70" i="230"/>
  <c r="K70" i="230"/>
  <c r="F91" i="231"/>
  <c r="J91" i="230"/>
  <c r="K91" i="230"/>
  <c r="K118" i="230"/>
  <c r="J118" i="230"/>
  <c r="F118" i="231"/>
  <c r="K120" i="230"/>
  <c r="J120" i="230"/>
  <c r="F120" i="231"/>
  <c r="F148" i="231"/>
  <c r="J148" i="230"/>
  <c r="K148" i="230"/>
  <c r="K111" i="230"/>
  <c r="J111" i="230"/>
  <c r="F111" i="231"/>
  <c r="F100" i="231"/>
  <c r="J100" i="230"/>
  <c r="K100" i="230"/>
  <c r="K75" i="230"/>
  <c r="J75" i="230"/>
  <c r="F75" i="231"/>
  <c r="K87" i="230"/>
  <c r="J87" i="230"/>
  <c r="F87" i="231"/>
  <c r="J79" i="230"/>
  <c r="K79" i="230"/>
  <c r="F79" i="231"/>
  <c r="J97" i="230"/>
  <c r="K97" i="230"/>
  <c r="F97" i="231"/>
  <c r="J113" i="230"/>
  <c r="K113" i="230"/>
  <c r="F113" i="231"/>
  <c r="K143" i="230"/>
  <c r="J143" i="230"/>
  <c r="F143" i="231"/>
  <c r="K58" i="230"/>
  <c r="J58" i="230"/>
  <c r="F58" i="231"/>
  <c r="J110" i="230"/>
  <c r="K110" i="230"/>
  <c r="F110" i="231"/>
  <c r="K108" i="230"/>
  <c r="J108" i="230"/>
  <c r="F108" i="231"/>
  <c r="J62" i="230"/>
  <c r="K62" i="230"/>
  <c r="F62" i="231"/>
  <c r="K72" i="230"/>
  <c r="J72" i="230"/>
  <c r="F72" i="231"/>
  <c r="K142" i="230"/>
  <c r="J142" i="230"/>
  <c r="F142" i="231"/>
  <c r="J73" i="230"/>
  <c r="K73" i="230"/>
  <c r="F73" i="231"/>
  <c r="J123" i="230"/>
  <c r="F123" i="231"/>
  <c r="K123" i="230"/>
  <c r="K71" i="230"/>
  <c r="J71" i="230"/>
  <c r="F71" i="231"/>
  <c r="K144" i="230"/>
  <c r="J144" i="230"/>
  <c r="F144" i="231"/>
  <c r="F77" i="231"/>
  <c r="J77" i="230"/>
  <c r="K77" i="230"/>
  <c r="F131" i="231"/>
  <c r="K131" i="230"/>
  <c r="J131" i="230"/>
  <c r="K127" i="230"/>
  <c r="F127" i="231"/>
  <c r="J127" i="230"/>
  <c r="F85" i="231"/>
  <c r="J85" i="230"/>
  <c r="K85" i="230"/>
  <c r="J67" i="230"/>
  <c r="K67" i="230"/>
  <c r="F67" i="231"/>
  <c r="J132" i="230"/>
  <c r="F132" i="231"/>
  <c r="K132" i="230"/>
  <c r="K94" i="230"/>
  <c r="J94" i="230"/>
  <c r="F94" i="231"/>
  <c r="J83" i="230"/>
  <c r="K83" i="230"/>
  <c r="F83" i="231"/>
  <c r="F81" i="231"/>
  <c r="J81" i="230"/>
  <c r="K81" i="230"/>
  <c r="F66" i="231"/>
  <c r="J66" i="230"/>
  <c r="K66" i="230"/>
  <c r="K89" i="230"/>
  <c r="F89" i="231"/>
  <c r="J89" i="230"/>
  <c r="K136" i="230"/>
  <c r="F136" i="231"/>
  <c r="J136" i="230"/>
  <c r="K147" i="230"/>
  <c r="J147" i="230"/>
  <c r="F147" i="231"/>
  <c r="K125" i="230"/>
  <c r="F125" i="231"/>
  <c r="J125" i="230"/>
  <c r="K57" i="229"/>
  <c r="J57" i="229"/>
  <c r="F57" i="230"/>
  <c r="J122" i="230"/>
  <c r="K122" i="230"/>
  <c r="F122" i="231"/>
  <c r="J93" i="230"/>
  <c r="K93" i="230"/>
  <c r="F93" i="231"/>
  <c r="K98" i="230"/>
  <c r="J98" i="230"/>
  <c r="F98" i="231"/>
  <c r="J106" i="230"/>
  <c r="K106" i="230"/>
  <c r="F106" i="231"/>
  <c r="J139" i="230"/>
  <c r="F139" i="231"/>
  <c r="K139" i="230"/>
  <c r="J145" i="230"/>
  <c r="K145" i="230"/>
  <c r="F145" i="231"/>
  <c r="J141" i="230"/>
  <c r="K141" i="230"/>
  <c r="F141" i="231"/>
  <c r="J128" i="230"/>
  <c r="K128" i="230"/>
  <c r="F128" i="231"/>
  <c r="J68" i="230"/>
  <c r="K68" i="230"/>
  <c r="F68" i="231"/>
  <c r="J78" i="230"/>
  <c r="F78" i="231"/>
  <c r="K78" i="230"/>
  <c r="J99" i="230"/>
  <c r="F99" i="231"/>
  <c r="K99" i="230"/>
  <c r="J82" i="230"/>
  <c r="K82" i="230"/>
  <c r="F82" i="231"/>
  <c r="J84" i="230"/>
  <c r="K84" i="230"/>
  <c r="F84" i="231"/>
  <c r="J135" i="230"/>
  <c r="F135" i="231"/>
  <c r="K135" i="230"/>
  <c r="J126" i="230"/>
  <c r="K126" i="230"/>
  <c r="F126" i="231"/>
  <c r="F117" i="231"/>
  <c r="K117" i="230"/>
  <c r="J117" i="230"/>
  <c r="F69" i="231"/>
  <c r="K69" i="230"/>
  <c r="J69" i="230"/>
  <c r="K112" i="230"/>
  <c r="J112" i="230"/>
  <c r="F112" i="231"/>
  <c r="F133" i="231"/>
  <c r="K133" i="230"/>
  <c r="J133" i="230"/>
  <c r="F109" i="231"/>
  <c r="K109" i="230"/>
  <c r="J109" i="230"/>
  <c r="J119" i="230"/>
  <c r="K119" i="230"/>
  <c r="F119" i="231"/>
  <c r="K138" i="230"/>
  <c r="J138" i="230"/>
  <c r="F138" i="231"/>
  <c r="K76" i="230"/>
  <c r="J76" i="230"/>
  <c r="F76" i="231"/>
  <c r="K86" i="230"/>
  <c r="J86" i="230"/>
  <c r="F86" i="231"/>
  <c r="J88" i="230"/>
  <c r="K88" i="230"/>
  <c r="F88" i="231"/>
  <c r="F115" i="231"/>
  <c r="K115" i="230"/>
  <c r="J115" i="230"/>
  <c r="J60" i="230"/>
  <c r="K60" i="230"/>
  <c r="F60" i="231"/>
  <c r="J121" i="230"/>
  <c r="K121" i="230"/>
  <c r="F121" i="231"/>
  <c r="J59" i="229"/>
  <c r="F59" i="230"/>
  <c r="K59" i="229"/>
  <c r="K95" i="230"/>
  <c r="J95" i="230"/>
  <c r="F95" i="231"/>
  <c r="K114" i="230"/>
  <c r="J114" i="230"/>
  <c r="F114" i="231"/>
  <c r="J74" i="230"/>
  <c r="F74" i="231"/>
  <c r="K74" i="230"/>
  <c r="F149" i="229"/>
  <c r="J149" i="229" s="1"/>
  <c r="F124" i="231"/>
  <c r="K124" i="230"/>
  <c r="J124" i="230"/>
  <c r="J65" i="230"/>
  <c r="F65" i="231"/>
  <c r="K65" i="230"/>
  <c r="K140" i="230"/>
  <c r="J140" i="230"/>
  <c r="F140" i="231"/>
  <c r="K107" i="230"/>
  <c r="J107" i="230"/>
  <c r="F107" i="231"/>
  <c r="J64" i="230"/>
  <c r="K64" i="230"/>
  <c r="F64" i="231"/>
  <c r="J61" i="230"/>
  <c r="F61" i="231"/>
  <c r="K61" i="230"/>
  <c r="J63" i="232"/>
  <c r="K63" i="232"/>
  <c r="F63" i="233"/>
  <c r="AN99" i="118"/>
  <c r="AN10" i="118"/>
  <c r="G37" i="115" s="1"/>
  <c r="K116" i="231" l="1"/>
  <c r="J116" i="231"/>
  <c r="F116" i="232"/>
  <c r="K149" i="229"/>
  <c r="J124" i="231"/>
  <c r="K124" i="231"/>
  <c r="F124" i="232"/>
  <c r="J138" i="231"/>
  <c r="K138" i="231"/>
  <c r="F138" i="232"/>
  <c r="K145" i="231"/>
  <c r="J145" i="231"/>
  <c r="F145" i="232"/>
  <c r="K67" i="231"/>
  <c r="F67" i="232"/>
  <c r="J67" i="231"/>
  <c r="K113" i="231"/>
  <c r="J113" i="231"/>
  <c r="F113" i="232"/>
  <c r="K91" i="231"/>
  <c r="F91" i="232"/>
  <c r="J91" i="231"/>
  <c r="K60" i="231"/>
  <c r="J60" i="231"/>
  <c r="F60" i="232"/>
  <c r="F69" i="232"/>
  <c r="K69" i="231"/>
  <c r="J69" i="231"/>
  <c r="K62" i="231"/>
  <c r="F62" i="232"/>
  <c r="J62" i="231"/>
  <c r="J100" i="231"/>
  <c r="K100" i="231"/>
  <c r="F100" i="232"/>
  <c r="K99" i="231"/>
  <c r="J99" i="231"/>
  <c r="F99" i="232"/>
  <c r="F57" i="231"/>
  <c r="J57" i="230"/>
  <c r="K57" i="230"/>
  <c r="K71" i="231"/>
  <c r="J71" i="231"/>
  <c r="F71" i="232"/>
  <c r="K111" i="231"/>
  <c r="J111" i="231"/>
  <c r="F111" i="232"/>
  <c r="F92" i="232"/>
  <c r="J92" i="231"/>
  <c r="K92" i="231"/>
  <c r="K74" i="231"/>
  <c r="J74" i="231"/>
  <c r="F74" i="232"/>
  <c r="K119" i="231"/>
  <c r="F119" i="232"/>
  <c r="J119" i="231"/>
  <c r="J66" i="231"/>
  <c r="F66" i="232"/>
  <c r="K66" i="231"/>
  <c r="J97" i="231"/>
  <c r="K97" i="231"/>
  <c r="F97" i="232"/>
  <c r="J70" i="231"/>
  <c r="K70" i="231"/>
  <c r="F70" i="232"/>
  <c r="J85" i="231"/>
  <c r="K85" i="231"/>
  <c r="F85" i="232"/>
  <c r="K129" i="231"/>
  <c r="F129" i="232"/>
  <c r="J129" i="231"/>
  <c r="F115" i="232"/>
  <c r="J115" i="231"/>
  <c r="K115" i="231"/>
  <c r="K106" i="231"/>
  <c r="F106" i="232"/>
  <c r="J106" i="231"/>
  <c r="F125" i="232"/>
  <c r="K125" i="231"/>
  <c r="J125" i="231"/>
  <c r="J81" i="231"/>
  <c r="F81" i="232"/>
  <c r="K81" i="231"/>
  <c r="K123" i="231"/>
  <c r="J123" i="231"/>
  <c r="F123" i="232"/>
  <c r="J79" i="231"/>
  <c r="K79" i="231"/>
  <c r="F79" i="232"/>
  <c r="J88" i="231"/>
  <c r="K88" i="231"/>
  <c r="F88" i="232"/>
  <c r="K68" i="231"/>
  <c r="F68" i="232"/>
  <c r="J68" i="231"/>
  <c r="F83" i="232"/>
  <c r="K83" i="231"/>
  <c r="J83" i="231"/>
  <c r="J127" i="231"/>
  <c r="K127" i="231"/>
  <c r="F127" i="232"/>
  <c r="K110" i="231"/>
  <c r="F110" i="232"/>
  <c r="J110" i="231"/>
  <c r="J148" i="231"/>
  <c r="F148" i="232"/>
  <c r="K148" i="231"/>
  <c r="K134" i="231"/>
  <c r="F134" i="232"/>
  <c r="J134" i="231"/>
  <c r="J78" i="231"/>
  <c r="K78" i="231"/>
  <c r="F78" i="232"/>
  <c r="J140" i="231"/>
  <c r="K140" i="231"/>
  <c r="F140" i="232"/>
  <c r="K95" i="231"/>
  <c r="F95" i="232"/>
  <c r="J95" i="231"/>
  <c r="K109" i="231"/>
  <c r="F109" i="232"/>
  <c r="J109" i="231"/>
  <c r="J147" i="231"/>
  <c r="K147" i="231"/>
  <c r="F147" i="232"/>
  <c r="J73" i="231"/>
  <c r="K73" i="231"/>
  <c r="F73" i="232"/>
  <c r="J120" i="231"/>
  <c r="F120" i="232"/>
  <c r="K120" i="231"/>
  <c r="F130" i="232"/>
  <c r="J130" i="231"/>
  <c r="K130" i="231"/>
  <c r="J114" i="231"/>
  <c r="K114" i="231"/>
  <c r="F114" i="232"/>
  <c r="F126" i="232"/>
  <c r="J126" i="231"/>
  <c r="K126" i="231"/>
  <c r="K135" i="231"/>
  <c r="J135" i="231"/>
  <c r="F135" i="232"/>
  <c r="J98" i="231"/>
  <c r="K98" i="231"/>
  <c r="F98" i="232"/>
  <c r="K87" i="231"/>
  <c r="J87" i="231"/>
  <c r="F87" i="232"/>
  <c r="F86" i="232"/>
  <c r="J86" i="231"/>
  <c r="K86" i="231"/>
  <c r="J128" i="231"/>
  <c r="K128" i="231"/>
  <c r="F128" i="232"/>
  <c r="K94" i="231"/>
  <c r="F94" i="232"/>
  <c r="J94" i="231"/>
  <c r="J58" i="231"/>
  <c r="K58" i="231"/>
  <c r="F58" i="232"/>
  <c r="K146" i="231"/>
  <c r="J146" i="231"/>
  <c r="F146" i="232"/>
  <c r="K133" i="231"/>
  <c r="J133" i="231"/>
  <c r="F133" i="232"/>
  <c r="K84" i="231"/>
  <c r="J84" i="231"/>
  <c r="F84" i="232"/>
  <c r="J131" i="231"/>
  <c r="F131" i="232"/>
  <c r="K131" i="231"/>
  <c r="K142" i="231"/>
  <c r="J142" i="231"/>
  <c r="F142" i="232"/>
  <c r="J118" i="231"/>
  <c r="F118" i="232"/>
  <c r="K118" i="231"/>
  <c r="K139" i="231"/>
  <c r="F139" i="232"/>
  <c r="J139" i="231"/>
  <c r="K108" i="231"/>
  <c r="J108" i="231"/>
  <c r="F108" i="232"/>
  <c r="K107" i="231"/>
  <c r="J107" i="231"/>
  <c r="F107" i="232"/>
  <c r="K65" i="231"/>
  <c r="J65" i="231"/>
  <c r="F65" i="232"/>
  <c r="K59" i="230"/>
  <c r="F59" i="231"/>
  <c r="J59" i="230"/>
  <c r="J112" i="231"/>
  <c r="K112" i="231"/>
  <c r="F112" i="232"/>
  <c r="J93" i="231"/>
  <c r="F93" i="232"/>
  <c r="K93" i="231"/>
  <c r="K136" i="231"/>
  <c r="J136" i="231"/>
  <c r="F136" i="232"/>
  <c r="K75" i="231"/>
  <c r="F75" i="232"/>
  <c r="J75" i="231"/>
  <c r="J137" i="231"/>
  <c r="K137" i="231"/>
  <c r="F137" i="232"/>
  <c r="J76" i="231"/>
  <c r="K76" i="231"/>
  <c r="F76" i="232"/>
  <c r="J141" i="231"/>
  <c r="F141" i="232"/>
  <c r="K141" i="231"/>
  <c r="K143" i="231"/>
  <c r="J143" i="231"/>
  <c r="F143" i="232"/>
  <c r="F96" i="232"/>
  <c r="J96" i="231"/>
  <c r="K96" i="231"/>
  <c r="J117" i="231"/>
  <c r="F117" i="232"/>
  <c r="K117" i="231"/>
  <c r="F80" i="232"/>
  <c r="J80" i="231"/>
  <c r="K80" i="231"/>
  <c r="F149" i="230"/>
  <c r="J149" i="230" s="1"/>
  <c r="J121" i="231"/>
  <c r="F121" i="232"/>
  <c r="K121" i="231"/>
  <c r="K82" i="231"/>
  <c r="J82" i="231"/>
  <c r="F82" i="232"/>
  <c r="J132" i="231"/>
  <c r="F132" i="232"/>
  <c r="K132" i="231"/>
  <c r="J77" i="231"/>
  <c r="K77" i="231"/>
  <c r="F77" i="232"/>
  <c r="F72" i="232"/>
  <c r="J72" i="231"/>
  <c r="K72" i="231"/>
  <c r="J122" i="231"/>
  <c r="K122" i="231"/>
  <c r="F122" i="232"/>
  <c r="J89" i="231"/>
  <c r="K89" i="231"/>
  <c r="F89" i="232"/>
  <c r="J144" i="231"/>
  <c r="K144" i="231"/>
  <c r="F144" i="232"/>
  <c r="J90" i="231"/>
  <c r="K90" i="231"/>
  <c r="F90" i="232"/>
  <c r="K64" i="231"/>
  <c r="F64" i="232"/>
  <c r="J64" i="231"/>
  <c r="K61" i="231"/>
  <c r="F61" i="232"/>
  <c r="J61" i="231"/>
  <c r="K63" i="233"/>
  <c r="J63" i="233"/>
  <c r="F63" i="234"/>
  <c r="AM99" i="118"/>
  <c r="G36" i="115"/>
  <c r="F116" i="233" l="1"/>
  <c r="K116" i="232"/>
  <c r="J116" i="232"/>
  <c r="K149" i="230"/>
  <c r="F140" i="233"/>
  <c r="K140" i="232"/>
  <c r="J140" i="232"/>
  <c r="K85" i="232"/>
  <c r="J85" i="232"/>
  <c r="F85" i="233"/>
  <c r="K113" i="232"/>
  <c r="J113" i="232"/>
  <c r="F113" i="233"/>
  <c r="F100" i="233"/>
  <c r="K100" i="232"/>
  <c r="J100" i="232"/>
  <c r="F112" i="233"/>
  <c r="J112" i="232"/>
  <c r="K112" i="232"/>
  <c r="K139" i="232"/>
  <c r="J139" i="232"/>
  <c r="F139" i="233"/>
  <c r="F87" i="233"/>
  <c r="K87" i="232"/>
  <c r="J87" i="232"/>
  <c r="K127" i="232"/>
  <c r="J127" i="232"/>
  <c r="F127" i="233"/>
  <c r="K74" i="232"/>
  <c r="F74" i="233"/>
  <c r="J74" i="232"/>
  <c r="F76" i="233"/>
  <c r="J76" i="232"/>
  <c r="K76" i="232"/>
  <c r="K146" i="232"/>
  <c r="J146" i="232"/>
  <c r="F146" i="233"/>
  <c r="K130" i="232"/>
  <c r="J130" i="232"/>
  <c r="F130" i="233"/>
  <c r="F118" i="233"/>
  <c r="K118" i="232"/>
  <c r="J118" i="232"/>
  <c r="J98" i="232"/>
  <c r="K98" i="232"/>
  <c r="F98" i="233"/>
  <c r="J120" i="232"/>
  <c r="F120" i="233"/>
  <c r="K120" i="232"/>
  <c r="J81" i="232"/>
  <c r="F81" i="233"/>
  <c r="K81" i="232"/>
  <c r="J78" i="232"/>
  <c r="K78" i="232"/>
  <c r="F78" i="233"/>
  <c r="K90" i="232"/>
  <c r="J90" i="232"/>
  <c r="F90" i="233"/>
  <c r="F83" i="233"/>
  <c r="J83" i="232"/>
  <c r="K83" i="232"/>
  <c r="J92" i="232"/>
  <c r="K92" i="232"/>
  <c r="F92" i="233"/>
  <c r="J67" i="232"/>
  <c r="F67" i="233"/>
  <c r="K67" i="232"/>
  <c r="J121" i="232"/>
  <c r="K121" i="232"/>
  <c r="F121" i="233"/>
  <c r="J70" i="232"/>
  <c r="K70" i="232"/>
  <c r="F70" i="233"/>
  <c r="K77" i="232"/>
  <c r="J77" i="232"/>
  <c r="F77" i="233"/>
  <c r="K142" i="232"/>
  <c r="J142" i="232"/>
  <c r="F142" i="233"/>
  <c r="J73" i="232"/>
  <c r="K73" i="232"/>
  <c r="F73" i="233"/>
  <c r="J117" i="232"/>
  <c r="F117" i="233"/>
  <c r="K117" i="232"/>
  <c r="F65" i="233"/>
  <c r="J65" i="232"/>
  <c r="K65" i="232"/>
  <c r="J135" i="232"/>
  <c r="K135" i="232"/>
  <c r="F135" i="233"/>
  <c r="K111" i="232"/>
  <c r="F111" i="233"/>
  <c r="J111" i="232"/>
  <c r="F62" i="233"/>
  <c r="K62" i="232"/>
  <c r="J62" i="232"/>
  <c r="J68" i="232"/>
  <c r="K68" i="232"/>
  <c r="F68" i="233"/>
  <c r="F125" i="233"/>
  <c r="J125" i="232"/>
  <c r="K125" i="232"/>
  <c r="K97" i="232"/>
  <c r="J97" i="232"/>
  <c r="F97" i="233"/>
  <c r="K145" i="232"/>
  <c r="J145" i="232"/>
  <c r="F145" i="233"/>
  <c r="F80" i="233"/>
  <c r="J80" i="232"/>
  <c r="K80" i="232"/>
  <c r="F137" i="233"/>
  <c r="J137" i="232"/>
  <c r="K137" i="232"/>
  <c r="K58" i="232"/>
  <c r="F58" i="233"/>
  <c r="J58" i="232"/>
  <c r="F144" i="233"/>
  <c r="J144" i="232"/>
  <c r="K144" i="232"/>
  <c r="K75" i="232"/>
  <c r="J75" i="232"/>
  <c r="F75" i="233"/>
  <c r="K94" i="232"/>
  <c r="J94" i="232"/>
  <c r="F94" i="233"/>
  <c r="K147" i="232"/>
  <c r="J147" i="232"/>
  <c r="F147" i="233"/>
  <c r="J134" i="232"/>
  <c r="F134" i="233"/>
  <c r="K134" i="232"/>
  <c r="K72" i="232"/>
  <c r="J72" i="232"/>
  <c r="F72" i="233"/>
  <c r="J132" i="232"/>
  <c r="K132" i="232"/>
  <c r="F132" i="233"/>
  <c r="J107" i="232"/>
  <c r="F107" i="233"/>
  <c r="K107" i="232"/>
  <c r="J131" i="232"/>
  <c r="K131" i="232"/>
  <c r="F131" i="233"/>
  <c r="J106" i="232"/>
  <c r="K106" i="232"/>
  <c r="F106" i="233"/>
  <c r="K96" i="232"/>
  <c r="J96" i="232"/>
  <c r="F96" i="233"/>
  <c r="K136" i="232"/>
  <c r="J136" i="232"/>
  <c r="F136" i="233"/>
  <c r="K128" i="232"/>
  <c r="J128" i="232"/>
  <c r="F128" i="233"/>
  <c r="K69" i="232"/>
  <c r="J69" i="232"/>
  <c r="F69" i="233"/>
  <c r="J138" i="232"/>
  <c r="F138" i="233"/>
  <c r="K138" i="232"/>
  <c r="J59" i="231"/>
  <c r="K59" i="231"/>
  <c r="F59" i="232"/>
  <c r="K89" i="232"/>
  <c r="F89" i="233"/>
  <c r="J89" i="232"/>
  <c r="J82" i="232"/>
  <c r="K82" i="232"/>
  <c r="F82" i="233"/>
  <c r="K143" i="232"/>
  <c r="J143" i="232"/>
  <c r="F143" i="233"/>
  <c r="K84" i="232"/>
  <c r="J84" i="232"/>
  <c r="F84" i="233"/>
  <c r="F126" i="233"/>
  <c r="J126" i="232"/>
  <c r="K126" i="232"/>
  <c r="J148" i="232"/>
  <c r="K148" i="232"/>
  <c r="F148" i="233"/>
  <c r="J66" i="232"/>
  <c r="F66" i="233"/>
  <c r="K66" i="232"/>
  <c r="K60" i="232"/>
  <c r="J60" i="232"/>
  <c r="F60" i="233"/>
  <c r="K88" i="232"/>
  <c r="F88" i="233"/>
  <c r="J88" i="232"/>
  <c r="J71" i="232"/>
  <c r="K71" i="232"/>
  <c r="F71" i="233"/>
  <c r="K108" i="232"/>
  <c r="J108" i="232"/>
  <c r="F108" i="233"/>
  <c r="K114" i="232"/>
  <c r="J114" i="232"/>
  <c r="F114" i="233"/>
  <c r="J109" i="232"/>
  <c r="K109" i="232"/>
  <c r="F109" i="233"/>
  <c r="K79" i="232"/>
  <c r="J79" i="232"/>
  <c r="F79" i="233"/>
  <c r="F115" i="233"/>
  <c r="K115" i="232"/>
  <c r="J115" i="232"/>
  <c r="J124" i="232"/>
  <c r="F124" i="233"/>
  <c r="K124" i="232"/>
  <c r="F149" i="231"/>
  <c r="J149" i="231" s="1"/>
  <c r="F122" i="233"/>
  <c r="J122" i="232"/>
  <c r="K122" i="232"/>
  <c r="F93" i="233"/>
  <c r="K93" i="232"/>
  <c r="J93" i="232"/>
  <c r="K133" i="232"/>
  <c r="J133" i="232"/>
  <c r="F133" i="233"/>
  <c r="K110" i="232"/>
  <c r="J110" i="232"/>
  <c r="F110" i="233"/>
  <c r="K119" i="232"/>
  <c r="J119" i="232"/>
  <c r="F119" i="233"/>
  <c r="F57" i="232"/>
  <c r="J57" i="231"/>
  <c r="K57" i="231"/>
  <c r="K141" i="232"/>
  <c r="J141" i="232"/>
  <c r="F141" i="233"/>
  <c r="J86" i="232"/>
  <c r="K86" i="232"/>
  <c r="F86" i="233"/>
  <c r="K95" i="232"/>
  <c r="F95" i="233"/>
  <c r="J95" i="232"/>
  <c r="K123" i="232"/>
  <c r="F123" i="233"/>
  <c r="J123" i="232"/>
  <c r="F129" i="233"/>
  <c r="J129" i="232"/>
  <c r="K129" i="232"/>
  <c r="J99" i="232"/>
  <c r="K99" i="232"/>
  <c r="F99" i="233"/>
  <c r="K91" i="232"/>
  <c r="F91" i="233"/>
  <c r="J91" i="232"/>
  <c r="F64" i="233"/>
  <c r="K64" i="232"/>
  <c r="J64" i="232"/>
  <c r="J61" i="232"/>
  <c r="K61" i="232"/>
  <c r="F61" i="233"/>
  <c r="J63" i="234"/>
  <c r="K63" i="234"/>
  <c r="F63" i="235"/>
  <c r="AL99" i="118"/>
  <c r="G35" i="115"/>
  <c r="K116" i="233" l="1"/>
  <c r="J116" i="233"/>
  <c r="F116" i="234"/>
  <c r="K149" i="231"/>
  <c r="K110" i="233"/>
  <c r="J110" i="233"/>
  <c r="F110" i="234"/>
  <c r="J126" i="233"/>
  <c r="F126" i="234"/>
  <c r="K126" i="233"/>
  <c r="J81" i="233"/>
  <c r="K81" i="233"/>
  <c r="F81" i="234"/>
  <c r="J123" i="233"/>
  <c r="K123" i="233"/>
  <c r="F123" i="234"/>
  <c r="F71" i="234"/>
  <c r="K71" i="233"/>
  <c r="J71" i="233"/>
  <c r="K84" i="233"/>
  <c r="J84" i="233"/>
  <c r="F84" i="234"/>
  <c r="F138" i="234"/>
  <c r="K138" i="233"/>
  <c r="J138" i="233"/>
  <c r="K147" i="233"/>
  <c r="J147" i="233"/>
  <c r="F147" i="234"/>
  <c r="K73" i="233"/>
  <c r="F73" i="234"/>
  <c r="J73" i="233"/>
  <c r="F67" i="234"/>
  <c r="J67" i="233"/>
  <c r="K67" i="233"/>
  <c r="K95" i="233"/>
  <c r="J95" i="233"/>
  <c r="F95" i="234"/>
  <c r="F115" i="234"/>
  <c r="J115" i="233"/>
  <c r="K115" i="233"/>
  <c r="J131" i="233"/>
  <c r="K131" i="233"/>
  <c r="F131" i="234"/>
  <c r="F137" i="234"/>
  <c r="K137" i="233"/>
  <c r="J137" i="233"/>
  <c r="F133" i="234"/>
  <c r="K133" i="233"/>
  <c r="J133" i="233"/>
  <c r="K79" i="233"/>
  <c r="J79" i="233"/>
  <c r="F79" i="234"/>
  <c r="K88" i="233"/>
  <c r="J88" i="233"/>
  <c r="F88" i="234"/>
  <c r="J69" i="233"/>
  <c r="F69" i="234"/>
  <c r="K69" i="233"/>
  <c r="F92" i="234"/>
  <c r="J92" i="233"/>
  <c r="K92" i="233"/>
  <c r="K120" i="233"/>
  <c r="J120" i="233"/>
  <c r="F120" i="234"/>
  <c r="J76" i="233"/>
  <c r="K76" i="233"/>
  <c r="F76" i="234"/>
  <c r="F112" i="234"/>
  <c r="K112" i="233"/>
  <c r="J112" i="233"/>
  <c r="K86" i="233"/>
  <c r="F86" i="234"/>
  <c r="J86" i="233"/>
  <c r="F143" i="234"/>
  <c r="J143" i="233"/>
  <c r="K143" i="233"/>
  <c r="J62" i="233"/>
  <c r="K62" i="233"/>
  <c r="F62" i="234"/>
  <c r="F60" i="234"/>
  <c r="K60" i="233"/>
  <c r="J60" i="233"/>
  <c r="K80" i="233"/>
  <c r="J80" i="233"/>
  <c r="F80" i="234"/>
  <c r="K98" i="233"/>
  <c r="J98" i="233"/>
  <c r="F98" i="234"/>
  <c r="J94" i="233"/>
  <c r="F94" i="234"/>
  <c r="K94" i="233"/>
  <c r="F142" i="234"/>
  <c r="K142" i="233"/>
  <c r="J142" i="233"/>
  <c r="F91" i="234"/>
  <c r="J91" i="233"/>
  <c r="K91" i="233"/>
  <c r="K109" i="233"/>
  <c r="J109" i="233"/>
  <c r="F109" i="234"/>
  <c r="J128" i="233"/>
  <c r="K128" i="233"/>
  <c r="F128" i="234"/>
  <c r="K107" i="233"/>
  <c r="J107" i="233"/>
  <c r="F107" i="234"/>
  <c r="F145" i="234"/>
  <c r="J145" i="233"/>
  <c r="K145" i="233"/>
  <c r="F111" i="234"/>
  <c r="J111" i="233"/>
  <c r="K111" i="233"/>
  <c r="J74" i="233"/>
  <c r="F74" i="234"/>
  <c r="K74" i="233"/>
  <c r="K100" i="233"/>
  <c r="J100" i="233"/>
  <c r="F100" i="234"/>
  <c r="J113" i="233"/>
  <c r="K113" i="233"/>
  <c r="F113" i="234"/>
  <c r="F127" i="234"/>
  <c r="J127" i="233"/>
  <c r="K127" i="233"/>
  <c r="K90" i="233"/>
  <c r="F90" i="234"/>
  <c r="J90" i="233"/>
  <c r="K132" i="233"/>
  <c r="F132" i="234"/>
  <c r="J132" i="233"/>
  <c r="J135" i="233"/>
  <c r="K135" i="233"/>
  <c r="F135" i="234"/>
  <c r="K114" i="233"/>
  <c r="F114" i="234"/>
  <c r="J114" i="233"/>
  <c r="F136" i="234"/>
  <c r="K136" i="233"/>
  <c r="J136" i="233"/>
  <c r="K97" i="233"/>
  <c r="J97" i="233"/>
  <c r="F97" i="234"/>
  <c r="K70" i="233"/>
  <c r="J70" i="233"/>
  <c r="F70" i="234"/>
  <c r="J118" i="233"/>
  <c r="K118" i="233"/>
  <c r="F118" i="234"/>
  <c r="K85" i="233"/>
  <c r="J85" i="233"/>
  <c r="F85" i="234"/>
  <c r="K141" i="233"/>
  <c r="J141" i="233"/>
  <c r="F141" i="234"/>
  <c r="K99" i="233"/>
  <c r="F99" i="234"/>
  <c r="J99" i="233"/>
  <c r="K130" i="233"/>
  <c r="J130" i="233"/>
  <c r="F130" i="234"/>
  <c r="J57" i="232"/>
  <c r="K57" i="232"/>
  <c r="F57" i="233"/>
  <c r="J108" i="233"/>
  <c r="K108" i="233"/>
  <c r="F108" i="234"/>
  <c r="K96" i="233"/>
  <c r="J96" i="233"/>
  <c r="F96" i="234"/>
  <c r="K144" i="233"/>
  <c r="F144" i="234"/>
  <c r="J144" i="233"/>
  <c r="J78" i="233"/>
  <c r="K78" i="233"/>
  <c r="F78" i="234"/>
  <c r="K93" i="233"/>
  <c r="J93" i="233"/>
  <c r="F93" i="234"/>
  <c r="F66" i="234"/>
  <c r="J66" i="233"/>
  <c r="K66" i="233"/>
  <c r="J122" i="233"/>
  <c r="K122" i="233"/>
  <c r="F122" i="234"/>
  <c r="J129" i="233"/>
  <c r="K129" i="233"/>
  <c r="F129" i="234"/>
  <c r="K119" i="233"/>
  <c r="J119" i="233"/>
  <c r="F119" i="234"/>
  <c r="K59" i="232"/>
  <c r="J59" i="232"/>
  <c r="F59" i="233"/>
  <c r="K65" i="233"/>
  <c r="J65" i="233"/>
  <c r="F65" i="234"/>
  <c r="J121" i="233"/>
  <c r="K121" i="233"/>
  <c r="F121" i="234"/>
  <c r="J87" i="233"/>
  <c r="F87" i="234"/>
  <c r="K87" i="233"/>
  <c r="K82" i="233"/>
  <c r="J82" i="233"/>
  <c r="F82" i="234"/>
  <c r="K75" i="233"/>
  <c r="J75" i="233"/>
  <c r="F75" i="234"/>
  <c r="F77" i="234"/>
  <c r="K77" i="233"/>
  <c r="J77" i="233"/>
  <c r="J83" i="233"/>
  <c r="K83" i="233"/>
  <c r="F83" i="234"/>
  <c r="J148" i="233"/>
  <c r="F148" i="234"/>
  <c r="K148" i="233"/>
  <c r="J89" i="233"/>
  <c r="K89" i="233"/>
  <c r="F89" i="234"/>
  <c r="K72" i="233"/>
  <c r="J72" i="233"/>
  <c r="F72" i="234"/>
  <c r="F149" i="232"/>
  <c r="J149" i="232" s="1"/>
  <c r="K124" i="233"/>
  <c r="J124" i="233"/>
  <c r="F124" i="234"/>
  <c r="J58" i="233"/>
  <c r="F58" i="234"/>
  <c r="K58" i="233"/>
  <c r="J125" i="233"/>
  <c r="K125" i="233"/>
  <c r="F125" i="234"/>
  <c r="J146" i="233"/>
  <c r="K146" i="233"/>
  <c r="F146" i="234"/>
  <c r="K139" i="233"/>
  <c r="F139" i="234"/>
  <c r="J139" i="233"/>
  <c r="K106" i="233"/>
  <c r="F106" i="234"/>
  <c r="J106" i="233"/>
  <c r="F134" i="234"/>
  <c r="K134" i="233"/>
  <c r="J134" i="233"/>
  <c r="J68" i="233"/>
  <c r="K68" i="233"/>
  <c r="F68" i="234"/>
  <c r="K117" i="233"/>
  <c r="J117" i="233"/>
  <c r="F117" i="234"/>
  <c r="F140" i="234"/>
  <c r="J140" i="233"/>
  <c r="K140" i="233"/>
  <c r="J64" i="233"/>
  <c r="K64" i="233"/>
  <c r="F64" i="234"/>
  <c r="F61" i="234"/>
  <c r="J61" i="233"/>
  <c r="K61" i="233"/>
  <c r="K63" i="235"/>
  <c r="J63" i="235"/>
  <c r="F63" i="236"/>
  <c r="AK99" i="118"/>
  <c r="G34" i="115"/>
  <c r="K116" i="234" l="1"/>
  <c r="J116" i="234"/>
  <c r="F116" i="235"/>
  <c r="K149" i="232"/>
  <c r="J76" i="234"/>
  <c r="K76" i="234"/>
  <c r="F76" i="235"/>
  <c r="F134" i="235"/>
  <c r="J134" i="234"/>
  <c r="K134" i="234"/>
  <c r="J124" i="234"/>
  <c r="K124" i="234"/>
  <c r="F124" i="235"/>
  <c r="K66" i="234"/>
  <c r="J66" i="234"/>
  <c r="F66" i="235"/>
  <c r="F57" i="234"/>
  <c r="K57" i="233"/>
  <c r="J57" i="233"/>
  <c r="J93" i="234"/>
  <c r="F93" i="235"/>
  <c r="K93" i="234"/>
  <c r="J74" i="234"/>
  <c r="K74" i="234"/>
  <c r="F74" i="235"/>
  <c r="K106" i="234"/>
  <c r="J106" i="234"/>
  <c r="F106" i="235"/>
  <c r="K132" i="234"/>
  <c r="J132" i="234"/>
  <c r="F132" i="235"/>
  <c r="J71" i="234"/>
  <c r="F71" i="235"/>
  <c r="K71" i="234"/>
  <c r="J75" i="234"/>
  <c r="K75" i="234"/>
  <c r="F75" i="235"/>
  <c r="J120" i="234"/>
  <c r="F120" i="235"/>
  <c r="K120" i="234"/>
  <c r="K67" i="234"/>
  <c r="J67" i="234"/>
  <c r="F67" i="235"/>
  <c r="J123" i="234"/>
  <c r="K123" i="234"/>
  <c r="F123" i="235"/>
  <c r="J70" i="234"/>
  <c r="K70" i="234"/>
  <c r="F70" i="235"/>
  <c r="J130" i="234"/>
  <c r="K130" i="234"/>
  <c r="F130" i="235"/>
  <c r="K60" i="234"/>
  <c r="J60" i="234"/>
  <c r="F60" i="235"/>
  <c r="F72" i="235"/>
  <c r="J72" i="234"/>
  <c r="K72" i="234"/>
  <c r="K78" i="234"/>
  <c r="F78" i="235"/>
  <c r="J78" i="234"/>
  <c r="K91" i="234"/>
  <c r="J91" i="234"/>
  <c r="F91" i="235"/>
  <c r="K62" i="234"/>
  <c r="J62" i="234"/>
  <c r="F62" i="235"/>
  <c r="K133" i="234"/>
  <c r="F133" i="235"/>
  <c r="J133" i="234"/>
  <c r="K73" i="234"/>
  <c r="J73" i="234"/>
  <c r="F73" i="235"/>
  <c r="J119" i="234"/>
  <c r="K119" i="234"/>
  <c r="F119" i="235"/>
  <c r="K97" i="234"/>
  <c r="F97" i="235"/>
  <c r="J97" i="234"/>
  <c r="J90" i="234"/>
  <c r="K90" i="234"/>
  <c r="F90" i="235"/>
  <c r="K111" i="234"/>
  <c r="J111" i="234"/>
  <c r="F111" i="235"/>
  <c r="K82" i="234"/>
  <c r="J82" i="234"/>
  <c r="F82" i="235"/>
  <c r="J81" i="234"/>
  <c r="K81" i="234"/>
  <c r="F81" i="235"/>
  <c r="K77" i="234"/>
  <c r="J77" i="234"/>
  <c r="F77" i="235"/>
  <c r="K139" i="234"/>
  <c r="J139" i="234"/>
  <c r="F139" i="235"/>
  <c r="K140" i="234"/>
  <c r="F140" i="235"/>
  <c r="J140" i="234"/>
  <c r="J146" i="234"/>
  <c r="K146" i="234"/>
  <c r="F146" i="235"/>
  <c r="K89" i="234"/>
  <c r="J89" i="234"/>
  <c r="F89" i="235"/>
  <c r="F99" i="235"/>
  <c r="K99" i="234"/>
  <c r="J99" i="234"/>
  <c r="K142" i="234"/>
  <c r="J142" i="234"/>
  <c r="F142" i="235"/>
  <c r="J137" i="234"/>
  <c r="K137" i="234"/>
  <c r="F137" i="235"/>
  <c r="F147" i="235"/>
  <c r="J147" i="234"/>
  <c r="K147" i="234"/>
  <c r="F59" i="234"/>
  <c r="J59" i="233"/>
  <c r="K59" i="233"/>
  <c r="K117" i="234"/>
  <c r="J117" i="234"/>
  <c r="F117" i="235"/>
  <c r="J92" i="234"/>
  <c r="K92" i="234"/>
  <c r="F92" i="235"/>
  <c r="J141" i="234"/>
  <c r="K141" i="234"/>
  <c r="F141" i="235"/>
  <c r="F127" i="235"/>
  <c r="K127" i="234"/>
  <c r="J127" i="234"/>
  <c r="K107" i="234"/>
  <c r="J107" i="234"/>
  <c r="F107" i="235"/>
  <c r="K94" i="234"/>
  <c r="F94" i="235"/>
  <c r="J94" i="234"/>
  <c r="J143" i="234"/>
  <c r="K143" i="234"/>
  <c r="F143" i="235"/>
  <c r="K144" i="234"/>
  <c r="J144" i="234"/>
  <c r="F144" i="235"/>
  <c r="F125" i="235"/>
  <c r="K125" i="234"/>
  <c r="J125" i="234"/>
  <c r="J87" i="234"/>
  <c r="F87" i="235"/>
  <c r="K87" i="234"/>
  <c r="F96" i="235"/>
  <c r="J96" i="234"/>
  <c r="K96" i="234"/>
  <c r="J136" i="234"/>
  <c r="F136" i="235"/>
  <c r="K136" i="234"/>
  <c r="J113" i="234"/>
  <c r="K113" i="234"/>
  <c r="F113" i="235"/>
  <c r="F69" i="235"/>
  <c r="J69" i="234"/>
  <c r="K69" i="234"/>
  <c r="J126" i="234"/>
  <c r="F126" i="235"/>
  <c r="K126" i="234"/>
  <c r="F98" i="235"/>
  <c r="K98" i="234"/>
  <c r="J98" i="234"/>
  <c r="F86" i="235"/>
  <c r="K86" i="234"/>
  <c r="J86" i="234"/>
  <c r="K128" i="234"/>
  <c r="J128" i="234"/>
  <c r="F128" i="235"/>
  <c r="J88" i="234"/>
  <c r="K88" i="234"/>
  <c r="F88" i="235"/>
  <c r="K138" i="234"/>
  <c r="J138" i="234"/>
  <c r="F138" i="235"/>
  <c r="K110" i="234"/>
  <c r="J110" i="234"/>
  <c r="F110" i="235"/>
  <c r="F85" i="235"/>
  <c r="K85" i="234"/>
  <c r="J85" i="234"/>
  <c r="K83" i="234"/>
  <c r="F83" i="235"/>
  <c r="J83" i="234"/>
  <c r="K108" i="234"/>
  <c r="J108" i="234"/>
  <c r="F108" i="235"/>
  <c r="K100" i="234"/>
  <c r="J100" i="234"/>
  <c r="F100" i="235"/>
  <c r="J115" i="234"/>
  <c r="K115" i="234"/>
  <c r="F115" i="235"/>
  <c r="J84" i="234"/>
  <c r="K84" i="234"/>
  <c r="F84" i="235"/>
  <c r="J68" i="234"/>
  <c r="K68" i="234"/>
  <c r="F68" i="235"/>
  <c r="J148" i="234"/>
  <c r="K148" i="234"/>
  <c r="F148" i="235"/>
  <c r="K122" i="234"/>
  <c r="J122" i="234"/>
  <c r="F122" i="235"/>
  <c r="F121" i="235"/>
  <c r="J121" i="234"/>
  <c r="K121" i="234"/>
  <c r="K114" i="234"/>
  <c r="J114" i="234"/>
  <c r="F114" i="235"/>
  <c r="F149" i="233"/>
  <c r="J149" i="233" s="1"/>
  <c r="K58" i="234"/>
  <c r="F58" i="235"/>
  <c r="J58" i="234"/>
  <c r="F135" i="235"/>
  <c r="J135" i="234"/>
  <c r="K135" i="234"/>
  <c r="K80" i="234"/>
  <c r="J80" i="234"/>
  <c r="F80" i="235"/>
  <c r="J95" i="234"/>
  <c r="K95" i="234"/>
  <c r="F95" i="235"/>
  <c r="J129" i="234"/>
  <c r="F129" i="235"/>
  <c r="K129" i="234"/>
  <c r="K145" i="234"/>
  <c r="J145" i="234"/>
  <c r="F145" i="235"/>
  <c r="K131" i="234"/>
  <c r="J131" i="234"/>
  <c r="F131" i="235"/>
  <c r="K65" i="234"/>
  <c r="J65" i="234"/>
  <c r="F65" i="235"/>
  <c r="J118" i="234"/>
  <c r="F118" i="235"/>
  <c r="K118" i="234"/>
  <c r="J109" i="234"/>
  <c r="K109" i="234"/>
  <c r="F109" i="235"/>
  <c r="K112" i="234"/>
  <c r="F112" i="235"/>
  <c r="J112" i="234"/>
  <c r="F79" i="235"/>
  <c r="J79" i="234"/>
  <c r="K79" i="234"/>
  <c r="K64" i="234"/>
  <c r="F64" i="235"/>
  <c r="J64" i="234"/>
  <c r="J61" i="234"/>
  <c r="F61" i="235"/>
  <c r="K61" i="234"/>
  <c r="J63" i="236"/>
  <c r="K63" i="236"/>
  <c r="AJ99" i="118"/>
  <c r="G33" i="115"/>
  <c r="J116" i="235" l="1"/>
  <c r="K116" i="235"/>
  <c r="F116" i="236"/>
  <c r="K149" i="233"/>
  <c r="J147" i="235"/>
  <c r="K147" i="235"/>
  <c r="F147" i="236"/>
  <c r="K130" i="235"/>
  <c r="F130" i="236"/>
  <c r="J130" i="235"/>
  <c r="J100" i="235"/>
  <c r="F100" i="236"/>
  <c r="K100" i="235"/>
  <c r="K65" i="235"/>
  <c r="J65" i="235"/>
  <c r="F65" i="236"/>
  <c r="F80" i="236"/>
  <c r="K80" i="235"/>
  <c r="J80" i="235"/>
  <c r="F122" i="236"/>
  <c r="J122" i="235"/>
  <c r="K122" i="235"/>
  <c r="K127" i="235"/>
  <c r="J127" i="235"/>
  <c r="F127" i="236"/>
  <c r="K137" i="235"/>
  <c r="J137" i="235"/>
  <c r="F137" i="236"/>
  <c r="J140" i="235"/>
  <c r="K140" i="235"/>
  <c r="F140" i="236"/>
  <c r="J62" i="235"/>
  <c r="K62" i="235"/>
  <c r="F62" i="236"/>
  <c r="J70" i="235"/>
  <c r="F70" i="236"/>
  <c r="K70" i="235"/>
  <c r="J142" i="235"/>
  <c r="K142" i="235"/>
  <c r="F142" i="236"/>
  <c r="K91" i="235"/>
  <c r="J91" i="235"/>
  <c r="F91" i="236"/>
  <c r="J66" i="235"/>
  <c r="K66" i="235"/>
  <c r="F66" i="236"/>
  <c r="K118" i="235"/>
  <c r="J118" i="235"/>
  <c r="F118" i="236"/>
  <c r="J88" i="235"/>
  <c r="F88" i="236"/>
  <c r="K88" i="235"/>
  <c r="J90" i="235"/>
  <c r="F90" i="236"/>
  <c r="K90" i="235"/>
  <c r="K139" i="235"/>
  <c r="J139" i="235"/>
  <c r="F139" i="236"/>
  <c r="F148" i="236"/>
  <c r="J148" i="235"/>
  <c r="K148" i="235"/>
  <c r="K113" i="235"/>
  <c r="J113" i="235"/>
  <c r="F113" i="236"/>
  <c r="F131" i="236"/>
  <c r="K131" i="235"/>
  <c r="J131" i="235"/>
  <c r="K128" i="235"/>
  <c r="J128" i="235"/>
  <c r="F128" i="236"/>
  <c r="J92" i="235"/>
  <c r="K92" i="235"/>
  <c r="F92" i="236"/>
  <c r="K132" i="235"/>
  <c r="J132" i="235"/>
  <c r="F132" i="236"/>
  <c r="K141" i="235"/>
  <c r="J141" i="235"/>
  <c r="F141" i="236"/>
  <c r="J97" i="235"/>
  <c r="F97" i="236"/>
  <c r="K97" i="235"/>
  <c r="F123" i="236"/>
  <c r="J123" i="235"/>
  <c r="K123" i="235"/>
  <c r="K83" i="235"/>
  <c r="J83" i="235"/>
  <c r="F83" i="236"/>
  <c r="K124" i="235"/>
  <c r="J124" i="235"/>
  <c r="F124" i="236"/>
  <c r="J125" i="235"/>
  <c r="F125" i="236"/>
  <c r="K125" i="235"/>
  <c r="K69" i="235"/>
  <c r="J69" i="235"/>
  <c r="F69" i="236"/>
  <c r="J57" i="234"/>
  <c r="F57" i="235"/>
  <c r="K57" i="234"/>
  <c r="F143" i="236"/>
  <c r="K143" i="235"/>
  <c r="J143" i="235"/>
  <c r="K77" i="235"/>
  <c r="F77" i="236"/>
  <c r="J77" i="235"/>
  <c r="J58" i="235"/>
  <c r="K58" i="235"/>
  <c r="F58" i="236"/>
  <c r="K136" i="235"/>
  <c r="J136" i="235"/>
  <c r="F136" i="236"/>
  <c r="K117" i="235"/>
  <c r="F117" i="236"/>
  <c r="J117" i="235"/>
  <c r="J119" i="235"/>
  <c r="F119" i="236"/>
  <c r="K119" i="235"/>
  <c r="K78" i="235"/>
  <c r="J78" i="235"/>
  <c r="F78" i="236"/>
  <c r="J106" i="235"/>
  <c r="K106" i="235"/>
  <c r="F106" i="236"/>
  <c r="K121" i="235"/>
  <c r="J121" i="235"/>
  <c r="F121" i="236"/>
  <c r="K71" i="235"/>
  <c r="J71" i="235"/>
  <c r="F71" i="236"/>
  <c r="K99" i="235"/>
  <c r="J99" i="235"/>
  <c r="F99" i="236"/>
  <c r="F81" i="236"/>
  <c r="K81" i="235"/>
  <c r="J81" i="235"/>
  <c r="J67" i="235"/>
  <c r="F67" i="236"/>
  <c r="K67" i="235"/>
  <c r="K89" i="235"/>
  <c r="F89" i="236"/>
  <c r="J89" i="235"/>
  <c r="J86" i="235"/>
  <c r="K86" i="235"/>
  <c r="F86" i="236"/>
  <c r="J94" i="235"/>
  <c r="F94" i="236"/>
  <c r="K94" i="235"/>
  <c r="J85" i="235"/>
  <c r="K85" i="235"/>
  <c r="F85" i="236"/>
  <c r="F73" i="236"/>
  <c r="J73" i="235"/>
  <c r="K73" i="235"/>
  <c r="J74" i="235"/>
  <c r="K74" i="235"/>
  <c r="F74" i="236"/>
  <c r="K107" i="235"/>
  <c r="J107" i="235"/>
  <c r="F107" i="236"/>
  <c r="J82" i="235"/>
  <c r="F82" i="236"/>
  <c r="K82" i="235"/>
  <c r="K72" i="235"/>
  <c r="J72" i="235"/>
  <c r="F72" i="236"/>
  <c r="J134" i="235"/>
  <c r="K134" i="235"/>
  <c r="F134" i="236"/>
  <c r="K144" i="235"/>
  <c r="J144" i="235"/>
  <c r="F144" i="236"/>
  <c r="K79" i="235"/>
  <c r="J79" i="235"/>
  <c r="F79" i="236"/>
  <c r="K145" i="235"/>
  <c r="J145" i="235"/>
  <c r="F145" i="236"/>
  <c r="F112" i="236"/>
  <c r="K112" i="235"/>
  <c r="J112" i="235"/>
  <c r="K114" i="235"/>
  <c r="J114" i="235"/>
  <c r="F114" i="236"/>
  <c r="K129" i="235"/>
  <c r="J129" i="235"/>
  <c r="F129" i="236"/>
  <c r="J110" i="235"/>
  <c r="F110" i="236"/>
  <c r="K110" i="235"/>
  <c r="F98" i="236"/>
  <c r="K98" i="235"/>
  <c r="J98" i="235"/>
  <c r="F59" i="235"/>
  <c r="J59" i="234"/>
  <c r="K59" i="234"/>
  <c r="J146" i="235"/>
  <c r="K146" i="235"/>
  <c r="F146" i="236"/>
  <c r="K60" i="235"/>
  <c r="J60" i="235"/>
  <c r="F60" i="236"/>
  <c r="J120" i="235"/>
  <c r="K120" i="235"/>
  <c r="F120" i="236"/>
  <c r="F76" i="236"/>
  <c r="J76" i="235"/>
  <c r="K76" i="235"/>
  <c r="K108" i="235"/>
  <c r="J108" i="235"/>
  <c r="F108" i="236"/>
  <c r="K135" i="235"/>
  <c r="F135" i="236"/>
  <c r="J135" i="235"/>
  <c r="K68" i="235"/>
  <c r="J68" i="235"/>
  <c r="F68" i="236"/>
  <c r="K84" i="235"/>
  <c r="J84" i="235"/>
  <c r="F84" i="236"/>
  <c r="J109" i="235"/>
  <c r="K109" i="235"/>
  <c r="F109" i="236"/>
  <c r="J96" i="235"/>
  <c r="K96" i="235"/>
  <c r="F96" i="236"/>
  <c r="J115" i="235"/>
  <c r="K115" i="235"/>
  <c r="F115" i="236"/>
  <c r="F149" i="234"/>
  <c r="J149" i="234" s="1"/>
  <c r="J95" i="235"/>
  <c r="K95" i="235"/>
  <c r="F95" i="236"/>
  <c r="K87" i="235"/>
  <c r="F87" i="236"/>
  <c r="J87" i="235"/>
  <c r="F138" i="236"/>
  <c r="J138" i="235"/>
  <c r="K138" i="235"/>
  <c r="K126" i="235"/>
  <c r="J126" i="235"/>
  <c r="F126" i="236"/>
  <c r="K111" i="235"/>
  <c r="J111" i="235"/>
  <c r="F111" i="236"/>
  <c r="K133" i="235"/>
  <c r="J133" i="235"/>
  <c r="F133" i="236"/>
  <c r="F75" i="236"/>
  <c r="K75" i="235"/>
  <c r="J75" i="235"/>
  <c r="J93" i="235"/>
  <c r="K93" i="235"/>
  <c r="F93" i="236"/>
  <c r="F64" i="236"/>
  <c r="K64" i="235"/>
  <c r="J64" i="235"/>
  <c r="J61" i="235"/>
  <c r="K61" i="235"/>
  <c r="F61" i="236"/>
  <c r="AI99" i="118"/>
  <c r="G32" i="115"/>
  <c r="K116" i="236" l="1"/>
  <c r="J116" i="236"/>
  <c r="K149" i="234"/>
  <c r="K112" i="236"/>
  <c r="J112" i="236"/>
  <c r="K57" i="235"/>
  <c r="F57" i="236"/>
  <c r="J57" i="235"/>
  <c r="J88" i="236"/>
  <c r="K88" i="236"/>
  <c r="K96" i="236"/>
  <c r="J96" i="236"/>
  <c r="J59" i="235"/>
  <c r="K59" i="235"/>
  <c r="F59" i="236"/>
  <c r="J80" i="236"/>
  <c r="K80" i="236"/>
  <c r="J122" i="236"/>
  <c r="K122" i="236"/>
  <c r="J113" i="236"/>
  <c r="K113" i="236"/>
  <c r="K121" i="236"/>
  <c r="J121" i="236"/>
  <c r="K141" i="236"/>
  <c r="J141" i="236"/>
  <c r="J65" i="236"/>
  <c r="K65" i="236"/>
  <c r="K131" i="236"/>
  <c r="J131" i="236"/>
  <c r="J109" i="236"/>
  <c r="K109" i="236"/>
  <c r="K98" i="236"/>
  <c r="J98" i="236"/>
  <c r="K79" i="236"/>
  <c r="J79" i="236"/>
  <c r="J93" i="236"/>
  <c r="K93" i="236"/>
  <c r="J76" i="236"/>
  <c r="K76" i="236"/>
  <c r="K66" i="236"/>
  <c r="J66" i="236"/>
  <c r="K140" i="236"/>
  <c r="J140" i="236"/>
  <c r="K125" i="236"/>
  <c r="J125" i="236"/>
  <c r="J84" i="236"/>
  <c r="K84" i="236"/>
  <c r="K144" i="236"/>
  <c r="J144" i="236"/>
  <c r="K106" i="236"/>
  <c r="J106" i="236"/>
  <c r="J132" i="236"/>
  <c r="K132" i="236"/>
  <c r="J118" i="236"/>
  <c r="K118" i="236"/>
  <c r="K110" i="236"/>
  <c r="J110" i="236"/>
  <c r="J87" i="236"/>
  <c r="K87" i="236"/>
  <c r="J129" i="236"/>
  <c r="K129" i="236"/>
  <c r="K124" i="236"/>
  <c r="J124" i="236"/>
  <c r="J148" i="236"/>
  <c r="K148" i="236"/>
  <c r="K91" i="236"/>
  <c r="J91" i="236"/>
  <c r="K137" i="236"/>
  <c r="J137" i="236"/>
  <c r="J100" i="236"/>
  <c r="K100" i="236"/>
  <c r="J126" i="236"/>
  <c r="K126" i="236"/>
  <c r="J62" i="236"/>
  <c r="K62" i="236"/>
  <c r="J120" i="236"/>
  <c r="K120" i="236"/>
  <c r="K74" i="236"/>
  <c r="J74" i="236"/>
  <c r="J67" i="236"/>
  <c r="K67" i="236"/>
  <c r="K139" i="236"/>
  <c r="J139" i="236"/>
  <c r="K123" i="236"/>
  <c r="J123" i="236"/>
  <c r="K117" i="236"/>
  <c r="J117" i="236"/>
  <c r="J92" i="236"/>
  <c r="K92" i="236"/>
  <c r="J71" i="236"/>
  <c r="K71" i="236"/>
  <c r="K83" i="236"/>
  <c r="J83" i="236"/>
  <c r="K142" i="236"/>
  <c r="J142" i="236"/>
  <c r="J127" i="236"/>
  <c r="K127" i="236"/>
  <c r="J130" i="236"/>
  <c r="K130" i="236"/>
  <c r="J97" i="236"/>
  <c r="K97" i="236"/>
  <c r="K138" i="236"/>
  <c r="J138" i="236"/>
  <c r="J85" i="236"/>
  <c r="K85" i="236"/>
  <c r="K108" i="236"/>
  <c r="J108" i="236"/>
  <c r="J94" i="236"/>
  <c r="K94" i="236"/>
  <c r="J145" i="236"/>
  <c r="K145" i="236"/>
  <c r="K69" i="236"/>
  <c r="J69" i="236"/>
  <c r="K107" i="236"/>
  <c r="J107" i="236"/>
  <c r="J136" i="236"/>
  <c r="K136" i="236"/>
  <c r="K58" i="236"/>
  <c r="J58" i="236"/>
  <c r="K75" i="236"/>
  <c r="J75" i="236"/>
  <c r="K95" i="236"/>
  <c r="J95" i="236"/>
  <c r="K68" i="236"/>
  <c r="J68" i="236"/>
  <c r="K78" i="236"/>
  <c r="J78" i="236"/>
  <c r="K77" i="236"/>
  <c r="J77" i="236"/>
  <c r="J133" i="236"/>
  <c r="K133" i="236"/>
  <c r="J81" i="236"/>
  <c r="K81" i="236"/>
  <c r="J128" i="236"/>
  <c r="K128" i="236"/>
  <c r="K90" i="236"/>
  <c r="J90" i="236"/>
  <c r="K147" i="236"/>
  <c r="J147" i="236"/>
  <c r="J82" i="236"/>
  <c r="K82" i="236"/>
  <c r="J86" i="236"/>
  <c r="K86" i="236"/>
  <c r="J89" i="236"/>
  <c r="K89" i="236"/>
  <c r="K60" i="236"/>
  <c r="J60" i="236"/>
  <c r="K134" i="236"/>
  <c r="J134" i="236"/>
  <c r="K73" i="236"/>
  <c r="J73" i="236"/>
  <c r="J146" i="236"/>
  <c r="K146" i="236"/>
  <c r="K72" i="236"/>
  <c r="J72" i="236"/>
  <c r="K111" i="236"/>
  <c r="J111" i="236"/>
  <c r="J135" i="236"/>
  <c r="K135" i="236"/>
  <c r="J99" i="236"/>
  <c r="K99" i="236"/>
  <c r="J119" i="236"/>
  <c r="K119" i="236"/>
  <c r="K143" i="236"/>
  <c r="J143" i="236"/>
  <c r="K114" i="236"/>
  <c r="J114" i="236"/>
  <c r="F149" i="235"/>
  <c r="J149" i="235" s="1"/>
  <c r="K115" i="236"/>
  <c r="J115" i="236"/>
  <c r="J70" i="236"/>
  <c r="K70" i="236"/>
  <c r="J64" i="236"/>
  <c r="K64" i="236"/>
  <c r="J61" i="236"/>
  <c r="K61" i="236"/>
  <c r="AH99" i="118"/>
  <c r="G31" i="115"/>
  <c r="F149" i="236" l="1"/>
  <c r="J149" i="236" s="1"/>
  <c r="K149" i="235"/>
  <c r="J59" i="236"/>
  <c r="K59" i="236"/>
  <c r="K57" i="236"/>
  <c r="J57" i="236"/>
  <c r="AG99" i="118"/>
  <c r="G30" i="115"/>
  <c r="K149" i="236" l="1"/>
  <c r="AF99" i="118"/>
  <c r="G29" i="115"/>
  <c r="AE99" i="118" l="1"/>
  <c r="G28" i="115" l="1"/>
  <c r="AD99" i="118"/>
  <c r="G27" i="115"/>
  <c r="AC99" i="118" l="1"/>
  <c r="G26" i="115"/>
  <c r="G25" i="115" l="1"/>
  <c r="AB99" i="118"/>
  <c r="G24" i="115" l="1"/>
  <c r="AA99" i="118"/>
  <c r="G23" i="115" l="1"/>
  <c r="Z99" i="118"/>
  <c r="G22" i="115" l="1"/>
  <c r="Y99" i="118"/>
  <c r="G21" i="115" l="1"/>
  <c r="X99" i="118"/>
  <c r="W99" i="118" l="1"/>
  <c r="G20" i="115"/>
  <c r="V99" i="118" l="1"/>
  <c r="G19" i="115"/>
  <c r="U99" i="118" l="1"/>
  <c r="G18" i="115"/>
  <c r="T99" i="118" l="1"/>
  <c r="G17" i="115"/>
  <c r="S99" i="118" l="1"/>
  <c r="G16" i="115"/>
  <c r="R99" i="118" l="1"/>
  <c r="G15" i="115"/>
  <c r="Q99" i="118" l="1"/>
  <c r="G14" i="115"/>
  <c r="P99" i="118" l="1"/>
  <c r="G13" i="115" l="1"/>
  <c r="O99" i="118"/>
  <c r="G12" i="115" l="1"/>
  <c r="N99" i="118"/>
  <c r="G11" i="115" l="1"/>
  <c r="M99" i="118"/>
  <c r="G10" i="115" l="1"/>
  <c r="L99" i="118"/>
  <c r="G9" i="115" l="1"/>
  <c r="K99" i="118"/>
  <c r="G8" i="115" l="1"/>
  <c r="J99" i="118"/>
  <c r="G7" i="115" l="1"/>
  <c r="D125" i="118"/>
  <c r="I99" i="118"/>
  <c r="G6" i="115" l="1"/>
  <c r="D124" i="118"/>
  <c r="H99" i="118"/>
  <c r="G5" i="115"/>
  <c r="G15" i="174" l="1"/>
  <c r="G99" i="118"/>
  <c r="G4" i="115"/>
  <c r="F99" i="118" l="1"/>
  <c r="G3" i="115" l="1"/>
  <c r="D122" i="118"/>
  <c r="D99" i="118"/>
  <c r="G14" i="174" l="1"/>
  <c r="D123" i="118"/>
  <c r="D112" i="118"/>
  <c r="G37" i="174"/>
  <c r="G2" i="115"/>
  <c r="G13" i="174" s="1"/>
  <c r="D111" i="118"/>
  <c r="D120" i="118"/>
  <c r="D121" i="118"/>
  <c r="D113" i="118"/>
  <c r="G33" i="174" l="1"/>
  <c r="G38" i="174" s="1"/>
  <c r="G39" i="174" s="1"/>
  <c r="G29" i="5"/>
  <c r="G30" i="5" s="1"/>
  <c r="D115" i="118"/>
  <c r="D127" i="118"/>
  <c r="G32" i="5" l="1"/>
  <c r="G36" i="5"/>
  <c r="G3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G1" authorId="0" shapeId="0" xr:uid="{86BDFF3C-48EB-4A44-B3C1-6C7676D3395D}">
      <text>
        <r>
          <rPr>
            <sz val="9"/>
            <color indexed="81"/>
            <rFont val="Tahoma"/>
            <family val="2"/>
          </rPr>
          <t>Enter the owner organization's name here and the title will be visible on all pay apps.</t>
        </r>
      </text>
    </comment>
    <comment ref="D4" authorId="0" shapeId="0" xr:uid="{17108992-A6C2-452B-979D-17B0841D2C76}">
      <text>
        <r>
          <rPr>
            <sz val="9"/>
            <color indexed="81"/>
            <rFont val="Tahoma"/>
            <family val="2"/>
          </rPr>
          <t xml:space="preserve">Enter the owner organization's name. This will appear on all pay apps. </t>
        </r>
      </text>
    </comment>
    <comment ref="D5" authorId="0" shapeId="0" xr:uid="{2B9C34B6-EFBA-4155-AAA3-B2907C1590D5}">
      <text>
        <r>
          <rPr>
            <sz val="9"/>
            <color indexed="81"/>
            <rFont val="Tahoma"/>
            <family val="2"/>
          </rPr>
          <t xml:space="preserve">Enter the owner organization's building name. This is your current building name (not the name of the new building you're building). This will be where the organizaton's admin offices are located. This will appear on all pay apps. </t>
        </r>
      </text>
    </comment>
    <comment ref="D6" authorId="0" shapeId="0" xr:uid="{70EDFBB7-03A8-4694-AEE1-3247AF9916B2}">
      <text>
        <r>
          <rPr>
            <sz val="9"/>
            <color indexed="81"/>
            <rFont val="Tahoma"/>
            <family val="2"/>
          </rPr>
          <t xml:space="preserve">Enter the owner organization's building address. This will appear on all pay apps. </t>
        </r>
      </text>
    </comment>
    <comment ref="D7" authorId="0" shapeId="0" xr:uid="{001A4D56-1D61-43B4-A8E5-AE3A97BAC79C}">
      <text>
        <r>
          <rPr>
            <sz val="9"/>
            <color indexed="81"/>
            <rFont val="Tahoma"/>
            <family val="2"/>
          </rPr>
          <t xml:space="preserve">Enter the owner organization's city, state and zip code. This will appear on all pay apps. </t>
        </r>
      </text>
    </comment>
    <comment ref="D9" authorId="0" shapeId="0" xr:uid="{00000000-0006-0000-0000-000001000000}">
      <text>
        <r>
          <rPr>
            <sz val="9"/>
            <color indexed="81"/>
            <rFont val="Tahoma"/>
            <family val="2"/>
          </rPr>
          <t xml:space="preserve">Enter the DFCM Project Manager that will be reviewing and approving this pay application
</t>
        </r>
      </text>
    </comment>
    <comment ref="D11" authorId="0" shapeId="0" xr:uid="{00000000-0006-0000-0000-000002000000}">
      <text>
        <r>
          <rPr>
            <sz val="9"/>
            <color indexed="81"/>
            <rFont val="Tahoma"/>
            <family val="2"/>
          </rPr>
          <t xml:space="preserve">Enter the name of the company that is applying for payment
</t>
        </r>
      </text>
    </comment>
    <comment ref="D12" authorId="0" shapeId="0" xr:uid="{00000000-0006-0000-0000-000003000000}">
      <text>
        <r>
          <rPr>
            <sz val="9"/>
            <color indexed="81"/>
            <rFont val="Tahoma"/>
            <family val="2"/>
          </rPr>
          <t xml:space="preserve">Enter the street address of the company that is applying for payment
</t>
        </r>
      </text>
    </comment>
    <comment ref="D13" authorId="0" shapeId="0" xr:uid="{00000000-0006-0000-0000-000004000000}">
      <text>
        <r>
          <rPr>
            <sz val="9"/>
            <color indexed="81"/>
            <rFont val="Tahoma"/>
            <family val="2"/>
          </rPr>
          <t>Enter the City, State and Zip Code of the company that is applying for payment</t>
        </r>
      </text>
    </comment>
    <comment ref="D15" authorId="0" shapeId="0" xr:uid="{00000000-0006-0000-0000-000005000000}">
      <text>
        <r>
          <rPr>
            <sz val="9"/>
            <color indexed="81"/>
            <rFont val="Tahoma"/>
            <family val="2"/>
          </rPr>
          <t>Enter the DFCM project number</t>
        </r>
      </text>
    </comment>
    <comment ref="D16" authorId="0" shapeId="0" xr:uid="{00000000-0006-0000-0000-000006000000}">
      <text>
        <r>
          <rPr>
            <sz val="9"/>
            <color indexed="81"/>
            <rFont val="Tahoma"/>
            <family val="2"/>
          </rPr>
          <t>Enter the name of the DFCM project</t>
        </r>
      </text>
    </comment>
    <comment ref="D17" authorId="0" shapeId="0" xr:uid="{00000000-0006-0000-0000-000007000000}">
      <text>
        <r>
          <rPr>
            <sz val="9"/>
            <color indexed="81"/>
            <rFont val="Tahoma"/>
            <family val="2"/>
          </rPr>
          <t>Enter the contract number</t>
        </r>
      </text>
    </comment>
    <comment ref="D19" authorId="0" shapeId="0" xr:uid="{0BD24F66-9352-4578-B72C-A159129AE03F}">
      <text>
        <r>
          <rPr>
            <sz val="9"/>
            <color indexed="81"/>
            <rFont val="Tahoma"/>
            <family val="2"/>
          </rPr>
          <t xml:space="preserve">This is the total number of square feet the project affects. The cost/sq.ft. will be calculated using this number.
</t>
        </r>
      </text>
    </comment>
    <comment ref="D20" authorId="0" shapeId="0" xr:uid="{4DBF5E10-E8DA-4DD2-8436-BF8B0753C1DF}">
      <text>
        <r>
          <rPr>
            <sz val="9"/>
            <color indexed="81"/>
            <rFont val="Tahoma"/>
            <family val="2"/>
          </rPr>
          <t>This is the original contractual notice to proceed date</t>
        </r>
      </text>
    </comment>
    <comment ref="D21" authorId="0" shapeId="0" xr:uid="{B70205D1-D153-4862-8464-459DEDD5A82F}">
      <text>
        <r>
          <rPr>
            <sz val="9"/>
            <color indexed="81"/>
            <rFont val="Tahoma"/>
            <family val="2"/>
          </rPr>
          <t>This is the original contractual substantial completion date</t>
        </r>
      </text>
    </comment>
    <comment ref="E23" authorId="0" shapeId="0" xr:uid="{C2011639-291D-4B44-B4D4-69C25E92555A}">
      <text>
        <r>
          <rPr>
            <sz val="9"/>
            <color indexed="81"/>
            <rFont val="Tahoma"/>
            <family val="2"/>
          </rPr>
          <t>Indicate whether or not the owner will be withholding retention on this project. Yes triggers all pay apps to hold retention and No deactivates this functionality. Once checked, leave this selection alone for the duration of the project.</t>
        </r>
      </text>
    </comment>
    <comment ref="G23" authorId="0" shapeId="0" xr:uid="{0DB3E58F-AD36-41B0-B7B4-E8DCFC34D38B}">
      <text>
        <r>
          <rPr>
            <sz val="9"/>
            <color indexed="81"/>
            <rFont val="Tahoma"/>
            <family val="2"/>
          </rPr>
          <t>This field dictates the percentage to be retained if cell E23 is marked as Yes. Once a value is entered into this cell, don't change it.</t>
        </r>
      </text>
    </comment>
    <comment ref="E25" authorId="0" shapeId="0" xr:uid="{1F0361BE-A5C0-42A1-9159-A89EF989E365}">
      <text>
        <r>
          <rPr>
            <sz val="9"/>
            <color indexed="81"/>
            <rFont val="Tahoma"/>
            <family val="2"/>
          </rPr>
          <t xml:space="preserve">By default, at the beginning of the project, this box is set to "Yes." This will keep the GMP open and allow "Bid Package" to be selected as a Change Reason on the PCO log. Once the final bid package is complete (or your contract amount is entered into the Statement of Values if the project isn't CMGC), you set this box to "No" and it locks the GMP. This will lock in the final GMP for cost reporting purposes as well as impact the CostPerSqFt Tracker. This box must be toggled to the appropriate value at the correct time.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00000000-0006-0000-0100-000001000000}">
      <text>
        <r>
          <rPr>
            <sz val="9"/>
            <color indexed="81"/>
            <rFont val="Tahoma"/>
            <family val="2"/>
          </rPr>
          <t>Enter the beginning date of the period for which you are seeking payment</t>
        </r>
      </text>
    </comment>
    <comment ref="D17" authorId="0" shapeId="0" xr:uid="{00000000-0006-0000-0100-000002000000}">
      <text>
        <r>
          <rPr>
            <sz val="9"/>
            <color indexed="81"/>
            <rFont val="Tahoma"/>
            <family val="2"/>
          </rPr>
          <t>Enter the ending date of the period for which you are seeking payment</t>
        </r>
      </text>
    </comment>
    <comment ref="D56" authorId="0" shapeId="0" xr:uid="{00000000-0006-0000-0100-00000300000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0000000-0006-0000-0100-000005000000}">
      <text>
        <r>
          <rPr>
            <sz val="9"/>
            <color indexed="81"/>
            <rFont val="Tahoma"/>
            <family val="2"/>
          </rPr>
          <t>This is the sum of all the new work that was completed during the listed period as well as the materials that were stored</t>
        </r>
      </text>
    </comment>
    <comment ref="M56" authorId="0" shapeId="0" xr:uid="{00000000-0006-0000-0100-000006000000}">
      <text>
        <r>
          <rPr>
            <sz val="9"/>
            <color indexed="81"/>
            <rFont val="Tahoma"/>
            <family val="2"/>
          </rPr>
          <t>In order to release previously withheld retainage, enter a negative amount in this column.</t>
        </r>
      </text>
    </comment>
    <comment ref="D105" authorId="0" shapeId="0" xr:uid="{05818F9C-7141-4AC1-92AA-5496406A82F1}">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0000000-0006-0000-0100-000008000000}">
      <text>
        <r>
          <rPr>
            <sz val="9"/>
            <color indexed="81"/>
            <rFont val="Tahoma"/>
            <family val="2"/>
          </rPr>
          <t>This is the sum of all the new work that was completed during the listed period as well as the materials that were stored</t>
        </r>
      </text>
    </comment>
    <comment ref="M105" authorId="0" shapeId="0" xr:uid="{00000000-0006-0000-0100-000009000000}">
      <text>
        <r>
          <rPr>
            <sz val="9"/>
            <color indexed="81"/>
            <rFont val="Tahoma"/>
            <family val="2"/>
          </rPr>
          <t>In order to release previously withheld retainage, enter a negative amount in this column.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AAEA977-F607-43FA-8753-B59EF0DCFB7E}">
      <text>
        <r>
          <rPr>
            <sz val="9"/>
            <color indexed="81"/>
            <rFont val="Tahoma"/>
            <family val="2"/>
          </rPr>
          <t>Enter the beginning date of the period for which you are seeking payment</t>
        </r>
      </text>
    </comment>
    <comment ref="D17" authorId="0" shapeId="0" xr:uid="{1351068E-3CC0-4898-90F5-E7D2EE508F97}">
      <text>
        <r>
          <rPr>
            <sz val="9"/>
            <color indexed="81"/>
            <rFont val="Tahoma"/>
            <family val="2"/>
          </rPr>
          <t>Enter the ending date of the period for which you are seeking payment</t>
        </r>
      </text>
    </comment>
    <comment ref="D56" authorId="0" shapeId="0" xr:uid="{418B5BDC-A195-46D6-B4A8-D76FA0E2ED8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8B9EBDC-7ABC-4ED7-8EB2-C25FDB90EB2B}">
      <text>
        <r>
          <rPr>
            <sz val="9"/>
            <color indexed="81"/>
            <rFont val="Tahoma"/>
            <family val="2"/>
          </rPr>
          <t>This is the sum of all the new work that was completed during the listed period as well as the materials that were stored</t>
        </r>
      </text>
    </comment>
    <comment ref="M56" authorId="0" shapeId="0" xr:uid="{EED8D7D6-A2E2-4463-B46A-ADCFCDBD8925}">
      <text>
        <r>
          <rPr>
            <sz val="9"/>
            <color indexed="81"/>
            <rFont val="Tahoma"/>
            <family val="2"/>
          </rPr>
          <t>In order to release previously withheld retainage, enter a negative amount in this column.</t>
        </r>
      </text>
    </comment>
    <comment ref="D105" authorId="0" shapeId="0" xr:uid="{6FFAC577-3086-44AD-9CC9-02CB66D3CA7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EDA559-D10D-434D-9F0C-6AF23EC6B152}">
      <text>
        <r>
          <rPr>
            <sz val="9"/>
            <color indexed="81"/>
            <rFont val="Tahoma"/>
            <family val="2"/>
          </rPr>
          <t>This is the sum of all the new work that was completed during the listed period as well as the materials that were stored</t>
        </r>
      </text>
    </comment>
    <comment ref="M105" authorId="0" shapeId="0" xr:uid="{A2D743F6-55D0-473F-8335-62F08DF9C553}">
      <text>
        <r>
          <rPr>
            <sz val="9"/>
            <color indexed="81"/>
            <rFont val="Tahoma"/>
            <family val="2"/>
          </rPr>
          <t>In order to release previously withheld retainage, enter a negative amount in this column.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E798883-713E-4407-917D-F058631DCBEB}">
      <text>
        <r>
          <rPr>
            <sz val="9"/>
            <color indexed="81"/>
            <rFont val="Tahoma"/>
            <family val="2"/>
          </rPr>
          <t>Enter the beginning date of the period for which you are seeking payment</t>
        </r>
      </text>
    </comment>
    <comment ref="D17" authorId="0" shapeId="0" xr:uid="{5BEB566C-764F-4A88-B1A3-24D8ECED8C7F}">
      <text>
        <r>
          <rPr>
            <sz val="9"/>
            <color indexed="81"/>
            <rFont val="Tahoma"/>
            <family val="2"/>
          </rPr>
          <t>Enter the ending date of the period for which you are seeking payment</t>
        </r>
      </text>
    </comment>
    <comment ref="D56" authorId="0" shapeId="0" xr:uid="{25694E72-3D69-43A2-8F2B-877DA3D44B37}">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B39371DC-9733-4AD5-B348-C41C0D5D478A}">
      <text>
        <r>
          <rPr>
            <sz val="9"/>
            <color indexed="81"/>
            <rFont val="Tahoma"/>
            <family val="2"/>
          </rPr>
          <t>This is the sum of all the new work that was completed during the listed period as well as the materials that were stored</t>
        </r>
      </text>
    </comment>
    <comment ref="M56" authorId="0" shapeId="0" xr:uid="{AA9A578B-D995-41C9-A333-0BA8248AE9CC}">
      <text>
        <r>
          <rPr>
            <sz val="9"/>
            <color indexed="81"/>
            <rFont val="Tahoma"/>
            <family val="2"/>
          </rPr>
          <t>In order to release previously withheld retainage, enter a negative amount in this column.</t>
        </r>
      </text>
    </comment>
    <comment ref="D105" authorId="0" shapeId="0" xr:uid="{7D29CB0C-116F-4A4E-9488-225409FF4028}">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07817AA-712E-43BC-9DCF-0E94B9F7D9CD}">
      <text>
        <r>
          <rPr>
            <sz val="9"/>
            <color indexed="81"/>
            <rFont val="Tahoma"/>
            <family val="2"/>
          </rPr>
          <t>This is the sum of all the new work that was completed during the listed period as well as the materials that were stored</t>
        </r>
      </text>
    </comment>
    <comment ref="M105" authorId="0" shapeId="0" xr:uid="{D81EF5BB-C151-4448-95CE-40D62B4D9EEE}">
      <text>
        <r>
          <rPr>
            <sz val="9"/>
            <color indexed="81"/>
            <rFont val="Tahoma"/>
            <family val="2"/>
          </rPr>
          <t>In order to release previously withheld retainage, enter a negative amount in this column.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163594A-50C0-4ADB-A5D8-60011F84F460}">
      <text>
        <r>
          <rPr>
            <sz val="9"/>
            <color indexed="81"/>
            <rFont val="Tahoma"/>
            <family val="2"/>
          </rPr>
          <t>Enter the beginning date of the period for which you are seeking payment</t>
        </r>
      </text>
    </comment>
    <comment ref="D17" authorId="0" shapeId="0" xr:uid="{9365D708-A151-4A24-A47F-186EFDF185CB}">
      <text>
        <r>
          <rPr>
            <sz val="9"/>
            <color indexed="81"/>
            <rFont val="Tahoma"/>
            <family val="2"/>
          </rPr>
          <t>Enter the ending date of the period for which you are seeking payment</t>
        </r>
      </text>
    </comment>
    <comment ref="G17" authorId="0" shapeId="0" xr:uid="{8AEB4B47-B915-421F-A164-77E80B9E5F1D}">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0089B6A-3229-4067-96A8-FB85A816245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F3477A6-DF91-4F02-BCFE-74AB480C0D71}">
      <text>
        <r>
          <rPr>
            <sz val="9"/>
            <color indexed="81"/>
            <rFont val="Tahoma"/>
            <family val="2"/>
          </rPr>
          <t>This is the sum of all the new work that was completed during the listed period as well as the materials that were stored</t>
        </r>
      </text>
    </comment>
    <comment ref="M56" authorId="0" shapeId="0" xr:uid="{51AE71E1-D1A9-4159-8049-B4C5ADFAB96E}">
      <text>
        <r>
          <rPr>
            <sz val="9"/>
            <color indexed="81"/>
            <rFont val="Tahoma"/>
            <family val="2"/>
          </rPr>
          <t>In order to release previously withheld retainage, enter a negative amount in this column.</t>
        </r>
      </text>
    </comment>
    <comment ref="D105" authorId="0" shapeId="0" xr:uid="{8826AD19-7FF0-47FB-BF3C-2EC9152DCEB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946E06B-AADD-4954-8822-2B6A303A608E}">
      <text>
        <r>
          <rPr>
            <sz val="9"/>
            <color indexed="81"/>
            <rFont val="Tahoma"/>
            <family val="2"/>
          </rPr>
          <t>This is the sum of all the new work that was completed during the listed period as well as the materials that were stored</t>
        </r>
      </text>
    </comment>
    <comment ref="M105" authorId="0" shapeId="0" xr:uid="{57894758-EF4D-4E95-A011-40911E14C643}">
      <text>
        <r>
          <rPr>
            <sz val="9"/>
            <color indexed="81"/>
            <rFont val="Tahoma"/>
            <family val="2"/>
          </rPr>
          <t>In order to release previously withheld retainage, enter a negative amount in this column.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ABBB43B-B554-401D-ACF7-BCC62DCA6537}">
      <text>
        <r>
          <rPr>
            <sz val="9"/>
            <color indexed="81"/>
            <rFont val="Tahoma"/>
            <family val="2"/>
          </rPr>
          <t>Enter the beginning date of the period for which you are seeking payment</t>
        </r>
      </text>
    </comment>
    <comment ref="D17" authorId="0" shapeId="0" xr:uid="{78AFB400-F27C-4044-9BFE-E95ABB70F6FE}">
      <text>
        <r>
          <rPr>
            <sz val="9"/>
            <color indexed="81"/>
            <rFont val="Tahoma"/>
            <family val="2"/>
          </rPr>
          <t>Enter the ending date of the period for which you are seeking payment</t>
        </r>
      </text>
    </comment>
    <comment ref="G17" authorId="0" shapeId="0" xr:uid="{8E76FE46-94F5-4D8A-9D56-A78CF3594F53}">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8A1330-F19F-4105-B427-DDC6BDE9C4B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7509DCD4-D3D9-426C-825B-C016FEE1B966}">
      <text>
        <r>
          <rPr>
            <sz val="9"/>
            <color indexed="81"/>
            <rFont val="Tahoma"/>
            <family val="2"/>
          </rPr>
          <t>This is the sum of all the new work that was completed during the listed period as well as the materials that were stored</t>
        </r>
      </text>
    </comment>
    <comment ref="M56" authorId="0" shapeId="0" xr:uid="{101FAF23-9FD8-4C13-B839-41123B597735}">
      <text>
        <r>
          <rPr>
            <sz val="9"/>
            <color indexed="81"/>
            <rFont val="Tahoma"/>
            <family val="2"/>
          </rPr>
          <t>In order to release previously withheld retainage, enter a negative amount in this column.</t>
        </r>
      </text>
    </comment>
    <comment ref="D105" authorId="0" shapeId="0" xr:uid="{0090C6D0-60AE-40D1-AF94-09B9E5F3B51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1C3A788-C4CE-4AAC-848F-2C3253643994}">
      <text>
        <r>
          <rPr>
            <sz val="9"/>
            <color indexed="81"/>
            <rFont val="Tahoma"/>
            <family val="2"/>
          </rPr>
          <t>This is the sum of all the new work that was completed during the listed period as well as the materials that were stored</t>
        </r>
      </text>
    </comment>
    <comment ref="M105" authorId="0" shapeId="0" xr:uid="{B56FD14A-2E21-4170-86C2-2D8CFBA33AFC}">
      <text>
        <r>
          <rPr>
            <sz val="9"/>
            <color indexed="81"/>
            <rFont val="Tahoma"/>
            <family val="2"/>
          </rPr>
          <t>In order to release previously withheld retainage, enter a negative amount in this column.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2898ABF-D138-45BE-B967-C8077BE5F82A}">
      <text>
        <r>
          <rPr>
            <sz val="9"/>
            <color indexed="81"/>
            <rFont val="Tahoma"/>
            <family val="2"/>
          </rPr>
          <t>Enter the beginning date of the period for which you are seeking payment</t>
        </r>
      </text>
    </comment>
    <comment ref="D17" authorId="0" shapeId="0" xr:uid="{4D5A8F64-0380-4744-9883-569DA93E5908}">
      <text>
        <r>
          <rPr>
            <sz val="9"/>
            <color indexed="81"/>
            <rFont val="Tahoma"/>
            <family val="2"/>
          </rPr>
          <t>Enter the ending date of the period for which you are seeking payment</t>
        </r>
      </text>
    </comment>
    <comment ref="D56" authorId="0" shapeId="0" xr:uid="{71B47C55-1A4E-4CC8-91E8-E5928CEBED1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E39566B-6476-4DF1-AC34-C69E989D8109}">
      <text>
        <r>
          <rPr>
            <sz val="9"/>
            <color indexed="81"/>
            <rFont val="Tahoma"/>
            <family val="2"/>
          </rPr>
          <t>This is the sum of all the new work that was completed during the listed period as well as the materials that were stored</t>
        </r>
      </text>
    </comment>
    <comment ref="M56" authorId="0" shapeId="0" xr:uid="{8C923BB5-5C93-475B-8412-9C37021DE22F}">
      <text>
        <r>
          <rPr>
            <sz val="9"/>
            <color indexed="81"/>
            <rFont val="Tahoma"/>
            <family val="2"/>
          </rPr>
          <t>In order to release previously withheld retainage, enter a negative amount in this column.</t>
        </r>
      </text>
    </comment>
    <comment ref="D105" authorId="0" shapeId="0" xr:uid="{D576EBDF-113D-4475-8A32-04DD4547EF2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14ACF74-57D3-46EE-B5DA-8D040F6F9DCC}">
      <text>
        <r>
          <rPr>
            <sz val="9"/>
            <color indexed="81"/>
            <rFont val="Tahoma"/>
            <family val="2"/>
          </rPr>
          <t>This is the sum of all the new work that was completed during the listed period as well as the materials that were stored</t>
        </r>
      </text>
    </comment>
    <comment ref="M105" authorId="0" shapeId="0" xr:uid="{5CC88D39-94C6-4DE7-8E22-F5105C81C1BD}">
      <text>
        <r>
          <rPr>
            <sz val="9"/>
            <color indexed="81"/>
            <rFont val="Tahoma"/>
            <family val="2"/>
          </rPr>
          <t>In order to release previously withheld retainage, enter a negative amount in this column.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EB71C8F-7796-437F-9968-605C6F7FA418}">
      <text>
        <r>
          <rPr>
            <sz val="9"/>
            <color indexed="81"/>
            <rFont val="Tahoma"/>
            <family val="2"/>
          </rPr>
          <t>Enter the beginning date of the period for which you are seeking payment</t>
        </r>
      </text>
    </comment>
    <comment ref="D17" authorId="0" shapeId="0" xr:uid="{D0530E1B-912F-4677-BF29-E42D4F0D7FAA}">
      <text>
        <r>
          <rPr>
            <sz val="9"/>
            <color indexed="81"/>
            <rFont val="Tahoma"/>
            <family val="2"/>
          </rPr>
          <t>Enter the ending date of the period for which you are seeking payment</t>
        </r>
      </text>
    </comment>
    <comment ref="D56" authorId="0" shapeId="0" xr:uid="{D0386FA3-83AA-4BF3-9747-E1AC6DF2A87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4402CE6-6636-4A9F-9A70-130E7D3E6290}">
      <text>
        <r>
          <rPr>
            <sz val="9"/>
            <color indexed="81"/>
            <rFont val="Tahoma"/>
            <family val="2"/>
          </rPr>
          <t>This is the sum of all the new work that was completed during the listed period as well as the materials that were stored</t>
        </r>
      </text>
    </comment>
    <comment ref="M56" authorId="0" shapeId="0" xr:uid="{A714411E-3DA1-4878-9571-F0E8B7E6FD86}">
      <text>
        <r>
          <rPr>
            <sz val="9"/>
            <color indexed="81"/>
            <rFont val="Tahoma"/>
            <family val="2"/>
          </rPr>
          <t>In order to release previously withheld retainage, enter a negative amount in this column.</t>
        </r>
      </text>
    </comment>
    <comment ref="D105" authorId="0" shapeId="0" xr:uid="{3BA54972-A486-4F27-AABD-06084614928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18B2C57-BA73-41A9-A675-8F54D861B08E}">
      <text>
        <r>
          <rPr>
            <sz val="9"/>
            <color indexed="81"/>
            <rFont val="Tahoma"/>
            <family val="2"/>
          </rPr>
          <t>This is the sum of all the new work that was completed during the listed period as well as the materials that were stored</t>
        </r>
      </text>
    </comment>
    <comment ref="M105" authorId="0" shapeId="0" xr:uid="{4D0A341E-F524-47B6-B21A-E381A4D46359}">
      <text>
        <r>
          <rPr>
            <sz val="9"/>
            <color indexed="81"/>
            <rFont val="Tahoma"/>
            <family val="2"/>
          </rPr>
          <t>In order to release previously withheld retainage, enter a negative amount in this column.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24E8807-54B9-49A0-9385-A9FCCB90AB9E}">
      <text>
        <r>
          <rPr>
            <sz val="9"/>
            <color indexed="81"/>
            <rFont val="Tahoma"/>
            <family val="2"/>
          </rPr>
          <t>Enter the beginning date of the period for which you are seeking payment</t>
        </r>
      </text>
    </comment>
    <comment ref="D17" authorId="0" shapeId="0" xr:uid="{44336607-1D67-4D87-AAF0-41C4D2B163BA}">
      <text>
        <r>
          <rPr>
            <sz val="9"/>
            <color indexed="81"/>
            <rFont val="Tahoma"/>
            <family val="2"/>
          </rPr>
          <t>Enter the ending date of the period for which you are seeking payment</t>
        </r>
      </text>
    </comment>
    <comment ref="D56" authorId="0" shapeId="0" xr:uid="{04858A96-DE79-48F2-A102-6349A442F73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D9ECD31-090C-4113-930D-7D7833C77B7D}">
      <text>
        <r>
          <rPr>
            <sz val="9"/>
            <color indexed="81"/>
            <rFont val="Tahoma"/>
            <family val="2"/>
          </rPr>
          <t>This is the sum of all the new work that was completed during the listed period as well as the materials that were stored</t>
        </r>
      </text>
    </comment>
    <comment ref="M56" authorId="0" shapeId="0" xr:uid="{EB245D44-9A57-434E-B473-BE8C45652666}">
      <text>
        <r>
          <rPr>
            <sz val="9"/>
            <color indexed="81"/>
            <rFont val="Tahoma"/>
            <family val="2"/>
          </rPr>
          <t>In order to release previously withheld retainage, enter a negative amount in this column.</t>
        </r>
      </text>
    </comment>
    <comment ref="D105" authorId="0" shapeId="0" xr:uid="{F9DBC8E3-6AE5-462D-8BD6-5BE14972551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B02F06-D627-4F39-8EF4-AE39384D4E94}">
      <text>
        <r>
          <rPr>
            <sz val="9"/>
            <color indexed="81"/>
            <rFont val="Tahoma"/>
            <family val="2"/>
          </rPr>
          <t>This is the sum of all the new work that was completed during the listed period as well as the materials that were stored</t>
        </r>
      </text>
    </comment>
    <comment ref="M105" authorId="0" shapeId="0" xr:uid="{84B6AC59-D391-4520-93D2-7D562DD70B96}">
      <text>
        <r>
          <rPr>
            <sz val="9"/>
            <color indexed="81"/>
            <rFont val="Tahoma"/>
            <family val="2"/>
          </rPr>
          <t>In order to release previously withheld retainage, enter a negative amount in this column.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2028BCD-BB43-4B6A-8048-EADBA27066EA}">
      <text>
        <r>
          <rPr>
            <sz val="9"/>
            <color indexed="81"/>
            <rFont val="Tahoma"/>
            <family val="2"/>
          </rPr>
          <t>Enter the beginning date of the period for which you are seeking payment</t>
        </r>
      </text>
    </comment>
    <comment ref="D17" authorId="0" shapeId="0" xr:uid="{1B0A1AF8-DC7C-426D-94D1-34D500E6CB5A}">
      <text>
        <r>
          <rPr>
            <sz val="9"/>
            <color indexed="81"/>
            <rFont val="Tahoma"/>
            <family val="2"/>
          </rPr>
          <t>Enter the ending date of the period for which you are seeking payment</t>
        </r>
      </text>
    </comment>
    <comment ref="D56" authorId="0" shapeId="0" xr:uid="{2899AB64-A915-481D-B91D-16383AEB076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D3D5728-61B1-40A8-8F03-0436AE459521}">
      <text>
        <r>
          <rPr>
            <sz val="9"/>
            <color indexed="81"/>
            <rFont val="Tahoma"/>
            <family val="2"/>
          </rPr>
          <t>This is the sum of all the new work that was completed during the listed period as well as the materials that were stored</t>
        </r>
      </text>
    </comment>
    <comment ref="M56" authorId="0" shapeId="0" xr:uid="{8EEF0E96-A7E8-4442-A686-B9A520921750}">
      <text>
        <r>
          <rPr>
            <sz val="9"/>
            <color indexed="81"/>
            <rFont val="Tahoma"/>
            <family val="2"/>
          </rPr>
          <t>In order to release previously withheld retainage, enter a negative amount in this column.</t>
        </r>
      </text>
    </comment>
    <comment ref="D105" authorId="0" shapeId="0" xr:uid="{7B04B165-3CD1-4382-8DD4-67F0E135E7F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0CF1553-B9CE-475E-928F-AD0065BCBCD8}">
      <text>
        <r>
          <rPr>
            <sz val="9"/>
            <color indexed="81"/>
            <rFont val="Tahoma"/>
            <family val="2"/>
          </rPr>
          <t>This is the sum of all the new work that was completed during the listed period as well as the materials that were stored</t>
        </r>
      </text>
    </comment>
    <comment ref="M105" authorId="0" shapeId="0" xr:uid="{1247D239-036E-4C00-A2ED-0DDAD42D9DB9}">
      <text>
        <r>
          <rPr>
            <sz val="9"/>
            <color indexed="81"/>
            <rFont val="Tahoma"/>
            <family val="2"/>
          </rPr>
          <t>In order to release previously withheld retainage, enter a negative amount in this column.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5323A3E-4E08-4325-A120-22556750CDCA}">
      <text>
        <r>
          <rPr>
            <sz val="9"/>
            <color indexed="81"/>
            <rFont val="Tahoma"/>
            <family val="2"/>
          </rPr>
          <t>Enter the beginning date of the period for which you are seeking payment</t>
        </r>
      </text>
    </comment>
    <comment ref="D17" authorId="0" shapeId="0" xr:uid="{FAB3AB41-0F6B-445C-8CA8-18273EA4AD8B}">
      <text>
        <r>
          <rPr>
            <sz val="9"/>
            <color indexed="81"/>
            <rFont val="Tahoma"/>
            <family val="2"/>
          </rPr>
          <t>Enter the ending date of the period for which you are seeking payment</t>
        </r>
      </text>
    </comment>
    <comment ref="D56" authorId="0" shapeId="0" xr:uid="{E616BDAF-38ED-450E-AB49-D8F13944E9C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9804783-D78C-4748-AB5F-81989301AD36}">
      <text>
        <r>
          <rPr>
            <sz val="9"/>
            <color indexed="81"/>
            <rFont val="Tahoma"/>
            <family val="2"/>
          </rPr>
          <t>This is the sum of all the new work that was completed during the listed period as well as the materials that were stored</t>
        </r>
      </text>
    </comment>
    <comment ref="M56" authorId="0" shapeId="0" xr:uid="{83B19E1D-2962-459A-BC05-ACF2953C26FB}">
      <text>
        <r>
          <rPr>
            <sz val="9"/>
            <color indexed="81"/>
            <rFont val="Tahoma"/>
            <family val="2"/>
          </rPr>
          <t>In order to release previously withheld retainage, enter a negative amount in this column.</t>
        </r>
      </text>
    </comment>
    <comment ref="D105" authorId="0" shapeId="0" xr:uid="{1E89B055-4C73-4044-9A82-14E82F586A1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23A96F8-FC88-4814-86AA-D747DD62B30C}">
      <text>
        <r>
          <rPr>
            <sz val="9"/>
            <color indexed="81"/>
            <rFont val="Tahoma"/>
            <family val="2"/>
          </rPr>
          <t>This is the sum of all the new work that was completed during the listed period as well as the materials that were stored</t>
        </r>
      </text>
    </comment>
    <comment ref="M105" authorId="0" shapeId="0" xr:uid="{072B90F0-C999-4ACE-849F-7081E02C730B}">
      <text>
        <r>
          <rPr>
            <sz val="9"/>
            <color indexed="81"/>
            <rFont val="Tahoma"/>
            <family val="2"/>
          </rPr>
          <t>In order to release previously withheld retainage, enter a negative amount in this column.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FD21ABE-335F-4D69-97D9-4EC8D8F0B095}">
      <text>
        <r>
          <rPr>
            <sz val="9"/>
            <color indexed="81"/>
            <rFont val="Tahoma"/>
            <family val="2"/>
          </rPr>
          <t>Enter the beginning date of the period for which you are seeking payment</t>
        </r>
      </text>
    </comment>
    <comment ref="D17" authorId="0" shapeId="0" xr:uid="{AFA92B46-05FA-4823-81A2-C9CA0B65F8B7}">
      <text>
        <r>
          <rPr>
            <sz val="9"/>
            <color indexed="81"/>
            <rFont val="Tahoma"/>
            <family val="2"/>
          </rPr>
          <t>Enter the ending date of the period for which you are seeking payment</t>
        </r>
      </text>
    </comment>
    <comment ref="D56" authorId="0" shapeId="0" xr:uid="{F0631FA2-FD1D-4F2B-8021-42E8AB0D66D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1AF5235-A147-4672-9E5C-E6B6CC2505B6}">
      <text>
        <r>
          <rPr>
            <sz val="9"/>
            <color indexed="81"/>
            <rFont val="Tahoma"/>
            <family val="2"/>
          </rPr>
          <t>This is the sum of all the new work that was completed during the listed period as well as the materials that were stored</t>
        </r>
      </text>
    </comment>
    <comment ref="M56" authorId="0" shapeId="0" xr:uid="{1A806285-38BC-4DEE-8FF3-3EE3A2D8D5FC}">
      <text>
        <r>
          <rPr>
            <sz val="9"/>
            <color indexed="81"/>
            <rFont val="Tahoma"/>
            <family val="2"/>
          </rPr>
          <t>In order to release previously withheld retainage, enter a negative amount in this column.</t>
        </r>
      </text>
    </comment>
    <comment ref="D105" authorId="0" shapeId="0" xr:uid="{19642A8D-E135-412E-A589-237002FB284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0A227DF-41A4-49B8-80DD-9E7F5C3783B0}">
      <text>
        <r>
          <rPr>
            <sz val="9"/>
            <color indexed="81"/>
            <rFont val="Tahoma"/>
            <family val="2"/>
          </rPr>
          <t>This is the sum of all the new work that was completed during the listed period as well as the materials that were stored</t>
        </r>
      </text>
    </comment>
    <comment ref="M105" authorId="0" shapeId="0" xr:uid="{400A741B-784F-4204-8971-4D9BAD2ED45E}">
      <text>
        <r>
          <rPr>
            <sz val="9"/>
            <color indexed="81"/>
            <rFont val="Tahoma"/>
            <family val="2"/>
          </rPr>
          <t>In order to release previously withheld retainage, enter a negative amount in this column.</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88799C6-E891-41DD-87D4-655EB2E514F4}">
      <text>
        <r>
          <rPr>
            <sz val="9"/>
            <color indexed="81"/>
            <rFont val="Tahoma"/>
            <family val="2"/>
          </rPr>
          <t>Enter the beginning date of the period for which you are seeking payment</t>
        </r>
      </text>
    </comment>
    <comment ref="D17" authorId="0" shapeId="0" xr:uid="{E613977F-84C9-43A5-9902-59FDC17AB859}">
      <text>
        <r>
          <rPr>
            <sz val="9"/>
            <color indexed="81"/>
            <rFont val="Tahoma"/>
            <family val="2"/>
          </rPr>
          <t>Enter the ending date of the period for which you are seeking payment</t>
        </r>
      </text>
    </comment>
    <comment ref="D56" authorId="0" shapeId="0" xr:uid="{512AF450-AAEA-476F-8076-09339BBD846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6A65651-5AFC-4ABA-800B-151EE6F31BAE}">
      <text>
        <r>
          <rPr>
            <sz val="9"/>
            <color indexed="81"/>
            <rFont val="Tahoma"/>
            <family val="2"/>
          </rPr>
          <t>This is the sum of all the new work that was completed during the listed period as well as the materials that were stored</t>
        </r>
      </text>
    </comment>
    <comment ref="M56" authorId="0" shapeId="0" xr:uid="{5FFAF473-E797-4DE8-9074-2BB978056C8A}">
      <text>
        <r>
          <rPr>
            <sz val="9"/>
            <color indexed="81"/>
            <rFont val="Tahoma"/>
            <family val="2"/>
          </rPr>
          <t>In order to release previously withheld retainage, enter a negative amount in this column.</t>
        </r>
      </text>
    </comment>
    <comment ref="D105" authorId="0" shapeId="0" xr:uid="{B4CA6962-0777-463E-AE85-BACD59F8EF9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9C210D5-FEA7-4C3E-8BED-D1B18EE8C1EA}">
      <text>
        <r>
          <rPr>
            <sz val="9"/>
            <color indexed="81"/>
            <rFont val="Tahoma"/>
            <family val="2"/>
          </rPr>
          <t>This is the sum of all the new work that was completed during the listed period as well as the materials that were stored</t>
        </r>
      </text>
    </comment>
    <comment ref="M105" authorId="0" shapeId="0" xr:uid="{8FBBE01C-899E-44C6-A1C4-ECC2F7AF0341}">
      <text>
        <r>
          <rPr>
            <sz val="9"/>
            <color indexed="81"/>
            <rFont val="Tahoma"/>
            <family val="2"/>
          </rPr>
          <t>In order to release previously withheld retainage, enter a negative amount in this column.</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6D4A934-F475-4718-B829-D14C39CC41EA}">
      <text>
        <r>
          <rPr>
            <sz val="9"/>
            <color indexed="81"/>
            <rFont val="Tahoma"/>
            <family val="2"/>
          </rPr>
          <t>Enter the beginning date of the period for which you are seeking payment</t>
        </r>
      </text>
    </comment>
    <comment ref="D17" authorId="0" shapeId="0" xr:uid="{4C1CD800-27B8-4C3F-A130-F34FB8EB3C6B}">
      <text>
        <r>
          <rPr>
            <sz val="9"/>
            <color indexed="81"/>
            <rFont val="Tahoma"/>
            <family val="2"/>
          </rPr>
          <t>Enter the ending date of the period for which you are seeking payment</t>
        </r>
      </text>
    </comment>
    <comment ref="D56" authorId="0" shapeId="0" xr:uid="{CCB4A8F7-3F3A-4C40-8C87-048EFF4727A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93593DB-650E-4494-B144-E2E2141183DE}">
      <text>
        <r>
          <rPr>
            <sz val="9"/>
            <color indexed="81"/>
            <rFont val="Tahoma"/>
            <family val="2"/>
          </rPr>
          <t>This is the sum of all the new work that was completed during the listed period as well as the materials that were stored</t>
        </r>
      </text>
    </comment>
    <comment ref="M56" authorId="0" shapeId="0" xr:uid="{1BBE1E8E-0A4C-4217-A48A-47877F49E1E9}">
      <text>
        <r>
          <rPr>
            <sz val="9"/>
            <color indexed="81"/>
            <rFont val="Tahoma"/>
            <family val="2"/>
          </rPr>
          <t>In order to release previously withheld retainage, enter a negative amount in this column.</t>
        </r>
      </text>
    </comment>
    <comment ref="D105" authorId="0" shapeId="0" xr:uid="{15D3DC6B-DD32-42DC-A706-E2E11E4AAC3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A62297F-77AC-4299-A6C9-D32A2139D34C}">
      <text>
        <r>
          <rPr>
            <sz val="9"/>
            <color indexed="81"/>
            <rFont val="Tahoma"/>
            <family val="2"/>
          </rPr>
          <t>This is the sum of all the new work that was completed during the listed period as well as the materials that were stored</t>
        </r>
      </text>
    </comment>
    <comment ref="M105" authorId="0" shapeId="0" xr:uid="{634E468D-FB09-441C-A060-80C0A0AD2A6E}">
      <text>
        <r>
          <rPr>
            <sz val="9"/>
            <color indexed="81"/>
            <rFont val="Tahoma"/>
            <family val="2"/>
          </rPr>
          <t>In order to release previously withheld retainage, enter a negative amount in this column.</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BBF205E-3BBA-4DF4-A66E-55B149670946}">
      <text>
        <r>
          <rPr>
            <sz val="9"/>
            <color indexed="81"/>
            <rFont val="Tahoma"/>
            <family val="2"/>
          </rPr>
          <t>Enter the beginning date of the period for which you are seeking payment</t>
        </r>
      </text>
    </comment>
    <comment ref="D17" authorId="0" shapeId="0" xr:uid="{6F96C42D-74ED-4F79-95EE-6CC1AB23E8DB}">
      <text>
        <r>
          <rPr>
            <sz val="9"/>
            <color indexed="81"/>
            <rFont val="Tahoma"/>
            <family val="2"/>
          </rPr>
          <t>Enter the ending date of the period for which you are seeking payment</t>
        </r>
      </text>
    </comment>
    <comment ref="D56" authorId="0" shapeId="0" xr:uid="{C17119B7-6484-4EF7-BA26-6D9202D5941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EF0C39E9-5DB2-4918-9766-CA9CD935B622}">
      <text>
        <r>
          <rPr>
            <sz val="9"/>
            <color indexed="81"/>
            <rFont val="Tahoma"/>
            <family val="2"/>
          </rPr>
          <t>This is the sum of all the new work that was completed during the listed period as well as the materials that were stored</t>
        </r>
      </text>
    </comment>
    <comment ref="M56" authorId="0" shapeId="0" xr:uid="{EEE46882-3D8E-4A4B-900B-14B1D6ECC0DF}">
      <text>
        <r>
          <rPr>
            <sz val="9"/>
            <color indexed="81"/>
            <rFont val="Tahoma"/>
            <family val="2"/>
          </rPr>
          <t>In order to release previously withheld retainage, enter a negative amount in this column.</t>
        </r>
      </text>
    </comment>
    <comment ref="D105" authorId="0" shapeId="0" xr:uid="{5D0A1D14-FFC4-4B7E-9CF9-166B72602AB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0510C29-B498-4649-A538-8300583071E3}">
      <text>
        <r>
          <rPr>
            <sz val="9"/>
            <color indexed="81"/>
            <rFont val="Tahoma"/>
            <family val="2"/>
          </rPr>
          <t>This is the sum of all the new work that was completed during the listed period as well as the materials that were stored</t>
        </r>
      </text>
    </comment>
    <comment ref="M105" authorId="0" shapeId="0" xr:uid="{B54863CD-CF00-4BE3-BE7D-9DC78E965EB2}">
      <text>
        <r>
          <rPr>
            <sz val="9"/>
            <color indexed="81"/>
            <rFont val="Tahoma"/>
            <family val="2"/>
          </rPr>
          <t>In order to release previously withheld retainage, enter a negative amount in this column.</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DD0F22F-562F-4788-BDCC-F2AB91786A90}">
      <text>
        <r>
          <rPr>
            <sz val="9"/>
            <color indexed="81"/>
            <rFont val="Tahoma"/>
            <family val="2"/>
          </rPr>
          <t>Enter the beginning date of the period for which you are seeking payment</t>
        </r>
      </text>
    </comment>
    <comment ref="D17" authorId="0" shapeId="0" xr:uid="{3F1BDA93-8C7C-439F-AE67-1A15A050DE7D}">
      <text>
        <r>
          <rPr>
            <sz val="9"/>
            <color indexed="81"/>
            <rFont val="Tahoma"/>
            <family val="2"/>
          </rPr>
          <t>Enter the ending date of the period for which you are seeking payment</t>
        </r>
      </text>
    </comment>
    <comment ref="D56" authorId="0" shapeId="0" xr:uid="{51E85679-F24F-4FFB-BC98-98B5D9BF239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34410CD-4CCC-40F2-8BBE-52C3E411CB88}">
      <text>
        <r>
          <rPr>
            <sz val="9"/>
            <color indexed="81"/>
            <rFont val="Tahoma"/>
            <family val="2"/>
          </rPr>
          <t>This is the sum of all the new work that was completed during the listed period as well as the materials that were stored</t>
        </r>
      </text>
    </comment>
    <comment ref="M56" authorId="0" shapeId="0" xr:uid="{D656E0C9-3D87-4F09-BD38-247F49E3ADE5}">
      <text>
        <r>
          <rPr>
            <sz val="9"/>
            <color indexed="81"/>
            <rFont val="Tahoma"/>
            <family val="2"/>
          </rPr>
          <t>In order to release previously withheld retainage, enter a negative amount in this column.</t>
        </r>
      </text>
    </comment>
    <comment ref="D105" authorId="0" shapeId="0" xr:uid="{84C4AA65-324B-4651-96F7-532EE13F902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3232FD9-BD5B-46EE-B389-DDF6AC5DE942}">
      <text>
        <r>
          <rPr>
            <sz val="9"/>
            <color indexed="81"/>
            <rFont val="Tahoma"/>
            <family val="2"/>
          </rPr>
          <t>This is the sum of all the new work that was completed during the listed period as well as the materials that were stored</t>
        </r>
      </text>
    </comment>
    <comment ref="M105" authorId="0" shapeId="0" xr:uid="{75ED3417-5C5D-46DF-9B1E-D0F5A994B5A4}">
      <text>
        <r>
          <rPr>
            <sz val="9"/>
            <color indexed="81"/>
            <rFont val="Tahoma"/>
            <family val="2"/>
          </rPr>
          <t>In order to release previously withheld retainage, enter a negative amount in this column.</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8EC5812-5D10-4B8C-AB6B-BE5EF95D0C43}">
      <text>
        <r>
          <rPr>
            <sz val="9"/>
            <color indexed="81"/>
            <rFont val="Tahoma"/>
            <family val="2"/>
          </rPr>
          <t>Enter the beginning date of the period for which you are seeking payment</t>
        </r>
      </text>
    </comment>
    <comment ref="D17" authorId="0" shapeId="0" xr:uid="{66CC361B-D7F1-4627-B6D8-DC2EABC66F22}">
      <text>
        <r>
          <rPr>
            <sz val="9"/>
            <color indexed="81"/>
            <rFont val="Tahoma"/>
            <family val="2"/>
          </rPr>
          <t>Enter the ending date of the period for which you are seeking payment</t>
        </r>
      </text>
    </comment>
    <comment ref="D56" authorId="0" shapeId="0" xr:uid="{2EDAE9AE-9B6A-44CD-9847-084C628C212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409A98B-1625-4E3F-8981-CCB340CEB76C}">
      <text>
        <r>
          <rPr>
            <sz val="9"/>
            <color indexed="81"/>
            <rFont val="Tahoma"/>
            <family val="2"/>
          </rPr>
          <t>This is the sum of all the new work that was completed during the listed period as well as the materials that were stored</t>
        </r>
      </text>
    </comment>
    <comment ref="M56" authorId="0" shapeId="0" xr:uid="{46C5CCC2-4D83-4AFB-985B-FD0CD6E0AC65}">
      <text>
        <r>
          <rPr>
            <sz val="9"/>
            <color indexed="81"/>
            <rFont val="Tahoma"/>
            <family val="2"/>
          </rPr>
          <t>In order to release previously withheld retainage, enter a negative amount in this column.</t>
        </r>
      </text>
    </comment>
    <comment ref="D105" authorId="0" shapeId="0" xr:uid="{3FC8FB50-91EB-4DB2-AA8D-B8282861075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48253D1-C9AD-4E9A-85CB-20DA4C7E7DF9}">
      <text>
        <r>
          <rPr>
            <sz val="9"/>
            <color indexed="81"/>
            <rFont val="Tahoma"/>
            <family val="2"/>
          </rPr>
          <t>This is the sum of all the new work that was completed during the listed period as well as the materials that were stored</t>
        </r>
      </text>
    </comment>
    <comment ref="M105" authorId="0" shapeId="0" xr:uid="{26686674-28E2-4638-8173-598F36D01836}">
      <text>
        <r>
          <rPr>
            <sz val="9"/>
            <color indexed="81"/>
            <rFont val="Tahoma"/>
            <family val="2"/>
          </rPr>
          <t>In order to release previously withheld retainage, enter a negative amount in this column.</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CDE1192-12B1-496C-96F6-7E453BB4A770}">
      <text>
        <r>
          <rPr>
            <sz val="9"/>
            <color indexed="81"/>
            <rFont val="Tahoma"/>
            <family val="2"/>
          </rPr>
          <t>Enter the beginning date of the period for which you are seeking payment</t>
        </r>
      </text>
    </comment>
    <comment ref="D17" authorId="0" shapeId="0" xr:uid="{38D49A2A-A5B7-46A3-85AB-B98896A2816E}">
      <text>
        <r>
          <rPr>
            <sz val="9"/>
            <color indexed="81"/>
            <rFont val="Tahoma"/>
            <family val="2"/>
          </rPr>
          <t>Enter the ending date of the period for which you are seeking payment</t>
        </r>
      </text>
    </comment>
    <comment ref="D56" authorId="0" shapeId="0" xr:uid="{7AB957C6-DF3B-4A44-8981-832BA5CE03F5}">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29AE963-6B6C-4FCF-A3FA-B8BCB083F3EA}">
      <text>
        <r>
          <rPr>
            <sz val="9"/>
            <color indexed="81"/>
            <rFont val="Tahoma"/>
            <family val="2"/>
          </rPr>
          <t>This is the sum of all the new work that was completed during the listed period as well as the materials that were stored</t>
        </r>
      </text>
    </comment>
    <comment ref="M56" authorId="0" shapeId="0" xr:uid="{3F62D955-3291-4C72-8D21-E27ED7F8F00B}">
      <text>
        <r>
          <rPr>
            <sz val="9"/>
            <color indexed="81"/>
            <rFont val="Tahoma"/>
            <family val="2"/>
          </rPr>
          <t>In order to release previously withheld retainage, enter a negative amount in this column.</t>
        </r>
      </text>
    </comment>
    <comment ref="D105" authorId="0" shapeId="0" xr:uid="{379291E7-49DB-49C7-923E-8B48DB87C63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49AB97E-D5F2-4070-BF30-31CADC3023BF}">
      <text>
        <r>
          <rPr>
            <sz val="9"/>
            <color indexed="81"/>
            <rFont val="Tahoma"/>
            <family val="2"/>
          </rPr>
          <t>This is the sum of all the new work that was completed during the listed period as well as the materials that were stored</t>
        </r>
      </text>
    </comment>
    <comment ref="M105" authorId="0" shapeId="0" xr:uid="{96D09ECE-29D3-494A-BD59-E206B7370BE6}">
      <text>
        <r>
          <rPr>
            <sz val="9"/>
            <color indexed="81"/>
            <rFont val="Tahoma"/>
            <family val="2"/>
          </rPr>
          <t>In order to release previously withheld retainage, enter a negative amount in this column.</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9592EBB-EF47-4B1A-B5C8-C6556F161801}">
      <text>
        <r>
          <rPr>
            <sz val="9"/>
            <color indexed="81"/>
            <rFont val="Tahoma"/>
            <family val="2"/>
          </rPr>
          <t>Enter the beginning date of the period for which you are seeking payment</t>
        </r>
      </text>
    </comment>
    <comment ref="D17" authorId="0" shapeId="0" xr:uid="{57361D12-671C-41E0-9D66-398C405E84FA}">
      <text>
        <r>
          <rPr>
            <sz val="9"/>
            <color indexed="81"/>
            <rFont val="Tahoma"/>
            <family val="2"/>
          </rPr>
          <t>Enter the ending date of the period for which you are seeking payment</t>
        </r>
      </text>
    </comment>
    <comment ref="D56" authorId="0" shapeId="0" xr:uid="{A2DA3A5E-8CE6-4681-98AA-2CF00B79AE6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3A72B96-0D20-47C0-8BBD-9484CBAB1B99}">
      <text>
        <r>
          <rPr>
            <sz val="9"/>
            <color indexed="81"/>
            <rFont val="Tahoma"/>
            <family val="2"/>
          </rPr>
          <t>This is the sum of all the new work that was completed during the listed period as well as the materials that were stored</t>
        </r>
      </text>
    </comment>
    <comment ref="M56" authorId="0" shapeId="0" xr:uid="{DA1D5F6A-BA02-4F08-AEBB-91B94684CACC}">
      <text>
        <r>
          <rPr>
            <sz val="9"/>
            <color indexed="81"/>
            <rFont val="Tahoma"/>
            <family val="2"/>
          </rPr>
          <t>In order to release previously withheld retainage, enter a negative amount in this column.</t>
        </r>
      </text>
    </comment>
    <comment ref="D105" authorId="0" shapeId="0" xr:uid="{AAAE6995-7DFA-4CB0-BC2B-DD0905B0B3C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BB6771DF-4FE4-4A50-9503-4286EE9DF58A}">
      <text>
        <r>
          <rPr>
            <sz val="9"/>
            <color indexed="81"/>
            <rFont val="Tahoma"/>
            <family val="2"/>
          </rPr>
          <t>This is the sum of all the new work that was completed during the listed period as well as the materials that were stored</t>
        </r>
      </text>
    </comment>
    <comment ref="M105" authorId="0" shapeId="0" xr:uid="{C0DC3B28-EC21-49EB-BF11-D04AA68F8345}">
      <text>
        <r>
          <rPr>
            <sz val="9"/>
            <color indexed="81"/>
            <rFont val="Tahoma"/>
            <family val="2"/>
          </rPr>
          <t>In order to release previously withheld retainage, enter a negative amount in this column.</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DA8701F-E760-4BFD-9137-42B6AFE4F645}">
      <text>
        <r>
          <rPr>
            <sz val="9"/>
            <color indexed="81"/>
            <rFont val="Tahoma"/>
            <family val="2"/>
          </rPr>
          <t>Enter the beginning date of the period for which you are seeking payment</t>
        </r>
      </text>
    </comment>
    <comment ref="D17" authorId="0" shapeId="0" xr:uid="{7CC1E978-8617-4ECB-A3B1-CA396AFD8543}">
      <text>
        <r>
          <rPr>
            <sz val="9"/>
            <color indexed="81"/>
            <rFont val="Tahoma"/>
            <family val="2"/>
          </rPr>
          <t>Enter the ending date of the period for which you are seeking payment</t>
        </r>
      </text>
    </comment>
    <comment ref="D56" authorId="0" shapeId="0" xr:uid="{24B4DC45-B948-4530-A4D6-29FBD2AA42E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C3BAA7E-C9DC-4FAD-B32A-F660B2212A8B}">
      <text>
        <r>
          <rPr>
            <sz val="9"/>
            <color indexed="81"/>
            <rFont val="Tahoma"/>
            <family val="2"/>
          </rPr>
          <t>This is the sum of all the new work that was completed during the listed period as well as the materials that were stored</t>
        </r>
      </text>
    </comment>
    <comment ref="M56" authorId="0" shapeId="0" xr:uid="{6AA866B5-D880-4240-AC7F-9DE9E1024FA5}">
      <text>
        <r>
          <rPr>
            <sz val="9"/>
            <color indexed="81"/>
            <rFont val="Tahoma"/>
            <family val="2"/>
          </rPr>
          <t>In order to release previously withheld retainage, enter a negative amount in this column.</t>
        </r>
      </text>
    </comment>
    <comment ref="D105" authorId="0" shapeId="0" xr:uid="{A5871BAC-6719-4D28-9918-8E5FB599C99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0F34408-90D4-49B5-A68B-15EFFD702E74}">
      <text>
        <r>
          <rPr>
            <sz val="9"/>
            <color indexed="81"/>
            <rFont val="Tahoma"/>
            <family val="2"/>
          </rPr>
          <t>This is the sum of all the new work that was completed during the listed period as well as the materials that were stored</t>
        </r>
      </text>
    </comment>
    <comment ref="M105" authorId="0" shapeId="0" xr:uid="{3E443D19-458F-466C-9146-453877B96E93}">
      <text>
        <r>
          <rPr>
            <sz val="9"/>
            <color indexed="81"/>
            <rFont val="Tahoma"/>
            <family val="2"/>
          </rPr>
          <t>In order to release previously withheld retainage, enter a negative amount in this column.</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5C6B35B-28BF-412B-B688-04ED05D512A1}">
      <text>
        <r>
          <rPr>
            <sz val="9"/>
            <color indexed="81"/>
            <rFont val="Tahoma"/>
            <family val="2"/>
          </rPr>
          <t>Enter the beginning date of the period for which you are seeking payment</t>
        </r>
      </text>
    </comment>
    <comment ref="D17" authorId="0" shapeId="0" xr:uid="{B0666DFD-52B1-426F-B990-9ED096615B57}">
      <text>
        <r>
          <rPr>
            <sz val="9"/>
            <color indexed="81"/>
            <rFont val="Tahoma"/>
            <family val="2"/>
          </rPr>
          <t>Enter the ending date of the period for which you are seeking payment</t>
        </r>
      </text>
    </comment>
    <comment ref="D56" authorId="0" shapeId="0" xr:uid="{E96155AB-ADC3-4E0C-9024-8F004202675E}">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E0F6F8A-19DA-4182-B45D-1C60D5EE3533}">
      <text>
        <r>
          <rPr>
            <sz val="9"/>
            <color indexed="81"/>
            <rFont val="Tahoma"/>
            <family val="2"/>
          </rPr>
          <t>This is the sum of all the new work that was completed during the listed period as well as the materials that were stored</t>
        </r>
      </text>
    </comment>
    <comment ref="M56" authorId="0" shapeId="0" xr:uid="{ECAE33D0-CD14-4C6B-89B2-24774BEC8648}">
      <text>
        <r>
          <rPr>
            <sz val="9"/>
            <color indexed="81"/>
            <rFont val="Tahoma"/>
            <family val="2"/>
          </rPr>
          <t>In order to release previously withheld retainage, enter a negative amount in this column.</t>
        </r>
      </text>
    </comment>
    <comment ref="D105" authorId="0" shapeId="0" xr:uid="{9481593D-7426-4C4B-AE5A-95078498FDA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1AD8CDB-1CEE-4CDE-A5C3-EDCC081BA1D6}">
      <text>
        <r>
          <rPr>
            <sz val="9"/>
            <color indexed="81"/>
            <rFont val="Tahoma"/>
            <family val="2"/>
          </rPr>
          <t>This is the sum of all the new work that was completed during the listed period as well as the materials that were stored</t>
        </r>
      </text>
    </comment>
    <comment ref="M105" authorId="0" shapeId="0" xr:uid="{0CCEB025-2531-432F-9F8D-F96D3824E31C}">
      <text>
        <r>
          <rPr>
            <sz val="9"/>
            <color indexed="81"/>
            <rFont val="Tahoma"/>
            <family val="2"/>
          </rPr>
          <t>In order to release previously withheld retainage, enter a negative amount in this column.</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034E939-0E1E-4505-ADE6-44CFB103FF43}">
      <text>
        <r>
          <rPr>
            <sz val="9"/>
            <color indexed="81"/>
            <rFont val="Tahoma"/>
            <family val="2"/>
          </rPr>
          <t>Enter the beginning date of the period for which you are seeking payment</t>
        </r>
      </text>
    </comment>
    <comment ref="D17" authorId="0" shapeId="0" xr:uid="{7CA1ED29-900D-45EE-8E5D-3B8CF3603880}">
      <text>
        <r>
          <rPr>
            <sz val="9"/>
            <color indexed="81"/>
            <rFont val="Tahoma"/>
            <family val="2"/>
          </rPr>
          <t>Enter the ending date of the period for which you are seeking payment</t>
        </r>
      </text>
    </comment>
    <comment ref="D56" authorId="0" shapeId="0" xr:uid="{2F37EBD4-BB74-41FA-A2BA-AAE59F2CB0F7}">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7194C0C-34D5-49E3-8069-F64895A34A5E}">
      <text>
        <r>
          <rPr>
            <sz val="9"/>
            <color indexed="81"/>
            <rFont val="Tahoma"/>
            <family val="2"/>
          </rPr>
          <t>This is the sum of all the new work that was completed during the listed period as well as the materials that were stored</t>
        </r>
      </text>
    </comment>
    <comment ref="M56" authorId="0" shapeId="0" xr:uid="{CCC46B8D-B894-4F23-B3CC-2213EA36F90E}">
      <text>
        <r>
          <rPr>
            <sz val="9"/>
            <color indexed="81"/>
            <rFont val="Tahoma"/>
            <family val="2"/>
          </rPr>
          <t>In order to release previously withheld retainage, enter a negative amount in this column.</t>
        </r>
      </text>
    </comment>
    <comment ref="D105" authorId="0" shapeId="0" xr:uid="{05640E0E-F1EB-4D7E-BDDA-0B0A5A10608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DC53AEF1-30EE-401D-8066-92B203E9E75C}">
      <text>
        <r>
          <rPr>
            <sz val="9"/>
            <color indexed="81"/>
            <rFont val="Tahoma"/>
            <family val="2"/>
          </rPr>
          <t>This is the sum of all the new work that was completed during the listed period as well as the materials that were stored</t>
        </r>
      </text>
    </comment>
    <comment ref="M105" authorId="0" shapeId="0" xr:uid="{3C823946-3254-4A7E-A888-88743B91B031}">
      <text>
        <r>
          <rPr>
            <sz val="9"/>
            <color indexed="81"/>
            <rFont val="Tahoma"/>
            <family val="2"/>
          </rPr>
          <t>In order to release previously withheld retainage, enter a negative amount in this column.</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7321811-0E62-47E2-A01C-9A9A438FE1C8}">
      <text>
        <r>
          <rPr>
            <sz val="9"/>
            <color indexed="81"/>
            <rFont val="Tahoma"/>
            <family val="2"/>
          </rPr>
          <t>Enter the beginning date of the period for which you are seeking payment</t>
        </r>
      </text>
    </comment>
    <comment ref="D17" authorId="0" shapeId="0" xr:uid="{B5DBC190-EC3E-4C9A-A49A-0E8615A9B8F7}">
      <text>
        <r>
          <rPr>
            <sz val="9"/>
            <color indexed="81"/>
            <rFont val="Tahoma"/>
            <family val="2"/>
          </rPr>
          <t>Enter the ending date of the period for which you are seeking payment</t>
        </r>
      </text>
    </comment>
    <comment ref="D56" authorId="0" shapeId="0" xr:uid="{A3807235-BF33-4502-9099-BA238EC1D9B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3131D76-66E8-47D2-9377-4045C9B819F1}">
      <text>
        <r>
          <rPr>
            <sz val="9"/>
            <color indexed="81"/>
            <rFont val="Tahoma"/>
            <family val="2"/>
          </rPr>
          <t>This is the sum of all the new work that was completed during the listed period as well as the materials that were stored</t>
        </r>
      </text>
    </comment>
    <comment ref="M56" authorId="0" shapeId="0" xr:uid="{5C0400A8-ECC4-41EE-9E74-3FF63E02CCBA}">
      <text>
        <r>
          <rPr>
            <sz val="9"/>
            <color indexed="81"/>
            <rFont val="Tahoma"/>
            <family val="2"/>
          </rPr>
          <t>In order to release previously withheld retainage, enter a negative amount in this column.</t>
        </r>
      </text>
    </comment>
    <comment ref="D105" authorId="0" shapeId="0" xr:uid="{FBEC307B-A5EC-4BA3-A342-0FB9D1E8C341}">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E339292-12E6-415B-8B75-48B15D2FCB98}">
      <text>
        <r>
          <rPr>
            <sz val="9"/>
            <color indexed="81"/>
            <rFont val="Tahoma"/>
            <family val="2"/>
          </rPr>
          <t>This is the sum of all the new work that was completed during the listed period as well as the materials that were stored</t>
        </r>
      </text>
    </comment>
    <comment ref="M105" authorId="0" shapeId="0" xr:uid="{2A73318C-84FF-4610-B188-4417F335DF19}">
      <text>
        <r>
          <rPr>
            <sz val="9"/>
            <color indexed="81"/>
            <rFont val="Tahoma"/>
            <family val="2"/>
          </rPr>
          <t>In order to release previously withheld retainage, enter a negative amount in this column.</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503DE5F-7798-41E8-98F5-AC18DF1F3B61}">
      <text>
        <r>
          <rPr>
            <sz val="9"/>
            <color indexed="81"/>
            <rFont val="Tahoma"/>
            <family val="2"/>
          </rPr>
          <t>Enter the beginning date of the period for which you are seeking payment</t>
        </r>
      </text>
    </comment>
    <comment ref="D17" authorId="0" shapeId="0" xr:uid="{FE64F37C-1CA2-4AAA-83B8-E6ECB4FC2367}">
      <text>
        <r>
          <rPr>
            <sz val="9"/>
            <color indexed="81"/>
            <rFont val="Tahoma"/>
            <family val="2"/>
          </rPr>
          <t>Enter the ending date of the period for which you are seeking payment</t>
        </r>
      </text>
    </comment>
    <comment ref="D56" authorId="0" shapeId="0" xr:uid="{C03EBCA3-299B-44C7-9220-20CB96D8CC3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3FF630D-B3A0-43B6-8F26-416EEC7BF8F9}">
      <text>
        <r>
          <rPr>
            <sz val="9"/>
            <color indexed="81"/>
            <rFont val="Tahoma"/>
            <family val="2"/>
          </rPr>
          <t>This is the sum of all the new work that was completed during the listed period as well as the materials that were stored</t>
        </r>
      </text>
    </comment>
    <comment ref="M56" authorId="0" shapeId="0" xr:uid="{C4B7A113-2202-4ABD-B4F7-217AD7F3D684}">
      <text>
        <r>
          <rPr>
            <sz val="9"/>
            <color indexed="81"/>
            <rFont val="Tahoma"/>
            <family val="2"/>
          </rPr>
          <t>In order to release previously withheld retainage, enter a negative amount in this column.</t>
        </r>
      </text>
    </comment>
    <comment ref="D105" authorId="0" shapeId="0" xr:uid="{79D133DC-1738-4C3A-8D72-2569BD7A230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8BCCA6BC-E65D-4169-8182-256B65AA3D5B}">
      <text>
        <r>
          <rPr>
            <sz val="9"/>
            <color indexed="81"/>
            <rFont val="Tahoma"/>
            <family val="2"/>
          </rPr>
          <t>This is the sum of all the new work that was completed during the listed period as well as the materials that were stored</t>
        </r>
      </text>
    </comment>
    <comment ref="M105" authorId="0" shapeId="0" xr:uid="{22EE5FA8-2135-43F7-BC97-73ADE8202238}">
      <text>
        <r>
          <rPr>
            <sz val="9"/>
            <color indexed="81"/>
            <rFont val="Tahoma"/>
            <family val="2"/>
          </rPr>
          <t>In order to release previously withheld retainage, enter a negative amount in this column.</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20B52A-050A-441D-8EF0-5FB454A94661}">
      <text>
        <r>
          <rPr>
            <sz val="9"/>
            <color indexed="81"/>
            <rFont val="Tahoma"/>
            <family val="2"/>
          </rPr>
          <t>Enter the beginning date of the period for which you are seeking payment</t>
        </r>
      </text>
    </comment>
    <comment ref="D17" authorId="0" shapeId="0" xr:uid="{6AE61B01-7DA9-4C0D-9355-2A009A2F5700}">
      <text>
        <r>
          <rPr>
            <sz val="9"/>
            <color indexed="81"/>
            <rFont val="Tahoma"/>
            <family val="2"/>
          </rPr>
          <t>Enter the ending date of the period for which you are seeking payment</t>
        </r>
      </text>
    </comment>
    <comment ref="D56" authorId="0" shapeId="0" xr:uid="{54EE8688-5263-4663-A461-4FF70182513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6BF4B61-B741-4219-BE73-14C966D9D784}">
      <text>
        <r>
          <rPr>
            <sz val="9"/>
            <color indexed="81"/>
            <rFont val="Tahoma"/>
            <family val="2"/>
          </rPr>
          <t>This is the sum of all the new work that was completed during the listed period as well as the materials that were stored</t>
        </r>
      </text>
    </comment>
    <comment ref="M56" authorId="0" shapeId="0" xr:uid="{4E758F70-5AB2-4AA2-86C0-4FDAA733F7CA}">
      <text>
        <r>
          <rPr>
            <sz val="9"/>
            <color indexed="81"/>
            <rFont val="Tahoma"/>
            <family val="2"/>
          </rPr>
          <t>In order to release previously withheld retainage, enter a negative amount in this column.</t>
        </r>
      </text>
    </comment>
    <comment ref="D105" authorId="0" shapeId="0" xr:uid="{5E7116F9-22D0-49EB-AE29-81A38EE4398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25D13312-C4EC-4104-AE23-C9C4F6B63407}">
      <text>
        <r>
          <rPr>
            <sz val="9"/>
            <color indexed="81"/>
            <rFont val="Tahoma"/>
            <family val="2"/>
          </rPr>
          <t>This is the sum of all the new work that was completed during the listed period as well as the materials that were stored</t>
        </r>
      </text>
    </comment>
    <comment ref="M105" authorId="0" shapeId="0" xr:uid="{FD5D1EC4-6423-4F11-A3E7-6D26A8ECDC0E}">
      <text>
        <r>
          <rPr>
            <sz val="9"/>
            <color indexed="81"/>
            <rFont val="Tahoma"/>
            <family val="2"/>
          </rPr>
          <t>In order to release previously withheld retainage, enter a negative amount in this column.</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A1DB3C7-3E48-4AD0-8679-5C4C304C6DB7}">
      <text>
        <r>
          <rPr>
            <sz val="9"/>
            <color indexed="81"/>
            <rFont val="Tahoma"/>
            <family val="2"/>
          </rPr>
          <t>Enter the beginning date of the period for which you are seeking payment</t>
        </r>
      </text>
    </comment>
    <comment ref="D17" authorId="0" shapeId="0" xr:uid="{3783EDB3-9731-427B-97B7-635481F44290}">
      <text>
        <r>
          <rPr>
            <sz val="9"/>
            <color indexed="81"/>
            <rFont val="Tahoma"/>
            <family val="2"/>
          </rPr>
          <t>Enter the ending date of the period for which you are seeking payment</t>
        </r>
      </text>
    </comment>
    <comment ref="D56" authorId="0" shapeId="0" xr:uid="{3077F450-4626-4E3F-9853-7DE10B766C8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7CCC729-E5DC-4FDC-A856-2EFDF128349C}">
      <text>
        <r>
          <rPr>
            <sz val="9"/>
            <color indexed="81"/>
            <rFont val="Tahoma"/>
            <family val="2"/>
          </rPr>
          <t>This is the sum of all the new work that was completed during the listed period as well as the materials that were stored</t>
        </r>
      </text>
    </comment>
    <comment ref="M56" authorId="0" shapeId="0" xr:uid="{0FD369C4-4768-47B3-9150-7AD63F34A290}">
      <text>
        <r>
          <rPr>
            <sz val="9"/>
            <color indexed="81"/>
            <rFont val="Tahoma"/>
            <family val="2"/>
          </rPr>
          <t>In order to release previously withheld retainage, enter a negative amount in this column.</t>
        </r>
      </text>
    </comment>
    <comment ref="D105" authorId="0" shapeId="0" xr:uid="{2077F910-8843-412E-85AA-78654950052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D22A6A4-FDF8-439D-B0C3-658272E94293}">
      <text>
        <r>
          <rPr>
            <sz val="9"/>
            <color indexed="81"/>
            <rFont val="Tahoma"/>
            <family val="2"/>
          </rPr>
          <t>This is the sum of all the new work that was completed during the listed period as well as the materials that were stored</t>
        </r>
      </text>
    </comment>
    <comment ref="M105" authorId="0" shapeId="0" xr:uid="{98291191-2CB4-4804-9831-FD095CBA0A3A}">
      <text>
        <r>
          <rPr>
            <sz val="9"/>
            <color indexed="81"/>
            <rFont val="Tahoma"/>
            <family val="2"/>
          </rPr>
          <t>In order to release previously withheld retainage, enter a negative amount in this column.</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9C72019-AE95-409A-881F-9B86B2E582BB}">
      <text>
        <r>
          <rPr>
            <sz val="9"/>
            <color indexed="81"/>
            <rFont val="Tahoma"/>
            <family val="2"/>
          </rPr>
          <t>Enter the beginning date of the period for which you are seeking payment</t>
        </r>
      </text>
    </comment>
    <comment ref="D17" authorId="0" shapeId="0" xr:uid="{7D4F6372-1A43-43DB-8D16-7BC64B35D3DF}">
      <text>
        <r>
          <rPr>
            <sz val="9"/>
            <color indexed="81"/>
            <rFont val="Tahoma"/>
            <family val="2"/>
          </rPr>
          <t>Enter the ending date of the period for which you are seeking payment</t>
        </r>
      </text>
    </comment>
    <comment ref="D56" authorId="0" shapeId="0" xr:uid="{C0B2C540-9491-46D2-BAC5-D0019AEAFFE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C84DE484-F6C5-4645-80D4-AA49C48AEE00}">
      <text>
        <r>
          <rPr>
            <sz val="9"/>
            <color indexed="81"/>
            <rFont val="Tahoma"/>
            <family val="2"/>
          </rPr>
          <t>This is the sum of all the new work that was completed during the listed period as well as the materials that were stored</t>
        </r>
      </text>
    </comment>
    <comment ref="M56" authorId="0" shapeId="0" xr:uid="{6A0389D9-C203-42A1-9859-840E720CDD9B}">
      <text>
        <r>
          <rPr>
            <sz val="9"/>
            <color indexed="81"/>
            <rFont val="Tahoma"/>
            <family val="2"/>
          </rPr>
          <t>In order to release previously withheld retainage, enter a negative amount in this column.</t>
        </r>
      </text>
    </comment>
    <comment ref="D105" authorId="0" shapeId="0" xr:uid="{854E9C74-00B5-4515-B3B6-5E74DC13D51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59C1A60-777A-4694-8590-9BEEF0D71E87}">
      <text>
        <r>
          <rPr>
            <sz val="9"/>
            <color indexed="81"/>
            <rFont val="Tahoma"/>
            <family val="2"/>
          </rPr>
          <t>This is the sum of all the new work that was completed during the listed period as well as the materials that were stored</t>
        </r>
      </text>
    </comment>
    <comment ref="M105" authorId="0" shapeId="0" xr:uid="{A559D56B-051C-45DB-A3FE-5FF7C72ADF72}">
      <text>
        <r>
          <rPr>
            <sz val="9"/>
            <color indexed="81"/>
            <rFont val="Tahoma"/>
            <family val="2"/>
          </rPr>
          <t>In order to release previously withheld retainage, enter a negative amount in this column.</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259B2F3-1AAD-4DB7-A253-4BF60230B756}">
      <text>
        <r>
          <rPr>
            <sz val="9"/>
            <color indexed="81"/>
            <rFont val="Tahoma"/>
            <family val="2"/>
          </rPr>
          <t>Enter the beginning date of the period for which you are seeking payment</t>
        </r>
      </text>
    </comment>
    <comment ref="D17" authorId="0" shapeId="0" xr:uid="{C7CD4A84-E291-45C3-A5CA-85848BDB7DA8}">
      <text>
        <r>
          <rPr>
            <sz val="9"/>
            <color indexed="81"/>
            <rFont val="Tahoma"/>
            <family val="2"/>
          </rPr>
          <t>Enter the ending date of the period for which you are seeking payment</t>
        </r>
      </text>
    </comment>
    <comment ref="D56" authorId="0" shapeId="0" xr:uid="{72279B76-E0EE-46CB-BF28-24C5F13D801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4E4E1C5-ABAC-4128-853E-F1CD1C6CB2B4}">
      <text>
        <r>
          <rPr>
            <sz val="9"/>
            <color indexed="81"/>
            <rFont val="Tahoma"/>
            <family val="2"/>
          </rPr>
          <t>This is the sum of all the new work that was completed during the listed period as well as the materials that were stored</t>
        </r>
      </text>
    </comment>
    <comment ref="M56" authorId="0" shapeId="0" xr:uid="{C00BC603-7FD4-46A1-894F-E563B7DF705A}">
      <text>
        <r>
          <rPr>
            <sz val="9"/>
            <color indexed="81"/>
            <rFont val="Tahoma"/>
            <family val="2"/>
          </rPr>
          <t>In order to release previously withheld retainage, enter a negative amount in this column.</t>
        </r>
      </text>
    </comment>
    <comment ref="D105" authorId="0" shapeId="0" xr:uid="{3F001F48-49D6-47FD-971A-CB1D95D6C5E8}">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93FF156D-0452-472C-8763-12398A562B18}">
      <text>
        <r>
          <rPr>
            <sz val="9"/>
            <color indexed="81"/>
            <rFont val="Tahoma"/>
            <family val="2"/>
          </rPr>
          <t>This is the sum of all the new work that was completed during the listed period as well as the materials that were stored</t>
        </r>
      </text>
    </comment>
    <comment ref="M105" authorId="0" shapeId="0" xr:uid="{D494CD53-16CE-4326-BD68-D38D8633CB5D}">
      <text>
        <r>
          <rPr>
            <sz val="9"/>
            <color indexed="81"/>
            <rFont val="Tahoma"/>
            <family val="2"/>
          </rPr>
          <t>In order to release previously withheld retainage, enter a negative amount in this column.</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AF8362C-0FE0-40BD-9863-441241EFD350}">
      <text>
        <r>
          <rPr>
            <sz val="9"/>
            <color indexed="81"/>
            <rFont val="Tahoma"/>
            <family val="2"/>
          </rPr>
          <t>Enter the beginning date of the period for which you are seeking payment</t>
        </r>
      </text>
    </comment>
    <comment ref="D17" authorId="0" shapeId="0" xr:uid="{13D2C62C-43FB-43E9-9428-036A596B61F3}">
      <text>
        <r>
          <rPr>
            <sz val="9"/>
            <color indexed="81"/>
            <rFont val="Tahoma"/>
            <family val="2"/>
          </rPr>
          <t>Enter the ending date of the period for which you are seeking payment</t>
        </r>
      </text>
    </comment>
    <comment ref="D56" authorId="0" shapeId="0" xr:uid="{D476B04B-260C-44CC-AADA-50D36344293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63F8821-99C5-4FE4-A37A-28715F5FF988}">
      <text>
        <r>
          <rPr>
            <sz val="9"/>
            <color indexed="81"/>
            <rFont val="Tahoma"/>
            <family val="2"/>
          </rPr>
          <t>This is the sum of all the new work that was completed during the listed period as well as the materials that were stored</t>
        </r>
      </text>
    </comment>
    <comment ref="M56" authorId="0" shapeId="0" xr:uid="{56201A85-49B1-49E7-98DD-E4C17D2454B6}">
      <text>
        <r>
          <rPr>
            <sz val="9"/>
            <color indexed="81"/>
            <rFont val="Tahoma"/>
            <family val="2"/>
          </rPr>
          <t>In order to release previously withheld retainage, enter a negative amount in this column.</t>
        </r>
      </text>
    </comment>
    <comment ref="D105" authorId="0" shapeId="0" xr:uid="{D0DCAAF4-1511-433D-98BF-436A1D7E639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317FAF1-03CA-43AB-8A90-048BACCCE818}">
      <text>
        <r>
          <rPr>
            <sz val="9"/>
            <color indexed="81"/>
            <rFont val="Tahoma"/>
            <family val="2"/>
          </rPr>
          <t>This is the sum of all the new work that was completed during the listed period as well as the materials that were stored</t>
        </r>
      </text>
    </comment>
    <comment ref="M105" authorId="0" shapeId="0" xr:uid="{BA3B9A61-0D8A-4F29-A849-AF7359CBA5E2}">
      <text>
        <r>
          <rPr>
            <sz val="9"/>
            <color indexed="81"/>
            <rFont val="Tahoma"/>
            <family val="2"/>
          </rPr>
          <t>In order to release previously withheld retainage, enter a negative amount in this column.</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D17F1F11-84D6-4036-A575-F2ACA01A546A}">
      <text>
        <r>
          <rPr>
            <sz val="9"/>
            <color indexed="81"/>
            <rFont val="Tahoma"/>
            <family val="2"/>
          </rPr>
          <t>Enter the beginning date of the period for which you are seeking payment</t>
        </r>
      </text>
    </comment>
    <comment ref="D17" authorId="0" shapeId="0" xr:uid="{7B66E77B-7BCB-4491-B0EC-BBDA8B083A46}">
      <text>
        <r>
          <rPr>
            <sz val="9"/>
            <color indexed="81"/>
            <rFont val="Tahoma"/>
            <family val="2"/>
          </rPr>
          <t>Enter the ending date of the period for which you are seeking payment</t>
        </r>
      </text>
    </comment>
    <comment ref="D56" authorId="0" shapeId="0" xr:uid="{46CC9AD3-AFAA-4715-AC7A-E151518F921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2D37E96-D674-4F50-BF29-F15CD3F11D48}">
      <text>
        <r>
          <rPr>
            <sz val="9"/>
            <color indexed="81"/>
            <rFont val="Tahoma"/>
            <family val="2"/>
          </rPr>
          <t>This is the sum of all the new work that was completed during the listed period as well as the materials that were stored</t>
        </r>
      </text>
    </comment>
    <comment ref="M56" authorId="0" shapeId="0" xr:uid="{D9EFF7F0-B1F2-48D1-8229-58C97026238E}">
      <text>
        <r>
          <rPr>
            <sz val="9"/>
            <color indexed="81"/>
            <rFont val="Tahoma"/>
            <family val="2"/>
          </rPr>
          <t>In order to release previously withheld retainage, enter a negative amount in this column.</t>
        </r>
      </text>
    </comment>
    <comment ref="D105" authorId="0" shapeId="0" xr:uid="{F20383AC-16F9-48B2-8061-48CD04F22D6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CF4451C-75E0-41DB-BFF8-B0725530A1BD}">
      <text>
        <r>
          <rPr>
            <sz val="9"/>
            <color indexed="81"/>
            <rFont val="Tahoma"/>
            <family val="2"/>
          </rPr>
          <t>This is the sum of all the new work that was completed during the listed period as well as the materials that were stored</t>
        </r>
      </text>
    </comment>
    <comment ref="M105" authorId="0" shapeId="0" xr:uid="{0E179706-6598-4F2E-81B9-A83450A8D63D}">
      <text>
        <r>
          <rPr>
            <sz val="9"/>
            <color indexed="81"/>
            <rFont val="Tahoma"/>
            <family val="2"/>
          </rPr>
          <t>In order to release previously withheld retainage, enter a negative amount in this column.</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962444DB-DE8A-44B7-AE8C-59397C3966EA}">
      <text>
        <r>
          <rPr>
            <sz val="9"/>
            <color indexed="81"/>
            <rFont val="Tahoma"/>
            <family val="2"/>
          </rPr>
          <t>Enter the beginning date of the period for which you are seeking payment</t>
        </r>
      </text>
    </comment>
    <comment ref="D17" authorId="0" shapeId="0" xr:uid="{606D2011-8582-4C9C-BDC8-0FDB20CE0756}">
      <text>
        <r>
          <rPr>
            <sz val="9"/>
            <color indexed="81"/>
            <rFont val="Tahoma"/>
            <family val="2"/>
          </rPr>
          <t>Enter the ending date of the period for which you are seeking payment</t>
        </r>
      </text>
    </comment>
    <comment ref="D56" authorId="0" shapeId="0" xr:uid="{ABB87C90-A7F8-41BA-B420-47FB99545366}">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913631F-3634-48E0-964B-AC58ABF15EE4}">
      <text>
        <r>
          <rPr>
            <sz val="9"/>
            <color indexed="81"/>
            <rFont val="Tahoma"/>
            <family val="2"/>
          </rPr>
          <t>This is the sum of all the new work that was completed during the listed period as well as the materials that were stored</t>
        </r>
      </text>
    </comment>
    <comment ref="M56" authorId="0" shapeId="0" xr:uid="{C21324DF-5351-4B66-96A9-797FEBA33369}">
      <text>
        <r>
          <rPr>
            <sz val="9"/>
            <color indexed="81"/>
            <rFont val="Tahoma"/>
            <family val="2"/>
          </rPr>
          <t>In order to release previously withheld retainage, enter a negative amount in this column.</t>
        </r>
      </text>
    </comment>
    <comment ref="D105" authorId="0" shapeId="0" xr:uid="{96261D11-EC47-476D-A6CD-90D0D8AFA9F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391C2F2-5A6A-4893-B965-458EE5AE338C}">
      <text>
        <r>
          <rPr>
            <sz val="9"/>
            <color indexed="81"/>
            <rFont val="Tahoma"/>
            <family val="2"/>
          </rPr>
          <t>This is the sum of all the new work that was completed during the listed period as well as the materials that were stored</t>
        </r>
      </text>
    </comment>
    <comment ref="M105" authorId="0" shapeId="0" xr:uid="{E6B1B726-BA91-45D4-A0FD-EAB6EFD159CF}">
      <text>
        <r>
          <rPr>
            <sz val="9"/>
            <color indexed="81"/>
            <rFont val="Tahoma"/>
            <family val="2"/>
          </rPr>
          <t>In order to release previously withheld retainage, enter a negative amount in this column.</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F600828-48EB-4F53-AB61-1DA89135F18A}">
      <text>
        <r>
          <rPr>
            <sz val="9"/>
            <color indexed="81"/>
            <rFont val="Tahoma"/>
            <family val="2"/>
          </rPr>
          <t>Enter the beginning date of the period for which you are seeking payment</t>
        </r>
      </text>
    </comment>
    <comment ref="D17" authorId="0" shapeId="0" xr:uid="{FB98AB95-03EC-4BD8-AC0B-5B77C007060B}">
      <text>
        <r>
          <rPr>
            <sz val="9"/>
            <color indexed="81"/>
            <rFont val="Tahoma"/>
            <family val="2"/>
          </rPr>
          <t>Enter the ending date of the period for which you are seeking payment</t>
        </r>
      </text>
    </comment>
    <comment ref="D56" authorId="0" shapeId="0" xr:uid="{15F78D07-ACA6-4B80-B2E0-FF085D032BA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1143169-32E7-4B99-98D0-73ADF7DAB480}">
      <text>
        <r>
          <rPr>
            <sz val="9"/>
            <color indexed="81"/>
            <rFont val="Tahoma"/>
            <family val="2"/>
          </rPr>
          <t>This is the sum of all the new work that was completed during the listed period as well as the materials that were stored</t>
        </r>
      </text>
    </comment>
    <comment ref="M56" authorId="0" shapeId="0" xr:uid="{E34C962D-1481-458A-9B8D-138D807BA4B3}">
      <text>
        <r>
          <rPr>
            <sz val="9"/>
            <color indexed="81"/>
            <rFont val="Tahoma"/>
            <family val="2"/>
          </rPr>
          <t>In order to release previously withheld retainage, enter a negative amount in this column.</t>
        </r>
      </text>
    </comment>
    <comment ref="D105" authorId="0" shapeId="0" xr:uid="{0AE361A9-CB74-4330-BB9F-78255005673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884FC23-9EA2-4904-810E-38417423DD0D}">
      <text>
        <r>
          <rPr>
            <sz val="9"/>
            <color indexed="81"/>
            <rFont val="Tahoma"/>
            <family val="2"/>
          </rPr>
          <t>This is the sum of all the new work that was completed during the listed period as well as the materials that were stored</t>
        </r>
      </text>
    </comment>
    <comment ref="M105" authorId="0" shapeId="0" xr:uid="{817A129D-3DD1-402C-BA66-C63A9989DF1D}">
      <text>
        <r>
          <rPr>
            <sz val="9"/>
            <color indexed="81"/>
            <rFont val="Tahoma"/>
            <family val="2"/>
          </rPr>
          <t>In order to release previously withheld retainage, enter a negative amount in this column.</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7DD8076-B702-4CC3-8F59-458F57460A2B}">
      <text>
        <r>
          <rPr>
            <sz val="9"/>
            <color indexed="81"/>
            <rFont val="Tahoma"/>
            <family val="2"/>
          </rPr>
          <t>Enter the beginning date of the period for which you are seeking payment</t>
        </r>
      </text>
    </comment>
    <comment ref="D17" authorId="0" shapeId="0" xr:uid="{8007A1A7-27B7-49E0-BF2B-B370CCCE1FCB}">
      <text>
        <r>
          <rPr>
            <sz val="9"/>
            <color indexed="81"/>
            <rFont val="Tahoma"/>
            <family val="2"/>
          </rPr>
          <t>Enter the ending date of the period for which you are seeking payment</t>
        </r>
      </text>
    </comment>
    <comment ref="D56" authorId="0" shapeId="0" xr:uid="{B5E77CB9-3A95-45A7-BEF5-29EA7CBDC9A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663C9A6D-6E37-4FBE-A8FB-E550E63C27DA}">
      <text>
        <r>
          <rPr>
            <sz val="9"/>
            <color indexed="81"/>
            <rFont val="Tahoma"/>
            <family val="2"/>
          </rPr>
          <t>This is the sum of all the new work that was completed during the listed period as well as the materials that were stored</t>
        </r>
      </text>
    </comment>
    <comment ref="M56" authorId="0" shapeId="0" xr:uid="{7F45973E-3D86-4871-BBFB-44754F9A9BF3}">
      <text>
        <r>
          <rPr>
            <sz val="9"/>
            <color indexed="81"/>
            <rFont val="Tahoma"/>
            <family val="2"/>
          </rPr>
          <t>In order to release previously withheld retainage, enter a negative amount in this column.</t>
        </r>
      </text>
    </comment>
    <comment ref="D105" authorId="0" shapeId="0" xr:uid="{BEF2BAB5-64AA-491D-BDB5-7DA45F049D9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0B2E999-6659-4E5C-975F-E8384592FCDE}">
      <text>
        <r>
          <rPr>
            <sz val="9"/>
            <color indexed="81"/>
            <rFont val="Tahoma"/>
            <family val="2"/>
          </rPr>
          <t>This is the sum of all the new work that was completed during the listed period as well as the materials that were stored</t>
        </r>
      </text>
    </comment>
    <comment ref="M105" authorId="0" shapeId="0" xr:uid="{115FE7DF-7AC2-4411-BC86-DA89E6596F90}">
      <text>
        <r>
          <rPr>
            <sz val="9"/>
            <color indexed="81"/>
            <rFont val="Tahoma"/>
            <family val="2"/>
          </rPr>
          <t>In order to release previously withheld retainage, enter a negative amount in this column.</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73E337-0518-4DD8-94B0-D8CC25DA74BA}">
      <text>
        <r>
          <rPr>
            <sz val="9"/>
            <color indexed="81"/>
            <rFont val="Tahoma"/>
            <family val="2"/>
          </rPr>
          <t>Enter the beginning date of the period for which you are seeking payment</t>
        </r>
      </text>
    </comment>
    <comment ref="D17" authorId="0" shapeId="0" xr:uid="{996B3F80-630E-4474-A1FF-709FDBDDB619}">
      <text>
        <r>
          <rPr>
            <sz val="9"/>
            <color indexed="81"/>
            <rFont val="Tahoma"/>
            <family val="2"/>
          </rPr>
          <t>Enter the ending date of the period for which you are seeking payment</t>
        </r>
      </text>
    </comment>
    <comment ref="D56" authorId="0" shapeId="0" xr:uid="{DA20C352-172F-40C4-B18F-62439EF0825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24D44B6-003C-4835-B344-6DA4CF73A0ED}">
      <text>
        <r>
          <rPr>
            <sz val="9"/>
            <color indexed="81"/>
            <rFont val="Tahoma"/>
            <family val="2"/>
          </rPr>
          <t>This is the sum of all the new work that was completed during the listed period as well as the materials that were stored</t>
        </r>
      </text>
    </comment>
    <comment ref="M56" authorId="0" shapeId="0" xr:uid="{CD040CF7-4C42-41C3-9862-34A367C50B07}">
      <text>
        <r>
          <rPr>
            <sz val="9"/>
            <color indexed="81"/>
            <rFont val="Tahoma"/>
            <family val="2"/>
          </rPr>
          <t>In order to release previously withheld retainage, enter a negative amount in this column.</t>
        </r>
      </text>
    </comment>
    <comment ref="D105" authorId="0" shapeId="0" xr:uid="{914A19C1-F0CC-46C5-A4DC-0D62A1A9F51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AF85A33-CEDC-430D-A464-76188C0332EC}">
      <text>
        <r>
          <rPr>
            <sz val="9"/>
            <color indexed="81"/>
            <rFont val="Tahoma"/>
            <family val="2"/>
          </rPr>
          <t>This is the sum of all the new work that was completed during the listed period as well as the materials that were stored</t>
        </r>
      </text>
    </comment>
    <comment ref="M105" authorId="0" shapeId="0" xr:uid="{C1D70453-F810-4D58-A1E8-5DE432E93869}">
      <text>
        <r>
          <rPr>
            <sz val="9"/>
            <color indexed="81"/>
            <rFont val="Tahoma"/>
            <family val="2"/>
          </rPr>
          <t>In order to release previously withheld retainage, enter a negative amount in this column.</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5B5E8D3D-3875-4D1B-8134-AD38C7407591}">
      <text>
        <r>
          <rPr>
            <sz val="9"/>
            <color indexed="81"/>
            <rFont val="Tahoma"/>
            <family val="2"/>
          </rPr>
          <t>Enter the beginning date of the period for which you are seeking payment</t>
        </r>
      </text>
    </comment>
    <comment ref="D17" authorId="0" shapeId="0" xr:uid="{B492155B-3F4C-4AB7-B4B0-F1D8CBBF0612}">
      <text>
        <r>
          <rPr>
            <sz val="9"/>
            <color indexed="81"/>
            <rFont val="Tahoma"/>
            <family val="2"/>
          </rPr>
          <t>Enter the ending date of the period for which you are seeking payment</t>
        </r>
      </text>
    </comment>
    <comment ref="D56" authorId="0" shapeId="0" xr:uid="{38A53742-09C8-43F8-8183-3A3BE191B3E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5DFD1B0-26A8-44F5-B876-E63DCD2649FA}">
      <text>
        <r>
          <rPr>
            <sz val="9"/>
            <color indexed="81"/>
            <rFont val="Tahoma"/>
            <family val="2"/>
          </rPr>
          <t>This is the sum of all the new work that was completed during the listed period as well as the materials that were stored</t>
        </r>
      </text>
    </comment>
    <comment ref="M56" authorId="0" shapeId="0" xr:uid="{6F798C33-F0A8-4544-9254-C8FD5DB92195}">
      <text>
        <r>
          <rPr>
            <sz val="9"/>
            <color indexed="81"/>
            <rFont val="Tahoma"/>
            <family val="2"/>
          </rPr>
          <t>In order to release previously withheld retainage, enter a negative amount in this column.</t>
        </r>
      </text>
    </comment>
    <comment ref="D105" authorId="0" shapeId="0" xr:uid="{33056E68-0DB4-468C-A8AA-F080F03EC177}">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2845DE78-ACB8-4113-97E9-5E2554439EF0}">
      <text>
        <r>
          <rPr>
            <sz val="9"/>
            <color indexed="81"/>
            <rFont val="Tahoma"/>
            <family val="2"/>
          </rPr>
          <t>This is the sum of all the new work that was completed during the listed period as well as the materials that were stored</t>
        </r>
      </text>
    </comment>
    <comment ref="M105" authorId="0" shapeId="0" xr:uid="{9A1675A0-E270-4088-8CCD-C5E0C8FC32B4}">
      <text>
        <r>
          <rPr>
            <sz val="9"/>
            <color indexed="81"/>
            <rFont val="Tahoma"/>
            <family val="2"/>
          </rPr>
          <t>In order to release previously withheld retainage, enter a negative amount in this column.</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03EACD8-06E0-4F47-B705-34A4C5AB164A}">
      <text>
        <r>
          <rPr>
            <sz val="9"/>
            <color indexed="81"/>
            <rFont val="Tahoma"/>
            <family val="2"/>
          </rPr>
          <t>Enter the beginning date of the period for which you are seeking payment</t>
        </r>
      </text>
    </comment>
    <comment ref="D17" authorId="0" shapeId="0" xr:uid="{A9F1D0A1-5458-4B2B-8682-40A3B002A059}">
      <text>
        <r>
          <rPr>
            <sz val="9"/>
            <color indexed="81"/>
            <rFont val="Tahoma"/>
            <family val="2"/>
          </rPr>
          <t>Enter the ending date of the period for which you are seeking payment</t>
        </r>
      </text>
    </comment>
    <comment ref="D56" authorId="0" shapeId="0" xr:uid="{BBCF762E-E905-4A4B-92B6-4C992FF76C4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94024EB-EBDE-4140-A213-95627745048B}">
      <text>
        <r>
          <rPr>
            <sz val="9"/>
            <color indexed="81"/>
            <rFont val="Tahoma"/>
            <family val="2"/>
          </rPr>
          <t>This is the sum of all the new work that was completed during the listed period as well as the materials that were stored</t>
        </r>
      </text>
    </comment>
    <comment ref="M56" authorId="0" shapeId="0" xr:uid="{26CED5D8-AEAB-4B84-B4E5-AB6DBB1DC7A4}">
      <text>
        <r>
          <rPr>
            <sz val="9"/>
            <color indexed="81"/>
            <rFont val="Tahoma"/>
            <family val="2"/>
          </rPr>
          <t>In order to release previously withheld retainage, enter a negative amount in this column.</t>
        </r>
      </text>
    </comment>
    <comment ref="D105" authorId="0" shapeId="0" xr:uid="{62A819B6-80E8-46E5-AEBE-97E262CD6A1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05E1E91-9D6E-4FB9-A86A-FC23BAC8F0C9}">
      <text>
        <r>
          <rPr>
            <sz val="9"/>
            <color indexed="81"/>
            <rFont val="Tahoma"/>
            <family val="2"/>
          </rPr>
          <t>This is the sum of all the new work that was completed during the listed period as well as the materials that were stored</t>
        </r>
      </text>
    </comment>
    <comment ref="M105" authorId="0" shapeId="0" xr:uid="{0D94487F-C1E0-4CB9-92BC-E3090D3217E5}">
      <text>
        <r>
          <rPr>
            <sz val="9"/>
            <color indexed="81"/>
            <rFont val="Tahoma"/>
            <family val="2"/>
          </rPr>
          <t>In order to release previously withheld retainage, enter a negative amount in this column.</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F30FF3E3-AF1E-466E-8427-08E6567CCC13}">
      <text>
        <r>
          <rPr>
            <sz val="9"/>
            <color indexed="81"/>
            <rFont val="Tahoma"/>
            <family val="2"/>
          </rPr>
          <t>Enter the beginning date of the period for which you are seeking payment</t>
        </r>
      </text>
    </comment>
    <comment ref="D17" authorId="0" shapeId="0" xr:uid="{40B7E4E6-7E16-4162-87F9-19E0D098C4D7}">
      <text>
        <r>
          <rPr>
            <sz val="9"/>
            <color indexed="81"/>
            <rFont val="Tahoma"/>
            <family val="2"/>
          </rPr>
          <t>Enter the ending date of the period for which you are seeking payment</t>
        </r>
      </text>
    </comment>
    <comment ref="D56" authorId="0" shapeId="0" xr:uid="{8B3582AE-2BC7-4B5D-905B-CF7CC296DCB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A52A31BA-8743-4178-93CC-C621960C5861}">
      <text>
        <r>
          <rPr>
            <sz val="9"/>
            <color indexed="81"/>
            <rFont val="Tahoma"/>
            <family val="2"/>
          </rPr>
          <t>This is the sum of all the new work that was completed during the listed period as well as the materials that were stored</t>
        </r>
      </text>
    </comment>
    <comment ref="M56" authorId="0" shapeId="0" xr:uid="{C68E26B7-F008-497F-B697-35E6B51E3046}">
      <text>
        <r>
          <rPr>
            <sz val="9"/>
            <color indexed="81"/>
            <rFont val="Tahoma"/>
            <family val="2"/>
          </rPr>
          <t>In order to release previously withheld retainage, enter a negative amount in this column.</t>
        </r>
      </text>
    </comment>
    <comment ref="D105" authorId="0" shapeId="0" xr:uid="{0A7EBE20-F5BF-4015-A056-6A24CCBBAE0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581E9B2-5780-4B66-8E11-D7887017DDDA}">
      <text>
        <r>
          <rPr>
            <sz val="9"/>
            <color indexed="81"/>
            <rFont val="Tahoma"/>
            <family val="2"/>
          </rPr>
          <t>This is the sum of all the new work that was completed during the listed period as well as the materials that were stored</t>
        </r>
      </text>
    </comment>
    <comment ref="M105" authorId="0" shapeId="0" xr:uid="{88E5F007-F87B-404A-AF94-08D5777A17BA}">
      <text>
        <r>
          <rPr>
            <sz val="9"/>
            <color indexed="81"/>
            <rFont val="Tahoma"/>
            <family val="2"/>
          </rPr>
          <t>In order to release previously withheld retainage, enter a negative amount in this column.</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9D74C13F-A6C4-45BB-997E-490F6C03D292}">
      <text>
        <r>
          <rPr>
            <sz val="9"/>
            <color indexed="81"/>
            <rFont val="Tahoma"/>
            <family val="2"/>
          </rPr>
          <t>Enter the beginning date of the period for which you are seeking payment</t>
        </r>
      </text>
    </comment>
    <comment ref="D17" authorId="0" shapeId="0" xr:uid="{DDC9CC4A-6780-4A6D-8B77-B60FBD889C14}">
      <text>
        <r>
          <rPr>
            <sz val="9"/>
            <color indexed="81"/>
            <rFont val="Tahoma"/>
            <family val="2"/>
          </rPr>
          <t>Enter the ending date of the period for which you are seeking payment</t>
        </r>
      </text>
    </comment>
    <comment ref="D56" authorId="0" shapeId="0" xr:uid="{6FD718D1-21D1-49F0-A850-2E481606831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96C0739-5AFC-4BC0-BB68-BAB07BDCE2DA}">
      <text>
        <r>
          <rPr>
            <sz val="9"/>
            <color indexed="81"/>
            <rFont val="Tahoma"/>
            <family val="2"/>
          </rPr>
          <t>This is the sum of all the new work that was completed during the listed period as well as the materials that were stored</t>
        </r>
      </text>
    </comment>
    <comment ref="M56" authorId="0" shapeId="0" xr:uid="{03D252B3-13B1-4785-B831-31E328399932}">
      <text>
        <r>
          <rPr>
            <sz val="9"/>
            <color indexed="81"/>
            <rFont val="Tahoma"/>
            <family val="2"/>
          </rPr>
          <t>In order to release previously withheld retainage, enter a negative amount in this column.</t>
        </r>
      </text>
    </comment>
    <comment ref="D105" authorId="0" shapeId="0" xr:uid="{B763E8D0-3480-4097-B058-E6C6EFAB3874}">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903E437-38FF-4D5D-B0A3-D3FB3E531C9D}">
      <text>
        <r>
          <rPr>
            <sz val="9"/>
            <color indexed="81"/>
            <rFont val="Tahoma"/>
            <family val="2"/>
          </rPr>
          <t>This is the sum of all the new work that was completed during the listed period as well as the materials that were stored</t>
        </r>
      </text>
    </comment>
    <comment ref="M105" authorId="0" shapeId="0" xr:uid="{E3DF358A-0D89-4B90-9A59-A219DD6532EA}">
      <text>
        <r>
          <rPr>
            <sz val="9"/>
            <color indexed="81"/>
            <rFont val="Tahoma"/>
            <family val="2"/>
          </rPr>
          <t>In order to release previously withheld retainage, enter a negative amount in this column.</t>
        </r>
      </text>
    </comment>
  </commentList>
</comments>
</file>

<file path=xl/comments3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EAD0B68-4BA4-4356-8687-0E690535648E}">
      <text>
        <r>
          <rPr>
            <sz val="9"/>
            <color indexed="81"/>
            <rFont val="Tahoma"/>
            <family val="2"/>
          </rPr>
          <t>Enter the beginning date of the period for which you are seeking payment</t>
        </r>
      </text>
    </comment>
    <comment ref="D17" authorId="0" shapeId="0" xr:uid="{5FA22E2C-0743-44AF-85C6-F800B2ABF05E}">
      <text>
        <r>
          <rPr>
            <sz val="9"/>
            <color indexed="81"/>
            <rFont val="Tahoma"/>
            <family val="2"/>
          </rPr>
          <t>Enter the ending date of the period for which you are seeking payment</t>
        </r>
      </text>
    </comment>
    <comment ref="G17" authorId="0" shapeId="0" xr:uid="{D39560DD-6108-48DE-826E-FD5E984F5C9E}">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9353CCB4-AD95-48A9-8423-295F466C7AA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64AB01B-FD53-4134-A230-AD292B9CB431}">
      <text>
        <r>
          <rPr>
            <sz val="9"/>
            <color indexed="81"/>
            <rFont val="Tahoma"/>
            <family val="2"/>
          </rPr>
          <t>This is the sum of all the new work that was completed during the listed period as well as the materials that were stored</t>
        </r>
      </text>
    </comment>
    <comment ref="M56" authorId="0" shapeId="0" xr:uid="{677F86CF-1609-4026-970A-E63857BD874A}">
      <text>
        <r>
          <rPr>
            <sz val="9"/>
            <color indexed="81"/>
            <rFont val="Tahoma"/>
            <family val="2"/>
          </rPr>
          <t>In order to release previously withheld retainage, enter a negative amount in this column.</t>
        </r>
      </text>
    </comment>
    <comment ref="D105" authorId="0" shapeId="0" xr:uid="{9F789041-EF35-488F-8F87-204BEFDE972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28416F8-0BBD-4F7A-A8C7-75EA1A1DC8C7}">
      <text>
        <r>
          <rPr>
            <sz val="9"/>
            <color indexed="81"/>
            <rFont val="Tahoma"/>
            <family val="2"/>
          </rPr>
          <t>This is the sum of all the new work that was completed during the listed period as well as the materials that were stored</t>
        </r>
      </text>
    </comment>
    <comment ref="M105" authorId="0" shapeId="0" xr:uid="{260FB54B-AD2F-419D-9C8E-7851C6F2E24C}">
      <text>
        <r>
          <rPr>
            <sz val="9"/>
            <color indexed="81"/>
            <rFont val="Tahoma"/>
            <family val="2"/>
          </rPr>
          <t>In order to release previously withheld retainage, enter a negative amount in this column.</t>
        </r>
      </text>
    </comment>
  </commentList>
</comments>
</file>

<file path=xl/comments4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DED1E28-72C5-4EC0-B08D-A4811C61FF05}">
      <text>
        <r>
          <rPr>
            <sz val="9"/>
            <color indexed="81"/>
            <rFont val="Tahoma"/>
            <family val="2"/>
          </rPr>
          <t>Enter the beginning date of the period for which you are seeking payment</t>
        </r>
      </text>
    </comment>
    <comment ref="D17" authorId="0" shapeId="0" xr:uid="{7DABEC9F-7C22-4A1A-8F0A-1F72CC1590D9}">
      <text>
        <r>
          <rPr>
            <sz val="9"/>
            <color indexed="81"/>
            <rFont val="Tahoma"/>
            <family val="2"/>
          </rPr>
          <t>Enter the ending date of the period for which you are seeking payment</t>
        </r>
      </text>
    </comment>
    <comment ref="G17" authorId="0" shapeId="0" xr:uid="{620EB604-FF2E-48CD-99B7-1DF9C5DCB34F}">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A088A3A3-299B-4B2D-8F17-8E4D1808C56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386291E-B292-409C-B618-F34D27377351}">
      <text>
        <r>
          <rPr>
            <sz val="9"/>
            <color indexed="81"/>
            <rFont val="Tahoma"/>
            <family val="2"/>
          </rPr>
          <t>This is the sum of all the new work that was completed during the listed period as well as the materials that were stored</t>
        </r>
      </text>
    </comment>
    <comment ref="M56" authorId="0" shapeId="0" xr:uid="{6CDEDFDE-AA22-44F9-91BF-FBFE86CBD3E4}">
      <text>
        <r>
          <rPr>
            <sz val="9"/>
            <color indexed="81"/>
            <rFont val="Tahoma"/>
            <family val="2"/>
          </rPr>
          <t>In order to release previously withheld retainage, enter a negative amount in this column.</t>
        </r>
      </text>
    </comment>
    <comment ref="D105" authorId="0" shapeId="0" xr:uid="{7455C484-407F-4F99-BAE0-5FB2C67F822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029E0967-3C6C-4A46-9177-72B85CAFF322}">
      <text>
        <r>
          <rPr>
            <sz val="9"/>
            <color indexed="81"/>
            <rFont val="Tahoma"/>
            <family val="2"/>
          </rPr>
          <t>This is the sum of all the new work that was completed during the listed period as well as the materials that were stored</t>
        </r>
      </text>
    </comment>
    <comment ref="M105" authorId="0" shapeId="0" xr:uid="{E2C68D08-5901-4D24-96A6-6242A096AC88}">
      <text>
        <r>
          <rPr>
            <sz val="9"/>
            <color indexed="81"/>
            <rFont val="Tahoma"/>
            <family val="2"/>
          </rPr>
          <t>In order to release previously withheld retainage, enter a negative amount in this column.</t>
        </r>
      </text>
    </comment>
  </commentList>
</comments>
</file>

<file path=xl/comments4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0F3E2F5D-36EC-42F7-A0D4-FA4A1226283C}">
      <text>
        <r>
          <rPr>
            <sz val="9"/>
            <color indexed="81"/>
            <rFont val="Tahoma"/>
            <family val="2"/>
          </rPr>
          <t>Enter the beginning date of the period for which you are seeking payment</t>
        </r>
      </text>
    </comment>
    <comment ref="D17" authorId="0" shapeId="0" xr:uid="{0748A018-8169-4882-BD63-9EEB8901C87D}">
      <text>
        <r>
          <rPr>
            <sz val="9"/>
            <color indexed="81"/>
            <rFont val="Tahoma"/>
            <family val="2"/>
          </rPr>
          <t>Enter the ending date of the period for which you are seeking payment</t>
        </r>
      </text>
    </comment>
    <comment ref="G17" authorId="0" shapeId="0" xr:uid="{5DA7FBC5-6C6D-4B6F-B70C-44C52919AF2B}">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090E9335-0970-45F1-A900-ED7D15A09AF5}">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32F622F-29DE-4ECA-AE55-D505A72EC0D1}">
      <text>
        <r>
          <rPr>
            <sz val="9"/>
            <color indexed="81"/>
            <rFont val="Tahoma"/>
            <family val="2"/>
          </rPr>
          <t>This is the sum of all the new work that was completed during the listed period as well as the materials that were stored</t>
        </r>
      </text>
    </comment>
    <comment ref="M56" authorId="0" shapeId="0" xr:uid="{3F516C1C-2447-4AED-BD88-5BF41B9B890D}">
      <text>
        <r>
          <rPr>
            <sz val="9"/>
            <color indexed="81"/>
            <rFont val="Tahoma"/>
            <family val="2"/>
          </rPr>
          <t>In order to release previously withheld retainage, enter a negative amount in this column.</t>
        </r>
      </text>
    </comment>
    <comment ref="D105" authorId="0" shapeId="0" xr:uid="{C0E4FBDB-7F59-476A-99C9-EC6AE34D9560}">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F3F2FFC-9E3F-43D8-A9F4-47B8D8A3FCEC}">
      <text>
        <r>
          <rPr>
            <sz val="9"/>
            <color indexed="81"/>
            <rFont val="Tahoma"/>
            <family val="2"/>
          </rPr>
          <t>This is the sum of all the new work that was completed during the listed period as well as the materials that were stored</t>
        </r>
      </text>
    </comment>
    <comment ref="M105" authorId="0" shapeId="0" xr:uid="{E7529C85-BB52-45A7-A7B2-507974221E07}">
      <text>
        <r>
          <rPr>
            <sz val="9"/>
            <color indexed="81"/>
            <rFont val="Tahoma"/>
            <family val="2"/>
          </rPr>
          <t>In order to release previously withheld retainage, enter a negative amount in this column.</t>
        </r>
      </text>
    </comment>
  </commentList>
</comments>
</file>

<file path=xl/comments4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E5ED528-A623-41A4-89F3-527909F8D7A7}">
      <text>
        <r>
          <rPr>
            <sz val="9"/>
            <color indexed="81"/>
            <rFont val="Tahoma"/>
            <family val="2"/>
          </rPr>
          <t>Enter the beginning date of the period for which you are seeking payment</t>
        </r>
      </text>
    </comment>
    <comment ref="D17" authorId="0" shapeId="0" xr:uid="{10DDABA1-12C5-486A-90EE-867EFC657826}">
      <text>
        <r>
          <rPr>
            <sz val="9"/>
            <color indexed="81"/>
            <rFont val="Tahoma"/>
            <family val="2"/>
          </rPr>
          <t>Enter the ending date of the period for which you are seeking payment</t>
        </r>
      </text>
    </comment>
    <comment ref="G17" authorId="0" shapeId="0" xr:uid="{20090BA1-A6C4-4E90-858D-427E7976171A}">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E68AE51-7D7B-428C-98DA-CE9241A0A6A0}">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374716B-B51A-404F-BFFE-F890AF49F7DC}">
      <text>
        <r>
          <rPr>
            <sz val="9"/>
            <color indexed="81"/>
            <rFont val="Tahoma"/>
            <family val="2"/>
          </rPr>
          <t>This is the sum of all the new work that was completed during the listed period as well as the materials that were stored</t>
        </r>
      </text>
    </comment>
    <comment ref="M56" authorId="0" shapeId="0" xr:uid="{E571A123-58DF-4269-BE99-7645C5F7D784}">
      <text>
        <r>
          <rPr>
            <sz val="9"/>
            <color indexed="81"/>
            <rFont val="Tahoma"/>
            <family val="2"/>
          </rPr>
          <t>In order to release previously withheld retainage, enter a negative amount in this column.</t>
        </r>
      </text>
    </comment>
    <comment ref="D105" authorId="0" shapeId="0" xr:uid="{81CB5576-F5ED-407A-9F17-EE3856163A2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99ACA28-4E4A-4AB0-86FE-8C666E76AD1E}">
      <text>
        <r>
          <rPr>
            <sz val="9"/>
            <color indexed="81"/>
            <rFont val="Tahoma"/>
            <family val="2"/>
          </rPr>
          <t>This is the sum of all the new work that was completed during the listed period as well as the materials that were stored</t>
        </r>
      </text>
    </comment>
    <comment ref="M105" authorId="0" shapeId="0" xr:uid="{EEAA1416-C3EE-4E54-9EE0-B46683B8D63B}">
      <text>
        <r>
          <rPr>
            <sz val="9"/>
            <color indexed="81"/>
            <rFont val="Tahoma"/>
            <family val="2"/>
          </rPr>
          <t>In order to release previously withheld retainage, enter a negative amount in this column.</t>
        </r>
      </text>
    </comment>
  </commentList>
</comments>
</file>

<file path=xl/comments4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7D8DF041-145C-427C-A731-EAD806037BA1}">
      <text>
        <r>
          <rPr>
            <sz val="9"/>
            <color indexed="81"/>
            <rFont val="Tahoma"/>
            <family val="2"/>
          </rPr>
          <t>Enter the beginning date of the period for which you are seeking payment</t>
        </r>
      </text>
    </comment>
    <comment ref="D17" authorId="0" shapeId="0" xr:uid="{C5D51826-016D-464B-A161-9572397613B7}">
      <text>
        <r>
          <rPr>
            <sz val="9"/>
            <color indexed="81"/>
            <rFont val="Tahoma"/>
            <family val="2"/>
          </rPr>
          <t>Enter the ending date of the period for which you are seeking payment</t>
        </r>
      </text>
    </comment>
    <comment ref="G17" authorId="0" shapeId="0" xr:uid="{B2F61DEB-0F56-48D2-9B81-46B434F6D02B}">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A2068C-1DF8-4238-840D-7129B7D218F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18C0C981-44EC-445D-A54D-227D248BD140}">
      <text>
        <r>
          <rPr>
            <sz val="9"/>
            <color indexed="81"/>
            <rFont val="Tahoma"/>
            <family val="2"/>
          </rPr>
          <t>This is the sum of all the new work that was completed during the listed period as well as the materials that were stored</t>
        </r>
      </text>
    </comment>
    <comment ref="M56" authorId="0" shapeId="0" xr:uid="{F23A5D24-9207-442A-B570-6CFD1CC14F71}">
      <text>
        <r>
          <rPr>
            <sz val="9"/>
            <color indexed="81"/>
            <rFont val="Tahoma"/>
            <family val="2"/>
          </rPr>
          <t>In order to release previously withheld retainage, enter a negative amount in this column.</t>
        </r>
      </text>
    </comment>
    <comment ref="D105" authorId="0" shapeId="0" xr:uid="{9FA60CD0-FCEC-46A7-BB27-BACEF2417E0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DBA1F51D-3D4B-42DA-9326-F82F970B9892}">
      <text>
        <r>
          <rPr>
            <sz val="9"/>
            <color indexed="81"/>
            <rFont val="Tahoma"/>
            <family val="2"/>
          </rPr>
          <t>This is the sum of all the new work that was completed during the listed period as well as the materials that were stored</t>
        </r>
      </text>
    </comment>
    <comment ref="M105" authorId="0" shapeId="0" xr:uid="{0B10486E-BA08-4A43-931A-C8BC94DB5FB9}">
      <text>
        <r>
          <rPr>
            <sz val="9"/>
            <color indexed="81"/>
            <rFont val="Tahoma"/>
            <family val="2"/>
          </rPr>
          <t>In order to release previously withheld retainage, enter a negative amount in this column.</t>
        </r>
      </text>
    </comment>
  </commentList>
</comments>
</file>

<file path=xl/comments4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462720F-3358-4EFF-8014-5E3E699863E2}">
      <text>
        <r>
          <rPr>
            <sz val="9"/>
            <color indexed="81"/>
            <rFont val="Tahoma"/>
            <family val="2"/>
          </rPr>
          <t>Enter the beginning date of the period for which you are seeking payment</t>
        </r>
      </text>
    </comment>
    <comment ref="D17" authorId="0" shapeId="0" xr:uid="{5C453077-9737-4948-81DC-314D6F68F2EC}">
      <text>
        <r>
          <rPr>
            <sz val="9"/>
            <color indexed="81"/>
            <rFont val="Tahoma"/>
            <family val="2"/>
          </rPr>
          <t>Enter the ending date of the period for which you are seeking payment</t>
        </r>
      </text>
    </comment>
    <comment ref="G17" authorId="0" shapeId="0" xr:uid="{FEF4A19B-2113-4306-9773-10C1E8FF21F2}">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1A30B4E-DBF6-4B40-AB48-6BF8E43212D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C1B6CBC1-39F4-40B7-8188-B824C24EB349}">
      <text>
        <r>
          <rPr>
            <sz val="9"/>
            <color indexed="81"/>
            <rFont val="Tahoma"/>
            <family val="2"/>
          </rPr>
          <t>This is the sum of all the new work that was completed during the listed period as well as the materials that were stored</t>
        </r>
      </text>
    </comment>
    <comment ref="M56" authorId="0" shapeId="0" xr:uid="{5757823D-425C-47AD-A1A8-6B37FD6FDCFC}">
      <text>
        <r>
          <rPr>
            <sz val="9"/>
            <color indexed="81"/>
            <rFont val="Tahoma"/>
            <family val="2"/>
          </rPr>
          <t>In order to release previously withheld retainage, enter a negative amount in this column.</t>
        </r>
      </text>
    </comment>
    <comment ref="D105" authorId="0" shapeId="0" xr:uid="{A349CD3C-0C9C-4C64-8CEC-2BC4EA2C1E63}">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36142E4-B459-418C-986D-29A9C7FEE309}">
      <text>
        <r>
          <rPr>
            <sz val="9"/>
            <color indexed="81"/>
            <rFont val="Tahoma"/>
            <family val="2"/>
          </rPr>
          <t>This is the sum of all the new work that was completed during the listed period as well as the materials that were stored</t>
        </r>
      </text>
    </comment>
    <comment ref="M105" authorId="0" shapeId="0" xr:uid="{054B5E24-98F4-461E-8BBE-6EF726C1BD63}">
      <text>
        <r>
          <rPr>
            <sz val="9"/>
            <color indexed="81"/>
            <rFont val="Tahoma"/>
            <family val="2"/>
          </rPr>
          <t>In order to release previously withheld retainage, enter a negative amount in this column.</t>
        </r>
      </text>
    </comment>
  </commentList>
</comments>
</file>

<file path=xl/comments4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B51C7074-3EE0-420F-A043-718ABBEACE38}">
      <text>
        <r>
          <rPr>
            <sz val="9"/>
            <color indexed="81"/>
            <rFont val="Tahoma"/>
            <family val="2"/>
          </rPr>
          <t>Enter the beginning date of the period for which you are seeking payment</t>
        </r>
      </text>
    </comment>
    <comment ref="D17" authorId="0" shapeId="0" xr:uid="{A58D6E7A-D71B-417E-9BEB-5FE678DE79D6}">
      <text>
        <r>
          <rPr>
            <sz val="9"/>
            <color indexed="81"/>
            <rFont val="Tahoma"/>
            <family val="2"/>
          </rPr>
          <t>Enter the ending date of the period for which you are seeking payment</t>
        </r>
      </text>
    </comment>
    <comment ref="G17" authorId="0" shapeId="0" xr:uid="{41744787-EE4C-4895-BC8E-730C6EAA7A3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61CF33C-458C-4820-A131-9ABBBF10840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900F7E7-6D98-4CFF-B11C-ABA4126503E9}">
      <text>
        <r>
          <rPr>
            <sz val="9"/>
            <color indexed="81"/>
            <rFont val="Tahoma"/>
            <family val="2"/>
          </rPr>
          <t>This is the sum of all the new work that was completed during the listed period as well as the materials that were stored</t>
        </r>
      </text>
    </comment>
    <comment ref="M56" authorId="0" shapeId="0" xr:uid="{3C7E1ECD-DDF0-4D42-87D6-6E4F8F39C491}">
      <text>
        <r>
          <rPr>
            <sz val="9"/>
            <color indexed="81"/>
            <rFont val="Tahoma"/>
            <family val="2"/>
          </rPr>
          <t>In order to release previously withheld retainage, enter a negative amount in this column.</t>
        </r>
      </text>
    </comment>
    <comment ref="D105" authorId="0" shapeId="0" xr:uid="{4F2F98CC-1988-4F6E-B617-B36BF494376B}">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49474B9-090A-4ED4-BB15-1C6FCEAA66F1}">
      <text>
        <r>
          <rPr>
            <sz val="9"/>
            <color indexed="81"/>
            <rFont val="Tahoma"/>
            <family val="2"/>
          </rPr>
          <t>This is the sum of all the new work that was completed during the listed period as well as the materials that were stored</t>
        </r>
      </text>
    </comment>
    <comment ref="M105" authorId="0" shapeId="0" xr:uid="{B3C9FB32-538B-445E-8E94-D34303FE2388}">
      <text>
        <r>
          <rPr>
            <sz val="9"/>
            <color indexed="81"/>
            <rFont val="Tahoma"/>
            <family val="2"/>
          </rPr>
          <t>In order to release previously withheld retainage, enter a negative amount in this column.</t>
        </r>
      </text>
    </comment>
  </commentList>
</comments>
</file>

<file path=xl/comments4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3DEE61DE-C4F3-43A6-8067-8C0D709FB10F}">
      <text>
        <r>
          <rPr>
            <sz val="9"/>
            <color indexed="81"/>
            <rFont val="Tahoma"/>
            <family val="2"/>
          </rPr>
          <t>Enter the beginning date of the period for which you are seeking payment</t>
        </r>
      </text>
    </comment>
    <comment ref="D17" authorId="0" shapeId="0" xr:uid="{624A7183-630D-4BB6-B476-F62FFB96DB2E}">
      <text>
        <r>
          <rPr>
            <sz val="9"/>
            <color indexed="81"/>
            <rFont val="Tahoma"/>
            <family val="2"/>
          </rPr>
          <t>Enter the ending date of the period for which you are seeking payment</t>
        </r>
      </text>
    </comment>
    <comment ref="G17" authorId="0" shapeId="0" xr:uid="{AEAA9C3A-0FFC-4E41-BFC3-E1E759353F0F}">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9FD25843-23F6-4490-9C3A-89C1C5C424B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E1593B0C-9941-445C-B9C8-03BC5735F474}">
      <text>
        <r>
          <rPr>
            <sz val="9"/>
            <color indexed="81"/>
            <rFont val="Tahoma"/>
            <family val="2"/>
          </rPr>
          <t>This is the sum of all the new work that was completed during the listed period as well as the materials that were stored</t>
        </r>
      </text>
    </comment>
    <comment ref="M56" authorId="0" shapeId="0" xr:uid="{92F41484-7E05-47D6-8254-FC705400C79C}">
      <text>
        <r>
          <rPr>
            <sz val="9"/>
            <color indexed="81"/>
            <rFont val="Tahoma"/>
            <family val="2"/>
          </rPr>
          <t>In order to release previously withheld retainage, enter a negative amount in this column.</t>
        </r>
      </text>
    </comment>
    <comment ref="D105" authorId="0" shapeId="0" xr:uid="{F87FE4C7-2F06-4189-BEDA-0935FE0C545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BF1479DD-3A2F-4703-83F2-B38D77A2E3DE}">
      <text>
        <r>
          <rPr>
            <sz val="9"/>
            <color indexed="81"/>
            <rFont val="Tahoma"/>
            <family val="2"/>
          </rPr>
          <t>This is the sum of all the new work that was completed during the listed period as well as the materials that were stored</t>
        </r>
      </text>
    </comment>
    <comment ref="M105" authorId="0" shapeId="0" xr:uid="{6B1D294F-85F4-48DE-BDC9-52ADFB5EA83D}">
      <text>
        <r>
          <rPr>
            <sz val="9"/>
            <color indexed="81"/>
            <rFont val="Tahoma"/>
            <family val="2"/>
          </rPr>
          <t>In order to release previously withheld retainage, enter a negative amount in this column.</t>
        </r>
      </text>
    </comment>
  </commentList>
</comments>
</file>

<file path=xl/comments4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73EE7E-F604-4BAB-90A8-A9E2A12C6277}">
      <text>
        <r>
          <rPr>
            <sz val="9"/>
            <color indexed="81"/>
            <rFont val="Tahoma"/>
            <family val="2"/>
          </rPr>
          <t>Enter the beginning date of the period for which you are seeking payment</t>
        </r>
      </text>
    </comment>
    <comment ref="D17" authorId="0" shapeId="0" xr:uid="{7592EA88-900B-4BEB-B954-59A7BD569A79}">
      <text>
        <r>
          <rPr>
            <sz val="9"/>
            <color indexed="81"/>
            <rFont val="Tahoma"/>
            <family val="2"/>
          </rPr>
          <t>Enter the ending date of the period for which you are seeking payment</t>
        </r>
      </text>
    </comment>
    <comment ref="G17" authorId="0" shapeId="0" xr:uid="{70FA5915-3F67-4EA8-A38C-6FBFD700BE30}">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2122A2DE-A0E6-4EAD-99D3-224FA16F93D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B2F0436-C2EB-4D72-8916-42F6E2FC486C}">
      <text>
        <r>
          <rPr>
            <sz val="9"/>
            <color indexed="81"/>
            <rFont val="Tahoma"/>
            <family val="2"/>
          </rPr>
          <t>This is the sum of all the new work that was completed during the listed period as well as the materials that were stored</t>
        </r>
      </text>
    </comment>
    <comment ref="M56" authorId="0" shapeId="0" xr:uid="{D4406A73-376F-4B2F-89B8-EE9B94448020}">
      <text>
        <r>
          <rPr>
            <sz val="9"/>
            <color indexed="81"/>
            <rFont val="Tahoma"/>
            <family val="2"/>
          </rPr>
          <t>In order to release previously withheld retainage, enter a negative amount in this column.</t>
        </r>
      </text>
    </comment>
    <comment ref="D105" authorId="0" shapeId="0" xr:uid="{9A2E8F89-32A0-4A41-A301-C6472F5917FF}">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5A8A417-2A28-4E71-A3A2-D84579A32F58}">
      <text>
        <r>
          <rPr>
            <sz val="9"/>
            <color indexed="81"/>
            <rFont val="Tahoma"/>
            <family val="2"/>
          </rPr>
          <t>This is the sum of all the new work that was completed during the listed period as well as the materials that were stored</t>
        </r>
      </text>
    </comment>
    <comment ref="M105" authorId="0" shapeId="0" xr:uid="{30A96234-3E6F-482F-B409-8EA1B8E2C5E2}">
      <text>
        <r>
          <rPr>
            <sz val="9"/>
            <color indexed="81"/>
            <rFont val="Tahoma"/>
            <family val="2"/>
          </rPr>
          <t>In order to release previously withheld retainage, enter a negative amount in this column.</t>
        </r>
      </text>
    </comment>
  </commentList>
</comments>
</file>

<file path=xl/comments4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FF7ECBA-0E3D-4269-A0EB-4D84D52FF82E}">
      <text>
        <r>
          <rPr>
            <sz val="9"/>
            <color indexed="81"/>
            <rFont val="Tahoma"/>
            <family val="2"/>
          </rPr>
          <t>Enter the beginning date of the period for which you are seeking payment</t>
        </r>
      </text>
    </comment>
    <comment ref="D17" authorId="0" shapeId="0" xr:uid="{58D1A092-8616-42E1-A14B-3572E7B474E2}">
      <text>
        <r>
          <rPr>
            <sz val="9"/>
            <color indexed="81"/>
            <rFont val="Tahoma"/>
            <family val="2"/>
          </rPr>
          <t>Enter the ending date of the period for which you are seeking payment</t>
        </r>
      </text>
    </comment>
    <comment ref="G17" authorId="0" shapeId="0" xr:uid="{CCB07919-A791-46B6-AFB2-09FD3148305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25FB2083-99CE-452A-AAA4-EEA676222C1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E124DB0-B08B-4070-993A-F5E9CE30B812}">
      <text>
        <r>
          <rPr>
            <sz val="9"/>
            <color indexed="81"/>
            <rFont val="Tahoma"/>
            <family val="2"/>
          </rPr>
          <t>This is the sum of all the new work that was completed during the listed period as well as the materials that were stored</t>
        </r>
      </text>
    </comment>
    <comment ref="M56" authorId="0" shapeId="0" xr:uid="{5913610E-B6CC-4994-B919-52CB80F1419D}">
      <text>
        <r>
          <rPr>
            <sz val="9"/>
            <color indexed="81"/>
            <rFont val="Tahoma"/>
            <family val="2"/>
          </rPr>
          <t>In order to release previously withheld retainage, enter a negative amount in this column.</t>
        </r>
      </text>
    </comment>
    <comment ref="D105" authorId="0" shapeId="0" xr:uid="{3649FDF9-3F62-400C-B9F2-D05B898FE285}">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78E87A8-C7A4-4621-A9E3-D372A293D3B7}">
      <text>
        <r>
          <rPr>
            <sz val="9"/>
            <color indexed="81"/>
            <rFont val="Tahoma"/>
            <family val="2"/>
          </rPr>
          <t>This is the sum of all the new work that was completed during the listed period as well as the materials that were stored</t>
        </r>
      </text>
    </comment>
    <comment ref="M105" authorId="0" shapeId="0" xr:uid="{8831B089-CC58-4BB2-8A2D-57A847C11702}">
      <text>
        <r>
          <rPr>
            <sz val="9"/>
            <color indexed="81"/>
            <rFont val="Tahoma"/>
            <family val="2"/>
          </rPr>
          <t>In order to release previously withheld retainage, enter a negative amount in this column.</t>
        </r>
      </text>
    </comment>
  </commentList>
</comments>
</file>

<file path=xl/comments4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89EC93F3-9395-40C4-A255-BA66F0777CF2}">
      <text>
        <r>
          <rPr>
            <sz val="9"/>
            <color indexed="81"/>
            <rFont val="Tahoma"/>
            <family val="2"/>
          </rPr>
          <t>Enter the beginning date of the period for which you are seeking payment</t>
        </r>
      </text>
    </comment>
    <comment ref="D17" authorId="0" shapeId="0" xr:uid="{6F7585EE-BA87-4F47-AD05-EADAA28361EE}">
      <text>
        <r>
          <rPr>
            <sz val="9"/>
            <color indexed="81"/>
            <rFont val="Tahoma"/>
            <family val="2"/>
          </rPr>
          <t>Enter the ending date of the period for which you are seeking payment</t>
        </r>
      </text>
    </comment>
    <comment ref="G17" authorId="0" shapeId="0" xr:uid="{0F238257-7FAA-4037-8754-636022A1F40E}">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B04AACA5-0B88-42E3-98C9-CF8BA5CBA372}">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435FB441-D21C-456A-808E-1801DDE9CF75}">
      <text>
        <r>
          <rPr>
            <sz val="9"/>
            <color indexed="81"/>
            <rFont val="Tahoma"/>
            <family val="2"/>
          </rPr>
          <t>This is the sum of all the new work that was completed during the listed period as well as the materials that were stored</t>
        </r>
      </text>
    </comment>
    <comment ref="M56" authorId="0" shapeId="0" xr:uid="{9CAF69A9-9675-4D7F-A564-7AAACC28CDA8}">
      <text>
        <r>
          <rPr>
            <sz val="9"/>
            <color indexed="81"/>
            <rFont val="Tahoma"/>
            <family val="2"/>
          </rPr>
          <t>In order to release previously withheld retainage, enter a negative amount in this column.</t>
        </r>
      </text>
    </comment>
    <comment ref="D105" authorId="0" shapeId="0" xr:uid="{52E567AC-1C1F-4E80-B5D7-E36BE0435A8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D7B07CC-B68F-412F-A6A5-BF5F694A45E1}">
      <text>
        <r>
          <rPr>
            <sz val="9"/>
            <color indexed="81"/>
            <rFont val="Tahoma"/>
            <family val="2"/>
          </rPr>
          <t>This is the sum of all the new work that was completed during the listed period as well as the materials that were stored</t>
        </r>
      </text>
    </comment>
    <comment ref="M105" authorId="0" shapeId="0" xr:uid="{5CE17238-3A03-4B8D-97B5-B4E09B57DA73}">
      <text>
        <r>
          <rPr>
            <sz val="9"/>
            <color indexed="81"/>
            <rFont val="Tahoma"/>
            <family val="2"/>
          </rPr>
          <t>In order to release previously withheld retainage, enter a negative amount in this column.</t>
        </r>
      </text>
    </comment>
  </commentList>
</comments>
</file>

<file path=xl/comments5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43B6036C-2F62-473C-9BEF-D6936FFA4388}">
      <text>
        <r>
          <rPr>
            <sz val="9"/>
            <color indexed="81"/>
            <rFont val="Tahoma"/>
            <family val="2"/>
          </rPr>
          <t>Enter the beginning date of the period for which you are seeking payment</t>
        </r>
      </text>
    </comment>
    <comment ref="D17" authorId="0" shapeId="0" xr:uid="{AD00FD7E-6DF1-46BA-AAC8-2731631E71B1}">
      <text>
        <r>
          <rPr>
            <sz val="9"/>
            <color indexed="81"/>
            <rFont val="Tahoma"/>
            <family val="2"/>
          </rPr>
          <t>Enter the ending date of the period for which you are seeking payment</t>
        </r>
      </text>
    </comment>
    <comment ref="G17" authorId="0" shapeId="0" xr:uid="{E5A233D3-7215-4D09-96D1-DCC887B2A8D1}">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148F3EA-8FCB-42D3-A687-2E09CF3A760C}">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9C9CC928-2791-43DD-8C76-95E25BC5A7EC}">
      <text>
        <r>
          <rPr>
            <sz val="9"/>
            <color indexed="81"/>
            <rFont val="Tahoma"/>
            <family val="2"/>
          </rPr>
          <t>This is the sum of all the new work that was completed during the listed period as well as the materials that were stored</t>
        </r>
      </text>
    </comment>
    <comment ref="M56" authorId="0" shapeId="0" xr:uid="{C1F93A62-5892-47B2-93A8-8BFCEBAF365F}">
      <text>
        <r>
          <rPr>
            <sz val="9"/>
            <color indexed="81"/>
            <rFont val="Tahoma"/>
            <family val="2"/>
          </rPr>
          <t>In order to release previously withheld retainage, enter a negative amount in this column.</t>
        </r>
      </text>
    </comment>
    <comment ref="D105" authorId="0" shapeId="0" xr:uid="{97F0933D-44C0-41F1-947F-278A9E6ADFE3}">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814FCE20-8F4B-447E-B955-7852749BCEDA}">
      <text>
        <r>
          <rPr>
            <sz val="9"/>
            <color indexed="81"/>
            <rFont val="Tahoma"/>
            <family val="2"/>
          </rPr>
          <t>This is the sum of all the new work that was completed during the listed period as well as the materials that were stored</t>
        </r>
      </text>
    </comment>
    <comment ref="M105" authorId="0" shapeId="0" xr:uid="{488BF814-CE95-4D7C-9757-4FCE3F23571E}">
      <text>
        <r>
          <rPr>
            <sz val="9"/>
            <color indexed="81"/>
            <rFont val="Tahoma"/>
            <family val="2"/>
          </rPr>
          <t>In order to release previously withheld retainage, enter a negative amount in this column.</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E1EE490-DE3E-4D8E-A0A3-4189A491F9BB}">
      <text>
        <r>
          <rPr>
            <sz val="9"/>
            <color indexed="81"/>
            <rFont val="Tahoma"/>
            <family val="2"/>
          </rPr>
          <t>Enter the beginning date of the period for which you are seeking payment</t>
        </r>
      </text>
    </comment>
    <comment ref="D17" authorId="0" shapeId="0" xr:uid="{17FCD371-F53F-4EC1-A91D-B0FE746FE607}">
      <text>
        <r>
          <rPr>
            <sz val="9"/>
            <color indexed="81"/>
            <rFont val="Tahoma"/>
            <family val="2"/>
          </rPr>
          <t>Enter the ending date of the period for which you are seeking payment</t>
        </r>
      </text>
    </comment>
    <comment ref="G17" authorId="0" shapeId="0" xr:uid="{93536CE0-AD55-47E5-978F-E5A88037D93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8F27B90-F8D1-4858-B2D7-9D014CAC462D}">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780A7B6-2D1A-45D8-9101-DC062A29959A}">
      <text>
        <r>
          <rPr>
            <sz val="9"/>
            <color indexed="81"/>
            <rFont val="Tahoma"/>
            <family val="2"/>
          </rPr>
          <t>This is the sum of all the new work that was completed during the listed period as well as the materials that were stored</t>
        </r>
      </text>
    </comment>
    <comment ref="M56" authorId="0" shapeId="0" xr:uid="{6D96B3F1-6443-4134-B49E-8D74EC10077F}">
      <text>
        <r>
          <rPr>
            <sz val="9"/>
            <color indexed="81"/>
            <rFont val="Tahoma"/>
            <family val="2"/>
          </rPr>
          <t>In order to release previously withheld retainage, enter a negative amount in this column.</t>
        </r>
      </text>
    </comment>
    <comment ref="D105" authorId="0" shapeId="0" xr:uid="{C2A4CD69-2F01-4C50-8B59-F626D8102C72}">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7AD0DB8A-E232-4D62-849C-C9661EA0CE1B}">
      <text>
        <r>
          <rPr>
            <sz val="9"/>
            <color indexed="81"/>
            <rFont val="Tahoma"/>
            <family val="2"/>
          </rPr>
          <t>This is the sum of all the new work that was completed during the listed period as well as the materials that were stored</t>
        </r>
      </text>
    </comment>
    <comment ref="M105" authorId="0" shapeId="0" xr:uid="{82607213-72F3-4313-A6C7-269F07EC4F63}">
      <text>
        <r>
          <rPr>
            <sz val="9"/>
            <color indexed="81"/>
            <rFont val="Tahoma"/>
            <family val="2"/>
          </rPr>
          <t>In order to release previously withheld retainage, enter a negative amount in this column.</t>
        </r>
      </text>
    </comment>
  </commentList>
</comments>
</file>

<file path=xl/comments52.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1537D50-D353-4A03-8F21-92FB5E8202BD}">
      <text>
        <r>
          <rPr>
            <sz val="9"/>
            <color indexed="81"/>
            <rFont val="Tahoma"/>
            <family val="2"/>
          </rPr>
          <t>Enter the beginning date of the period for which you are seeking payment</t>
        </r>
      </text>
    </comment>
    <comment ref="D17" authorId="0" shapeId="0" xr:uid="{ADA0908F-2E03-4967-B554-B526DD01299E}">
      <text>
        <r>
          <rPr>
            <sz val="9"/>
            <color indexed="81"/>
            <rFont val="Tahoma"/>
            <family val="2"/>
          </rPr>
          <t>Enter the ending date of the period for which you are seeking payment</t>
        </r>
      </text>
    </comment>
    <comment ref="G17" authorId="0" shapeId="0" xr:uid="{C4289AF9-12D4-480E-A189-61D0FFEF1725}">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C1B17F75-482B-4B3D-83EC-6CB5D7C3A7D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F2AD83D-3A80-46D5-AF58-7416182809FB}">
      <text>
        <r>
          <rPr>
            <sz val="9"/>
            <color indexed="81"/>
            <rFont val="Tahoma"/>
            <family val="2"/>
          </rPr>
          <t>This is the sum of all the new work that was completed during the listed period as well as the materials that were stored</t>
        </r>
      </text>
    </comment>
    <comment ref="M56" authorId="0" shapeId="0" xr:uid="{44EEEADD-2DFC-4C11-933E-F683D232BB44}">
      <text>
        <r>
          <rPr>
            <sz val="9"/>
            <color indexed="81"/>
            <rFont val="Tahoma"/>
            <family val="2"/>
          </rPr>
          <t>In order to release previously withheld retainage, enter a negative amount in this column.</t>
        </r>
      </text>
    </comment>
    <comment ref="D105" authorId="0" shapeId="0" xr:uid="{17BB6F70-165D-4B59-A662-9363F82AE3F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F80DCE01-D82C-4E3B-A4AE-AE19743A97F4}">
      <text>
        <r>
          <rPr>
            <sz val="9"/>
            <color indexed="81"/>
            <rFont val="Tahoma"/>
            <family val="2"/>
          </rPr>
          <t>This is the sum of all the new work that was completed during the listed period as well as the materials that were stored</t>
        </r>
      </text>
    </comment>
    <comment ref="M105" authorId="0" shapeId="0" xr:uid="{852E00FD-C433-493A-A1C3-DD2BCC29A09C}">
      <text>
        <r>
          <rPr>
            <sz val="9"/>
            <color indexed="81"/>
            <rFont val="Tahoma"/>
            <family val="2"/>
          </rPr>
          <t>In order to release previously withheld retainage, enter a negative amount in this column.</t>
        </r>
      </text>
    </comment>
  </commentList>
</comments>
</file>

<file path=xl/comments53.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2F168A41-8C98-45C8-AC2D-2B7BC3200C94}">
      <text>
        <r>
          <rPr>
            <sz val="9"/>
            <color indexed="81"/>
            <rFont val="Tahoma"/>
            <family val="2"/>
          </rPr>
          <t>Enter the beginning date of the period for which you are seeking payment</t>
        </r>
      </text>
    </comment>
    <comment ref="D17" authorId="0" shapeId="0" xr:uid="{51AB0F73-A688-4CAF-A4E6-A810A01173E5}">
      <text>
        <r>
          <rPr>
            <sz val="9"/>
            <color indexed="81"/>
            <rFont val="Tahoma"/>
            <family val="2"/>
          </rPr>
          <t>Enter the ending date of the period for which you are seeking payment</t>
        </r>
      </text>
    </comment>
    <comment ref="G17" authorId="0" shapeId="0" xr:uid="{E589511E-5A4E-4DB2-9043-DA8F986DEDF9}">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4411BB48-1F09-4E56-84A7-C55FF1EC0E03}">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D4A8FFA7-FA7C-4CE7-9E5B-22520DEA4A3C}">
      <text>
        <r>
          <rPr>
            <sz val="9"/>
            <color indexed="81"/>
            <rFont val="Tahoma"/>
            <family val="2"/>
          </rPr>
          <t>This is the sum of all the new work that was completed during the listed period as well as the materials that were stored</t>
        </r>
      </text>
    </comment>
    <comment ref="M56" authorId="0" shapeId="0" xr:uid="{8DF3909A-EA62-4DB5-A9EF-F6401B33F8A4}">
      <text>
        <r>
          <rPr>
            <sz val="9"/>
            <color indexed="81"/>
            <rFont val="Tahoma"/>
            <family val="2"/>
          </rPr>
          <t>In order to release previously withheld retainage, enter a negative amount in this column.</t>
        </r>
      </text>
    </comment>
    <comment ref="D105" authorId="0" shapeId="0" xr:uid="{7A659A35-9FA8-42F0-AF53-6B1EC314F61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AF9004D-FCC7-46AB-8C9E-841A021B29F0}">
      <text>
        <r>
          <rPr>
            <sz val="9"/>
            <color indexed="81"/>
            <rFont val="Tahoma"/>
            <family val="2"/>
          </rPr>
          <t>This is the sum of all the new work that was completed during the listed period as well as the materials that were stored</t>
        </r>
      </text>
    </comment>
    <comment ref="M105" authorId="0" shapeId="0" xr:uid="{AF3A94F0-C774-473B-8D1D-6B3FEC9C70AE}">
      <text>
        <r>
          <rPr>
            <sz val="9"/>
            <color indexed="81"/>
            <rFont val="Tahoma"/>
            <family val="2"/>
          </rPr>
          <t>In order to release previously withheld retainage, enter a negative amount in this column.</t>
        </r>
      </text>
    </comment>
  </commentList>
</comments>
</file>

<file path=xl/comments54.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E8C57547-44DC-4D0F-A208-2CCE4D95A1D7}">
      <text>
        <r>
          <rPr>
            <sz val="9"/>
            <color indexed="81"/>
            <rFont val="Tahoma"/>
            <family val="2"/>
          </rPr>
          <t>Enter the beginning date of the period for which you are seeking payment</t>
        </r>
      </text>
    </comment>
    <comment ref="D17" authorId="0" shapeId="0" xr:uid="{2BB5D481-CD85-4955-9CBE-D39D1FF6A812}">
      <text>
        <r>
          <rPr>
            <sz val="9"/>
            <color indexed="81"/>
            <rFont val="Tahoma"/>
            <family val="2"/>
          </rPr>
          <t>Enter the ending date of the period for which you are seeking payment</t>
        </r>
      </text>
    </comment>
    <comment ref="G17" authorId="0" shapeId="0" xr:uid="{FE23648D-C956-43E6-B5EF-6AC23EE1715A}">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E2BFF688-BA54-48AB-A0E4-09E2DAF34301}">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B346D739-3504-4144-95F7-6115FAAA3832}">
      <text>
        <r>
          <rPr>
            <sz val="9"/>
            <color indexed="81"/>
            <rFont val="Tahoma"/>
            <family val="2"/>
          </rPr>
          <t>This is the sum of all the new work that was completed during the listed period as well as the materials that were stored</t>
        </r>
      </text>
    </comment>
    <comment ref="M56" authorId="0" shapeId="0" xr:uid="{16A32B98-38F7-417B-A92B-A699950BBA12}">
      <text>
        <r>
          <rPr>
            <sz val="9"/>
            <color indexed="81"/>
            <rFont val="Tahoma"/>
            <family val="2"/>
          </rPr>
          <t>In order to release previously withheld retainage, enter a negative amount in this column.</t>
        </r>
      </text>
    </comment>
    <comment ref="D105" authorId="0" shapeId="0" xr:uid="{A40FC80D-0487-4E09-AD03-7F00C38A1186}">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6BC0623E-207B-469F-9178-FA24E03C98C6}">
      <text>
        <r>
          <rPr>
            <sz val="9"/>
            <color indexed="81"/>
            <rFont val="Tahoma"/>
            <family val="2"/>
          </rPr>
          <t>This is the sum of all the new work that was completed during the listed period as well as the materials that were stored</t>
        </r>
      </text>
    </comment>
    <comment ref="M105" authorId="0" shapeId="0" xr:uid="{FE746181-0387-47E9-B263-48F4473EF3D5}">
      <text>
        <r>
          <rPr>
            <sz val="9"/>
            <color indexed="81"/>
            <rFont val="Tahoma"/>
            <family val="2"/>
          </rPr>
          <t>In order to release previously withheld retainage, enter a negative amount in this column.</t>
        </r>
      </text>
    </comment>
  </commentList>
</comments>
</file>

<file path=xl/comments55.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9E05B67-30BA-42EF-B94C-5D43D7E96435}">
      <text>
        <r>
          <rPr>
            <sz val="9"/>
            <color indexed="81"/>
            <rFont val="Tahoma"/>
            <family val="2"/>
          </rPr>
          <t>Enter the beginning date of the period for which you are seeking payment</t>
        </r>
      </text>
    </comment>
    <comment ref="D17" authorId="0" shapeId="0" xr:uid="{857675DE-80AD-4D94-9A6E-13AE3E42BD47}">
      <text>
        <r>
          <rPr>
            <sz val="9"/>
            <color indexed="81"/>
            <rFont val="Tahoma"/>
            <family val="2"/>
          </rPr>
          <t>Enter the ending date of the period for which you are seeking payment</t>
        </r>
      </text>
    </comment>
    <comment ref="G17" authorId="0" shapeId="0" xr:uid="{20BD536D-945D-4126-8F5A-A35DAD9D077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71DA7A56-0200-40CC-8F7B-8754B5EE5994}">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F5868E43-7DF4-4C4C-B27D-8B75BA7FE057}">
      <text>
        <r>
          <rPr>
            <sz val="9"/>
            <color indexed="81"/>
            <rFont val="Tahoma"/>
            <family val="2"/>
          </rPr>
          <t>This is the sum of all the new work that was completed during the listed period as well as the materials that were stored</t>
        </r>
      </text>
    </comment>
    <comment ref="M56" authorId="0" shapeId="0" xr:uid="{C0E24D9B-6C0F-43D2-84C8-D71BAB785F7D}">
      <text>
        <r>
          <rPr>
            <sz val="9"/>
            <color indexed="81"/>
            <rFont val="Tahoma"/>
            <family val="2"/>
          </rPr>
          <t>In order to release previously withheld retainage, enter a negative amount in this column.</t>
        </r>
      </text>
    </comment>
    <comment ref="D105" authorId="0" shapeId="0" xr:uid="{2FD9B444-8007-42BC-A162-B5B7AE7BADC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D4D855C-CB6C-4C34-9B6B-949296C2E9F8}">
      <text>
        <r>
          <rPr>
            <sz val="9"/>
            <color indexed="81"/>
            <rFont val="Tahoma"/>
            <family val="2"/>
          </rPr>
          <t>This is the sum of all the new work that was completed during the listed period as well as the materials that were stored</t>
        </r>
      </text>
    </comment>
    <comment ref="M105" authorId="0" shapeId="0" xr:uid="{D9E19430-7FC2-40CF-9F0F-2C191F7B9929}">
      <text>
        <r>
          <rPr>
            <sz val="9"/>
            <color indexed="81"/>
            <rFont val="Tahoma"/>
            <family val="2"/>
          </rPr>
          <t>In order to release previously withheld retainage, enter a negative amount in this column.</t>
        </r>
      </text>
    </comment>
  </commentList>
</comments>
</file>

<file path=xl/comments56.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98A2CA7-8A02-43CE-8942-C433BAA446DD}">
      <text>
        <r>
          <rPr>
            <sz val="9"/>
            <color indexed="81"/>
            <rFont val="Tahoma"/>
            <family val="2"/>
          </rPr>
          <t>Enter the beginning date of the period for which you are seeking payment</t>
        </r>
      </text>
    </comment>
    <comment ref="D17" authorId="0" shapeId="0" xr:uid="{EE1D0225-A94A-4A7E-86BE-B1A194A1AAEA}">
      <text>
        <r>
          <rPr>
            <sz val="9"/>
            <color indexed="81"/>
            <rFont val="Tahoma"/>
            <family val="2"/>
          </rPr>
          <t>Enter the ending date of the period for which you are seeking payment</t>
        </r>
      </text>
    </comment>
    <comment ref="G17" authorId="0" shapeId="0" xr:uid="{51F9CE9C-638F-4885-8813-CE556D3CA096}">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AC3484C-527C-4AE2-B59B-D8CB6CFEE1CC}">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8E94B84-A5CD-416C-BBF1-E91165AFF94B}">
      <text>
        <r>
          <rPr>
            <sz val="9"/>
            <color indexed="81"/>
            <rFont val="Tahoma"/>
            <family val="2"/>
          </rPr>
          <t>This is the sum of all the new work that was completed during the listed period as well as the materials that were stored</t>
        </r>
      </text>
    </comment>
    <comment ref="M56" authorId="0" shapeId="0" xr:uid="{3F2499B6-2016-47B7-9B67-98020D214D02}">
      <text>
        <r>
          <rPr>
            <sz val="9"/>
            <color indexed="81"/>
            <rFont val="Tahoma"/>
            <family val="2"/>
          </rPr>
          <t>In order to release previously withheld retainage, enter a negative amount in this column.</t>
        </r>
      </text>
    </comment>
    <comment ref="D105" authorId="0" shapeId="0" xr:uid="{48EE3E56-5F58-4749-9DFD-239164F244A9}">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A5168F5B-F1E6-4893-852A-ED7C388790B3}">
      <text>
        <r>
          <rPr>
            <sz val="9"/>
            <color indexed="81"/>
            <rFont val="Tahoma"/>
            <family val="2"/>
          </rPr>
          <t>This is the sum of all the new work that was completed during the listed period as well as the materials that were stored</t>
        </r>
      </text>
    </comment>
    <comment ref="M105" authorId="0" shapeId="0" xr:uid="{692A4028-49C9-41B0-B20C-1CEF647FDE63}">
      <text>
        <r>
          <rPr>
            <sz val="9"/>
            <color indexed="81"/>
            <rFont val="Tahoma"/>
            <family val="2"/>
          </rPr>
          <t>In order to release previously withheld retainage, enter a negative amount in this column.</t>
        </r>
      </text>
    </comment>
  </commentList>
</comments>
</file>

<file path=xl/comments57.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69055FD1-10B7-4E70-915A-EC94A2AC762D}">
      <text>
        <r>
          <rPr>
            <sz val="9"/>
            <color indexed="81"/>
            <rFont val="Tahoma"/>
            <family val="2"/>
          </rPr>
          <t>Enter the beginning date of the period for which you are seeking payment</t>
        </r>
      </text>
    </comment>
    <comment ref="D17" authorId="0" shapeId="0" xr:uid="{3612F274-CDE4-491C-A292-69DB5EA481BC}">
      <text>
        <r>
          <rPr>
            <sz val="9"/>
            <color indexed="81"/>
            <rFont val="Tahoma"/>
            <family val="2"/>
          </rPr>
          <t>Enter the ending date of the period for which you are seeking payment</t>
        </r>
      </text>
    </comment>
    <comment ref="G17" authorId="0" shapeId="0" xr:uid="{889BAC9D-B765-409D-95C8-1F4D10DD7AA8}">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534B6D23-6041-4BC6-AE3B-301CC1E0DDB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39EDEBE0-5857-4D34-9CC5-6FDA4DE1AFFD}">
      <text>
        <r>
          <rPr>
            <sz val="9"/>
            <color indexed="81"/>
            <rFont val="Tahoma"/>
            <family val="2"/>
          </rPr>
          <t>This is the sum of all the new work that was completed during the listed period as well as the materials that were stored</t>
        </r>
      </text>
    </comment>
    <comment ref="M56" authorId="0" shapeId="0" xr:uid="{CDD5369F-F6ED-4706-8F49-3BE8B18489D3}">
      <text>
        <r>
          <rPr>
            <sz val="9"/>
            <color indexed="81"/>
            <rFont val="Tahoma"/>
            <family val="2"/>
          </rPr>
          <t>In order to release previously withheld retainage, enter a negative amount in this column.</t>
        </r>
      </text>
    </comment>
    <comment ref="D105" authorId="0" shapeId="0" xr:uid="{41E458D8-8624-4561-8886-2FD337E74E7D}">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584B2C60-094A-4301-A184-BD61DF3F9550}">
      <text>
        <r>
          <rPr>
            <sz val="9"/>
            <color indexed="81"/>
            <rFont val="Tahoma"/>
            <family val="2"/>
          </rPr>
          <t>This is the sum of all the new work that was completed during the listed period as well as the materials that were stored</t>
        </r>
      </text>
    </comment>
    <comment ref="M105" authorId="0" shapeId="0" xr:uid="{A64DD200-A784-4B9A-B1AF-1E57D8400037}">
      <text>
        <r>
          <rPr>
            <sz val="9"/>
            <color indexed="81"/>
            <rFont val="Tahoma"/>
            <family val="2"/>
          </rPr>
          <t>In order to release previously withheld retainage, enter a negative amount in this column.</t>
        </r>
      </text>
    </comment>
  </commentList>
</comments>
</file>

<file path=xl/comments58.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A2EA066B-89C0-485A-A8E5-A01FFF8B88EB}">
      <text>
        <r>
          <rPr>
            <sz val="9"/>
            <color indexed="81"/>
            <rFont val="Tahoma"/>
            <family val="2"/>
          </rPr>
          <t>Enter the beginning date of the period for which you are seeking payment</t>
        </r>
      </text>
    </comment>
    <comment ref="D17" authorId="0" shapeId="0" xr:uid="{DCC4A35B-6A1F-4AD1-B93C-39B4B90896E8}">
      <text>
        <r>
          <rPr>
            <sz val="9"/>
            <color indexed="81"/>
            <rFont val="Tahoma"/>
            <family val="2"/>
          </rPr>
          <t>Enter the ending date of the period for which you are seeking payment</t>
        </r>
      </text>
    </comment>
    <comment ref="G17" authorId="0" shapeId="0" xr:uid="{F4F784CD-0616-4B9A-AB31-7105B319F2DD}">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01764800-A07A-4A7F-95D7-DDBC00161D4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023410EC-872F-4D1C-902D-1C4ADDF69B02}">
      <text>
        <r>
          <rPr>
            <sz val="9"/>
            <color indexed="81"/>
            <rFont val="Tahoma"/>
            <family val="2"/>
          </rPr>
          <t>This is the sum of all the new work that was completed during the listed period as well as the materials that were stored</t>
        </r>
      </text>
    </comment>
    <comment ref="M56" authorId="0" shapeId="0" xr:uid="{262A0A2F-9DE4-4DE5-9647-82E7FE29104E}">
      <text>
        <r>
          <rPr>
            <sz val="9"/>
            <color indexed="81"/>
            <rFont val="Tahoma"/>
            <family val="2"/>
          </rPr>
          <t>In order to release previously withheld retainage, enter a negative amount in this column.</t>
        </r>
      </text>
    </comment>
    <comment ref="D105" authorId="0" shapeId="0" xr:uid="{C2004DE0-5406-49A7-9436-37E864822F9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C08BE33D-9E3E-4C82-87D3-BF411BE6F403}">
      <text>
        <r>
          <rPr>
            <sz val="9"/>
            <color indexed="81"/>
            <rFont val="Tahoma"/>
            <family val="2"/>
          </rPr>
          <t>This is the sum of all the new work that was completed during the listed period as well as the materials that were stored</t>
        </r>
      </text>
    </comment>
    <comment ref="M105" authorId="0" shapeId="0" xr:uid="{ACA91F83-E710-414E-860B-E014E11111C1}">
      <text>
        <r>
          <rPr>
            <sz val="9"/>
            <color indexed="81"/>
            <rFont val="Tahoma"/>
            <family val="2"/>
          </rPr>
          <t>In order to release previously withheld retainage, enter a negative amount in this column.</t>
        </r>
      </text>
    </comment>
  </commentList>
</comments>
</file>

<file path=xl/comments59.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CF62E15F-AD8B-4998-8882-3EBCFD3D008C}">
      <text>
        <r>
          <rPr>
            <sz val="9"/>
            <color indexed="81"/>
            <rFont val="Tahoma"/>
            <family val="2"/>
          </rPr>
          <t>Enter the beginning date of the period for which you are seeking payment</t>
        </r>
      </text>
    </comment>
    <comment ref="D17" authorId="0" shapeId="0" xr:uid="{03672F0A-87AA-408F-BCF5-B72F4DFACD9F}">
      <text>
        <r>
          <rPr>
            <sz val="9"/>
            <color indexed="81"/>
            <rFont val="Tahoma"/>
            <family val="2"/>
          </rPr>
          <t>Enter the ending date of the period for which you are seeking payment</t>
        </r>
      </text>
    </comment>
    <comment ref="G17" authorId="0" shapeId="0" xr:uid="{25DE6168-6122-4195-8653-C8F158FB4CE4}">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63A8DB84-9DCF-4E3D-8EF7-74ED4F2091FF}">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3951583-32A2-45CE-94E5-861DA4460C6F}">
      <text>
        <r>
          <rPr>
            <sz val="9"/>
            <color indexed="81"/>
            <rFont val="Tahoma"/>
            <family val="2"/>
          </rPr>
          <t>This is the sum of all the new work that was completed during the listed period as well as the materials that were stored</t>
        </r>
      </text>
    </comment>
    <comment ref="M56" authorId="0" shapeId="0" xr:uid="{B8D2B6C4-C822-43AE-A085-975DCC65AA97}">
      <text>
        <r>
          <rPr>
            <sz val="9"/>
            <color indexed="81"/>
            <rFont val="Tahoma"/>
            <family val="2"/>
          </rPr>
          <t>In order to release previously withheld retainage, enter a negative amount in this column.</t>
        </r>
      </text>
    </comment>
    <comment ref="D105" authorId="0" shapeId="0" xr:uid="{3ADFBC5D-D8B6-4621-AFC3-35756E311ECC}">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109230D2-24B8-481F-98F5-53AC10FDCEB9}">
      <text>
        <r>
          <rPr>
            <sz val="9"/>
            <color indexed="81"/>
            <rFont val="Tahoma"/>
            <family val="2"/>
          </rPr>
          <t>This is the sum of all the new work that was completed during the listed period as well as the materials that were stored</t>
        </r>
      </text>
    </comment>
    <comment ref="M105" authorId="0" shapeId="0" xr:uid="{F671798B-B740-41D1-9CF2-C4EB5A00A220}">
      <text>
        <r>
          <rPr>
            <sz val="9"/>
            <color indexed="81"/>
            <rFont val="Tahoma"/>
            <family val="2"/>
          </rPr>
          <t>In order to release previously withheld retainage, enter a negative amount in this column.</t>
        </r>
      </text>
    </comment>
  </commentList>
</comments>
</file>

<file path=xl/comments60.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3DEC4658-F6DE-4ACD-A01A-FF3F20579923}">
      <text>
        <r>
          <rPr>
            <sz val="9"/>
            <color indexed="81"/>
            <rFont val="Tahoma"/>
            <family val="2"/>
          </rPr>
          <t>Enter the beginning date of the period for which you are seeking payment</t>
        </r>
      </text>
    </comment>
    <comment ref="D17" authorId="0" shapeId="0" xr:uid="{077A1716-A023-443A-82FC-3CF7F457A834}">
      <text>
        <r>
          <rPr>
            <sz val="9"/>
            <color indexed="81"/>
            <rFont val="Tahoma"/>
            <family val="2"/>
          </rPr>
          <t>Enter the ending date of the period for which you are seeking payment</t>
        </r>
      </text>
    </comment>
    <comment ref="G17" authorId="0" shapeId="0" xr:uid="{16A1D293-4A29-47F8-B668-8286E4E8CC8C}">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F1129AC1-7A0C-4320-A665-A28EC1A4605B}">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502BE406-B920-41CB-87FD-D1508AB530AC}">
      <text>
        <r>
          <rPr>
            <sz val="9"/>
            <color indexed="81"/>
            <rFont val="Tahoma"/>
            <family val="2"/>
          </rPr>
          <t>This is the sum of all the new work that was completed during the listed period as well as the materials that were stored</t>
        </r>
      </text>
    </comment>
    <comment ref="M56" authorId="0" shapeId="0" xr:uid="{48E1207B-A2AD-4C82-992A-1C0F67CE32E1}">
      <text>
        <r>
          <rPr>
            <sz val="9"/>
            <color indexed="81"/>
            <rFont val="Tahoma"/>
            <family val="2"/>
          </rPr>
          <t>In order to release previously withheld retainage, enter a negative amount in this column.</t>
        </r>
      </text>
    </comment>
    <comment ref="D105" authorId="0" shapeId="0" xr:uid="{E5A85ACC-A02E-471F-8A91-AF685A5434DE}">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3BA8E17C-3A3E-41DC-B4A5-D582D731AD27}">
      <text>
        <r>
          <rPr>
            <sz val="9"/>
            <color indexed="81"/>
            <rFont val="Tahoma"/>
            <family val="2"/>
          </rPr>
          <t>This is the sum of all the new work that was completed during the listed period as well as the materials that were stored</t>
        </r>
      </text>
    </comment>
    <comment ref="M105" authorId="0" shapeId="0" xr:uid="{4CF48B84-635E-43D5-9E58-7D02C62C2BAF}">
      <text>
        <r>
          <rPr>
            <sz val="9"/>
            <color indexed="81"/>
            <rFont val="Tahoma"/>
            <family val="2"/>
          </rPr>
          <t>In order to release previously withheld retainage, enter a negative amount in this column.</t>
        </r>
      </text>
    </comment>
  </commentList>
</comments>
</file>

<file path=xl/comments61.xml><?xml version="1.0" encoding="utf-8"?>
<comments xmlns="http://schemas.openxmlformats.org/spreadsheetml/2006/main" xmlns:mc="http://schemas.openxmlformats.org/markup-compatibility/2006" xmlns:xr="http://schemas.microsoft.com/office/spreadsheetml/2014/revision" mc:Ignorable="xr">
  <authors>
    <author>Jake Njord</author>
  </authors>
  <commentList>
    <comment ref="D16" authorId="0" shapeId="0" xr:uid="{1F90D35D-12EA-4C9C-9EEB-953F488915A1}">
      <text>
        <r>
          <rPr>
            <sz val="9"/>
            <color indexed="81"/>
            <rFont val="Tahoma"/>
            <family val="2"/>
          </rPr>
          <t>Enter the beginning date of the period for which you are seeking payment</t>
        </r>
      </text>
    </comment>
    <comment ref="D17" authorId="0" shapeId="0" xr:uid="{C059466F-8102-4A46-86B3-32DF23220B72}">
      <text>
        <r>
          <rPr>
            <sz val="9"/>
            <color indexed="81"/>
            <rFont val="Tahoma"/>
            <family val="2"/>
          </rPr>
          <t>Enter the ending date of the period for which you are seeking payment</t>
        </r>
      </text>
    </comment>
    <comment ref="G17" authorId="0" shapeId="0" xr:uid="{4A9BB3EF-F4A4-43EE-B945-9790F6D55078}">
      <text>
        <r>
          <rPr>
            <sz val="9"/>
            <color indexed="81"/>
            <rFont val="Tahoma"/>
            <family val="2"/>
          </rPr>
          <t>This field only applies to CM/GC projects. Does the change order amount in this pay app's Schedule of Values set the entire GMP? Please select "Yes" if this pay app completes setting the GMP, "No" if the GMP is not yet set or was set in the past, or "N/A" if this doesn't apply.</t>
        </r>
      </text>
    </comment>
    <comment ref="D56" authorId="0" shapeId="0" xr:uid="{1B658542-3B95-47DC-882B-F2CA555306EA}">
      <text>
        <r>
          <rPr>
            <sz val="9"/>
            <color indexed="81"/>
            <rFont val="Tahoma"/>
            <family val="2"/>
          </rPr>
          <t>This is the original amount that is expected to complete each line item. Once this amount is entered on this sheet, it will roll forward to all the other pay applications.</t>
        </r>
      </text>
    </comment>
    <comment ref="H56" authorId="0" shapeId="0" xr:uid="{84FF13D6-CCE4-4350-ABE7-247B4BD64776}">
      <text>
        <r>
          <rPr>
            <sz val="9"/>
            <color indexed="81"/>
            <rFont val="Tahoma"/>
            <family val="2"/>
          </rPr>
          <t>This is the sum of all the new work that was completed during the listed period as well as the materials that were stored</t>
        </r>
      </text>
    </comment>
    <comment ref="M56" authorId="0" shapeId="0" xr:uid="{8EF4D75E-2922-41E4-9E87-9EE15552B71E}">
      <text>
        <r>
          <rPr>
            <sz val="9"/>
            <color indexed="81"/>
            <rFont val="Tahoma"/>
            <family val="2"/>
          </rPr>
          <t>In order to release previously withheld retainage, enter a negative amount in this column.</t>
        </r>
      </text>
    </comment>
    <comment ref="D105" authorId="0" shapeId="0" xr:uid="{59FE1B51-738E-463A-AF7F-2AEDA6B6F78A}">
      <text>
        <r>
          <rPr>
            <sz val="9"/>
            <color indexed="81"/>
            <rFont val="Tahoma"/>
            <family val="2"/>
          </rPr>
          <t>This is the original amount that is expected to complete each line item. Once this amount is entered on this sheet, it will roll forward to all the other pay applications.</t>
        </r>
      </text>
    </comment>
    <comment ref="H105" authorId="0" shapeId="0" xr:uid="{4696E99D-8B27-49A3-A02D-4AB0119B3E14}">
      <text>
        <r>
          <rPr>
            <sz val="9"/>
            <color indexed="81"/>
            <rFont val="Tahoma"/>
            <family val="2"/>
          </rPr>
          <t>This is the sum of all the new work that was completed during the listed period as well as the materials that were stored</t>
        </r>
      </text>
    </comment>
    <comment ref="M105" authorId="0" shapeId="0" xr:uid="{FE349D48-4CB7-4BD0-A93B-2C1F2979A05A}">
      <text>
        <r>
          <rPr>
            <sz val="9"/>
            <color indexed="81"/>
            <rFont val="Tahoma"/>
            <family val="2"/>
          </rPr>
          <t>In order to release previously withheld retainage, enter a negative amount in this column.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<sst xmlns="http://schemas.openxmlformats.org/spreadsheetml/2006/main" count="10431" uniqueCount="962">
  <si>
    <t>Contractor/Affiant</t>
  </si>
  <si>
    <t>GENERAL INFORMATION</t>
  </si>
  <si>
    <t>To:</t>
  </si>
  <si>
    <t>Period From:</t>
  </si>
  <si>
    <t>From:</t>
  </si>
  <si>
    <t>Attention:</t>
  </si>
  <si>
    <t>Period To:</t>
  </si>
  <si>
    <t>Project #:</t>
  </si>
  <si>
    <t>Contract #:</t>
  </si>
  <si>
    <t>Project Name:</t>
  </si>
  <si>
    <t>CONTRACTOR'S APPLICATION FOR PAYMENT</t>
  </si>
  <si>
    <t>Architect/Engineer</t>
  </si>
  <si>
    <t>Date</t>
  </si>
  <si>
    <t>This application is not negotiable or assignable.  The Amount Approved is payable only to the Contractor named herein.  Issuance, payment, and acceptance of payment are subject to the rights, terms and obligations of Contract Documents.</t>
  </si>
  <si>
    <t xml:space="preserve">   A/E'S CERTIFICATE FOR PAYMENT</t>
  </si>
  <si>
    <t xml:space="preserve">   CONTRACTOR'S CERTIFICATE FOR PAYMENT</t>
  </si>
  <si>
    <t>Adjusted Contract Sum</t>
  </si>
  <si>
    <t>PROJECT INFORMATION</t>
  </si>
  <si>
    <t>Total Completed &amp; Stored</t>
  </si>
  <si>
    <t>Total Earned Less Retainage</t>
  </si>
  <si>
    <t>PROJECT FINANCES</t>
  </si>
  <si>
    <t>Original Contract Amount</t>
  </si>
  <si>
    <t>1.</t>
  </si>
  <si>
    <t>2.</t>
  </si>
  <si>
    <t>3.</t>
  </si>
  <si>
    <t>4.</t>
  </si>
  <si>
    <t>5.</t>
  </si>
  <si>
    <t>6.</t>
  </si>
  <si>
    <t>7.</t>
  </si>
  <si>
    <t>8.</t>
  </si>
  <si>
    <t>9.</t>
  </si>
  <si>
    <t>DFCM Representative</t>
  </si>
  <si>
    <t>INSTRUCTIONS</t>
  </si>
  <si>
    <t>a</t>
  </si>
  <si>
    <t>b</t>
  </si>
  <si>
    <t>c</t>
  </si>
  <si>
    <t>d</t>
  </si>
  <si>
    <t>e</t>
  </si>
  <si>
    <t>f</t>
  </si>
  <si>
    <t>g</t>
  </si>
  <si>
    <t>i</t>
  </si>
  <si>
    <t>j</t>
  </si>
  <si>
    <t>k</t>
  </si>
  <si>
    <t>l</t>
  </si>
  <si>
    <t>m</t>
  </si>
  <si>
    <t>10.</t>
  </si>
  <si>
    <t>Retainage</t>
  </si>
  <si>
    <t>Design Fee (if design build)</t>
  </si>
  <si>
    <t>Preconstruction Services</t>
  </si>
  <si>
    <t>Contractor's Supervision</t>
  </si>
  <si>
    <t>General Liability Insurance</t>
  </si>
  <si>
    <t>Contingency</t>
  </si>
  <si>
    <t>Survey/Engineering</t>
  </si>
  <si>
    <t>Demolition</t>
  </si>
  <si>
    <t>Asbestos Abatement</t>
  </si>
  <si>
    <t>Precast</t>
  </si>
  <si>
    <t>Structural Steel/Misc. Steel Fab</t>
  </si>
  <si>
    <t>Joists &amp; Deck</t>
  </si>
  <si>
    <t>Ornamental Metal</t>
  </si>
  <si>
    <t>Rough Carpentry</t>
  </si>
  <si>
    <t>Vapor Retarders</t>
  </si>
  <si>
    <t>Insulation</t>
  </si>
  <si>
    <t>EIFS</t>
  </si>
  <si>
    <t>Roofing</t>
  </si>
  <si>
    <t>Sheet Metal Flashing &amp; Trim</t>
  </si>
  <si>
    <t>Fireproofing</t>
  </si>
  <si>
    <t>Joint Sealants</t>
  </si>
  <si>
    <t>Expansion Joints</t>
  </si>
  <si>
    <t>Doors, Frames &amp; Hardware</t>
  </si>
  <si>
    <t>Specialty Doors</t>
  </si>
  <si>
    <t>Curtain Wall, Glass &amp; Glazing</t>
  </si>
  <si>
    <t>Skylights</t>
  </si>
  <si>
    <t>Louvers &amp; Vents</t>
  </si>
  <si>
    <t>Gypsum Board Systems</t>
  </si>
  <si>
    <t>Ceramic Tile</t>
  </si>
  <si>
    <t>Acoustical Ceilings</t>
  </si>
  <si>
    <t>Specialty Ceilings</t>
  </si>
  <si>
    <t>Floor Coverings</t>
  </si>
  <si>
    <t>Specialty Flooring</t>
  </si>
  <si>
    <t>Painting</t>
  </si>
  <si>
    <t>Specialties</t>
  </si>
  <si>
    <t>Lab/Mechanical Equipment</t>
  </si>
  <si>
    <t>Food Service Equipment</t>
  </si>
  <si>
    <t>Athletic Equipment</t>
  </si>
  <si>
    <t>Dock Equipment</t>
  </si>
  <si>
    <t>Equipment (other)</t>
  </si>
  <si>
    <t>Fixed Seating</t>
  </si>
  <si>
    <t>Window Coverings</t>
  </si>
  <si>
    <t>Sound &amp; Vibration Control</t>
  </si>
  <si>
    <t>Special Construction (Other)</t>
  </si>
  <si>
    <t>Elevator</t>
  </si>
  <si>
    <t>Lifts</t>
  </si>
  <si>
    <t>Fire Sprinklers/Pumps</t>
  </si>
  <si>
    <t>Mechanical/Plumbing</t>
  </si>
  <si>
    <t>Plumbing</t>
  </si>
  <si>
    <t>HVAC</t>
  </si>
  <si>
    <t>Electrical</t>
  </si>
  <si>
    <t>AV/IT/Cabling</t>
  </si>
  <si>
    <t>Electrical (other)</t>
  </si>
  <si>
    <t>Building &amp; Site Earthwork</t>
  </si>
  <si>
    <t>Site Utilities</t>
  </si>
  <si>
    <t>Asphalt Paving</t>
  </si>
  <si>
    <t>Site Concrete</t>
  </si>
  <si>
    <t>Site Improvements/Fencing</t>
  </si>
  <si>
    <t>Total</t>
  </si>
  <si>
    <t>h</t>
  </si>
  <si>
    <t>#</t>
  </si>
  <si>
    <t>Security/Access Control</t>
  </si>
  <si>
    <t>11.</t>
  </si>
  <si>
    <t>%
done</t>
  </si>
  <si>
    <t>work completed from prior periods</t>
  </si>
  <si>
    <t>revised contract</t>
  </si>
  <si>
    <t>original contract</t>
  </si>
  <si>
    <t>work description</t>
  </si>
  <si>
    <t>balance to finish</t>
  </si>
  <si>
    <t>retainage held this period</t>
  </si>
  <si>
    <t>retainage balance</t>
  </si>
  <si>
    <t>_________________</t>
  </si>
  <si>
    <t>________________</t>
  </si>
  <si>
    <t xml:space="preserve">        _______________________</t>
  </si>
  <si>
    <t xml:space="preserve">        Amount Certified</t>
  </si>
  <si>
    <t xml:space="preserve">       Amount Certified</t>
  </si>
  <si>
    <t xml:space="preserve">        Title</t>
  </si>
  <si>
    <t xml:space="preserve">        ______________________________________</t>
  </si>
  <si>
    <t xml:space="preserve">   ______________________________</t>
  </si>
  <si>
    <t>) after being duly sworn, do depose and say that,</t>
  </si>
  <si>
    <t>Number of Pay Apps Completed</t>
  </si>
  <si>
    <t>Arch. Woodwork &amp; Finish Carp.</t>
  </si>
  <si>
    <t>Metal Panels</t>
  </si>
  <si>
    <t>Balance to Complete Project (including retainage)</t>
  </si>
  <si>
    <t>Agency Representative</t>
  </si>
  <si>
    <t>00 01 00</t>
  </si>
  <si>
    <t>00 02 00</t>
  </si>
  <si>
    <t>01 00 00</t>
  </si>
  <si>
    <t>Temp. Scaffolding and Platforms</t>
  </si>
  <si>
    <t>SWPPP</t>
  </si>
  <si>
    <t>Construction Cranes and Hoists</t>
  </si>
  <si>
    <t>01 32 00</t>
  </si>
  <si>
    <t>01 33 00</t>
  </si>
  <si>
    <t xml:space="preserve">Performance &amp; Payment Bond  </t>
  </si>
  <si>
    <t>01 34 00</t>
  </si>
  <si>
    <t>Subcontractor Default Insurance</t>
  </si>
  <si>
    <t>01 35 00</t>
  </si>
  <si>
    <t>Construction Management Fee</t>
  </si>
  <si>
    <t>01 36 00</t>
  </si>
  <si>
    <t>01 37 00</t>
  </si>
  <si>
    <t>Weather Allowance (All Trades)</t>
  </si>
  <si>
    <t>Cleaning (Final)</t>
  </si>
  <si>
    <t>Building Concrete</t>
  </si>
  <si>
    <t>Building Concrete Reinforcing</t>
  </si>
  <si>
    <t>Masonry</t>
  </si>
  <si>
    <t>Masonry Reinforcing</t>
  </si>
  <si>
    <t>Waterproofing/Water Repellents</t>
  </si>
  <si>
    <t>Overhead Doors/Coiling Doors</t>
  </si>
  <si>
    <t>n</t>
  </si>
  <si>
    <t>Wall Coverings</t>
  </si>
  <si>
    <t>Exterior Signage</t>
  </si>
  <si>
    <t>Interior Signage</t>
  </si>
  <si>
    <t xml:space="preserve">Furnishings </t>
  </si>
  <si>
    <t>28 80 00</t>
  </si>
  <si>
    <t>Shoring/Pilings/Piers/Caissons</t>
  </si>
  <si>
    <t>Excavation Support &amp; Protection</t>
  </si>
  <si>
    <t>Landscaping/Irrigation</t>
  </si>
  <si>
    <t>Underground Storm Retention Sys</t>
  </si>
  <si>
    <t>CSI code</t>
  </si>
  <si>
    <t>General Conditions/Requirements</t>
  </si>
  <si>
    <t>Original contract amount . . . . . . . . . . . . . . . . . . . . . . . . . . . . . . . . . . . . . . . . . . . . . . . . . . . . . . . . . . . . . . . . . . . . . . . . . . . . . . . .</t>
  </si>
  <si>
    <t xml:space="preserve">Net change by approved change orders/CCDs to date . . . . . . . . . . . . . . . . . . . . . . . . . . . . . . . . . . . . . . . . . . . . . . . . . . . . . . . </t>
  </si>
  <si>
    <t xml:space="preserve">Net change by approved change orders/CCDs this period . . . . . . . . . . . . . . . . . . . . . . . . . . . . . . . . . . . . . . . . . . . . . . . . . . . . </t>
  </si>
  <si>
    <t>Adjusted contract sum (item 1 + item 2) . . . . . . . . . . . . . . . . . . . . . . . . . . . . . . . . . . . . . . . . . . . . . . . . . . . . . . . . . . . . . . . . . . .</t>
  </si>
  <si>
    <t>Total completed and stored to date  . . . . . . . . . . . . . . . . . . . . . . . . . . . . . . . . . . . . . . . . . . . . . . . . . . . . . . . . . . . . . . . . . . . . . . .</t>
  </si>
  <si>
    <t>Work completed and stored this period . . . . . . . . . . . . . . . . . . . . . . . . . . . . . . . . . . . . . . . . . . . . . . . . . . . . . . . . . . . . . . . . . . .</t>
  </si>
  <si>
    <t>a.    Retainage this period . . . . . . . . . . . . . . . . . . . . . . . . . . . . . . . . . . . . . . . . . . . . . . . . . . . . . . . . . . . . . . . . . . . . .</t>
  </si>
  <si>
    <t>b.    Retainage balance (up to &amp; including this app) . . . . . . . . . . . . . . . . . . . . . . . . . . . . . . . . . . . . . . . . . . . . . . . . . . . . . . . . . .</t>
  </si>
  <si>
    <t>Total earned less retainage ( item 5 - item 7b) . . . . . . . . . . . . . . . . . . . . . . . . . . . . . . . . . . . . . . . . . . . . . . . . . . . . . . . . . . . . . . .</t>
  </si>
  <si>
    <t>Prior certificates for payment billed . . . . . . . . . . . . . . . . . . . . . . . . . . . . . . . . . . . . . . . . . . . . . . . . . . . . . . . . . . . . . . . . . . . . . . .</t>
  </si>
  <si>
    <t>Current payment due contractor . . . . . . . . . . . . . . . . . . . . . . . . . . . . . . . . . . . . . . . . . . . . . . . . . . . . . . . . . . . . . . . . . . . . . . . . . . .</t>
  </si>
  <si>
    <t>Balance to complete project, including retainage . . . . . . . . . . . . . . . . . . . . . . . . . . . . . . . . . . . . . . . . . . . . . . . . . . . . . . . . . . . .</t>
  </si>
  <si>
    <t>total completed &amp; stored (g+h)</t>
  </si>
  <si>
    <t>Contractor makes the application for payment based on the information in this form, including the Schedule of Values below</t>
  </si>
  <si>
    <t xml:space="preserve">   _____________________________________</t>
  </si>
  <si>
    <t>Schedule of Values</t>
  </si>
  <si>
    <t>Work Previously Completed</t>
  </si>
  <si>
    <t>Work Completed &amp; Stored This Period</t>
  </si>
  <si>
    <r>
      <rPr>
        <sz val="8"/>
        <color theme="1"/>
        <rFont val="Arial Narrow"/>
        <family val="2"/>
      </rPr>
      <t>I (</t>
    </r>
    <r>
      <rPr>
        <b/>
        <sz val="8"/>
        <color theme="1"/>
        <rFont val="Arial Narrow"/>
        <family val="2"/>
      </rPr>
      <t xml:space="preserve">     ENTER NAME HERE</t>
    </r>
  </si>
  <si>
    <t>In accordance with the Contract Documents and the A/E Agreement, based on on-site observations and the data comprising this application, A/E certifies that, to the best of the A/E's knowledge, information and belief, the Work has progressed as  indicated, the quality of the Work is in accordance with the Contract Documents, and the Contractor is entitled to payment of the amount certified.  If amount certified differs from the amount applied for, attach a detailed explanation with a copy to  the contractor.</t>
  </si>
  <si>
    <t>Period From: (mm/dd/yyyy)</t>
  </si>
  <si>
    <t>Period To: (mm/dd/yyyy)</t>
  </si>
  <si>
    <t>Work Category</t>
  </si>
  <si>
    <t>01 31 00</t>
  </si>
  <si>
    <t>01 13 41</t>
  </si>
  <si>
    <t>01 13 60</t>
  </si>
  <si>
    <t>01 19 70</t>
  </si>
  <si>
    <t>01 74 23</t>
  </si>
  <si>
    <t>02 21 00</t>
  </si>
  <si>
    <t>02 41 00</t>
  </si>
  <si>
    <t>02 82 00</t>
  </si>
  <si>
    <t>03 00 00</t>
  </si>
  <si>
    <t>03 20 00</t>
  </si>
  <si>
    <t>03 40 00</t>
  </si>
  <si>
    <t>04 00 00</t>
  </si>
  <si>
    <t>04 05 19</t>
  </si>
  <si>
    <t>05 10 00</t>
  </si>
  <si>
    <t>05 20 00</t>
  </si>
  <si>
    <t>05 70 00</t>
  </si>
  <si>
    <t>06 10 00</t>
  </si>
  <si>
    <t>06 40 00</t>
  </si>
  <si>
    <t>07 10 00</t>
  </si>
  <si>
    <t>07 20 00</t>
  </si>
  <si>
    <t>07 24 00</t>
  </si>
  <si>
    <t>07 26 00</t>
  </si>
  <si>
    <t>07 41 00</t>
  </si>
  <si>
    <t>07 42 00</t>
  </si>
  <si>
    <t>07 60 00</t>
  </si>
  <si>
    <t>07 80 00</t>
  </si>
  <si>
    <t>07 90 00</t>
  </si>
  <si>
    <t>07 95 00</t>
  </si>
  <si>
    <t>08 10 00</t>
  </si>
  <si>
    <t>08 30 00</t>
  </si>
  <si>
    <t>08 33 00</t>
  </si>
  <si>
    <t>08 40 00</t>
  </si>
  <si>
    <t>08 60 00</t>
  </si>
  <si>
    <t>08 90 00</t>
  </si>
  <si>
    <t>09 20 00</t>
  </si>
  <si>
    <t>09 30 00</t>
  </si>
  <si>
    <t>09 51 00</t>
  </si>
  <si>
    <t>09 54 00</t>
  </si>
  <si>
    <t>09 60 00</t>
  </si>
  <si>
    <t>09 62 00</t>
  </si>
  <si>
    <t>09 70 00</t>
  </si>
  <si>
    <t>09 90 00</t>
  </si>
  <si>
    <t>10 00 00</t>
  </si>
  <si>
    <t>10 14 14</t>
  </si>
  <si>
    <t>10 14 15</t>
  </si>
  <si>
    <t>11 13 00</t>
  </si>
  <si>
    <t>11 40 00</t>
  </si>
  <si>
    <t>11 53 00</t>
  </si>
  <si>
    <t>11 66 00</t>
  </si>
  <si>
    <t>11 90 00</t>
  </si>
  <si>
    <t>12 00 00</t>
  </si>
  <si>
    <t>12 20 00</t>
  </si>
  <si>
    <t>12 61 00</t>
  </si>
  <si>
    <t>13 00 00</t>
  </si>
  <si>
    <t>13 48 00</t>
  </si>
  <si>
    <t>14 20 00</t>
  </si>
  <si>
    <t>14 40 00</t>
  </si>
  <si>
    <t>20 00 00</t>
  </si>
  <si>
    <t>21 00 00</t>
  </si>
  <si>
    <t>22 00 00</t>
  </si>
  <si>
    <t>23 00 00</t>
  </si>
  <si>
    <t>26 00 00</t>
  </si>
  <si>
    <t>27 00 00</t>
  </si>
  <si>
    <t>29 00 00</t>
  </si>
  <si>
    <t>31 00 00</t>
  </si>
  <si>
    <t>31 40 00</t>
  </si>
  <si>
    <t>31 50 00</t>
  </si>
  <si>
    <t>32 12 16</t>
  </si>
  <si>
    <t>32 16 00</t>
  </si>
  <si>
    <t>32 30 00</t>
  </si>
  <si>
    <t>32 90 00</t>
  </si>
  <si>
    <t>33 00 00</t>
  </si>
  <si>
    <t>33 40 00</t>
  </si>
  <si>
    <t>60 00 10</t>
  </si>
  <si>
    <t>60 00 20</t>
  </si>
  <si>
    <t>60 00 30</t>
  </si>
  <si>
    <t>60 00 40</t>
  </si>
  <si>
    <t>Pay App 1</t>
  </si>
  <si>
    <t>Pay App 2</t>
  </si>
  <si>
    <t>Pay App 3</t>
  </si>
  <si>
    <t>Pay App 4</t>
  </si>
  <si>
    <t>Pay App 5</t>
  </si>
  <si>
    <t>PCO Status</t>
  </si>
  <si>
    <t>Approved</t>
  </si>
  <si>
    <t>CSI Code</t>
  </si>
  <si>
    <t>Pay App 6</t>
  </si>
  <si>
    <t>Pay App 7</t>
  </si>
  <si>
    <t>Pay App 8</t>
  </si>
  <si>
    <t>Pay App 9</t>
  </si>
  <si>
    <t>Pay App 10</t>
  </si>
  <si>
    <t>Pay App 11</t>
  </si>
  <si>
    <t>Pay App 12</t>
  </si>
  <si>
    <t>Pay App 13</t>
  </si>
  <si>
    <t>Pay App 14</t>
  </si>
  <si>
    <t>Pay App 15</t>
  </si>
  <si>
    <t>Pay App 16</t>
  </si>
  <si>
    <t>Pay App 17</t>
  </si>
  <si>
    <t>Pay App 18</t>
  </si>
  <si>
    <t>Pay App 19</t>
  </si>
  <si>
    <t>Pay App 20</t>
  </si>
  <si>
    <t>Pay App 21</t>
  </si>
  <si>
    <t>Pay App 22</t>
  </si>
  <si>
    <t>Pay App 23</t>
  </si>
  <si>
    <t>Pay App 24</t>
  </si>
  <si>
    <t>Pay App 25</t>
  </si>
  <si>
    <t>Pay App 26</t>
  </si>
  <si>
    <t>Pay App 27</t>
  </si>
  <si>
    <t>Pay App 28</t>
  </si>
  <si>
    <t>Pay App 29</t>
  </si>
  <si>
    <t>Pay App 30</t>
  </si>
  <si>
    <t>Pay App 31</t>
  </si>
  <si>
    <t>Pay App 32</t>
  </si>
  <si>
    <t>Pay App 33</t>
  </si>
  <si>
    <t>Pay App 34</t>
  </si>
  <si>
    <t>Pay App 35</t>
  </si>
  <si>
    <t>Pay App 36</t>
  </si>
  <si>
    <t>Pay App 37</t>
  </si>
  <si>
    <t>Pay App 38</t>
  </si>
  <si>
    <t>Pay App 39</t>
  </si>
  <si>
    <t>Pay App 40</t>
  </si>
  <si>
    <t>Pay App 41</t>
  </si>
  <si>
    <t>Pay App 42</t>
  </si>
  <si>
    <t>Pay App 43</t>
  </si>
  <si>
    <t>Pay App 44</t>
  </si>
  <si>
    <t>Pay App 45</t>
  </si>
  <si>
    <t>Pay App 46</t>
  </si>
  <si>
    <t>Pay App 47</t>
  </si>
  <si>
    <t>Pay App 48</t>
  </si>
  <si>
    <t>Pay App 49</t>
  </si>
  <si>
    <t>Pay App 50</t>
  </si>
  <si>
    <t>Pay App 51</t>
  </si>
  <si>
    <t>Pay App 52</t>
  </si>
  <si>
    <t>Pay App 53</t>
  </si>
  <si>
    <t>Pay App 54</t>
  </si>
  <si>
    <t>Pay App 55</t>
  </si>
  <si>
    <t>Pay App 56</t>
  </si>
  <si>
    <t>Pay App 57</t>
  </si>
  <si>
    <t>Pay App 58</t>
  </si>
  <si>
    <t>Pay App 59</t>
  </si>
  <si>
    <t>Pay App 60</t>
  </si>
  <si>
    <t>New</t>
  </si>
  <si>
    <t>Pending Approval</t>
  </si>
  <si>
    <t>Pay Apps</t>
  </si>
  <si>
    <t>Base Contract / Full GMP</t>
  </si>
  <si>
    <t>Yes</t>
  </si>
  <si>
    <t>No</t>
  </si>
  <si>
    <t>N/A</t>
  </si>
  <si>
    <t>Rejected</t>
  </si>
  <si>
    <t>Reason Code</t>
  </si>
  <si>
    <t xml:space="preserve">Total: </t>
  </si>
  <si>
    <t xml:space="preserve">Pay App #: </t>
  </si>
  <si>
    <t xml:space="preserve">Description: </t>
  </si>
  <si>
    <t xml:space="preserve">Status: </t>
  </si>
  <si>
    <t>PCO 1</t>
  </si>
  <si>
    <t>PCO 2</t>
  </si>
  <si>
    <t>PCO 3</t>
  </si>
  <si>
    <t>PCO 4</t>
  </si>
  <si>
    <t>PCO 5</t>
  </si>
  <si>
    <t>PCO 6</t>
  </si>
  <si>
    <t>PCO 7</t>
  </si>
  <si>
    <t>PCO 8</t>
  </si>
  <si>
    <t>PCO 9</t>
  </si>
  <si>
    <t>PCO 10</t>
  </si>
  <si>
    <t>PCO 11</t>
  </si>
  <si>
    <t>PCO 12</t>
  </si>
  <si>
    <t>PCO 13</t>
  </si>
  <si>
    <t>PCO 14</t>
  </si>
  <si>
    <t>PCO 15</t>
  </si>
  <si>
    <t>PCO 16</t>
  </si>
  <si>
    <t>PCO 17</t>
  </si>
  <si>
    <t>PCO 18</t>
  </si>
  <si>
    <t>PCO 19</t>
  </si>
  <si>
    <t>PCO 20</t>
  </si>
  <si>
    <t>PCO 21</t>
  </si>
  <si>
    <t>PCO 22</t>
  </si>
  <si>
    <t>PCO 23</t>
  </si>
  <si>
    <t>PCO 24</t>
  </si>
  <si>
    <t>PCO 25</t>
  </si>
  <si>
    <t>PCO 26</t>
  </si>
  <si>
    <t>PCO 27</t>
  </si>
  <si>
    <t>PCO 28</t>
  </si>
  <si>
    <t>PCO 29</t>
  </si>
  <si>
    <t>PCO 30</t>
  </si>
  <si>
    <t>PCO 31</t>
  </si>
  <si>
    <t>PCO 32</t>
  </si>
  <si>
    <t>PCO 33</t>
  </si>
  <si>
    <t>PCO 34</t>
  </si>
  <si>
    <t>PCO 35</t>
  </si>
  <si>
    <t>PCO 36</t>
  </si>
  <si>
    <t>PCO 37</t>
  </si>
  <si>
    <t>PCO 38</t>
  </si>
  <si>
    <t>PCO 39</t>
  </si>
  <si>
    <t>PCO 40</t>
  </si>
  <si>
    <t>PCO 41</t>
  </si>
  <si>
    <t>PCO 42</t>
  </si>
  <si>
    <t>PCO 43</t>
  </si>
  <si>
    <t>PCO 44</t>
  </si>
  <si>
    <t>PCO 45</t>
  </si>
  <si>
    <t>PCO 46</t>
  </si>
  <si>
    <t>PCO 47</t>
  </si>
  <si>
    <t>PCO 48</t>
  </si>
  <si>
    <t>PCO 49</t>
  </si>
  <si>
    <t>PCO 50</t>
  </si>
  <si>
    <t>PCO 51</t>
  </si>
  <si>
    <t>PCO 52</t>
  </si>
  <si>
    <t>PCO 53</t>
  </si>
  <si>
    <t>PCO 54</t>
  </si>
  <si>
    <t>PCO 55</t>
  </si>
  <si>
    <t>PCO 56</t>
  </si>
  <si>
    <t>PCO 57</t>
  </si>
  <si>
    <t>PCO 58</t>
  </si>
  <si>
    <t>PCO 59</t>
  </si>
  <si>
    <t>PCO 60</t>
  </si>
  <si>
    <t>PCO 61</t>
  </si>
  <si>
    <t>PCO 62</t>
  </si>
  <si>
    <t>PCO 63</t>
  </si>
  <si>
    <t>PCO 64</t>
  </si>
  <si>
    <t>PCO 65</t>
  </si>
  <si>
    <t>PCO 66</t>
  </si>
  <si>
    <t>PCO 67</t>
  </si>
  <si>
    <t>PCO 68</t>
  </si>
  <si>
    <t>PCO 69</t>
  </si>
  <si>
    <t>PCO 70</t>
  </si>
  <si>
    <t>PCO 71</t>
  </si>
  <si>
    <t>PCO 72</t>
  </si>
  <si>
    <t>PCO 73</t>
  </si>
  <si>
    <t>PCO 74</t>
  </si>
  <si>
    <t>PCO 75</t>
  </si>
  <si>
    <t>PCO 76</t>
  </si>
  <si>
    <t>PCO 77</t>
  </si>
  <si>
    <t>PCO 78</t>
  </si>
  <si>
    <t>PCO 79</t>
  </si>
  <si>
    <t>PCO 80</t>
  </si>
  <si>
    <t>PCO 81</t>
  </si>
  <si>
    <t>PCO 82</t>
  </si>
  <si>
    <t>PCO 83</t>
  </si>
  <si>
    <t>PCO 84</t>
  </si>
  <si>
    <t>PCO 85</t>
  </si>
  <si>
    <t>PCO 86</t>
  </si>
  <si>
    <t>PCO 87</t>
  </si>
  <si>
    <t>PCO 88</t>
  </si>
  <si>
    <t>PCO 89</t>
  </si>
  <si>
    <t>PCO 90</t>
  </si>
  <si>
    <t>PCO 91</t>
  </si>
  <si>
    <t>PCO 92</t>
  </si>
  <si>
    <t>PCO 93</t>
  </si>
  <si>
    <t>PCO 94</t>
  </si>
  <si>
    <t>PCO 95</t>
  </si>
  <si>
    <t>PCO 96</t>
  </si>
  <si>
    <t>PCO 97</t>
  </si>
  <si>
    <t>PCO 98</t>
  </si>
  <si>
    <t>PCO 99</t>
  </si>
  <si>
    <t>PCO 100</t>
  </si>
  <si>
    <t xml:space="preserve">CO #: </t>
  </si>
  <si>
    <t>Approved CO Amount</t>
  </si>
  <si>
    <t xml:space="preserve">Reason Code: </t>
  </si>
  <si>
    <t>Reason</t>
  </si>
  <si>
    <t>Total PCO Amount</t>
  </si>
  <si>
    <t>Approved Included PCOs</t>
  </si>
  <si>
    <t>COs</t>
  </si>
  <si>
    <t>All PCOs and Amounts by Status</t>
  </si>
  <si>
    <t>Included PCOs</t>
  </si>
  <si>
    <t>Pay App #</t>
  </si>
  <si>
    <t>PCO 101</t>
  </si>
  <si>
    <t>PCO 102</t>
  </si>
  <si>
    <t>PCO 103</t>
  </si>
  <si>
    <t>PCO 104</t>
  </si>
  <si>
    <t>PCO 105</t>
  </si>
  <si>
    <t>PCO 106</t>
  </si>
  <si>
    <t>PCO 107</t>
  </si>
  <si>
    <t>PCO 108</t>
  </si>
  <si>
    <t>PCO 109</t>
  </si>
  <si>
    <t>PCO 110</t>
  </si>
  <si>
    <t>PCO 111</t>
  </si>
  <si>
    <t>PCO 112</t>
  </si>
  <si>
    <t>PCO 113</t>
  </si>
  <si>
    <t>PCO 114</t>
  </si>
  <si>
    <t>PCO 115</t>
  </si>
  <si>
    <t>PCO 116</t>
  </si>
  <si>
    <t>PCO 117</t>
  </si>
  <si>
    <t>PCO 118</t>
  </si>
  <si>
    <t>PCO 119</t>
  </si>
  <si>
    <t>PCO 120</t>
  </si>
  <si>
    <t>PCO 121</t>
  </si>
  <si>
    <t>PCO 122</t>
  </si>
  <si>
    <t>PCO 123</t>
  </si>
  <si>
    <t>PCO 124</t>
  </si>
  <si>
    <t>PCO 125</t>
  </si>
  <si>
    <t>PCO 126</t>
  </si>
  <si>
    <t>PCO 127</t>
  </si>
  <si>
    <t>PCO 128</t>
  </si>
  <si>
    <t>PCO 129</t>
  </si>
  <si>
    <t>PCO 130</t>
  </si>
  <si>
    <t>PCO 131</t>
  </si>
  <si>
    <t>PCO 132</t>
  </si>
  <si>
    <t>PCO 133</t>
  </si>
  <si>
    <t>PCO 134</t>
  </si>
  <si>
    <t>PCO 135</t>
  </si>
  <si>
    <t>PCO 136</t>
  </si>
  <si>
    <t>PCO 137</t>
  </si>
  <si>
    <t>PCO 138</t>
  </si>
  <si>
    <t>PCO 139</t>
  </si>
  <si>
    <t>PCO 140</t>
  </si>
  <si>
    <t>PCO 141</t>
  </si>
  <si>
    <t>PCO 142</t>
  </si>
  <si>
    <t>PCO 143</t>
  </si>
  <si>
    <t>PCO 144</t>
  </si>
  <si>
    <t>PCO 145</t>
  </si>
  <si>
    <t>PCO 146</t>
  </si>
  <si>
    <t>PCO 147</t>
  </si>
  <si>
    <t>PCO 148</t>
  </si>
  <si>
    <t>PCO 149</t>
  </si>
  <si>
    <t>PCO 150</t>
  </si>
  <si>
    <t>PCO 151</t>
  </si>
  <si>
    <t>PCO 152</t>
  </si>
  <si>
    <t>PCO 153</t>
  </si>
  <si>
    <t>PCO 154</t>
  </si>
  <si>
    <t>PCO 155</t>
  </si>
  <si>
    <t>PCO 156</t>
  </si>
  <si>
    <t>PCO 157</t>
  </si>
  <si>
    <t>PCO 158</t>
  </si>
  <si>
    <t>PCO 159</t>
  </si>
  <si>
    <t>PCO 160</t>
  </si>
  <si>
    <t>PCO 161</t>
  </si>
  <si>
    <t>PCO 162</t>
  </si>
  <si>
    <t>PCO 163</t>
  </si>
  <si>
    <t>PCO 164</t>
  </si>
  <si>
    <t>PCO 165</t>
  </si>
  <si>
    <t>PCO 166</t>
  </si>
  <si>
    <t>PCO 167</t>
  </si>
  <si>
    <t>PCO 168</t>
  </si>
  <si>
    <t>PCO 169</t>
  </si>
  <si>
    <t>PCO 170</t>
  </si>
  <si>
    <t>PCO 171</t>
  </si>
  <si>
    <t>PCO 172</t>
  </si>
  <si>
    <t>PCO 173</t>
  </si>
  <si>
    <t>PCO 174</t>
  </si>
  <si>
    <t>PCO 175</t>
  </si>
  <si>
    <t>PCO 176</t>
  </si>
  <si>
    <t>PCO 177</t>
  </si>
  <si>
    <t>PCO 178</t>
  </si>
  <si>
    <t>PCO 179</t>
  </si>
  <si>
    <t>PCO 180</t>
  </si>
  <si>
    <t>PCO 181</t>
  </si>
  <si>
    <t>PCO 182</t>
  </si>
  <si>
    <t>PCO 183</t>
  </si>
  <si>
    <t>PCO 184</t>
  </si>
  <si>
    <t>PCO 185</t>
  </si>
  <si>
    <t>PCO 186</t>
  </si>
  <si>
    <t>PCO 187</t>
  </si>
  <si>
    <t>PCO 188</t>
  </si>
  <si>
    <t>PCO 189</t>
  </si>
  <si>
    <t>PCO 190</t>
  </si>
  <si>
    <t>PCO 191</t>
  </si>
  <si>
    <t>PCO 192</t>
  </si>
  <si>
    <t>PCO 193</t>
  </si>
  <si>
    <t>PCO 194</t>
  </si>
  <si>
    <t>PCO 195</t>
  </si>
  <si>
    <t>PCO 196</t>
  </si>
  <si>
    <t>PCO 197</t>
  </si>
  <si>
    <t>PCO 198</t>
  </si>
  <si>
    <t>PCO 199</t>
  </si>
  <si>
    <t>PCO 200</t>
  </si>
  <si>
    <t>PCO 201</t>
  </si>
  <si>
    <t>PCO 202</t>
  </si>
  <si>
    <t>PCO 203</t>
  </si>
  <si>
    <t>PCO 204</t>
  </si>
  <si>
    <t>PCO 205</t>
  </si>
  <si>
    <t>PCO 206</t>
  </si>
  <si>
    <t>PCO 207</t>
  </si>
  <si>
    <t>PCO 208</t>
  </si>
  <si>
    <t>PCO 209</t>
  </si>
  <si>
    <t>PCO 210</t>
  </si>
  <si>
    <t>PCO 211</t>
  </si>
  <si>
    <t>PCO 212</t>
  </si>
  <si>
    <t>PCO 213</t>
  </si>
  <si>
    <t>PCO 214</t>
  </si>
  <si>
    <t>PCO 215</t>
  </si>
  <si>
    <t>PCO 216</t>
  </si>
  <si>
    <t>PCO 217</t>
  </si>
  <si>
    <t>PCO 218</t>
  </si>
  <si>
    <t>PCO 219</t>
  </si>
  <si>
    <t>PCO 220</t>
  </si>
  <si>
    <t>PCO 221</t>
  </si>
  <si>
    <t>PCO 222</t>
  </si>
  <si>
    <t>PCO 223</t>
  </si>
  <si>
    <t>PCO 224</t>
  </si>
  <si>
    <t>PCO 225</t>
  </si>
  <si>
    <t>PCO 226</t>
  </si>
  <si>
    <t>PCO 227</t>
  </si>
  <si>
    <t>PCO 228</t>
  </si>
  <si>
    <t>PCO 229</t>
  </si>
  <si>
    <t>PCO 230</t>
  </si>
  <si>
    <t>PCO 231</t>
  </si>
  <si>
    <t>PCO 232</t>
  </si>
  <si>
    <t>PCO 233</t>
  </si>
  <si>
    <t>PCO 234</t>
  </si>
  <si>
    <t>PCO 235</t>
  </si>
  <si>
    <t>PCO 236</t>
  </si>
  <si>
    <t>PCO 237</t>
  </si>
  <si>
    <t>PCO 238</t>
  </si>
  <si>
    <t>PCO 239</t>
  </si>
  <si>
    <t>PCO 240</t>
  </si>
  <si>
    <t>PCO 241</t>
  </si>
  <si>
    <t>PCO 242</t>
  </si>
  <si>
    <t>PCO 243</t>
  </si>
  <si>
    <t>PCO 244</t>
  </si>
  <si>
    <t>PCO 245</t>
  </si>
  <si>
    <t>PCO 246</t>
  </si>
  <si>
    <t>PCO 247</t>
  </si>
  <si>
    <t>PCO 248</t>
  </si>
  <si>
    <t>PCO 249</t>
  </si>
  <si>
    <t>PCO 250</t>
  </si>
  <si>
    <t>PCO 251</t>
  </si>
  <si>
    <t>PCO 252</t>
  </si>
  <si>
    <t>PCO 253</t>
  </si>
  <si>
    <t>PCO 254</t>
  </si>
  <si>
    <t>PCO 255</t>
  </si>
  <si>
    <t>PCO 256</t>
  </si>
  <si>
    <t>PCO 257</t>
  </si>
  <si>
    <t>PCO 258</t>
  </si>
  <si>
    <t>PCO 259</t>
  </si>
  <si>
    <t>PCO 260</t>
  </si>
  <si>
    <t>PCO 261</t>
  </si>
  <si>
    <t>PCO 262</t>
  </si>
  <si>
    <t>PCO 263</t>
  </si>
  <si>
    <t>PCO 264</t>
  </si>
  <si>
    <t>PCO 265</t>
  </si>
  <si>
    <t>PCO 266</t>
  </si>
  <si>
    <t>PCO 267</t>
  </si>
  <si>
    <t>PCO 268</t>
  </si>
  <si>
    <t>PCO 269</t>
  </si>
  <si>
    <t>PCO 270</t>
  </si>
  <si>
    <t>PCO 271</t>
  </si>
  <si>
    <t>PCO 272</t>
  </si>
  <si>
    <t>PCO 273</t>
  </si>
  <si>
    <t>PCO 274</t>
  </si>
  <si>
    <t>PCO 275</t>
  </si>
  <si>
    <t>PCO 276</t>
  </si>
  <si>
    <t>PCO 277</t>
  </si>
  <si>
    <t>PCO 278</t>
  </si>
  <si>
    <t>PCO 279</t>
  </si>
  <si>
    <t>PCO 280</t>
  </si>
  <si>
    <t>PCO 281</t>
  </si>
  <si>
    <t>PCO 282</t>
  </si>
  <si>
    <t>PCO 283</t>
  </si>
  <si>
    <t>PCO 284</t>
  </si>
  <si>
    <t>PCO 285</t>
  </si>
  <si>
    <t>PCO 286</t>
  </si>
  <si>
    <t>PCO 287</t>
  </si>
  <si>
    <t>PCO 288</t>
  </si>
  <si>
    <t>PCO 289</t>
  </si>
  <si>
    <t>PCO 290</t>
  </si>
  <si>
    <t>PCO 291</t>
  </si>
  <si>
    <t>PCO 292</t>
  </si>
  <si>
    <t>PCO 293</t>
  </si>
  <si>
    <t>PCO 294</t>
  </si>
  <si>
    <t>PCO 295</t>
  </si>
  <si>
    <t>PCO 296</t>
  </si>
  <si>
    <t>PCO 297</t>
  </si>
  <si>
    <t>PCO 298</t>
  </si>
  <si>
    <t>PCO 299</t>
  </si>
  <si>
    <t>PCO 300</t>
  </si>
  <si>
    <t>PCO 301</t>
  </si>
  <si>
    <t>PCO 302</t>
  </si>
  <si>
    <t>PCO 303</t>
  </si>
  <si>
    <t>PCO 304</t>
  </si>
  <si>
    <t>PCO 305</t>
  </si>
  <si>
    <t>PCO 306</t>
  </si>
  <si>
    <t>PCO 307</t>
  </si>
  <si>
    <t>PCO 308</t>
  </si>
  <si>
    <t>PCO 309</t>
  </si>
  <si>
    <t>PCO 310</t>
  </si>
  <si>
    <t>PCO 311</t>
  </si>
  <si>
    <t>PCO 312</t>
  </si>
  <si>
    <t>PCO 313</t>
  </si>
  <si>
    <t>PCO 314</t>
  </si>
  <si>
    <t>PCO 315</t>
  </si>
  <si>
    <t>PCO 316</t>
  </si>
  <si>
    <t>PCO 317</t>
  </si>
  <si>
    <t>PCO 318</t>
  </si>
  <si>
    <t>PCO 319</t>
  </si>
  <si>
    <t>PCO 320</t>
  </si>
  <si>
    <t>PCO 321</t>
  </si>
  <si>
    <t>PCO 322</t>
  </si>
  <si>
    <t>PCO 323</t>
  </si>
  <si>
    <t>PCO 324</t>
  </si>
  <si>
    <t>PCO 325</t>
  </si>
  <si>
    <t>PCO 326</t>
  </si>
  <si>
    <t>PCO 327</t>
  </si>
  <si>
    <t>PCO 328</t>
  </si>
  <si>
    <t>PCO 329</t>
  </si>
  <si>
    <t>PCO 330</t>
  </si>
  <si>
    <t>PCO 331</t>
  </si>
  <si>
    <t>PCO 332</t>
  </si>
  <si>
    <t>PCO 333</t>
  </si>
  <si>
    <t>PCO 334</t>
  </si>
  <si>
    <t>PCO 335</t>
  </si>
  <si>
    <t>PCO 336</t>
  </si>
  <si>
    <t>PCO 337</t>
  </si>
  <si>
    <t>PCO 338</t>
  </si>
  <si>
    <t>PCO 339</t>
  </si>
  <si>
    <t>PCO 340</t>
  </si>
  <si>
    <t>PCO 341</t>
  </si>
  <si>
    <t>PCO 342</t>
  </si>
  <si>
    <t>PCO 343</t>
  </si>
  <si>
    <t>PCO 344</t>
  </si>
  <si>
    <t>PCO 345</t>
  </si>
  <si>
    <t>PCO 346</t>
  </si>
  <si>
    <t>PCO 347</t>
  </si>
  <si>
    <t>PCO 348</t>
  </si>
  <si>
    <t>PCO 349</t>
  </si>
  <si>
    <t>PCO 350</t>
  </si>
  <si>
    <t>PCO 351</t>
  </si>
  <si>
    <t>PCO 352</t>
  </si>
  <si>
    <t>PCO 353</t>
  </si>
  <si>
    <t>PCO 354</t>
  </si>
  <si>
    <t>PCO 355</t>
  </si>
  <si>
    <t>PCO 356</t>
  </si>
  <si>
    <t>PCO 357</t>
  </si>
  <si>
    <t>PCO 358</t>
  </si>
  <si>
    <t>PCO 359</t>
  </si>
  <si>
    <t>PCO 360</t>
  </si>
  <si>
    <t>PCO 361</t>
  </si>
  <si>
    <t>PCO 362</t>
  </si>
  <si>
    <t>PCO 363</t>
  </si>
  <si>
    <t>PCO 364</t>
  </si>
  <si>
    <t>PCO 365</t>
  </si>
  <si>
    <t>PCO 366</t>
  </si>
  <si>
    <t>PCO 367</t>
  </si>
  <si>
    <t>PCO 368</t>
  </si>
  <si>
    <t>PCO 369</t>
  </si>
  <si>
    <t>PCO 370</t>
  </si>
  <si>
    <t>PCO 371</t>
  </si>
  <si>
    <t>PCO 372</t>
  </si>
  <si>
    <t>PCO 373</t>
  </si>
  <si>
    <t>PCO 374</t>
  </si>
  <si>
    <t>PCO 375</t>
  </si>
  <si>
    <t>PCO 376</t>
  </si>
  <si>
    <t>PCO 377</t>
  </si>
  <si>
    <t>PCO 378</t>
  </si>
  <si>
    <t>PCO 379</t>
  </si>
  <si>
    <t>PCO 380</t>
  </si>
  <si>
    <t>PCO 381</t>
  </si>
  <si>
    <t>PCO 382</t>
  </si>
  <si>
    <t>PCO 383</t>
  </si>
  <si>
    <t>PCO 384</t>
  </si>
  <si>
    <t>PCO 385</t>
  </si>
  <si>
    <t>PCO 386</t>
  </si>
  <si>
    <t>PCO 387</t>
  </si>
  <si>
    <t>PCO 388</t>
  </si>
  <si>
    <t>PCO 389</t>
  </si>
  <si>
    <t>PCO 390</t>
  </si>
  <si>
    <t>PCO 391</t>
  </si>
  <si>
    <t>PCO 392</t>
  </si>
  <si>
    <t>PCO 393</t>
  </si>
  <si>
    <t>PCO 394</t>
  </si>
  <si>
    <t>PCO 395</t>
  </si>
  <si>
    <t>PCO 396</t>
  </si>
  <si>
    <t>PCO 397</t>
  </si>
  <si>
    <t>PCO 398</t>
  </si>
  <si>
    <t>PCO 399</t>
  </si>
  <si>
    <t>PCO 400</t>
  </si>
  <si>
    <t>PCO 401</t>
  </si>
  <si>
    <t>PCO 402</t>
  </si>
  <si>
    <t>PCO 403</t>
  </si>
  <si>
    <t>PCO 404</t>
  </si>
  <si>
    <t>PCO 405</t>
  </si>
  <si>
    <t>PCO 406</t>
  </si>
  <si>
    <t>PCO 407</t>
  </si>
  <si>
    <t>PCO 408</t>
  </si>
  <si>
    <t>PCO 409</t>
  </si>
  <si>
    <t>PCO 410</t>
  </si>
  <si>
    <t>PCO 411</t>
  </si>
  <si>
    <t>PCO 412</t>
  </si>
  <si>
    <t>PCO 413</t>
  </si>
  <si>
    <t>PCO 414</t>
  </si>
  <si>
    <t>PCO 415</t>
  </si>
  <si>
    <t>PCO 416</t>
  </si>
  <si>
    <t>PCO 417</t>
  </si>
  <si>
    <t>PCO 418</t>
  </si>
  <si>
    <t>PCO 419</t>
  </si>
  <si>
    <t>PCO 420</t>
  </si>
  <si>
    <t>PCO 421</t>
  </si>
  <si>
    <t>PCO 422</t>
  </si>
  <si>
    <t>PCO 423</t>
  </si>
  <si>
    <t>PCO 424</t>
  </si>
  <si>
    <t>PCO 425</t>
  </si>
  <si>
    <t>PCO 426</t>
  </si>
  <si>
    <t>PCO 427</t>
  </si>
  <si>
    <t>PCO 428</t>
  </si>
  <si>
    <t>PCO 429</t>
  </si>
  <si>
    <t>PCO 430</t>
  </si>
  <si>
    <t>PCO 431</t>
  </si>
  <si>
    <t>PCO 432</t>
  </si>
  <si>
    <t>PCO 433</t>
  </si>
  <si>
    <t>PCO 434</t>
  </si>
  <si>
    <t>PCO 435</t>
  </si>
  <si>
    <t>PCO 436</t>
  </si>
  <si>
    <t>PCO 437</t>
  </si>
  <si>
    <t>PCO 438</t>
  </si>
  <si>
    <t>PCO 439</t>
  </si>
  <si>
    <t>PCO 440</t>
  </si>
  <si>
    <t>PCO 441</t>
  </si>
  <si>
    <t>PCO 442</t>
  </si>
  <si>
    <t>PCO 443</t>
  </si>
  <si>
    <t>PCO 444</t>
  </si>
  <si>
    <t>PCO 445</t>
  </si>
  <si>
    <t>PCO 446</t>
  </si>
  <si>
    <t>PCO 447</t>
  </si>
  <si>
    <t>PCO 448</t>
  </si>
  <si>
    <t>PCO 449</t>
  </si>
  <si>
    <t>PCO 450</t>
  </si>
  <si>
    <t>PCO 451</t>
  </si>
  <si>
    <t>PCO 452</t>
  </si>
  <si>
    <t>PCO 453</t>
  </si>
  <si>
    <t>PCO 454</t>
  </si>
  <si>
    <t>PCO 455</t>
  </si>
  <si>
    <t>PCO 456</t>
  </si>
  <si>
    <t>PCO 457</t>
  </si>
  <si>
    <t>PCO 458</t>
  </si>
  <si>
    <t>PCO 459</t>
  </si>
  <si>
    <t>PCO 460</t>
  </si>
  <si>
    <t>PCO 461</t>
  </si>
  <si>
    <t>PCO 462</t>
  </si>
  <si>
    <t>PCO 463</t>
  </si>
  <si>
    <t>PCO 464</t>
  </si>
  <si>
    <t>PCO 465</t>
  </si>
  <si>
    <t>PCO 466</t>
  </si>
  <si>
    <t>PCO 467</t>
  </si>
  <si>
    <t>PCO 468</t>
  </si>
  <si>
    <t>PCO 469</t>
  </si>
  <si>
    <t>PCO 470</t>
  </si>
  <si>
    <t>PCO 471</t>
  </si>
  <si>
    <t>PCO 472</t>
  </si>
  <si>
    <t>PCO 473</t>
  </si>
  <si>
    <t>PCO 474</t>
  </si>
  <si>
    <t>PCO 475</t>
  </si>
  <si>
    <t>PCO 476</t>
  </si>
  <si>
    <t>PCO 477</t>
  </si>
  <si>
    <t>PCO 478</t>
  </si>
  <si>
    <t>PCO 479</t>
  </si>
  <si>
    <t>PCO 480</t>
  </si>
  <si>
    <t>PCO 481</t>
  </si>
  <si>
    <t>PCO 482</t>
  </si>
  <si>
    <t>PCO 483</t>
  </si>
  <si>
    <t>PCO 484</t>
  </si>
  <si>
    <t>PCO 485</t>
  </si>
  <si>
    <t>PCO 486</t>
  </si>
  <si>
    <t>PCO 487</t>
  </si>
  <si>
    <t>PCO 488</t>
  </si>
  <si>
    <t>PCO 489</t>
  </si>
  <si>
    <t>PCO 490</t>
  </si>
  <si>
    <t>PCO 491</t>
  </si>
  <si>
    <t>PCO 492</t>
  </si>
  <si>
    <t>PCO 493</t>
  </si>
  <si>
    <t>PCO 494</t>
  </si>
  <si>
    <t>PCO 495</t>
  </si>
  <si>
    <t>PCO 496</t>
  </si>
  <si>
    <t>PCO 497</t>
  </si>
  <si>
    <t>PCO 498</t>
  </si>
  <si>
    <t>PCO 499</t>
  </si>
  <si>
    <t>PCO 500</t>
  </si>
  <si>
    <t>All PCOs and Amounts by Reason Code (regardless of status)</t>
  </si>
  <si>
    <t>Select a Pay App to view the included approved PCOs and CO amount</t>
  </si>
  <si>
    <t>GRAPHS</t>
  </si>
  <si>
    <t xml:space="preserve">Change Order </t>
  </si>
  <si>
    <t>Project Name</t>
  </si>
  <si>
    <t>Agency</t>
  </si>
  <si>
    <t>Contractor</t>
  </si>
  <si>
    <t>Project Number</t>
  </si>
  <si>
    <t>Contract Number</t>
  </si>
  <si>
    <t>A/E</t>
  </si>
  <si>
    <t>PCO Number</t>
  </si>
  <si>
    <t>Description of Work</t>
  </si>
  <si>
    <t>Amount</t>
  </si>
  <si>
    <t>Days</t>
  </si>
  <si>
    <t>Status</t>
  </si>
  <si>
    <t>PCO#</t>
  </si>
  <si>
    <t>CO#</t>
  </si>
  <si>
    <t>Description</t>
  </si>
  <si>
    <t>BID PACKAGE</t>
  </si>
  <si>
    <t>TIME ADJUSTMENT</t>
  </si>
  <si>
    <t>Total This Change Order</t>
  </si>
  <si>
    <t>Original Contract</t>
  </si>
  <si>
    <t>Total Previous Change Orders</t>
  </si>
  <si>
    <t>Adjusted Contract</t>
  </si>
  <si>
    <t>NTP Date</t>
  </si>
  <si>
    <t>Substantial Date</t>
  </si>
  <si>
    <t>Total Days</t>
  </si>
  <si>
    <t>THE TERMS AND CONDITIONS OF THIS CHANGE ORDER ARE HEREBY ACCEPTED:</t>
  </si>
  <si>
    <t>DATE</t>
  </si>
  <si>
    <t>Contractor:</t>
  </si>
  <si>
    <t>Architect/Engineer:</t>
  </si>
  <si>
    <t>Agency/Institution:</t>
  </si>
  <si>
    <t>Notes</t>
  </si>
  <si>
    <t>This change order is issued under the following conditions:</t>
  </si>
  <si>
    <t>BID PACKAGE AWARD IN CM/GC</t>
  </si>
  <si>
    <t>TIME EXTENSION OR REDUCTION - NO DOLLAR CHANGE</t>
  </si>
  <si>
    <t>AE ERROR</t>
  </si>
  <si>
    <t>AE OMMISSION</t>
  </si>
  <si>
    <t>UNKNOWN CONDITIONS</t>
  </si>
  <si>
    <t xml:space="preserve">Discovery Date: </t>
  </si>
  <si>
    <t>COs this period
(use PCO Log)</t>
  </si>
  <si>
    <r>
      <t xml:space="preserve">retain released this period </t>
    </r>
    <r>
      <rPr>
        <sz val="7"/>
        <rFont val="Arial Narrow"/>
        <family val="2"/>
      </rPr>
      <t>(negative #)</t>
    </r>
  </si>
  <si>
    <t>retain released this period (negative #)</t>
  </si>
  <si>
    <t>Change Days</t>
  </si>
  <si>
    <t>work done &amp; material stored  this period</t>
  </si>
  <si>
    <t>Dollars</t>
  </si>
  <si>
    <t>Original Contractual Dates</t>
  </si>
  <si>
    <t xml:space="preserve">Fill in the gray boxes with the required project information then select a 
Change Order number from the drop down below to display the corresponding 
approved PCOs and amounts from the PCO log. </t>
  </si>
  <si>
    <t>Other - Please Specify</t>
  </si>
  <si>
    <t>Change Days:</t>
  </si>
  <si>
    <t>PCO #</t>
  </si>
  <si>
    <t>Approved PCOs WITHOUT a Pay App Assignment</t>
  </si>
  <si>
    <t>Approved Amount</t>
  </si>
  <si>
    <t>Track all your PCOs using this sheet. Start with a the date you learned about the issue, a description and reason code, then enter change days and a value in each of the pertinent work categories for the PCO. When the PCO is ready to be included in a change order, assign the PCO a CO number  and change the status to "Approved." When you do, the amount will automatically appear on the Change Order Submission Form. Once the CO Form is generated and signed by the pertinent people, come back here and assign a pay app number and the amounts will auto-populate to the correct pay application for your submission.</t>
  </si>
  <si>
    <t>TOTAL CHANGE DAYS</t>
  </si>
  <si>
    <t>Original Notice to Proceed Date:</t>
  </si>
  <si>
    <t>Original Substantial Completion Date:</t>
  </si>
  <si>
    <t>Current Substantial Completion Date:</t>
  </si>
  <si>
    <t>Project Square Feet</t>
  </si>
  <si>
    <t>Cost/Sq.Ft.</t>
  </si>
  <si>
    <t>Running % Change</t>
  </si>
  <si>
    <t>COST/SQ.FT. TRACKER</t>
  </si>
  <si>
    <t>Ctrl + Alt + F9 to refresh formulas</t>
  </si>
  <si>
    <t>Total:</t>
  </si>
  <si>
    <t>Orig. Contract</t>
  </si>
  <si>
    <t>Total Approved Non-Bid Package Change Orders &amp; CCDs</t>
  </si>
  <si>
    <t>APPROVED NON-BID PACKAGE PCOS BY REASON GRAPH</t>
  </si>
  <si>
    <t>Total Approved Bid Package Change Orders &amp; CCDs</t>
  </si>
  <si>
    <t>Bid Package Number</t>
  </si>
  <si>
    <t xml:space="preserve">Bid Package #: </t>
  </si>
  <si>
    <t>Bid Package #</t>
  </si>
  <si>
    <t>APPROVED NON-BID PACKAGE PCOS BY PAY APP GRAPH</t>
  </si>
  <si>
    <t>GMP
 $/SF</t>
  </si>
  <si>
    <t>Revised September 2026</t>
  </si>
  <si>
    <t>Will there be any additional bid package change orders?</t>
  </si>
  <si>
    <r>
      <rPr>
        <b/>
        <sz val="12"/>
        <rFont val="Calibri"/>
        <family val="2"/>
        <scheme val="minor"/>
      </rPr>
      <t>GMP Tracker</t>
    </r>
    <r>
      <rPr>
        <sz val="8"/>
        <color theme="1"/>
        <rFont val="Calibri"/>
        <family val="2"/>
        <scheme val="minor"/>
      </rPr>
      <t xml:space="preserve">
This sheet is READ ONLY and provides detail into how the GMP was reached. It records all the original contract amounts from Pay App 1, then adds any approved, bid package PCOs from the PCO Log. Once a bid package PCO gets approved in the PCO Log, it automatically appears here in PCO order.</t>
    </r>
  </si>
  <si>
    <t>Organization Name</t>
  </si>
  <si>
    <t>Address Line 1</t>
  </si>
  <si>
    <t>Contractor Name</t>
  </si>
  <si>
    <t>Change Order Form</t>
  </si>
  <si>
    <t>Project Manager:</t>
  </si>
  <si>
    <t>Application for Payment</t>
  </si>
  <si>
    <t>1.   I have conducted a diligent investigation in accordance with customary practices in the industry of the subject Work covered by this Application and Certification for Payment and to the best of may knowledge, such works is in accordance
2.   Contractor has fully paid all Subcontractors and suppliers covered whose work is reflected in prior Applications, except as
3.   The Current payment Due in this Application is in fact due to the Contractor under the Contract Documents;
4.   Contractor will promptly and fully pay all Subcontractors and suppliers whose work is reflected in this approved application for payment;
5.   The Contractor will diligently pursue obtaining any payment waivers from subcontractors or suppliers as requested by the Owner; and
6.   If any facts discovered after payment under this Application indicate that there has been an overpayment, that Contractor will promptly return such overpaid amount to the Owner.</t>
  </si>
  <si>
    <t xml:space="preserve"> Application for Payment</t>
  </si>
  <si>
    <t>1.   I have conducted a diligent investigation in accordance with customary practices in the industry of the subject Work covered by this Application and Certification for Payment and to the best of may knowledge, such works is in accordance
2.   Contractor has fully paid all Subcontractors and suppliers covered whose work is reflected in prior Applications, except as
3.   The Current payment Due in this Application is in fact due to the Contractor under the Contract Documents;
4.   Contractor will promptly and fully pay all Subcontractors and suppliers whose work is reflected in this approved application for payment;
5.   The Contractor will diligently pursue obtaining any payment waivers from subcontractors or suppliers as requested by the Owner; and
6.   If any facts discovered after payment under this Application indicate that there has been an overpayment, that Contractor will promptly return such overpaid amount to Owner.</t>
  </si>
  <si>
    <t>1.   I have conducted a diligent investigation in accordance with customary practices in the industry of the subject Work covered by this Application and Certification for Payment and to the best of may knowledge, such works is in accordance
2.   Contractor has fully paid all Subcontractors and suppliers covered whose work is reflected in prior Applications, except as
3.   The Current payment Due in this Application is in fact due to the Contractor under the Contract Documents;
4.   Contractor will promptly and fully pay all Subcontractors and suppliers whose work is reflected in this approved application for payment;
5.   The Contractor will diligently pursue obtaining any payment waivers from subcontractors or suppliers as requested by the Owner; and
6.   If any facts discovered after payment under this Application indicate that there has been an overpayment, that Contractor will promptly return such overpaid amount the Owner.</t>
  </si>
  <si>
    <t>1.   I have conducted a diligent investigation in accordance with customary practices in the industry of the subject Work covered by this Application and Certification for Payment and to the best of may knowledge, such works is in accordance
2.   Contractor has fully paid all Subcontractors and suppliers covered whose work is reflected in prior Applications, except as
3.   The Current payment Due in this Application is in fact due to the Contractor under the Contract Documents;
4.   Contractor will promptly and fully pay all Subcontractors and suppliers whose work is reflected in this approved application for payment;
5.   The Contractor will diligently pursue obtaining any payment waivers from subcontractors or suppliers as requested by the Owner; and
6.   If any facts discovered after payment under this Application indicate that there has been an overpayment, that Contractor will promptly return such overpaid amount to thte Owner.</t>
  </si>
  <si>
    <t>A/E ERROR</t>
  </si>
  <si>
    <t>AE OMISSION</t>
  </si>
  <si>
    <t>A/E OMISSION</t>
  </si>
  <si>
    <t>SCOPE</t>
  </si>
  <si>
    <t>UNKN COND</t>
  </si>
  <si>
    <t>SCOPE CHANGE</t>
  </si>
  <si>
    <t>UNKNOWN CONDITION</t>
  </si>
  <si>
    <t>CHANGE ORDER CODES</t>
  </si>
  <si>
    <t>The Change Order Reason Code table is provided for your reference when reviewing which reason code should be included in each PCO. If a reason code needs to be edited, please make the change on the PCO Log tab of this workbook.</t>
  </si>
  <si>
    <t>CONTINGENCY</t>
  </si>
  <si>
    <t>CONTRACTOR CONTINGENCY USE</t>
  </si>
  <si>
    <r>
      <t xml:space="preserve">This single payment application file is designed to be used throughout the duration of the entire project. Along the bottom of this Excel workbook, you'll find tabs for each payment application (60), a PCO Log, a Change Order Submission Form, a Cost Per Square Foot Tracker and a GMP Tracker. These worksheets are linked together and information input on one sheet is referenced in another. As the project progresses, each tab will build on the last to provide accurate information.
The light gray fields allow/require a manual entry from you. Some of the fields have a small red triangle that will provide additional information if you hover over the box with your mouse. All the other required fields will be calculated using a series of formulas.  
Start by filling in the light gray fields to the left. These fields provide the basis for formulas on other sheets. Start by naming the pay app with your organization name. The Notice to Proceed and Substantial Completion dates are the original contractual dates and should not be edited once they are input here. A big change with this new pay app is the introduction of the GMP Tracker. Cell E24 needs to be flipped to "No" once you reach GMP. This is essential for locking in the GMP. Once the fields on the left are complete, click on the "Pay App 1" tab at the bottom of the sheet, fill in the 'period from' and 'period to'  fields, then start on your first Schedule of Values. The Original Contract Amount will be determined by the amounts that you enter into "Original Contract" on Pay App 1. The sum of that column will populate on this page, and on every other pay app. Each pay app has been protected in a way that will allow you to add your organization's logo in the top left corner for your own branding purposes. 
Change Orders are input into this file by using the "PCO Log" worksheet. The PCO Log allows you to track all your PCOs throughout the project. You start with the date the issue was discovered, a description, a reason code, a bid package number (if applicable), change days and input a value in the appropriate work category. Once the PCO is approved and ready to be included in a change order, you assign it a CO number, change the status to "Approved." Once that's done, you click over to the Change Order Submission Form worksheet and pick your CO from the drop down list and your CO will be auto-generated according to the data in the PCO Log. When the CO form has been sent around to the project team and signed accordingly, return to the PCO log and assign each PCO a pay app number and the amounts will auto-populate on the right pay application. 
Note that you </t>
    </r>
    <r>
      <rPr>
        <b/>
        <sz val="9"/>
        <color theme="1"/>
        <rFont val="Calibri"/>
        <family val="2"/>
        <scheme val="minor"/>
      </rPr>
      <t>MUST</t>
    </r>
    <r>
      <rPr>
        <sz val="9"/>
        <color theme="1"/>
        <rFont val="Calibri"/>
        <family val="2"/>
        <scheme val="minor"/>
      </rPr>
      <t xml:space="preserve"> use Microsoft Excel when working with this file. Other programs like Google Sheets will cause the formulas to be unlocked and it won't work properly. In addition, you'll have the best experience using Excel 2019 or newer. 
The linked 37-minute video to the right walks you through how to use this file step-by-step.</t>
    </r>
  </si>
  <si>
    <t>Building Name</t>
  </si>
  <si>
    <t>City, State ZIP Code</t>
  </si>
  <si>
    <t>Contractor Address</t>
  </si>
  <si>
    <t>1. This work is to be performed in strict accordance with the terms of the Contract Documents, including prior issued Change Orders and Construction Change Directives, except as modified by this Change Order.
2. The rights of the Owner are not predjudiced.
3. The Contractor agrees that the terms, contract sum, scope of the Work and time specified in this Change Order shall constitute the full accord and satisfaction, and complete adjustment to the Contract and includes all direct and indirect costs and effects related to, incidental to,  a consequence of and/or reasonably implied from such change in the contract terms, sum, scope of the Work and time.
4. Documents submitted with this Change Order are hereby incorporated as part of the Contract Documents for this Project.
5. This change order is not effective until executed by the Project Manager below.
6. Signature of the Contractor below indicates agreement herewith.</t>
  </si>
  <si>
    <t>Will the owner be withholding retainage on this project?</t>
  </si>
  <si>
    <t>retainage %</t>
  </si>
  <si>
    <t>(Your Organization's Name) Pay Application</t>
  </si>
  <si>
    <t>Total Retainage Held (Retainage is only held if you indicate so in cell E23)</t>
  </si>
  <si>
    <t>To: (owner)</t>
  </si>
  <si>
    <t>From: (contractor)</t>
  </si>
  <si>
    <t>Owner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</si>
</sst>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8" formatCode="&quot;$&quot;#,##0.00_);[Red]\(&quot;$&quot;#,##0.00\)"/>
    <numFmt numFmtId="43" formatCode="_(* #,##0.00_);_(* \(#,##0.00\);_(* &quot;-&quot;??_);_(@_)"/>
    <numFmt numFmtId="164" formatCode="&quot;$&quot;#,##0.00"/>
    <numFmt numFmtId="165" formatCode="&quot;$&quot;#,##0"/>
    <numFmt numFmtId="166" formatCode="0;;;@"/>
    <numFmt numFmtId="167" formatCode="\(0.00\)"/>
    <numFmt numFmtId="168" formatCode="00\ 00\ 00"/>
    <numFmt numFmtId="169" formatCode="0.0"/>
    <numFmt numFmtId="170" formatCode="000"/>
    <numFmt numFmtId="171" formatCode="mm/dd/yy\ hh:mm"/>
    <numFmt numFmtId="172" formatCode="[$-F800]dddd\,\ mmmm\ dd\,\ yyyy"/>
    <numFmt numFmtId="173" formatCode="_(* #,##0_);_(* \(#,##0\);_(* &quot;-&quot;??_);_(@_)"/>
    <numFmt numFmtId="174" formatCode="mm\-dd\-yyyy"/>
    <numFmt numFmtId="175" formatCode="[$-409]mmmm\ d\,\ yyyy;@"/>
    <numFmt numFmtId="176" formatCode="m/d/yyyy;@"/>
    <numFmt numFmtId="177" formatCode="&quot;$&quot;#,##0.00&quot;/SQ.FT&quot;"/>
  </numFmts>
  <fonts count="40" x14ac:knownFonts="1">
    <font>
      <sz val="11"/>
      <color theme="1"/>
      <name val="Calibri"/>
      <family val="2"/>
      <scheme val="minor"/>
    </font>
    <font>
      <sz val="9"/>
      <color indexed="81"/>
      <name val="Tahoma"/>
      <family val="2"/>
    </font>
    <font>
      <sz val="11"/>
      <color theme="1"/>
      <name val="Calibri"/>
      <family val="2"/>
      <scheme val="minor"/>
    </font>
    <font>
      <sz val="8"/>
      <color theme="1"/>
      <name val="Arial Narrow"/>
      <family val="2"/>
    </font>
    <font>
      <b/>
      <sz val="9"/>
      <color theme="1"/>
      <name val="Arial Narrow"/>
      <family val="2"/>
    </font>
    <font>
      <sz val="8"/>
      <color theme="0" tint="-0.499984740745262"/>
      <name val="Arial Narrow"/>
      <family val="2"/>
    </font>
    <font>
      <sz val="8"/>
      <color theme="0"/>
      <name val="Arial Narrow"/>
      <family val="2"/>
    </font>
    <font>
      <sz val="8"/>
      <color theme="1" tint="0.249977111117893"/>
      <name val="Arial Narrow"/>
      <family val="2"/>
    </font>
    <font>
      <b/>
      <sz val="8"/>
      <color theme="1"/>
      <name val="Arial Narrow"/>
      <family val="2"/>
    </font>
    <font>
      <b/>
      <sz val="8"/>
      <name val="Arial Narrow"/>
      <family val="2"/>
    </font>
    <font>
      <sz val="8"/>
      <name val="Arial Narrow"/>
      <family val="2"/>
    </font>
    <font>
      <sz val="7"/>
      <color theme="1"/>
      <name val="Arial Narrow"/>
      <family val="2"/>
    </font>
    <font>
      <sz val="7"/>
      <name val="Arial Narrow"/>
      <family val="2"/>
    </font>
    <font>
      <sz val="8"/>
      <name val="Calibri"/>
      <family val="2"/>
      <scheme val="minor"/>
    </font>
    <font>
      <b/>
      <sz val="14"/>
      <color theme="1"/>
      <name val="Arial Narrow"/>
      <family val="2"/>
    </font>
    <font>
      <b/>
      <sz val="11"/>
      <color theme="0"/>
      <name val="Calibri"/>
      <family val="2"/>
      <scheme val="minor"/>
    </font>
    <font>
      <u/>
      <sz val="8"/>
      <color theme="1"/>
      <name val="Arial Narrow"/>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b/>
      <sz val="10"/>
      <name val="Calibri"/>
      <family val="2"/>
      <scheme val="minor"/>
    </font>
    <font>
      <b/>
      <sz val="8"/>
      <color theme="1"/>
      <name val="Calibri"/>
      <family val="2"/>
      <scheme val="minor"/>
    </font>
    <font>
      <b/>
      <sz val="16"/>
      <name val="Arial Narrow"/>
      <family val="2"/>
    </font>
    <font>
      <sz val="9"/>
      <color theme="1"/>
      <name val="Arial Narrow"/>
      <family val="2"/>
    </font>
    <font>
      <b/>
      <sz val="20"/>
      <color theme="1"/>
      <name val="Arial Narrow"/>
      <family val="2"/>
    </font>
    <font>
      <b/>
      <sz val="9"/>
      <color theme="0"/>
      <name val="Arial Narrow"/>
      <family val="2"/>
    </font>
    <font>
      <sz val="10"/>
      <color theme="1"/>
      <name val="Arial Narrow"/>
      <family val="2"/>
    </font>
    <font>
      <sz val="11"/>
      <color theme="0"/>
      <name val="Calibri"/>
      <family val="2"/>
      <scheme val="minor"/>
    </font>
    <font>
      <sz val="10"/>
      <color theme="1"/>
      <name val="Calibri"/>
      <family val="2"/>
      <scheme val="minor"/>
    </font>
    <font>
      <b/>
      <sz val="10"/>
      <color theme="0"/>
      <name val="Arial Narrow"/>
      <family val="2"/>
    </font>
    <font>
      <sz val="8.5"/>
      <color theme="1"/>
      <name val="Arial Narrow"/>
      <family val="2"/>
    </font>
    <font>
      <b/>
      <sz val="10"/>
      <color theme="0"/>
      <name val="Calibri"/>
      <family val="2"/>
      <scheme val="minor"/>
    </font>
    <font>
      <b/>
      <sz val="9"/>
      <color theme="0"/>
      <name val="Calibri"/>
      <family val="2"/>
      <scheme val="minor"/>
    </font>
    <font>
      <b/>
      <sz val="14"/>
      <color theme="1"/>
      <name val="Calibri"/>
      <family val="2"/>
      <scheme val="minor"/>
    </font>
    <font>
      <b/>
      <sz val="11"/>
      <name val="Calibri"/>
      <family val="2"/>
      <scheme val="minor"/>
    </font>
    <font>
      <sz val="11"/>
      <name val="Calibri"/>
      <family val="2"/>
      <scheme val="minor"/>
    </font>
    <font>
      <b/>
      <sz val="12"/>
      <color theme="1"/>
      <name val="Calibri"/>
      <family val="2"/>
      <scheme val="minor"/>
    </font>
    <font>
      <b/>
      <sz val="12"/>
      <name val="Calibri"/>
      <family val="2"/>
      <scheme val="minor"/>
    </font>
    <font>
      <b/>
      <sz val="8"/>
      <color theme="0"/>
      <name val="Arial Narrow"/>
      <family val="2"/>
    </font>
  </fonts>
  <fills count="27">
    <fill>
      <patternFill patternType="none"/>
    </fill>
    <fill>
      <patternFill patternType="gray125"/>
    </fill>
    <fill>
      <patternFill patternType="solid">
        <fgColor rgb="FF115FA4"/>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4" tint="-0.499984740745262"/>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rgb="FF70707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249977111117893"/>
        <bgColor indexed="64"/>
      </patternFill>
    </fill>
  </fills>
  <borders count="4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theme="0"/>
      </bottom>
      <diagonal/>
    </border>
    <border>
      <left/>
      <right/>
      <top style="thin">
        <color indexed="64"/>
      </top>
      <bottom style="double">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thin">
        <color theme="0"/>
      </left>
      <right style="thin">
        <color theme="0"/>
      </right>
      <top style="thin">
        <color theme="0"/>
      </top>
      <bottom style="thin">
        <color theme="0"/>
      </bottom>
      <diagonal/>
    </border>
    <border>
      <left/>
      <right style="thin">
        <color indexed="64"/>
      </right>
      <top/>
      <bottom style="hair">
        <color indexed="64"/>
      </bottom>
      <diagonal/>
    </border>
    <border>
      <left/>
      <right style="thin">
        <color indexed="64"/>
      </right>
      <top/>
      <bottom/>
      <diagonal/>
    </border>
    <border>
      <left style="thin">
        <color indexed="64"/>
      </left>
      <right style="thin">
        <color indexed="64"/>
      </right>
      <top/>
      <bottom/>
      <diagonal/>
    </border>
    <border>
      <left style="hair">
        <color theme="0" tint="-0.34998626667073579"/>
      </left>
      <right style="hair">
        <color theme="0" tint="-0.34998626667073579"/>
      </right>
      <top/>
      <bottom style="hair">
        <color indexed="64"/>
      </bottom>
      <diagonal/>
    </border>
    <border>
      <left style="hair">
        <color theme="0" tint="-0.34998626667073579"/>
      </left>
      <right style="thin">
        <color indexed="64"/>
      </right>
      <top/>
      <bottom style="hair">
        <color indexed="64"/>
      </bottom>
      <diagonal/>
    </border>
    <border>
      <left/>
      <right style="thin">
        <color indexed="64"/>
      </right>
      <top/>
      <bottom style="thin">
        <color indexed="64"/>
      </bottom>
      <diagonal/>
    </border>
    <border>
      <left style="hair">
        <color theme="0" tint="-0.34998626667073579"/>
      </left>
      <right style="thin">
        <color indexed="64"/>
      </right>
      <top/>
      <bottom/>
      <diagonal/>
    </border>
    <border>
      <left style="thin">
        <color indexed="64"/>
      </left>
      <right/>
      <top style="thin">
        <color indexed="64"/>
      </top>
      <bottom style="double">
        <color indexed="64"/>
      </bottom>
      <diagonal/>
    </border>
    <border>
      <left style="hair">
        <color theme="0" tint="-0.34998626667073579"/>
      </left>
      <right style="thin">
        <color indexed="64"/>
      </right>
      <top style="thin">
        <color indexed="64"/>
      </top>
      <bottom style="double">
        <color indexed="64"/>
      </bottom>
      <diagonal/>
    </border>
    <border>
      <left/>
      <right/>
      <top style="thin">
        <color indexed="64"/>
      </top>
      <bottom style="medium">
        <color indexed="64"/>
      </bottom>
      <diagonal/>
    </border>
    <border>
      <left/>
      <right/>
      <top style="dotted">
        <color indexed="64"/>
      </top>
      <bottom style="dotted">
        <color indexed="64"/>
      </bottom>
      <diagonal/>
    </border>
    <border>
      <left/>
      <right/>
      <top style="thin">
        <color theme="0"/>
      </top>
      <bottom/>
      <diagonal/>
    </border>
  </borders>
  <cellStyleXfs count="9">
    <xf numFmtId="0" fontId="0" fillId="0" borderId="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414">
    <xf numFmtId="0" fontId="0" fillId="0" borderId="0" xfId="0"/>
    <xf numFmtId="0" fontId="3" fillId="0" borderId="0" xfId="0" applyFont="1" applyAlignment="1">
      <alignment horizontal="center" vertical="center"/>
    </xf>
    <xf numFmtId="0" fontId="3" fillId="0" borderId="0" xfId="0" applyFont="1" applyAlignment="1">
      <alignment vertical="center"/>
    </xf>
    <xf numFmtId="0" fontId="8" fillId="0" borderId="0" xfId="0" applyFont="1" applyAlignment="1">
      <alignment horizontal="right" vertical="center"/>
    </xf>
    <xf numFmtId="166" fontId="3" fillId="0" borderId="0" xfId="0" applyNumberFormat="1" applyFont="1" applyAlignment="1">
      <alignment horizontal="left" vertical="center"/>
    </xf>
    <xf numFmtId="14" fontId="3" fillId="0" borderId="0" xfId="0" applyNumberFormat="1" applyFont="1" applyAlignment="1">
      <alignment horizontal="left" vertical="center"/>
    </xf>
    <xf numFmtId="0" fontId="6" fillId="2" borderId="0" xfId="0" applyFont="1" applyFill="1" applyAlignment="1">
      <alignment vertical="center"/>
    </xf>
    <xf numFmtId="0" fontId="8"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0" xfId="0" applyFont="1" applyAlignment="1">
      <alignment horizontal="center" vertical="center"/>
    </xf>
    <xf numFmtId="165" fontId="3" fillId="0" borderId="0" xfId="0" applyNumberFormat="1" applyFont="1" applyAlignment="1">
      <alignment horizontal="left" vertical="center"/>
    </xf>
    <xf numFmtId="49" fontId="3" fillId="0" borderId="0" xfId="0" applyNumberFormat="1" applyFont="1" applyAlignment="1">
      <alignment horizontal="center" vertical="center"/>
    </xf>
    <xf numFmtId="0" fontId="9" fillId="0" borderId="0" xfId="0" applyFont="1" applyAlignment="1">
      <alignment vertical="center"/>
    </xf>
    <xf numFmtId="0" fontId="10" fillId="0" borderId="0" xfId="0" applyFont="1" applyAlignment="1">
      <alignment vertical="center"/>
    </xf>
    <xf numFmtId="0" fontId="8" fillId="0" borderId="0" xfId="0" applyFont="1" applyAlignment="1">
      <alignment vertical="center" wrapText="1"/>
    </xf>
    <xf numFmtId="0" fontId="9" fillId="0" borderId="0" xfId="0" applyFont="1" applyAlignment="1">
      <alignment vertical="center" wrapText="1"/>
    </xf>
    <xf numFmtId="0" fontId="9" fillId="0" borderId="0" xfId="0" applyFont="1" applyAlignment="1">
      <alignment horizontal="left" vertical="center"/>
    </xf>
    <xf numFmtId="0" fontId="8" fillId="0" borderId="0" xfId="0" applyFont="1" applyAlignment="1">
      <alignment horizontal="left" vertical="center" wrapText="1"/>
    </xf>
    <xf numFmtId="164" fontId="3" fillId="0" borderId="0" xfId="0" applyNumberFormat="1" applyFont="1" applyAlignment="1">
      <alignment vertical="center"/>
    </xf>
    <xf numFmtId="0" fontId="8" fillId="0" borderId="0" xfId="0" applyFont="1" applyAlignment="1">
      <alignment vertical="center"/>
    </xf>
    <xf numFmtId="0" fontId="10" fillId="0" borderId="0" xfId="0" applyFont="1" applyAlignment="1">
      <alignment horizontal="left" vertical="center"/>
    </xf>
    <xf numFmtId="166" fontId="3" fillId="0" borderId="0" xfId="0" applyNumberFormat="1" applyFont="1" applyAlignment="1">
      <alignment vertical="center"/>
    </xf>
    <xf numFmtId="0" fontId="11" fillId="0" borderId="0" xfId="0" applyFont="1" applyAlignment="1">
      <alignment vertical="center"/>
    </xf>
    <xf numFmtId="0" fontId="3" fillId="11" borderId="3" xfId="5" applyFont="1" applyFill="1" applyBorder="1" applyAlignment="1" applyProtection="1">
      <alignment vertical="center"/>
    </xf>
    <xf numFmtId="0" fontId="3" fillId="12" borderId="3" xfId="6" applyFont="1" applyFill="1" applyBorder="1" applyAlignment="1" applyProtection="1">
      <alignment vertical="center"/>
    </xf>
    <xf numFmtId="165" fontId="3" fillId="0" borderId="0" xfId="0" applyNumberFormat="1" applyFont="1" applyAlignment="1">
      <alignment vertical="center"/>
    </xf>
    <xf numFmtId="0" fontId="3" fillId="13" borderId="3" xfId="1" applyFont="1" applyFill="1" applyBorder="1" applyAlignment="1" applyProtection="1">
      <alignment vertical="center"/>
    </xf>
    <xf numFmtId="167" fontId="3" fillId="0" borderId="0" xfId="0" applyNumberFormat="1" applyFont="1" applyAlignment="1">
      <alignment vertical="center"/>
    </xf>
    <xf numFmtId="0" fontId="3" fillId="13" borderId="3" xfId="1" applyFont="1" applyFill="1" applyBorder="1" applyProtection="1"/>
    <xf numFmtId="0" fontId="3" fillId="14" borderId="3" xfId="2" applyFont="1" applyFill="1" applyBorder="1" applyProtection="1"/>
    <xf numFmtId="0" fontId="3" fillId="15" borderId="3" xfId="3" applyFont="1" applyFill="1" applyBorder="1" applyProtection="1"/>
    <xf numFmtId="0" fontId="3" fillId="16" borderId="3" xfId="4" applyFont="1" applyFill="1" applyBorder="1" applyProtection="1"/>
    <xf numFmtId="0" fontId="3" fillId="11" borderId="3" xfId="5" applyFont="1" applyFill="1" applyBorder="1" applyProtection="1"/>
    <xf numFmtId="0" fontId="3" fillId="12" borderId="3" xfId="6" applyFont="1" applyFill="1" applyBorder="1" applyProtection="1"/>
    <xf numFmtId="168" fontId="3" fillId="13" borderId="3" xfId="1" applyNumberFormat="1" applyFont="1" applyFill="1" applyBorder="1" applyAlignment="1" applyProtection="1">
      <alignment horizontal="center" vertical="center" shrinkToFit="1"/>
    </xf>
    <xf numFmtId="168" fontId="3" fillId="14" borderId="3" xfId="2" applyNumberFormat="1" applyFont="1" applyFill="1" applyBorder="1" applyAlignment="1" applyProtection="1">
      <alignment horizontal="center" vertical="center" shrinkToFit="1"/>
    </xf>
    <xf numFmtId="0" fontId="3" fillId="14" borderId="3" xfId="2" applyFont="1" applyFill="1" applyBorder="1" applyAlignment="1" applyProtection="1">
      <alignment vertical="center"/>
    </xf>
    <xf numFmtId="168" fontId="3" fillId="15" borderId="3" xfId="3" applyNumberFormat="1" applyFont="1" applyFill="1" applyBorder="1" applyAlignment="1" applyProtection="1">
      <alignment horizontal="center" vertical="center" shrinkToFit="1"/>
    </xf>
    <xf numFmtId="0" fontId="3" fillId="15" borderId="3" xfId="3" applyFont="1" applyFill="1" applyBorder="1" applyAlignment="1" applyProtection="1">
      <alignment vertical="center"/>
    </xf>
    <xf numFmtId="168" fontId="3" fillId="16" borderId="3" xfId="4" applyNumberFormat="1" applyFont="1" applyFill="1" applyBorder="1" applyAlignment="1" applyProtection="1">
      <alignment horizontal="center" vertical="center" shrinkToFit="1"/>
    </xf>
    <xf numFmtId="0" fontId="3" fillId="16" borderId="3" xfId="4" applyFont="1" applyFill="1" applyBorder="1" applyAlignment="1" applyProtection="1">
      <alignment vertical="center"/>
    </xf>
    <xf numFmtId="168" fontId="3" fillId="10" borderId="3" xfId="6" applyNumberFormat="1" applyFont="1" applyBorder="1" applyAlignment="1" applyProtection="1">
      <alignment horizontal="center" vertical="center" shrinkToFit="1"/>
    </xf>
    <xf numFmtId="0" fontId="3" fillId="10" borderId="3" xfId="6" applyFont="1" applyBorder="1" applyAlignment="1" applyProtection="1">
      <alignment vertical="center"/>
    </xf>
    <xf numFmtId="168" fontId="3" fillId="9" borderId="3" xfId="5" applyNumberFormat="1" applyFont="1" applyBorder="1" applyAlignment="1" applyProtection="1">
      <alignment horizontal="center" vertical="center" shrinkToFit="1"/>
    </xf>
    <xf numFmtId="0" fontId="3" fillId="9" borderId="3" xfId="5" applyFont="1" applyBorder="1" applyAlignment="1" applyProtection="1">
      <alignment vertical="center"/>
    </xf>
    <xf numFmtId="168" fontId="3" fillId="6" borderId="3" xfId="2" applyNumberFormat="1" applyFont="1" applyBorder="1" applyAlignment="1" applyProtection="1">
      <alignment horizontal="center" vertical="center" shrinkToFit="1"/>
    </xf>
    <xf numFmtId="0" fontId="3" fillId="6" borderId="3" xfId="2" applyFont="1" applyBorder="1" applyAlignment="1" applyProtection="1">
      <alignment vertical="center"/>
    </xf>
    <xf numFmtId="168" fontId="3" fillId="11" borderId="3" xfId="5" applyNumberFormat="1" applyFont="1" applyFill="1" applyBorder="1" applyAlignment="1" applyProtection="1">
      <alignment horizontal="center" vertical="center" shrinkToFit="1"/>
    </xf>
    <xf numFmtId="168" fontId="3" fillId="12" borderId="3" xfId="6" applyNumberFormat="1" applyFont="1" applyFill="1" applyBorder="1" applyAlignment="1" applyProtection="1">
      <alignment horizontal="center" vertical="center" shrinkToFit="1"/>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0" xfId="0" applyFont="1" applyAlignment="1">
      <alignment horizontal="left" vertical="center"/>
    </xf>
    <xf numFmtId="0" fontId="3" fillId="0" borderId="12" xfId="0" applyFont="1" applyBorder="1" applyAlignment="1">
      <alignment horizontal="center" vertical="center"/>
    </xf>
    <xf numFmtId="0" fontId="3" fillId="0" borderId="12" xfId="0" applyFont="1" applyBorder="1" applyAlignment="1">
      <alignment vertical="center"/>
    </xf>
    <xf numFmtId="0" fontId="8" fillId="0" borderId="12" xfId="0" applyFont="1" applyBorder="1" applyAlignment="1">
      <alignment horizontal="right" vertical="center"/>
    </xf>
    <xf numFmtId="14" fontId="3" fillId="0" borderId="12" xfId="0" applyNumberFormat="1" applyFont="1" applyBorder="1" applyAlignment="1">
      <alignment horizontal="left" vertical="center"/>
    </xf>
    <xf numFmtId="166" fontId="4" fillId="0" borderId="0" xfId="0" applyNumberFormat="1" applyFont="1" applyAlignment="1">
      <alignment horizontal="right" vertical="center"/>
    </xf>
    <xf numFmtId="169" fontId="4" fillId="0" borderId="0" xfId="0" applyNumberFormat="1" applyFont="1" applyAlignment="1">
      <alignment vertical="center"/>
    </xf>
    <xf numFmtId="0" fontId="11" fillId="0" borderId="0" xfId="0" applyFont="1" applyAlignment="1">
      <alignment horizontal="right" vertical="center"/>
    </xf>
    <xf numFmtId="0" fontId="11" fillId="0" borderId="12" xfId="0" applyFont="1" applyBorder="1" applyAlignment="1">
      <alignment horizontal="right" vertical="center"/>
    </xf>
    <xf numFmtId="0" fontId="10" fillId="17" borderId="0" xfId="0" applyFont="1" applyFill="1"/>
    <xf numFmtId="0" fontId="3" fillId="0" borderId="0" xfId="0" applyFont="1"/>
    <xf numFmtId="0" fontId="6" fillId="2" borderId="4" xfId="0" applyFont="1" applyFill="1" applyBorder="1" applyAlignment="1">
      <alignment vertical="center"/>
    </xf>
    <xf numFmtId="0" fontId="6" fillId="2" borderId="2" xfId="0" applyFont="1" applyFill="1" applyBorder="1" applyAlignment="1">
      <alignment vertical="center"/>
    </xf>
    <xf numFmtId="0" fontId="8" fillId="0" borderId="0" xfId="0" applyFont="1" applyAlignment="1">
      <alignment horizontal="left"/>
    </xf>
    <xf numFmtId="0" fontId="3" fillId="0" borderId="0" xfId="0" applyFont="1" applyAlignment="1">
      <alignment horizontal="left"/>
    </xf>
    <xf numFmtId="0" fontId="3" fillId="0" borderId="0" xfId="0" applyFont="1" applyAlignment="1">
      <alignment vertical="top" wrapText="1"/>
    </xf>
    <xf numFmtId="165" fontId="3" fillId="0" borderId="0" xfId="0" applyNumberFormat="1" applyFont="1"/>
    <xf numFmtId="164" fontId="3" fillId="0" borderId="0" xfId="0" applyNumberFormat="1" applyFont="1"/>
    <xf numFmtId="0" fontId="3" fillId="0" borderId="1" xfId="0" applyFont="1" applyBorder="1" applyAlignment="1">
      <alignment vertical="top" wrapText="1"/>
    </xf>
    <xf numFmtId="0" fontId="3" fillId="0" borderId="0" xfId="0" applyFont="1" applyAlignment="1">
      <alignment wrapText="1"/>
    </xf>
    <xf numFmtId="0" fontId="3" fillId="0" borderId="0" xfId="0" applyFont="1" applyAlignment="1">
      <alignment horizontal="right" wrapText="1"/>
    </xf>
    <xf numFmtId="0" fontId="3" fillId="0" borderId="0" xfId="0" applyFont="1" applyAlignment="1">
      <alignment horizontal="right"/>
    </xf>
    <xf numFmtId="164" fontId="5" fillId="0" borderId="0" xfId="0" applyNumberFormat="1" applyFont="1"/>
    <xf numFmtId="164" fontId="5" fillId="0" borderId="0" xfId="0" applyNumberFormat="1" applyFont="1" applyAlignment="1">
      <alignment horizontal="right"/>
    </xf>
    <xf numFmtId="0" fontId="5" fillId="0" borderId="0" xfId="0" applyFont="1"/>
    <xf numFmtId="164" fontId="17" fillId="3" borderId="10" xfId="0" applyNumberFormat="1" applyFont="1" applyFill="1" applyBorder="1" applyAlignment="1" applyProtection="1">
      <alignment horizontal="right" vertical="center"/>
      <protection locked="0"/>
    </xf>
    <xf numFmtId="164" fontId="17" fillId="3" borderId="11" xfId="0" applyNumberFormat="1" applyFont="1" applyFill="1" applyBorder="1" applyAlignment="1" applyProtection="1">
      <alignment horizontal="right" vertical="center"/>
      <protection locked="0"/>
    </xf>
    <xf numFmtId="0" fontId="17" fillId="0" borderId="0" xfId="0" applyFont="1" applyAlignment="1">
      <alignment horizontal="right"/>
    </xf>
    <xf numFmtId="164" fontId="17" fillId="0" borderId="0" xfId="0" applyNumberFormat="1" applyFont="1" applyAlignment="1">
      <alignment horizontal="right"/>
    </xf>
    <xf numFmtId="0" fontId="0" fillId="0" borderId="0" xfId="0" applyAlignment="1">
      <alignment horizontal="right"/>
    </xf>
    <xf numFmtId="0" fontId="15" fillId="18" borderId="0" xfId="0" applyFont="1" applyFill="1"/>
    <xf numFmtId="164" fontId="17" fillId="0" borderId="13" xfId="0" applyNumberFormat="1" applyFont="1" applyBorder="1" applyAlignment="1">
      <alignment horizontal="right"/>
    </xf>
    <xf numFmtId="0" fontId="15" fillId="18" borderId="0" xfId="0" applyFont="1" applyFill="1" applyAlignment="1">
      <alignment horizontal="right"/>
    </xf>
    <xf numFmtId="164" fontId="15" fillId="18" borderId="0" xfId="0" applyNumberFormat="1" applyFont="1" applyFill="1" applyAlignment="1">
      <alignment horizontal="right"/>
    </xf>
    <xf numFmtId="164" fontId="17" fillId="3" borderId="10" xfId="0" applyNumberFormat="1" applyFont="1" applyFill="1" applyBorder="1" applyAlignment="1" applyProtection="1">
      <alignment horizontal="left" vertical="center" wrapText="1"/>
      <protection locked="0"/>
    </xf>
    <xf numFmtId="49" fontId="17" fillId="3" borderId="10" xfId="0" applyNumberFormat="1" applyFont="1" applyFill="1" applyBorder="1" applyAlignment="1" applyProtection="1">
      <alignment horizontal="left" vertical="center" wrapText="1"/>
      <protection locked="0"/>
    </xf>
    <xf numFmtId="49" fontId="17" fillId="3" borderId="10" xfId="0" applyNumberFormat="1" applyFont="1" applyFill="1" applyBorder="1" applyAlignment="1" applyProtection="1">
      <alignment horizontal="right" vertical="center" wrapText="1"/>
      <protection locked="0"/>
    </xf>
    <xf numFmtId="170" fontId="17" fillId="0" borderId="0" xfId="0" applyNumberFormat="1" applyFont="1" applyAlignment="1">
      <alignment horizontal="right"/>
    </xf>
    <xf numFmtId="170" fontId="17" fillId="3" borderId="10" xfId="0" applyNumberFormat="1" applyFont="1" applyFill="1" applyBorder="1" applyAlignment="1" applyProtection="1">
      <alignment horizontal="right" vertical="center" wrapText="1"/>
      <protection locked="0"/>
    </xf>
    <xf numFmtId="170" fontId="0" fillId="0" borderId="0" xfId="0" applyNumberFormat="1" applyAlignment="1">
      <alignment horizontal="right"/>
    </xf>
    <xf numFmtId="164" fontId="17" fillId="0" borderId="14" xfId="0" applyNumberFormat="1" applyFont="1" applyBorder="1" applyAlignment="1">
      <alignment horizontal="right" wrapText="1"/>
    </xf>
    <xf numFmtId="0" fontId="0" fillId="0" borderId="0" xfId="0" applyAlignment="1">
      <alignment horizontal="right" wrapText="1"/>
    </xf>
    <xf numFmtId="0" fontId="17" fillId="0" borderId="14" xfId="0" applyFont="1" applyBorder="1" applyAlignment="1">
      <alignment wrapText="1"/>
    </xf>
    <xf numFmtId="170" fontId="17" fillId="0" borderId="15" xfId="0" applyNumberFormat="1" applyFont="1" applyBorder="1" applyAlignment="1">
      <alignment horizontal="left" wrapText="1"/>
    </xf>
    <xf numFmtId="0" fontId="19" fillId="0" borderId="13" xfId="0" applyFont="1" applyBorder="1"/>
    <xf numFmtId="164" fontId="17" fillId="0" borderId="15" xfId="0" applyNumberFormat="1" applyFont="1" applyBorder="1"/>
    <xf numFmtId="164" fontId="19" fillId="0" borderId="13" xfId="0" applyNumberFormat="1" applyFont="1" applyBorder="1"/>
    <xf numFmtId="171" fontId="17" fillId="0" borderId="0" xfId="0" applyNumberFormat="1" applyFont="1" applyAlignment="1">
      <alignment horizontal="right"/>
    </xf>
    <xf numFmtId="0" fontId="19" fillId="0" borderId="0" xfId="0" applyFont="1"/>
    <xf numFmtId="164" fontId="19" fillId="0" borderId="0" xfId="0" applyNumberFormat="1" applyFont="1"/>
    <xf numFmtId="0" fontId="20" fillId="0" borderId="0" xfId="0" applyFont="1"/>
    <xf numFmtId="164" fontId="17" fillId="0" borderId="16" xfId="0" applyNumberFormat="1" applyFont="1" applyBorder="1" applyAlignment="1">
      <alignment horizontal="right"/>
    </xf>
    <xf numFmtId="170" fontId="17" fillId="0" borderId="14" xfId="0" applyNumberFormat="1" applyFont="1" applyBorder="1" applyAlignment="1">
      <alignment horizontal="left" wrapText="1"/>
    </xf>
    <xf numFmtId="170" fontId="17" fillId="0" borderId="14" xfId="0" applyNumberFormat="1" applyFont="1" applyBorder="1" applyAlignment="1">
      <alignment horizontal="left"/>
    </xf>
    <xf numFmtId="164" fontId="17" fillId="0" borderId="14" xfId="0" applyNumberFormat="1" applyFont="1" applyBorder="1"/>
    <xf numFmtId="0" fontId="15" fillId="18" borderId="0" xfId="0" applyFont="1" applyFill="1" applyAlignment="1">
      <alignment horizontal="center"/>
    </xf>
    <xf numFmtId="0" fontId="0" fillId="0" borderId="17" xfId="0" applyBorder="1"/>
    <xf numFmtId="164" fontId="17" fillId="0" borderId="18" xfId="0" applyNumberFormat="1" applyFont="1" applyBorder="1"/>
    <xf numFmtId="168" fontId="3" fillId="19" borderId="3" xfId="1" applyNumberFormat="1" applyFont="1" applyFill="1" applyBorder="1" applyAlignment="1" applyProtection="1">
      <alignment horizontal="center" vertical="center" shrinkToFit="1"/>
    </xf>
    <xf numFmtId="0" fontId="3" fillId="19" borderId="3" xfId="1" applyNumberFormat="1" applyFont="1" applyFill="1" applyBorder="1" applyAlignment="1" applyProtection="1">
      <alignment horizontal="left" vertical="center"/>
    </xf>
    <xf numFmtId="170" fontId="17" fillId="3" borderId="5" xfId="0" applyNumberFormat="1" applyFont="1" applyFill="1" applyBorder="1" applyAlignment="1" applyProtection="1">
      <alignment horizontal="left" wrapText="1"/>
      <protection locked="0"/>
    </xf>
    <xf numFmtId="0" fontId="17" fillId="0" borderId="1" xfId="0" applyFont="1" applyBorder="1" applyAlignment="1">
      <alignment wrapText="1"/>
    </xf>
    <xf numFmtId="164" fontId="17" fillId="0" borderId="1" xfId="0" applyNumberFormat="1" applyFont="1" applyBorder="1" applyAlignment="1">
      <alignment horizontal="right" wrapText="1"/>
    </xf>
    <xf numFmtId="0" fontId="21" fillId="20" borderId="4" xfId="0" applyFont="1" applyFill="1" applyBorder="1" applyAlignment="1">
      <alignment horizontal="left" vertical="center" wrapText="1"/>
    </xf>
    <xf numFmtId="0" fontId="21" fillId="20" borderId="2" xfId="0" applyFont="1" applyFill="1" applyBorder="1" applyAlignment="1">
      <alignment horizontal="left" vertical="center" wrapText="1"/>
    </xf>
    <xf numFmtId="0" fontId="21" fillId="20" borderId="9" xfId="0" applyFont="1" applyFill="1" applyBorder="1" applyAlignment="1">
      <alignment horizontal="right" vertical="center" wrapText="1"/>
    </xf>
    <xf numFmtId="0" fontId="22" fillId="0" borderId="0" xfId="0" applyFont="1" applyAlignment="1">
      <alignment horizontal="left"/>
    </xf>
    <xf numFmtId="0" fontId="18" fillId="0" borderId="0" xfId="0" applyFont="1"/>
    <xf numFmtId="165" fontId="18" fillId="0" borderId="0" xfId="0" applyNumberFormat="1" applyFont="1"/>
    <xf numFmtId="0" fontId="18" fillId="0" borderId="0" xfId="0" applyFont="1" applyAlignment="1">
      <alignment vertical="center"/>
    </xf>
    <xf numFmtId="0" fontId="13" fillId="17" borderId="0" xfId="0" applyFont="1" applyFill="1" applyAlignment="1">
      <alignment horizontal="right"/>
    </xf>
    <xf numFmtId="170" fontId="24" fillId="3" borderId="14" xfId="0" applyNumberFormat="1" applyFont="1" applyFill="1" applyBorder="1" applyAlignment="1" applyProtection="1">
      <alignment horizontal="left"/>
      <protection locked="0"/>
    </xf>
    <xf numFmtId="14" fontId="17" fillId="3" borderId="10" xfId="0" applyNumberFormat="1" applyFont="1" applyFill="1" applyBorder="1" applyAlignment="1" applyProtection="1">
      <alignment horizontal="right" vertical="center" wrapText="1"/>
      <protection locked="0"/>
    </xf>
    <xf numFmtId="164" fontId="3" fillId="0" borderId="0" xfId="0" applyNumberFormat="1" applyFont="1" applyAlignment="1">
      <alignment horizontal="right" vertical="center"/>
    </xf>
    <xf numFmtId="164" fontId="3" fillId="0" borderId="14" xfId="0" applyNumberFormat="1" applyFont="1" applyBorder="1" applyAlignment="1">
      <alignment vertical="center"/>
    </xf>
    <xf numFmtId="8" fontId="3" fillId="0" borderId="14" xfId="0" applyNumberFormat="1" applyFont="1" applyBorder="1" applyAlignment="1">
      <alignment vertical="center"/>
    </xf>
    <xf numFmtId="0" fontId="6" fillId="2" borderId="23"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24" xfId="0" applyFont="1" applyFill="1" applyBorder="1" applyAlignment="1">
      <alignment horizontal="center" vertical="center"/>
    </xf>
    <xf numFmtId="0" fontId="11" fillId="4" borderId="19" xfId="0" applyFont="1" applyFill="1" applyBorder="1" applyAlignment="1">
      <alignment horizontal="center" vertical="center" wrapText="1"/>
    </xf>
    <xf numFmtId="0" fontId="3" fillId="11" borderId="19" xfId="5" applyFont="1" applyFill="1" applyBorder="1" applyAlignment="1" applyProtection="1">
      <alignment vertical="center"/>
    </xf>
    <xf numFmtId="0" fontId="3" fillId="12" borderId="19" xfId="6" applyFont="1" applyFill="1" applyBorder="1" applyAlignment="1" applyProtection="1">
      <alignment vertical="center"/>
    </xf>
    <xf numFmtId="0" fontId="3" fillId="13" borderId="19" xfId="1" applyFont="1" applyFill="1" applyBorder="1" applyAlignment="1" applyProtection="1">
      <alignment vertical="center"/>
    </xf>
    <xf numFmtId="0" fontId="3" fillId="13" borderId="19" xfId="1" applyFont="1" applyFill="1" applyBorder="1" applyProtection="1"/>
    <xf numFmtId="0" fontId="3" fillId="14" borderId="19" xfId="2" applyFont="1" applyFill="1" applyBorder="1" applyProtection="1"/>
    <xf numFmtId="0" fontId="3" fillId="15" borderId="19" xfId="3" applyFont="1" applyFill="1" applyBorder="1" applyProtection="1"/>
    <xf numFmtId="0" fontId="3" fillId="16" borderId="19" xfId="4" applyFont="1" applyFill="1" applyBorder="1" applyProtection="1"/>
    <xf numFmtId="0" fontId="3" fillId="11" borderId="19" xfId="5" applyFont="1" applyFill="1" applyBorder="1" applyProtection="1"/>
    <xf numFmtId="0" fontId="3" fillId="12" borderId="19" xfId="6" applyFont="1" applyFill="1" applyBorder="1" applyProtection="1"/>
    <xf numFmtId="0" fontId="3" fillId="14" borderId="19" xfId="2" applyFont="1" applyFill="1" applyBorder="1" applyAlignment="1" applyProtection="1">
      <alignment vertical="center"/>
    </xf>
    <xf numFmtId="0" fontId="11" fillId="4" borderId="24" xfId="0" applyFont="1" applyFill="1" applyBorder="1" applyAlignment="1">
      <alignment horizontal="center" vertical="center" wrapText="1"/>
    </xf>
    <xf numFmtId="168" fontId="3" fillId="11" borderId="24" xfId="5" applyNumberFormat="1" applyFont="1" applyFill="1" applyBorder="1" applyAlignment="1" applyProtection="1">
      <alignment horizontal="center" vertical="center" shrinkToFit="1"/>
    </xf>
    <xf numFmtId="168" fontId="3" fillId="12" borderId="24" xfId="6" applyNumberFormat="1" applyFont="1" applyFill="1" applyBorder="1" applyAlignment="1" applyProtection="1">
      <alignment horizontal="center" vertical="center" shrinkToFit="1"/>
    </xf>
    <xf numFmtId="168" fontId="3" fillId="13" borderId="24" xfId="1" applyNumberFormat="1" applyFont="1" applyFill="1" applyBorder="1" applyAlignment="1" applyProtection="1">
      <alignment horizontal="center" vertical="center" shrinkToFit="1"/>
    </xf>
    <xf numFmtId="168" fontId="3" fillId="14" borderId="24" xfId="2" applyNumberFormat="1" applyFont="1" applyFill="1" applyBorder="1" applyAlignment="1" applyProtection="1">
      <alignment horizontal="center" vertical="center" shrinkToFit="1"/>
    </xf>
    <xf numFmtId="168" fontId="3" fillId="15" borderId="24" xfId="3" applyNumberFormat="1" applyFont="1" applyFill="1" applyBorder="1" applyAlignment="1" applyProtection="1">
      <alignment horizontal="center" vertical="center" shrinkToFit="1"/>
    </xf>
    <xf numFmtId="168" fontId="3" fillId="16" borderId="24" xfId="4" applyNumberFormat="1" applyFont="1" applyFill="1" applyBorder="1" applyAlignment="1" applyProtection="1">
      <alignment horizontal="center" vertical="center" shrinkToFit="1"/>
    </xf>
    <xf numFmtId="0" fontId="6" fillId="2" borderId="25" xfId="0" applyFont="1" applyFill="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164" fontId="3" fillId="3" borderId="19" xfId="0" applyNumberFormat="1" applyFont="1" applyFill="1" applyBorder="1" applyAlignment="1" applyProtection="1">
      <alignment vertical="center"/>
      <protection locked="0"/>
    </xf>
    <xf numFmtId="164" fontId="3" fillId="0" borderId="19" xfId="0" applyNumberFormat="1" applyFont="1" applyBorder="1" applyAlignment="1">
      <alignment vertical="center"/>
    </xf>
    <xf numFmtId="9" fontId="3" fillId="0" borderId="19" xfId="0" applyNumberFormat="1" applyFont="1" applyBorder="1" applyAlignment="1">
      <alignment vertical="center"/>
    </xf>
    <xf numFmtId="0" fontId="3" fillId="15" borderId="19" xfId="3" applyFont="1" applyFill="1" applyBorder="1" applyAlignment="1" applyProtection="1">
      <alignment vertical="center"/>
    </xf>
    <xf numFmtId="0" fontId="3" fillId="16" borderId="19" xfId="4" applyFont="1" applyFill="1" applyBorder="1" applyAlignment="1" applyProtection="1">
      <alignment vertical="center"/>
    </xf>
    <xf numFmtId="0" fontId="3" fillId="10" borderId="19" xfId="6" applyFont="1" applyBorder="1" applyAlignment="1" applyProtection="1">
      <alignment vertical="center"/>
    </xf>
    <xf numFmtId="0" fontId="3" fillId="9" borderId="19" xfId="5" applyFont="1" applyBorder="1" applyAlignment="1" applyProtection="1">
      <alignment vertical="center"/>
    </xf>
    <xf numFmtId="0" fontId="3" fillId="6" borderId="19" xfId="2" applyFont="1" applyBorder="1" applyAlignment="1" applyProtection="1">
      <alignment vertical="center"/>
    </xf>
    <xf numFmtId="0" fontId="3" fillId="3" borderId="19" xfId="1" applyNumberFormat="1" applyFont="1" applyFill="1" applyBorder="1" applyAlignment="1" applyProtection="1">
      <alignment horizontal="left" vertical="center"/>
      <protection locked="0"/>
    </xf>
    <xf numFmtId="166" fontId="3" fillId="0" borderId="19" xfId="0" applyNumberFormat="1" applyFont="1" applyBorder="1" applyAlignment="1">
      <alignment horizontal="left" vertical="center"/>
    </xf>
    <xf numFmtId="173" fontId="0" fillId="0" borderId="0" xfId="7" applyNumberFormat="1" applyFont="1" applyAlignment="1">
      <alignment horizontal="right"/>
    </xf>
    <xf numFmtId="173" fontId="17" fillId="0" borderId="0" xfId="7" applyNumberFormat="1" applyFont="1" applyAlignment="1">
      <alignment horizontal="right"/>
    </xf>
    <xf numFmtId="173" fontId="17" fillId="3" borderId="10" xfId="7" applyNumberFormat="1" applyFont="1" applyFill="1" applyBorder="1" applyAlignment="1" applyProtection="1">
      <alignment horizontal="right" vertical="center" wrapText="1"/>
      <protection locked="0"/>
    </xf>
    <xf numFmtId="0" fontId="18" fillId="0" borderId="0" xfId="0" applyFont="1" applyAlignment="1">
      <alignment horizontal="center" vertical="center" wrapText="1"/>
    </xf>
    <xf numFmtId="168" fontId="3" fillId="10" borderId="24" xfId="6" applyNumberFormat="1" applyFont="1" applyBorder="1" applyAlignment="1" applyProtection="1">
      <alignment horizontal="center" vertical="center" shrinkToFit="1"/>
    </xf>
    <xf numFmtId="168" fontId="3" fillId="9" borderId="24" xfId="5" applyNumberFormat="1" applyFont="1" applyBorder="1" applyAlignment="1" applyProtection="1">
      <alignment horizontal="center" vertical="center" shrinkToFit="1"/>
    </xf>
    <xf numFmtId="168" fontId="3" fillId="6" borderId="24" xfId="2" applyNumberFormat="1" applyFont="1" applyBorder="1" applyAlignment="1" applyProtection="1">
      <alignment horizontal="center" vertical="center" shrinkToFit="1"/>
    </xf>
    <xf numFmtId="168" fontId="3" fillId="3" borderId="24" xfId="1" applyNumberFormat="1" applyFont="1" applyFill="1" applyBorder="1" applyAlignment="1" applyProtection="1">
      <alignment horizontal="center" vertical="center" shrinkToFit="1"/>
      <protection locked="0"/>
    </xf>
    <xf numFmtId="0" fontId="11" fillId="4" borderId="28" xfId="0" applyFont="1" applyFill="1" applyBorder="1" applyAlignment="1">
      <alignment horizontal="center" vertical="center" wrapText="1"/>
    </xf>
    <xf numFmtId="0" fontId="3" fillId="0" borderId="28" xfId="0" applyFont="1" applyBorder="1" applyAlignment="1">
      <alignment horizontal="center" vertical="center"/>
    </xf>
    <xf numFmtId="168" fontId="3" fillId="12" borderId="24" xfId="5" applyNumberFormat="1" applyFont="1" applyFill="1" applyBorder="1" applyAlignment="1" applyProtection="1">
      <alignment horizontal="center" vertical="center" shrinkToFit="1"/>
    </xf>
    <xf numFmtId="168" fontId="3" fillId="13" borderId="24" xfId="5" applyNumberFormat="1" applyFont="1" applyFill="1" applyBorder="1" applyAlignment="1" applyProtection="1">
      <alignment horizontal="center" vertical="center" shrinkToFit="1"/>
    </xf>
    <xf numFmtId="168" fontId="3" fillId="14" borderId="24" xfId="5" applyNumberFormat="1" applyFont="1" applyFill="1" applyBorder="1" applyAlignment="1" applyProtection="1">
      <alignment horizontal="center" vertical="center" shrinkToFit="1"/>
    </xf>
    <xf numFmtId="168" fontId="3" fillId="15" borderId="24" xfId="5" applyNumberFormat="1" applyFont="1" applyFill="1" applyBorder="1" applyAlignment="1" applyProtection="1">
      <alignment horizontal="center" vertical="center" shrinkToFit="1"/>
    </xf>
    <xf numFmtId="168" fontId="3" fillId="16" borderId="24" xfId="5" applyNumberFormat="1" applyFont="1" applyFill="1" applyBorder="1" applyAlignment="1" applyProtection="1">
      <alignment horizontal="center" vertical="center" shrinkToFit="1"/>
    </xf>
    <xf numFmtId="0" fontId="3" fillId="12" borderId="19" xfId="5" applyFont="1" applyFill="1" applyBorder="1" applyAlignment="1" applyProtection="1">
      <alignment vertical="center"/>
    </xf>
    <xf numFmtId="0" fontId="3" fillId="13" borderId="19" xfId="5" applyFont="1" applyFill="1" applyBorder="1" applyAlignment="1" applyProtection="1">
      <alignment vertical="center"/>
    </xf>
    <xf numFmtId="0" fontId="3" fillId="14" borderId="19" xfId="5" applyFont="1" applyFill="1" applyBorder="1" applyAlignment="1" applyProtection="1">
      <alignment vertical="center"/>
    </xf>
    <xf numFmtId="0" fontId="3" fillId="15" borderId="19" xfId="5" applyFont="1" applyFill="1" applyBorder="1" applyAlignment="1" applyProtection="1">
      <alignment vertical="center"/>
    </xf>
    <xf numFmtId="0" fontId="3" fillId="16" borderId="19" xfId="5" applyFont="1" applyFill="1" applyBorder="1" applyAlignment="1" applyProtection="1">
      <alignment vertical="center"/>
    </xf>
    <xf numFmtId="168" fontId="3" fillId="15" borderId="24" xfId="2" applyNumberFormat="1" applyFont="1" applyFill="1" applyBorder="1" applyAlignment="1" applyProtection="1">
      <alignment horizontal="center" vertical="center" shrinkToFit="1"/>
    </xf>
    <xf numFmtId="168" fontId="3" fillId="16" borderId="24" xfId="2" applyNumberFormat="1" applyFont="1" applyFill="1" applyBorder="1" applyAlignment="1" applyProtection="1">
      <alignment horizontal="center" vertical="center" shrinkToFit="1"/>
    </xf>
    <xf numFmtId="168" fontId="3" fillId="11" borderId="24" xfId="2" applyNumberFormat="1" applyFont="1" applyFill="1" applyBorder="1" applyAlignment="1" applyProtection="1">
      <alignment horizontal="center" vertical="center" shrinkToFit="1"/>
    </xf>
    <xf numFmtId="168" fontId="3" fillId="12" borderId="24" xfId="2" applyNumberFormat="1" applyFont="1" applyFill="1" applyBorder="1" applyAlignment="1" applyProtection="1">
      <alignment horizontal="center" vertical="center" shrinkToFit="1"/>
    </xf>
    <xf numFmtId="168" fontId="3" fillId="13" borderId="24" xfId="2" applyNumberFormat="1" applyFont="1" applyFill="1" applyBorder="1" applyAlignment="1" applyProtection="1">
      <alignment horizontal="center" vertical="center" shrinkToFit="1"/>
    </xf>
    <xf numFmtId="168" fontId="3" fillId="23" borderId="24" xfId="2" applyNumberFormat="1" applyFont="1" applyFill="1" applyBorder="1" applyAlignment="1" applyProtection="1">
      <alignment horizontal="center" vertical="center" shrinkToFit="1"/>
    </xf>
    <xf numFmtId="0" fontId="3" fillId="15" borderId="19" xfId="2" applyFont="1" applyFill="1" applyBorder="1" applyAlignment="1" applyProtection="1">
      <alignment vertical="center"/>
    </xf>
    <xf numFmtId="0" fontId="3" fillId="16" borderId="19" xfId="2" applyFont="1" applyFill="1" applyBorder="1" applyAlignment="1" applyProtection="1">
      <alignment vertical="center"/>
    </xf>
    <xf numFmtId="0" fontId="3" fillId="11" borderId="19" xfId="2" applyFont="1" applyFill="1" applyBorder="1" applyAlignment="1" applyProtection="1">
      <alignment vertical="center"/>
    </xf>
    <xf numFmtId="0" fontId="3" fillId="12" borderId="19" xfId="2" applyFont="1" applyFill="1" applyBorder="1" applyAlignment="1" applyProtection="1">
      <alignment vertical="center"/>
    </xf>
    <xf numFmtId="0" fontId="3" fillId="13" borderId="19" xfId="2" applyFont="1" applyFill="1" applyBorder="1" applyAlignment="1" applyProtection="1">
      <alignment vertical="center"/>
    </xf>
    <xf numFmtId="0" fontId="3" fillId="23" borderId="19" xfId="2" applyFont="1" applyFill="1" applyBorder="1" applyAlignment="1" applyProtection="1">
      <alignment vertical="center"/>
    </xf>
    <xf numFmtId="168" fontId="3" fillId="14" borderId="3" xfId="1" applyNumberFormat="1" applyFont="1" applyFill="1" applyBorder="1" applyAlignment="1" applyProtection="1">
      <alignment horizontal="center" vertical="center" shrinkToFit="1"/>
    </xf>
    <xf numFmtId="0" fontId="3" fillId="14" borderId="3" xfId="1" applyFont="1" applyFill="1" applyBorder="1" applyAlignment="1" applyProtection="1">
      <alignment vertical="center"/>
    </xf>
    <xf numFmtId="173" fontId="3" fillId="0" borderId="19" xfId="7" applyNumberFormat="1" applyFont="1" applyFill="1" applyBorder="1" applyAlignment="1" applyProtection="1">
      <alignment horizontal="right" vertical="center" wrapText="1"/>
    </xf>
    <xf numFmtId="0" fontId="25" fillId="0" borderId="0" xfId="0" applyFont="1" applyAlignment="1">
      <alignment horizontal="right" vertical="center"/>
    </xf>
    <xf numFmtId="0" fontId="25" fillId="0" borderId="0" xfId="0" applyFont="1"/>
    <xf numFmtId="0" fontId="26" fillId="21" borderId="0" xfId="0" applyFont="1" applyFill="1" applyAlignment="1">
      <alignment horizontal="center" vertical="center" wrapText="1"/>
    </xf>
    <xf numFmtId="0" fontId="26" fillId="21" borderId="0" xfId="0" applyFont="1" applyFill="1" applyAlignment="1">
      <alignment horizontal="right" vertical="center" wrapText="1"/>
    </xf>
    <xf numFmtId="0" fontId="18" fillId="0" borderId="0" xfId="0" applyFont="1" applyAlignment="1">
      <alignment vertical="top" wrapText="1"/>
    </xf>
    <xf numFmtId="0" fontId="3" fillId="3" borderId="19" xfId="0" applyFont="1" applyFill="1" applyBorder="1" applyAlignment="1">
      <alignment vertical="center" wrapText="1"/>
    </xf>
    <xf numFmtId="0" fontId="24" fillId="0" borderId="0" xfId="0" applyFont="1"/>
    <xf numFmtId="0" fontId="4" fillId="0" borderId="0" xfId="0" applyFont="1"/>
    <xf numFmtId="170" fontId="24" fillId="3" borderId="0" xfId="0" applyNumberFormat="1" applyFont="1" applyFill="1"/>
    <xf numFmtId="0" fontId="24" fillId="3" borderId="0" xfId="0" applyFont="1" applyFill="1" applyAlignment="1">
      <alignment horizontal="center"/>
    </xf>
    <xf numFmtId="0" fontId="4" fillId="0" borderId="0" xfId="0" applyFont="1" applyAlignment="1">
      <alignment horizontal="left" indent="2"/>
    </xf>
    <xf numFmtId="172" fontId="24" fillId="0" borderId="14" xfId="0" applyNumberFormat="1" applyFont="1" applyBorder="1" applyAlignment="1">
      <alignment horizontal="center"/>
    </xf>
    <xf numFmtId="0" fontId="0" fillId="0" borderId="14" xfId="0" applyBorder="1"/>
    <xf numFmtId="0" fontId="24" fillId="0" borderId="15" xfId="0" applyFont="1" applyBorder="1"/>
    <xf numFmtId="0" fontId="24" fillId="0" borderId="1" xfId="0" applyFont="1" applyBorder="1"/>
    <xf numFmtId="0" fontId="24" fillId="0" borderId="15" xfId="0" applyFont="1" applyBorder="1" applyAlignment="1">
      <alignment horizontal="left"/>
    </xf>
    <xf numFmtId="0" fontId="0" fillId="0" borderId="15" xfId="0" applyBorder="1"/>
    <xf numFmtId="49" fontId="24" fillId="0" borderId="0" xfId="0" applyNumberFormat="1" applyFont="1" applyAlignment="1">
      <alignment horizontal="center"/>
    </xf>
    <xf numFmtId="0" fontId="24" fillId="0" borderId="15" xfId="0" applyFont="1" applyBorder="1" applyAlignment="1">
      <alignment horizontal="center"/>
    </xf>
    <xf numFmtId="0" fontId="24" fillId="0" borderId="1" xfId="0" applyFont="1" applyBorder="1" applyAlignment="1">
      <alignment horizontal="left"/>
    </xf>
    <xf numFmtId="0" fontId="26" fillId="21" borderId="19" xfId="0" applyFont="1" applyFill="1" applyBorder="1" applyAlignment="1">
      <alignment vertical="center"/>
    </xf>
    <xf numFmtId="0" fontId="26" fillId="21" borderId="19" xfId="0" applyFont="1" applyFill="1" applyBorder="1" applyAlignment="1">
      <alignment horizontal="center" vertical="center"/>
    </xf>
    <xf numFmtId="0" fontId="0" fillId="0" borderId="19" xfId="0" applyBorder="1"/>
    <xf numFmtId="173" fontId="26" fillId="21" borderId="19" xfId="7" applyNumberFormat="1" applyFont="1" applyFill="1" applyBorder="1" applyAlignment="1" applyProtection="1">
      <alignment horizontal="right" vertical="center"/>
    </xf>
    <xf numFmtId="0" fontId="30" fillId="22" borderId="22" xfId="0" applyFont="1" applyFill="1" applyBorder="1"/>
    <xf numFmtId="0" fontId="28" fillId="22" borderId="20" xfId="0" applyFont="1" applyFill="1" applyBorder="1"/>
    <xf numFmtId="0" fontId="28" fillId="22" borderId="21" xfId="0" applyFont="1" applyFill="1" applyBorder="1"/>
    <xf numFmtId="0" fontId="3" fillId="0" borderId="19" xfId="0" applyFont="1" applyBorder="1" applyAlignment="1">
      <alignment horizontal="center" vertical="center" wrapText="1"/>
    </xf>
    <xf numFmtId="0" fontId="3" fillId="0" borderId="19" xfId="0" applyFont="1" applyBorder="1" applyAlignment="1">
      <alignment vertical="center" wrapText="1"/>
    </xf>
    <xf numFmtId="164" fontId="3" fillId="0" borderId="19"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1" fontId="3" fillId="0" borderId="19" xfId="0" applyNumberFormat="1" applyFont="1" applyBorder="1" applyAlignment="1">
      <alignment horizontal="center" vertical="center" wrapText="1"/>
    </xf>
    <xf numFmtId="0" fontId="29" fillId="0" borderId="3" xfId="0" applyFont="1" applyBorder="1"/>
    <xf numFmtId="0" fontId="4" fillId="0" borderId="0" xfId="0" applyFont="1" applyAlignment="1">
      <alignment horizontal="right" indent="1"/>
    </xf>
    <xf numFmtId="164" fontId="4" fillId="0" borderId="19" xfId="0" applyNumberFormat="1" applyFont="1" applyBorder="1"/>
    <xf numFmtId="173" fontId="24" fillId="0" borderId="19" xfId="7" applyNumberFormat="1" applyFont="1" applyBorder="1" applyAlignment="1" applyProtection="1">
      <alignment horizontal="right" vertical="center"/>
    </xf>
    <xf numFmtId="164" fontId="4" fillId="0" borderId="0" xfId="0" applyNumberFormat="1" applyFont="1"/>
    <xf numFmtId="173" fontId="24" fillId="0" borderId="0" xfId="7" applyNumberFormat="1" applyFont="1" applyBorder="1" applyAlignment="1" applyProtection="1">
      <alignment horizontal="right" vertical="center"/>
    </xf>
    <xf numFmtId="0" fontId="4" fillId="0" borderId="0" xfId="0" applyFont="1" applyAlignment="1">
      <alignment horizontal="right"/>
    </xf>
    <xf numFmtId="0" fontId="4" fillId="0" borderId="19" xfId="0" applyFont="1" applyBorder="1"/>
    <xf numFmtId="175" fontId="4" fillId="0" borderId="19" xfId="0" applyNumberFormat="1" applyFont="1" applyBorder="1"/>
    <xf numFmtId="173" fontId="4" fillId="0" borderId="19" xfId="7" applyNumberFormat="1" applyFont="1" applyBorder="1" applyProtection="1"/>
    <xf numFmtId="0" fontId="4" fillId="0" borderId="27" xfId="0" applyFont="1" applyBorder="1"/>
    <xf numFmtId="164" fontId="4" fillId="0" borderId="30" xfId="0" applyNumberFormat="1" applyFont="1" applyBorder="1"/>
    <xf numFmtId="175" fontId="4" fillId="24" borderId="0" xfId="0" applyNumberFormat="1" applyFont="1" applyFill="1"/>
    <xf numFmtId="164" fontId="4" fillId="0" borderId="29" xfId="0" applyNumberFormat="1" applyFont="1" applyBorder="1"/>
    <xf numFmtId="164" fontId="4" fillId="0" borderId="27" xfId="0" applyNumberFormat="1" applyFont="1" applyBorder="1"/>
    <xf numFmtId="173" fontId="4" fillId="0" borderId="27" xfId="7" applyNumberFormat="1" applyFont="1" applyBorder="1" applyProtection="1"/>
    <xf numFmtId="0" fontId="4" fillId="0" borderId="28" xfId="0" applyFont="1" applyBorder="1"/>
    <xf numFmtId="164" fontId="4" fillId="0" borderId="25" xfId="0" applyNumberFormat="1" applyFont="1" applyBorder="1"/>
    <xf numFmtId="164" fontId="4" fillId="0" borderId="31" xfId="0" applyNumberFormat="1" applyFont="1" applyBorder="1"/>
    <xf numFmtId="164" fontId="4" fillId="0" borderId="28" xfId="0" applyNumberFormat="1" applyFont="1" applyBorder="1"/>
    <xf numFmtId="173" fontId="4" fillId="0" borderId="28" xfId="7" applyNumberFormat="1" applyFont="1" applyBorder="1" applyProtection="1"/>
    <xf numFmtId="0" fontId="27" fillId="0" borderId="14" xfId="0" applyFont="1" applyBorder="1" applyAlignment="1">
      <alignment horizontal="left"/>
    </xf>
    <xf numFmtId="0" fontId="0" fillId="0" borderId="14" xfId="0" applyBorder="1" applyAlignment="1">
      <alignment horizontal="left"/>
    </xf>
    <xf numFmtId="0" fontId="27" fillId="0" borderId="15" xfId="0" applyFont="1" applyBorder="1" applyAlignment="1">
      <alignment horizontal="left"/>
    </xf>
    <xf numFmtId="0" fontId="0" fillId="0" borderId="15" xfId="0" applyBorder="1" applyAlignment="1">
      <alignment horizontal="left"/>
    </xf>
    <xf numFmtId="0" fontId="4" fillId="0" borderId="24" xfId="0" applyFont="1" applyBorder="1"/>
    <xf numFmtId="0" fontId="4" fillId="0" borderId="29" xfId="0" applyFont="1" applyBorder="1"/>
    <xf numFmtId="0" fontId="4" fillId="0" borderId="31" xfId="0" applyFont="1" applyBorder="1"/>
    <xf numFmtId="0" fontId="24" fillId="0" borderId="23" xfId="0" applyFont="1" applyBorder="1"/>
    <xf numFmtId="0" fontId="4" fillId="0" borderId="24" xfId="0" applyFont="1" applyBorder="1" applyAlignment="1">
      <alignment horizontal="right" indent="1"/>
    </xf>
    <xf numFmtId="176" fontId="3" fillId="0" borderId="19" xfId="0" applyNumberFormat="1" applyFont="1" applyBorder="1" applyAlignment="1">
      <alignment horizontal="center" vertical="center" wrapText="1"/>
    </xf>
    <xf numFmtId="173" fontId="3" fillId="3" borderId="32" xfId="7" applyNumberFormat="1" applyFont="1" applyFill="1" applyBorder="1" applyAlignment="1" applyProtection="1">
      <alignment horizontal="left"/>
      <protection locked="0"/>
    </xf>
    <xf numFmtId="164" fontId="17" fillId="0" borderId="11" xfId="0" applyNumberFormat="1" applyFont="1" applyBorder="1" applyAlignment="1">
      <alignment horizontal="right" vertical="center"/>
    </xf>
    <xf numFmtId="164" fontId="17" fillId="0" borderId="10" xfId="0" applyNumberFormat="1" applyFont="1" applyBorder="1" applyAlignment="1">
      <alignment horizontal="right" vertical="center"/>
    </xf>
    <xf numFmtId="171" fontId="17" fillId="0" borderId="0" xfId="0" applyNumberFormat="1" applyFont="1"/>
    <xf numFmtId="164" fontId="17" fillId="0" borderId="33" xfId="0" applyNumberFormat="1" applyFont="1" applyBorder="1" applyAlignment="1">
      <alignment horizontal="right" vertical="center"/>
    </xf>
    <xf numFmtId="164" fontId="32" fillId="18" borderId="0" xfId="0" applyNumberFormat="1" applyFont="1" applyFill="1" applyAlignment="1">
      <alignment horizontal="right"/>
    </xf>
    <xf numFmtId="164" fontId="17" fillId="25" borderId="11" xfId="0" applyNumberFormat="1" applyFont="1" applyFill="1" applyBorder="1" applyAlignment="1">
      <alignment horizontal="right" vertical="center"/>
    </xf>
    <xf numFmtId="164" fontId="15" fillId="18" borderId="20" xfId="0" applyNumberFormat="1" applyFont="1" applyFill="1" applyBorder="1" applyAlignment="1">
      <alignment horizontal="center"/>
    </xf>
    <xf numFmtId="164" fontId="15" fillId="26" borderId="20" xfId="0" applyNumberFormat="1" applyFont="1" applyFill="1" applyBorder="1" applyAlignment="1">
      <alignment horizontal="center"/>
    </xf>
    <xf numFmtId="164" fontId="17" fillId="25" borderId="33" xfId="0" applyNumberFormat="1" applyFont="1" applyFill="1" applyBorder="1" applyAlignment="1">
      <alignment horizontal="right" vertical="center"/>
    </xf>
    <xf numFmtId="164" fontId="15" fillId="18" borderId="21" xfId="0" applyNumberFormat="1" applyFont="1" applyFill="1" applyBorder="1" applyAlignment="1">
      <alignment horizontal="center"/>
    </xf>
    <xf numFmtId="0" fontId="32" fillId="18" borderId="0" xfId="0" applyFont="1" applyFill="1" applyAlignment="1">
      <alignment horizontal="right"/>
    </xf>
    <xf numFmtId="0" fontId="29" fillId="0" borderId="0" xfId="0" applyFont="1" applyAlignment="1">
      <alignment horizontal="right"/>
    </xf>
    <xf numFmtId="164" fontId="17" fillId="0" borderId="36" xfId="0" applyNumberFormat="1" applyFont="1" applyBorder="1" applyAlignment="1">
      <alignment horizontal="right" vertical="center"/>
    </xf>
    <xf numFmtId="164" fontId="17" fillId="25" borderId="37" xfId="0" applyNumberFormat="1" applyFont="1" applyFill="1" applyBorder="1" applyAlignment="1">
      <alignment horizontal="right" vertical="center"/>
    </xf>
    <xf numFmtId="164" fontId="17" fillId="0" borderId="37" xfId="0" applyNumberFormat="1" applyFont="1" applyBorder="1" applyAlignment="1">
      <alignment horizontal="right" vertical="center"/>
    </xf>
    <xf numFmtId="164" fontId="15" fillId="26" borderId="0" xfId="0" applyNumberFormat="1" applyFont="1" applyFill="1" applyAlignment="1">
      <alignment horizontal="center"/>
    </xf>
    <xf numFmtId="164" fontId="33" fillId="18" borderId="38" xfId="0" applyNumberFormat="1" applyFont="1" applyFill="1" applyBorder="1" applyAlignment="1">
      <alignment horizontal="center"/>
    </xf>
    <xf numFmtId="164" fontId="33" fillId="18" borderId="5" xfId="0" applyNumberFormat="1" applyFont="1" applyFill="1" applyBorder="1" applyAlignment="1">
      <alignment horizontal="center"/>
    </xf>
    <xf numFmtId="164" fontId="33" fillId="18" borderId="0" xfId="0" applyNumberFormat="1" applyFont="1" applyFill="1" applyAlignment="1">
      <alignment horizontal="center"/>
    </xf>
    <xf numFmtId="10" fontId="17" fillId="0" borderId="14" xfId="8" applyNumberFormat="1" applyFont="1" applyBorder="1" applyAlignment="1">
      <alignment horizontal="right" vertical="center"/>
    </xf>
    <xf numFmtId="10" fontId="17" fillId="0" borderId="0" xfId="8" applyNumberFormat="1" applyFont="1" applyAlignment="1">
      <alignment horizontal="right"/>
    </xf>
    <xf numFmtId="171" fontId="20" fillId="0" borderId="0" xfId="0" applyNumberFormat="1" applyFont="1"/>
    <xf numFmtId="164" fontId="17" fillId="25" borderId="39" xfId="0" applyNumberFormat="1" applyFont="1" applyFill="1" applyBorder="1" applyAlignment="1">
      <alignment horizontal="right" vertical="center"/>
    </xf>
    <xf numFmtId="164" fontId="17" fillId="25" borderId="35" xfId="0" applyNumberFormat="1" applyFont="1" applyFill="1" applyBorder="1" applyAlignment="1">
      <alignment horizontal="right" vertical="center"/>
    </xf>
    <xf numFmtId="164" fontId="17" fillId="0" borderId="39" xfId="0" applyNumberFormat="1" applyFont="1" applyBorder="1" applyAlignment="1">
      <alignment horizontal="right" vertical="center"/>
    </xf>
    <xf numFmtId="164" fontId="17" fillId="0" borderId="34" xfId="0" applyNumberFormat="1" applyFont="1" applyBorder="1" applyAlignment="1">
      <alignment horizontal="right" vertical="center"/>
    </xf>
    <xf numFmtId="164" fontId="17" fillId="0" borderId="35" xfId="0" applyNumberFormat="1" applyFont="1" applyBorder="1" applyAlignment="1">
      <alignment horizontal="right" vertical="center"/>
    </xf>
    <xf numFmtId="164" fontId="17" fillId="25" borderId="41" xfId="0" applyNumberFormat="1" applyFont="1" applyFill="1" applyBorder="1" applyAlignment="1">
      <alignment horizontal="right" vertical="center"/>
    </xf>
    <xf numFmtId="164" fontId="17" fillId="0" borderId="41" xfId="0" applyNumberFormat="1" applyFont="1" applyBorder="1" applyAlignment="1">
      <alignment horizontal="right" vertical="center"/>
    </xf>
    <xf numFmtId="164" fontId="17" fillId="0" borderId="17" xfId="0" applyNumberFormat="1" applyFont="1" applyBorder="1" applyAlignment="1">
      <alignment horizontal="right" vertical="center"/>
    </xf>
    <xf numFmtId="164" fontId="17" fillId="0" borderId="18" xfId="0" applyNumberFormat="1" applyFont="1" applyBorder="1" applyAlignment="1">
      <alignment horizontal="right" vertical="center"/>
    </xf>
    <xf numFmtId="164" fontId="17" fillId="25" borderId="34" xfId="0" applyNumberFormat="1" applyFont="1" applyFill="1" applyBorder="1" applyAlignment="1">
      <alignment horizontal="right" vertical="center"/>
    </xf>
    <xf numFmtId="164" fontId="17" fillId="25" borderId="13" xfId="0" applyNumberFormat="1" applyFont="1" applyFill="1" applyBorder="1" applyAlignment="1">
      <alignment horizontal="right" vertical="center"/>
    </xf>
    <xf numFmtId="164" fontId="17" fillId="0" borderId="0" xfId="0" applyNumberFormat="1" applyFont="1" applyAlignment="1">
      <alignment horizontal="right" vertical="center"/>
    </xf>
    <xf numFmtId="10" fontId="17" fillId="0" borderId="40" xfId="8" applyNumberFormat="1" applyFont="1" applyBorder="1" applyAlignment="1">
      <alignment horizontal="right" vertical="center"/>
    </xf>
    <xf numFmtId="0" fontId="6" fillId="0" borderId="0" xfId="0" applyFont="1" applyAlignment="1">
      <alignment horizontal="left"/>
    </xf>
    <xf numFmtId="0" fontId="17" fillId="0" borderId="10" xfId="0" applyFont="1" applyBorder="1" applyAlignment="1">
      <alignment horizontal="right" vertical="center" wrapText="1"/>
    </xf>
    <xf numFmtId="170" fontId="17" fillId="0" borderId="10" xfId="0" applyNumberFormat="1" applyFont="1" applyBorder="1" applyAlignment="1">
      <alignment horizontal="right" vertical="center" wrapText="1"/>
    </xf>
    <xf numFmtId="0" fontId="35" fillId="17" borderId="0" xfId="0" applyFont="1" applyFill="1"/>
    <xf numFmtId="164" fontId="35" fillId="17" borderId="0" xfId="0" applyNumberFormat="1" applyFont="1" applyFill="1"/>
    <xf numFmtId="0" fontId="36" fillId="17" borderId="0" xfId="0" applyFont="1" applyFill="1"/>
    <xf numFmtId="164" fontId="36" fillId="17" borderId="0" xfId="0" applyNumberFormat="1" applyFont="1" applyFill="1"/>
    <xf numFmtId="3" fontId="36" fillId="17" borderId="0" xfId="7" applyNumberFormat="1" applyFont="1" applyFill="1"/>
    <xf numFmtId="170" fontId="36" fillId="17" borderId="0" xfId="0" applyNumberFormat="1" applyFont="1" applyFill="1" applyAlignment="1">
      <alignment horizontal="left"/>
    </xf>
    <xf numFmtId="49" fontId="36" fillId="17" borderId="0" xfId="0" applyNumberFormat="1" applyFont="1" applyFill="1"/>
    <xf numFmtId="0" fontId="36" fillId="17" borderId="13" xfId="0" applyFont="1" applyFill="1" applyBorder="1"/>
    <xf numFmtId="164" fontId="36" fillId="17" borderId="13" xfId="0" applyNumberFormat="1" applyFont="1" applyFill="1" applyBorder="1"/>
    <xf numFmtId="0" fontId="22" fillId="0" borderId="0" xfId="0" applyFont="1" applyAlignment="1">
      <alignment vertical="center"/>
    </xf>
    <xf numFmtId="164" fontId="18" fillId="0" borderId="0" xfId="0" applyNumberFormat="1" applyFont="1" applyAlignment="1">
      <alignment horizontal="right" vertical="center"/>
    </xf>
    <xf numFmtId="164" fontId="18" fillId="0" borderId="0" xfId="0" applyNumberFormat="1" applyFont="1" applyAlignment="1">
      <alignment vertical="center"/>
    </xf>
    <xf numFmtId="165" fontId="18" fillId="0" borderId="0" xfId="0" applyNumberFormat="1" applyFont="1" applyAlignment="1">
      <alignment vertical="center"/>
    </xf>
    <xf numFmtId="0" fontId="22" fillId="0" borderId="0" xfId="0" applyFont="1" applyAlignment="1">
      <alignment horizontal="left" vertical="center"/>
    </xf>
    <xf numFmtId="1" fontId="18" fillId="0" borderId="0" xfId="0" applyNumberFormat="1" applyFont="1" applyAlignment="1">
      <alignment vertical="center"/>
    </xf>
    <xf numFmtId="0" fontId="8" fillId="20" borderId="42" xfId="0" applyFont="1" applyFill="1" applyBorder="1" applyAlignment="1">
      <alignment vertical="center"/>
    </xf>
    <xf numFmtId="0" fontId="22" fillId="20" borderId="42" xfId="0" applyFont="1" applyFill="1" applyBorder="1" applyAlignment="1">
      <alignment vertical="center"/>
    </xf>
    <xf numFmtId="164" fontId="18" fillId="20" borderId="42" xfId="0" applyNumberFormat="1" applyFont="1" applyFill="1" applyBorder="1" applyAlignment="1">
      <alignment vertical="center"/>
    </xf>
    <xf numFmtId="14" fontId="3" fillId="3" borderId="32" xfId="0" applyNumberFormat="1" applyFont="1" applyFill="1" applyBorder="1" applyAlignment="1" applyProtection="1">
      <alignment horizontal="right"/>
      <protection locked="0"/>
    </xf>
    <xf numFmtId="14" fontId="3" fillId="0" borderId="0" xfId="0" applyNumberFormat="1" applyFont="1" applyAlignment="1">
      <alignment horizontal="right"/>
    </xf>
    <xf numFmtId="0" fontId="36" fillId="17" borderId="0" xfId="0" applyFont="1" applyFill="1" applyAlignment="1">
      <alignment horizontal="left"/>
    </xf>
    <xf numFmtId="164" fontId="37" fillId="0" borderId="0" xfId="0" applyNumberFormat="1" applyFont="1" applyAlignment="1">
      <alignment horizontal="left" wrapText="1"/>
    </xf>
    <xf numFmtId="164" fontId="18" fillId="3" borderId="0" xfId="0" applyNumberFormat="1" applyFont="1" applyFill="1" applyAlignment="1" applyProtection="1">
      <alignment horizontal="right" vertical="center"/>
      <protection locked="0"/>
    </xf>
    <xf numFmtId="164" fontId="37" fillId="0" borderId="0" xfId="0" applyNumberFormat="1" applyFont="1" applyAlignment="1">
      <alignment wrapText="1"/>
    </xf>
    <xf numFmtId="177" fontId="37" fillId="0" borderId="0" xfId="0" applyNumberFormat="1" applyFont="1" applyAlignment="1">
      <alignment wrapText="1"/>
    </xf>
    <xf numFmtId="0" fontId="9" fillId="0" borderId="0" xfId="0" applyFont="1" applyAlignment="1">
      <alignment horizontal="left"/>
    </xf>
    <xf numFmtId="0" fontId="8" fillId="0" borderId="43" xfId="0" applyFont="1" applyBorder="1" applyAlignment="1">
      <alignment vertical="center"/>
    </xf>
    <xf numFmtId="0" fontId="22" fillId="0" borderId="43" xfId="0" applyFont="1" applyBorder="1" applyAlignment="1">
      <alignment vertical="center"/>
    </xf>
    <xf numFmtId="164" fontId="18" fillId="0" borderId="43" xfId="0" applyNumberFormat="1" applyFont="1" applyBorder="1" applyAlignment="1">
      <alignment horizontal="right" vertical="center"/>
    </xf>
    <xf numFmtId="0" fontId="0" fillId="0" borderId="17" xfId="0" applyBorder="1" applyAlignment="1">
      <alignment vertical="center"/>
    </xf>
    <xf numFmtId="164" fontId="17" fillId="0" borderId="18" xfId="0" applyNumberFormat="1" applyFont="1" applyBorder="1" applyAlignment="1">
      <alignment vertical="center"/>
    </xf>
    <xf numFmtId="164" fontId="17" fillId="0" borderId="13" xfId="8" applyNumberFormat="1" applyFont="1" applyBorder="1" applyAlignment="1">
      <alignment horizontal="right" vertical="center"/>
    </xf>
    <xf numFmtId="164" fontId="17" fillId="0" borderId="13" xfId="0" applyNumberFormat="1" applyFont="1" applyBorder="1" applyAlignment="1">
      <alignment horizontal="right" vertical="center"/>
    </xf>
    <xf numFmtId="0" fontId="0" fillId="0" borderId="0" xfId="0" applyAlignment="1">
      <alignment horizontal="right" vertical="center"/>
    </xf>
    <xf numFmtId="0" fontId="17" fillId="0" borderId="0" xfId="0" applyFont="1" applyAlignment="1">
      <alignment horizontal="right" vertical="center"/>
    </xf>
    <xf numFmtId="170" fontId="17" fillId="0" borderId="0" xfId="0" applyNumberFormat="1" applyFont="1" applyAlignment="1">
      <alignment horizontal="right" vertical="center"/>
    </xf>
    <xf numFmtId="0" fontId="15" fillId="18" borderId="0" xfId="0" applyFont="1" applyFill="1" applyAlignment="1">
      <alignment horizontal="center" vertical="center"/>
    </xf>
    <xf numFmtId="0" fontId="15" fillId="18" borderId="0" xfId="0" applyFont="1" applyFill="1" applyAlignment="1">
      <alignment vertical="center"/>
    </xf>
    <xf numFmtId="164" fontId="15" fillId="18" borderId="0" xfId="0" applyNumberFormat="1" applyFont="1" applyFill="1" applyAlignment="1">
      <alignment horizontal="right" vertical="center"/>
    </xf>
    <xf numFmtId="0" fontId="15" fillId="18" borderId="0" xfId="0" applyFont="1" applyFill="1" applyAlignment="1">
      <alignment horizontal="right" vertical="center"/>
    </xf>
    <xf numFmtId="0" fontId="18" fillId="3" borderId="0" xfId="0" applyFont="1" applyFill="1" applyAlignment="1" applyProtection="1">
      <alignment vertical="center"/>
      <protection locked="0"/>
    </xf>
    <xf numFmtId="0" fontId="18" fillId="3" borderId="6" xfId="0" applyFont="1" applyFill="1" applyBorder="1" applyAlignment="1" applyProtection="1">
      <alignment vertical="center"/>
      <protection locked="0"/>
    </xf>
    <xf numFmtId="0" fontId="6" fillId="2" borderId="12" xfId="0" applyFont="1" applyFill="1" applyBorder="1" applyAlignment="1">
      <alignment vertical="center"/>
    </xf>
    <xf numFmtId="0" fontId="7" fillId="2" borderId="12" xfId="0" applyFont="1" applyFill="1" applyBorder="1" applyAlignment="1">
      <alignment vertical="center"/>
    </xf>
    <xf numFmtId="166" fontId="3" fillId="0" borderId="12" xfId="0" applyNumberFormat="1" applyFont="1" applyBorder="1" applyAlignment="1">
      <alignment vertical="center"/>
    </xf>
    <xf numFmtId="0" fontId="29" fillId="0" borderId="0" xfId="0" applyFont="1"/>
    <xf numFmtId="0" fontId="23" fillId="0" borderId="0" xfId="0" applyFont="1"/>
    <xf numFmtId="0" fontId="23" fillId="3" borderId="0" xfId="0" applyFont="1" applyFill="1" applyProtection="1">
      <protection locked="0"/>
    </xf>
    <xf numFmtId="0" fontId="18" fillId="0" borderId="7" xfId="0" applyFont="1" applyBorder="1"/>
    <xf numFmtId="0" fontId="18" fillId="0" borderId="8" xfId="0" applyFont="1" applyBorder="1"/>
    <xf numFmtId="0" fontId="30" fillId="22" borderId="20" xfId="0" applyFont="1" applyFill="1" applyBorder="1"/>
    <xf numFmtId="0" fontId="3" fillId="0" borderId="0" xfId="0" applyFont="1" applyAlignment="1">
      <alignment horizontal="center"/>
    </xf>
    <xf numFmtId="164" fontId="18" fillId="3" borderId="44" xfId="0" applyNumberFormat="1" applyFont="1" applyFill="1" applyBorder="1" applyAlignment="1" applyProtection="1">
      <alignment horizontal="right" vertical="center"/>
      <protection locked="0"/>
    </xf>
    <xf numFmtId="10" fontId="3" fillId="3" borderId="0" xfId="8" applyNumberFormat="1" applyFont="1" applyFill="1" applyAlignment="1" applyProtection="1">
      <alignment horizontal="left"/>
      <protection locked="0"/>
    </xf>
    <xf numFmtId="0" fontId="39" fillId="0" borderId="0" xfId="0" applyFont="1" applyAlignment="1">
      <alignment horizontal="left"/>
    </xf>
    <xf numFmtId="0" fontId="6" fillId="0" borderId="0" xfId="0" applyFont="1" applyAlignment="1">
      <alignment horizontal="center"/>
    </xf>
    <xf numFmtId="14" fontId="10" fillId="0" borderId="0" xfId="0" applyNumberFormat="1" applyFont="1" applyAlignment="1">
      <alignment horizontal="right"/>
    </xf>
    <xf numFmtId="0" fontId="8" fillId="0" borderId="0" xfId="0" applyFont="1" applyAlignment="1">
      <alignment horizontal="center"/>
    </xf>
    <xf numFmtId="0" fontId="18" fillId="3" borderId="6" xfId="0" applyFont="1" applyFill="1" applyBorder="1" applyAlignment="1" applyProtection="1">
      <alignment horizontal="left"/>
      <protection locked="0"/>
    </xf>
    <xf numFmtId="0" fontId="18" fillId="3" borderId="7" xfId="0" applyFont="1" applyFill="1" applyBorder="1" applyAlignment="1" applyProtection="1">
      <alignment horizontal="left"/>
      <protection locked="0"/>
    </xf>
    <xf numFmtId="0" fontId="18" fillId="3" borderId="8" xfId="0" applyFont="1" applyFill="1" applyBorder="1" applyAlignment="1" applyProtection="1">
      <alignment horizontal="left"/>
      <protection locked="0"/>
    </xf>
    <xf numFmtId="0" fontId="8" fillId="0" borderId="0" xfId="0" applyFont="1" applyAlignment="1">
      <alignment horizontal="left"/>
    </xf>
    <xf numFmtId="0" fontId="17" fillId="0" borderId="0" xfId="0" applyFont="1" applyAlignment="1">
      <alignment horizontal="left" vertical="top" wrapText="1"/>
    </xf>
    <xf numFmtId="0" fontId="10" fillId="0" borderId="0" xfId="0" applyFont="1" applyAlignment="1" applyProtection="1">
      <alignment horizontal="left"/>
      <protection locked="0"/>
    </xf>
    <xf numFmtId="164" fontId="18" fillId="0" borderId="0" xfId="0" applyNumberFormat="1" applyFont="1" applyAlignment="1">
      <alignment horizontal="right" vertical="center"/>
    </xf>
    <xf numFmtId="0" fontId="8" fillId="0" borderId="0" xfId="0" applyFont="1" applyAlignment="1">
      <alignment horizontal="left" vertical="center"/>
    </xf>
    <xf numFmtId="9" fontId="34" fillId="0" borderId="0" xfId="8" applyFont="1" applyAlignment="1">
      <alignment horizontal="center" vertical="center" wrapText="1"/>
    </xf>
    <xf numFmtId="0" fontId="33" fillId="18" borderId="0" xfId="0" applyFont="1" applyFill="1" applyAlignment="1">
      <alignment horizontal="center" wrapText="1"/>
    </xf>
    <xf numFmtId="0" fontId="33" fillId="18" borderId="1" xfId="0" applyFont="1" applyFill="1" applyBorder="1" applyAlignment="1">
      <alignment horizontal="center" wrapText="1"/>
    </xf>
    <xf numFmtId="0" fontId="33" fillId="18" borderId="0" xfId="0" applyFont="1" applyFill="1" applyAlignment="1">
      <alignment horizontal="left"/>
    </xf>
    <xf numFmtId="0" fontId="33" fillId="18" borderId="1" xfId="0" applyFont="1" applyFill="1" applyBorder="1" applyAlignment="1">
      <alignment horizontal="left"/>
    </xf>
    <xf numFmtId="10" fontId="33" fillId="18" borderId="35" xfId="8" quotePrefix="1" applyNumberFormat="1" applyFont="1" applyFill="1" applyBorder="1" applyAlignment="1">
      <alignment horizontal="center" vertical="center" wrapText="1"/>
    </xf>
    <xf numFmtId="10" fontId="33" fillId="18" borderId="5" xfId="8" quotePrefix="1" applyNumberFormat="1" applyFont="1" applyFill="1" applyBorder="1" applyAlignment="1">
      <alignment horizontal="center" vertical="center" wrapText="1"/>
    </xf>
    <xf numFmtId="164" fontId="33" fillId="18" borderId="35" xfId="0" applyNumberFormat="1" applyFont="1" applyFill="1" applyBorder="1" applyAlignment="1">
      <alignment horizontal="center" wrapText="1"/>
    </xf>
    <xf numFmtId="164" fontId="33" fillId="18" borderId="5" xfId="0" applyNumberFormat="1" applyFont="1" applyFill="1" applyBorder="1" applyAlignment="1">
      <alignment horizontal="center" wrapText="1"/>
    </xf>
    <xf numFmtId="0" fontId="37" fillId="0" borderId="0" xfId="0" applyFont="1" applyAlignment="1">
      <alignment horizontal="left" wrapText="1"/>
    </xf>
    <xf numFmtId="0" fontId="18" fillId="0" borderId="0" xfId="0" applyFont="1" applyAlignment="1">
      <alignment horizontal="left" wrapText="1"/>
    </xf>
    <xf numFmtId="0" fontId="25" fillId="0" borderId="0" xfId="0" applyFont="1" applyAlignment="1">
      <alignment horizontal="right" vertical="center"/>
    </xf>
    <xf numFmtId="0" fontId="26" fillId="21" borderId="19" xfId="0" applyFont="1" applyFill="1" applyBorder="1" applyAlignment="1">
      <alignment horizontal="left" vertical="center"/>
    </xf>
    <xf numFmtId="49" fontId="24" fillId="3" borderId="14" xfId="0" applyNumberFormat="1" applyFont="1" applyFill="1" applyBorder="1" applyAlignment="1" applyProtection="1">
      <alignment horizontal="left"/>
      <protection locked="0"/>
    </xf>
    <xf numFmtId="0" fontId="29" fillId="0" borderId="0" xfId="0" applyFont="1" applyAlignment="1">
      <alignment horizontal="left" indent="1"/>
    </xf>
    <xf numFmtId="0" fontId="29" fillId="0" borderId="3" xfId="0" applyFont="1" applyBorder="1" applyAlignment="1">
      <alignment horizontal="left" indent="1"/>
    </xf>
    <xf numFmtId="0" fontId="4" fillId="0" borderId="0" xfId="0" applyFont="1" applyAlignment="1">
      <alignment horizontal="center"/>
    </xf>
    <xf numFmtId="174" fontId="3" fillId="0" borderId="0" xfId="0" applyNumberFormat="1" applyFont="1" applyAlignment="1">
      <alignment horizontal="right"/>
    </xf>
    <xf numFmtId="0" fontId="31" fillId="0" borderId="0" xfId="0" applyFont="1" applyAlignment="1">
      <alignment horizontal="left" vertical="top" wrapText="1"/>
    </xf>
    <xf numFmtId="0" fontId="31" fillId="0" borderId="0" xfId="0" applyFont="1" applyAlignment="1">
      <alignment horizontal="left" vertical="top"/>
    </xf>
    <xf numFmtId="0" fontId="29" fillId="0" borderId="4" xfId="0" applyFont="1" applyBorder="1" applyAlignment="1">
      <alignment horizontal="left" indent="1"/>
    </xf>
    <xf numFmtId="0" fontId="29" fillId="0" borderId="2" xfId="0" applyFont="1" applyBorder="1" applyAlignment="1">
      <alignment horizontal="left" indent="1"/>
    </xf>
    <xf numFmtId="0" fontId="29" fillId="0" borderId="9" xfId="0" applyFont="1" applyBorder="1" applyAlignment="1">
      <alignment horizontal="left" indent="1"/>
    </xf>
    <xf numFmtId="0" fontId="3" fillId="0" borderId="0" xfId="0" applyFont="1" applyAlignment="1">
      <alignment horizontal="center" vertical="center" wrapText="1"/>
    </xf>
    <xf numFmtId="0" fontId="24" fillId="0" borderId="0" xfId="0" applyFont="1" applyAlignment="1">
      <alignment horizontal="left" wrapText="1"/>
    </xf>
    <xf numFmtId="14" fontId="24" fillId="0" borderId="14" xfId="0" applyNumberFormat="1" applyFont="1" applyBorder="1" applyAlignment="1">
      <alignment horizontal="left"/>
    </xf>
    <xf numFmtId="0" fontId="24" fillId="3" borderId="15" xfId="0" applyFont="1" applyFill="1" applyBorder="1" applyAlignment="1" applyProtection="1">
      <alignment horizontal="left"/>
      <protection locked="0"/>
    </xf>
    <xf numFmtId="164" fontId="17" fillId="3" borderId="3" xfId="0" applyNumberFormat="1" applyFont="1" applyFill="1" applyBorder="1" applyAlignment="1" applyProtection="1">
      <alignment horizontal="left" vertical="top" wrapText="1"/>
      <protection locked="0"/>
    </xf>
    <xf numFmtId="170" fontId="17" fillId="0" borderId="4" xfId="0" applyNumberFormat="1" applyFont="1" applyBorder="1" applyAlignment="1">
      <alignment horizontal="left" wrapText="1"/>
    </xf>
    <xf numFmtId="170" fontId="17" fillId="0" borderId="2" xfId="0" applyNumberFormat="1" applyFont="1" applyBorder="1" applyAlignment="1">
      <alignment horizontal="left" wrapText="1"/>
    </xf>
    <xf numFmtId="0" fontId="18" fillId="0" borderId="0" xfId="0" applyFont="1" applyAlignment="1">
      <alignment horizontal="left" vertical="center" wrapText="1"/>
    </xf>
    <xf numFmtId="0" fontId="14"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left" vertical="center" indent="1"/>
    </xf>
    <xf numFmtId="0" fontId="6" fillId="2" borderId="0" xfId="0" applyFont="1" applyFill="1" applyAlignment="1">
      <alignment horizontal="left" vertical="center"/>
    </xf>
    <xf numFmtId="0" fontId="3" fillId="0" borderId="0" xfId="0" applyFont="1" applyAlignment="1">
      <alignment horizontal="left" vertical="center"/>
    </xf>
    <xf numFmtId="166" fontId="3" fillId="0" borderId="12" xfId="0" applyNumberFormat="1" applyFont="1" applyBorder="1" applyAlignment="1">
      <alignment horizontal="left" vertical="center"/>
    </xf>
    <xf numFmtId="0" fontId="3" fillId="0" borderId="0" xfId="0" applyFont="1" applyAlignment="1">
      <alignment horizontal="left" vertical="center" wrapText="1" indent="1"/>
    </xf>
    <xf numFmtId="0" fontId="8" fillId="0" borderId="0" xfId="0" applyFont="1" applyAlignment="1" applyProtection="1">
      <alignment horizontal="left" vertical="center" wrapText="1" indent="1"/>
      <protection locked="0"/>
    </xf>
    <xf numFmtId="0" fontId="8" fillId="0" borderId="0" xfId="0" applyFont="1" applyAlignment="1" applyProtection="1">
      <alignment horizontal="left" vertical="center" indent="1"/>
      <protection locked="0"/>
    </xf>
    <xf numFmtId="166" fontId="3" fillId="0" borderId="0" xfId="0" applyNumberFormat="1" applyFont="1" applyAlignment="1">
      <alignment horizontal="left" vertical="center"/>
    </xf>
    <xf numFmtId="0" fontId="8" fillId="0" borderId="0" xfId="0" applyFont="1" applyAlignment="1">
      <alignment horizontal="center" vertical="center"/>
    </xf>
    <xf numFmtId="0" fontId="3" fillId="0" borderId="0" xfId="0" applyFont="1" applyAlignment="1">
      <alignment horizontal="left" vertical="center" wrapText="1"/>
    </xf>
    <xf numFmtId="14" fontId="3" fillId="3" borderId="6" xfId="0" applyNumberFormat="1" applyFont="1" applyFill="1" applyBorder="1" applyAlignment="1" applyProtection="1">
      <alignment horizontal="left" vertical="center"/>
      <protection locked="0"/>
    </xf>
    <xf numFmtId="14" fontId="3" fillId="3" borderId="7" xfId="0" applyNumberFormat="1" applyFont="1" applyFill="1" applyBorder="1" applyAlignment="1" applyProtection="1">
      <alignment horizontal="left" vertical="center"/>
      <protection locked="0"/>
    </xf>
    <xf numFmtId="14" fontId="16" fillId="0" borderId="0" xfId="0" applyNumberFormat="1" applyFont="1" applyAlignment="1">
      <alignment horizontal="center" vertical="center"/>
    </xf>
    <xf numFmtId="14" fontId="3" fillId="0" borderId="0" xfId="0" applyNumberFormat="1" applyFont="1" applyAlignment="1">
      <alignment horizontal="center" vertical="center"/>
    </xf>
  </cellXfs>
  <cellStyles count="9">
    <cellStyle name="40% - Accent1" xfId="1" builtinId="31"/>
    <cellStyle name="40% - Accent2" xfId="2" builtinId="35"/>
    <cellStyle name="40% - Accent3" xfId="3" builtinId="39"/>
    <cellStyle name="40% - Accent4" xfId="4" builtinId="43"/>
    <cellStyle name="40% - Accent5" xfId="5" builtinId="47"/>
    <cellStyle name="40% - Accent6" xfId="6" builtinId="51"/>
    <cellStyle name="Comma" xfId="7" builtinId="3"/>
    <cellStyle name="Normal" xfId="0" builtinId="0"/>
    <cellStyle name="Percent" xfId="8" builtinId="5"/>
  </cellStyles>
  <dxfs count="786">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FF0000"/>
      </font>
    </dxf>
    <dxf>
      <font>
        <color rgb="FFFF0000"/>
      </font>
    </dxf>
    <dxf>
      <font>
        <color rgb="FF9C0006"/>
      </font>
      <fill>
        <patternFill>
          <bgColor rgb="FFFFC7CE"/>
        </patternFill>
      </fill>
    </dxf>
    <dxf>
      <font>
        <color theme="0"/>
      </font>
      <fill>
        <patternFill>
          <bgColor theme="0"/>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00B050"/>
      </font>
    </dxf>
    <dxf>
      <font>
        <color rgb="FFC00000"/>
      </font>
    </dxf>
    <dxf>
      <fill>
        <patternFill>
          <bgColor theme="6"/>
        </patternFill>
      </fill>
    </dxf>
    <dxf>
      <fill>
        <patternFill>
          <bgColor rgb="FFFFFF00"/>
        </patternFill>
      </fill>
    </dxf>
    <dxf>
      <fill>
        <patternFill>
          <bgColor theme="9"/>
        </patternFill>
      </fill>
    </dxf>
    <dxf>
      <fill>
        <patternFill>
          <bgColor rgb="FFFF0000"/>
        </patternFill>
      </fill>
    </dxf>
    <dxf>
      <font>
        <color theme="0"/>
      </font>
    </dxf>
    <dxf>
      <font>
        <color theme="0"/>
      </font>
    </dxf>
    <dxf>
      <font>
        <color theme="0"/>
      </font>
    </dxf>
    <dxf>
      <font>
        <color theme="0"/>
      </font>
    </dxf>
    <dxf>
      <font>
        <color theme="0"/>
      </font>
    </dxf>
    <dxf>
      <font>
        <color rgb="FF00B050"/>
      </font>
    </dxf>
    <dxf>
      <font>
        <color rgb="FFC00000"/>
      </font>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f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
      <font>
        <color theme="0"/>
      </font>
      <fill>
        <patternFill>
          <bgColor theme="0"/>
        </patternFill>
      </fill>
    </dxf>
    <dxf>
      <font>
        <color theme="4" tint="0.79998168889431442"/>
      </font>
      <fill>
        <patternFill>
          <bgColor theme="4" tint="0.79998168889431442"/>
        </patternFill>
      </fill>
    </dxf>
    <dxf>
      <font>
        <color theme="4" tint="0.79998168889431442"/>
      </font>
      <fill>
        <patternFill>
          <bgColor theme="4" tint="0.79998168889431442"/>
        </patternFill>
      </fill>
    </dxf>
    <dxf>
      <font>
        <color theme="0"/>
      </font>
      <fill>
        <patternFill>
          <bgColor theme="0"/>
        </patternFill>
      </fill>
    </dxf>
  </dxfs>
  <tableStyles count="0" defaultTableStyle="TableStyleMedium2" defaultPivotStyle="PivotStyleLight16"/>
  <colors>
    <mruColors>
      <color rgb="FF115FA4"/>
      <color rgb="FF707070"/>
      <color rgb="FFC72900"/>
      <color rgb="FF6BBAFC"/>
      <color rgb="FF5971FF"/>
      <color rgb="FFEF8300"/>
      <color rgb="FFEDAD00"/>
      <color rgb="FFFBC323"/>
      <color rgb="FF2133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COST PER SQUARE FOOT</a:t>
            </a:r>
            <a:r>
              <a:rPr lang="en-US" sz="1800" b="1" baseline="0"/>
              <a:t> OVER TIME</a:t>
            </a:r>
            <a:endParaRPr lang="en-US" sz="1800" b="1"/>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strRef>
              <c:f>'CostPerSqFt Tracker'!$F$2:$DT$2</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'CostPerSqFt Tracker'!$F$91:$DT$91</c:f>
              <c:numCache>
                <c:formatCode>"$"#,##0.00</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0-DF68-4F8A-84EC-581778E3B677}"/>
            </c:ext>
          </c:extLst>
        </c:ser>
        <c:dLbls>
          <c:showLegendKey val="0"/>
          <c:showVal val="0"/>
          <c:showCatName val="0"/>
          <c:showSerName val="0"/>
          <c:showPercent val="0"/>
          <c:showBubbleSize val="0"/>
        </c:dLbls>
        <c:smooth val="0"/>
        <c:axId val="901249600"/>
        <c:axId val="901247440"/>
      </c:lineChart>
      <c:catAx>
        <c:axId val="901249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01247440"/>
        <c:crosses val="autoZero"/>
        <c:auto val="1"/>
        <c:lblAlgn val="ctr"/>
        <c:lblOffset val="100"/>
        <c:noMultiLvlLbl val="0"/>
      </c:catAx>
      <c:valAx>
        <c:axId val="90124744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90124960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US" b="1">
                <a:solidFill>
                  <a:sysClr val="windowText" lastClr="000000"/>
                </a:solidFill>
              </a:rPr>
              <a:t>Work Completed by Pay Application</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n-US"/>
        </a:p>
      </c:txPr>
    </c:title>
    <c:autoTitleDeleted val="0"/>
    <c:plotArea>
      <c:layout>
        <c:manualLayout>
          <c:layoutTarget val="inner"/>
          <c:xMode val="edge"/>
          <c:yMode val="edge"/>
          <c:x val="2.808959633868718E-2"/>
          <c:y val="0.10707950156087431"/>
          <c:w val="0.96705286861037709"/>
          <c:h val="0.62892419931317989"/>
        </c:manualLayout>
      </c:layout>
      <c:barChart>
        <c:barDir val="col"/>
        <c:grouping val="stacked"/>
        <c:varyColors val="0"/>
        <c:ser>
          <c:idx val="1"/>
          <c:order val="1"/>
          <c:tx>
            <c:strRef>
              <c:f>'Graph Data'!$L$1</c:f>
              <c:strCache>
                <c:ptCount val="1"/>
                <c:pt idx="0">
                  <c:v>Work Previously Completed</c:v>
                </c:pt>
              </c:strCache>
            </c:strRef>
          </c:tx>
          <c:spPr>
            <a:solidFill>
              <a:srgbClr val="EDAD00"/>
            </a:solidFill>
            <a:ln>
              <a:noFill/>
            </a:ln>
            <a:effectLst/>
          </c:spPr>
          <c:invertIfNegative val="0"/>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Data'!$L$2:$L$61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0-1E8B-4E91-8A96-AEE08CF1CD83}"/>
            </c:ext>
          </c:extLst>
        </c:ser>
        <c:ser>
          <c:idx val="2"/>
          <c:order val="2"/>
          <c:tx>
            <c:strRef>
              <c:f>'Graph Data'!$M$1</c:f>
              <c:strCache>
                <c:ptCount val="1"/>
                <c:pt idx="0">
                  <c:v>Work Completed &amp; Stored This Period</c:v>
                </c:pt>
              </c:strCache>
            </c:strRef>
          </c:tx>
          <c:spPr>
            <a:solidFill>
              <a:srgbClr val="5971FF"/>
            </a:solidFill>
            <a:ln>
              <a:noFill/>
            </a:ln>
            <a:effectLst/>
          </c:spPr>
          <c:invertIfNegative val="0"/>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Data'!$M$2:$M$61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1-1E8B-4E91-8A96-AEE08CF1CD83}"/>
            </c:ext>
          </c:extLst>
        </c:ser>
        <c:dLbls>
          <c:showLegendKey val="0"/>
          <c:showVal val="0"/>
          <c:showCatName val="0"/>
          <c:showSerName val="0"/>
          <c:showPercent val="0"/>
          <c:showBubbleSize val="0"/>
        </c:dLbls>
        <c:gapWidth val="39"/>
        <c:overlap val="100"/>
        <c:axId val="177858432"/>
        <c:axId val="198049792"/>
      </c:barChart>
      <c:lineChart>
        <c:grouping val="standard"/>
        <c:varyColors val="0"/>
        <c:ser>
          <c:idx val="0"/>
          <c:order val="0"/>
          <c:tx>
            <c:strRef>
              <c:f>'Graph Data'!$K$1</c:f>
              <c:strCache>
                <c:ptCount val="1"/>
                <c:pt idx="0">
                  <c:v>Adjusted Contract Sum</c:v>
                </c:pt>
              </c:strCache>
            </c:strRef>
          </c:tx>
          <c:spPr>
            <a:ln w="28575" cap="rnd">
              <a:solidFill>
                <a:srgbClr val="C72900"/>
              </a:solidFill>
              <a:round/>
            </a:ln>
            <a:effectLst/>
          </c:spPr>
          <c:marker>
            <c:symbol val="none"/>
          </c:marker>
          <c:cat>
            <c:strRef>
              <c:f>'Graph Data'!$J$2:$J$61</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Data'!$K$2:$K$61</c:f>
              <c:numCache>
                <c:formatCode>General</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2-1E8B-4E91-8A96-AEE08CF1CD83}"/>
            </c:ext>
          </c:extLst>
        </c:ser>
        <c:dLbls>
          <c:showLegendKey val="0"/>
          <c:showVal val="0"/>
          <c:showCatName val="0"/>
          <c:showSerName val="0"/>
          <c:showPercent val="0"/>
          <c:showBubbleSize val="0"/>
        </c:dLbls>
        <c:marker val="1"/>
        <c:smooth val="0"/>
        <c:axId val="177858432"/>
        <c:axId val="198049792"/>
      </c:lineChart>
      <c:catAx>
        <c:axId val="177858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049792"/>
        <c:crosses val="autoZero"/>
        <c:auto val="1"/>
        <c:lblAlgn val="ctr"/>
        <c:lblOffset val="100"/>
        <c:noMultiLvlLbl val="0"/>
      </c:catAx>
      <c:valAx>
        <c:axId val="19804979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58432"/>
        <c:crosses val="autoZero"/>
        <c:crossBetween val="between"/>
      </c:valAx>
      <c:spPr>
        <a:noFill/>
        <a:ln>
          <a:noFill/>
        </a:ln>
        <a:effectLst/>
      </c:spPr>
    </c:plotArea>
    <c:legend>
      <c:legendPos val="b"/>
      <c:layout>
        <c:manualLayout>
          <c:xMode val="edge"/>
          <c:yMode val="edge"/>
          <c:x val="0.22091787773045166"/>
          <c:y val="0.93955572657594577"/>
          <c:w val="0.55816424453909674"/>
          <c:h val="6.0444273424054271E-2"/>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oddFooter>&amp;L&amp;"Arial Narrow,Regular"&amp;8&amp;A - &amp;D </c:oddFooter>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r>
              <a:rPr lang="en-US" sz="1600" b="1">
                <a:solidFill>
                  <a:schemeClr val="tx1"/>
                </a:solidFill>
              </a:rPr>
              <a:t>Non-Bid Package PCOs by CSI and Reason Codes </a:t>
            </a:r>
          </a:p>
        </c:rich>
      </c:tx>
      <c:overlay val="0"/>
      <c:spPr>
        <a:noFill/>
        <a:ln>
          <a:noFill/>
        </a:ln>
        <a:effectLst/>
      </c:spPr>
      <c:txPr>
        <a:bodyPr rot="0" spcFirstLastPara="1" vertOverflow="ellipsis" vert="horz" wrap="square" anchor="ctr" anchorCtr="1"/>
        <a:lstStyle/>
        <a:p>
          <a:pPr>
            <a:defRPr sz="16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2.1655131047817505E-2"/>
          <c:y val="1.2870579226805788E-2"/>
          <c:w val="0.96553067675699578"/>
          <c:h val="0.57698610169335163"/>
        </c:manualLayout>
      </c:layout>
      <c:barChart>
        <c:barDir val="col"/>
        <c:grouping val="stacked"/>
        <c:varyColors val="0"/>
        <c:ser>
          <c:idx val="0"/>
          <c:order val="0"/>
          <c:tx>
            <c:strRef>
              <c:f>'Graph Data'!$Q$93</c:f>
              <c:strCache>
                <c:ptCount val="1"/>
                <c:pt idx="0">
                  <c:v>AE ERROR</c:v>
                </c:pt>
              </c:strCache>
            </c:strRef>
          </c:tx>
          <c:spPr>
            <a:solidFill>
              <a:srgbClr val="EF830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Data'!$Q$94:$Q$180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0-6540-4C50-90C0-8DBBA25B37DE}"/>
            </c:ext>
          </c:extLst>
        </c:ser>
        <c:ser>
          <c:idx val="1"/>
          <c:order val="1"/>
          <c:tx>
            <c:strRef>
              <c:f>'Graph Data'!$R$93</c:f>
              <c:strCache>
                <c:ptCount val="1"/>
                <c:pt idx="0">
                  <c:v>AE OMMISSION</c:v>
                </c:pt>
              </c:strCache>
            </c:strRef>
          </c:tx>
          <c:spPr>
            <a:solidFill>
              <a:srgbClr val="C7290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Data'!$R$94:$R$180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1-6540-4C50-90C0-8DBBA25B37DE}"/>
            </c:ext>
          </c:extLst>
        </c:ser>
        <c:ser>
          <c:idx val="2"/>
          <c:order val="2"/>
          <c:tx>
            <c:strRef>
              <c:f>'Graph Data'!$S$93</c:f>
              <c:strCache>
                <c:ptCount val="1"/>
                <c:pt idx="0">
                  <c:v>SCOPE</c:v>
                </c:pt>
              </c:strCache>
            </c:strRef>
          </c:tx>
          <c:spPr>
            <a:solidFill>
              <a:srgbClr val="5971FF"/>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Data'!$S$94:$S$180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2-6540-4C50-90C0-8DBBA25B37DE}"/>
            </c:ext>
          </c:extLst>
        </c:ser>
        <c:ser>
          <c:idx val="3"/>
          <c:order val="3"/>
          <c:tx>
            <c:strRef>
              <c:f>'Graph Data'!$T$93</c:f>
              <c:strCache>
                <c:ptCount val="1"/>
                <c:pt idx="0">
                  <c:v>CONTINGENCY</c:v>
                </c:pt>
              </c:strCache>
            </c:strRef>
          </c:tx>
          <c:spPr>
            <a:solidFill>
              <a:srgbClr val="707070"/>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Data'!$T$94:$T$180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3-6540-4C50-90C0-8DBBA25B37DE}"/>
            </c:ext>
          </c:extLst>
        </c:ser>
        <c:ser>
          <c:idx val="4"/>
          <c:order val="4"/>
          <c:tx>
            <c:strRef>
              <c:f>'Graph Data'!$U$93</c:f>
              <c:strCache>
                <c:ptCount val="1"/>
                <c:pt idx="0">
                  <c:v>UNKNOWN CONDITIONS</c:v>
                </c:pt>
              </c:strCache>
            </c:strRef>
          </c:tx>
          <c:spPr>
            <a:solidFill>
              <a:srgbClr val="6BBAFC"/>
            </a:solidFill>
            <a:ln>
              <a:noFill/>
            </a:ln>
            <a:effectLst/>
          </c:spPr>
          <c:invertIfNegative val="0"/>
          <c:cat>
            <c:strRef>
              <c:f>'Graph Data'!$P$94:$P$180</c:f>
              <c:strCache>
                <c:ptCount val="87"/>
                <c:pt idx="0">
                  <c:v>Design Fee (if design build)</c:v>
                </c:pt>
                <c:pt idx="1">
                  <c:v>Preconstruction Services</c:v>
                </c:pt>
                <c:pt idx="2">
                  <c:v>General Conditions/Requirements</c:v>
                </c:pt>
                <c:pt idx="3">
                  <c:v>Temp. Scaffolding and Platforms</c:v>
                </c:pt>
                <c:pt idx="4">
                  <c:v>SWPPP</c:v>
                </c:pt>
                <c:pt idx="5">
                  <c:v>Construction Cranes and Hoists</c:v>
                </c:pt>
                <c:pt idx="6">
                  <c:v>Contractor's Supervision</c:v>
                </c:pt>
                <c:pt idx="7">
                  <c:v>General Liability Insurance</c:v>
                </c:pt>
                <c:pt idx="8">
                  <c:v>Performance &amp; Payment Bond  </c:v>
                </c:pt>
                <c:pt idx="9">
                  <c:v>Subcontractor Default Insurance</c:v>
                </c:pt>
                <c:pt idx="10">
                  <c:v>Construction Management Fee</c:v>
                </c:pt>
                <c:pt idx="11">
                  <c:v>Contingency</c:v>
                </c:pt>
                <c:pt idx="12">
                  <c:v>Weather Allowance (All Trades)</c:v>
                </c:pt>
                <c:pt idx="13">
                  <c:v>Cleaning (Final)</c:v>
                </c:pt>
                <c:pt idx="14">
                  <c:v>Survey/Engineering</c:v>
                </c:pt>
                <c:pt idx="15">
                  <c:v>Demolition</c:v>
                </c:pt>
                <c:pt idx="16">
                  <c:v>Asbestos Abatement</c:v>
                </c:pt>
                <c:pt idx="17">
                  <c:v>Building Concrete</c:v>
                </c:pt>
                <c:pt idx="18">
                  <c:v>Building Concrete Reinforcing</c:v>
                </c:pt>
                <c:pt idx="19">
                  <c:v>Precast</c:v>
                </c:pt>
                <c:pt idx="20">
                  <c:v>Masonry</c:v>
                </c:pt>
                <c:pt idx="21">
                  <c:v>Masonry Reinforcing</c:v>
                </c:pt>
                <c:pt idx="22">
                  <c:v>Structural Steel/Misc. Steel Fab</c:v>
                </c:pt>
                <c:pt idx="23">
                  <c:v>Joists &amp; Deck</c:v>
                </c:pt>
                <c:pt idx="24">
                  <c:v>Ornamental Metal</c:v>
                </c:pt>
                <c:pt idx="25">
                  <c:v>Rough Carpentry</c:v>
                </c:pt>
                <c:pt idx="26">
                  <c:v>Arch. Woodwork &amp; Finish Carp.</c:v>
                </c:pt>
                <c:pt idx="27">
                  <c:v>Waterproofing/Water Repellents</c:v>
                </c:pt>
                <c:pt idx="28">
                  <c:v>Insulation</c:v>
                </c:pt>
                <c:pt idx="29">
                  <c:v>EIFS</c:v>
                </c:pt>
                <c:pt idx="30">
                  <c:v>Vapor Retarders</c:v>
                </c:pt>
                <c:pt idx="31">
                  <c:v>Roofing</c:v>
                </c:pt>
                <c:pt idx="32">
                  <c:v>Metal Panels</c:v>
                </c:pt>
                <c:pt idx="33">
                  <c:v>Sheet Metal Flashing &amp; Trim</c:v>
                </c:pt>
                <c:pt idx="34">
                  <c:v>Fireproofing</c:v>
                </c:pt>
                <c:pt idx="35">
                  <c:v>Joint Sealants</c:v>
                </c:pt>
                <c:pt idx="36">
                  <c:v>Expansion Joints</c:v>
                </c:pt>
                <c:pt idx="37">
                  <c:v>Doors, Frames &amp; Hardware</c:v>
                </c:pt>
                <c:pt idx="38">
                  <c:v>Specialty Doors</c:v>
                </c:pt>
                <c:pt idx="39">
                  <c:v>Overhead Doors/Coiling Doors</c:v>
                </c:pt>
                <c:pt idx="40">
                  <c:v>Curtain Wall, Glass &amp; Glazing</c:v>
                </c:pt>
                <c:pt idx="41">
                  <c:v>Skylights</c:v>
                </c:pt>
                <c:pt idx="42">
                  <c:v>Louvers &amp; Vents</c:v>
                </c:pt>
                <c:pt idx="43">
                  <c:v>Gypsum Board Systems</c:v>
                </c:pt>
                <c:pt idx="44">
                  <c:v>Ceramic Tile</c:v>
                </c:pt>
                <c:pt idx="45">
                  <c:v>Acoustical Ceilings</c:v>
                </c:pt>
                <c:pt idx="46">
                  <c:v>Specialty Ceilings</c:v>
                </c:pt>
                <c:pt idx="47">
                  <c:v>Floor Coverings</c:v>
                </c:pt>
                <c:pt idx="48">
                  <c:v>Specialty Flooring</c:v>
                </c:pt>
                <c:pt idx="49">
                  <c:v>Wall Coverings</c:v>
                </c:pt>
                <c:pt idx="50">
                  <c:v>Painting</c:v>
                </c:pt>
                <c:pt idx="51">
                  <c:v>Specialties</c:v>
                </c:pt>
                <c:pt idx="52">
                  <c:v>Exterior Signage</c:v>
                </c:pt>
                <c:pt idx="53">
                  <c:v>Interior Signage</c:v>
                </c:pt>
                <c:pt idx="54">
                  <c:v>Dock Equipment</c:v>
                </c:pt>
                <c:pt idx="55">
                  <c:v>Food Service Equipment</c:v>
                </c:pt>
                <c:pt idx="56">
                  <c:v>Lab/Mechanical Equipment</c:v>
                </c:pt>
                <c:pt idx="57">
                  <c:v>Athletic Equipment</c:v>
                </c:pt>
                <c:pt idx="58">
                  <c:v>Equipment (other)</c:v>
                </c:pt>
                <c:pt idx="59">
                  <c:v>Furnishings </c:v>
                </c:pt>
                <c:pt idx="60">
                  <c:v>Window Coverings</c:v>
                </c:pt>
                <c:pt idx="61">
                  <c:v>Fixed Seating</c:v>
                </c:pt>
                <c:pt idx="62">
                  <c:v>Special Construction (Other)</c:v>
                </c:pt>
                <c:pt idx="63">
                  <c:v>Sound &amp; Vibration Control</c:v>
                </c:pt>
                <c:pt idx="64">
                  <c:v>Elevator</c:v>
                </c:pt>
                <c:pt idx="65">
                  <c:v>Lifts</c:v>
                </c:pt>
                <c:pt idx="66">
                  <c:v>Mechanical/Plumbing</c:v>
                </c:pt>
                <c:pt idx="67">
                  <c:v>Fire Sprinklers/Pumps</c:v>
                </c:pt>
                <c:pt idx="68">
                  <c:v>Plumbing</c:v>
                </c:pt>
                <c:pt idx="69">
                  <c:v>HVAC</c:v>
                </c:pt>
                <c:pt idx="70">
                  <c:v>Electrical</c:v>
                </c:pt>
                <c:pt idx="71">
                  <c:v>AV/IT/Cabling</c:v>
                </c:pt>
                <c:pt idx="72">
                  <c:v>Security/Access Control</c:v>
                </c:pt>
                <c:pt idx="73">
                  <c:v>Electrical (other)</c:v>
                </c:pt>
                <c:pt idx="74">
                  <c:v>Building &amp; Site Earthwork</c:v>
                </c:pt>
                <c:pt idx="75">
                  <c:v>Shoring/Pilings/Piers/Caissons</c:v>
                </c:pt>
                <c:pt idx="76">
                  <c:v>Excavation Support &amp; Protection</c:v>
                </c:pt>
                <c:pt idx="77">
                  <c:v>Asphalt Paving</c:v>
                </c:pt>
                <c:pt idx="78">
                  <c:v>Site Concrete</c:v>
                </c:pt>
                <c:pt idx="79">
                  <c:v>Site Improvements/Fencing</c:v>
                </c:pt>
                <c:pt idx="80">
                  <c:v>Landscaping/Irrigation</c:v>
                </c:pt>
                <c:pt idx="81">
                  <c:v>Site Utilities</c:v>
                </c:pt>
                <c:pt idx="82">
                  <c:v>Underground Storm Retention Sys</c:v>
                </c:pt>
                <c:pt idx="83">
                  <c:v>Other - Please Specify</c:v>
                </c:pt>
                <c:pt idx="84">
                  <c:v>Other - Please Specify</c:v>
                </c:pt>
                <c:pt idx="85">
                  <c:v>Other - Please Specify</c:v>
                </c:pt>
                <c:pt idx="86">
                  <c:v>Other - Please Specify</c:v>
                </c:pt>
              </c:strCache>
            </c:strRef>
          </c:cat>
          <c:val>
            <c:numRef>
              <c:f>'Graph Data'!$U$94:$U$180</c:f>
              <c:numCache>
                <c:formatCode>"$"#,##0.00</c:formatCode>
                <c:ptCount val="8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numCache>
            </c:numRef>
          </c:val>
          <c:extLst>
            <c:ext xmlns:c16="http://schemas.microsoft.com/office/drawing/2014/chart" uri="{C3380CC4-5D6E-409C-BE32-E72D297353CC}">
              <c16:uniqueId val="{00000004-6540-4C50-90C0-8DBBA25B37DE}"/>
            </c:ext>
          </c:extLst>
        </c:ser>
        <c:dLbls>
          <c:showLegendKey val="0"/>
          <c:showVal val="0"/>
          <c:showCatName val="0"/>
          <c:showSerName val="0"/>
          <c:showPercent val="0"/>
          <c:showBubbleSize val="0"/>
        </c:dLbls>
        <c:gapWidth val="50"/>
        <c:overlap val="100"/>
        <c:axId val="1255451056"/>
        <c:axId val="1255457288"/>
      </c:barChart>
      <c:catAx>
        <c:axId val="1255451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50" b="0" i="0" u="none" strike="noStrike" kern="1200" baseline="0">
                <a:solidFill>
                  <a:schemeClr val="tx1">
                    <a:lumMod val="65000"/>
                    <a:lumOff val="35000"/>
                  </a:schemeClr>
                </a:solidFill>
                <a:latin typeface="+mn-lt"/>
                <a:ea typeface="+mn-ea"/>
                <a:cs typeface="+mn-cs"/>
              </a:defRPr>
            </a:pPr>
            <a:endParaRPr lang="en-US"/>
          </a:p>
        </c:txPr>
        <c:crossAx val="1255457288"/>
        <c:crosses val="autoZero"/>
        <c:auto val="1"/>
        <c:lblAlgn val="ctr"/>
        <c:lblOffset val="100"/>
        <c:noMultiLvlLbl val="0"/>
      </c:catAx>
      <c:valAx>
        <c:axId val="12554572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55451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oddFooter>&amp;L&amp;"Arial Narrow,Regular"&amp;8&amp;A - &amp;D &amp;R&amp;"Arial Narrow,Regular"&amp;8PO Box 141160 | Salt Lake City, UT 84114-1160 | (801) 957-7230 | https://dfcm.utah.gov      Page &amp;P</c:oddFooter>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n-US" b="1">
                <a:solidFill>
                  <a:schemeClr val="tx1"/>
                </a:solidFill>
              </a:rPr>
              <a:t>Non-Bid</a:t>
            </a:r>
            <a:r>
              <a:rPr lang="en-US" b="1" baseline="0">
                <a:solidFill>
                  <a:schemeClr val="tx1"/>
                </a:solidFill>
              </a:rPr>
              <a:t> Package PCOs by Pay Application</a:t>
            </a:r>
            <a:endParaRPr lang="en-US" b="1">
              <a:solidFill>
                <a:schemeClr val="tx1"/>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2.3857855041948005E-2"/>
          <c:y val="0.11997398293429769"/>
          <c:w val="0.9620245143975461"/>
          <c:h val="0.71501429523751148"/>
        </c:manualLayout>
      </c:layout>
      <c:barChart>
        <c:barDir val="col"/>
        <c:grouping val="clustered"/>
        <c:varyColors val="0"/>
        <c:ser>
          <c:idx val="0"/>
          <c:order val="0"/>
          <c:spPr>
            <a:solidFill>
              <a:srgbClr val="6BBAFC"/>
            </a:solidFill>
            <a:ln>
              <a:noFill/>
            </a:ln>
            <a:effectLst/>
          </c:spPr>
          <c:invertIfNegative val="0"/>
          <c:cat>
            <c:strRef>
              <c:f>'Graph Data'!$Q$187:$BX$187</c:f>
              <c:strCache>
                <c:ptCount val="60"/>
                <c:pt idx="0">
                  <c:v>Pay App 1</c:v>
                </c:pt>
                <c:pt idx="1">
                  <c:v>Pay App 2</c:v>
                </c:pt>
                <c:pt idx="2">
                  <c:v>Pay App 3</c:v>
                </c:pt>
                <c:pt idx="3">
                  <c:v>Pay App 4</c:v>
                </c:pt>
                <c:pt idx="4">
                  <c:v>Pay App 5</c:v>
                </c:pt>
                <c:pt idx="5">
                  <c:v>Pay App 6</c:v>
                </c:pt>
                <c:pt idx="6">
                  <c:v>Pay App 7</c:v>
                </c:pt>
                <c:pt idx="7">
                  <c:v>Pay App 8</c:v>
                </c:pt>
                <c:pt idx="8">
                  <c:v>Pay App 9</c:v>
                </c:pt>
                <c:pt idx="9">
                  <c:v>Pay App 10</c:v>
                </c:pt>
                <c:pt idx="10">
                  <c:v>Pay App 11</c:v>
                </c:pt>
                <c:pt idx="11">
                  <c:v>Pay App 12</c:v>
                </c:pt>
                <c:pt idx="12">
                  <c:v>Pay App 13</c:v>
                </c:pt>
                <c:pt idx="13">
                  <c:v>Pay App 14</c:v>
                </c:pt>
                <c:pt idx="14">
                  <c:v>Pay App 15</c:v>
                </c:pt>
                <c:pt idx="15">
                  <c:v>Pay App 16</c:v>
                </c:pt>
                <c:pt idx="16">
                  <c:v>Pay App 17</c:v>
                </c:pt>
                <c:pt idx="17">
                  <c:v>Pay App 18</c:v>
                </c:pt>
                <c:pt idx="18">
                  <c:v>Pay App 19</c:v>
                </c:pt>
                <c:pt idx="19">
                  <c:v>Pay App 20</c:v>
                </c:pt>
                <c:pt idx="20">
                  <c:v>Pay App 21</c:v>
                </c:pt>
                <c:pt idx="21">
                  <c:v>Pay App 22</c:v>
                </c:pt>
                <c:pt idx="22">
                  <c:v>Pay App 23</c:v>
                </c:pt>
                <c:pt idx="23">
                  <c:v>Pay App 24</c:v>
                </c:pt>
                <c:pt idx="24">
                  <c:v>Pay App 25</c:v>
                </c:pt>
                <c:pt idx="25">
                  <c:v>Pay App 26</c:v>
                </c:pt>
                <c:pt idx="26">
                  <c:v>Pay App 27</c:v>
                </c:pt>
                <c:pt idx="27">
                  <c:v>Pay App 28</c:v>
                </c:pt>
                <c:pt idx="28">
                  <c:v>Pay App 29</c:v>
                </c:pt>
                <c:pt idx="29">
                  <c:v>Pay App 30</c:v>
                </c:pt>
                <c:pt idx="30">
                  <c:v>Pay App 31</c:v>
                </c:pt>
                <c:pt idx="31">
                  <c:v>Pay App 32</c:v>
                </c:pt>
                <c:pt idx="32">
                  <c:v>Pay App 33</c:v>
                </c:pt>
                <c:pt idx="33">
                  <c:v>Pay App 34</c:v>
                </c:pt>
                <c:pt idx="34">
                  <c:v>Pay App 35</c:v>
                </c:pt>
                <c:pt idx="35">
                  <c:v>Pay App 36</c:v>
                </c:pt>
                <c:pt idx="36">
                  <c:v>Pay App 37</c:v>
                </c:pt>
                <c:pt idx="37">
                  <c:v>Pay App 38</c:v>
                </c:pt>
                <c:pt idx="38">
                  <c:v>Pay App 39</c:v>
                </c:pt>
                <c:pt idx="39">
                  <c:v>Pay App 40</c:v>
                </c:pt>
                <c:pt idx="40">
                  <c:v>Pay App 41</c:v>
                </c:pt>
                <c:pt idx="41">
                  <c:v>Pay App 42</c:v>
                </c:pt>
                <c:pt idx="42">
                  <c:v>Pay App 43</c:v>
                </c:pt>
                <c:pt idx="43">
                  <c:v>Pay App 44</c:v>
                </c:pt>
                <c:pt idx="44">
                  <c:v>Pay App 45</c:v>
                </c:pt>
                <c:pt idx="45">
                  <c:v>Pay App 46</c:v>
                </c:pt>
                <c:pt idx="46">
                  <c:v>Pay App 47</c:v>
                </c:pt>
                <c:pt idx="47">
                  <c:v>Pay App 48</c:v>
                </c:pt>
                <c:pt idx="48">
                  <c:v>Pay App 49</c:v>
                </c:pt>
                <c:pt idx="49">
                  <c:v>Pay App 50</c:v>
                </c:pt>
                <c:pt idx="50">
                  <c:v>Pay App 51</c:v>
                </c:pt>
                <c:pt idx="51">
                  <c:v>Pay App 52</c:v>
                </c:pt>
                <c:pt idx="52">
                  <c:v>Pay App 53</c:v>
                </c:pt>
                <c:pt idx="53">
                  <c:v>Pay App 54</c:v>
                </c:pt>
                <c:pt idx="54">
                  <c:v>Pay App 55</c:v>
                </c:pt>
                <c:pt idx="55">
                  <c:v>Pay App 56</c:v>
                </c:pt>
                <c:pt idx="56">
                  <c:v>Pay App 57</c:v>
                </c:pt>
                <c:pt idx="57">
                  <c:v>Pay App 58</c:v>
                </c:pt>
                <c:pt idx="58">
                  <c:v>Pay App 59</c:v>
                </c:pt>
                <c:pt idx="59">
                  <c:v>Pay App 60</c:v>
                </c:pt>
              </c:strCache>
            </c:strRef>
          </c:cat>
          <c:val>
            <c:numRef>
              <c:f>'Graph Data'!$Q$276:$BX$276</c:f>
              <c:numCache>
                <c:formatCode>"$"#,##0.00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extLst>
            <c:ext xmlns:c16="http://schemas.microsoft.com/office/drawing/2014/chart" uri="{C3380CC4-5D6E-409C-BE32-E72D297353CC}">
              <c16:uniqueId val="{00000000-E934-4397-892F-1AB6E28FF71C}"/>
            </c:ext>
          </c:extLst>
        </c:ser>
        <c:dLbls>
          <c:showLegendKey val="0"/>
          <c:showVal val="0"/>
          <c:showCatName val="0"/>
          <c:showSerName val="0"/>
          <c:showPercent val="0"/>
          <c:showBubbleSize val="0"/>
        </c:dLbls>
        <c:gapWidth val="50"/>
        <c:overlap val="-27"/>
        <c:axId val="796624704"/>
        <c:axId val="796625032"/>
      </c:barChart>
      <c:catAx>
        <c:axId val="796624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625032"/>
        <c:crosses val="autoZero"/>
        <c:auto val="1"/>
        <c:lblAlgn val="ctr"/>
        <c:lblOffset val="100"/>
        <c:noMultiLvlLbl val="0"/>
      </c:catAx>
      <c:valAx>
        <c:axId val="79662503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6247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oddFooter>&amp;L&amp;"Arial Narrow,Regular"&amp;8&amp;A - &amp;D &amp;R&amp;"Arial Narrow,Regular"&amp;8PO Box 141160 | Salt Lake City, UT 84114-1160 | (801) 957-7230 | https://dfcm.utah.gov      Page &amp;P</c:oddFooter>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hyperlink" Target="https://youtu.be/6gvnsWxZqO8" TargetMode="External"/></Relationships>
</file>

<file path=xl/drawings/_rels/drawing6.xml.rels><?xml version="1.0" encoding="UTF-8" standalone="yes"?>
<Relationships xmlns="http://schemas.openxmlformats.org/package/2006/relationships"><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2.xml.rels><?xml version="1.0" encoding="UTF-8" standalone="yes"?>
<Relationships xmlns="http://schemas.openxmlformats.org/package/2006/relationships"><Relationship Id="rId1" Type="http://schemas.openxmlformats.org/officeDocument/2006/relationships/image" Target="../media/image3.emf"/></Relationships>
</file>

<file path=xl/drawings/_rels/drawing13.xml.rels><?xml version="1.0" encoding="UTF-8" standalone="yes"?>
<Relationships xmlns="http://schemas.openxmlformats.org/package/2006/relationships"><Relationship Id="rId1" Type="http://schemas.openxmlformats.org/officeDocument/2006/relationships/image" Target="../media/image3.emf"/></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3.emf"/></Relationships>
</file>

<file path=xl/drawings/_rels/drawing17.xml.rels><?xml version="1.0" encoding="UTF-8" standalone="yes"?>
<Relationships xmlns="http://schemas.openxmlformats.org/package/2006/relationships"><Relationship Id="rId1" Type="http://schemas.openxmlformats.org/officeDocument/2006/relationships/image" Target="../media/image3.emf"/></Relationships>
</file>

<file path=xl/drawings/_rels/drawing18.xml.rels><?xml version="1.0" encoding="UTF-8" standalone="yes"?>
<Relationships xmlns="http://schemas.openxmlformats.org/package/2006/relationships"><Relationship Id="rId1" Type="http://schemas.openxmlformats.org/officeDocument/2006/relationships/image" Target="../media/image3.emf"/></Relationships>
</file>

<file path=xl/drawings/_rels/drawing19.xml.rels><?xml version="1.0" encoding="UTF-8" standalone="yes"?>
<Relationships xmlns="http://schemas.openxmlformats.org/package/2006/relationships"><Relationship Id="rId1" Type="http://schemas.openxmlformats.org/officeDocument/2006/relationships/image" Target="../media/image3.emf"/></Relationships>
</file>

<file path=xl/drawings/_rels/drawing20.xml.rels><?xml version="1.0" encoding="UTF-8" standalone="yes"?>
<Relationships xmlns="http://schemas.openxmlformats.org/package/2006/relationships"><Relationship Id="rId1" Type="http://schemas.openxmlformats.org/officeDocument/2006/relationships/image" Target="../media/image3.emf"/></Relationships>
</file>

<file path=xl/drawings/_rels/drawing2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2.xml.rels><?xml version="1.0" encoding="UTF-8" standalone="yes"?>
<Relationships xmlns="http://schemas.openxmlformats.org/package/2006/relationships"><Relationship Id="rId1" Type="http://schemas.openxmlformats.org/officeDocument/2006/relationships/image" Target="../media/image3.emf"/></Relationships>
</file>

<file path=xl/drawings/_rels/drawing23.xml.rels><?xml version="1.0" encoding="UTF-8" standalone="yes"?>
<Relationships xmlns="http://schemas.openxmlformats.org/package/2006/relationships"><Relationship Id="rId1" Type="http://schemas.openxmlformats.org/officeDocument/2006/relationships/image" Target="../media/image3.emf"/></Relationships>
</file>

<file path=xl/drawings/_rels/drawing24.xml.rels><?xml version="1.0" encoding="UTF-8" standalone="yes"?>
<Relationships xmlns="http://schemas.openxmlformats.org/package/2006/relationships"><Relationship Id="rId1" Type="http://schemas.openxmlformats.org/officeDocument/2006/relationships/image" Target="../media/image3.emf"/></Relationships>
</file>

<file path=xl/drawings/_rels/drawing25.xml.rels><?xml version="1.0" encoding="UTF-8" standalone="yes"?>
<Relationships xmlns="http://schemas.openxmlformats.org/package/2006/relationships"><Relationship Id="rId1" Type="http://schemas.openxmlformats.org/officeDocument/2006/relationships/image" Target="../media/image3.emf"/></Relationships>
</file>

<file path=xl/drawings/_rels/drawing26.xml.rels><?xml version="1.0" encoding="UTF-8" standalone="yes"?>
<Relationships xmlns="http://schemas.openxmlformats.org/package/2006/relationships"><Relationship Id="rId1" Type="http://schemas.openxmlformats.org/officeDocument/2006/relationships/image" Target="../media/image3.emf"/></Relationships>
</file>

<file path=xl/drawings/_rels/drawing27.xml.rels><?xml version="1.0" encoding="UTF-8" standalone="yes"?>
<Relationships xmlns="http://schemas.openxmlformats.org/package/2006/relationships"><Relationship Id="rId1" Type="http://schemas.openxmlformats.org/officeDocument/2006/relationships/image" Target="../media/image3.emf"/></Relationships>
</file>

<file path=xl/drawings/_rels/drawing28.xml.rels><?xml version="1.0" encoding="UTF-8" standalone="yes"?>
<Relationships xmlns="http://schemas.openxmlformats.org/package/2006/relationships"><Relationship Id="rId1" Type="http://schemas.openxmlformats.org/officeDocument/2006/relationships/image" Target="../media/image3.emf"/></Relationships>
</file>

<file path=xl/drawings/_rels/drawing29.xml.rels><?xml version="1.0" encoding="UTF-8" standalone="yes"?>
<Relationships xmlns="http://schemas.openxmlformats.org/package/2006/relationships"><Relationship Id="rId1" Type="http://schemas.openxmlformats.org/officeDocument/2006/relationships/image" Target="../media/image3.emf"/></Relationships>
</file>

<file path=xl/drawings/_rels/drawing30.xml.rels><?xml version="1.0" encoding="UTF-8" standalone="yes"?>
<Relationships xmlns="http://schemas.openxmlformats.org/package/2006/relationships"><Relationship Id="rId1" Type="http://schemas.openxmlformats.org/officeDocument/2006/relationships/image" Target="../media/image3.emf"/></Relationships>
</file>

<file path=xl/drawings/_rels/drawing31.xml.rels><?xml version="1.0" encoding="UTF-8" standalone="yes"?>
<Relationships xmlns="http://schemas.openxmlformats.org/package/2006/relationships"><Relationship Id="rId1" Type="http://schemas.openxmlformats.org/officeDocument/2006/relationships/image" Target="../media/image3.emf"/></Relationships>
</file>

<file path=xl/drawings/_rels/drawing3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3.xml.rels><?xml version="1.0" encoding="UTF-8" standalone="yes"?>
<Relationships xmlns="http://schemas.openxmlformats.org/package/2006/relationships"><Relationship Id="rId1" Type="http://schemas.openxmlformats.org/officeDocument/2006/relationships/image" Target="../media/image3.emf"/></Relationships>
</file>

<file path=xl/drawings/_rels/drawing34.xml.rels><?xml version="1.0" encoding="UTF-8" standalone="yes"?>
<Relationships xmlns="http://schemas.openxmlformats.org/package/2006/relationships"><Relationship Id="rId1" Type="http://schemas.openxmlformats.org/officeDocument/2006/relationships/image" Target="../media/image3.emf"/></Relationships>
</file>

<file path=xl/drawings/_rels/drawing35.xml.rels><?xml version="1.0" encoding="UTF-8" standalone="yes"?>
<Relationships xmlns="http://schemas.openxmlformats.org/package/2006/relationships"><Relationship Id="rId1" Type="http://schemas.openxmlformats.org/officeDocument/2006/relationships/image" Target="../media/image3.emf"/></Relationships>
</file>

<file path=xl/drawings/_rels/drawing36.xml.rels><?xml version="1.0" encoding="UTF-8" standalone="yes"?>
<Relationships xmlns="http://schemas.openxmlformats.org/package/2006/relationships"><Relationship Id="rId1" Type="http://schemas.openxmlformats.org/officeDocument/2006/relationships/image" Target="../media/image3.emf"/></Relationships>
</file>

<file path=xl/drawings/_rels/drawing37.xml.rels><?xml version="1.0" encoding="UTF-8" standalone="yes"?>
<Relationships xmlns="http://schemas.openxmlformats.org/package/2006/relationships"><Relationship Id="rId1" Type="http://schemas.openxmlformats.org/officeDocument/2006/relationships/image" Target="../media/image3.emf"/></Relationships>
</file>

<file path=xl/drawings/_rels/drawing38.xml.rels><?xml version="1.0" encoding="UTF-8" standalone="yes"?>
<Relationships xmlns="http://schemas.openxmlformats.org/package/2006/relationships"><Relationship Id="rId1" Type="http://schemas.openxmlformats.org/officeDocument/2006/relationships/image" Target="../media/image3.emf"/></Relationships>
</file>

<file path=xl/drawings/_rels/drawing39.xml.rels><?xml version="1.0" encoding="UTF-8" standalone="yes"?>
<Relationships xmlns="http://schemas.openxmlformats.org/package/2006/relationships"><Relationship Id="rId1" Type="http://schemas.openxmlformats.org/officeDocument/2006/relationships/image" Target="../media/image3.emf"/></Relationships>
</file>

<file path=xl/drawings/_rels/drawing40.xml.rels><?xml version="1.0" encoding="UTF-8" standalone="yes"?>
<Relationships xmlns="http://schemas.openxmlformats.org/package/2006/relationships"><Relationship Id="rId1" Type="http://schemas.openxmlformats.org/officeDocument/2006/relationships/image" Target="../media/image3.emf"/></Relationships>
</file>

<file path=xl/drawings/_rels/drawing41.xml.rels><?xml version="1.0" encoding="UTF-8" standalone="yes"?>
<Relationships xmlns="http://schemas.openxmlformats.org/package/2006/relationships"><Relationship Id="rId1" Type="http://schemas.openxmlformats.org/officeDocument/2006/relationships/image" Target="../media/image3.emf"/></Relationships>
</file>

<file path=xl/drawings/_rels/drawing42.xml.rels><?xml version="1.0" encoding="UTF-8" standalone="yes"?>
<Relationships xmlns="http://schemas.openxmlformats.org/package/2006/relationships"><Relationship Id="rId1" Type="http://schemas.openxmlformats.org/officeDocument/2006/relationships/image" Target="../media/image3.emf"/></Relationships>
</file>

<file path=xl/drawings/_rels/drawing4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4.xml.rels><?xml version="1.0" encoding="UTF-8" standalone="yes"?>
<Relationships xmlns="http://schemas.openxmlformats.org/package/2006/relationships"><Relationship Id="rId1" Type="http://schemas.openxmlformats.org/officeDocument/2006/relationships/image" Target="../media/image3.emf"/></Relationships>
</file>

<file path=xl/drawings/_rels/drawing45.xml.rels><?xml version="1.0" encoding="UTF-8" standalone="yes"?>
<Relationships xmlns="http://schemas.openxmlformats.org/package/2006/relationships"><Relationship Id="rId1" Type="http://schemas.openxmlformats.org/officeDocument/2006/relationships/image" Target="../media/image3.emf"/></Relationships>
</file>

<file path=xl/drawings/_rels/drawing46.xml.rels><?xml version="1.0" encoding="UTF-8" standalone="yes"?>
<Relationships xmlns="http://schemas.openxmlformats.org/package/2006/relationships"><Relationship Id="rId1" Type="http://schemas.openxmlformats.org/officeDocument/2006/relationships/image" Target="../media/image3.emf"/></Relationships>
</file>

<file path=xl/drawings/_rels/drawing47.xml.rels><?xml version="1.0" encoding="UTF-8" standalone="yes"?>
<Relationships xmlns="http://schemas.openxmlformats.org/package/2006/relationships"><Relationship Id="rId1" Type="http://schemas.openxmlformats.org/officeDocument/2006/relationships/image" Target="../media/image3.emf"/></Relationships>
</file>

<file path=xl/drawings/_rels/drawing48.xml.rels><?xml version="1.0" encoding="UTF-8" standalone="yes"?>
<Relationships xmlns="http://schemas.openxmlformats.org/package/2006/relationships"><Relationship Id="rId1" Type="http://schemas.openxmlformats.org/officeDocument/2006/relationships/image" Target="../media/image3.emf"/></Relationships>
</file>

<file path=xl/drawings/_rels/drawing49.xml.rels><?xml version="1.0" encoding="UTF-8" standalone="yes"?>
<Relationships xmlns="http://schemas.openxmlformats.org/package/2006/relationships"><Relationship Id="rId1" Type="http://schemas.openxmlformats.org/officeDocument/2006/relationships/image" Target="../media/image3.emf"/></Relationships>
</file>

<file path=xl/drawings/_rels/drawing50.xml.rels><?xml version="1.0" encoding="UTF-8" standalone="yes"?>
<Relationships xmlns="http://schemas.openxmlformats.org/package/2006/relationships"><Relationship Id="rId1" Type="http://schemas.openxmlformats.org/officeDocument/2006/relationships/image" Target="../media/image3.emf"/></Relationships>
</file>

<file path=xl/drawings/_rels/drawing51.xml.rels><?xml version="1.0" encoding="UTF-8" standalone="yes"?>
<Relationships xmlns="http://schemas.openxmlformats.org/package/2006/relationships"><Relationship Id="rId1" Type="http://schemas.openxmlformats.org/officeDocument/2006/relationships/image" Target="../media/image3.emf"/></Relationships>
</file>

<file path=xl/drawings/_rels/drawing52.xml.rels><?xml version="1.0" encoding="UTF-8" standalone="yes"?>
<Relationships xmlns="http://schemas.openxmlformats.org/package/2006/relationships"><Relationship Id="rId1" Type="http://schemas.openxmlformats.org/officeDocument/2006/relationships/image" Target="../media/image3.emf"/></Relationships>
</file>

<file path=xl/drawings/_rels/drawing53.xml.rels><?xml version="1.0" encoding="UTF-8" standalone="yes"?>
<Relationships xmlns="http://schemas.openxmlformats.org/package/2006/relationships"><Relationship Id="rId1" Type="http://schemas.openxmlformats.org/officeDocument/2006/relationships/image" Target="../media/image3.emf"/></Relationships>
</file>

<file path=xl/drawings/_rels/drawing54.xml.rels><?xml version="1.0" encoding="UTF-8" standalone="yes"?>
<Relationships xmlns="http://schemas.openxmlformats.org/package/2006/relationships"><Relationship Id="rId1" Type="http://schemas.openxmlformats.org/officeDocument/2006/relationships/image" Target="../media/image3.emf"/></Relationships>
</file>

<file path=xl/drawings/_rels/drawing55.xml.rels><?xml version="1.0" encoding="UTF-8" standalone="yes"?>
<Relationships xmlns="http://schemas.openxmlformats.org/package/2006/relationships"><Relationship Id="rId1" Type="http://schemas.openxmlformats.org/officeDocument/2006/relationships/image" Target="../media/image3.emf"/></Relationships>
</file>

<file path=xl/drawings/_rels/drawing56.xml.rels><?xml version="1.0" encoding="UTF-8" standalone="yes"?>
<Relationships xmlns="http://schemas.openxmlformats.org/package/2006/relationships"><Relationship Id="rId1" Type="http://schemas.openxmlformats.org/officeDocument/2006/relationships/image" Target="../media/image3.emf"/></Relationships>
</file>

<file path=xl/drawings/_rels/drawing57.xml.rels><?xml version="1.0" encoding="UTF-8" standalone="yes"?>
<Relationships xmlns="http://schemas.openxmlformats.org/package/2006/relationships"><Relationship Id="rId1" Type="http://schemas.openxmlformats.org/officeDocument/2006/relationships/image" Target="../media/image3.emf"/></Relationships>
</file>

<file path=xl/drawings/_rels/drawing58.xml.rels><?xml version="1.0" encoding="UTF-8" standalone="yes"?>
<Relationships xmlns="http://schemas.openxmlformats.org/package/2006/relationships"><Relationship Id="rId1" Type="http://schemas.openxmlformats.org/officeDocument/2006/relationships/image" Target="../media/image3.emf"/></Relationships>
</file>

<file path=xl/drawings/_rels/drawing59.xml.rels><?xml version="1.0" encoding="UTF-8" standalone="yes"?>
<Relationships xmlns="http://schemas.openxmlformats.org/package/2006/relationships"><Relationship Id="rId1" Type="http://schemas.openxmlformats.org/officeDocument/2006/relationships/image" Target="../media/image3.emf"/></Relationships>
</file>

<file path=xl/drawings/_rels/drawing60.xml.rels><?xml version="1.0" encoding="UTF-8" standalone="yes"?>
<Relationships xmlns="http://schemas.openxmlformats.org/package/2006/relationships"><Relationship Id="rId1" Type="http://schemas.openxmlformats.org/officeDocument/2006/relationships/image" Target="../media/image3.emf"/></Relationships>
</file>

<file path=xl/drawings/_rels/drawing61.xml.rels><?xml version="1.0" encoding="UTF-8" standalone="yes"?>
<Relationships xmlns="http://schemas.openxmlformats.org/package/2006/relationships"><Relationship Id="rId1" Type="http://schemas.openxmlformats.org/officeDocument/2006/relationships/image" Target="../media/image3.emf"/></Relationships>
</file>

<file path=xl/drawings/_rels/drawing62.xml.rels><?xml version="1.0" encoding="UTF-8" standalone="yes"?>
<Relationships xmlns="http://schemas.openxmlformats.org/package/2006/relationships"><Relationship Id="rId1" Type="http://schemas.openxmlformats.org/officeDocument/2006/relationships/image" Target="../media/image3.emf"/></Relationships>
</file>

<file path=xl/drawings/_rels/drawing63.xml.rels><?xml version="1.0" encoding="UTF-8" standalone="yes"?>
<Relationships xmlns="http://schemas.openxmlformats.org/package/2006/relationships"><Relationship Id="rId1" Type="http://schemas.openxmlformats.org/officeDocument/2006/relationships/image" Target="../media/image3.emf"/></Relationships>
</file>

<file path=xl/drawings/_rels/drawing64.xml.rels><?xml version="1.0" encoding="UTF-8" standalone="yes"?>
<Relationships xmlns="http://schemas.openxmlformats.org/package/2006/relationships"><Relationship Id="rId1" Type="http://schemas.openxmlformats.org/officeDocument/2006/relationships/image" Target="../media/image3.emf"/></Relationships>
</file>

<file path=xl/drawings/_rels/drawing65.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3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4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4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5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6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7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8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8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9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9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0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0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4.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5.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6.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7.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18.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19.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20.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21.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22.v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23.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124.v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5</xdr:col>
      <xdr:colOff>114299</xdr:colOff>
      <xdr:row>91</xdr:row>
      <xdr:rowOff>157162</xdr:rowOff>
    </xdr:from>
    <xdr:to>
      <xdr:col>53</xdr:col>
      <xdr:colOff>9525</xdr:colOff>
      <xdr:row>117</xdr:row>
      <xdr:rowOff>19051</xdr:rowOff>
    </xdr:to>
    <xdr:graphicFrame macro="">
      <xdr:nvGraphicFramePr>
        <xdr:cNvPr id="5" name="Chart 4">
          <a:extLst>
            <a:ext uri="{FF2B5EF4-FFF2-40B4-BE49-F238E27FC236}">
              <a16:creationId xmlns:a16="http://schemas.microsoft.com/office/drawing/2014/main" id="{50788F82-C41F-E164-4C46-E3912FE18C0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4</xdr:col>
      <xdr:colOff>352425</xdr:colOff>
      <xdr:row>21</xdr:row>
      <xdr:rowOff>9525</xdr:rowOff>
    </xdr:from>
    <xdr:ext cx="14867404" cy="3833742"/>
    <xdr:sp macro="" textlink="">
      <xdr:nvSpPr>
        <xdr:cNvPr id="6" name="Rectangle 5">
          <a:extLst>
            <a:ext uri="{FF2B5EF4-FFF2-40B4-BE49-F238E27FC236}">
              <a16:creationId xmlns:a16="http://schemas.microsoft.com/office/drawing/2014/main" id="{8B44F307-C935-45BD-88E7-B360DC683B80}"/>
            </a:ext>
          </a:extLst>
        </xdr:cNvPr>
        <xdr:cNvSpPr/>
      </xdr:nvSpPr>
      <xdr:spPr>
        <a:xfrm rot="1800000">
          <a:off x="2838450" y="4276725"/>
          <a:ext cx="14867404" cy="3833742"/>
        </a:xfrm>
        <a:prstGeom prst="rect">
          <a:avLst/>
        </a:prstGeom>
        <a:noFill/>
      </xdr:spPr>
      <xdr:txBody>
        <a:bodyPr wrap="none" lIns="91440" tIns="45720" rIns="91440" bIns="45720">
          <a:spAutoFit/>
        </a:bodyPr>
        <a:lstStyle/>
        <a:p>
          <a:pPr algn="ctr"/>
          <a:r>
            <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READ</a:t>
          </a:r>
          <a:r>
            <a:rPr lang="en-US" sz="23900" b="1" cap="none" spc="0" baseline="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 ONLY</a:t>
          </a:r>
          <a:endPar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857249</xdr:colOff>
      <xdr:row>24</xdr:row>
      <xdr:rowOff>47623</xdr:rowOff>
    </xdr:from>
    <xdr:ext cx="14867403" cy="3833742"/>
    <xdr:sp macro="" textlink="">
      <xdr:nvSpPr>
        <xdr:cNvPr id="3" name="Rectangle 2">
          <a:extLst>
            <a:ext uri="{FF2B5EF4-FFF2-40B4-BE49-F238E27FC236}">
              <a16:creationId xmlns:a16="http://schemas.microsoft.com/office/drawing/2014/main" id="{B725AE12-DEE5-4F35-B705-C13019329C0C}"/>
            </a:ext>
          </a:extLst>
        </xdr:cNvPr>
        <xdr:cNvSpPr/>
      </xdr:nvSpPr>
      <xdr:spPr>
        <a:xfrm rot="1800000">
          <a:off x="4743449" y="5267323"/>
          <a:ext cx="14867403" cy="3833742"/>
        </a:xfrm>
        <a:prstGeom prst="rect">
          <a:avLst/>
        </a:prstGeom>
        <a:noFill/>
      </xdr:spPr>
      <xdr:txBody>
        <a:bodyPr wrap="none" lIns="91440" tIns="45720" rIns="91440" bIns="45720">
          <a:spAutoFit/>
        </a:bodyPr>
        <a:lstStyle/>
        <a:p>
          <a:pPr algn="ctr"/>
          <a:r>
            <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READ</a:t>
          </a:r>
          <a:r>
            <a:rPr lang="en-US" sz="23900" b="1" cap="none" spc="0" baseline="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rPr>
            <a:t> ONLY</a:t>
          </a:r>
          <a:endParaRPr lang="en-US" sz="23900" b="1" cap="none" spc="0">
            <a:ln w="10160">
              <a:solidFill>
                <a:schemeClr val="bg1">
                  <a:lumMod val="65000"/>
                  <a:alpha val="20000"/>
                </a:schemeClr>
              </a:solidFill>
              <a:prstDash val="solid"/>
            </a:ln>
            <a:solidFill>
              <a:srgbClr val="C00000">
                <a:alpha val="4000"/>
              </a:srgbClr>
            </a:solidFill>
            <a:effectLst>
              <a:outerShdw blurRad="38100" dist="22860" dir="5400000" algn="tl" rotWithShape="0">
                <a:srgbClr val="000000">
                  <a:alpha val="30000"/>
                </a:srgbClr>
              </a:outerShdw>
            </a:effectLst>
          </a:endParaRPr>
        </a:p>
      </xdr:txBody>
    </xdr:sp>
    <xdr:clientData/>
  </xdr:oneCellAnchor>
  <mc:AlternateContent xmlns:mc="http://schemas.openxmlformats.org/markup-compatibility/2006">
    <mc:Choice xmlns:a14="http://schemas.microsoft.com/office/drawing/2010/main" Requires="a14">
      <xdr:twoCellAnchor editAs="oneCell">
        <xdr:from>
          <xdr:col>1</xdr:col>
          <xdr:colOff>57150</xdr:colOff>
          <xdr:row>0</xdr:row>
          <xdr:rowOff>152400</xdr:rowOff>
        </xdr:from>
        <xdr:to>
          <xdr:col>3</xdr:col>
          <xdr:colOff>132934</xdr:colOff>
          <xdr:row>0</xdr:row>
          <xdr:rowOff>525462</xdr:rowOff>
        </xdr:to>
        <xdr:pic>
          <xdr:nvPicPr>
            <xdr:cNvPr id="2" name="Picture 1">
              <a:extLst>
                <a:ext uri="{FF2B5EF4-FFF2-40B4-BE49-F238E27FC236}">
                  <a16:creationId xmlns:a16="http://schemas.microsoft.com/office/drawing/2014/main" id="{8F37B820-B845-46E4-A6D9-8B0FBAB8F68D}"/>
                </a:ext>
              </a:extLst>
            </xdr:cNvPr>
            <xdr:cNvPicPr>
              <a:picLocks noChangeAspect="1" noChangeArrowheads="1"/>
              <a:extLst>
                <a:ext uri="{84589F7E-364E-4C9E-8A38-B11213B215E9}">
                  <a14:cameraTool cellRange="'Summary Sheet'!$B$1" spid="_x0000_s3101"/>
                </a:ext>
              </a:extLst>
            </xdr:cNvPicPr>
          </xdr:nvPicPr>
          <xdr:blipFill>
            <a:blip xmlns:r="http://schemas.openxmlformats.org/officeDocument/2006/relationships" r:embed="rId1"/>
            <a:srcRect/>
            <a:stretch>
              <a:fillRect/>
            </a:stretch>
          </xdr:blipFill>
          <xdr:spPr bwMode="auto">
            <a:xfrm>
              <a:off x="238125" y="15240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66675</xdr:colOff>
          <xdr:row>1</xdr:row>
          <xdr:rowOff>38100</xdr:rowOff>
        </xdr:from>
        <xdr:to>
          <xdr:col>2</xdr:col>
          <xdr:colOff>2076034</xdr:colOff>
          <xdr:row>2</xdr:row>
          <xdr:rowOff>77787</xdr:rowOff>
        </xdr:to>
        <xdr:pic>
          <xdr:nvPicPr>
            <xdr:cNvPr id="2" name="Picture 1">
              <a:extLst>
                <a:ext uri="{FF2B5EF4-FFF2-40B4-BE49-F238E27FC236}">
                  <a16:creationId xmlns:a16="http://schemas.microsoft.com/office/drawing/2014/main" id="{EC9BE5EF-3DC0-48D8-A7DD-221B6411ACFC}"/>
                </a:ext>
              </a:extLst>
            </xdr:cNvPr>
            <xdr:cNvPicPr>
              <a:picLocks noChangeAspect="1" noChangeArrowheads="1"/>
              <a:extLst>
                <a:ext uri="{84589F7E-364E-4C9E-8A38-B11213B215E9}">
                  <a14:cameraTool cellRange="'Summary Sheet'!$B$1" spid="_x0000_s86051"/>
                </a:ext>
              </a:extLst>
            </xdr:cNvPicPr>
          </xdr:nvPicPr>
          <xdr:blipFill>
            <a:blip xmlns:r="http://schemas.openxmlformats.org/officeDocument/2006/relationships" r:embed="rId1"/>
            <a:srcRect/>
            <a:stretch>
              <a:fillRect/>
            </a:stretch>
          </xdr:blipFill>
          <xdr:spPr bwMode="auto">
            <a:xfrm>
              <a:off x="247650" y="22860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xdr:row>
          <xdr:rowOff>0</xdr:rowOff>
        </xdr:from>
        <xdr:to>
          <xdr:col>2</xdr:col>
          <xdr:colOff>1666459</xdr:colOff>
          <xdr:row>2</xdr:row>
          <xdr:rowOff>182562</xdr:rowOff>
        </xdr:to>
        <xdr:pic>
          <xdr:nvPicPr>
            <xdr:cNvPr id="2" name="Picture 1">
              <a:extLst>
                <a:ext uri="{FF2B5EF4-FFF2-40B4-BE49-F238E27FC236}">
                  <a16:creationId xmlns:a16="http://schemas.microsoft.com/office/drawing/2014/main" id="{5EF22FCD-3487-414C-9E1B-8612EE4B2BB7}"/>
                </a:ext>
              </a:extLst>
            </xdr:cNvPr>
            <xdr:cNvPicPr>
              <a:picLocks noChangeAspect="1" noChangeArrowheads="1"/>
              <a:extLst>
                <a:ext uri="{84589F7E-364E-4C9E-8A38-B11213B215E9}">
                  <a14:cameraTool cellRange="'Summary Sheet'!$B$1" spid="_x0000_s87070"/>
                </a:ext>
              </a:extLst>
            </xdr:cNvPicPr>
          </xdr:nvPicPr>
          <xdr:blipFill>
            <a:blip xmlns:r="http://schemas.openxmlformats.org/officeDocument/2006/relationships" r:embed="rId1"/>
            <a:srcRect/>
            <a:stretch>
              <a:fillRect/>
            </a:stretch>
          </xdr:blipFill>
          <xdr:spPr bwMode="auto">
            <a:xfrm>
              <a:off x="85725" y="9525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xdr:col>
      <xdr:colOff>1</xdr:colOff>
      <xdr:row>42</xdr:row>
      <xdr:rowOff>21168</xdr:rowOff>
    </xdr:from>
    <xdr:to>
      <xdr:col>18</xdr:col>
      <xdr:colOff>0</xdr:colOff>
      <xdr:row>65</xdr:row>
      <xdr:rowOff>76200</xdr:rowOff>
    </xdr:to>
    <xdr:graphicFrame macro="">
      <xdr:nvGraphicFramePr>
        <xdr:cNvPr id="4" name="Chart 3">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52703</xdr:colOff>
      <xdr:row>66</xdr:row>
      <xdr:rowOff>0</xdr:rowOff>
    </xdr:from>
    <xdr:to>
      <xdr:col>17</xdr:col>
      <xdr:colOff>1487805</xdr:colOff>
      <xdr:row>99</xdr:row>
      <xdr:rowOff>19050</xdr:rowOff>
    </xdr:to>
    <xdr:graphicFrame macro="">
      <xdr:nvGraphicFramePr>
        <xdr:cNvPr id="2" name="Chart 1">
          <a:extLst>
            <a:ext uri="{FF2B5EF4-FFF2-40B4-BE49-F238E27FC236}">
              <a16:creationId xmlns:a16="http://schemas.microsoft.com/office/drawing/2014/main" id="{34966CB4-B829-4525-BBAD-D61E9C2F54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100</xdr:row>
      <xdr:rowOff>66676</xdr:rowOff>
    </xdr:from>
    <xdr:to>
      <xdr:col>17</xdr:col>
      <xdr:colOff>1491615</xdr:colOff>
      <xdr:row>127</xdr:row>
      <xdr:rowOff>0</xdr:rowOff>
    </xdr:to>
    <xdr:graphicFrame macro="">
      <xdr:nvGraphicFramePr>
        <xdr:cNvPr id="3" name="Chart 2">
          <a:extLst>
            <a:ext uri="{FF2B5EF4-FFF2-40B4-BE49-F238E27FC236}">
              <a16:creationId xmlns:a16="http://schemas.microsoft.com/office/drawing/2014/main" id="{BEF9634B-1460-4D8E-B41E-A90E31A3B4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190500</xdr:colOff>
      <xdr:row>34</xdr:row>
      <xdr:rowOff>114300</xdr:rowOff>
    </xdr:from>
    <xdr:to>
      <xdr:col>17</xdr:col>
      <xdr:colOff>1524000</xdr:colOff>
      <xdr:row>40</xdr:row>
      <xdr:rowOff>9525</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AC2E8792-DD80-AA60-BBBF-F0793FAF1CC7}"/>
            </a:ext>
          </a:extLst>
        </xdr:cNvPr>
        <xdr:cNvSpPr/>
      </xdr:nvSpPr>
      <xdr:spPr>
        <a:xfrm>
          <a:off x="11639550" y="5314950"/>
          <a:ext cx="1333500" cy="657225"/>
        </a:xfrm>
        <a:prstGeom prst="rect">
          <a:avLst/>
        </a:prstGeom>
        <a:blipFill dpi="0" rotWithShape="1">
          <a:blip xmlns:r="http://schemas.openxmlformats.org/officeDocument/2006/relationships" r:embed="rId5">
            <a:extLst>
              <a:ext uri="{28A0092B-C50C-407E-A947-70E740481C1C}">
                <a14:useLocalDpi xmlns:a14="http://schemas.microsoft.com/office/drawing/2010/main" val="0"/>
              </a:ext>
            </a:extLst>
          </a:blip>
          <a:srcRect/>
          <a:stretch>
            <a:fillRect/>
          </a:stretch>
        </a:blipFill>
        <a:ln w="9525">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66675</xdr:colOff>
      <xdr:row>0</xdr:row>
      <xdr:rowOff>47626</xdr:rowOff>
    </xdr:from>
    <xdr:to>
      <xdr:col>2</xdr:col>
      <xdr:colOff>1225724</xdr:colOff>
      <xdr:row>1</xdr:row>
      <xdr:rowOff>142120</xdr:rowOff>
    </xdr:to>
    <xdr:pic>
      <xdr:nvPicPr>
        <xdr:cNvPr id="9" name="Picture 8">
          <a:extLst>
            <a:ext uri="{FF2B5EF4-FFF2-40B4-BE49-F238E27FC236}">
              <a16:creationId xmlns:a16="http://schemas.microsoft.com/office/drawing/2014/main" id="{7A1772B6-C484-BB6A-77CF-A66CE879033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00025" y="47626"/>
          <a:ext cx="1482899" cy="36119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4955381" y="442912"/>
          <a:ext cx="51594" cy="205582"/>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5" name="Rectangle 4">
          <a:extLst>
            <a:ext uri="{FF2B5EF4-FFF2-40B4-BE49-F238E27FC236}">
              <a16:creationId xmlns:a16="http://schemas.microsoft.com/office/drawing/2014/main" id="{00000000-0008-0000-0100-000005000000}"/>
            </a:ext>
          </a:extLst>
        </xdr:cNvPr>
        <xdr:cNvSpPr/>
      </xdr:nvSpPr>
      <xdr:spPr>
        <a:xfrm>
          <a:off x="4960072" y="3324225"/>
          <a:ext cx="50800" cy="17145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4</xdr:col>
          <xdr:colOff>85309</xdr:colOff>
          <xdr:row>3</xdr:row>
          <xdr:rowOff>7938</xdr:rowOff>
        </xdr:to>
        <xdr:pic>
          <xdr:nvPicPr>
            <xdr:cNvPr id="2" name="Picture 1">
              <a:extLst>
                <a:ext uri="{FF2B5EF4-FFF2-40B4-BE49-F238E27FC236}">
                  <a16:creationId xmlns:a16="http://schemas.microsoft.com/office/drawing/2014/main" id="{845C0291-79EC-D0B6-42EE-886F4012D577}"/>
                </a:ext>
              </a:extLst>
            </xdr:cNvPr>
            <xdr:cNvPicPr>
              <a:picLocks noChangeAspect="1" noChangeArrowheads="1"/>
              <a:extLst>
                <a:ext uri="{84589F7E-364E-4C9E-8A38-B11213B215E9}">
                  <a14:cameraTool cellRange="'Summary Sheet'!$B$1" spid="_x0000_s18520"/>
                </a:ext>
              </a:extLst>
            </xdr:cNvPicPr>
          </xdr:nvPicPr>
          <xdr:blipFill>
            <a:blip xmlns:r="http://schemas.openxmlformats.org/officeDocument/2006/relationships" r:embed="rId1"/>
            <a:srcRect/>
            <a:stretch>
              <a:fillRect/>
            </a:stretch>
          </xdr:blipFill>
          <xdr:spPr bwMode="auto">
            <a:xfrm>
              <a:off x="0" y="1"/>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BF372C0-91E6-490F-8A08-9D09E1A78A6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5999CFB-56D9-4DC9-A28F-99D718CAF4D5}"/>
            </a:ext>
          </a:extLst>
        </xdr:cNvPr>
        <xdr:cNvSpPr/>
      </xdr:nvSpPr>
      <xdr:spPr>
        <a:xfrm>
          <a:off x="5602057" y="2933700"/>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6EFA11D-724B-4B5B-8324-9B511468317E}"/>
                </a:ext>
              </a:extLst>
            </xdr:cNvPr>
            <xdr:cNvPicPr>
              <a:picLocks noChangeAspect="1" noChangeArrowheads="1"/>
              <a:extLst>
                <a:ext uri="{84589F7E-364E-4C9E-8A38-B11213B215E9}">
                  <a14:cameraTool cellRange="'Summary Sheet'!$B$1" spid="_x0000_s21542"/>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43C08E7-9DB4-4ACC-80CA-C16D0D0C818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01B16DF-B45A-49FE-B708-7DEF79FA86D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5AB41C4-E9F0-4F7F-B332-BC4FC0643AA2}"/>
                </a:ext>
              </a:extLst>
            </xdr:cNvPr>
            <xdr:cNvPicPr>
              <a:picLocks noChangeAspect="1" noChangeArrowheads="1"/>
              <a:extLst>
                <a:ext uri="{84589F7E-364E-4C9E-8A38-B11213B215E9}">
                  <a14:cameraTool cellRange="'Summary Sheet'!$B$1" spid="_x0000_s22566"/>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19A3DE5-FEC7-4293-88EB-DDC7DF850E82}"/>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865B11A6-60E3-428D-B23C-A1D481B350DE}"/>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6" name="Picture 5">
              <a:extLst>
                <a:ext uri="{FF2B5EF4-FFF2-40B4-BE49-F238E27FC236}">
                  <a16:creationId xmlns:a16="http://schemas.microsoft.com/office/drawing/2014/main" id="{337A3CC2-CC2E-4C83-B11C-BE05F97E5FAF}"/>
                </a:ext>
              </a:extLst>
            </xdr:cNvPr>
            <xdr:cNvPicPr>
              <a:picLocks noChangeAspect="1" noChangeArrowheads="1"/>
              <a:extLst>
                <a:ext uri="{84589F7E-364E-4C9E-8A38-B11213B215E9}">
                  <a14:cameraTool cellRange="'Summary Sheet'!$B$1" spid="_x0000_s25638"/>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20EA123-C437-4472-B265-C784029C5F01}"/>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203A907C-D31C-4774-BC34-6C5850DA4C01}"/>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5" name="Picture 4">
              <a:extLst>
                <a:ext uri="{FF2B5EF4-FFF2-40B4-BE49-F238E27FC236}">
                  <a16:creationId xmlns:a16="http://schemas.microsoft.com/office/drawing/2014/main" id="{2802631F-4FFC-4382-8E52-D3DA1136CE5B}"/>
                </a:ext>
              </a:extLst>
            </xdr:cNvPr>
            <xdr:cNvPicPr>
              <a:picLocks noChangeAspect="1" noChangeArrowheads="1"/>
              <a:extLst>
                <a:ext uri="{84589F7E-364E-4C9E-8A38-B11213B215E9}">
                  <a14:cameraTool cellRange="'Summary Sheet'!$B$1" spid="_x0000_s26662"/>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7397594-B4A6-44EA-A6CE-215AB3D92BAB}"/>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A8813F7-5C2A-4290-8DAF-3567A948B639}"/>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6" name="Picture 5">
              <a:extLst>
                <a:ext uri="{FF2B5EF4-FFF2-40B4-BE49-F238E27FC236}">
                  <a16:creationId xmlns:a16="http://schemas.microsoft.com/office/drawing/2014/main" id="{359C0B34-2F1D-4BFC-B69B-81D1E94C2A5E}"/>
                </a:ext>
              </a:extLst>
            </xdr:cNvPr>
            <xdr:cNvPicPr>
              <a:picLocks noChangeAspect="1" noChangeArrowheads="1"/>
              <a:extLst>
                <a:ext uri="{84589F7E-364E-4C9E-8A38-B11213B215E9}">
                  <a14:cameraTool cellRange="'Summary Sheet'!$B$1" spid="_x0000_s27686"/>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E49AF58-9E01-4887-8F81-2C64CE895970}"/>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DCDBAF-02A0-4F11-B7A1-B237DBC61A40}"/>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42DE6119-048C-4224-A5D9-A5C93C01FC2A}"/>
                </a:ext>
              </a:extLst>
            </xdr:cNvPr>
            <xdr:cNvPicPr>
              <a:picLocks noChangeAspect="1" noChangeArrowheads="1"/>
              <a:extLst>
                <a:ext uri="{84589F7E-364E-4C9E-8A38-B11213B215E9}">
                  <a14:cameraTool cellRange="'Summary Sheet'!$B$1" spid="_x0000_s2870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8FF0059-C1DF-464C-ACF8-0CE73E4FF552}"/>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36E7403-C7A9-4DB9-801B-2216CD530A79}"/>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0B99E32F-A7E3-40A5-9B2F-51FD288A1058}"/>
                </a:ext>
              </a:extLst>
            </xdr:cNvPr>
            <xdr:cNvPicPr>
              <a:picLocks noChangeAspect="1" noChangeArrowheads="1"/>
              <a:extLst>
                <a:ext uri="{84589F7E-364E-4C9E-8A38-B11213B215E9}">
                  <a14:cameraTool cellRange="'Summary Sheet'!$B$1" spid="_x0000_s2973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DE02033-41DB-4235-8CFF-F705FCEDA290}"/>
            </a:ext>
          </a:extLst>
        </xdr:cNvPr>
        <xdr:cNvSpPr/>
      </xdr:nvSpPr>
      <xdr:spPr>
        <a:xfrm>
          <a:off x="5612606" y="373380"/>
          <a:ext cx="5159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6B8B411-AB08-4F5A-884C-3DF59FA4E07F}"/>
            </a:ext>
          </a:extLst>
        </xdr:cNvPr>
        <xdr:cNvSpPr/>
      </xdr:nvSpPr>
      <xdr:spPr>
        <a:xfrm>
          <a:off x="5617297" y="2933700"/>
          <a:ext cx="50800"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61368376-F38E-40A2-81E9-B96CC41014EB}"/>
                </a:ext>
              </a:extLst>
            </xdr:cNvPr>
            <xdr:cNvPicPr>
              <a:picLocks noChangeAspect="1" noChangeArrowheads="1"/>
              <a:extLst>
                <a:ext uri="{84589F7E-364E-4C9E-8A38-B11213B215E9}">
                  <a14:cameraTool cellRange="'Summary Sheet'!$B$1" spid="_x0000_s3178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CB8267E-0336-4DB8-8899-C0FD117D024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18FE754F-E421-4F57-9D4A-66FD905695A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9EEEA998-D5D7-4CCC-9D7D-35592E96DDF8}"/>
                </a:ext>
              </a:extLst>
            </xdr:cNvPr>
            <xdr:cNvPicPr>
              <a:picLocks noChangeAspect="1" noChangeArrowheads="1"/>
              <a:extLst>
                <a:ext uri="{84589F7E-364E-4C9E-8A38-B11213B215E9}">
                  <a14:cameraTool cellRange="'Summary Sheet'!$B$1" spid="_x0000_s3280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FB91D35-02EE-4FF2-9FB5-5CE8DDABDCE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4AA9D39-5287-4366-B391-6C016C42919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8C7248B9-C039-4377-8403-1E56073DBEBC}"/>
                </a:ext>
              </a:extLst>
            </xdr:cNvPr>
            <xdr:cNvPicPr>
              <a:picLocks noChangeAspect="1" noChangeArrowheads="1"/>
              <a:extLst>
                <a:ext uri="{84589F7E-364E-4C9E-8A38-B11213B215E9}">
                  <a14:cameraTool cellRange="'Summary Sheet'!$B$1" spid="_x0000_s3382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4FD658C-F77A-4184-AF27-80E25146C3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BFB770C-71BD-459A-92BD-0F7DA2B4DEA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205A1B5-CE8E-43BC-AABF-60ADF735A154}"/>
                </a:ext>
              </a:extLst>
            </xdr:cNvPr>
            <xdr:cNvPicPr>
              <a:picLocks noChangeAspect="1" noChangeArrowheads="1"/>
              <a:extLst>
                <a:ext uri="{84589F7E-364E-4C9E-8A38-B11213B215E9}">
                  <a14:cameraTool cellRange="'Summary Sheet'!$B$1" spid="_x0000_s3485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2E8BDC3-7F34-44CD-9BEE-618D04013D6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CF7A5E-998C-48B4-A626-85ADD4B1F38D}"/>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9839B70-98B2-4B84-A43E-DECB1AB30011}"/>
                </a:ext>
              </a:extLst>
            </xdr:cNvPr>
            <xdr:cNvPicPr>
              <a:picLocks noChangeAspect="1" noChangeArrowheads="1"/>
              <a:extLst>
                <a:ext uri="{84589F7E-364E-4C9E-8A38-B11213B215E9}">
                  <a14:cameraTool cellRange="'Summary Sheet'!$B$1" spid="_x0000_s3587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1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FFDEAD4-C141-4647-A983-A36EB52B88B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359C459-0028-44AC-90A7-3A1A0E3929C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7C74DAF4-55BA-4B69-B252-C863B55389B0}"/>
                </a:ext>
              </a:extLst>
            </xdr:cNvPr>
            <xdr:cNvPicPr>
              <a:picLocks noChangeAspect="1" noChangeArrowheads="1"/>
              <a:extLst>
                <a:ext uri="{84589F7E-364E-4C9E-8A38-B11213B215E9}">
                  <a14:cameraTool cellRange="'Summary Sheet'!$B$1" spid="_x0000_s3690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0D599F6-6876-4AC1-87D7-085588D364B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C3E6451-B7EB-4215-99D9-8F4E267408C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DA2957E4-5031-494B-B11F-36F50F2770B2}"/>
                </a:ext>
              </a:extLst>
            </xdr:cNvPr>
            <xdr:cNvPicPr>
              <a:picLocks noChangeAspect="1" noChangeArrowheads="1"/>
              <a:extLst>
                <a:ext uri="{84589F7E-364E-4C9E-8A38-B11213B215E9}">
                  <a14:cameraTool cellRange="'Summary Sheet'!$B$1" spid="_x0000_s3792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0970299D-8C6B-430F-B2E2-01B58AFAC7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BAE325B-48EC-4108-AF6D-933A8DBD6D6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5BCF9710-1177-4E6C-9194-619769A7CD2D}"/>
                </a:ext>
              </a:extLst>
            </xdr:cNvPr>
            <xdr:cNvPicPr>
              <a:picLocks noChangeAspect="1" noChangeArrowheads="1"/>
              <a:extLst>
                <a:ext uri="{84589F7E-364E-4C9E-8A38-B11213B215E9}">
                  <a14:cameraTool cellRange="'Summary Sheet'!$B$1" spid="_x0000_s3894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9844E85-22C3-4C84-AAA9-17F3D529130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C2111B6-C7F6-4469-B288-3B1A38E088C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CFB0F874-1995-4775-B475-E090E463A382}"/>
                </a:ext>
              </a:extLst>
            </xdr:cNvPr>
            <xdr:cNvPicPr>
              <a:picLocks noChangeAspect="1" noChangeArrowheads="1"/>
              <a:extLst>
                <a:ext uri="{84589F7E-364E-4C9E-8A38-B11213B215E9}">
                  <a14:cameraTool cellRange="'Summary Sheet'!$B$1" spid="_x0000_s3997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A88B8BC-E773-456F-8AF2-352732502F6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D045E13-DF62-40B1-9F2D-C0845DF5436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7A6D421C-29E2-4A16-828C-72FFCD42E198}"/>
                </a:ext>
              </a:extLst>
            </xdr:cNvPr>
            <xdr:cNvPicPr>
              <a:picLocks noChangeAspect="1" noChangeArrowheads="1"/>
              <a:extLst>
                <a:ext uri="{84589F7E-364E-4C9E-8A38-B11213B215E9}">
                  <a14:cameraTool cellRange="'Summary Sheet'!$B$1" spid="_x0000_s4099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B696CE1-260A-4118-9592-5E037A23DED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EB38850-3FA0-41C7-83EC-39BA96C35E1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097A5788-F236-4876-A00D-949F4E15C63B}"/>
                </a:ext>
              </a:extLst>
            </xdr:cNvPr>
            <xdr:cNvPicPr>
              <a:picLocks noChangeAspect="1" noChangeArrowheads="1"/>
              <a:extLst>
                <a:ext uri="{84589F7E-364E-4C9E-8A38-B11213B215E9}">
                  <a14:cameraTool cellRange="'Summary Sheet'!$B$1" spid="_x0000_s4202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46CCE08-85F1-4849-8936-4F93764456A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9AEDAF1-C2E1-45E2-A67B-3807B2E15484}"/>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3136F9DE-BBF3-4C41-8D98-2B191576A687}"/>
                </a:ext>
              </a:extLst>
            </xdr:cNvPr>
            <xdr:cNvPicPr>
              <a:picLocks noChangeAspect="1" noChangeArrowheads="1"/>
              <a:extLst>
                <a:ext uri="{84589F7E-364E-4C9E-8A38-B11213B215E9}">
                  <a14:cameraTool cellRange="'Summary Sheet'!$B$1" spid="_x0000_s4304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1D8C673-72F3-4639-AD20-AC38191AD9A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5117E05-CDE2-4253-8B22-920B86458B1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9D44312C-921E-4D99-84A0-86D6F3406AF7}"/>
                </a:ext>
              </a:extLst>
            </xdr:cNvPr>
            <xdr:cNvPicPr>
              <a:picLocks noChangeAspect="1" noChangeArrowheads="1"/>
              <a:extLst>
                <a:ext uri="{84589F7E-364E-4C9E-8A38-B11213B215E9}">
                  <a14:cameraTool cellRange="'Summary Sheet'!$B$1" spid="_x0000_s44068"/>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47C5761-53EE-463C-9251-DF7906E8A97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4920CEE-B57B-48E1-B34A-99D4DCFD123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5521CF21-E27C-4AF4-8F8A-09431A5F0E35}"/>
                </a:ext>
              </a:extLst>
            </xdr:cNvPr>
            <xdr:cNvPicPr>
              <a:picLocks noChangeAspect="1" noChangeArrowheads="1"/>
              <a:extLst>
                <a:ext uri="{84589F7E-364E-4C9E-8A38-B11213B215E9}">
                  <a14:cameraTool cellRange="'Summary Sheet'!$B$1" spid="_x0000_s4509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CE85B43-7B58-4486-97B7-3711F3039A8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7641B7F-0D0A-4998-9460-30B51037B9E0}"/>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2733C67-96F5-485D-BF98-842518D8C218}"/>
                </a:ext>
              </a:extLst>
            </xdr:cNvPr>
            <xdr:cNvPicPr>
              <a:picLocks noChangeAspect="1" noChangeArrowheads="1"/>
              <a:extLst>
                <a:ext uri="{84589F7E-364E-4C9E-8A38-B11213B215E9}">
                  <a14:cameraTool cellRange="'Summary Sheet'!$B$1" spid="_x0000_s4611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5300BAA-932D-4768-9F0F-0C542D78D1F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763D91A-B37A-4F0D-99C5-636864C74F5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3F44A0D5-356C-4D57-9310-D5100CF6053D}"/>
                </a:ext>
              </a:extLst>
            </xdr:cNvPr>
            <xdr:cNvPicPr>
              <a:picLocks noChangeAspect="1" noChangeArrowheads="1"/>
              <a:extLst>
                <a:ext uri="{84589F7E-364E-4C9E-8A38-B11213B215E9}">
                  <a14:cameraTool cellRange="'Summary Sheet'!$B$1" spid="_x0000_s4713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43500ED-6DF3-4306-B058-CE28CB00963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B1566C0D-CB38-4501-AD61-87B48F99778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EA2C9D17-B54E-4403-96EF-91D6F06611E0}"/>
                </a:ext>
              </a:extLst>
            </xdr:cNvPr>
            <xdr:cNvPicPr>
              <a:picLocks noChangeAspect="1" noChangeArrowheads="1"/>
              <a:extLst>
                <a:ext uri="{84589F7E-364E-4C9E-8A38-B11213B215E9}">
                  <a14:cameraTool cellRange="'Summary Sheet'!$B$1" spid="_x0000_s4816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9DC901C-0304-4FCB-AFA7-38A3A719329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572E936-E1AE-41BD-B3DE-31A525E2F007}"/>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1538272B-2FEE-42D5-90FB-B2FEBFBE7C04}"/>
                </a:ext>
              </a:extLst>
            </xdr:cNvPr>
            <xdr:cNvPicPr>
              <a:picLocks noChangeAspect="1" noChangeArrowheads="1"/>
              <a:extLst>
                <a:ext uri="{84589F7E-364E-4C9E-8A38-B11213B215E9}">
                  <a14:cameraTool cellRange="'Summary Sheet'!$B$1" spid="_x0000_s4918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9D36690-6DB5-4FEA-9D2B-73D1A4BECA4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BA35BA5-1821-4EEA-B5FF-09C36C04B927}"/>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451A8CF9-0392-42E3-BE48-94FEA5ABAB82}"/>
                </a:ext>
              </a:extLst>
            </xdr:cNvPr>
            <xdr:cNvPicPr>
              <a:picLocks noChangeAspect="1" noChangeArrowheads="1"/>
              <a:extLst>
                <a:ext uri="{84589F7E-364E-4C9E-8A38-B11213B215E9}">
                  <a14:cameraTool cellRange="'Summary Sheet'!$B$1" spid="_x0000_s5021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5ADBC667-02D2-4C0F-B060-1F9C9D1ABF0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AD812C1-395A-4921-9BE3-7372EC6534E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8391C595-DB94-4335-A83C-6467ED5994A1}"/>
                </a:ext>
              </a:extLst>
            </xdr:cNvPr>
            <xdr:cNvPicPr>
              <a:picLocks noChangeAspect="1" noChangeArrowheads="1"/>
              <a:extLst>
                <a:ext uri="{84589F7E-364E-4C9E-8A38-B11213B215E9}">
                  <a14:cameraTool cellRange="'Summary Sheet'!$B$1" spid="_x0000_s5123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6933F04-EA15-4AD5-9F7F-B1F2661663B8}"/>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539C27A-0B9F-4B2B-A49D-911807BC902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CF816E82-66D3-4ACC-9FDE-E86857414866}"/>
                </a:ext>
              </a:extLst>
            </xdr:cNvPr>
            <xdr:cNvPicPr>
              <a:picLocks noChangeAspect="1" noChangeArrowheads="1"/>
              <a:extLst>
                <a:ext uri="{84589F7E-364E-4C9E-8A38-B11213B215E9}">
                  <a14:cameraTool cellRange="'Summary Sheet'!$B$1" spid="_x0000_s5225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33E5550-D585-47E7-81A1-9D7CD1F3B24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0AC5726-32F8-4776-A782-5429342117F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900CDDB4-4439-4607-9293-2AE02002716E}"/>
                </a:ext>
              </a:extLst>
            </xdr:cNvPr>
            <xdr:cNvPicPr>
              <a:picLocks noChangeAspect="1" noChangeArrowheads="1"/>
              <a:extLst>
                <a:ext uri="{84589F7E-364E-4C9E-8A38-B11213B215E9}">
                  <a14:cameraTool cellRange="'Summary Sheet'!$B$1" spid="_x0000_s5328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EE2F306-3008-4C4F-9C81-BA0C33ABFDE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8346E9E-289C-4AE8-9181-31497325208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5141AA6D-BCD8-41E9-837B-6AE151ECF930}"/>
                </a:ext>
              </a:extLst>
            </xdr:cNvPr>
            <xdr:cNvPicPr>
              <a:picLocks noChangeAspect="1" noChangeArrowheads="1"/>
              <a:extLst>
                <a:ext uri="{84589F7E-364E-4C9E-8A38-B11213B215E9}">
                  <a14:cameraTool cellRange="'Summary Sheet'!$B$1" spid="_x0000_s5430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BDB6D9E-A8EC-42D2-BFE1-18990349DCF2}"/>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BEE47DF9-B1F0-497F-9C10-0A2B5E59F95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0B45ECB7-4127-47AD-92A6-99EBCC255FC6}"/>
                </a:ext>
              </a:extLst>
            </xdr:cNvPr>
            <xdr:cNvPicPr>
              <a:picLocks noChangeAspect="1" noChangeArrowheads="1"/>
              <a:extLst>
                <a:ext uri="{84589F7E-364E-4C9E-8A38-B11213B215E9}">
                  <a14:cameraTool cellRange="'Summary Sheet'!$B$1" spid="_x0000_s5533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C10090-C75A-44A5-B095-E9D225EA9AD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D31256C-3CAB-4ACF-888C-ECECCEC2434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863E6454-1077-416E-8613-A2315BB9BEF3}"/>
                </a:ext>
              </a:extLst>
            </xdr:cNvPr>
            <xdr:cNvPicPr>
              <a:picLocks noChangeAspect="1" noChangeArrowheads="1"/>
              <a:extLst>
                <a:ext uri="{84589F7E-364E-4C9E-8A38-B11213B215E9}">
                  <a14:cameraTool cellRange="'Summary Sheet'!$B$1" spid="_x0000_s5635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E6CFC8-3B70-4C2F-93FB-67642EFD046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858F3CA-E4C3-4C35-A2B6-326EF6711AA5}"/>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C99B3339-B151-42C6-B03F-9A83484BF468}"/>
                </a:ext>
              </a:extLst>
            </xdr:cNvPr>
            <xdr:cNvPicPr>
              <a:picLocks noChangeAspect="1" noChangeArrowheads="1"/>
              <a:extLst>
                <a:ext uri="{84589F7E-364E-4C9E-8A38-B11213B215E9}">
                  <a14:cameraTool cellRange="'Summary Sheet'!$B$1" spid="_x0000_s5737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D56AD6A-3E14-46D3-964C-FAA2B8495CB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3DF3A73-9F8E-4CCD-86BC-4A4047EB972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E89D5273-2ECD-4B66-9D1B-7A84E0717A32}"/>
                </a:ext>
              </a:extLst>
            </xdr:cNvPr>
            <xdr:cNvPicPr>
              <a:picLocks noChangeAspect="1" noChangeArrowheads="1"/>
              <a:extLst>
                <a:ext uri="{84589F7E-364E-4C9E-8A38-B11213B215E9}">
                  <a14:cameraTool cellRange="'Summary Sheet'!$B$1" spid="_x0000_s5840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79978CE-280A-40FF-A04A-160B3FF9EA5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14E196A-D510-48E1-8CBE-6255EE36B55D}"/>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39F9B06-E6C4-492F-8564-4A9CDE18FE4D}"/>
                </a:ext>
              </a:extLst>
            </xdr:cNvPr>
            <xdr:cNvPicPr>
              <a:picLocks noChangeAspect="1" noChangeArrowheads="1"/>
              <a:extLst>
                <a:ext uri="{84589F7E-364E-4C9E-8A38-B11213B215E9}">
                  <a14:cameraTool cellRange="'Summary Sheet'!$B$1" spid="_x0000_s5942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CABD5226-A411-497C-8049-0D87DE53B27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1DD24B1-7344-41A6-B3F4-4068E5A9700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B5A42C1E-4B6B-4C87-803F-878A17BA0951}"/>
                </a:ext>
              </a:extLst>
            </xdr:cNvPr>
            <xdr:cNvPicPr>
              <a:picLocks noChangeAspect="1" noChangeArrowheads="1"/>
              <a:extLst>
                <a:ext uri="{84589F7E-364E-4C9E-8A38-B11213B215E9}">
                  <a14:cameraTool cellRange="'Summary Sheet'!$B$1" spid="_x0000_s6045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5FB5189-E161-46D6-9653-76F44C12427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8754067-DB3F-4391-8911-F4AB854E52FB}"/>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2ACA636-9ED5-4609-9F1A-79A573161174}"/>
                </a:ext>
              </a:extLst>
            </xdr:cNvPr>
            <xdr:cNvPicPr>
              <a:picLocks noChangeAspect="1" noChangeArrowheads="1"/>
              <a:extLst>
                <a:ext uri="{84589F7E-364E-4C9E-8A38-B11213B215E9}">
                  <a14:cameraTool cellRange="'Summary Sheet'!$B$1" spid="_x0000_s6147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D5A448E-9588-483A-B87B-21F26CB82BC3}"/>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23368D4-ECBA-4BB4-8982-FB6537A7AB9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5E2E0415-151E-4602-A44C-81510D4A06BD}"/>
                </a:ext>
              </a:extLst>
            </xdr:cNvPr>
            <xdr:cNvPicPr>
              <a:picLocks noChangeAspect="1" noChangeArrowheads="1"/>
              <a:extLst>
                <a:ext uri="{84589F7E-364E-4C9E-8A38-B11213B215E9}">
                  <a14:cameraTool cellRange="'Summary Sheet'!$B$1" spid="_x0000_s6249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57B7D45-4A5A-4F84-AC4C-5E362DD1E21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BC304BA-D599-4488-88D4-D803846AC8E2}"/>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F3E4D01-5AE7-4CBB-A8A0-AF68512D53D7}"/>
                </a:ext>
              </a:extLst>
            </xdr:cNvPr>
            <xdr:cNvPicPr>
              <a:picLocks noChangeAspect="1" noChangeArrowheads="1"/>
              <a:extLst>
                <a:ext uri="{84589F7E-364E-4C9E-8A38-B11213B215E9}">
                  <a14:cameraTool cellRange="'Summary Sheet'!$B$1" spid="_x0000_s6352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E3C592B-20BE-4AB7-BC8A-EAC5ECD1671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C44F7AA-60EC-445A-8B2F-0C64C6783073}"/>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275639C-716C-443E-A040-F91C38210491}"/>
                </a:ext>
              </a:extLst>
            </xdr:cNvPr>
            <xdr:cNvPicPr>
              <a:picLocks noChangeAspect="1" noChangeArrowheads="1"/>
              <a:extLst>
                <a:ext uri="{84589F7E-364E-4C9E-8A38-B11213B215E9}">
                  <a14:cameraTool cellRange="'Summary Sheet'!$B$1" spid="_x0000_s6454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D0404A96-608A-42A9-AF1E-6C3A14EC8BB4}"/>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99F350C1-9008-4A53-8C14-86CFB368A4C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BF807018-8001-4C89-BC56-2A2ABC9CBF17}"/>
                </a:ext>
              </a:extLst>
            </xdr:cNvPr>
            <xdr:cNvPicPr>
              <a:picLocks noChangeAspect="1" noChangeArrowheads="1"/>
              <a:extLst>
                <a:ext uri="{84589F7E-364E-4C9E-8A38-B11213B215E9}">
                  <a14:cameraTool cellRange="'Summary Sheet'!$B$1" spid="_x0000_s6557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23B7EA23-87C0-48C7-87D0-43C093ADEAB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8C5EECB2-26C3-42F0-8098-AD5AF9647F05}"/>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7191F2CE-089B-4827-9615-CB11774494AE}"/>
                </a:ext>
              </a:extLst>
            </xdr:cNvPr>
            <xdr:cNvPicPr>
              <a:picLocks noChangeAspect="1" noChangeArrowheads="1"/>
              <a:extLst>
                <a:ext uri="{84589F7E-364E-4C9E-8A38-B11213B215E9}">
                  <a14:cameraTool cellRange="'Summary Sheet'!$B$1" spid="_x0000_s6659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6F76FBD3-64A8-43EE-B5B1-F289D26506D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D090891-B23B-4190-88A2-AE79887BE58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10078852-CC12-457F-98FD-841391828BB3}"/>
                </a:ext>
              </a:extLst>
            </xdr:cNvPr>
            <xdr:cNvPicPr>
              <a:picLocks noChangeAspect="1" noChangeArrowheads="1"/>
              <a:extLst>
                <a:ext uri="{84589F7E-364E-4C9E-8A38-B11213B215E9}">
                  <a14:cameraTool cellRange="'Summary Sheet'!$B$1" spid="_x0000_s6761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0EEA25ED-12C4-48EF-9E6A-8D390E0179B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AA4301B-2B2A-4987-83ED-919DCCC1B5D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BF06588-742C-4B53-AEB5-9E1D5D455E29}"/>
                </a:ext>
              </a:extLst>
            </xdr:cNvPr>
            <xdr:cNvPicPr>
              <a:picLocks noChangeAspect="1" noChangeArrowheads="1"/>
              <a:extLst>
                <a:ext uri="{84589F7E-364E-4C9E-8A38-B11213B215E9}">
                  <a14:cameraTool cellRange="'Summary Sheet'!$B$1" spid="_x0000_s6864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566E57B-2272-4D17-AE4E-041D2C0360BB}"/>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CAAE6F57-E609-408B-BB29-BCC85345FAE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E4319E95-3A20-413B-93AA-966CB99C6A78}"/>
                </a:ext>
              </a:extLst>
            </xdr:cNvPr>
            <xdr:cNvPicPr>
              <a:picLocks noChangeAspect="1" noChangeArrowheads="1"/>
              <a:extLst>
                <a:ext uri="{84589F7E-364E-4C9E-8A38-B11213B215E9}">
                  <a14:cameraTool cellRange="'Summary Sheet'!$B$1" spid="_x0000_s6966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1E05CBB7-5C2F-4A3E-AF1B-EEAB4B6D185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7593C9B6-694C-43ED-BD58-332458FA115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E8529C4-3F66-4B69-AD1A-39910B3B8FBD}"/>
                </a:ext>
              </a:extLst>
            </xdr:cNvPr>
            <xdr:cNvPicPr>
              <a:picLocks noChangeAspect="1" noChangeArrowheads="1"/>
              <a:extLst>
                <a:ext uri="{84589F7E-364E-4C9E-8A38-B11213B215E9}">
                  <a14:cameraTool cellRange="'Summary Sheet'!$B$1" spid="_x0000_s7069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F38096E0-A238-4A84-B7E7-1EF11720BF7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014F4D2F-17F9-4E7E-B2C3-6F380C4FCB9A}"/>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0917136E-D52D-4A1E-BB8A-82494870A854}"/>
                </a:ext>
              </a:extLst>
            </xdr:cNvPr>
            <xdr:cNvPicPr>
              <a:picLocks noChangeAspect="1" noChangeArrowheads="1"/>
              <a:extLst>
                <a:ext uri="{84589F7E-364E-4C9E-8A38-B11213B215E9}">
                  <a14:cameraTool cellRange="'Summary Sheet'!$B$1" spid="_x0000_s7171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FCE00C34-E3CE-43A9-89F8-1E354EF352D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C06159B-68DF-4B26-A955-FB2B5A3E65A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D1EEC087-152A-45E4-9B7D-4DC31A105CEB}"/>
                </a:ext>
              </a:extLst>
            </xdr:cNvPr>
            <xdr:cNvPicPr>
              <a:picLocks noChangeAspect="1" noChangeArrowheads="1"/>
              <a:extLst>
                <a:ext uri="{84589F7E-364E-4C9E-8A38-B11213B215E9}">
                  <a14:cameraTool cellRange="'Summary Sheet'!$B$1" spid="_x0000_s7273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1BADE82-A9E4-4B65-B493-6DF540A1221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788DBFB-8C55-477E-A1C8-A15F2569EFF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90DACDF3-7D83-42B5-8588-663466DDA17E}"/>
                </a:ext>
              </a:extLst>
            </xdr:cNvPr>
            <xdr:cNvPicPr>
              <a:picLocks noChangeAspect="1" noChangeArrowheads="1"/>
              <a:extLst>
                <a:ext uri="{84589F7E-364E-4C9E-8A38-B11213B215E9}">
                  <a14:cameraTool cellRange="'Summary Sheet'!$B$1" spid="_x0000_s7376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6.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DB0AD73-02C3-44CA-A5E1-F92E344F129D}"/>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138F0C9D-7056-40F0-BE87-96606E810C0E}"/>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9979B3D1-1487-4BA5-9A63-0635AE71B07E}"/>
                </a:ext>
              </a:extLst>
            </xdr:cNvPr>
            <xdr:cNvPicPr>
              <a:picLocks noChangeAspect="1" noChangeArrowheads="1"/>
              <a:extLst>
                <a:ext uri="{84589F7E-364E-4C9E-8A38-B11213B215E9}">
                  <a14:cameraTool cellRange="'Summary Sheet'!$B$1" spid="_x0000_s7478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7.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918C3D40-44F8-4A0F-B719-5A3409983CF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E92FAD3E-FFDA-47E8-933B-5781E8E4C85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F38D5C5C-4C2D-4C15-AA79-58AACC0CF918}"/>
                </a:ext>
              </a:extLst>
            </xdr:cNvPr>
            <xdr:cNvPicPr>
              <a:picLocks noChangeAspect="1" noChangeArrowheads="1"/>
              <a:extLst>
                <a:ext uri="{84589F7E-364E-4C9E-8A38-B11213B215E9}">
                  <a14:cameraTool cellRange="'Summary Sheet'!$B$1" spid="_x0000_s7581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8.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E0886F1A-DF8A-4BB8-883D-ABE3F7F76E5C}"/>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4D8688BF-BF84-4717-93C4-CF37A258B52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E456C229-91BB-4E57-8DA8-58CA3E79C5B9}"/>
                </a:ext>
              </a:extLst>
            </xdr:cNvPr>
            <xdr:cNvPicPr>
              <a:picLocks noChangeAspect="1" noChangeArrowheads="1"/>
              <a:extLst>
                <a:ext uri="{84589F7E-364E-4C9E-8A38-B11213B215E9}">
                  <a14:cameraTool cellRange="'Summary Sheet'!$B$1" spid="_x0000_s7683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9.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5163CFC-B231-4F75-9CF3-BE6A2C1C5C0A}"/>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63F409B-1FF4-452C-9BE9-702E1FB02C7F}"/>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69DC0E68-2734-4C27-95B6-9346528FF45A}"/>
                </a:ext>
              </a:extLst>
            </xdr:cNvPr>
            <xdr:cNvPicPr>
              <a:picLocks noChangeAspect="1" noChangeArrowheads="1"/>
              <a:extLst>
                <a:ext uri="{84589F7E-364E-4C9E-8A38-B11213B215E9}">
                  <a14:cameraTool cellRange="'Summary Sheet'!$B$1" spid="_x0000_s7785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0.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FAD3DE8-9B6F-49DF-B416-B9DF7C2471C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932A890-17D7-48B6-894E-21CBCF6711BC}"/>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A599971B-7BB5-4E1E-96C2-1C1EC7C8CD97}"/>
                </a:ext>
              </a:extLst>
            </xdr:cNvPr>
            <xdr:cNvPicPr>
              <a:picLocks noChangeAspect="1" noChangeArrowheads="1"/>
              <a:extLst>
                <a:ext uri="{84589F7E-364E-4C9E-8A38-B11213B215E9}">
                  <a14:cameraTool cellRange="'Summary Sheet'!$B$1" spid="_x0000_s7888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1.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A81E0A22-4C15-4523-B6C8-D6F04E78A8CF}"/>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36A33002-A97D-4A76-9C29-9858E11D689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60BDDB9A-D5F3-4430-A15B-8650B9081DEC}"/>
                </a:ext>
              </a:extLst>
            </xdr:cNvPr>
            <xdr:cNvPicPr>
              <a:picLocks noChangeAspect="1" noChangeArrowheads="1"/>
              <a:extLst>
                <a:ext uri="{84589F7E-364E-4C9E-8A38-B11213B215E9}">
                  <a14:cameraTool cellRange="'Summary Sheet'!$B$1" spid="_x0000_s79907"/>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2.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4C870B0C-7E76-4428-A9FE-5CFE372EE655}"/>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A3E2E977-9127-4123-9782-5D1ADC84AD51}"/>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C84228C8-49F3-4D72-95D6-456DC735A940}"/>
                </a:ext>
              </a:extLst>
            </xdr:cNvPr>
            <xdr:cNvPicPr>
              <a:picLocks noChangeAspect="1" noChangeArrowheads="1"/>
              <a:extLst>
                <a:ext uri="{84589F7E-364E-4C9E-8A38-B11213B215E9}">
                  <a14:cameraTool cellRange="'Summary Sheet'!$B$1" spid="_x0000_s80931"/>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3.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B2431B8C-4664-42E0-8193-C7C2E4BAD776}"/>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D8366B51-B157-4812-ABC9-E52287B659D3}"/>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1D9C3FE8-BAA9-4758-AF94-9926171E076B}"/>
                </a:ext>
              </a:extLst>
            </xdr:cNvPr>
            <xdr:cNvPicPr>
              <a:picLocks noChangeAspect="1" noChangeArrowheads="1"/>
              <a:extLst>
                <a:ext uri="{84589F7E-364E-4C9E-8A38-B11213B215E9}">
                  <a14:cameraTool cellRange="'Summary Sheet'!$B$1" spid="_x0000_s81955"/>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4.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3CA695B7-5A1A-4FDA-9055-DD8553A350D0}"/>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6D2E4286-5BD7-4082-9409-7603D8DDD8F6}"/>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46B51251-B885-4819-BEDA-F8278591A8DE}"/>
                </a:ext>
              </a:extLst>
            </xdr:cNvPr>
            <xdr:cNvPicPr>
              <a:picLocks noChangeAspect="1" noChangeArrowheads="1"/>
              <a:extLst>
                <a:ext uri="{84589F7E-364E-4C9E-8A38-B11213B215E9}">
                  <a14:cameraTool cellRange="'Summary Sheet'!$B$1" spid="_x0000_s82979"/>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5.xml><?xml version="1.0" encoding="utf-8"?>
<xdr:wsDr xmlns:xdr="http://schemas.openxmlformats.org/drawingml/2006/spreadsheetDrawing" xmlns:a="http://schemas.openxmlformats.org/drawingml/2006/main">
  <xdr:twoCellAnchor>
    <xdr:from>
      <xdr:col>8</xdr:col>
      <xdr:colOff>11906</xdr:colOff>
      <xdr:row>3</xdr:row>
      <xdr:rowOff>0</xdr:rowOff>
    </xdr:from>
    <xdr:to>
      <xdr:col>8</xdr:col>
      <xdr:colOff>63500</xdr:colOff>
      <xdr:row>4</xdr:row>
      <xdr:rowOff>19844</xdr:rowOff>
    </xdr:to>
    <xdr:sp macro="" textlink="">
      <xdr:nvSpPr>
        <xdr:cNvPr id="2" name="Rectangle 1">
          <a:extLst>
            <a:ext uri="{FF2B5EF4-FFF2-40B4-BE49-F238E27FC236}">
              <a16:creationId xmlns:a16="http://schemas.microsoft.com/office/drawing/2014/main" id="{897D8179-ADA0-4E94-A73B-1EBFEF152321}"/>
            </a:ext>
          </a:extLst>
        </xdr:cNvPr>
        <xdr:cNvSpPr/>
      </xdr:nvSpPr>
      <xdr:spPr>
        <a:xfrm>
          <a:off x="5597366" y="371475"/>
          <a:ext cx="43974" cy="149384"/>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16597</xdr:colOff>
      <xdr:row>22</xdr:row>
      <xdr:rowOff>0</xdr:rowOff>
    </xdr:from>
    <xdr:to>
      <xdr:col>8</xdr:col>
      <xdr:colOff>67397</xdr:colOff>
      <xdr:row>23</xdr:row>
      <xdr:rowOff>19050</xdr:rowOff>
    </xdr:to>
    <xdr:sp macro="" textlink="">
      <xdr:nvSpPr>
        <xdr:cNvPr id="3" name="Rectangle 2">
          <a:extLst>
            <a:ext uri="{FF2B5EF4-FFF2-40B4-BE49-F238E27FC236}">
              <a16:creationId xmlns:a16="http://schemas.microsoft.com/office/drawing/2014/main" id="{F36F3168-4F4F-4F80-8F8C-F4A834007929}"/>
            </a:ext>
          </a:extLst>
        </xdr:cNvPr>
        <xdr:cNvSpPr/>
      </xdr:nvSpPr>
      <xdr:spPr>
        <a:xfrm>
          <a:off x="5602057" y="2981325"/>
          <a:ext cx="45085" cy="14859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4</xdr:col>
          <xdr:colOff>85309</xdr:colOff>
          <xdr:row>3</xdr:row>
          <xdr:rowOff>7937</xdr:rowOff>
        </xdr:to>
        <xdr:pic>
          <xdr:nvPicPr>
            <xdr:cNvPr id="4" name="Picture 3">
              <a:extLst>
                <a:ext uri="{FF2B5EF4-FFF2-40B4-BE49-F238E27FC236}">
                  <a16:creationId xmlns:a16="http://schemas.microsoft.com/office/drawing/2014/main" id="{3A20DF95-17B1-4D39-8300-8DDC0E696E60}"/>
                </a:ext>
              </a:extLst>
            </xdr:cNvPr>
            <xdr:cNvPicPr>
              <a:picLocks noChangeAspect="1" noChangeArrowheads="1"/>
              <a:extLst>
                <a:ext uri="{84589F7E-364E-4C9E-8A38-B11213B215E9}">
                  <a14:cameraTool cellRange="'Summary Sheet'!$B$1" spid="_x0000_s84003"/>
                </a:ext>
              </a:extLst>
            </xdr:cNvPicPr>
          </xdr:nvPicPr>
          <xdr:blipFill>
            <a:blip xmlns:r="http://schemas.openxmlformats.org/officeDocument/2006/relationships" r:embed="rId1"/>
            <a:srcRect/>
            <a:stretch>
              <a:fillRect/>
            </a:stretch>
          </xdr:blipFill>
          <xdr:spPr bwMode="auto">
            <a:xfrm>
              <a:off x="0" y="0"/>
              <a:ext cx="2657059" cy="37306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7.bin"/><Relationship Id="rId5" Type="http://schemas.openxmlformats.org/officeDocument/2006/relationships/comments" Target="../comments2.xml"/><Relationship Id="rId4"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8.bin"/><Relationship Id="rId5" Type="http://schemas.openxmlformats.org/officeDocument/2006/relationships/comments" Target="../comments3.xml"/><Relationship Id="rId4"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5" Type="http://schemas.openxmlformats.org/officeDocument/2006/relationships/comments" Target="../comments4.xml"/><Relationship Id="rId4" Type="http://schemas.openxmlformats.org/officeDocument/2006/relationships/vmlDrawing" Target="../drawings/vmlDrawing10.v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9.xml"/><Relationship Id="rId1" Type="http://schemas.openxmlformats.org/officeDocument/2006/relationships/printerSettings" Target="../printerSettings/printerSettings10.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1.bin"/><Relationship Id="rId5" Type="http://schemas.openxmlformats.org/officeDocument/2006/relationships/comments" Target="../comments6.xml"/><Relationship Id="rId4" Type="http://schemas.openxmlformats.org/officeDocument/2006/relationships/vmlDrawing" Target="../drawings/vmlDrawing14.v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1.xml"/><Relationship Id="rId1" Type="http://schemas.openxmlformats.org/officeDocument/2006/relationships/printerSettings" Target="../printerSettings/printerSettings12.bin"/><Relationship Id="rId5" Type="http://schemas.openxmlformats.org/officeDocument/2006/relationships/comments" Target="../comments7.xml"/><Relationship Id="rId4" Type="http://schemas.openxmlformats.org/officeDocument/2006/relationships/vmlDrawing" Target="../drawings/vmlDrawing16.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2.xml"/><Relationship Id="rId1" Type="http://schemas.openxmlformats.org/officeDocument/2006/relationships/printerSettings" Target="../printerSettings/printerSettings13.bin"/><Relationship Id="rId5" Type="http://schemas.openxmlformats.org/officeDocument/2006/relationships/comments" Target="../comments8.xml"/><Relationship Id="rId4" Type="http://schemas.openxmlformats.org/officeDocument/2006/relationships/vmlDrawing" Target="../drawings/vmlDrawing18.v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3.xml"/><Relationship Id="rId1" Type="http://schemas.openxmlformats.org/officeDocument/2006/relationships/printerSettings" Target="../printerSettings/printerSettings14.bin"/><Relationship Id="rId5" Type="http://schemas.openxmlformats.org/officeDocument/2006/relationships/comments" Target="../comments9.xml"/><Relationship Id="rId4" Type="http://schemas.openxmlformats.org/officeDocument/2006/relationships/vmlDrawing" Target="../drawings/vmlDrawing20.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14.xml"/><Relationship Id="rId1" Type="http://schemas.openxmlformats.org/officeDocument/2006/relationships/printerSettings" Target="../printerSettings/printerSettings15.bin"/><Relationship Id="rId5" Type="http://schemas.openxmlformats.org/officeDocument/2006/relationships/comments" Target="../comments10.xml"/><Relationship Id="rId4" Type="http://schemas.openxmlformats.org/officeDocument/2006/relationships/vmlDrawing" Target="../drawings/vmlDrawing22.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15.xml"/><Relationship Id="rId1" Type="http://schemas.openxmlformats.org/officeDocument/2006/relationships/printerSettings" Target="../printerSettings/printerSettings16.bin"/><Relationship Id="rId5" Type="http://schemas.openxmlformats.org/officeDocument/2006/relationships/comments" Target="../comments11.xml"/><Relationship Id="rId4" Type="http://schemas.openxmlformats.org/officeDocument/2006/relationships/vmlDrawing" Target="../drawings/vmlDrawing24.v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16.xml"/><Relationship Id="rId1" Type="http://schemas.openxmlformats.org/officeDocument/2006/relationships/printerSettings" Target="../printerSettings/printerSettings17.bin"/><Relationship Id="rId5" Type="http://schemas.openxmlformats.org/officeDocument/2006/relationships/comments" Target="../comments12.xml"/><Relationship Id="rId4" Type="http://schemas.openxmlformats.org/officeDocument/2006/relationships/vmlDrawing" Target="../drawings/vmlDrawing26.v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17.xml"/><Relationship Id="rId1" Type="http://schemas.openxmlformats.org/officeDocument/2006/relationships/printerSettings" Target="../printerSettings/printerSettings18.bin"/><Relationship Id="rId5" Type="http://schemas.openxmlformats.org/officeDocument/2006/relationships/comments" Target="../comments13.xml"/><Relationship Id="rId4" Type="http://schemas.openxmlformats.org/officeDocument/2006/relationships/vmlDrawing" Target="../drawings/vmlDrawing28.v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openxmlformats.org/officeDocument/2006/relationships/comments" Target="../comments14.xml"/><Relationship Id="rId4" Type="http://schemas.openxmlformats.org/officeDocument/2006/relationships/vmlDrawing" Target="../drawings/vmlDrawing30.v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19.xml"/><Relationship Id="rId1" Type="http://schemas.openxmlformats.org/officeDocument/2006/relationships/printerSettings" Target="../printerSettings/printerSettings20.bin"/><Relationship Id="rId5" Type="http://schemas.openxmlformats.org/officeDocument/2006/relationships/comments" Target="../comments15.xml"/><Relationship Id="rId4" Type="http://schemas.openxmlformats.org/officeDocument/2006/relationships/vmlDrawing" Target="../drawings/vmlDrawing32.v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20.xml"/><Relationship Id="rId1" Type="http://schemas.openxmlformats.org/officeDocument/2006/relationships/printerSettings" Target="../printerSettings/printerSettings21.bin"/><Relationship Id="rId5" Type="http://schemas.openxmlformats.org/officeDocument/2006/relationships/comments" Target="../comments16.xml"/><Relationship Id="rId4" Type="http://schemas.openxmlformats.org/officeDocument/2006/relationships/vmlDrawing" Target="../drawings/vmlDrawing34.v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21.xml"/><Relationship Id="rId1" Type="http://schemas.openxmlformats.org/officeDocument/2006/relationships/printerSettings" Target="../printerSettings/printerSettings22.bin"/><Relationship Id="rId5" Type="http://schemas.openxmlformats.org/officeDocument/2006/relationships/comments" Target="../comments17.xml"/><Relationship Id="rId4" Type="http://schemas.openxmlformats.org/officeDocument/2006/relationships/vmlDrawing" Target="../drawings/vmlDrawing36.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22.xml"/><Relationship Id="rId1" Type="http://schemas.openxmlformats.org/officeDocument/2006/relationships/printerSettings" Target="../printerSettings/printerSettings23.bin"/><Relationship Id="rId5" Type="http://schemas.openxmlformats.org/officeDocument/2006/relationships/comments" Target="../comments18.xml"/><Relationship Id="rId4" Type="http://schemas.openxmlformats.org/officeDocument/2006/relationships/vmlDrawing" Target="../drawings/vmlDrawing38.v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drawing" Target="../drawings/drawing23.xml"/><Relationship Id="rId1" Type="http://schemas.openxmlformats.org/officeDocument/2006/relationships/printerSettings" Target="../printerSettings/printerSettings24.bin"/><Relationship Id="rId5" Type="http://schemas.openxmlformats.org/officeDocument/2006/relationships/comments" Target="../comments19.xml"/><Relationship Id="rId4" Type="http://schemas.openxmlformats.org/officeDocument/2006/relationships/vmlDrawing" Target="../drawings/vmlDrawing40.v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24.xml"/><Relationship Id="rId1" Type="http://schemas.openxmlformats.org/officeDocument/2006/relationships/printerSettings" Target="../printerSettings/printerSettings25.bin"/><Relationship Id="rId5" Type="http://schemas.openxmlformats.org/officeDocument/2006/relationships/comments" Target="../comments20.xml"/><Relationship Id="rId4" Type="http://schemas.openxmlformats.org/officeDocument/2006/relationships/vmlDrawing" Target="../drawings/vmlDrawing42.v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43.vml"/><Relationship Id="rId2" Type="http://schemas.openxmlformats.org/officeDocument/2006/relationships/drawing" Target="../drawings/drawing25.xml"/><Relationship Id="rId1" Type="http://schemas.openxmlformats.org/officeDocument/2006/relationships/printerSettings" Target="../printerSettings/printerSettings26.bin"/><Relationship Id="rId5" Type="http://schemas.openxmlformats.org/officeDocument/2006/relationships/comments" Target="../comments21.xml"/><Relationship Id="rId4" Type="http://schemas.openxmlformats.org/officeDocument/2006/relationships/vmlDrawing" Target="../drawings/vmlDrawing44.v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45.vml"/><Relationship Id="rId2" Type="http://schemas.openxmlformats.org/officeDocument/2006/relationships/drawing" Target="../drawings/drawing26.xml"/><Relationship Id="rId1" Type="http://schemas.openxmlformats.org/officeDocument/2006/relationships/printerSettings" Target="../printerSettings/printerSettings27.bin"/><Relationship Id="rId5" Type="http://schemas.openxmlformats.org/officeDocument/2006/relationships/comments" Target="../comments22.xml"/><Relationship Id="rId4" Type="http://schemas.openxmlformats.org/officeDocument/2006/relationships/vmlDrawing" Target="../drawings/vmlDrawing46.v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drawing" Target="../drawings/drawing27.xml"/><Relationship Id="rId1" Type="http://schemas.openxmlformats.org/officeDocument/2006/relationships/printerSettings" Target="../printerSettings/printerSettings28.bin"/><Relationship Id="rId5" Type="http://schemas.openxmlformats.org/officeDocument/2006/relationships/comments" Target="../comments23.xml"/><Relationship Id="rId4" Type="http://schemas.openxmlformats.org/officeDocument/2006/relationships/vmlDrawing" Target="../drawings/vmlDrawing48.v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drawing" Target="../drawings/drawing28.xml"/><Relationship Id="rId1" Type="http://schemas.openxmlformats.org/officeDocument/2006/relationships/printerSettings" Target="../printerSettings/printerSettings29.bin"/><Relationship Id="rId5" Type="http://schemas.openxmlformats.org/officeDocument/2006/relationships/comments" Target="../comments24.xml"/><Relationship Id="rId4" Type="http://schemas.openxmlformats.org/officeDocument/2006/relationships/vmlDrawing" Target="../drawings/vmlDrawing50.v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drawing" Target="../drawings/drawing29.xml"/><Relationship Id="rId1" Type="http://schemas.openxmlformats.org/officeDocument/2006/relationships/printerSettings" Target="../printerSettings/printerSettings30.bin"/><Relationship Id="rId5" Type="http://schemas.openxmlformats.org/officeDocument/2006/relationships/comments" Target="../comments25.xml"/><Relationship Id="rId4" Type="http://schemas.openxmlformats.org/officeDocument/2006/relationships/vmlDrawing" Target="../drawings/vmlDrawing52.v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30.xml"/><Relationship Id="rId1" Type="http://schemas.openxmlformats.org/officeDocument/2006/relationships/printerSettings" Target="../printerSettings/printerSettings31.bin"/><Relationship Id="rId5" Type="http://schemas.openxmlformats.org/officeDocument/2006/relationships/comments" Target="../comments26.xml"/><Relationship Id="rId4" Type="http://schemas.openxmlformats.org/officeDocument/2006/relationships/vmlDrawing" Target="../drawings/vmlDrawing54.v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5.vml"/><Relationship Id="rId2" Type="http://schemas.openxmlformats.org/officeDocument/2006/relationships/drawing" Target="../drawings/drawing31.xml"/><Relationship Id="rId1" Type="http://schemas.openxmlformats.org/officeDocument/2006/relationships/printerSettings" Target="../printerSettings/printerSettings32.bin"/><Relationship Id="rId5" Type="http://schemas.openxmlformats.org/officeDocument/2006/relationships/comments" Target="../comments27.xml"/><Relationship Id="rId4" Type="http://schemas.openxmlformats.org/officeDocument/2006/relationships/vmlDrawing" Target="../drawings/vmlDrawing56.v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57.vml"/><Relationship Id="rId2" Type="http://schemas.openxmlformats.org/officeDocument/2006/relationships/drawing" Target="../drawings/drawing32.xml"/><Relationship Id="rId1" Type="http://schemas.openxmlformats.org/officeDocument/2006/relationships/printerSettings" Target="../printerSettings/printerSettings33.bin"/><Relationship Id="rId5" Type="http://schemas.openxmlformats.org/officeDocument/2006/relationships/comments" Target="../comments28.xml"/><Relationship Id="rId4" Type="http://schemas.openxmlformats.org/officeDocument/2006/relationships/vmlDrawing" Target="../drawings/vmlDrawing58.v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59.vml"/><Relationship Id="rId2" Type="http://schemas.openxmlformats.org/officeDocument/2006/relationships/drawing" Target="../drawings/drawing33.xml"/><Relationship Id="rId1" Type="http://schemas.openxmlformats.org/officeDocument/2006/relationships/printerSettings" Target="../printerSettings/printerSettings34.bin"/><Relationship Id="rId5" Type="http://schemas.openxmlformats.org/officeDocument/2006/relationships/comments" Target="../comments29.xml"/><Relationship Id="rId4" Type="http://schemas.openxmlformats.org/officeDocument/2006/relationships/vmlDrawing" Target="../drawings/vmlDrawing60.v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61.vml"/><Relationship Id="rId2" Type="http://schemas.openxmlformats.org/officeDocument/2006/relationships/drawing" Target="../drawings/drawing34.xml"/><Relationship Id="rId1" Type="http://schemas.openxmlformats.org/officeDocument/2006/relationships/printerSettings" Target="../printerSettings/printerSettings35.bin"/><Relationship Id="rId5" Type="http://schemas.openxmlformats.org/officeDocument/2006/relationships/comments" Target="../comments30.xml"/><Relationship Id="rId4" Type="http://schemas.openxmlformats.org/officeDocument/2006/relationships/vmlDrawing" Target="../drawings/vmlDrawing62.v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63.vml"/><Relationship Id="rId2" Type="http://schemas.openxmlformats.org/officeDocument/2006/relationships/drawing" Target="../drawings/drawing35.xml"/><Relationship Id="rId1" Type="http://schemas.openxmlformats.org/officeDocument/2006/relationships/printerSettings" Target="../printerSettings/printerSettings36.bin"/><Relationship Id="rId5" Type="http://schemas.openxmlformats.org/officeDocument/2006/relationships/comments" Target="../comments31.xml"/><Relationship Id="rId4" Type="http://schemas.openxmlformats.org/officeDocument/2006/relationships/vmlDrawing" Target="../drawings/vmlDrawing64.v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65.vml"/><Relationship Id="rId2" Type="http://schemas.openxmlformats.org/officeDocument/2006/relationships/drawing" Target="../drawings/drawing36.xml"/><Relationship Id="rId1" Type="http://schemas.openxmlformats.org/officeDocument/2006/relationships/printerSettings" Target="../printerSettings/printerSettings37.bin"/><Relationship Id="rId5" Type="http://schemas.openxmlformats.org/officeDocument/2006/relationships/comments" Target="../comments32.xml"/><Relationship Id="rId4" Type="http://schemas.openxmlformats.org/officeDocument/2006/relationships/vmlDrawing" Target="../drawings/vmlDrawing66.v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67.vml"/><Relationship Id="rId2" Type="http://schemas.openxmlformats.org/officeDocument/2006/relationships/drawing" Target="../drawings/drawing37.xml"/><Relationship Id="rId1" Type="http://schemas.openxmlformats.org/officeDocument/2006/relationships/printerSettings" Target="../printerSettings/printerSettings38.bin"/><Relationship Id="rId5" Type="http://schemas.openxmlformats.org/officeDocument/2006/relationships/comments" Target="../comments33.xml"/><Relationship Id="rId4" Type="http://schemas.openxmlformats.org/officeDocument/2006/relationships/vmlDrawing" Target="../drawings/vmlDrawing68.v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69.vml"/><Relationship Id="rId2" Type="http://schemas.openxmlformats.org/officeDocument/2006/relationships/drawing" Target="../drawings/drawing38.xml"/><Relationship Id="rId1" Type="http://schemas.openxmlformats.org/officeDocument/2006/relationships/printerSettings" Target="../printerSettings/printerSettings39.bin"/><Relationship Id="rId5" Type="http://schemas.openxmlformats.org/officeDocument/2006/relationships/comments" Target="../comments34.xml"/><Relationship Id="rId4" Type="http://schemas.openxmlformats.org/officeDocument/2006/relationships/vmlDrawing" Target="../drawings/vmlDrawing70.v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71.vml"/><Relationship Id="rId2" Type="http://schemas.openxmlformats.org/officeDocument/2006/relationships/drawing" Target="../drawings/drawing39.xml"/><Relationship Id="rId1" Type="http://schemas.openxmlformats.org/officeDocument/2006/relationships/printerSettings" Target="../printerSettings/printerSettings40.bin"/><Relationship Id="rId5" Type="http://schemas.openxmlformats.org/officeDocument/2006/relationships/comments" Target="../comments35.xml"/><Relationship Id="rId4" Type="http://schemas.openxmlformats.org/officeDocument/2006/relationships/vmlDrawing" Target="../drawings/vmlDrawing72.vml"/></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73.vml"/><Relationship Id="rId2" Type="http://schemas.openxmlformats.org/officeDocument/2006/relationships/drawing" Target="../drawings/drawing40.xml"/><Relationship Id="rId1" Type="http://schemas.openxmlformats.org/officeDocument/2006/relationships/printerSettings" Target="../printerSettings/printerSettings41.bin"/><Relationship Id="rId5" Type="http://schemas.openxmlformats.org/officeDocument/2006/relationships/comments" Target="../comments36.xml"/><Relationship Id="rId4" Type="http://schemas.openxmlformats.org/officeDocument/2006/relationships/vmlDrawing" Target="../drawings/vmlDrawing74.vml"/></Relationships>
</file>

<file path=xl/worksheets/_rels/sheet42.xml.rels><?xml version="1.0" encoding="UTF-8" standalone="yes"?>
<Relationships xmlns="http://schemas.openxmlformats.org/package/2006/relationships"><Relationship Id="rId3" Type="http://schemas.openxmlformats.org/officeDocument/2006/relationships/vmlDrawing" Target="../drawings/vmlDrawing75.vml"/><Relationship Id="rId2" Type="http://schemas.openxmlformats.org/officeDocument/2006/relationships/drawing" Target="../drawings/drawing41.xml"/><Relationship Id="rId1" Type="http://schemas.openxmlformats.org/officeDocument/2006/relationships/printerSettings" Target="../printerSettings/printerSettings42.bin"/><Relationship Id="rId5" Type="http://schemas.openxmlformats.org/officeDocument/2006/relationships/comments" Target="../comments37.xml"/><Relationship Id="rId4" Type="http://schemas.openxmlformats.org/officeDocument/2006/relationships/vmlDrawing" Target="../drawings/vmlDrawing76.vml"/></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77.vml"/><Relationship Id="rId2" Type="http://schemas.openxmlformats.org/officeDocument/2006/relationships/drawing" Target="../drawings/drawing42.xml"/><Relationship Id="rId1" Type="http://schemas.openxmlformats.org/officeDocument/2006/relationships/printerSettings" Target="../printerSettings/printerSettings43.bin"/><Relationship Id="rId5" Type="http://schemas.openxmlformats.org/officeDocument/2006/relationships/comments" Target="../comments38.xml"/><Relationship Id="rId4" Type="http://schemas.openxmlformats.org/officeDocument/2006/relationships/vmlDrawing" Target="../drawings/vmlDrawing78.vml"/></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79.vml"/><Relationship Id="rId2" Type="http://schemas.openxmlformats.org/officeDocument/2006/relationships/drawing" Target="../drawings/drawing43.xml"/><Relationship Id="rId1" Type="http://schemas.openxmlformats.org/officeDocument/2006/relationships/printerSettings" Target="../printerSettings/printerSettings44.bin"/><Relationship Id="rId5" Type="http://schemas.openxmlformats.org/officeDocument/2006/relationships/comments" Target="../comments39.xml"/><Relationship Id="rId4" Type="http://schemas.openxmlformats.org/officeDocument/2006/relationships/vmlDrawing" Target="../drawings/vmlDrawing80.vml"/></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81.vml"/><Relationship Id="rId2" Type="http://schemas.openxmlformats.org/officeDocument/2006/relationships/drawing" Target="../drawings/drawing44.xml"/><Relationship Id="rId1" Type="http://schemas.openxmlformats.org/officeDocument/2006/relationships/printerSettings" Target="../printerSettings/printerSettings45.bin"/><Relationship Id="rId5" Type="http://schemas.openxmlformats.org/officeDocument/2006/relationships/comments" Target="../comments40.xml"/><Relationship Id="rId4" Type="http://schemas.openxmlformats.org/officeDocument/2006/relationships/vmlDrawing" Target="../drawings/vmlDrawing82.v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83.vml"/><Relationship Id="rId2" Type="http://schemas.openxmlformats.org/officeDocument/2006/relationships/drawing" Target="../drawings/drawing45.xml"/><Relationship Id="rId1" Type="http://schemas.openxmlformats.org/officeDocument/2006/relationships/printerSettings" Target="../printerSettings/printerSettings46.bin"/><Relationship Id="rId5" Type="http://schemas.openxmlformats.org/officeDocument/2006/relationships/comments" Target="../comments41.xml"/><Relationship Id="rId4" Type="http://schemas.openxmlformats.org/officeDocument/2006/relationships/vmlDrawing" Target="../drawings/vmlDrawing84.v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85.vml"/><Relationship Id="rId2" Type="http://schemas.openxmlformats.org/officeDocument/2006/relationships/drawing" Target="../drawings/drawing46.xml"/><Relationship Id="rId1" Type="http://schemas.openxmlformats.org/officeDocument/2006/relationships/printerSettings" Target="../printerSettings/printerSettings47.bin"/><Relationship Id="rId5" Type="http://schemas.openxmlformats.org/officeDocument/2006/relationships/comments" Target="../comments42.xml"/><Relationship Id="rId4" Type="http://schemas.openxmlformats.org/officeDocument/2006/relationships/vmlDrawing" Target="../drawings/vmlDrawing86.vml"/></Relationships>
</file>

<file path=xl/worksheets/_rels/sheet48.xml.rels><?xml version="1.0" encoding="UTF-8" standalone="yes"?>
<Relationships xmlns="http://schemas.openxmlformats.org/package/2006/relationships"><Relationship Id="rId3" Type="http://schemas.openxmlformats.org/officeDocument/2006/relationships/vmlDrawing" Target="../drawings/vmlDrawing87.vml"/><Relationship Id="rId2" Type="http://schemas.openxmlformats.org/officeDocument/2006/relationships/drawing" Target="../drawings/drawing47.xml"/><Relationship Id="rId1" Type="http://schemas.openxmlformats.org/officeDocument/2006/relationships/printerSettings" Target="../printerSettings/printerSettings48.bin"/><Relationship Id="rId5" Type="http://schemas.openxmlformats.org/officeDocument/2006/relationships/comments" Target="../comments43.xml"/><Relationship Id="rId4" Type="http://schemas.openxmlformats.org/officeDocument/2006/relationships/vmlDrawing" Target="../drawings/vmlDrawing88.vml"/></Relationships>
</file>

<file path=xl/worksheets/_rels/sheet49.xml.rels><?xml version="1.0" encoding="UTF-8" standalone="yes"?>
<Relationships xmlns="http://schemas.openxmlformats.org/package/2006/relationships"><Relationship Id="rId3" Type="http://schemas.openxmlformats.org/officeDocument/2006/relationships/vmlDrawing" Target="../drawings/vmlDrawing89.vml"/><Relationship Id="rId2" Type="http://schemas.openxmlformats.org/officeDocument/2006/relationships/drawing" Target="../drawings/drawing48.xml"/><Relationship Id="rId1" Type="http://schemas.openxmlformats.org/officeDocument/2006/relationships/printerSettings" Target="../printerSettings/printerSettings49.bin"/><Relationship Id="rId5" Type="http://schemas.openxmlformats.org/officeDocument/2006/relationships/comments" Target="../comments44.xml"/><Relationship Id="rId4" Type="http://schemas.openxmlformats.org/officeDocument/2006/relationships/vmlDrawing" Target="../drawings/vmlDrawing90.vml"/></Relationships>
</file>

<file path=xl/worksheets/_rels/sheet50.xml.rels><?xml version="1.0" encoding="UTF-8" standalone="yes"?>
<Relationships xmlns="http://schemas.openxmlformats.org/package/2006/relationships"><Relationship Id="rId3" Type="http://schemas.openxmlformats.org/officeDocument/2006/relationships/vmlDrawing" Target="../drawings/vmlDrawing91.vml"/><Relationship Id="rId2" Type="http://schemas.openxmlformats.org/officeDocument/2006/relationships/drawing" Target="../drawings/drawing49.xml"/><Relationship Id="rId1" Type="http://schemas.openxmlformats.org/officeDocument/2006/relationships/printerSettings" Target="../printerSettings/printerSettings50.bin"/><Relationship Id="rId5" Type="http://schemas.openxmlformats.org/officeDocument/2006/relationships/comments" Target="../comments45.xml"/><Relationship Id="rId4" Type="http://schemas.openxmlformats.org/officeDocument/2006/relationships/vmlDrawing" Target="../drawings/vmlDrawing92.vml"/></Relationships>
</file>

<file path=xl/worksheets/_rels/sheet51.xml.rels><?xml version="1.0" encoding="UTF-8" standalone="yes"?>
<Relationships xmlns="http://schemas.openxmlformats.org/package/2006/relationships"><Relationship Id="rId3" Type="http://schemas.openxmlformats.org/officeDocument/2006/relationships/vmlDrawing" Target="../drawings/vmlDrawing93.vml"/><Relationship Id="rId2" Type="http://schemas.openxmlformats.org/officeDocument/2006/relationships/drawing" Target="../drawings/drawing50.xml"/><Relationship Id="rId1" Type="http://schemas.openxmlformats.org/officeDocument/2006/relationships/printerSettings" Target="../printerSettings/printerSettings51.bin"/><Relationship Id="rId5" Type="http://schemas.openxmlformats.org/officeDocument/2006/relationships/comments" Target="../comments46.xml"/><Relationship Id="rId4" Type="http://schemas.openxmlformats.org/officeDocument/2006/relationships/vmlDrawing" Target="../drawings/vmlDrawing94.vml"/></Relationships>
</file>

<file path=xl/worksheets/_rels/sheet52.xml.rels><?xml version="1.0" encoding="UTF-8" standalone="yes"?>
<Relationships xmlns="http://schemas.openxmlformats.org/package/2006/relationships"><Relationship Id="rId3" Type="http://schemas.openxmlformats.org/officeDocument/2006/relationships/vmlDrawing" Target="../drawings/vmlDrawing95.vml"/><Relationship Id="rId2" Type="http://schemas.openxmlformats.org/officeDocument/2006/relationships/drawing" Target="../drawings/drawing51.xml"/><Relationship Id="rId1" Type="http://schemas.openxmlformats.org/officeDocument/2006/relationships/printerSettings" Target="../printerSettings/printerSettings52.bin"/><Relationship Id="rId5" Type="http://schemas.openxmlformats.org/officeDocument/2006/relationships/comments" Target="../comments47.xml"/><Relationship Id="rId4" Type="http://schemas.openxmlformats.org/officeDocument/2006/relationships/vmlDrawing" Target="../drawings/vmlDrawing96.vml"/></Relationships>
</file>

<file path=xl/worksheets/_rels/sheet53.xml.rels><?xml version="1.0" encoding="UTF-8" standalone="yes"?>
<Relationships xmlns="http://schemas.openxmlformats.org/package/2006/relationships"><Relationship Id="rId3" Type="http://schemas.openxmlformats.org/officeDocument/2006/relationships/vmlDrawing" Target="../drawings/vmlDrawing97.vml"/><Relationship Id="rId2" Type="http://schemas.openxmlformats.org/officeDocument/2006/relationships/drawing" Target="../drawings/drawing52.xml"/><Relationship Id="rId1" Type="http://schemas.openxmlformats.org/officeDocument/2006/relationships/printerSettings" Target="../printerSettings/printerSettings53.bin"/><Relationship Id="rId5" Type="http://schemas.openxmlformats.org/officeDocument/2006/relationships/comments" Target="../comments48.xml"/><Relationship Id="rId4" Type="http://schemas.openxmlformats.org/officeDocument/2006/relationships/vmlDrawing" Target="../drawings/vmlDrawing98.vml"/></Relationships>
</file>

<file path=xl/worksheets/_rels/sheet54.xml.rels><?xml version="1.0" encoding="UTF-8" standalone="yes"?>
<Relationships xmlns="http://schemas.openxmlformats.org/package/2006/relationships"><Relationship Id="rId3" Type="http://schemas.openxmlformats.org/officeDocument/2006/relationships/vmlDrawing" Target="../drawings/vmlDrawing99.vml"/><Relationship Id="rId2" Type="http://schemas.openxmlformats.org/officeDocument/2006/relationships/drawing" Target="../drawings/drawing53.xml"/><Relationship Id="rId1" Type="http://schemas.openxmlformats.org/officeDocument/2006/relationships/printerSettings" Target="../printerSettings/printerSettings54.bin"/><Relationship Id="rId5" Type="http://schemas.openxmlformats.org/officeDocument/2006/relationships/comments" Target="../comments49.xml"/><Relationship Id="rId4" Type="http://schemas.openxmlformats.org/officeDocument/2006/relationships/vmlDrawing" Target="../drawings/vmlDrawing100.vml"/></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101.vml"/><Relationship Id="rId2" Type="http://schemas.openxmlformats.org/officeDocument/2006/relationships/drawing" Target="../drawings/drawing54.xml"/><Relationship Id="rId1" Type="http://schemas.openxmlformats.org/officeDocument/2006/relationships/printerSettings" Target="../printerSettings/printerSettings55.bin"/><Relationship Id="rId5" Type="http://schemas.openxmlformats.org/officeDocument/2006/relationships/comments" Target="../comments50.xml"/><Relationship Id="rId4" Type="http://schemas.openxmlformats.org/officeDocument/2006/relationships/vmlDrawing" Target="../drawings/vmlDrawing102.vml"/></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103.vml"/><Relationship Id="rId2" Type="http://schemas.openxmlformats.org/officeDocument/2006/relationships/drawing" Target="../drawings/drawing55.xml"/><Relationship Id="rId1" Type="http://schemas.openxmlformats.org/officeDocument/2006/relationships/printerSettings" Target="../printerSettings/printerSettings56.bin"/><Relationship Id="rId5" Type="http://schemas.openxmlformats.org/officeDocument/2006/relationships/comments" Target="../comments51.xml"/><Relationship Id="rId4" Type="http://schemas.openxmlformats.org/officeDocument/2006/relationships/vmlDrawing" Target="../drawings/vmlDrawing104.v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105.vml"/><Relationship Id="rId2" Type="http://schemas.openxmlformats.org/officeDocument/2006/relationships/drawing" Target="../drawings/drawing56.xml"/><Relationship Id="rId1" Type="http://schemas.openxmlformats.org/officeDocument/2006/relationships/printerSettings" Target="../printerSettings/printerSettings57.bin"/><Relationship Id="rId5" Type="http://schemas.openxmlformats.org/officeDocument/2006/relationships/comments" Target="../comments52.xml"/><Relationship Id="rId4" Type="http://schemas.openxmlformats.org/officeDocument/2006/relationships/vmlDrawing" Target="../drawings/vmlDrawing106.v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107.vml"/><Relationship Id="rId2" Type="http://schemas.openxmlformats.org/officeDocument/2006/relationships/drawing" Target="../drawings/drawing57.xml"/><Relationship Id="rId1" Type="http://schemas.openxmlformats.org/officeDocument/2006/relationships/printerSettings" Target="../printerSettings/printerSettings58.bin"/><Relationship Id="rId5" Type="http://schemas.openxmlformats.org/officeDocument/2006/relationships/comments" Target="../comments53.xml"/><Relationship Id="rId4" Type="http://schemas.openxmlformats.org/officeDocument/2006/relationships/vmlDrawing" Target="../drawings/vmlDrawing108.v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109.vml"/><Relationship Id="rId2" Type="http://schemas.openxmlformats.org/officeDocument/2006/relationships/drawing" Target="../drawings/drawing58.xml"/><Relationship Id="rId1" Type="http://schemas.openxmlformats.org/officeDocument/2006/relationships/printerSettings" Target="../printerSettings/printerSettings59.bin"/><Relationship Id="rId5" Type="http://schemas.openxmlformats.org/officeDocument/2006/relationships/comments" Target="../comments54.xml"/><Relationship Id="rId4" Type="http://schemas.openxmlformats.org/officeDocument/2006/relationships/vmlDrawing" Target="../drawings/vmlDrawing110.v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111.vml"/><Relationship Id="rId2" Type="http://schemas.openxmlformats.org/officeDocument/2006/relationships/drawing" Target="../drawings/drawing59.xml"/><Relationship Id="rId1" Type="http://schemas.openxmlformats.org/officeDocument/2006/relationships/printerSettings" Target="../printerSettings/printerSettings60.bin"/><Relationship Id="rId5" Type="http://schemas.openxmlformats.org/officeDocument/2006/relationships/comments" Target="../comments55.xml"/><Relationship Id="rId4" Type="http://schemas.openxmlformats.org/officeDocument/2006/relationships/vmlDrawing" Target="../drawings/vmlDrawing112.v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113.vml"/><Relationship Id="rId2" Type="http://schemas.openxmlformats.org/officeDocument/2006/relationships/drawing" Target="../drawings/drawing60.xml"/><Relationship Id="rId1" Type="http://schemas.openxmlformats.org/officeDocument/2006/relationships/printerSettings" Target="../printerSettings/printerSettings61.bin"/><Relationship Id="rId5" Type="http://schemas.openxmlformats.org/officeDocument/2006/relationships/comments" Target="../comments56.xml"/><Relationship Id="rId4" Type="http://schemas.openxmlformats.org/officeDocument/2006/relationships/vmlDrawing" Target="../drawings/vmlDrawing114.v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115.vml"/><Relationship Id="rId2" Type="http://schemas.openxmlformats.org/officeDocument/2006/relationships/drawing" Target="../drawings/drawing61.xml"/><Relationship Id="rId1" Type="http://schemas.openxmlformats.org/officeDocument/2006/relationships/printerSettings" Target="../printerSettings/printerSettings62.bin"/><Relationship Id="rId5" Type="http://schemas.openxmlformats.org/officeDocument/2006/relationships/comments" Target="../comments57.xml"/><Relationship Id="rId4" Type="http://schemas.openxmlformats.org/officeDocument/2006/relationships/vmlDrawing" Target="../drawings/vmlDrawing116.v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117.vml"/><Relationship Id="rId2" Type="http://schemas.openxmlformats.org/officeDocument/2006/relationships/drawing" Target="../drawings/drawing62.xml"/><Relationship Id="rId1" Type="http://schemas.openxmlformats.org/officeDocument/2006/relationships/printerSettings" Target="../printerSettings/printerSettings63.bin"/><Relationship Id="rId5" Type="http://schemas.openxmlformats.org/officeDocument/2006/relationships/comments" Target="../comments58.xml"/><Relationship Id="rId4" Type="http://schemas.openxmlformats.org/officeDocument/2006/relationships/vmlDrawing" Target="../drawings/vmlDrawing118.v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119.vml"/><Relationship Id="rId2" Type="http://schemas.openxmlformats.org/officeDocument/2006/relationships/drawing" Target="../drawings/drawing63.xml"/><Relationship Id="rId1" Type="http://schemas.openxmlformats.org/officeDocument/2006/relationships/printerSettings" Target="../printerSettings/printerSettings64.bin"/><Relationship Id="rId5" Type="http://schemas.openxmlformats.org/officeDocument/2006/relationships/comments" Target="../comments59.xml"/><Relationship Id="rId4" Type="http://schemas.openxmlformats.org/officeDocument/2006/relationships/vmlDrawing" Target="../drawings/vmlDrawing120.vml"/></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121.vml"/><Relationship Id="rId2" Type="http://schemas.openxmlformats.org/officeDocument/2006/relationships/drawing" Target="../drawings/drawing64.xml"/><Relationship Id="rId1" Type="http://schemas.openxmlformats.org/officeDocument/2006/relationships/printerSettings" Target="../printerSettings/printerSettings65.bin"/><Relationship Id="rId5" Type="http://schemas.openxmlformats.org/officeDocument/2006/relationships/comments" Target="../comments60.xml"/><Relationship Id="rId4" Type="http://schemas.openxmlformats.org/officeDocument/2006/relationships/vmlDrawing" Target="../drawings/vmlDrawing122.vm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123.vml"/><Relationship Id="rId2" Type="http://schemas.openxmlformats.org/officeDocument/2006/relationships/drawing" Target="../drawings/drawing65.xml"/><Relationship Id="rId1" Type="http://schemas.openxmlformats.org/officeDocument/2006/relationships/printerSettings" Target="../printerSettings/printerSettings66.bin"/><Relationship Id="rId5" Type="http://schemas.openxmlformats.org/officeDocument/2006/relationships/comments" Target="../comments61.xml"/><Relationship Id="rId4" Type="http://schemas.openxmlformats.org/officeDocument/2006/relationships/vmlDrawing" Target="../drawings/vmlDrawing12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F7FEC-1CE9-4560-AB99-A1BDCEB9C810}">
  <dimension ref="A1:BX501"/>
  <sheetViews>
    <sheetView topLeftCell="I68" zoomScale="70" zoomScaleNormal="70" workbookViewId="0">
      <selection activeCell="M97" sqref="M97"/>
    </sheetView>
  </sheetViews>
  <sheetFormatPr defaultColWidth="9.140625" defaultRowHeight="15" x14ac:dyDescent="0.25"/>
  <cols>
    <col min="1" max="1" width="9.140625" style="303"/>
    <col min="2" max="2" width="32.140625" style="303" bestFit="1" customWidth="1"/>
    <col min="3" max="4" width="17.85546875" style="303" customWidth="1"/>
    <col min="5" max="5" width="17.28515625" style="303" customWidth="1"/>
    <col min="6" max="6" width="15.7109375" style="303" customWidth="1"/>
    <col min="7" max="7" width="16.85546875" style="304" bestFit="1" customWidth="1"/>
    <col min="8" max="8" width="10.140625" style="304" customWidth="1"/>
    <col min="9" max="9" width="9.140625" style="303"/>
    <col min="10" max="10" width="10.85546875" style="303" customWidth="1"/>
    <col min="11" max="11" width="23.140625" style="303" customWidth="1"/>
    <col min="12" max="12" width="27.140625" style="303" customWidth="1"/>
    <col min="13" max="13" width="35.7109375" style="303" customWidth="1"/>
    <col min="14" max="14" width="41" style="303" customWidth="1"/>
    <col min="15" max="15" width="9.140625" style="303"/>
    <col min="16" max="16" width="42.28515625" style="303" customWidth="1"/>
    <col min="17" max="17" width="15" style="303" bestFit="1" customWidth="1"/>
    <col min="18" max="21" width="13.28515625" style="303" customWidth="1"/>
    <col min="22" max="25" width="9.85546875" style="303" bestFit="1" customWidth="1"/>
    <col min="26" max="26" width="10.28515625" style="303" bestFit="1" customWidth="1"/>
    <col min="27" max="76" width="9.85546875" style="303" bestFit="1" customWidth="1"/>
    <col min="77" max="16384" width="9.140625" style="303"/>
  </cols>
  <sheetData>
    <row r="1" spans="1:76" ht="16.5" customHeight="1" x14ac:dyDescent="0.25">
      <c r="A1" s="301" t="s">
        <v>867</v>
      </c>
      <c r="B1" s="301" t="s">
        <v>866</v>
      </c>
      <c r="C1" s="301" t="s">
        <v>337</v>
      </c>
      <c r="D1" s="301" t="s">
        <v>922</v>
      </c>
      <c r="E1" s="301" t="s">
        <v>868</v>
      </c>
      <c r="F1" s="301" t="s">
        <v>869</v>
      </c>
      <c r="G1" s="302" t="s">
        <v>864</v>
      </c>
      <c r="H1" s="302" t="s">
        <v>895</v>
      </c>
      <c r="J1" s="301"/>
      <c r="K1" s="301" t="s">
        <v>16</v>
      </c>
      <c r="L1" s="301" t="s">
        <v>182</v>
      </c>
      <c r="M1" s="301" t="s">
        <v>183</v>
      </c>
      <c r="Q1" s="301" t="s">
        <v>266</v>
      </c>
      <c r="R1" s="301" t="s">
        <v>267</v>
      </c>
      <c r="S1" s="301" t="s">
        <v>268</v>
      </c>
      <c r="T1" s="301" t="s">
        <v>269</v>
      </c>
      <c r="U1" s="301" t="s">
        <v>270</v>
      </c>
      <c r="V1" s="301" t="s">
        <v>274</v>
      </c>
      <c r="W1" s="301" t="s">
        <v>275</v>
      </c>
      <c r="X1" s="301" t="s">
        <v>276</v>
      </c>
      <c r="Y1" s="301" t="s">
        <v>277</v>
      </c>
      <c r="Z1" s="301" t="s">
        <v>278</v>
      </c>
      <c r="AA1" s="301" t="s">
        <v>279</v>
      </c>
      <c r="AB1" s="301" t="s">
        <v>280</v>
      </c>
      <c r="AC1" s="301" t="s">
        <v>281</v>
      </c>
      <c r="AD1" s="301" t="s">
        <v>282</v>
      </c>
      <c r="AE1" s="301" t="s">
        <v>283</v>
      </c>
      <c r="AF1" s="301" t="s">
        <v>284</v>
      </c>
      <c r="AG1" s="301" t="s">
        <v>285</v>
      </c>
      <c r="AH1" s="301" t="s">
        <v>286</v>
      </c>
      <c r="AI1" s="301" t="s">
        <v>287</v>
      </c>
      <c r="AJ1" s="301" t="s">
        <v>288</v>
      </c>
      <c r="AK1" s="301" t="s">
        <v>289</v>
      </c>
      <c r="AL1" s="301" t="s">
        <v>290</v>
      </c>
      <c r="AM1" s="301" t="s">
        <v>291</v>
      </c>
      <c r="AN1" s="301" t="s">
        <v>292</v>
      </c>
      <c r="AO1" s="301" t="s">
        <v>293</v>
      </c>
      <c r="AP1" s="301" t="s">
        <v>294</v>
      </c>
      <c r="AQ1" s="301" t="s">
        <v>295</v>
      </c>
      <c r="AR1" s="301" t="s">
        <v>296</v>
      </c>
      <c r="AS1" s="301" t="s">
        <v>297</v>
      </c>
      <c r="AT1" s="301" t="s">
        <v>298</v>
      </c>
      <c r="AU1" s="301" t="s">
        <v>299</v>
      </c>
      <c r="AV1" s="301" t="s">
        <v>300</v>
      </c>
      <c r="AW1" s="301" t="s">
        <v>301</v>
      </c>
      <c r="AX1" s="301" t="s">
        <v>302</v>
      </c>
      <c r="AY1" s="301" t="s">
        <v>303</v>
      </c>
      <c r="AZ1" s="301" t="s">
        <v>304</v>
      </c>
      <c r="BA1" s="301" t="s">
        <v>305</v>
      </c>
      <c r="BB1" s="301" t="s">
        <v>306</v>
      </c>
      <c r="BC1" s="301" t="s">
        <v>307</v>
      </c>
      <c r="BD1" s="301" t="s">
        <v>308</v>
      </c>
      <c r="BE1" s="301" t="s">
        <v>309</v>
      </c>
      <c r="BF1" s="301" t="s">
        <v>310</v>
      </c>
      <c r="BG1" s="301" t="s">
        <v>311</v>
      </c>
      <c r="BH1" s="301" t="s">
        <v>312</v>
      </c>
      <c r="BI1" s="301" t="s">
        <v>313</v>
      </c>
      <c r="BJ1" s="301" t="s">
        <v>314</v>
      </c>
      <c r="BK1" s="301" t="s">
        <v>315</v>
      </c>
      <c r="BL1" s="301" t="s">
        <v>316</v>
      </c>
      <c r="BM1" s="301" t="s">
        <v>317</v>
      </c>
      <c r="BN1" s="301" t="s">
        <v>318</v>
      </c>
      <c r="BO1" s="301" t="s">
        <v>319</v>
      </c>
      <c r="BP1" s="301" t="s">
        <v>320</v>
      </c>
      <c r="BQ1" s="301" t="s">
        <v>321</v>
      </c>
      <c r="BR1" s="301" t="s">
        <v>322</v>
      </c>
      <c r="BS1" s="301" t="s">
        <v>323</v>
      </c>
      <c r="BT1" s="301" t="s">
        <v>324</v>
      </c>
      <c r="BU1" s="301" t="s">
        <v>325</v>
      </c>
      <c r="BV1" s="301" t="s">
        <v>326</v>
      </c>
      <c r="BW1" s="301" t="s">
        <v>327</v>
      </c>
      <c r="BX1" s="301" t="s">
        <v>328</v>
      </c>
    </row>
    <row r="2" spans="1:76" x14ac:dyDescent="0.25">
      <c r="A2" s="303" t="s">
        <v>342</v>
      </c>
      <c r="B2" s="303">
        <f>'PCO Log'!E7</f>
        <v>0</v>
      </c>
      <c r="C2" s="303">
        <f>'PCO Log'!E4</f>
        <v>0</v>
      </c>
      <c r="D2" s="303" cm="1">
        <f t="array" ref="D2">INDEX('PCO Log'!$E$5:$SJ$5, 1, ROWS('Graph Data'!$D$2:D2))</f>
        <v>0</v>
      </c>
      <c r="E2" s="303">
        <f>'PCO Log'!E8</f>
        <v>0</v>
      </c>
      <c r="F2" s="303">
        <f>'PCO Log'!E3</f>
        <v>0</v>
      </c>
      <c r="G2" s="304">
        <f>'PCO Log'!E10</f>
        <v>0</v>
      </c>
      <c r="H2" s="305">
        <f>'PCO Log'!E6</f>
        <v>0</v>
      </c>
      <c r="J2" s="303" t="s">
        <v>266</v>
      </c>
      <c r="K2" s="303">
        <f>'Pay App 1'!H33</f>
        <v>0</v>
      </c>
      <c r="L2" s="303">
        <v>0</v>
      </c>
      <c r="M2" s="303">
        <f>'Pay App 1'!H149</f>
        <v>0</v>
      </c>
      <c r="O2" s="303" t="str">
        <f>'Pay App 1'!B57</f>
        <v>00 01 00</v>
      </c>
      <c r="P2" s="303" t="str">
        <f>'Pay App 1'!C57</f>
        <v>Design Fee (if design build)</v>
      </c>
      <c r="Q2" s="304">
        <f>SUMIFS('PCO Log'!$E12:$SJ12,'PCO Log'!$E$9:$SJ$9,'Graph Data'!Q$1,'PCO Log'!$E$7:$SJ$7,"Approved")</f>
        <v>0</v>
      </c>
      <c r="R2" s="304">
        <f>SUMIFS('PCO Log'!$E12:$SJ12,'PCO Log'!$E$9:$SJ$9,'Graph Data'!R$1,'PCO Log'!$E$7:$SJ$7,"Approved")</f>
        <v>0</v>
      </c>
      <c r="S2" s="304">
        <f>SUMIFS('PCO Log'!$E12:$SJ12,'PCO Log'!$E$9:$SJ$9,'Graph Data'!S$1,'PCO Log'!$E$7:$SJ$7,"Approved")</f>
        <v>0</v>
      </c>
      <c r="T2" s="304">
        <f>SUMIFS('PCO Log'!$E12:$SJ12,'PCO Log'!$E$9:$SJ$9,'Graph Data'!T$1,'PCO Log'!$E$7:$SJ$7,"Approved")</f>
        <v>0</v>
      </c>
      <c r="U2" s="304">
        <f>SUMIFS('PCO Log'!$E12:$SJ12,'PCO Log'!$E$9:$SJ$9,'Graph Data'!U$1,'PCO Log'!$E$7:$SJ$7,"Approved")</f>
        <v>0</v>
      </c>
      <c r="V2" s="304">
        <f>SUMIFS('PCO Log'!$E12:$SJ12,'PCO Log'!$E$9:$SJ$9,'Graph Data'!V$1,'PCO Log'!$E$7:$SJ$7,"Approved")</f>
        <v>0</v>
      </c>
      <c r="W2" s="304">
        <f>SUMIFS('PCO Log'!$E12:$SJ12,'PCO Log'!$E$9:$SJ$9,'Graph Data'!W$1,'PCO Log'!$E$7:$SJ$7,"Approved")</f>
        <v>0</v>
      </c>
      <c r="X2" s="304">
        <f>SUMIFS('PCO Log'!$E12:$SJ12,'PCO Log'!$E$9:$SJ$9,'Graph Data'!X$1,'PCO Log'!$E$7:$SJ$7,"Approved")</f>
        <v>0</v>
      </c>
      <c r="Y2" s="304">
        <f>SUMIFS('PCO Log'!$E12:$SJ12,'PCO Log'!$E$9:$SJ$9,'Graph Data'!Y$1,'PCO Log'!$E$7:$SJ$7,"Approved")</f>
        <v>0</v>
      </c>
      <c r="Z2" s="304">
        <f>SUMIFS('PCO Log'!$E12:$SJ12,'PCO Log'!$E$9:$SJ$9,'Graph Data'!Z$1,'PCO Log'!$E$7:$SJ$7,"Approved")</f>
        <v>0</v>
      </c>
      <c r="AA2" s="304">
        <f>SUMIFS('PCO Log'!$E12:$SJ12,'PCO Log'!$E$9:$SJ$9,'Graph Data'!AA$1,'PCO Log'!$E$7:$SJ$7,"Approved")</f>
        <v>0</v>
      </c>
      <c r="AB2" s="304">
        <f>SUMIFS('PCO Log'!$E12:$SJ12,'PCO Log'!$E$9:$SJ$9,'Graph Data'!AB$1,'PCO Log'!$E$7:$SJ$7,"Approved")</f>
        <v>0</v>
      </c>
      <c r="AC2" s="304">
        <f>SUMIFS('PCO Log'!$E12:$SJ12,'PCO Log'!$E$9:$SJ$9,'Graph Data'!AC$1,'PCO Log'!$E$7:$SJ$7,"Approved")</f>
        <v>0</v>
      </c>
      <c r="AD2" s="304">
        <f>SUMIFS('PCO Log'!$E12:$SJ12,'PCO Log'!$E$9:$SJ$9,'Graph Data'!AD$1,'PCO Log'!$E$7:$SJ$7,"Approved")</f>
        <v>0</v>
      </c>
      <c r="AE2" s="304">
        <f>SUMIFS('PCO Log'!$E12:$SJ12,'PCO Log'!$E$9:$SJ$9,'Graph Data'!AE$1,'PCO Log'!$E$7:$SJ$7,"Approved")</f>
        <v>0</v>
      </c>
      <c r="AF2" s="304">
        <f>SUMIFS('PCO Log'!$E12:$SJ12,'PCO Log'!$E$9:$SJ$9,'Graph Data'!AF$1,'PCO Log'!$E$7:$SJ$7,"Approved")</f>
        <v>0</v>
      </c>
      <c r="AG2" s="304">
        <f>SUMIFS('PCO Log'!$E12:$SJ12,'PCO Log'!$E$9:$SJ$9,'Graph Data'!AG$1,'PCO Log'!$E$7:$SJ$7,"Approved")</f>
        <v>0</v>
      </c>
      <c r="AH2" s="304">
        <f>SUMIFS('PCO Log'!$E12:$SJ12,'PCO Log'!$E$9:$SJ$9,'Graph Data'!AH$1,'PCO Log'!$E$7:$SJ$7,"Approved")</f>
        <v>0</v>
      </c>
      <c r="AI2" s="304">
        <f>SUMIFS('PCO Log'!$E12:$SJ12,'PCO Log'!$E$9:$SJ$9,'Graph Data'!AI$1,'PCO Log'!$E$7:$SJ$7,"Approved")</f>
        <v>0</v>
      </c>
      <c r="AJ2" s="304">
        <f>SUMIFS('PCO Log'!$E12:$SJ12,'PCO Log'!$E$9:$SJ$9,'Graph Data'!AJ$1,'PCO Log'!$E$7:$SJ$7,"Approved")</f>
        <v>0</v>
      </c>
      <c r="AK2" s="304">
        <f>SUMIFS('PCO Log'!$E12:$SJ12,'PCO Log'!$E$9:$SJ$9,'Graph Data'!AK$1,'PCO Log'!$E$7:$SJ$7,"Approved")</f>
        <v>0</v>
      </c>
      <c r="AL2" s="304">
        <f>SUMIFS('PCO Log'!$E12:$SJ12,'PCO Log'!$E$9:$SJ$9,'Graph Data'!AL$1,'PCO Log'!$E$7:$SJ$7,"Approved")</f>
        <v>0</v>
      </c>
      <c r="AM2" s="304">
        <f>SUMIFS('PCO Log'!$E12:$SJ12,'PCO Log'!$E$9:$SJ$9,'Graph Data'!AM$1,'PCO Log'!$E$7:$SJ$7,"Approved")</f>
        <v>0</v>
      </c>
      <c r="AN2" s="304">
        <f>SUMIFS('PCO Log'!$E12:$SJ12,'PCO Log'!$E$9:$SJ$9,'Graph Data'!AN$1,'PCO Log'!$E$7:$SJ$7,"Approved")</f>
        <v>0</v>
      </c>
      <c r="AO2" s="304">
        <f>SUMIFS('PCO Log'!$E12:$SJ12,'PCO Log'!$E$9:$SJ$9,'Graph Data'!AO$1,'PCO Log'!$E$7:$SJ$7,"Approved")</f>
        <v>0</v>
      </c>
      <c r="AP2" s="304">
        <f>SUMIFS('PCO Log'!$E12:$SJ12,'PCO Log'!$E$9:$SJ$9,'Graph Data'!AP$1,'PCO Log'!$E$7:$SJ$7,"Approved")</f>
        <v>0</v>
      </c>
      <c r="AQ2" s="304">
        <f>SUMIFS('PCO Log'!$E12:$SJ12,'PCO Log'!$E$9:$SJ$9,'Graph Data'!AQ$1,'PCO Log'!$E$7:$SJ$7,"Approved")</f>
        <v>0</v>
      </c>
      <c r="AR2" s="304">
        <f>SUMIFS('PCO Log'!$E12:$SJ12,'PCO Log'!$E$9:$SJ$9,'Graph Data'!AR$1,'PCO Log'!$E$7:$SJ$7,"Approved")</f>
        <v>0</v>
      </c>
      <c r="AS2" s="304">
        <f>SUMIFS('PCO Log'!$E12:$SJ12,'PCO Log'!$E$9:$SJ$9,'Graph Data'!AS$1,'PCO Log'!$E$7:$SJ$7,"Approved")</f>
        <v>0</v>
      </c>
      <c r="AT2" s="304">
        <f>SUMIFS('PCO Log'!$E12:$SJ12,'PCO Log'!$E$9:$SJ$9,'Graph Data'!AT$1,'PCO Log'!$E$7:$SJ$7,"Approved")</f>
        <v>0</v>
      </c>
      <c r="AU2" s="304">
        <f>SUMIFS('PCO Log'!$E12:$SJ12,'PCO Log'!$E$9:$SJ$9,'Graph Data'!AU$1,'PCO Log'!$E$7:$SJ$7,"Approved")</f>
        <v>0</v>
      </c>
      <c r="AV2" s="304">
        <f>SUMIFS('PCO Log'!$E12:$SJ12,'PCO Log'!$E$9:$SJ$9,'Graph Data'!AV$1,'PCO Log'!$E$7:$SJ$7,"Approved")</f>
        <v>0</v>
      </c>
      <c r="AW2" s="304">
        <f>SUMIFS('PCO Log'!$E12:$SJ12,'PCO Log'!$E$9:$SJ$9,'Graph Data'!AW$1,'PCO Log'!$E$7:$SJ$7,"Approved")</f>
        <v>0</v>
      </c>
      <c r="AX2" s="304">
        <f>SUMIFS('PCO Log'!$E12:$SJ12,'PCO Log'!$E$9:$SJ$9,'Graph Data'!AX$1,'PCO Log'!$E$7:$SJ$7,"Approved")</f>
        <v>0</v>
      </c>
      <c r="AY2" s="304">
        <f>SUMIFS('PCO Log'!$E12:$SJ12,'PCO Log'!$E$9:$SJ$9,'Graph Data'!AY$1,'PCO Log'!$E$7:$SJ$7,"Approved")</f>
        <v>0</v>
      </c>
      <c r="AZ2" s="304">
        <f>SUMIFS('PCO Log'!$E12:$SJ12,'PCO Log'!$E$9:$SJ$9,'Graph Data'!AZ$1,'PCO Log'!$E$7:$SJ$7,"Approved")</f>
        <v>0</v>
      </c>
      <c r="BA2" s="304">
        <f>SUMIFS('PCO Log'!$E12:$SJ12,'PCO Log'!$E$9:$SJ$9,'Graph Data'!BA$1,'PCO Log'!$E$7:$SJ$7,"Approved")</f>
        <v>0</v>
      </c>
      <c r="BB2" s="304">
        <f>SUMIFS('PCO Log'!$E12:$SJ12,'PCO Log'!$E$9:$SJ$9,'Graph Data'!BB$1,'PCO Log'!$E$7:$SJ$7,"Approved")</f>
        <v>0</v>
      </c>
      <c r="BC2" s="304">
        <f>SUMIFS('PCO Log'!$E12:$SJ12,'PCO Log'!$E$9:$SJ$9,'Graph Data'!BC$1,'PCO Log'!$E$7:$SJ$7,"Approved")</f>
        <v>0</v>
      </c>
      <c r="BD2" s="304">
        <f>SUMIFS('PCO Log'!$E12:$SJ12,'PCO Log'!$E$9:$SJ$9,'Graph Data'!BD$1,'PCO Log'!$E$7:$SJ$7,"Approved")</f>
        <v>0</v>
      </c>
      <c r="BE2" s="304">
        <f>SUMIFS('PCO Log'!$E12:$SJ12,'PCO Log'!$E$9:$SJ$9,'Graph Data'!BE$1,'PCO Log'!$E$7:$SJ$7,"Approved")</f>
        <v>0</v>
      </c>
      <c r="BF2" s="304">
        <f>SUMIFS('PCO Log'!$E12:$SJ12,'PCO Log'!$E$9:$SJ$9,'Graph Data'!BF$1,'PCO Log'!$E$7:$SJ$7,"Approved")</f>
        <v>0</v>
      </c>
      <c r="BG2" s="304">
        <f>SUMIFS('PCO Log'!$E12:$SJ12,'PCO Log'!$E$9:$SJ$9,'Graph Data'!BG$1,'PCO Log'!$E$7:$SJ$7,"Approved")</f>
        <v>0</v>
      </c>
      <c r="BH2" s="304">
        <f>SUMIFS('PCO Log'!$E12:$SJ12,'PCO Log'!$E$9:$SJ$9,'Graph Data'!BH$1,'PCO Log'!$E$7:$SJ$7,"Approved")</f>
        <v>0</v>
      </c>
      <c r="BI2" s="304">
        <f>SUMIFS('PCO Log'!$E12:$SJ12,'PCO Log'!$E$9:$SJ$9,'Graph Data'!BI$1,'PCO Log'!$E$7:$SJ$7,"Approved")</f>
        <v>0</v>
      </c>
      <c r="BJ2" s="304">
        <f>SUMIFS('PCO Log'!$E12:$SJ12,'PCO Log'!$E$9:$SJ$9,'Graph Data'!BJ$1,'PCO Log'!$E$7:$SJ$7,"Approved")</f>
        <v>0</v>
      </c>
      <c r="BK2" s="304">
        <f>SUMIFS('PCO Log'!$E12:$SJ12,'PCO Log'!$E$9:$SJ$9,'Graph Data'!BK$1,'PCO Log'!$E$7:$SJ$7,"Approved")</f>
        <v>0</v>
      </c>
      <c r="BL2" s="304">
        <f>SUMIFS('PCO Log'!$E12:$SJ12,'PCO Log'!$E$9:$SJ$9,'Graph Data'!BL$1,'PCO Log'!$E$7:$SJ$7,"Approved")</f>
        <v>0</v>
      </c>
      <c r="BM2" s="304">
        <f>SUMIFS('PCO Log'!$E12:$SJ12,'PCO Log'!$E$9:$SJ$9,'Graph Data'!BM$1,'PCO Log'!$E$7:$SJ$7,"Approved")</f>
        <v>0</v>
      </c>
      <c r="BN2" s="304">
        <f>SUMIFS('PCO Log'!$E12:$SJ12,'PCO Log'!$E$9:$SJ$9,'Graph Data'!BN$1,'PCO Log'!$E$7:$SJ$7,"Approved")</f>
        <v>0</v>
      </c>
      <c r="BO2" s="304">
        <f>SUMIFS('PCO Log'!$E12:$SJ12,'PCO Log'!$E$9:$SJ$9,'Graph Data'!BO$1,'PCO Log'!$E$7:$SJ$7,"Approved")</f>
        <v>0</v>
      </c>
      <c r="BP2" s="304">
        <f>SUMIFS('PCO Log'!$E12:$SJ12,'PCO Log'!$E$9:$SJ$9,'Graph Data'!BP$1,'PCO Log'!$E$7:$SJ$7,"Approved")</f>
        <v>0</v>
      </c>
      <c r="BQ2" s="304">
        <f>SUMIFS('PCO Log'!$E12:$SJ12,'PCO Log'!$E$9:$SJ$9,'Graph Data'!BQ$1,'PCO Log'!$E$7:$SJ$7,"Approved")</f>
        <v>0</v>
      </c>
      <c r="BR2" s="304">
        <f>SUMIFS('PCO Log'!$E12:$SJ12,'PCO Log'!$E$9:$SJ$9,'Graph Data'!BR$1,'PCO Log'!$E$7:$SJ$7,"Approved")</f>
        <v>0</v>
      </c>
      <c r="BS2" s="304">
        <f>SUMIFS('PCO Log'!$E12:$SJ12,'PCO Log'!$E$9:$SJ$9,'Graph Data'!BS$1,'PCO Log'!$E$7:$SJ$7,"Approved")</f>
        <v>0</v>
      </c>
      <c r="BT2" s="304">
        <f>SUMIFS('PCO Log'!$E12:$SJ12,'PCO Log'!$E$9:$SJ$9,'Graph Data'!BT$1,'PCO Log'!$E$7:$SJ$7,"Approved")</f>
        <v>0</v>
      </c>
      <c r="BU2" s="304">
        <f>SUMIFS('PCO Log'!$E12:$SJ12,'PCO Log'!$E$9:$SJ$9,'Graph Data'!BU$1,'PCO Log'!$E$7:$SJ$7,"Approved")</f>
        <v>0</v>
      </c>
      <c r="BV2" s="304">
        <f>SUMIFS('PCO Log'!$E12:$SJ12,'PCO Log'!$E$9:$SJ$9,'Graph Data'!BV$1,'PCO Log'!$E$7:$SJ$7,"Approved")</f>
        <v>0</v>
      </c>
      <c r="BW2" s="304">
        <f>SUMIFS('PCO Log'!$E12:$SJ12,'PCO Log'!$E$9:$SJ$9,'Graph Data'!BW$1,'PCO Log'!$E$7:$SJ$7,"Approved")</f>
        <v>0</v>
      </c>
      <c r="BX2" s="304">
        <f>SUMIFS('PCO Log'!$E12:$SJ12,'PCO Log'!$E$9:$SJ$9,'Graph Data'!BX$1,'PCO Log'!$E$7:$SJ$7,"Approved")</f>
        <v>0</v>
      </c>
    </row>
    <row r="3" spans="1:76" x14ac:dyDescent="0.25">
      <c r="A3" s="303" t="s">
        <v>343</v>
      </c>
      <c r="B3" s="303">
        <f>'PCO Log'!F7</f>
        <v>0</v>
      </c>
      <c r="C3" s="303">
        <f>'PCO Log'!F4</f>
        <v>0</v>
      </c>
      <c r="D3" s="303" cm="1">
        <f t="array" ref="D3">INDEX('PCO Log'!$E$5:$SJ$5, 1, ROWS('Graph Data'!$D$2:D3))</f>
        <v>0</v>
      </c>
      <c r="E3" s="303">
        <f>'PCO Log'!F8</f>
        <v>0</v>
      </c>
      <c r="F3" s="303">
        <f>'PCO Log'!F3</f>
        <v>0</v>
      </c>
      <c r="G3" s="304">
        <f>'PCO Log'!F10</f>
        <v>0</v>
      </c>
      <c r="H3" s="305">
        <f>'PCO Log'!F6</f>
        <v>0</v>
      </c>
      <c r="J3" s="303" t="s">
        <v>267</v>
      </c>
      <c r="K3" s="303">
        <f>'Pay App 2'!H33</f>
        <v>0</v>
      </c>
      <c r="L3" s="303">
        <f>IF(M3&gt;0,'Pay App 2'!$G$149,0)</f>
        <v>0</v>
      </c>
      <c r="M3" s="303">
        <f>'Pay App 2'!H149</f>
        <v>0</v>
      </c>
      <c r="O3" s="303" t="str">
        <f>'Pay App 1'!B58</f>
        <v>00 02 00</v>
      </c>
      <c r="P3" s="303" t="str">
        <f>'Pay App 1'!C58</f>
        <v>Preconstruction Services</v>
      </c>
      <c r="Q3" s="304">
        <f>SUMIFS('PCO Log'!$E13:$SJ13,'PCO Log'!$E$9:$SJ$9,'Graph Data'!Q$1,'PCO Log'!$E$7:$SJ$7,"Approved")</f>
        <v>0</v>
      </c>
      <c r="R3" s="304">
        <f>SUMIFS('PCO Log'!$E13:$SJ13,'PCO Log'!$E$9:$SJ$9,'Graph Data'!R$1,'PCO Log'!$E$7:$SJ$7,"Approved")</f>
        <v>0</v>
      </c>
      <c r="S3" s="304">
        <f>SUMIFS('PCO Log'!$E13:$SJ13,'PCO Log'!$E$9:$SJ$9,'Graph Data'!S$1,'PCO Log'!$E$7:$SJ$7,"Approved")</f>
        <v>0</v>
      </c>
      <c r="T3" s="304">
        <f>SUMIFS('PCO Log'!$E13:$SJ13,'PCO Log'!$E$9:$SJ$9,'Graph Data'!T$1,'PCO Log'!$E$7:$SJ$7,"Approved")</f>
        <v>0</v>
      </c>
      <c r="U3" s="304">
        <f>SUMIFS('PCO Log'!$E13:$SJ13,'PCO Log'!$E$9:$SJ$9,'Graph Data'!U$1,'PCO Log'!$E$7:$SJ$7,"Approved")</f>
        <v>0</v>
      </c>
      <c r="V3" s="304">
        <f>SUMIFS('PCO Log'!$E13:$SJ13,'PCO Log'!$E$9:$SJ$9,'Graph Data'!V$1,'PCO Log'!$E$7:$SJ$7,"Approved")</f>
        <v>0</v>
      </c>
      <c r="W3" s="304">
        <f>SUMIFS('PCO Log'!$E13:$SJ13,'PCO Log'!$E$9:$SJ$9,'Graph Data'!W$1,'PCO Log'!$E$7:$SJ$7,"Approved")</f>
        <v>0</v>
      </c>
      <c r="X3" s="304">
        <f>SUMIFS('PCO Log'!$E13:$SJ13,'PCO Log'!$E$9:$SJ$9,'Graph Data'!X$1,'PCO Log'!$E$7:$SJ$7,"Approved")</f>
        <v>0</v>
      </c>
      <c r="Y3" s="304">
        <f>SUMIFS('PCO Log'!$E13:$SJ13,'PCO Log'!$E$9:$SJ$9,'Graph Data'!Y$1,'PCO Log'!$E$7:$SJ$7,"Approved")</f>
        <v>0</v>
      </c>
      <c r="Z3" s="304">
        <f>SUMIFS('PCO Log'!$E13:$SJ13,'PCO Log'!$E$9:$SJ$9,'Graph Data'!Z$1,'PCO Log'!$E$7:$SJ$7,"Approved")</f>
        <v>0</v>
      </c>
      <c r="AA3" s="304">
        <f>SUMIFS('PCO Log'!$E13:$SJ13,'PCO Log'!$E$9:$SJ$9,'Graph Data'!AA$1,'PCO Log'!$E$7:$SJ$7,"Approved")</f>
        <v>0</v>
      </c>
      <c r="AB3" s="304">
        <f>SUMIFS('PCO Log'!$E13:$SJ13,'PCO Log'!$E$9:$SJ$9,'Graph Data'!AB$1,'PCO Log'!$E$7:$SJ$7,"Approved")</f>
        <v>0</v>
      </c>
      <c r="AC3" s="304">
        <f>SUMIFS('PCO Log'!$E13:$SJ13,'PCO Log'!$E$9:$SJ$9,'Graph Data'!AC$1,'PCO Log'!$E$7:$SJ$7,"Approved")</f>
        <v>0</v>
      </c>
      <c r="AD3" s="304">
        <f>SUMIFS('PCO Log'!$E13:$SJ13,'PCO Log'!$E$9:$SJ$9,'Graph Data'!AD$1,'PCO Log'!$E$7:$SJ$7,"Approved")</f>
        <v>0</v>
      </c>
      <c r="AE3" s="304">
        <f>SUMIFS('PCO Log'!$E13:$SJ13,'PCO Log'!$E$9:$SJ$9,'Graph Data'!AE$1,'PCO Log'!$E$7:$SJ$7,"Approved")</f>
        <v>0</v>
      </c>
      <c r="AF3" s="304">
        <f>SUMIFS('PCO Log'!$E13:$SJ13,'PCO Log'!$E$9:$SJ$9,'Graph Data'!AF$1,'PCO Log'!$E$7:$SJ$7,"Approved")</f>
        <v>0</v>
      </c>
      <c r="AG3" s="304">
        <f>SUMIFS('PCO Log'!$E13:$SJ13,'PCO Log'!$E$9:$SJ$9,'Graph Data'!AG$1,'PCO Log'!$E$7:$SJ$7,"Approved")</f>
        <v>0</v>
      </c>
      <c r="AH3" s="304">
        <f>SUMIFS('PCO Log'!$E13:$SJ13,'PCO Log'!$E$9:$SJ$9,'Graph Data'!AH$1,'PCO Log'!$E$7:$SJ$7,"Approved")</f>
        <v>0</v>
      </c>
      <c r="AI3" s="304">
        <f>SUMIFS('PCO Log'!$E13:$SJ13,'PCO Log'!$E$9:$SJ$9,'Graph Data'!AI$1,'PCO Log'!$E$7:$SJ$7,"Approved")</f>
        <v>0</v>
      </c>
      <c r="AJ3" s="304">
        <f>SUMIFS('PCO Log'!$E13:$SJ13,'PCO Log'!$E$9:$SJ$9,'Graph Data'!AJ$1,'PCO Log'!$E$7:$SJ$7,"Approved")</f>
        <v>0</v>
      </c>
      <c r="AK3" s="304">
        <f>SUMIFS('PCO Log'!$E13:$SJ13,'PCO Log'!$E$9:$SJ$9,'Graph Data'!AK$1,'PCO Log'!$E$7:$SJ$7,"Approved")</f>
        <v>0</v>
      </c>
      <c r="AL3" s="304">
        <f>SUMIFS('PCO Log'!$E13:$SJ13,'PCO Log'!$E$9:$SJ$9,'Graph Data'!AL$1,'PCO Log'!$E$7:$SJ$7,"Approved")</f>
        <v>0</v>
      </c>
      <c r="AM3" s="304">
        <f>SUMIFS('PCO Log'!$E13:$SJ13,'PCO Log'!$E$9:$SJ$9,'Graph Data'!AM$1,'PCO Log'!$E$7:$SJ$7,"Approved")</f>
        <v>0</v>
      </c>
      <c r="AN3" s="304">
        <f>SUMIFS('PCO Log'!$E13:$SJ13,'PCO Log'!$E$9:$SJ$9,'Graph Data'!AN$1,'PCO Log'!$E$7:$SJ$7,"Approved")</f>
        <v>0</v>
      </c>
      <c r="AO3" s="304">
        <f>SUMIFS('PCO Log'!$E13:$SJ13,'PCO Log'!$E$9:$SJ$9,'Graph Data'!AO$1,'PCO Log'!$E$7:$SJ$7,"Approved")</f>
        <v>0</v>
      </c>
      <c r="AP3" s="304">
        <f>SUMIFS('PCO Log'!$E13:$SJ13,'PCO Log'!$E$9:$SJ$9,'Graph Data'!AP$1,'PCO Log'!$E$7:$SJ$7,"Approved")</f>
        <v>0</v>
      </c>
      <c r="AQ3" s="304">
        <f>SUMIFS('PCO Log'!$E13:$SJ13,'PCO Log'!$E$9:$SJ$9,'Graph Data'!AQ$1,'PCO Log'!$E$7:$SJ$7,"Approved")</f>
        <v>0</v>
      </c>
      <c r="AR3" s="304">
        <f>SUMIFS('PCO Log'!$E13:$SJ13,'PCO Log'!$E$9:$SJ$9,'Graph Data'!AR$1,'PCO Log'!$E$7:$SJ$7,"Approved")</f>
        <v>0</v>
      </c>
      <c r="AS3" s="304">
        <f>SUMIFS('PCO Log'!$E13:$SJ13,'PCO Log'!$E$9:$SJ$9,'Graph Data'!AS$1,'PCO Log'!$E$7:$SJ$7,"Approved")</f>
        <v>0</v>
      </c>
      <c r="AT3" s="304">
        <f>SUMIFS('PCO Log'!$E13:$SJ13,'PCO Log'!$E$9:$SJ$9,'Graph Data'!AT$1,'PCO Log'!$E$7:$SJ$7,"Approved")</f>
        <v>0</v>
      </c>
      <c r="AU3" s="304">
        <f>SUMIFS('PCO Log'!$E13:$SJ13,'PCO Log'!$E$9:$SJ$9,'Graph Data'!AU$1,'PCO Log'!$E$7:$SJ$7,"Approved")</f>
        <v>0</v>
      </c>
      <c r="AV3" s="304">
        <f>SUMIFS('PCO Log'!$E13:$SJ13,'PCO Log'!$E$9:$SJ$9,'Graph Data'!AV$1,'PCO Log'!$E$7:$SJ$7,"Approved")</f>
        <v>0</v>
      </c>
      <c r="AW3" s="304">
        <f>SUMIFS('PCO Log'!$E13:$SJ13,'PCO Log'!$E$9:$SJ$9,'Graph Data'!AW$1,'PCO Log'!$E$7:$SJ$7,"Approved")</f>
        <v>0</v>
      </c>
      <c r="AX3" s="304">
        <f>SUMIFS('PCO Log'!$E13:$SJ13,'PCO Log'!$E$9:$SJ$9,'Graph Data'!AX$1,'PCO Log'!$E$7:$SJ$7,"Approved")</f>
        <v>0</v>
      </c>
      <c r="AY3" s="304">
        <f>SUMIFS('PCO Log'!$E13:$SJ13,'PCO Log'!$E$9:$SJ$9,'Graph Data'!AY$1,'PCO Log'!$E$7:$SJ$7,"Approved")</f>
        <v>0</v>
      </c>
      <c r="AZ3" s="304">
        <f>SUMIFS('PCO Log'!$E13:$SJ13,'PCO Log'!$E$9:$SJ$9,'Graph Data'!AZ$1,'PCO Log'!$E$7:$SJ$7,"Approved")</f>
        <v>0</v>
      </c>
      <c r="BA3" s="304">
        <f>SUMIFS('PCO Log'!$E13:$SJ13,'PCO Log'!$E$9:$SJ$9,'Graph Data'!BA$1,'PCO Log'!$E$7:$SJ$7,"Approved")</f>
        <v>0</v>
      </c>
      <c r="BB3" s="304">
        <f>SUMIFS('PCO Log'!$E13:$SJ13,'PCO Log'!$E$9:$SJ$9,'Graph Data'!BB$1,'PCO Log'!$E$7:$SJ$7,"Approved")</f>
        <v>0</v>
      </c>
      <c r="BC3" s="304">
        <f>SUMIFS('PCO Log'!$E13:$SJ13,'PCO Log'!$E$9:$SJ$9,'Graph Data'!BC$1,'PCO Log'!$E$7:$SJ$7,"Approved")</f>
        <v>0</v>
      </c>
      <c r="BD3" s="304">
        <f>SUMIFS('PCO Log'!$E13:$SJ13,'PCO Log'!$E$9:$SJ$9,'Graph Data'!BD$1,'PCO Log'!$E$7:$SJ$7,"Approved")</f>
        <v>0</v>
      </c>
      <c r="BE3" s="304">
        <f>SUMIFS('PCO Log'!$E13:$SJ13,'PCO Log'!$E$9:$SJ$9,'Graph Data'!BE$1,'PCO Log'!$E$7:$SJ$7,"Approved")</f>
        <v>0</v>
      </c>
      <c r="BF3" s="304">
        <f>SUMIFS('PCO Log'!$E13:$SJ13,'PCO Log'!$E$9:$SJ$9,'Graph Data'!BF$1,'PCO Log'!$E$7:$SJ$7,"Approved")</f>
        <v>0</v>
      </c>
      <c r="BG3" s="304">
        <f>SUMIFS('PCO Log'!$E13:$SJ13,'PCO Log'!$E$9:$SJ$9,'Graph Data'!BG$1,'PCO Log'!$E$7:$SJ$7,"Approved")</f>
        <v>0</v>
      </c>
      <c r="BH3" s="304">
        <f>SUMIFS('PCO Log'!$E13:$SJ13,'PCO Log'!$E$9:$SJ$9,'Graph Data'!BH$1,'PCO Log'!$E$7:$SJ$7,"Approved")</f>
        <v>0</v>
      </c>
      <c r="BI3" s="304">
        <f>SUMIFS('PCO Log'!$E13:$SJ13,'PCO Log'!$E$9:$SJ$9,'Graph Data'!BI$1,'PCO Log'!$E$7:$SJ$7,"Approved")</f>
        <v>0</v>
      </c>
      <c r="BJ3" s="304">
        <f>SUMIFS('PCO Log'!$E13:$SJ13,'PCO Log'!$E$9:$SJ$9,'Graph Data'!BJ$1,'PCO Log'!$E$7:$SJ$7,"Approved")</f>
        <v>0</v>
      </c>
      <c r="BK3" s="304">
        <f>SUMIFS('PCO Log'!$E13:$SJ13,'PCO Log'!$E$9:$SJ$9,'Graph Data'!BK$1,'PCO Log'!$E$7:$SJ$7,"Approved")</f>
        <v>0</v>
      </c>
      <c r="BL3" s="304">
        <f>SUMIFS('PCO Log'!$E13:$SJ13,'PCO Log'!$E$9:$SJ$9,'Graph Data'!BL$1,'PCO Log'!$E$7:$SJ$7,"Approved")</f>
        <v>0</v>
      </c>
      <c r="BM3" s="304">
        <f>SUMIFS('PCO Log'!$E13:$SJ13,'PCO Log'!$E$9:$SJ$9,'Graph Data'!BM$1,'PCO Log'!$E$7:$SJ$7,"Approved")</f>
        <v>0</v>
      </c>
      <c r="BN3" s="304">
        <f>SUMIFS('PCO Log'!$E13:$SJ13,'PCO Log'!$E$9:$SJ$9,'Graph Data'!BN$1,'PCO Log'!$E$7:$SJ$7,"Approved")</f>
        <v>0</v>
      </c>
      <c r="BO3" s="304">
        <f>SUMIFS('PCO Log'!$E13:$SJ13,'PCO Log'!$E$9:$SJ$9,'Graph Data'!BO$1,'PCO Log'!$E$7:$SJ$7,"Approved")</f>
        <v>0</v>
      </c>
      <c r="BP3" s="304">
        <f>SUMIFS('PCO Log'!$E13:$SJ13,'PCO Log'!$E$9:$SJ$9,'Graph Data'!BP$1,'PCO Log'!$E$7:$SJ$7,"Approved")</f>
        <v>0</v>
      </c>
      <c r="BQ3" s="304">
        <f>SUMIFS('PCO Log'!$E13:$SJ13,'PCO Log'!$E$9:$SJ$9,'Graph Data'!BQ$1,'PCO Log'!$E$7:$SJ$7,"Approved")</f>
        <v>0</v>
      </c>
      <c r="BR3" s="304">
        <f>SUMIFS('PCO Log'!$E13:$SJ13,'PCO Log'!$E$9:$SJ$9,'Graph Data'!BR$1,'PCO Log'!$E$7:$SJ$7,"Approved")</f>
        <v>0</v>
      </c>
      <c r="BS3" s="304">
        <f>SUMIFS('PCO Log'!$E13:$SJ13,'PCO Log'!$E$9:$SJ$9,'Graph Data'!BS$1,'PCO Log'!$E$7:$SJ$7,"Approved")</f>
        <v>0</v>
      </c>
      <c r="BT3" s="304">
        <f>SUMIFS('PCO Log'!$E13:$SJ13,'PCO Log'!$E$9:$SJ$9,'Graph Data'!BT$1,'PCO Log'!$E$7:$SJ$7,"Approved")</f>
        <v>0</v>
      </c>
      <c r="BU3" s="304">
        <f>SUMIFS('PCO Log'!$E13:$SJ13,'PCO Log'!$E$9:$SJ$9,'Graph Data'!BU$1,'PCO Log'!$E$7:$SJ$7,"Approved")</f>
        <v>0</v>
      </c>
      <c r="BV3" s="304">
        <f>SUMIFS('PCO Log'!$E13:$SJ13,'PCO Log'!$E$9:$SJ$9,'Graph Data'!BV$1,'PCO Log'!$E$7:$SJ$7,"Approved")</f>
        <v>0</v>
      </c>
      <c r="BW3" s="304">
        <f>SUMIFS('PCO Log'!$E13:$SJ13,'PCO Log'!$E$9:$SJ$9,'Graph Data'!BW$1,'PCO Log'!$E$7:$SJ$7,"Approved")</f>
        <v>0</v>
      </c>
      <c r="BX3" s="304">
        <f>SUMIFS('PCO Log'!$E13:$SJ13,'PCO Log'!$E$9:$SJ$9,'Graph Data'!BX$1,'PCO Log'!$E$7:$SJ$7,"Approved")</f>
        <v>0</v>
      </c>
    </row>
    <row r="4" spans="1:76" x14ac:dyDescent="0.25">
      <c r="A4" s="303" t="s">
        <v>344</v>
      </c>
      <c r="B4" s="303">
        <f>'PCO Log'!G7</f>
        <v>0</v>
      </c>
      <c r="C4" s="303">
        <f>'PCO Log'!G4</f>
        <v>0</v>
      </c>
      <c r="D4" s="303" cm="1">
        <f t="array" ref="D4">INDEX('PCO Log'!$E$5:$SJ$5, 1, ROWS('Graph Data'!$D$2:D4))</f>
        <v>0</v>
      </c>
      <c r="E4" s="303">
        <f>'PCO Log'!G8</f>
        <v>0</v>
      </c>
      <c r="F4" s="303">
        <f>'PCO Log'!G3</f>
        <v>0</v>
      </c>
      <c r="G4" s="304">
        <f>'PCO Log'!G10</f>
        <v>0</v>
      </c>
      <c r="H4" s="305">
        <f>'PCO Log'!G6</f>
        <v>0</v>
      </c>
      <c r="J4" s="303" t="s">
        <v>268</v>
      </c>
      <c r="K4" s="303">
        <f>'Pay App 3'!H33</f>
        <v>0</v>
      </c>
      <c r="L4" s="303">
        <f>IF(M4&gt;0,'Pay App 3'!$G$149,0)</f>
        <v>0</v>
      </c>
      <c r="M4" s="303">
        <f>'Pay App 3'!H149</f>
        <v>0</v>
      </c>
      <c r="O4" s="303" t="str">
        <f>'Pay App 1'!B59</f>
        <v>01 00 00</v>
      </c>
      <c r="P4" s="303" t="str">
        <f>'Pay App 1'!C59</f>
        <v>General Conditions/Requirements</v>
      </c>
      <c r="Q4" s="304">
        <f>SUMIFS('PCO Log'!$E14:$SJ14,'PCO Log'!$E$9:$SJ$9,'Graph Data'!Q$1,'PCO Log'!$E$7:$SJ$7,"Approved")</f>
        <v>0</v>
      </c>
      <c r="R4" s="304">
        <f>SUMIFS('PCO Log'!$E14:$SJ14,'PCO Log'!$E$9:$SJ$9,'Graph Data'!R$1,'PCO Log'!$E$7:$SJ$7,"Approved")</f>
        <v>0</v>
      </c>
      <c r="S4" s="304">
        <f>SUMIFS('PCO Log'!$E14:$SJ14,'PCO Log'!$E$9:$SJ$9,'Graph Data'!S$1,'PCO Log'!$E$7:$SJ$7,"Approved")</f>
        <v>0</v>
      </c>
      <c r="T4" s="304">
        <f>SUMIFS('PCO Log'!$E14:$SJ14,'PCO Log'!$E$9:$SJ$9,'Graph Data'!T$1,'PCO Log'!$E$7:$SJ$7,"Approved")</f>
        <v>0</v>
      </c>
      <c r="U4" s="304">
        <f>SUMIFS('PCO Log'!$E14:$SJ14,'PCO Log'!$E$9:$SJ$9,'Graph Data'!U$1,'PCO Log'!$E$7:$SJ$7,"Approved")</f>
        <v>0</v>
      </c>
      <c r="V4" s="304">
        <f>SUMIFS('PCO Log'!$E14:$SJ14,'PCO Log'!$E$9:$SJ$9,'Graph Data'!V$1,'PCO Log'!$E$7:$SJ$7,"Approved")</f>
        <v>0</v>
      </c>
      <c r="W4" s="304">
        <f>SUMIFS('PCO Log'!$E14:$SJ14,'PCO Log'!$E$9:$SJ$9,'Graph Data'!W$1,'PCO Log'!$E$7:$SJ$7,"Approved")</f>
        <v>0</v>
      </c>
      <c r="X4" s="304">
        <f>SUMIFS('PCO Log'!$E14:$SJ14,'PCO Log'!$E$9:$SJ$9,'Graph Data'!X$1,'PCO Log'!$E$7:$SJ$7,"Approved")</f>
        <v>0</v>
      </c>
      <c r="Y4" s="304">
        <f>SUMIFS('PCO Log'!$E14:$SJ14,'PCO Log'!$E$9:$SJ$9,'Graph Data'!Y$1,'PCO Log'!$E$7:$SJ$7,"Approved")</f>
        <v>0</v>
      </c>
      <c r="Z4" s="304">
        <f>SUMIFS('PCO Log'!$E14:$SJ14,'PCO Log'!$E$9:$SJ$9,'Graph Data'!Z$1,'PCO Log'!$E$7:$SJ$7,"Approved")</f>
        <v>0</v>
      </c>
      <c r="AA4" s="304">
        <f>SUMIFS('PCO Log'!$E14:$SJ14,'PCO Log'!$E$9:$SJ$9,'Graph Data'!AA$1,'PCO Log'!$E$7:$SJ$7,"Approved")</f>
        <v>0</v>
      </c>
      <c r="AB4" s="304">
        <f>SUMIFS('PCO Log'!$E14:$SJ14,'PCO Log'!$E$9:$SJ$9,'Graph Data'!AB$1,'PCO Log'!$E$7:$SJ$7,"Approved")</f>
        <v>0</v>
      </c>
      <c r="AC4" s="304">
        <f>SUMIFS('PCO Log'!$E14:$SJ14,'PCO Log'!$E$9:$SJ$9,'Graph Data'!AC$1,'PCO Log'!$E$7:$SJ$7,"Approved")</f>
        <v>0</v>
      </c>
      <c r="AD4" s="304">
        <f>SUMIFS('PCO Log'!$E14:$SJ14,'PCO Log'!$E$9:$SJ$9,'Graph Data'!AD$1,'PCO Log'!$E$7:$SJ$7,"Approved")</f>
        <v>0</v>
      </c>
      <c r="AE4" s="304">
        <f>SUMIFS('PCO Log'!$E14:$SJ14,'PCO Log'!$E$9:$SJ$9,'Graph Data'!AE$1,'PCO Log'!$E$7:$SJ$7,"Approved")</f>
        <v>0</v>
      </c>
      <c r="AF4" s="304">
        <f>SUMIFS('PCO Log'!$E14:$SJ14,'PCO Log'!$E$9:$SJ$9,'Graph Data'!AF$1,'PCO Log'!$E$7:$SJ$7,"Approved")</f>
        <v>0</v>
      </c>
      <c r="AG4" s="304">
        <f>SUMIFS('PCO Log'!$E14:$SJ14,'PCO Log'!$E$9:$SJ$9,'Graph Data'!AG$1,'PCO Log'!$E$7:$SJ$7,"Approved")</f>
        <v>0</v>
      </c>
      <c r="AH4" s="304">
        <f>SUMIFS('PCO Log'!$E14:$SJ14,'PCO Log'!$E$9:$SJ$9,'Graph Data'!AH$1,'PCO Log'!$E$7:$SJ$7,"Approved")</f>
        <v>0</v>
      </c>
      <c r="AI4" s="304">
        <f>SUMIFS('PCO Log'!$E14:$SJ14,'PCO Log'!$E$9:$SJ$9,'Graph Data'!AI$1,'PCO Log'!$E$7:$SJ$7,"Approved")</f>
        <v>0</v>
      </c>
      <c r="AJ4" s="304">
        <f>SUMIFS('PCO Log'!$E14:$SJ14,'PCO Log'!$E$9:$SJ$9,'Graph Data'!AJ$1,'PCO Log'!$E$7:$SJ$7,"Approved")</f>
        <v>0</v>
      </c>
      <c r="AK4" s="304">
        <f>SUMIFS('PCO Log'!$E14:$SJ14,'PCO Log'!$E$9:$SJ$9,'Graph Data'!AK$1,'PCO Log'!$E$7:$SJ$7,"Approved")</f>
        <v>0</v>
      </c>
      <c r="AL4" s="304">
        <f>SUMIFS('PCO Log'!$E14:$SJ14,'PCO Log'!$E$9:$SJ$9,'Graph Data'!AL$1,'PCO Log'!$E$7:$SJ$7,"Approved")</f>
        <v>0</v>
      </c>
      <c r="AM4" s="304">
        <f>SUMIFS('PCO Log'!$E14:$SJ14,'PCO Log'!$E$9:$SJ$9,'Graph Data'!AM$1,'PCO Log'!$E$7:$SJ$7,"Approved")</f>
        <v>0</v>
      </c>
      <c r="AN4" s="304">
        <f>SUMIFS('PCO Log'!$E14:$SJ14,'PCO Log'!$E$9:$SJ$9,'Graph Data'!AN$1,'PCO Log'!$E$7:$SJ$7,"Approved")</f>
        <v>0</v>
      </c>
      <c r="AO4" s="304">
        <f>SUMIFS('PCO Log'!$E14:$SJ14,'PCO Log'!$E$9:$SJ$9,'Graph Data'!AO$1,'PCO Log'!$E$7:$SJ$7,"Approved")</f>
        <v>0</v>
      </c>
      <c r="AP4" s="304">
        <f>SUMIFS('PCO Log'!$E14:$SJ14,'PCO Log'!$E$9:$SJ$9,'Graph Data'!AP$1,'PCO Log'!$E$7:$SJ$7,"Approved")</f>
        <v>0</v>
      </c>
      <c r="AQ4" s="304">
        <f>SUMIFS('PCO Log'!$E14:$SJ14,'PCO Log'!$E$9:$SJ$9,'Graph Data'!AQ$1,'PCO Log'!$E$7:$SJ$7,"Approved")</f>
        <v>0</v>
      </c>
      <c r="AR4" s="304">
        <f>SUMIFS('PCO Log'!$E14:$SJ14,'PCO Log'!$E$9:$SJ$9,'Graph Data'!AR$1,'PCO Log'!$E$7:$SJ$7,"Approved")</f>
        <v>0</v>
      </c>
      <c r="AS4" s="304">
        <f>SUMIFS('PCO Log'!$E14:$SJ14,'PCO Log'!$E$9:$SJ$9,'Graph Data'!AS$1,'PCO Log'!$E$7:$SJ$7,"Approved")</f>
        <v>0</v>
      </c>
      <c r="AT4" s="304">
        <f>SUMIFS('PCO Log'!$E14:$SJ14,'PCO Log'!$E$9:$SJ$9,'Graph Data'!AT$1,'PCO Log'!$E$7:$SJ$7,"Approved")</f>
        <v>0</v>
      </c>
      <c r="AU4" s="304">
        <f>SUMIFS('PCO Log'!$E14:$SJ14,'PCO Log'!$E$9:$SJ$9,'Graph Data'!AU$1,'PCO Log'!$E$7:$SJ$7,"Approved")</f>
        <v>0</v>
      </c>
      <c r="AV4" s="304">
        <f>SUMIFS('PCO Log'!$E14:$SJ14,'PCO Log'!$E$9:$SJ$9,'Graph Data'!AV$1,'PCO Log'!$E$7:$SJ$7,"Approved")</f>
        <v>0</v>
      </c>
      <c r="AW4" s="304">
        <f>SUMIFS('PCO Log'!$E14:$SJ14,'PCO Log'!$E$9:$SJ$9,'Graph Data'!AW$1,'PCO Log'!$E$7:$SJ$7,"Approved")</f>
        <v>0</v>
      </c>
      <c r="AX4" s="304">
        <f>SUMIFS('PCO Log'!$E14:$SJ14,'PCO Log'!$E$9:$SJ$9,'Graph Data'!AX$1,'PCO Log'!$E$7:$SJ$7,"Approved")</f>
        <v>0</v>
      </c>
      <c r="AY4" s="304">
        <f>SUMIFS('PCO Log'!$E14:$SJ14,'PCO Log'!$E$9:$SJ$9,'Graph Data'!AY$1,'PCO Log'!$E$7:$SJ$7,"Approved")</f>
        <v>0</v>
      </c>
      <c r="AZ4" s="304">
        <f>SUMIFS('PCO Log'!$E14:$SJ14,'PCO Log'!$E$9:$SJ$9,'Graph Data'!AZ$1,'PCO Log'!$E$7:$SJ$7,"Approved")</f>
        <v>0</v>
      </c>
      <c r="BA4" s="304">
        <f>SUMIFS('PCO Log'!$E14:$SJ14,'PCO Log'!$E$9:$SJ$9,'Graph Data'!BA$1,'PCO Log'!$E$7:$SJ$7,"Approved")</f>
        <v>0</v>
      </c>
      <c r="BB4" s="304">
        <f>SUMIFS('PCO Log'!$E14:$SJ14,'PCO Log'!$E$9:$SJ$9,'Graph Data'!BB$1,'PCO Log'!$E$7:$SJ$7,"Approved")</f>
        <v>0</v>
      </c>
      <c r="BC4" s="304">
        <f>SUMIFS('PCO Log'!$E14:$SJ14,'PCO Log'!$E$9:$SJ$9,'Graph Data'!BC$1,'PCO Log'!$E$7:$SJ$7,"Approved")</f>
        <v>0</v>
      </c>
      <c r="BD4" s="304">
        <f>SUMIFS('PCO Log'!$E14:$SJ14,'PCO Log'!$E$9:$SJ$9,'Graph Data'!BD$1,'PCO Log'!$E$7:$SJ$7,"Approved")</f>
        <v>0</v>
      </c>
      <c r="BE4" s="304">
        <f>SUMIFS('PCO Log'!$E14:$SJ14,'PCO Log'!$E$9:$SJ$9,'Graph Data'!BE$1,'PCO Log'!$E$7:$SJ$7,"Approved")</f>
        <v>0</v>
      </c>
      <c r="BF4" s="304">
        <f>SUMIFS('PCO Log'!$E14:$SJ14,'PCO Log'!$E$9:$SJ$9,'Graph Data'!BF$1,'PCO Log'!$E$7:$SJ$7,"Approved")</f>
        <v>0</v>
      </c>
      <c r="BG4" s="304">
        <f>SUMIFS('PCO Log'!$E14:$SJ14,'PCO Log'!$E$9:$SJ$9,'Graph Data'!BG$1,'PCO Log'!$E$7:$SJ$7,"Approved")</f>
        <v>0</v>
      </c>
      <c r="BH4" s="304">
        <f>SUMIFS('PCO Log'!$E14:$SJ14,'PCO Log'!$E$9:$SJ$9,'Graph Data'!BH$1,'PCO Log'!$E$7:$SJ$7,"Approved")</f>
        <v>0</v>
      </c>
      <c r="BI4" s="304">
        <f>SUMIFS('PCO Log'!$E14:$SJ14,'PCO Log'!$E$9:$SJ$9,'Graph Data'!BI$1,'PCO Log'!$E$7:$SJ$7,"Approved")</f>
        <v>0</v>
      </c>
      <c r="BJ4" s="304">
        <f>SUMIFS('PCO Log'!$E14:$SJ14,'PCO Log'!$E$9:$SJ$9,'Graph Data'!BJ$1,'PCO Log'!$E$7:$SJ$7,"Approved")</f>
        <v>0</v>
      </c>
      <c r="BK4" s="304">
        <f>SUMIFS('PCO Log'!$E14:$SJ14,'PCO Log'!$E$9:$SJ$9,'Graph Data'!BK$1,'PCO Log'!$E$7:$SJ$7,"Approved")</f>
        <v>0</v>
      </c>
      <c r="BL4" s="304">
        <f>SUMIFS('PCO Log'!$E14:$SJ14,'PCO Log'!$E$9:$SJ$9,'Graph Data'!BL$1,'PCO Log'!$E$7:$SJ$7,"Approved")</f>
        <v>0</v>
      </c>
      <c r="BM4" s="304">
        <f>SUMIFS('PCO Log'!$E14:$SJ14,'PCO Log'!$E$9:$SJ$9,'Graph Data'!BM$1,'PCO Log'!$E$7:$SJ$7,"Approved")</f>
        <v>0</v>
      </c>
      <c r="BN4" s="304">
        <f>SUMIFS('PCO Log'!$E14:$SJ14,'PCO Log'!$E$9:$SJ$9,'Graph Data'!BN$1,'PCO Log'!$E$7:$SJ$7,"Approved")</f>
        <v>0</v>
      </c>
      <c r="BO4" s="304">
        <f>SUMIFS('PCO Log'!$E14:$SJ14,'PCO Log'!$E$9:$SJ$9,'Graph Data'!BO$1,'PCO Log'!$E$7:$SJ$7,"Approved")</f>
        <v>0</v>
      </c>
      <c r="BP4" s="304">
        <f>SUMIFS('PCO Log'!$E14:$SJ14,'PCO Log'!$E$9:$SJ$9,'Graph Data'!BP$1,'PCO Log'!$E$7:$SJ$7,"Approved")</f>
        <v>0</v>
      </c>
      <c r="BQ4" s="304">
        <f>SUMIFS('PCO Log'!$E14:$SJ14,'PCO Log'!$E$9:$SJ$9,'Graph Data'!BQ$1,'PCO Log'!$E$7:$SJ$7,"Approved")</f>
        <v>0</v>
      </c>
      <c r="BR4" s="304">
        <f>SUMIFS('PCO Log'!$E14:$SJ14,'PCO Log'!$E$9:$SJ$9,'Graph Data'!BR$1,'PCO Log'!$E$7:$SJ$7,"Approved")</f>
        <v>0</v>
      </c>
      <c r="BS4" s="304">
        <f>SUMIFS('PCO Log'!$E14:$SJ14,'PCO Log'!$E$9:$SJ$9,'Graph Data'!BS$1,'PCO Log'!$E$7:$SJ$7,"Approved")</f>
        <v>0</v>
      </c>
      <c r="BT4" s="304">
        <f>SUMIFS('PCO Log'!$E14:$SJ14,'PCO Log'!$E$9:$SJ$9,'Graph Data'!BT$1,'PCO Log'!$E$7:$SJ$7,"Approved")</f>
        <v>0</v>
      </c>
      <c r="BU4" s="304">
        <f>SUMIFS('PCO Log'!$E14:$SJ14,'PCO Log'!$E$9:$SJ$9,'Graph Data'!BU$1,'PCO Log'!$E$7:$SJ$7,"Approved")</f>
        <v>0</v>
      </c>
      <c r="BV4" s="304">
        <f>SUMIFS('PCO Log'!$E14:$SJ14,'PCO Log'!$E$9:$SJ$9,'Graph Data'!BV$1,'PCO Log'!$E$7:$SJ$7,"Approved")</f>
        <v>0</v>
      </c>
      <c r="BW4" s="304">
        <f>SUMIFS('PCO Log'!$E14:$SJ14,'PCO Log'!$E$9:$SJ$9,'Graph Data'!BW$1,'PCO Log'!$E$7:$SJ$7,"Approved")</f>
        <v>0</v>
      </c>
      <c r="BX4" s="304">
        <f>SUMIFS('PCO Log'!$E14:$SJ14,'PCO Log'!$E$9:$SJ$9,'Graph Data'!BX$1,'PCO Log'!$E$7:$SJ$7,"Approved")</f>
        <v>0</v>
      </c>
    </row>
    <row r="5" spans="1:76" x14ac:dyDescent="0.25">
      <c r="A5" s="303" t="s">
        <v>345</v>
      </c>
      <c r="B5" s="303">
        <f>'PCO Log'!H7</f>
        <v>0</v>
      </c>
      <c r="C5" s="303">
        <f>'PCO Log'!H4</f>
        <v>0</v>
      </c>
      <c r="D5" s="303" cm="1">
        <f t="array" ref="D5">INDEX('PCO Log'!$E$5:$SJ$5, 1, ROWS('Graph Data'!$D$2:D5))</f>
        <v>0</v>
      </c>
      <c r="E5" s="303">
        <f>'PCO Log'!H8</f>
        <v>0</v>
      </c>
      <c r="F5" s="303">
        <f>'PCO Log'!H3</f>
        <v>0</v>
      </c>
      <c r="G5" s="304">
        <f>'PCO Log'!H10</f>
        <v>0</v>
      </c>
      <c r="H5" s="305">
        <f>'PCO Log'!H6</f>
        <v>0</v>
      </c>
      <c r="J5" s="303" t="s">
        <v>269</v>
      </c>
      <c r="K5" s="303">
        <f>'Pay App 4'!H33</f>
        <v>0</v>
      </c>
      <c r="L5" s="303">
        <f>IF(M5&gt;0,'Pay App 4'!$G$149,0)</f>
        <v>0</v>
      </c>
      <c r="M5" s="303">
        <f>'Pay App 4'!H149</f>
        <v>0</v>
      </c>
      <c r="O5" s="303" t="str">
        <f>'Pay App 1'!B60</f>
        <v>01 13 41</v>
      </c>
      <c r="P5" s="303" t="str">
        <f>'Pay App 1'!C60</f>
        <v>Temp. Scaffolding and Platforms</v>
      </c>
      <c r="Q5" s="304">
        <f>SUMIFS('PCO Log'!$E15:$SJ15,'PCO Log'!$E$9:$SJ$9,'Graph Data'!Q$1,'PCO Log'!$E$7:$SJ$7,"Approved")</f>
        <v>0</v>
      </c>
      <c r="R5" s="304">
        <f>SUMIFS('PCO Log'!$E15:$SJ15,'PCO Log'!$E$9:$SJ$9,'Graph Data'!R$1,'PCO Log'!$E$7:$SJ$7,"Approved")</f>
        <v>0</v>
      </c>
      <c r="S5" s="304">
        <f>SUMIFS('PCO Log'!$E15:$SJ15,'PCO Log'!$E$9:$SJ$9,'Graph Data'!S$1,'PCO Log'!$E$7:$SJ$7,"Approved")</f>
        <v>0</v>
      </c>
      <c r="T5" s="304">
        <f>SUMIFS('PCO Log'!$E15:$SJ15,'PCO Log'!$E$9:$SJ$9,'Graph Data'!T$1,'PCO Log'!$E$7:$SJ$7,"Approved")</f>
        <v>0</v>
      </c>
      <c r="U5" s="304">
        <f>SUMIFS('PCO Log'!$E15:$SJ15,'PCO Log'!$E$9:$SJ$9,'Graph Data'!U$1,'PCO Log'!$E$7:$SJ$7,"Approved")</f>
        <v>0</v>
      </c>
      <c r="V5" s="304">
        <f>SUMIFS('PCO Log'!$E15:$SJ15,'PCO Log'!$E$9:$SJ$9,'Graph Data'!V$1,'PCO Log'!$E$7:$SJ$7,"Approved")</f>
        <v>0</v>
      </c>
      <c r="W5" s="304">
        <f>SUMIFS('PCO Log'!$E15:$SJ15,'PCO Log'!$E$9:$SJ$9,'Graph Data'!W$1,'PCO Log'!$E$7:$SJ$7,"Approved")</f>
        <v>0</v>
      </c>
      <c r="X5" s="304">
        <f>SUMIFS('PCO Log'!$E15:$SJ15,'PCO Log'!$E$9:$SJ$9,'Graph Data'!X$1,'PCO Log'!$E$7:$SJ$7,"Approved")</f>
        <v>0</v>
      </c>
      <c r="Y5" s="304">
        <f>SUMIFS('PCO Log'!$E15:$SJ15,'PCO Log'!$E$9:$SJ$9,'Graph Data'!Y$1,'PCO Log'!$E$7:$SJ$7,"Approved")</f>
        <v>0</v>
      </c>
      <c r="Z5" s="304">
        <f>SUMIFS('PCO Log'!$E15:$SJ15,'PCO Log'!$E$9:$SJ$9,'Graph Data'!Z$1,'PCO Log'!$E$7:$SJ$7,"Approved")</f>
        <v>0</v>
      </c>
      <c r="AA5" s="304">
        <f>SUMIFS('PCO Log'!$E15:$SJ15,'PCO Log'!$E$9:$SJ$9,'Graph Data'!AA$1,'PCO Log'!$E$7:$SJ$7,"Approved")</f>
        <v>0</v>
      </c>
      <c r="AB5" s="304">
        <f>SUMIFS('PCO Log'!$E15:$SJ15,'PCO Log'!$E$9:$SJ$9,'Graph Data'!AB$1,'PCO Log'!$E$7:$SJ$7,"Approved")</f>
        <v>0</v>
      </c>
      <c r="AC5" s="304">
        <f>SUMIFS('PCO Log'!$E15:$SJ15,'PCO Log'!$E$9:$SJ$9,'Graph Data'!AC$1,'PCO Log'!$E$7:$SJ$7,"Approved")</f>
        <v>0</v>
      </c>
      <c r="AD5" s="304">
        <f>SUMIFS('PCO Log'!$E15:$SJ15,'PCO Log'!$E$9:$SJ$9,'Graph Data'!AD$1,'PCO Log'!$E$7:$SJ$7,"Approved")</f>
        <v>0</v>
      </c>
      <c r="AE5" s="304">
        <f>SUMIFS('PCO Log'!$E15:$SJ15,'PCO Log'!$E$9:$SJ$9,'Graph Data'!AE$1,'PCO Log'!$E$7:$SJ$7,"Approved")</f>
        <v>0</v>
      </c>
      <c r="AF5" s="304">
        <f>SUMIFS('PCO Log'!$E15:$SJ15,'PCO Log'!$E$9:$SJ$9,'Graph Data'!AF$1,'PCO Log'!$E$7:$SJ$7,"Approved")</f>
        <v>0</v>
      </c>
      <c r="AG5" s="304">
        <f>SUMIFS('PCO Log'!$E15:$SJ15,'PCO Log'!$E$9:$SJ$9,'Graph Data'!AG$1,'PCO Log'!$E$7:$SJ$7,"Approved")</f>
        <v>0</v>
      </c>
      <c r="AH5" s="304">
        <f>SUMIFS('PCO Log'!$E15:$SJ15,'PCO Log'!$E$9:$SJ$9,'Graph Data'!AH$1,'PCO Log'!$E$7:$SJ$7,"Approved")</f>
        <v>0</v>
      </c>
      <c r="AI5" s="304">
        <f>SUMIFS('PCO Log'!$E15:$SJ15,'PCO Log'!$E$9:$SJ$9,'Graph Data'!AI$1,'PCO Log'!$E$7:$SJ$7,"Approved")</f>
        <v>0</v>
      </c>
      <c r="AJ5" s="304">
        <f>SUMIFS('PCO Log'!$E15:$SJ15,'PCO Log'!$E$9:$SJ$9,'Graph Data'!AJ$1,'PCO Log'!$E$7:$SJ$7,"Approved")</f>
        <v>0</v>
      </c>
      <c r="AK5" s="304">
        <f>SUMIFS('PCO Log'!$E15:$SJ15,'PCO Log'!$E$9:$SJ$9,'Graph Data'!AK$1,'PCO Log'!$E$7:$SJ$7,"Approved")</f>
        <v>0</v>
      </c>
      <c r="AL5" s="304">
        <f>SUMIFS('PCO Log'!$E15:$SJ15,'PCO Log'!$E$9:$SJ$9,'Graph Data'!AL$1,'PCO Log'!$E$7:$SJ$7,"Approved")</f>
        <v>0</v>
      </c>
      <c r="AM5" s="304">
        <f>SUMIFS('PCO Log'!$E15:$SJ15,'PCO Log'!$E$9:$SJ$9,'Graph Data'!AM$1,'PCO Log'!$E$7:$SJ$7,"Approved")</f>
        <v>0</v>
      </c>
      <c r="AN5" s="304">
        <f>SUMIFS('PCO Log'!$E15:$SJ15,'PCO Log'!$E$9:$SJ$9,'Graph Data'!AN$1,'PCO Log'!$E$7:$SJ$7,"Approved")</f>
        <v>0</v>
      </c>
      <c r="AO5" s="304">
        <f>SUMIFS('PCO Log'!$E15:$SJ15,'PCO Log'!$E$9:$SJ$9,'Graph Data'!AO$1,'PCO Log'!$E$7:$SJ$7,"Approved")</f>
        <v>0</v>
      </c>
      <c r="AP5" s="304">
        <f>SUMIFS('PCO Log'!$E15:$SJ15,'PCO Log'!$E$9:$SJ$9,'Graph Data'!AP$1,'PCO Log'!$E$7:$SJ$7,"Approved")</f>
        <v>0</v>
      </c>
      <c r="AQ5" s="304">
        <f>SUMIFS('PCO Log'!$E15:$SJ15,'PCO Log'!$E$9:$SJ$9,'Graph Data'!AQ$1,'PCO Log'!$E$7:$SJ$7,"Approved")</f>
        <v>0</v>
      </c>
      <c r="AR5" s="304">
        <f>SUMIFS('PCO Log'!$E15:$SJ15,'PCO Log'!$E$9:$SJ$9,'Graph Data'!AR$1,'PCO Log'!$E$7:$SJ$7,"Approved")</f>
        <v>0</v>
      </c>
      <c r="AS5" s="304">
        <f>SUMIFS('PCO Log'!$E15:$SJ15,'PCO Log'!$E$9:$SJ$9,'Graph Data'!AS$1,'PCO Log'!$E$7:$SJ$7,"Approved")</f>
        <v>0</v>
      </c>
      <c r="AT5" s="304">
        <f>SUMIFS('PCO Log'!$E15:$SJ15,'PCO Log'!$E$9:$SJ$9,'Graph Data'!AT$1,'PCO Log'!$E$7:$SJ$7,"Approved")</f>
        <v>0</v>
      </c>
      <c r="AU5" s="304">
        <f>SUMIFS('PCO Log'!$E15:$SJ15,'PCO Log'!$E$9:$SJ$9,'Graph Data'!AU$1,'PCO Log'!$E$7:$SJ$7,"Approved")</f>
        <v>0</v>
      </c>
      <c r="AV5" s="304">
        <f>SUMIFS('PCO Log'!$E15:$SJ15,'PCO Log'!$E$9:$SJ$9,'Graph Data'!AV$1,'PCO Log'!$E$7:$SJ$7,"Approved")</f>
        <v>0</v>
      </c>
      <c r="AW5" s="304">
        <f>SUMIFS('PCO Log'!$E15:$SJ15,'PCO Log'!$E$9:$SJ$9,'Graph Data'!AW$1,'PCO Log'!$E$7:$SJ$7,"Approved")</f>
        <v>0</v>
      </c>
      <c r="AX5" s="304">
        <f>SUMIFS('PCO Log'!$E15:$SJ15,'PCO Log'!$E$9:$SJ$9,'Graph Data'!AX$1,'PCO Log'!$E$7:$SJ$7,"Approved")</f>
        <v>0</v>
      </c>
      <c r="AY5" s="304">
        <f>SUMIFS('PCO Log'!$E15:$SJ15,'PCO Log'!$E$9:$SJ$9,'Graph Data'!AY$1,'PCO Log'!$E$7:$SJ$7,"Approved")</f>
        <v>0</v>
      </c>
      <c r="AZ5" s="304">
        <f>SUMIFS('PCO Log'!$E15:$SJ15,'PCO Log'!$E$9:$SJ$9,'Graph Data'!AZ$1,'PCO Log'!$E$7:$SJ$7,"Approved")</f>
        <v>0</v>
      </c>
      <c r="BA5" s="304">
        <f>SUMIFS('PCO Log'!$E15:$SJ15,'PCO Log'!$E$9:$SJ$9,'Graph Data'!BA$1,'PCO Log'!$E$7:$SJ$7,"Approved")</f>
        <v>0</v>
      </c>
      <c r="BB5" s="304">
        <f>SUMIFS('PCO Log'!$E15:$SJ15,'PCO Log'!$E$9:$SJ$9,'Graph Data'!BB$1,'PCO Log'!$E$7:$SJ$7,"Approved")</f>
        <v>0</v>
      </c>
      <c r="BC5" s="304">
        <f>SUMIFS('PCO Log'!$E15:$SJ15,'PCO Log'!$E$9:$SJ$9,'Graph Data'!BC$1,'PCO Log'!$E$7:$SJ$7,"Approved")</f>
        <v>0</v>
      </c>
      <c r="BD5" s="304">
        <f>SUMIFS('PCO Log'!$E15:$SJ15,'PCO Log'!$E$9:$SJ$9,'Graph Data'!BD$1,'PCO Log'!$E$7:$SJ$7,"Approved")</f>
        <v>0</v>
      </c>
      <c r="BE5" s="304">
        <f>SUMIFS('PCO Log'!$E15:$SJ15,'PCO Log'!$E$9:$SJ$9,'Graph Data'!BE$1,'PCO Log'!$E$7:$SJ$7,"Approved")</f>
        <v>0</v>
      </c>
      <c r="BF5" s="304">
        <f>SUMIFS('PCO Log'!$E15:$SJ15,'PCO Log'!$E$9:$SJ$9,'Graph Data'!BF$1,'PCO Log'!$E$7:$SJ$7,"Approved")</f>
        <v>0</v>
      </c>
      <c r="BG5" s="304">
        <f>SUMIFS('PCO Log'!$E15:$SJ15,'PCO Log'!$E$9:$SJ$9,'Graph Data'!BG$1,'PCO Log'!$E$7:$SJ$7,"Approved")</f>
        <v>0</v>
      </c>
      <c r="BH5" s="304">
        <f>SUMIFS('PCO Log'!$E15:$SJ15,'PCO Log'!$E$9:$SJ$9,'Graph Data'!BH$1,'PCO Log'!$E$7:$SJ$7,"Approved")</f>
        <v>0</v>
      </c>
      <c r="BI5" s="304">
        <f>SUMIFS('PCO Log'!$E15:$SJ15,'PCO Log'!$E$9:$SJ$9,'Graph Data'!BI$1,'PCO Log'!$E$7:$SJ$7,"Approved")</f>
        <v>0</v>
      </c>
      <c r="BJ5" s="304">
        <f>SUMIFS('PCO Log'!$E15:$SJ15,'PCO Log'!$E$9:$SJ$9,'Graph Data'!BJ$1,'PCO Log'!$E$7:$SJ$7,"Approved")</f>
        <v>0</v>
      </c>
      <c r="BK5" s="304">
        <f>SUMIFS('PCO Log'!$E15:$SJ15,'PCO Log'!$E$9:$SJ$9,'Graph Data'!BK$1,'PCO Log'!$E$7:$SJ$7,"Approved")</f>
        <v>0</v>
      </c>
      <c r="BL5" s="304">
        <f>SUMIFS('PCO Log'!$E15:$SJ15,'PCO Log'!$E$9:$SJ$9,'Graph Data'!BL$1,'PCO Log'!$E$7:$SJ$7,"Approved")</f>
        <v>0</v>
      </c>
      <c r="BM5" s="304">
        <f>SUMIFS('PCO Log'!$E15:$SJ15,'PCO Log'!$E$9:$SJ$9,'Graph Data'!BM$1,'PCO Log'!$E$7:$SJ$7,"Approved")</f>
        <v>0</v>
      </c>
      <c r="BN5" s="304">
        <f>SUMIFS('PCO Log'!$E15:$SJ15,'PCO Log'!$E$9:$SJ$9,'Graph Data'!BN$1,'PCO Log'!$E$7:$SJ$7,"Approved")</f>
        <v>0</v>
      </c>
      <c r="BO5" s="304">
        <f>SUMIFS('PCO Log'!$E15:$SJ15,'PCO Log'!$E$9:$SJ$9,'Graph Data'!BO$1,'PCO Log'!$E$7:$SJ$7,"Approved")</f>
        <v>0</v>
      </c>
      <c r="BP5" s="304">
        <f>SUMIFS('PCO Log'!$E15:$SJ15,'PCO Log'!$E$9:$SJ$9,'Graph Data'!BP$1,'PCO Log'!$E$7:$SJ$7,"Approved")</f>
        <v>0</v>
      </c>
      <c r="BQ5" s="304">
        <f>SUMIFS('PCO Log'!$E15:$SJ15,'PCO Log'!$E$9:$SJ$9,'Graph Data'!BQ$1,'PCO Log'!$E$7:$SJ$7,"Approved")</f>
        <v>0</v>
      </c>
      <c r="BR5" s="304">
        <f>SUMIFS('PCO Log'!$E15:$SJ15,'PCO Log'!$E$9:$SJ$9,'Graph Data'!BR$1,'PCO Log'!$E$7:$SJ$7,"Approved")</f>
        <v>0</v>
      </c>
      <c r="BS5" s="304">
        <f>SUMIFS('PCO Log'!$E15:$SJ15,'PCO Log'!$E$9:$SJ$9,'Graph Data'!BS$1,'PCO Log'!$E$7:$SJ$7,"Approved")</f>
        <v>0</v>
      </c>
      <c r="BT5" s="304">
        <f>SUMIFS('PCO Log'!$E15:$SJ15,'PCO Log'!$E$9:$SJ$9,'Graph Data'!BT$1,'PCO Log'!$E$7:$SJ$7,"Approved")</f>
        <v>0</v>
      </c>
      <c r="BU5" s="304">
        <f>SUMIFS('PCO Log'!$E15:$SJ15,'PCO Log'!$E$9:$SJ$9,'Graph Data'!BU$1,'PCO Log'!$E$7:$SJ$7,"Approved")</f>
        <v>0</v>
      </c>
      <c r="BV5" s="304">
        <f>SUMIFS('PCO Log'!$E15:$SJ15,'PCO Log'!$E$9:$SJ$9,'Graph Data'!BV$1,'PCO Log'!$E$7:$SJ$7,"Approved")</f>
        <v>0</v>
      </c>
      <c r="BW5" s="304">
        <f>SUMIFS('PCO Log'!$E15:$SJ15,'PCO Log'!$E$9:$SJ$9,'Graph Data'!BW$1,'PCO Log'!$E$7:$SJ$7,"Approved")</f>
        <v>0</v>
      </c>
      <c r="BX5" s="304">
        <f>SUMIFS('PCO Log'!$E15:$SJ15,'PCO Log'!$E$9:$SJ$9,'Graph Data'!BX$1,'PCO Log'!$E$7:$SJ$7,"Approved")</f>
        <v>0</v>
      </c>
    </row>
    <row r="6" spans="1:76" x14ac:dyDescent="0.25">
      <c r="A6" s="303" t="s">
        <v>346</v>
      </c>
      <c r="B6" s="303">
        <f>'PCO Log'!I7</f>
        <v>0</v>
      </c>
      <c r="C6" s="303">
        <f>'PCO Log'!I4</f>
        <v>0</v>
      </c>
      <c r="D6" s="303" cm="1">
        <f t="array" ref="D6">INDEX('PCO Log'!$E$5:$SJ$5, 1, ROWS('Graph Data'!$D$2:D6))</f>
        <v>0</v>
      </c>
      <c r="E6" s="303">
        <f>'PCO Log'!I8</f>
        <v>0</v>
      </c>
      <c r="F6" s="303">
        <f>'PCO Log'!I3</f>
        <v>0</v>
      </c>
      <c r="G6" s="304">
        <f>'PCO Log'!I10</f>
        <v>0</v>
      </c>
      <c r="H6" s="305">
        <f>'PCO Log'!I6</f>
        <v>0</v>
      </c>
      <c r="J6" s="303" t="s">
        <v>270</v>
      </c>
      <c r="K6" s="303">
        <f>'Pay App 5'!H33</f>
        <v>0</v>
      </c>
      <c r="L6" s="303">
        <f>IF(M6&gt;0,'Pay App 5'!$G$149,0)</f>
        <v>0</v>
      </c>
      <c r="M6" s="303">
        <f>'Pay App 5'!H149</f>
        <v>0</v>
      </c>
      <c r="O6" s="303" t="str">
        <f>'Pay App 1'!B61</f>
        <v>01 13 60</v>
      </c>
      <c r="P6" s="303" t="str">
        <f>'Pay App 1'!C61</f>
        <v>SWPPP</v>
      </c>
      <c r="Q6" s="304">
        <f>SUMIFS('PCO Log'!$E16:$SJ16,'PCO Log'!$E$9:$SJ$9,'Graph Data'!Q$1,'PCO Log'!$E$7:$SJ$7,"Approved")</f>
        <v>0</v>
      </c>
      <c r="R6" s="304">
        <f>SUMIFS('PCO Log'!$E16:$SJ16,'PCO Log'!$E$9:$SJ$9,'Graph Data'!R$1,'PCO Log'!$E$7:$SJ$7,"Approved")</f>
        <v>0</v>
      </c>
      <c r="S6" s="304">
        <f>SUMIFS('PCO Log'!$E16:$SJ16,'PCO Log'!$E$9:$SJ$9,'Graph Data'!S$1,'PCO Log'!$E$7:$SJ$7,"Approved")</f>
        <v>0</v>
      </c>
      <c r="T6" s="304">
        <f>SUMIFS('PCO Log'!$E16:$SJ16,'PCO Log'!$E$9:$SJ$9,'Graph Data'!T$1,'PCO Log'!$E$7:$SJ$7,"Approved")</f>
        <v>0</v>
      </c>
      <c r="U6" s="304">
        <f>SUMIFS('PCO Log'!$E16:$SJ16,'PCO Log'!$E$9:$SJ$9,'Graph Data'!U$1,'PCO Log'!$E$7:$SJ$7,"Approved")</f>
        <v>0</v>
      </c>
      <c r="V6" s="304">
        <f>SUMIFS('PCO Log'!$E16:$SJ16,'PCO Log'!$E$9:$SJ$9,'Graph Data'!V$1,'PCO Log'!$E$7:$SJ$7,"Approved")</f>
        <v>0</v>
      </c>
      <c r="W6" s="304">
        <f>SUMIFS('PCO Log'!$E16:$SJ16,'PCO Log'!$E$9:$SJ$9,'Graph Data'!W$1,'PCO Log'!$E$7:$SJ$7,"Approved")</f>
        <v>0</v>
      </c>
      <c r="X6" s="304">
        <f>SUMIFS('PCO Log'!$E16:$SJ16,'PCO Log'!$E$9:$SJ$9,'Graph Data'!X$1,'PCO Log'!$E$7:$SJ$7,"Approved")</f>
        <v>0</v>
      </c>
      <c r="Y6" s="304">
        <f>SUMIFS('PCO Log'!$E16:$SJ16,'PCO Log'!$E$9:$SJ$9,'Graph Data'!Y$1,'PCO Log'!$E$7:$SJ$7,"Approved")</f>
        <v>0</v>
      </c>
      <c r="Z6" s="304">
        <f>SUMIFS('PCO Log'!$E16:$SJ16,'PCO Log'!$E$9:$SJ$9,'Graph Data'!Z$1,'PCO Log'!$E$7:$SJ$7,"Approved")</f>
        <v>0</v>
      </c>
      <c r="AA6" s="304">
        <f>SUMIFS('PCO Log'!$E16:$SJ16,'PCO Log'!$E$9:$SJ$9,'Graph Data'!AA$1,'PCO Log'!$E$7:$SJ$7,"Approved")</f>
        <v>0</v>
      </c>
      <c r="AB6" s="304">
        <f>SUMIFS('PCO Log'!$E16:$SJ16,'PCO Log'!$E$9:$SJ$9,'Graph Data'!AB$1,'PCO Log'!$E$7:$SJ$7,"Approved")</f>
        <v>0</v>
      </c>
      <c r="AC6" s="304">
        <f>SUMIFS('PCO Log'!$E16:$SJ16,'PCO Log'!$E$9:$SJ$9,'Graph Data'!AC$1,'PCO Log'!$E$7:$SJ$7,"Approved")</f>
        <v>0</v>
      </c>
      <c r="AD6" s="304">
        <f>SUMIFS('PCO Log'!$E16:$SJ16,'PCO Log'!$E$9:$SJ$9,'Graph Data'!AD$1,'PCO Log'!$E$7:$SJ$7,"Approved")</f>
        <v>0</v>
      </c>
      <c r="AE6" s="304">
        <f>SUMIFS('PCO Log'!$E16:$SJ16,'PCO Log'!$E$9:$SJ$9,'Graph Data'!AE$1,'PCO Log'!$E$7:$SJ$7,"Approved")</f>
        <v>0</v>
      </c>
      <c r="AF6" s="304">
        <f>SUMIFS('PCO Log'!$E16:$SJ16,'PCO Log'!$E$9:$SJ$9,'Graph Data'!AF$1,'PCO Log'!$E$7:$SJ$7,"Approved")</f>
        <v>0</v>
      </c>
      <c r="AG6" s="304">
        <f>SUMIFS('PCO Log'!$E16:$SJ16,'PCO Log'!$E$9:$SJ$9,'Graph Data'!AG$1,'PCO Log'!$E$7:$SJ$7,"Approved")</f>
        <v>0</v>
      </c>
      <c r="AH6" s="304">
        <f>SUMIFS('PCO Log'!$E16:$SJ16,'PCO Log'!$E$9:$SJ$9,'Graph Data'!AH$1,'PCO Log'!$E$7:$SJ$7,"Approved")</f>
        <v>0</v>
      </c>
      <c r="AI6" s="304">
        <f>SUMIFS('PCO Log'!$E16:$SJ16,'PCO Log'!$E$9:$SJ$9,'Graph Data'!AI$1,'PCO Log'!$E$7:$SJ$7,"Approved")</f>
        <v>0</v>
      </c>
      <c r="AJ6" s="304">
        <f>SUMIFS('PCO Log'!$E16:$SJ16,'PCO Log'!$E$9:$SJ$9,'Graph Data'!AJ$1,'PCO Log'!$E$7:$SJ$7,"Approved")</f>
        <v>0</v>
      </c>
      <c r="AK6" s="304">
        <f>SUMIFS('PCO Log'!$E16:$SJ16,'PCO Log'!$E$9:$SJ$9,'Graph Data'!AK$1,'PCO Log'!$E$7:$SJ$7,"Approved")</f>
        <v>0</v>
      </c>
      <c r="AL6" s="304">
        <f>SUMIFS('PCO Log'!$E16:$SJ16,'PCO Log'!$E$9:$SJ$9,'Graph Data'!AL$1,'PCO Log'!$E$7:$SJ$7,"Approved")</f>
        <v>0</v>
      </c>
      <c r="AM6" s="304">
        <f>SUMIFS('PCO Log'!$E16:$SJ16,'PCO Log'!$E$9:$SJ$9,'Graph Data'!AM$1,'PCO Log'!$E$7:$SJ$7,"Approved")</f>
        <v>0</v>
      </c>
      <c r="AN6" s="304">
        <f>SUMIFS('PCO Log'!$E16:$SJ16,'PCO Log'!$E$9:$SJ$9,'Graph Data'!AN$1,'PCO Log'!$E$7:$SJ$7,"Approved")</f>
        <v>0</v>
      </c>
      <c r="AO6" s="304">
        <f>SUMIFS('PCO Log'!$E16:$SJ16,'PCO Log'!$E$9:$SJ$9,'Graph Data'!AO$1,'PCO Log'!$E$7:$SJ$7,"Approved")</f>
        <v>0</v>
      </c>
      <c r="AP6" s="304">
        <f>SUMIFS('PCO Log'!$E16:$SJ16,'PCO Log'!$E$9:$SJ$9,'Graph Data'!AP$1,'PCO Log'!$E$7:$SJ$7,"Approved")</f>
        <v>0</v>
      </c>
      <c r="AQ6" s="304">
        <f>SUMIFS('PCO Log'!$E16:$SJ16,'PCO Log'!$E$9:$SJ$9,'Graph Data'!AQ$1,'PCO Log'!$E$7:$SJ$7,"Approved")</f>
        <v>0</v>
      </c>
      <c r="AR6" s="304">
        <f>SUMIFS('PCO Log'!$E16:$SJ16,'PCO Log'!$E$9:$SJ$9,'Graph Data'!AR$1,'PCO Log'!$E$7:$SJ$7,"Approved")</f>
        <v>0</v>
      </c>
      <c r="AS6" s="304">
        <f>SUMIFS('PCO Log'!$E16:$SJ16,'PCO Log'!$E$9:$SJ$9,'Graph Data'!AS$1,'PCO Log'!$E$7:$SJ$7,"Approved")</f>
        <v>0</v>
      </c>
      <c r="AT6" s="304">
        <f>SUMIFS('PCO Log'!$E16:$SJ16,'PCO Log'!$E$9:$SJ$9,'Graph Data'!AT$1,'PCO Log'!$E$7:$SJ$7,"Approved")</f>
        <v>0</v>
      </c>
      <c r="AU6" s="304">
        <f>SUMIFS('PCO Log'!$E16:$SJ16,'PCO Log'!$E$9:$SJ$9,'Graph Data'!AU$1,'PCO Log'!$E$7:$SJ$7,"Approved")</f>
        <v>0</v>
      </c>
      <c r="AV6" s="304">
        <f>SUMIFS('PCO Log'!$E16:$SJ16,'PCO Log'!$E$9:$SJ$9,'Graph Data'!AV$1,'PCO Log'!$E$7:$SJ$7,"Approved")</f>
        <v>0</v>
      </c>
      <c r="AW6" s="304">
        <f>SUMIFS('PCO Log'!$E16:$SJ16,'PCO Log'!$E$9:$SJ$9,'Graph Data'!AW$1,'PCO Log'!$E$7:$SJ$7,"Approved")</f>
        <v>0</v>
      </c>
      <c r="AX6" s="304">
        <f>SUMIFS('PCO Log'!$E16:$SJ16,'PCO Log'!$E$9:$SJ$9,'Graph Data'!AX$1,'PCO Log'!$E$7:$SJ$7,"Approved")</f>
        <v>0</v>
      </c>
      <c r="AY6" s="304">
        <f>SUMIFS('PCO Log'!$E16:$SJ16,'PCO Log'!$E$9:$SJ$9,'Graph Data'!AY$1,'PCO Log'!$E$7:$SJ$7,"Approved")</f>
        <v>0</v>
      </c>
      <c r="AZ6" s="304">
        <f>SUMIFS('PCO Log'!$E16:$SJ16,'PCO Log'!$E$9:$SJ$9,'Graph Data'!AZ$1,'PCO Log'!$E$7:$SJ$7,"Approved")</f>
        <v>0</v>
      </c>
      <c r="BA6" s="304">
        <f>SUMIFS('PCO Log'!$E16:$SJ16,'PCO Log'!$E$9:$SJ$9,'Graph Data'!BA$1,'PCO Log'!$E$7:$SJ$7,"Approved")</f>
        <v>0</v>
      </c>
      <c r="BB6" s="304">
        <f>SUMIFS('PCO Log'!$E16:$SJ16,'PCO Log'!$E$9:$SJ$9,'Graph Data'!BB$1,'PCO Log'!$E$7:$SJ$7,"Approved")</f>
        <v>0</v>
      </c>
      <c r="BC6" s="304">
        <f>SUMIFS('PCO Log'!$E16:$SJ16,'PCO Log'!$E$9:$SJ$9,'Graph Data'!BC$1,'PCO Log'!$E$7:$SJ$7,"Approved")</f>
        <v>0</v>
      </c>
      <c r="BD6" s="304">
        <f>SUMIFS('PCO Log'!$E16:$SJ16,'PCO Log'!$E$9:$SJ$9,'Graph Data'!BD$1,'PCO Log'!$E$7:$SJ$7,"Approved")</f>
        <v>0</v>
      </c>
      <c r="BE6" s="304">
        <f>SUMIFS('PCO Log'!$E16:$SJ16,'PCO Log'!$E$9:$SJ$9,'Graph Data'!BE$1,'PCO Log'!$E$7:$SJ$7,"Approved")</f>
        <v>0</v>
      </c>
      <c r="BF6" s="304">
        <f>SUMIFS('PCO Log'!$E16:$SJ16,'PCO Log'!$E$9:$SJ$9,'Graph Data'!BF$1,'PCO Log'!$E$7:$SJ$7,"Approved")</f>
        <v>0</v>
      </c>
      <c r="BG6" s="304">
        <f>SUMIFS('PCO Log'!$E16:$SJ16,'PCO Log'!$E$9:$SJ$9,'Graph Data'!BG$1,'PCO Log'!$E$7:$SJ$7,"Approved")</f>
        <v>0</v>
      </c>
      <c r="BH6" s="304">
        <f>SUMIFS('PCO Log'!$E16:$SJ16,'PCO Log'!$E$9:$SJ$9,'Graph Data'!BH$1,'PCO Log'!$E$7:$SJ$7,"Approved")</f>
        <v>0</v>
      </c>
      <c r="BI6" s="304">
        <f>SUMIFS('PCO Log'!$E16:$SJ16,'PCO Log'!$E$9:$SJ$9,'Graph Data'!BI$1,'PCO Log'!$E$7:$SJ$7,"Approved")</f>
        <v>0</v>
      </c>
      <c r="BJ6" s="304">
        <f>SUMIFS('PCO Log'!$E16:$SJ16,'PCO Log'!$E$9:$SJ$9,'Graph Data'!BJ$1,'PCO Log'!$E$7:$SJ$7,"Approved")</f>
        <v>0</v>
      </c>
      <c r="BK6" s="304">
        <f>SUMIFS('PCO Log'!$E16:$SJ16,'PCO Log'!$E$9:$SJ$9,'Graph Data'!BK$1,'PCO Log'!$E$7:$SJ$7,"Approved")</f>
        <v>0</v>
      </c>
      <c r="BL6" s="304">
        <f>SUMIFS('PCO Log'!$E16:$SJ16,'PCO Log'!$E$9:$SJ$9,'Graph Data'!BL$1,'PCO Log'!$E$7:$SJ$7,"Approved")</f>
        <v>0</v>
      </c>
      <c r="BM6" s="304">
        <f>SUMIFS('PCO Log'!$E16:$SJ16,'PCO Log'!$E$9:$SJ$9,'Graph Data'!BM$1,'PCO Log'!$E$7:$SJ$7,"Approved")</f>
        <v>0</v>
      </c>
      <c r="BN6" s="304">
        <f>SUMIFS('PCO Log'!$E16:$SJ16,'PCO Log'!$E$9:$SJ$9,'Graph Data'!BN$1,'PCO Log'!$E$7:$SJ$7,"Approved")</f>
        <v>0</v>
      </c>
      <c r="BO6" s="304">
        <f>SUMIFS('PCO Log'!$E16:$SJ16,'PCO Log'!$E$9:$SJ$9,'Graph Data'!BO$1,'PCO Log'!$E$7:$SJ$7,"Approved")</f>
        <v>0</v>
      </c>
      <c r="BP6" s="304">
        <f>SUMIFS('PCO Log'!$E16:$SJ16,'PCO Log'!$E$9:$SJ$9,'Graph Data'!BP$1,'PCO Log'!$E$7:$SJ$7,"Approved")</f>
        <v>0</v>
      </c>
      <c r="BQ6" s="304">
        <f>SUMIFS('PCO Log'!$E16:$SJ16,'PCO Log'!$E$9:$SJ$9,'Graph Data'!BQ$1,'PCO Log'!$E$7:$SJ$7,"Approved")</f>
        <v>0</v>
      </c>
      <c r="BR6" s="304">
        <f>SUMIFS('PCO Log'!$E16:$SJ16,'PCO Log'!$E$9:$SJ$9,'Graph Data'!BR$1,'PCO Log'!$E$7:$SJ$7,"Approved")</f>
        <v>0</v>
      </c>
      <c r="BS6" s="304">
        <f>SUMIFS('PCO Log'!$E16:$SJ16,'PCO Log'!$E$9:$SJ$9,'Graph Data'!BS$1,'PCO Log'!$E$7:$SJ$7,"Approved")</f>
        <v>0</v>
      </c>
      <c r="BT6" s="304">
        <f>SUMIFS('PCO Log'!$E16:$SJ16,'PCO Log'!$E$9:$SJ$9,'Graph Data'!BT$1,'PCO Log'!$E$7:$SJ$7,"Approved")</f>
        <v>0</v>
      </c>
      <c r="BU6" s="304">
        <f>SUMIFS('PCO Log'!$E16:$SJ16,'PCO Log'!$E$9:$SJ$9,'Graph Data'!BU$1,'PCO Log'!$E$7:$SJ$7,"Approved")</f>
        <v>0</v>
      </c>
      <c r="BV6" s="304">
        <f>SUMIFS('PCO Log'!$E16:$SJ16,'PCO Log'!$E$9:$SJ$9,'Graph Data'!BV$1,'PCO Log'!$E$7:$SJ$7,"Approved")</f>
        <v>0</v>
      </c>
      <c r="BW6" s="304">
        <f>SUMIFS('PCO Log'!$E16:$SJ16,'PCO Log'!$E$9:$SJ$9,'Graph Data'!BW$1,'PCO Log'!$E$7:$SJ$7,"Approved")</f>
        <v>0</v>
      </c>
      <c r="BX6" s="304">
        <f>SUMIFS('PCO Log'!$E16:$SJ16,'PCO Log'!$E$9:$SJ$9,'Graph Data'!BX$1,'PCO Log'!$E$7:$SJ$7,"Approved")</f>
        <v>0</v>
      </c>
    </row>
    <row r="7" spans="1:76" x14ac:dyDescent="0.25">
      <c r="A7" s="303" t="s">
        <v>347</v>
      </c>
      <c r="B7" s="303">
        <f>'PCO Log'!J7</f>
        <v>0</v>
      </c>
      <c r="C7" s="303">
        <f>'PCO Log'!J4</f>
        <v>0</v>
      </c>
      <c r="D7" s="303" cm="1">
        <f t="array" ref="D7">INDEX('PCO Log'!$E$5:$SJ$5, 1, ROWS('Graph Data'!$D$2:D7))</f>
        <v>0</v>
      </c>
      <c r="E7" s="303">
        <f>'PCO Log'!J8</f>
        <v>0</v>
      </c>
      <c r="F7" s="303">
        <f>'PCO Log'!J3</f>
        <v>0</v>
      </c>
      <c r="G7" s="304">
        <f>'PCO Log'!J10</f>
        <v>0</v>
      </c>
      <c r="H7" s="305">
        <f>'PCO Log'!J6</f>
        <v>0</v>
      </c>
      <c r="J7" s="303" t="s">
        <v>274</v>
      </c>
      <c r="K7" s="303">
        <f>'Pay App 6'!H33</f>
        <v>0</v>
      </c>
      <c r="L7" s="303">
        <f>IF(M7&gt;0,'Pay App 6'!$G$149,0)</f>
        <v>0</v>
      </c>
      <c r="M7" s="303">
        <f>'Pay App 6'!H149</f>
        <v>0</v>
      </c>
      <c r="O7" s="303" t="str">
        <f>'Pay App 1'!B62</f>
        <v>01 19 70</v>
      </c>
      <c r="P7" s="303" t="str">
        <f>'Pay App 1'!C62</f>
        <v>Construction Cranes and Hoists</v>
      </c>
      <c r="Q7" s="304">
        <f>SUMIFS('PCO Log'!$E17:$SJ17,'PCO Log'!$E$9:$SJ$9,'Graph Data'!Q$1,'PCO Log'!$E$7:$SJ$7,"Approved")</f>
        <v>0</v>
      </c>
      <c r="R7" s="304">
        <f>SUMIFS('PCO Log'!$E17:$SJ17,'PCO Log'!$E$9:$SJ$9,'Graph Data'!R$1,'PCO Log'!$E$7:$SJ$7,"Approved")</f>
        <v>0</v>
      </c>
      <c r="S7" s="304">
        <f>SUMIFS('PCO Log'!$E17:$SJ17,'PCO Log'!$E$9:$SJ$9,'Graph Data'!S$1,'PCO Log'!$E$7:$SJ$7,"Approved")</f>
        <v>0</v>
      </c>
      <c r="T7" s="304">
        <f>SUMIFS('PCO Log'!$E17:$SJ17,'PCO Log'!$E$9:$SJ$9,'Graph Data'!T$1,'PCO Log'!$E$7:$SJ$7,"Approved")</f>
        <v>0</v>
      </c>
      <c r="U7" s="304">
        <f>SUMIFS('PCO Log'!$E17:$SJ17,'PCO Log'!$E$9:$SJ$9,'Graph Data'!U$1,'PCO Log'!$E$7:$SJ$7,"Approved")</f>
        <v>0</v>
      </c>
      <c r="V7" s="304">
        <f>SUMIFS('PCO Log'!$E17:$SJ17,'PCO Log'!$E$9:$SJ$9,'Graph Data'!V$1,'PCO Log'!$E$7:$SJ$7,"Approved")</f>
        <v>0</v>
      </c>
      <c r="W7" s="304">
        <f>SUMIFS('PCO Log'!$E17:$SJ17,'PCO Log'!$E$9:$SJ$9,'Graph Data'!W$1,'PCO Log'!$E$7:$SJ$7,"Approved")</f>
        <v>0</v>
      </c>
      <c r="X7" s="304">
        <f>SUMIFS('PCO Log'!$E17:$SJ17,'PCO Log'!$E$9:$SJ$9,'Graph Data'!X$1,'PCO Log'!$E$7:$SJ$7,"Approved")</f>
        <v>0</v>
      </c>
      <c r="Y7" s="304">
        <f>SUMIFS('PCO Log'!$E17:$SJ17,'PCO Log'!$E$9:$SJ$9,'Graph Data'!Y$1,'PCO Log'!$E$7:$SJ$7,"Approved")</f>
        <v>0</v>
      </c>
      <c r="Z7" s="304">
        <f>SUMIFS('PCO Log'!$E17:$SJ17,'PCO Log'!$E$9:$SJ$9,'Graph Data'!Z$1,'PCO Log'!$E$7:$SJ$7,"Approved")</f>
        <v>0</v>
      </c>
      <c r="AA7" s="304">
        <f>SUMIFS('PCO Log'!$E17:$SJ17,'PCO Log'!$E$9:$SJ$9,'Graph Data'!AA$1,'PCO Log'!$E$7:$SJ$7,"Approved")</f>
        <v>0</v>
      </c>
      <c r="AB7" s="304">
        <f>SUMIFS('PCO Log'!$E17:$SJ17,'PCO Log'!$E$9:$SJ$9,'Graph Data'!AB$1,'PCO Log'!$E$7:$SJ$7,"Approved")</f>
        <v>0</v>
      </c>
      <c r="AC7" s="304">
        <f>SUMIFS('PCO Log'!$E17:$SJ17,'PCO Log'!$E$9:$SJ$9,'Graph Data'!AC$1,'PCO Log'!$E$7:$SJ$7,"Approved")</f>
        <v>0</v>
      </c>
      <c r="AD7" s="304">
        <f>SUMIFS('PCO Log'!$E17:$SJ17,'PCO Log'!$E$9:$SJ$9,'Graph Data'!AD$1,'PCO Log'!$E$7:$SJ$7,"Approved")</f>
        <v>0</v>
      </c>
      <c r="AE7" s="304">
        <f>SUMIFS('PCO Log'!$E17:$SJ17,'PCO Log'!$E$9:$SJ$9,'Graph Data'!AE$1,'PCO Log'!$E$7:$SJ$7,"Approved")</f>
        <v>0</v>
      </c>
      <c r="AF7" s="304">
        <f>SUMIFS('PCO Log'!$E17:$SJ17,'PCO Log'!$E$9:$SJ$9,'Graph Data'!AF$1,'PCO Log'!$E$7:$SJ$7,"Approved")</f>
        <v>0</v>
      </c>
      <c r="AG7" s="304">
        <f>SUMIFS('PCO Log'!$E17:$SJ17,'PCO Log'!$E$9:$SJ$9,'Graph Data'!AG$1,'PCO Log'!$E$7:$SJ$7,"Approved")</f>
        <v>0</v>
      </c>
      <c r="AH7" s="304">
        <f>SUMIFS('PCO Log'!$E17:$SJ17,'PCO Log'!$E$9:$SJ$9,'Graph Data'!AH$1,'PCO Log'!$E$7:$SJ$7,"Approved")</f>
        <v>0</v>
      </c>
      <c r="AI7" s="304">
        <f>SUMIFS('PCO Log'!$E17:$SJ17,'PCO Log'!$E$9:$SJ$9,'Graph Data'!AI$1,'PCO Log'!$E$7:$SJ$7,"Approved")</f>
        <v>0</v>
      </c>
      <c r="AJ7" s="304">
        <f>SUMIFS('PCO Log'!$E17:$SJ17,'PCO Log'!$E$9:$SJ$9,'Graph Data'!AJ$1,'PCO Log'!$E$7:$SJ$7,"Approved")</f>
        <v>0</v>
      </c>
      <c r="AK7" s="304">
        <f>SUMIFS('PCO Log'!$E17:$SJ17,'PCO Log'!$E$9:$SJ$9,'Graph Data'!AK$1,'PCO Log'!$E$7:$SJ$7,"Approved")</f>
        <v>0</v>
      </c>
      <c r="AL7" s="304">
        <f>SUMIFS('PCO Log'!$E17:$SJ17,'PCO Log'!$E$9:$SJ$9,'Graph Data'!AL$1,'PCO Log'!$E$7:$SJ$7,"Approved")</f>
        <v>0</v>
      </c>
      <c r="AM7" s="304">
        <f>SUMIFS('PCO Log'!$E17:$SJ17,'PCO Log'!$E$9:$SJ$9,'Graph Data'!AM$1,'PCO Log'!$E$7:$SJ$7,"Approved")</f>
        <v>0</v>
      </c>
      <c r="AN7" s="304">
        <f>SUMIFS('PCO Log'!$E17:$SJ17,'PCO Log'!$E$9:$SJ$9,'Graph Data'!AN$1,'PCO Log'!$E$7:$SJ$7,"Approved")</f>
        <v>0</v>
      </c>
      <c r="AO7" s="304">
        <f>SUMIFS('PCO Log'!$E17:$SJ17,'PCO Log'!$E$9:$SJ$9,'Graph Data'!AO$1,'PCO Log'!$E$7:$SJ$7,"Approved")</f>
        <v>0</v>
      </c>
      <c r="AP7" s="304">
        <f>SUMIFS('PCO Log'!$E17:$SJ17,'PCO Log'!$E$9:$SJ$9,'Graph Data'!AP$1,'PCO Log'!$E$7:$SJ$7,"Approved")</f>
        <v>0</v>
      </c>
      <c r="AQ7" s="304">
        <f>SUMIFS('PCO Log'!$E17:$SJ17,'PCO Log'!$E$9:$SJ$9,'Graph Data'!AQ$1,'PCO Log'!$E$7:$SJ$7,"Approved")</f>
        <v>0</v>
      </c>
      <c r="AR7" s="304">
        <f>SUMIFS('PCO Log'!$E17:$SJ17,'PCO Log'!$E$9:$SJ$9,'Graph Data'!AR$1,'PCO Log'!$E$7:$SJ$7,"Approved")</f>
        <v>0</v>
      </c>
      <c r="AS7" s="304">
        <f>SUMIFS('PCO Log'!$E17:$SJ17,'PCO Log'!$E$9:$SJ$9,'Graph Data'!AS$1,'PCO Log'!$E$7:$SJ$7,"Approved")</f>
        <v>0</v>
      </c>
      <c r="AT7" s="304">
        <f>SUMIFS('PCO Log'!$E17:$SJ17,'PCO Log'!$E$9:$SJ$9,'Graph Data'!AT$1,'PCO Log'!$E$7:$SJ$7,"Approved")</f>
        <v>0</v>
      </c>
      <c r="AU7" s="304">
        <f>SUMIFS('PCO Log'!$E17:$SJ17,'PCO Log'!$E$9:$SJ$9,'Graph Data'!AU$1,'PCO Log'!$E$7:$SJ$7,"Approved")</f>
        <v>0</v>
      </c>
      <c r="AV7" s="304">
        <f>SUMIFS('PCO Log'!$E17:$SJ17,'PCO Log'!$E$9:$SJ$9,'Graph Data'!AV$1,'PCO Log'!$E$7:$SJ$7,"Approved")</f>
        <v>0</v>
      </c>
      <c r="AW7" s="304">
        <f>SUMIFS('PCO Log'!$E17:$SJ17,'PCO Log'!$E$9:$SJ$9,'Graph Data'!AW$1,'PCO Log'!$E$7:$SJ$7,"Approved")</f>
        <v>0</v>
      </c>
      <c r="AX7" s="304">
        <f>SUMIFS('PCO Log'!$E17:$SJ17,'PCO Log'!$E$9:$SJ$9,'Graph Data'!AX$1,'PCO Log'!$E$7:$SJ$7,"Approved")</f>
        <v>0</v>
      </c>
      <c r="AY7" s="304">
        <f>SUMIFS('PCO Log'!$E17:$SJ17,'PCO Log'!$E$9:$SJ$9,'Graph Data'!AY$1,'PCO Log'!$E$7:$SJ$7,"Approved")</f>
        <v>0</v>
      </c>
      <c r="AZ7" s="304">
        <f>SUMIFS('PCO Log'!$E17:$SJ17,'PCO Log'!$E$9:$SJ$9,'Graph Data'!AZ$1,'PCO Log'!$E$7:$SJ$7,"Approved")</f>
        <v>0</v>
      </c>
      <c r="BA7" s="304">
        <f>SUMIFS('PCO Log'!$E17:$SJ17,'PCO Log'!$E$9:$SJ$9,'Graph Data'!BA$1,'PCO Log'!$E$7:$SJ$7,"Approved")</f>
        <v>0</v>
      </c>
      <c r="BB7" s="304">
        <f>SUMIFS('PCO Log'!$E17:$SJ17,'PCO Log'!$E$9:$SJ$9,'Graph Data'!BB$1,'PCO Log'!$E$7:$SJ$7,"Approved")</f>
        <v>0</v>
      </c>
      <c r="BC7" s="304">
        <f>SUMIFS('PCO Log'!$E17:$SJ17,'PCO Log'!$E$9:$SJ$9,'Graph Data'!BC$1,'PCO Log'!$E$7:$SJ$7,"Approved")</f>
        <v>0</v>
      </c>
      <c r="BD7" s="304">
        <f>SUMIFS('PCO Log'!$E17:$SJ17,'PCO Log'!$E$9:$SJ$9,'Graph Data'!BD$1,'PCO Log'!$E$7:$SJ$7,"Approved")</f>
        <v>0</v>
      </c>
      <c r="BE7" s="304">
        <f>SUMIFS('PCO Log'!$E17:$SJ17,'PCO Log'!$E$9:$SJ$9,'Graph Data'!BE$1,'PCO Log'!$E$7:$SJ$7,"Approved")</f>
        <v>0</v>
      </c>
      <c r="BF7" s="304">
        <f>SUMIFS('PCO Log'!$E17:$SJ17,'PCO Log'!$E$9:$SJ$9,'Graph Data'!BF$1,'PCO Log'!$E$7:$SJ$7,"Approved")</f>
        <v>0</v>
      </c>
      <c r="BG7" s="304">
        <f>SUMIFS('PCO Log'!$E17:$SJ17,'PCO Log'!$E$9:$SJ$9,'Graph Data'!BG$1,'PCO Log'!$E$7:$SJ$7,"Approved")</f>
        <v>0</v>
      </c>
      <c r="BH7" s="304">
        <f>SUMIFS('PCO Log'!$E17:$SJ17,'PCO Log'!$E$9:$SJ$9,'Graph Data'!BH$1,'PCO Log'!$E$7:$SJ$7,"Approved")</f>
        <v>0</v>
      </c>
      <c r="BI7" s="304">
        <f>SUMIFS('PCO Log'!$E17:$SJ17,'PCO Log'!$E$9:$SJ$9,'Graph Data'!BI$1,'PCO Log'!$E$7:$SJ$7,"Approved")</f>
        <v>0</v>
      </c>
      <c r="BJ7" s="304">
        <f>SUMIFS('PCO Log'!$E17:$SJ17,'PCO Log'!$E$9:$SJ$9,'Graph Data'!BJ$1,'PCO Log'!$E$7:$SJ$7,"Approved")</f>
        <v>0</v>
      </c>
      <c r="BK7" s="304">
        <f>SUMIFS('PCO Log'!$E17:$SJ17,'PCO Log'!$E$9:$SJ$9,'Graph Data'!BK$1,'PCO Log'!$E$7:$SJ$7,"Approved")</f>
        <v>0</v>
      </c>
      <c r="BL7" s="304">
        <f>SUMIFS('PCO Log'!$E17:$SJ17,'PCO Log'!$E$9:$SJ$9,'Graph Data'!BL$1,'PCO Log'!$E$7:$SJ$7,"Approved")</f>
        <v>0</v>
      </c>
      <c r="BM7" s="304">
        <f>SUMIFS('PCO Log'!$E17:$SJ17,'PCO Log'!$E$9:$SJ$9,'Graph Data'!BM$1,'PCO Log'!$E$7:$SJ$7,"Approved")</f>
        <v>0</v>
      </c>
      <c r="BN7" s="304">
        <f>SUMIFS('PCO Log'!$E17:$SJ17,'PCO Log'!$E$9:$SJ$9,'Graph Data'!BN$1,'PCO Log'!$E$7:$SJ$7,"Approved")</f>
        <v>0</v>
      </c>
      <c r="BO7" s="304">
        <f>SUMIFS('PCO Log'!$E17:$SJ17,'PCO Log'!$E$9:$SJ$9,'Graph Data'!BO$1,'PCO Log'!$E$7:$SJ$7,"Approved")</f>
        <v>0</v>
      </c>
      <c r="BP7" s="304">
        <f>SUMIFS('PCO Log'!$E17:$SJ17,'PCO Log'!$E$9:$SJ$9,'Graph Data'!BP$1,'PCO Log'!$E$7:$SJ$7,"Approved")</f>
        <v>0</v>
      </c>
      <c r="BQ7" s="304">
        <f>SUMIFS('PCO Log'!$E17:$SJ17,'PCO Log'!$E$9:$SJ$9,'Graph Data'!BQ$1,'PCO Log'!$E$7:$SJ$7,"Approved")</f>
        <v>0</v>
      </c>
      <c r="BR7" s="304">
        <f>SUMIFS('PCO Log'!$E17:$SJ17,'PCO Log'!$E$9:$SJ$9,'Graph Data'!BR$1,'PCO Log'!$E$7:$SJ$7,"Approved")</f>
        <v>0</v>
      </c>
      <c r="BS7" s="304">
        <f>SUMIFS('PCO Log'!$E17:$SJ17,'PCO Log'!$E$9:$SJ$9,'Graph Data'!BS$1,'PCO Log'!$E$7:$SJ$7,"Approved")</f>
        <v>0</v>
      </c>
      <c r="BT7" s="304">
        <f>SUMIFS('PCO Log'!$E17:$SJ17,'PCO Log'!$E$9:$SJ$9,'Graph Data'!BT$1,'PCO Log'!$E$7:$SJ$7,"Approved")</f>
        <v>0</v>
      </c>
      <c r="BU7" s="304">
        <f>SUMIFS('PCO Log'!$E17:$SJ17,'PCO Log'!$E$9:$SJ$9,'Graph Data'!BU$1,'PCO Log'!$E$7:$SJ$7,"Approved")</f>
        <v>0</v>
      </c>
      <c r="BV7" s="304">
        <f>SUMIFS('PCO Log'!$E17:$SJ17,'PCO Log'!$E$9:$SJ$9,'Graph Data'!BV$1,'PCO Log'!$E$7:$SJ$7,"Approved")</f>
        <v>0</v>
      </c>
      <c r="BW7" s="304">
        <f>SUMIFS('PCO Log'!$E17:$SJ17,'PCO Log'!$E$9:$SJ$9,'Graph Data'!BW$1,'PCO Log'!$E$7:$SJ$7,"Approved")</f>
        <v>0</v>
      </c>
      <c r="BX7" s="304">
        <f>SUMIFS('PCO Log'!$E17:$SJ17,'PCO Log'!$E$9:$SJ$9,'Graph Data'!BX$1,'PCO Log'!$E$7:$SJ$7,"Approved")</f>
        <v>0</v>
      </c>
    </row>
    <row r="8" spans="1:76" x14ac:dyDescent="0.25">
      <c r="A8" s="303" t="s">
        <v>348</v>
      </c>
      <c r="B8" s="303">
        <f>'PCO Log'!K7</f>
        <v>0</v>
      </c>
      <c r="C8" s="303">
        <f>'PCO Log'!K4</f>
        <v>0</v>
      </c>
      <c r="D8" s="303" cm="1">
        <f t="array" ref="D8">INDEX('PCO Log'!$E$5:$SJ$5, 1, ROWS('Graph Data'!$D$2:D8))</f>
        <v>0</v>
      </c>
      <c r="E8" s="303">
        <f>'PCO Log'!K8</f>
        <v>0</v>
      </c>
      <c r="F8" s="303">
        <f>'PCO Log'!K3</f>
        <v>0</v>
      </c>
      <c r="G8" s="304">
        <f>'PCO Log'!K10</f>
        <v>0</v>
      </c>
      <c r="H8" s="305">
        <f>'PCO Log'!K6</f>
        <v>0</v>
      </c>
      <c r="J8" s="303" t="s">
        <v>275</v>
      </c>
      <c r="K8" s="303">
        <f>'Pay App 7'!H33</f>
        <v>0</v>
      </c>
      <c r="L8" s="303">
        <f>IF(M8&gt;0,'Pay App 7'!$G$149,0)</f>
        <v>0</v>
      </c>
      <c r="M8" s="303">
        <f>'Pay App 7'!H149</f>
        <v>0</v>
      </c>
      <c r="O8" s="303" t="str">
        <f>'Pay App 1'!B63</f>
        <v>01 31 00</v>
      </c>
      <c r="P8" s="303" t="str">
        <f>'Pay App 1'!C63</f>
        <v>Contractor's Supervision</v>
      </c>
      <c r="Q8" s="304">
        <f>SUMIFS('PCO Log'!$E18:$SJ18,'PCO Log'!$E$9:$SJ$9,'Graph Data'!Q$1,'PCO Log'!$E$7:$SJ$7,"Approved")</f>
        <v>0</v>
      </c>
      <c r="R8" s="304">
        <f>SUMIFS('PCO Log'!$E18:$SJ18,'PCO Log'!$E$9:$SJ$9,'Graph Data'!R$1,'PCO Log'!$E$7:$SJ$7,"Approved")</f>
        <v>0</v>
      </c>
      <c r="S8" s="304">
        <f>SUMIFS('PCO Log'!$E18:$SJ18,'PCO Log'!$E$9:$SJ$9,'Graph Data'!S$1,'PCO Log'!$E$7:$SJ$7,"Approved")</f>
        <v>0</v>
      </c>
      <c r="T8" s="304">
        <f>SUMIFS('PCO Log'!$E18:$SJ18,'PCO Log'!$E$9:$SJ$9,'Graph Data'!T$1,'PCO Log'!$E$7:$SJ$7,"Approved")</f>
        <v>0</v>
      </c>
      <c r="U8" s="304">
        <f>SUMIFS('PCO Log'!$E18:$SJ18,'PCO Log'!$E$9:$SJ$9,'Graph Data'!U$1,'PCO Log'!$E$7:$SJ$7,"Approved")</f>
        <v>0</v>
      </c>
      <c r="V8" s="304">
        <f>SUMIFS('PCO Log'!$E18:$SJ18,'PCO Log'!$E$9:$SJ$9,'Graph Data'!V$1,'PCO Log'!$E$7:$SJ$7,"Approved")</f>
        <v>0</v>
      </c>
      <c r="W8" s="304">
        <f>SUMIFS('PCO Log'!$E18:$SJ18,'PCO Log'!$E$9:$SJ$9,'Graph Data'!W$1,'PCO Log'!$E$7:$SJ$7,"Approved")</f>
        <v>0</v>
      </c>
      <c r="X8" s="304">
        <f>SUMIFS('PCO Log'!$E18:$SJ18,'PCO Log'!$E$9:$SJ$9,'Graph Data'!X$1,'PCO Log'!$E$7:$SJ$7,"Approved")</f>
        <v>0</v>
      </c>
      <c r="Y8" s="304">
        <f>SUMIFS('PCO Log'!$E18:$SJ18,'PCO Log'!$E$9:$SJ$9,'Graph Data'!Y$1,'PCO Log'!$E$7:$SJ$7,"Approved")</f>
        <v>0</v>
      </c>
      <c r="Z8" s="304">
        <f>SUMIFS('PCO Log'!$E18:$SJ18,'PCO Log'!$E$9:$SJ$9,'Graph Data'!Z$1,'PCO Log'!$E$7:$SJ$7,"Approved")</f>
        <v>0</v>
      </c>
      <c r="AA8" s="304">
        <f>SUMIFS('PCO Log'!$E18:$SJ18,'PCO Log'!$E$9:$SJ$9,'Graph Data'!AA$1,'PCO Log'!$E$7:$SJ$7,"Approved")</f>
        <v>0</v>
      </c>
      <c r="AB8" s="304">
        <f>SUMIFS('PCO Log'!$E18:$SJ18,'PCO Log'!$E$9:$SJ$9,'Graph Data'!AB$1,'PCO Log'!$E$7:$SJ$7,"Approved")</f>
        <v>0</v>
      </c>
      <c r="AC8" s="304">
        <f>SUMIFS('PCO Log'!$E18:$SJ18,'PCO Log'!$E$9:$SJ$9,'Graph Data'!AC$1,'PCO Log'!$E$7:$SJ$7,"Approved")</f>
        <v>0</v>
      </c>
      <c r="AD8" s="304">
        <f>SUMIFS('PCO Log'!$E18:$SJ18,'PCO Log'!$E$9:$SJ$9,'Graph Data'!AD$1,'PCO Log'!$E$7:$SJ$7,"Approved")</f>
        <v>0</v>
      </c>
      <c r="AE8" s="304">
        <f>SUMIFS('PCO Log'!$E18:$SJ18,'PCO Log'!$E$9:$SJ$9,'Graph Data'!AE$1,'PCO Log'!$E$7:$SJ$7,"Approved")</f>
        <v>0</v>
      </c>
      <c r="AF8" s="304">
        <f>SUMIFS('PCO Log'!$E18:$SJ18,'PCO Log'!$E$9:$SJ$9,'Graph Data'!AF$1,'PCO Log'!$E$7:$SJ$7,"Approved")</f>
        <v>0</v>
      </c>
      <c r="AG8" s="304">
        <f>SUMIFS('PCO Log'!$E18:$SJ18,'PCO Log'!$E$9:$SJ$9,'Graph Data'!AG$1,'PCO Log'!$E$7:$SJ$7,"Approved")</f>
        <v>0</v>
      </c>
      <c r="AH8" s="304">
        <f>SUMIFS('PCO Log'!$E18:$SJ18,'PCO Log'!$E$9:$SJ$9,'Graph Data'!AH$1,'PCO Log'!$E$7:$SJ$7,"Approved")</f>
        <v>0</v>
      </c>
      <c r="AI8" s="304">
        <f>SUMIFS('PCO Log'!$E18:$SJ18,'PCO Log'!$E$9:$SJ$9,'Graph Data'!AI$1,'PCO Log'!$E$7:$SJ$7,"Approved")</f>
        <v>0</v>
      </c>
      <c r="AJ8" s="304">
        <f>SUMIFS('PCO Log'!$E18:$SJ18,'PCO Log'!$E$9:$SJ$9,'Graph Data'!AJ$1,'PCO Log'!$E$7:$SJ$7,"Approved")</f>
        <v>0</v>
      </c>
      <c r="AK8" s="304">
        <f>SUMIFS('PCO Log'!$E18:$SJ18,'PCO Log'!$E$9:$SJ$9,'Graph Data'!AK$1,'PCO Log'!$E$7:$SJ$7,"Approved")</f>
        <v>0</v>
      </c>
      <c r="AL8" s="304">
        <f>SUMIFS('PCO Log'!$E18:$SJ18,'PCO Log'!$E$9:$SJ$9,'Graph Data'!AL$1,'PCO Log'!$E$7:$SJ$7,"Approved")</f>
        <v>0</v>
      </c>
      <c r="AM8" s="304">
        <f>SUMIFS('PCO Log'!$E18:$SJ18,'PCO Log'!$E$9:$SJ$9,'Graph Data'!AM$1,'PCO Log'!$E$7:$SJ$7,"Approved")</f>
        <v>0</v>
      </c>
      <c r="AN8" s="304">
        <f>SUMIFS('PCO Log'!$E18:$SJ18,'PCO Log'!$E$9:$SJ$9,'Graph Data'!AN$1,'PCO Log'!$E$7:$SJ$7,"Approved")</f>
        <v>0</v>
      </c>
      <c r="AO8" s="304">
        <f>SUMIFS('PCO Log'!$E18:$SJ18,'PCO Log'!$E$9:$SJ$9,'Graph Data'!AO$1,'PCO Log'!$E$7:$SJ$7,"Approved")</f>
        <v>0</v>
      </c>
      <c r="AP8" s="304">
        <f>SUMIFS('PCO Log'!$E18:$SJ18,'PCO Log'!$E$9:$SJ$9,'Graph Data'!AP$1,'PCO Log'!$E$7:$SJ$7,"Approved")</f>
        <v>0</v>
      </c>
      <c r="AQ8" s="304">
        <f>SUMIFS('PCO Log'!$E18:$SJ18,'PCO Log'!$E$9:$SJ$9,'Graph Data'!AQ$1,'PCO Log'!$E$7:$SJ$7,"Approved")</f>
        <v>0</v>
      </c>
      <c r="AR8" s="304">
        <f>SUMIFS('PCO Log'!$E18:$SJ18,'PCO Log'!$E$9:$SJ$9,'Graph Data'!AR$1,'PCO Log'!$E$7:$SJ$7,"Approved")</f>
        <v>0</v>
      </c>
      <c r="AS8" s="304">
        <f>SUMIFS('PCO Log'!$E18:$SJ18,'PCO Log'!$E$9:$SJ$9,'Graph Data'!AS$1,'PCO Log'!$E$7:$SJ$7,"Approved")</f>
        <v>0</v>
      </c>
      <c r="AT8" s="304">
        <f>SUMIFS('PCO Log'!$E18:$SJ18,'PCO Log'!$E$9:$SJ$9,'Graph Data'!AT$1,'PCO Log'!$E$7:$SJ$7,"Approved")</f>
        <v>0</v>
      </c>
      <c r="AU8" s="304">
        <f>SUMIFS('PCO Log'!$E18:$SJ18,'PCO Log'!$E$9:$SJ$9,'Graph Data'!AU$1,'PCO Log'!$E$7:$SJ$7,"Approved")</f>
        <v>0</v>
      </c>
      <c r="AV8" s="304">
        <f>SUMIFS('PCO Log'!$E18:$SJ18,'PCO Log'!$E$9:$SJ$9,'Graph Data'!AV$1,'PCO Log'!$E$7:$SJ$7,"Approved")</f>
        <v>0</v>
      </c>
      <c r="AW8" s="304">
        <f>SUMIFS('PCO Log'!$E18:$SJ18,'PCO Log'!$E$9:$SJ$9,'Graph Data'!AW$1,'PCO Log'!$E$7:$SJ$7,"Approved")</f>
        <v>0</v>
      </c>
      <c r="AX8" s="304">
        <f>SUMIFS('PCO Log'!$E18:$SJ18,'PCO Log'!$E$9:$SJ$9,'Graph Data'!AX$1,'PCO Log'!$E$7:$SJ$7,"Approved")</f>
        <v>0</v>
      </c>
      <c r="AY8" s="304">
        <f>SUMIFS('PCO Log'!$E18:$SJ18,'PCO Log'!$E$9:$SJ$9,'Graph Data'!AY$1,'PCO Log'!$E$7:$SJ$7,"Approved")</f>
        <v>0</v>
      </c>
      <c r="AZ8" s="304">
        <f>SUMIFS('PCO Log'!$E18:$SJ18,'PCO Log'!$E$9:$SJ$9,'Graph Data'!AZ$1,'PCO Log'!$E$7:$SJ$7,"Approved")</f>
        <v>0</v>
      </c>
      <c r="BA8" s="304">
        <f>SUMIFS('PCO Log'!$E18:$SJ18,'PCO Log'!$E$9:$SJ$9,'Graph Data'!BA$1,'PCO Log'!$E$7:$SJ$7,"Approved")</f>
        <v>0</v>
      </c>
      <c r="BB8" s="304">
        <f>SUMIFS('PCO Log'!$E18:$SJ18,'PCO Log'!$E$9:$SJ$9,'Graph Data'!BB$1,'PCO Log'!$E$7:$SJ$7,"Approved")</f>
        <v>0</v>
      </c>
      <c r="BC8" s="304">
        <f>SUMIFS('PCO Log'!$E18:$SJ18,'PCO Log'!$E$9:$SJ$9,'Graph Data'!BC$1,'PCO Log'!$E$7:$SJ$7,"Approved")</f>
        <v>0</v>
      </c>
      <c r="BD8" s="304">
        <f>SUMIFS('PCO Log'!$E18:$SJ18,'PCO Log'!$E$9:$SJ$9,'Graph Data'!BD$1,'PCO Log'!$E$7:$SJ$7,"Approved")</f>
        <v>0</v>
      </c>
      <c r="BE8" s="304">
        <f>SUMIFS('PCO Log'!$E18:$SJ18,'PCO Log'!$E$9:$SJ$9,'Graph Data'!BE$1,'PCO Log'!$E$7:$SJ$7,"Approved")</f>
        <v>0</v>
      </c>
      <c r="BF8" s="304">
        <f>SUMIFS('PCO Log'!$E18:$SJ18,'PCO Log'!$E$9:$SJ$9,'Graph Data'!BF$1,'PCO Log'!$E$7:$SJ$7,"Approved")</f>
        <v>0</v>
      </c>
      <c r="BG8" s="304">
        <f>SUMIFS('PCO Log'!$E18:$SJ18,'PCO Log'!$E$9:$SJ$9,'Graph Data'!BG$1,'PCO Log'!$E$7:$SJ$7,"Approved")</f>
        <v>0</v>
      </c>
      <c r="BH8" s="304">
        <f>SUMIFS('PCO Log'!$E18:$SJ18,'PCO Log'!$E$9:$SJ$9,'Graph Data'!BH$1,'PCO Log'!$E$7:$SJ$7,"Approved")</f>
        <v>0</v>
      </c>
      <c r="BI8" s="304">
        <f>SUMIFS('PCO Log'!$E18:$SJ18,'PCO Log'!$E$9:$SJ$9,'Graph Data'!BI$1,'PCO Log'!$E$7:$SJ$7,"Approved")</f>
        <v>0</v>
      </c>
      <c r="BJ8" s="304">
        <f>SUMIFS('PCO Log'!$E18:$SJ18,'PCO Log'!$E$9:$SJ$9,'Graph Data'!BJ$1,'PCO Log'!$E$7:$SJ$7,"Approved")</f>
        <v>0</v>
      </c>
      <c r="BK8" s="304">
        <f>SUMIFS('PCO Log'!$E18:$SJ18,'PCO Log'!$E$9:$SJ$9,'Graph Data'!BK$1,'PCO Log'!$E$7:$SJ$7,"Approved")</f>
        <v>0</v>
      </c>
      <c r="BL8" s="304">
        <f>SUMIFS('PCO Log'!$E18:$SJ18,'PCO Log'!$E$9:$SJ$9,'Graph Data'!BL$1,'PCO Log'!$E$7:$SJ$7,"Approved")</f>
        <v>0</v>
      </c>
      <c r="BM8" s="304">
        <f>SUMIFS('PCO Log'!$E18:$SJ18,'PCO Log'!$E$9:$SJ$9,'Graph Data'!BM$1,'PCO Log'!$E$7:$SJ$7,"Approved")</f>
        <v>0</v>
      </c>
      <c r="BN8" s="304">
        <f>SUMIFS('PCO Log'!$E18:$SJ18,'PCO Log'!$E$9:$SJ$9,'Graph Data'!BN$1,'PCO Log'!$E$7:$SJ$7,"Approved")</f>
        <v>0</v>
      </c>
      <c r="BO8" s="304">
        <f>SUMIFS('PCO Log'!$E18:$SJ18,'PCO Log'!$E$9:$SJ$9,'Graph Data'!BO$1,'PCO Log'!$E$7:$SJ$7,"Approved")</f>
        <v>0</v>
      </c>
      <c r="BP8" s="304">
        <f>SUMIFS('PCO Log'!$E18:$SJ18,'PCO Log'!$E$9:$SJ$9,'Graph Data'!BP$1,'PCO Log'!$E$7:$SJ$7,"Approved")</f>
        <v>0</v>
      </c>
      <c r="BQ8" s="304">
        <f>SUMIFS('PCO Log'!$E18:$SJ18,'PCO Log'!$E$9:$SJ$9,'Graph Data'!BQ$1,'PCO Log'!$E$7:$SJ$7,"Approved")</f>
        <v>0</v>
      </c>
      <c r="BR8" s="304">
        <f>SUMIFS('PCO Log'!$E18:$SJ18,'PCO Log'!$E$9:$SJ$9,'Graph Data'!BR$1,'PCO Log'!$E$7:$SJ$7,"Approved")</f>
        <v>0</v>
      </c>
      <c r="BS8" s="304">
        <f>SUMIFS('PCO Log'!$E18:$SJ18,'PCO Log'!$E$9:$SJ$9,'Graph Data'!BS$1,'PCO Log'!$E$7:$SJ$7,"Approved")</f>
        <v>0</v>
      </c>
      <c r="BT8" s="304">
        <f>SUMIFS('PCO Log'!$E18:$SJ18,'PCO Log'!$E$9:$SJ$9,'Graph Data'!BT$1,'PCO Log'!$E$7:$SJ$7,"Approved")</f>
        <v>0</v>
      </c>
      <c r="BU8" s="304">
        <f>SUMIFS('PCO Log'!$E18:$SJ18,'PCO Log'!$E$9:$SJ$9,'Graph Data'!BU$1,'PCO Log'!$E$7:$SJ$7,"Approved")</f>
        <v>0</v>
      </c>
      <c r="BV8" s="304">
        <f>SUMIFS('PCO Log'!$E18:$SJ18,'PCO Log'!$E$9:$SJ$9,'Graph Data'!BV$1,'PCO Log'!$E$7:$SJ$7,"Approved")</f>
        <v>0</v>
      </c>
      <c r="BW8" s="304">
        <f>SUMIFS('PCO Log'!$E18:$SJ18,'PCO Log'!$E$9:$SJ$9,'Graph Data'!BW$1,'PCO Log'!$E$7:$SJ$7,"Approved")</f>
        <v>0</v>
      </c>
      <c r="BX8" s="304">
        <f>SUMIFS('PCO Log'!$E18:$SJ18,'PCO Log'!$E$9:$SJ$9,'Graph Data'!BX$1,'PCO Log'!$E$7:$SJ$7,"Approved")</f>
        <v>0</v>
      </c>
    </row>
    <row r="9" spans="1:76" x14ac:dyDescent="0.25">
      <c r="A9" s="303" t="s">
        <v>349</v>
      </c>
      <c r="B9" s="303">
        <f>'PCO Log'!L7</f>
        <v>0</v>
      </c>
      <c r="C9" s="303">
        <f>'PCO Log'!L4</f>
        <v>0</v>
      </c>
      <c r="D9" s="303" cm="1">
        <f t="array" ref="D9">INDEX('PCO Log'!$E$5:$SJ$5, 1, ROWS('Graph Data'!$D$2:D9))</f>
        <v>0</v>
      </c>
      <c r="E9" s="303">
        <f>'PCO Log'!L8</f>
        <v>0</v>
      </c>
      <c r="F9" s="303">
        <f>'PCO Log'!L3</f>
        <v>0</v>
      </c>
      <c r="G9" s="304">
        <f>'PCO Log'!L10</f>
        <v>0</v>
      </c>
      <c r="H9" s="305">
        <f>'PCO Log'!L6</f>
        <v>0</v>
      </c>
      <c r="J9" s="303" t="s">
        <v>276</v>
      </c>
      <c r="K9" s="303">
        <f>'Pay App 8'!H33</f>
        <v>0</v>
      </c>
      <c r="L9" s="303">
        <f>IF(M9&gt;0,'Pay App 8'!$G$149,0)</f>
        <v>0</v>
      </c>
      <c r="M9" s="303">
        <f>'Pay App 8'!H149</f>
        <v>0</v>
      </c>
      <c r="O9" s="303" t="str">
        <f>'Pay App 1'!B64</f>
        <v>01 32 00</v>
      </c>
      <c r="P9" s="303" t="str">
        <f>'Pay App 1'!C64</f>
        <v>General Liability Insurance</v>
      </c>
      <c r="Q9" s="304">
        <f>SUMIFS('PCO Log'!$E19:$SJ19,'PCO Log'!$E$9:$SJ$9,'Graph Data'!Q$1,'PCO Log'!$E$7:$SJ$7,"Approved")</f>
        <v>0</v>
      </c>
      <c r="R9" s="304">
        <f>SUMIFS('PCO Log'!$E19:$SJ19,'PCO Log'!$E$9:$SJ$9,'Graph Data'!R$1,'PCO Log'!$E$7:$SJ$7,"Approved")</f>
        <v>0</v>
      </c>
      <c r="S9" s="304">
        <f>SUMIFS('PCO Log'!$E19:$SJ19,'PCO Log'!$E$9:$SJ$9,'Graph Data'!S$1,'PCO Log'!$E$7:$SJ$7,"Approved")</f>
        <v>0</v>
      </c>
      <c r="T9" s="304">
        <f>SUMIFS('PCO Log'!$E19:$SJ19,'PCO Log'!$E$9:$SJ$9,'Graph Data'!T$1,'PCO Log'!$E$7:$SJ$7,"Approved")</f>
        <v>0</v>
      </c>
      <c r="U9" s="304">
        <f>SUMIFS('PCO Log'!$E19:$SJ19,'PCO Log'!$E$9:$SJ$9,'Graph Data'!U$1,'PCO Log'!$E$7:$SJ$7,"Approved")</f>
        <v>0</v>
      </c>
      <c r="V9" s="304">
        <f>SUMIFS('PCO Log'!$E19:$SJ19,'PCO Log'!$E$9:$SJ$9,'Graph Data'!V$1,'PCO Log'!$E$7:$SJ$7,"Approved")</f>
        <v>0</v>
      </c>
      <c r="W9" s="304">
        <f>SUMIFS('PCO Log'!$E19:$SJ19,'PCO Log'!$E$9:$SJ$9,'Graph Data'!W$1,'PCO Log'!$E$7:$SJ$7,"Approved")</f>
        <v>0</v>
      </c>
      <c r="X9" s="304">
        <f>SUMIFS('PCO Log'!$E19:$SJ19,'PCO Log'!$E$9:$SJ$9,'Graph Data'!X$1,'PCO Log'!$E$7:$SJ$7,"Approved")</f>
        <v>0</v>
      </c>
      <c r="Y9" s="304">
        <f>SUMIFS('PCO Log'!$E19:$SJ19,'PCO Log'!$E$9:$SJ$9,'Graph Data'!Y$1,'PCO Log'!$E$7:$SJ$7,"Approved")</f>
        <v>0</v>
      </c>
      <c r="Z9" s="304">
        <f>SUMIFS('PCO Log'!$E19:$SJ19,'PCO Log'!$E$9:$SJ$9,'Graph Data'!Z$1,'PCO Log'!$E$7:$SJ$7,"Approved")</f>
        <v>0</v>
      </c>
      <c r="AA9" s="304">
        <f>SUMIFS('PCO Log'!$E19:$SJ19,'PCO Log'!$E$9:$SJ$9,'Graph Data'!AA$1,'PCO Log'!$E$7:$SJ$7,"Approved")</f>
        <v>0</v>
      </c>
      <c r="AB9" s="304">
        <f>SUMIFS('PCO Log'!$E19:$SJ19,'PCO Log'!$E$9:$SJ$9,'Graph Data'!AB$1,'PCO Log'!$E$7:$SJ$7,"Approved")</f>
        <v>0</v>
      </c>
      <c r="AC9" s="304">
        <f>SUMIFS('PCO Log'!$E19:$SJ19,'PCO Log'!$E$9:$SJ$9,'Graph Data'!AC$1,'PCO Log'!$E$7:$SJ$7,"Approved")</f>
        <v>0</v>
      </c>
      <c r="AD9" s="304">
        <f>SUMIFS('PCO Log'!$E19:$SJ19,'PCO Log'!$E$9:$SJ$9,'Graph Data'!AD$1,'PCO Log'!$E$7:$SJ$7,"Approved")</f>
        <v>0</v>
      </c>
      <c r="AE9" s="304">
        <f>SUMIFS('PCO Log'!$E19:$SJ19,'PCO Log'!$E$9:$SJ$9,'Graph Data'!AE$1,'PCO Log'!$E$7:$SJ$7,"Approved")</f>
        <v>0</v>
      </c>
      <c r="AF9" s="304">
        <f>SUMIFS('PCO Log'!$E19:$SJ19,'PCO Log'!$E$9:$SJ$9,'Graph Data'!AF$1,'PCO Log'!$E$7:$SJ$7,"Approved")</f>
        <v>0</v>
      </c>
      <c r="AG9" s="304">
        <f>SUMIFS('PCO Log'!$E19:$SJ19,'PCO Log'!$E$9:$SJ$9,'Graph Data'!AG$1,'PCO Log'!$E$7:$SJ$7,"Approved")</f>
        <v>0</v>
      </c>
      <c r="AH9" s="304">
        <f>SUMIFS('PCO Log'!$E19:$SJ19,'PCO Log'!$E$9:$SJ$9,'Graph Data'!AH$1,'PCO Log'!$E$7:$SJ$7,"Approved")</f>
        <v>0</v>
      </c>
      <c r="AI9" s="304">
        <f>SUMIFS('PCO Log'!$E19:$SJ19,'PCO Log'!$E$9:$SJ$9,'Graph Data'!AI$1,'PCO Log'!$E$7:$SJ$7,"Approved")</f>
        <v>0</v>
      </c>
      <c r="AJ9" s="304">
        <f>SUMIFS('PCO Log'!$E19:$SJ19,'PCO Log'!$E$9:$SJ$9,'Graph Data'!AJ$1,'PCO Log'!$E$7:$SJ$7,"Approved")</f>
        <v>0</v>
      </c>
      <c r="AK9" s="304">
        <f>SUMIFS('PCO Log'!$E19:$SJ19,'PCO Log'!$E$9:$SJ$9,'Graph Data'!AK$1,'PCO Log'!$E$7:$SJ$7,"Approved")</f>
        <v>0</v>
      </c>
      <c r="AL9" s="304">
        <f>SUMIFS('PCO Log'!$E19:$SJ19,'PCO Log'!$E$9:$SJ$9,'Graph Data'!AL$1,'PCO Log'!$E$7:$SJ$7,"Approved")</f>
        <v>0</v>
      </c>
      <c r="AM9" s="304">
        <f>SUMIFS('PCO Log'!$E19:$SJ19,'PCO Log'!$E$9:$SJ$9,'Graph Data'!AM$1,'PCO Log'!$E$7:$SJ$7,"Approved")</f>
        <v>0</v>
      </c>
      <c r="AN9" s="304">
        <f>SUMIFS('PCO Log'!$E19:$SJ19,'PCO Log'!$E$9:$SJ$9,'Graph Data'!AN$1,'PCO Log'!$E$7:$SJ$7,"Approved")</f>
        <v>0</v>
      </c>
      <c r="AO9" s="304">
        <f>SUMIFS('PCO Log'!$E19:$SJ19,'PCO Log'!$E$9:$SJ$9,'Graph Data'!AO$1,'PCO Log'!$E$7:$SJ$7,"Approved")</f>
        <v>0</v>
      </c>
      <c r="AP9" s="304">
        <f>SUMIFS('PCO Log'!$E19:$SJ19,'PCO Log'!$E$9:$SJ$9,'Graph Data'!AP$1,'PCO Log'!$E$7:$SJ$7,"Approved")</f>
        <v>0</v>
      </c>
      <c r="AQ9" s="304">
        <f>SUMIFS('PCO Log'!$E19:$SJ19,'PCO Log'!$E$9:$SJ$9,'Graph Data'!AQ$1,'PCO Log'!$E$7:$SJ$7,"Approved")</f>
        <v>0</v>
      </c>
      <c r="AR9" s="304">
        <f>SUMIFS('PCO Log'!$E19:$SJ19,'PCO Log'!$E$9:$SJ$9,'Graph Data'!AR$1,'PCO Log'!$E$7:$SJ$7,"Approved")</f>
        <v>0</v>
      </c>
      <c r="AS9" s="304">
        <f>SUMIFS('PCO Log'!$E19:$SJ19,'PCO Log'!$E$9:$SJ$9,'Graph Data'!AS$1,'PCO Log'!$E$7:$SJ$7,"Approved")</f>
        <v>0</v>
      </c>
      <c r="AT9" s="304">
        <f>SUMIFS('PCO Log'!$E19:$SJ19,'PCO Log'!$E$9:$SJ$9,'Graph Data'!AT$1,'PCO Log'!$E$7:$SJ$7,"Approved")</f>
        <v>0</v>
      </c>
      <c r="AU9" s="304">
        <f>SUMIFS('PCO Log'!$E19:$SJ19,'PCO Log'!$E$9:$SJ$9,'Graph Data'!AU$1,'PCO Log'!$E$7:$SJ$7,"Approved")</f>
        <v>0</v>
      </c>
      <c r="AV9" s="304">
        <f>SUMIFS('PCO Log'!$E19:$SJ19,'PCO Log'!$E$9:$SJ$9,'Graph Data'!AV$1,'PCO Log'!$E$7:$SJ$7,"Approved")</f>
        <v>0</v>
      </c>
      <c r="AW9" s="304">
        <f>SUMIFS('PCO Log'!$E19:$SJ19,'PCO Log'!$E$9:$SJ$9,'Graph Data'!AW$1,'PCO Log'!$E$7:$SJ$7,"Approved")</f>
        <v>0</v>
      </c>
      <c r="AX9" s="304">
        <f>SUMIFS('PCO Log'!$E19:$SJ19,'PCO Log'!$E$9:$SJ$9,'Graph Data'!AX$1,'PCO Log'!$E$7:$SJ$7,"Approved")</f>
        <v>0</v>
      </c>
      <c r="AY9" s="304">
        <f>SUMIFS('PCO Log'!$E19:$SJ19,'PCO Log'!$E$9:$SJ$9,'Graph Data'!AY$1,'PCO Log'!$E$7:$SJ$7,"Approved")</f>
        <v>0</v>
      </c>
      <c r="AZ9" s="304">
        <f>SUMIFS('PCO Log'!$E19:$SJ19,'PCO Log'!$E$9:$SJ$9,'Graph Data'!AZ$1,'PCO Log'!$E$7:$SJ$7,"Approved")</f>
        <v>0</v>
      </c>
      <c r="BA9" s="304">
        <f>SUMIFS('PCO Log'!$E19:$SJ19,'PCO Log'!$E$9:$SJ$9,'Graph Data'!BA$1,'PCO Log'!$E$7:$SJ$7,"Approved")</f>
        <v>0</v>
      </c>
      <c r="BB9" s="304">
        <f>SUMIFS('PCO Log'!$E19:$SJ19,'PCO Log'!$E$9:$SJ$9,'Graph Data'!BB$1,'PCO Log'!$E$7:$SJ$7,"Approved")</f>
        <v>0</v>
      </c>
      <c r="BC9" s="304">
        <f>SUMIFS('PCO Log'!$E19:$SJ19,'PCO Log'!$E$9:$SJ$9,'Graph Data'!BC$1,'PCO Log'!$E$7:$SJ$7,"Approved")</f>
        <v>0</v>
      </c>
      <c r="BD9" s="304">
        <f>SUMIFS('PCO Log'!$E19:$SJ19,'PCO Log'!$E$9:$SJ$9,'Graph Data'!BD$1,'PCO Log'!$E$7:$SJ$7,"Approved")</f>
        <v>0</v>
      </c>
      <c r="BE9" s="304">
        <f>SUMIFS('PCO Log'!$E19:$SJ19,'PCO Log'!$E$9:$SJ$9,'Graph Data'!BE$1,'PCO Log'!$E$7:$SJ$7,"Approved")</f>
        <v>0</v>
      </c>
      <c r="BF9" s="304">
        <f>SUMIFS('PCO Log'!$E19:$SJ19,'PCO Log'!$E$9:$SJ$9,'Graph Data'!BF$1,'PCO Log'!$E$7:$SJ$7,"Approved")</f>
        <v>0</v>
      </c>
      <c r="BG9" s="304">
        <f>SUMIFS('PCO Log'!$E19:$SJ19,'PCO Log'!$E$9:$SJ$9,'Graph Data'!BG$1,'PCO Log'!$E$7:$SJ$7,"Approved")</f>
        <v>0</v>
      </c>
      <c r="BH9" s="304">
        <f>SUMIFS('PCO Log'!$E19:$SJ19,'PCO Log'!$E$9:$SJ$9,'Graph Data'!BH$1,'PCO Log'!$E$7:$SJ$7,"Approved")</f>
        <v>0</v>
      </c>
      <c r="BI9" s="304">
        <f>SUMIFS('PCO Log'!$E19:$SJ19,'PCO Log'!$E$9:$SJ$9,'Graph Data'!BI$1,'PCO Log'!$E$7:$SJ$7,"Approved")</f>
        <v>0</v>
      </c>
      <c r="BJ9" s="304">
        <f>SUMIFS('PCO Log'!$E19:$SJ19,'PCO Log'!$E$9:$SJ$9,'Graph Data'!BJ$1,'PCO Log'!$E$7:$SJ$7,"Approved")</f>
        <v>0</v>
      </c>
      <c r="BK9" s="304">
        <f>SUMIFS('PCO Log'!$E19:$SJ19,'PCO Log'!$E$9:$SJ$9,'Graph Data'!BK$1,'PCO Log'!$E$7:$SJ$7,"Approved")</f>
        <v>0</v>
      </c>
      <c r="BL9" s="304">
        <f>SUMIFS('PCO Log'!$E19:$SJ19,'PCO Log'!$E$9:$SJ$9,'Graph Data'!BL$1,'PCO Log'!$E$7:$SJ$7,"Approved")</f>
        <v>0</v>
      </c>
      <c r="BM9" s="304">
        <f>SUMIFS('PCO Log'!$E19:$SJ19,'PCO Log'!$E$9:$SJ$9,'Graph Data'!BM$1,'PCO Log'!$E$7:$SJ$7,"Approved")</f>
        <v>0</v>
      </c>
      <c r="BN9" s="304">
        <f>SUMIFS('PCO Log'!$E19:$SJ19,'PCO Log'!$E$9:$SJ$9,'Graph Data'!BN$1,'PCO Log'!$E$7:$SJ$7,"Approved")</f>
        <v>0</v>
      </c>
      <c r="BO9" s="304">
        <f>SUMIFS('PCO Log'!$E19:$SJ19,'PCO Log'!$E$9:$SJ$9,'Graph Data'!BO$1,'PCO Log'!$E$7:$SJ$7,"Approved")</f>
        <v>0</v>
      </c>
      <c r="BP9" s="304">
        <f>SUMIFS('PCO Log'!$E19:$SJ19,'PCO Log'!$E$9:$SJ$9,'Graph Data'!BP$1,'PCO Log'!$E$7:$SJ$7,"Approved")</f>
        <v>0</v>
      </c>
      <c r="BQ9" s="304">
        <f>SUMIFS('PCO Log'!$E19:$SJ19,'PCO Log'!$E$9:$SJ$9,'Graph Data'!BQ$1,'PCO Log'!$E$7:$SJ$7,"Approved")</f>
        <v>0</v>
      </c>
      <c r="BR9" s="304">
        <f>SUMIFS('PCO Log'!$E19:$SJ19,'PCO Log'!$E$9:$SJ$9,'Graph Data'!BR$1,'PCO Log'!$E$7:$SJ$7,"Approved")</f>
        <v>0</v>
      </c>
      <c r="BS9" s="304">
        <f>SUMIFS('PCO Log'!$E19:$SJ19,'PCO Log'!$E$9:$SJ$9,'Graph Data'!BS$1,'PCO Log'!$E$7:$SJ$7,"Approved")</f>
        <v>0</v>
      </c>
      <c r="BT9" s="304">
        <f>SUMIFS('PCO Log'!$E19:$SJ19,'PCO Log'!$E$9:$SJ$9,'Graph Data'!BT$1,'PCO Log'!$E$7:$SJ$7,"Approved")</f>
        <v>0</v>
      </c>
      <c r="BU9" s="304">
        <f>SUMIFS('PCO Log'!$E19:$SJ19,'PCO Log'!$E$9:$SJ$9,'Graph Data'!BU$1,'PCO Log'!$E$7:$SJ$7,"Approved")</f>
        <v>0</v>
      </c>
      <c r="BV9" s="304">
        <f>SUMIFS('PCO Log'!$E19:$SJ19,'PCO Log'!$E$9:$SJ$9,'Graph Data'!BV$1,'PCO Log'!$E$7:$SJ$7,"Approved")</f>
        <v>0</v>
      </c>
      <c r="BW9" s="304">
        <f>SUMIFS('PCO Log'!$E19:$SJ19,'PCO Log'!$E$9:$SJ$9,'Graph Data'!BW$1,'PCO Log'!$E$7:$SJ$7,"Approved")</f>
        <v>0</v>
      </c>
      <c r="BX9" s="304">
        <f>SUMIFS('PCO Log'!$E19:$SJ19,'PCO Log'!$E$9:$SJ$9,'Graph Data'!BX$1,'PCO Log'!$E$7:$SJ$7,"Approved")</f>
        <v>0</v>
      </c>
    </row>
    <row r="10" spans="1:76" x14ac:dyDescent="0.25">
      <c r="A10" s="303" t="s">
        <v>350</v>
      </c>
      <c r="B10" s="303">
        <f>'PCO Log'!M7</f>
        <v>0</v>
      </c>
      <c r="C10" s="303">
        <f>'PCO Log'!M4</f>
        <v>0</v>
      </c>
      <c r="D10" s="303" cm="1">
        <f t="array" ref="D10">INDEX('PCO Log'!$E$5:$SJ$5, 1, ROWS('Graph Data'!$D$2:D10))</f>
        <v>0</v>
      </c>
      <c r="E10" s="303">
        <f>'PCO Log'!M8</f>
        <v>0</v>
      </c>
      <c r="F10" s="303">
        <f>'PCO Log'!M3</f>
        <v>0</v>
      </c>
      <c r="G10" s="304">
        <f>'PCO Log'!M10</f>
        <v>0</v>
      </c>
      <c r="H10" s="305">
        <f>'PCO Log'!M6</f>
        <v>0</v>
      </c>
      <c r="J10" s="303" t="s">
        <v>277</v>
      </c>
      <c r="K10" s="303">
        <f>'Pay App 9'!H33</f>
        <v>0</v>
      </c>
      <c r="L10" s="303">
        <f>IF(M10&gt;0,'Pay App 9'!$G$149,0)</f>
        <v>0</v>
      </c>
      <c r="M10" s="303">
        <f>'Pay App 9'!H149</f>
        <v>0</v>
      </c>
      <c r="O10" s="303" t="str">
        <f>'Pay App 1'!B65</f>
        <v>01 33 00</v>
      </c>
      <c r="P10" s="303" t="str">
        <f>'Pay App 1'!C65</f>
        <v xml:space="preserve">Performance &amp; Payment Bond  </v>
      </c>
      <c r="Q10" s="304">
        <f>SUMIFS('PCO Log'!$E20:$SJ20,'PCO Log'!$E$9:$SJ$9,'Graph Data'!Q$1,'PCO Log'!$E$7:$SJ$7,"Approved")</f>
        <v>0</v>
      </c>
      <c r="R10" s="304">
        <f>SUMIFS('PCO Log'!$E20:$SJ20,'PCO Log'!$E$9:$SJ$9,'Graph Data'!R$1,'PCO Log'!$E$7:$SJ$7,"Approved")</f>
        <v>0</v>
      </c>
      <c r="S10" s="304">
        <f>SUMIFS('PCO Log'!$E20:$SJ20,'PCO Log'!$E$9:$SJ$9,'Graph Data'!S$1,'PCO Log'!$E$7:$SJ$7,"Approved")</f>
        <v>0</v>
      </c>
      <c r="T10" s="304">
        <f>SUMIFS('PCO Log'!$E20:$SJ20,'PCO Log'!$E$9:$SJ$9,'Graph Data'!T$1,'PCO Log'!$E$7:$SJ$7,"Approved")</f>
        <v>0</v>
      </c>
      <c r="U10" s="304">
        <f>SUMIFS('PCO Log'!$E20:$SJ20,'PCO Log'!$E$9:$SJ$9,'Graph Data'!U$1,'PCO Log'!$E$7:$SJ$7,"Approved")</f>
        <v>0</v>
      </c>
      <c r="V10" s="304">
        <f>SUMIFS('PCO Log'!$E20:$SJ20,'PCO Log'!$E$9:$SJ$9,'Graph Data'!V$1,'PCO Log'!$E$7:$SJ$7,"Approved")</f>
        <v>0</v>
      </c>
      <c r="W10" s="304">
        <f>SUMIFS('PCO Log'!$E20:$SJ20,'PCO Log'!$E$9:$SJ$9,'Graph Data'!W$1,'PCO Log'!$E$7:$SJ$7,"Approved")</f>
        <v>0</v>
      </c>
      <c r="X10" s="304">
        <f>SUMIFS('PCO Log'!$E20:$SJ20,'PCO Log'!$E$9:$SJ$9,'Graph Data'!X$1,'PCO Log'!$E$7:$SJ$7,"Approved")</f>
        <v>0</v>
      </c>
      <c r="Y10" s="304">
        <f>SUMIFS('PCO Log'!$E20:$SJ20,'PCO Log'!$E$9:$SJ$9,'Graph Data'!Y$1,'PCO Log'!$E$7:$SJ$7,"Approved")</f>
        <v>0</v>
      </c>
      <c r="Z10" s="304">
        <f>SUMIFS('PCO Log'!$E20:$SJ20,'PCO Log'!$E$9:$SJ$9,'Graph Data'!Z$1,'PCO Log'!$E$7:$SJ$7,"Approved")</f>
        <v>0</v>
      </c>
      <c r="AA10" s="304">
        <f>SUMIFS('PCO Log'!$E20:$SJ20,'PCO Log'!$E$9:$SJ$9,'Graph Data'!AA$1,'PCO Log'!$E$7:$SJ$7,"Approved")</f>
        <v>0</v>
      </c>
      <c r="AB10" s="304">
        <f>SUMIFS('PCO Log'!$E20:$SJ20,'PCO Log'!$E$9:$SJ$9,'Graph Data'!AB$1,'PCO Log'!$E$7:$SJ$7,"Approved")</f>
        <v>0</v>
      </c>
      <c r="AC10" s="304">
        <f>SUMIFS('PCO Log'!$E20:$SJ20,'PCO Log'!$E$9:$SJ$9,'Graph Data'!AC$1,'PCO Log'!$E$7:$SJ$7,"Approved")</f>
        <v>0</v>
      </c>
      <c r="AD10" s="304">
        <f>SUMIFS('PCO Log'!$E20:$SJ20,'PCO Log'!$E$9:$SJ$9,'Graph Data'!AD$1,'PCO Log'!$E$7:$SJ$7,"Approved")</f>
        <v>0</v>
      </c>
      <c r="AE10" s="304">
        <f>SUMIFS('PCO Log'!$E20:$SJ20,'PCO Log'!$E$9:$SJ$9,'Graph Data'!AE$1,'PCO Log'!$E$7:$SJ$7,"Approved")</f>
        <v>0</v>
      </c>
      <c r="AF10" s="304">
        <f>SUMIFS('PCO Log'!$E20:$SJ20,'PCO Log'!$E$9:$SJ$9,'Graph Data'!AF$1,'PCO Log'!$E$7:$SJ$7,"Approved")</f>
        <v>0</v>
      </c>
      <c r="AG10" s="304">
        <f>SUMIFS('PCO Log'!$E20:$SJ20,'PCO Log'!$E$9:$SJ$9,'Graph Data'!AG$1,'PCO Log'!$E$7:$SJ$7,"Approved")</f>
        <v>0</v>
      </c>
      <c r="AH10" s="304">
        <f>SUMIFS('PCO Log'!$E20:$SJ20,'PCO Log'!$E$9:$SJ$9,'Graph Data'!AH$1,'PCO Log'!$E$7:$SJ$7,"Approved")</f>
        <v>0</v>
      </c>
      <c r="AI10" s="304">
        <f>SUMIFS('PCO Log'!$E20:$SJ20,'PCO Log'!$E$9:$SJ$9,'Graph Data'!AI$1,'PCO Log'!$E$7:$SJ$7,"Approved")</f>
        <v>0</v>
      </c>
      <c r="AJ10" s="304">
        <f>SUMIFS('PCO Log'!$E20:$SJ20,'PCO Log'!$E$9:$SJ$9,'Graph Data'!AJ$1,'PCO Log'!$E$7:$SJ$7,"Approved")</f>
        <v>0</v>
      </c>
      <c r="AK10" s="304">
        <f>SUMIFS('PCO Log'!$E20:$SJ20,'PCO Log'!$E$9:$SJ$9,'Graph Data'!AK$1,'PCO Log'!$E$7:$SJ$7,"Approved")</f>
        <v>0</v>
      </c>
      <c r="AL10" s="304">
        <f>SUMIFS('PCO Log'!$E20:$SJ20,'PCO Log'!$E$9:$SJ$9,'Graph Data'!AL$1,'PCO Log'!$E$7:$SJ$7,"Approved")</f>
        <v>0</v>
      </c>
      <c r="AM10" s="304">
        <f>SUMIFS('PCO Log'!$E20:$SJ20,'PCO Log'!$E$9:$SJ$9,'Graph Data'!AM$1,'PCO Log'!$E$7:$SJ$7,"Approved")</f>
        <v>0</v>
      </c>
      <c r="AN10" s="304">
        <f>SUMIFS('PCO Log'!$E20:$SJ20,'PCO Log'!$E$9:$SJ$9,'Graph Data'!AN$1,'PCO Log'!$E$7:$SJ$7,"Approved")</f>
        <v>0</v>
      </c>
      <c r="AO10" s="304">
        <f>SUMIFS('PCO Log'!$E20:$SJ20,'PCO Log'!$E$9:$SJ$9,'Graph Data'!AO$1,'PCO Log'!$E$7:$SJ$7,"Approved")</f>
        <v>0</v>
      </c>
      <c r="AP10" s="304">
        <f>SUMIFS('PCO Log'!$E20:$SJ20,'PCO Log'!$E$9:$SJ$9,'Graph Data'!AP$1,'PCO Log'!$E$7:$SJ$7,"Approved")</f>
        <v>0</v>
      </c>
      <c r="AQ10" s="304">
        <f>SUMIFS('PCO Log'!$E20:$SJ20,'PCO Log'!$E$9:$SJ$9,'Graph Data'!AQ$1,'PCO Log'!$E$7:$SJ$7,"Approved")</f>
        <v>0</v>
      </c>
      <c r="AR10" s="304">
        <f>SUMIFS('PCO Log'!$E20:$SJ20,'PCO Log'!$E$9:$SJ$9,'Graph Data'!AR$1,'PCO Log'!$E$7:$SJ$7,"Approved")</f>
        <v>0</v>
      </c>
      <c r="AS10" s="304">
        <f>SUMIFS('PCO Log'!$E20:$SJ20,'PCO Log'!$E$9:$SJ$9,'Graph Data'!AS$1,'PCO Log'!$E$7:$SJ$7,"Approved")</f>
        <v>0</v>
      </c>
      <c r="AT10" s="304">
        <f>SUMIFS('PCO Log'!$E20:$SJ20,'PCO Log'!$E$9:$SJ$9,'Graph Data'!AT$1,'PCO Log'!$E$7:$SJ$7,"Approved")</f>
        <v>0</v>
      </c>
      <c r="AU10" s="304">
        <f>SUMIFS('PCO Log'!$E20:$SJ20,'PCO Log'!$E$9:$SJ$9,'Graph Data'!AU$1,'PCO Log'!$E$7:$SJ$7,"Approved")</f>
        <v>0</v>
      </c>
      <c r="AV10" s="304">
        <f>SUMIFS('PCO Log'!$E20:$SJ20,'PCO Log'!$E$9:$SJ$9,'Graph Data'!AV$1,'PCO Log'!$E$7:$SJ$7,"Approved")</f>
        <v>0</v>
      </c>
      <c r="AW10" s="304">
        <f>SUMIFS('PCO Log'!$E20:$SJ20,'PCO Log'!$E$9:$SJ$9,'Graph Data'!AW$1,'PCO Log'!$E$7:$SJ$7,"Approved")</f>
        <v>0</v>
      </c>
      <c r="AX10" s="304">
        <f>SUMIFS('PCO Log'!$E20:$SJ20,'PCO Log'!$E$9:$SJ$9,'Graph Data'!AX$1,'PCO Log'!$E$7:$SJ$7,"Approved")</f>
        <v>0</v>
      </c>
      <c r="AY10" s="304">
        <f>SUMIFS('PCO Log'!$E20:$SJ20,'PCO Log'!$E$9:$SJ$9,'Graph Data'!AY$1,'PCO Log'!$E$7:$SJ$7,"Approved")</f>
        <v>0</v>
      </c>
      <c r="AZ10" s="304">
        <f>SUMIFS('PCO Log'!$E20:$SJ20,'PCO Log'!$E$9:$SJ$9,'Graph Data'!AZ$1,'PCO Log'!$E$7:$SJ$7,"Approved")</f>
        <v>0</v>
      </c>
      <c r="BA10" s="304">
        <f>SUMIFS('PCO Log'!$E20:$SJ20,'PCO Log'!$E$9:$SJ$9,'Graph Data'!BA$1,'PCO Log'!$E$7:$SJ$7,"Approved")</f>
        <v>0</v>
      </c>
      <c r="BB10" s="304">
        <f>SUMIFS('PCO Log'!$E20:$SJ20,'PCO Log'!$E$9:$SJ$9,'Graph Data'!BB$1,'PCO Log'!$E$7:$SJ$7,"Approved")</f>
        <v>0</v>
      </c>
      <c r="BC10" s="304">
        <f>SUMIFS('PCO Log'!$E20:$SJ20,'PCO Log'!$E$9:$SJ$9,'Graph Data'!BC$1,'PCO Log'!$E$7:$SJ$7,"Approved")</f>
        <v>0</v>
      </c>
      <c r="BD10" s="304">
        <f>SUMIFS('PCO Log'!$E20:$SJ20,'PCO Log'!$E$9:$SJ$9,'Graph Data'!BD$1,'PCO Log'!$E$7:$SJ$7,"Approved")</f>
        <v>0</v>
      </c>
      <c r="BE10" s="304">
        <f>SUMIFS('PCO Log'!$E20:$SJ20,'PCO Log'!$E$9:$SJ$9,'Graph Data'!BE$1,'PCO Log'!$E$7:$SJ$7,"Approved")</f>
        <v>0</v>
      </c>
      <c r="BF10" s="304">
        <f>SUMIFS('PCO Log'!$E20:$SJ20,'PCO Log'!$E$9:$SJ$9,'Graph Data'!BF$1,'PCO Log'!$E$7:$SJ$7,"Approved")</f>
        <v>0</v>
      </c>
      <c r="BG10" s="304">
        <f>SUMIFS('PCO Log'!$E20:$SJ20,'PCO Log'!$E$9:$SJ$9,'Graph Data'!BG$1,'PCO Log'!$E$7:$SJ$7,"Approved")</f>
        <v>0</v>
      </c>
      <c r="BH10" s="304">
        <f>SUMIFS('PCO Log'!$E20:$SJ20,'PCO Log'!$E$9:$SJ$9,'Graph Data'!BH$1,'PCO Log'!$E$7:$SJ$7,"Approved")</f>
        <v>0</v>
      </c>
      <c r="BI10" s="304">
        <f>SUMIFS('PCO Log'!$E20:$SJ20,'PCO Log'!$E$9:$SJ$9,'Graph Data'!BI$1,'PCO Log'!$E$7:$SJ$7,"Approved")</f>
        <v>0</v>
      </c>
      <c r="BJ10" s="304">
        <f>SUMIFS('PCO Log'!$E20:$SJ20,'PCO Log'!$E$9:$SJ$9,'Graph Data'!BJ$1,'PCO Log'!$E$7:$SJ$7,"Approved")</f>
        <v>0</v>
      </c>
      <c r="BK10" s="304">
        <f>SUMIFS('PCO Log'!$E20:$SJ20,'PCO Log'!$E$9:$SJ$9,'Graph Data'!BK$1,'PCO Log'!$E$7:$SJ$7,"Approved")</f>
        <v>0</v>
      </c>
      <c r="BL10" s="304">
        <f>SUMIFS('PCO Log'!$E20:$SJ20,'PCO Log'!$E$9:$SJ$9,'Graph Data'!BL$1,'PCO Log'!$E$7:$SJ$7,"Approved")</f>
        <v>0</v>
      </c>
      <c r="BM10" s="304">
        <f>SUMIFS('PCO Log'!$E20:$SJ20,'PCO Log'!$E$9:$SJ$9,'Graph Data'!BM$1,'PCO Log'!$E$7:$SJ$7,"Approved")</f>
        <v>0</v>
      </c>
      <c r="BN10" s="304">
        <f>SUMIFS('PCO Log'!$E20:$SJ20,'PCO Log'!$E$9:$SJ$9,'Graph Data'!BN$1,'PCO Log'!$E$7:$SJ$7,"Approved")</f>
        <v>0</v>
      </c>
      <c r="BO10" s="304">
        <f>SUMIFS('PCO Log'!$E20:$SJ20,'PCO Log'!$E$9:$SJ$9,'Graph Data'!BO$1,'PCO Log'!$E$7:$SJ$7,"Approved")</f>
        <v>0</v>
      </c>
      <c r="BP10" s="304">
        <f>SUMIFS('PCO Log'!$E20:$SJ20,'PCO Log'!$E$9:$SJ$9,'Graph Data'!BP$1,'PCO Log'!$E$7:$SJ$7,"Approved")</f>
        <v>0</v>
      </c>
      <c r="BQ10" s="304">
        <f>SUMIFS('PCO Log'!$E20:$SJ20,'PCO Log'!$E$9:$SJ$9,'Graph Data'!BQ$1,'PCO Log'!$E$7:$SJ$7,"Approved")</f>
        <v>0</v>
      </c>
      <c r="BR10" s="304">
        <f>SUMIFS('PCO Log'!$E20:$SJ20,'PCO Log'!$E$9:$SJ$9,'Graph Data'!BR$1,'PCO Log'!$E$7:$SJ$7,"Approved")</f>
        <v>0</v>
      </c>
      <c r="BS10" s="304">
        <f>SUMIFS('PCO Log'!$E20:$SJ20,'PCO Log'!$E$9:$SJ$9,'Graph Data'!BS$1,'PCO Log'!$E$7:$SJ$7,"Approved")</f>
        <v>0</v>
      </c>
      <c r="BT10" s="304">
        <f>SUMIFS('PCO Log'!$E20:$SJ20,'PCO Log'!$E$9:$SJ$9,'Graph Data'!BT$1,'PCO Log'!$E$7:$SJ$7,"Approved")</f>
        <v>0</v>
      </c>
      <c r="BU10" s="304">
        <f>SUMIFS('PCO Log'!$E20:$SJ20,'PCO Log'!$E$9:$SJ$9,'Graph Data'!BU$1,'PCO Log'!$E$7:$SJ$7,"Approved")</f>
        <v>0</v>
      </c>
      <c r="BV10" s="304">
        <f>SUMIFS('PCO Log'!$E20:$SJ20,'PCO Log'!$E$9:$SJ$9,'Graph Data'!BV$1,'PCO Log'!$E$7:$SJ$7,"Approved")</f>
        <v>0</v>
      </c>
      <c r="BW10" s="304">
        <f>SUMIFS('PCO Log'!$E20:$SJ20,'PCO Log'!$E$9:$SJ$9,'Graph Data'!BW$1,'PCO Log'!$E$7:$SJ$7,"Approved")</f>
        <v>0</v>
      </c>
      <c r="BX10" s="304">
        <f>SUMIFS('PCO Log'!$E20:$SJ20,'PCO Log'!$E$9:$SJ$9,'Graph Data'!BX$1,'PCO Log'!$E$7:$SJ$7,"Approved")</f>
        <v>0</v>
      </c>
    </row>
    <row r="11" spans="1:76" x14ac:dyDescent="0.25">
      <c r="A11" s="303" t="s">
        <v>351</v>
      </c>
      <c r="B11" s="303">
        <f>'PCO Log'!N7</f>
        <v>0</v>
      </c>
      <c r="C11" s="303">
        <f>'PCO Log'!N4</f>
        <v>0</v>
      </c>
      <c r="D11" s="303" cm="1">
        <f t="array" ref="D11">INDEX('PCO Log'!$E$5:$SJ$5, 1, ROWS('Graph Data'!$D$2:D11))</f>
        <v>0</v>
      </c>
      <c r="E11" s="303">
        <f>'PCO Log'!N8</f>
        <v>0</v>
      </c>
      <c r="F11" s="303">
        <f>'PCO Log'!N3</f>
        <v>0</v>
      </c>
      <c r="G11" s="304">
        <f>'PCO Log'!N10</f>
        <v>0</v>
      </c>
      <c r="H11" s="305">
        <f>'PCO Log'!N6</f>
        <v>0</v>
      </c>
      <c r="J11" s="303" t="s">
        <v>278</v>
      </c>
      <c r="K11" s="303">
        <f>'Pay App 10'!H33</f>
        <v>0</v>
      </c>
      <c r="L11" s="303">
        <f>IF(M11&gt;0,'Pay App 10'!$G$149,0)</f>
        <v>0</v>
      </c>
      <c r="M11" s="303">
        <f>'Pay App 10'!H149</f>
        <v>0</v>
      </c>
      <c r="O11" s="303" t="str">
        <f>'Pay App 1'!B66</f>
        <v>01 34 00</v>
      </c>
      <c r="P11" s="303" t="str">
        <f>'Pay App 1'!C66</f>
        <v>Subcontractor Default Insurance</v>
      </c>
      <c r="Q11" s="304">
        <f>SUMIFS('PCO Log'!$E21:$SJ21,'PCO Log'!$E$9:$SJ$9,'Graph Data'!Q$1,'PCO Log'!$E$7:$SJ$7,"Approved")</f>
        <v>0</v>
      </c>
      <c r="R11" s="304">
        <f>SUMIFS('PCO Log'!$E21:$SJ21,'PCO Log'!$E$9:$SJ$9,'Graph Data'!R$1,'PCO Log'!$E$7:$SJ$7,"Approved")</f>
        <v>0</v>
      </c>
      <c r="S11" s="304">
        <f>SUMIFS('PCO Log'!$E21:$SJ21,'PCO Log'!$E$9:$SJ$9,'Graph Data'!S$1,'PCO Log'!$E$7:$SJ$7,"Approved")</f>
        <v>0</v>
      </c>
      <c r="T11" s="304">
        <f>SUMIFS('PCO Log'!$E21:$SJ21,'PCO Log'!$E$9:$SJ$9,'Graph Data'!T$1,'PCO Log'!$E$7:$SJ$7,"Approved")</f>
        <v>0</v>
      </c>
      <c r="U11" s="304">
        <f>SUMIFS('PCO Log'!$E21:$SJ21,'PCO Log'!$E$9:$SJ$9,'Graph Data'!U$1,'PCO Log'!$E$7:$SJ$7,"Approved")</f>
        <v>0</v>
      </c>
      <c r="V11" s="304">
        <f>SUMIFS('PCO Log'!$E21:$SJ21,'PCO Log'!$E$9:$SJ$9,'Graph Data'!V$1,'PCO Log'!$E$7:$SJ$7,"Approved")</f>
        <v>0</v>
      </c>
      <c r="W11" s="304">
        <f>SUMIFS('PCO Log'!$E21:$SJ21,'PCO Log'!$E$9:$SJ$9,'Graph Data'!W$1,'PCO Log'!$E$7:$SJ$7,"Approved")</f>
        <v>0</v>
      </c>
      <c r="X11" s="304">
        <f>SUMIFS('PCO Log'!$E21:$SJ21,'PCO Log'!$E$9:$SJ$9,'Graph Data'!X$1,'PCO Log'!$E$7:$SJ$7,"Approved")</f>
        <v>0</v>
      </c>
      <c r="Y11" s="304">
        <f>SUMIFS('PCO Log'!$E21:$SJ21,'PCO Log'!$E$9:$SJ$9,'Graph Data'!Y$1,'PCO Log'!$E$7:$SJ$7,"Approved")</f>
        <v>0</v>
      </c>
      <c r="Z11" s="304">
        <f>SUMIFS('PCO Log'!$E21:$SJ21,'PCO Log'!$E$9:$SJ$9,'Graph Data'!Z$1,'PCO Log'!$E$7:$SJ$7,"Approved")</f>
        <v>0</v>
      </c>
      <c r="AA11" s="304">
        <f>SUMIFS('PCO Log'!$E21:$SJ21,'PCO Log'!$E$9:$SJ$9,'Graph Data'!AA$1,'PCO Log'!$E$7:$SJ$7,"Approved")</f>
        <v>0</v>
      </c>
      <c r="AB11" s="304">
        <f>SUMIFS('PCO Log'!$E21:$SJ21,'PCO Log'!$E$9:$SJ$9,'Graph Data'!AB$1,'PCO Log'!$E$7:$SJ$7,"Approved")</f>
        <v>0</v>
      </c>
      <c r="AC11" s="304">
        <f>SUMIFS('PCO Log'!$E21:$SJ21,'PCO Log'!$E$9:$SJ$9,'Graph Data'!AC$1,'PCO Log'!$E$7:$SJ$7,"Approved")</f>
        <v>0</v>
      </c>
      <c r="AD11" s="304">
        <f>SUMIFS('PCO Log'!$E21:$SJ21,'PCO Log'!$E$9:$SJ$9,'Graph Data'!AD$1,'PCO Log'!$E$7:$SJ$7,"Approved")</f>
        <v>0</v>
      </c>
      <c r="AE11" s="304">
        <f>SUMIFS('PCO Log'!$E21:$SJ21,'PCO Log'!$E$9:$SJ$9,'Graph Data'!AE$1,'PCO Log'!$E$7:$SJ$7,"Approved")</f>
        <v>0</v>
      </c>
      <c r="AF11" s="304">
        <f>SUMIFS('PCO Log'!$E21:$SJ21,'PCO Log'!$E$9:$SJ$9,'Graph Data'!AF$1,'PCO Log'!$E$7:$SJ$7,"Approved")</f>
        <v>0</v>
      </c>
      <c r="AG11" s="304">
        <f>SUMIFS('PCO Log'!$E21:$SJ21,'PCO Log'!$E$9:$SJ$9,'Graph Data'!AG$1,'PCO Log'!$E$7:$SJ$7,"Approved")</f>
        <v>0</v>
      </c>
      <c r="AH11" s="304">
        <f>SUMIFS('PCO Log'!$E21:$SJ21,'PCO Log'!$E$9:$SJ$9,'Graph Data'!AH$1,'PCO Log'!$E$7:$SJ$7,"Approved")</f>
        <v>0</v>
      </c>
      <c r="AI11" s="304">
        <f>SUMIFS('PCO Log'!$E21:$SJ21,'PCO Log'!$E$9:$SJ$9,'Graph Data'!AI$1,'PCO Log'!$E$7:$SJ$7,"Approved")</f>
        <v>0</v>
      </c>
      <c r="AJ11" s="304">
        <f>SUMIFS('PCO Log'!$E21:$SJ21,'PCO Log'!$E$9:$SJ$9,'Graph Data'!AJ$1,'PCO Log'!$E$7:$SJ$7,"Approved")</f>
        <v>0</v>
      </c>
      <c r="AK11" s="304">
        <f>SUMIFS('PCO Log'!$E21:$SJ21,'PCO Log'!$E$9:$SJ$9,'Graph Data'!AK$1,'PCO Log'!$E$7:$SJ$7,"Approved")</f>
        <v>0</v>
      </c>
      <c r="AL11" s="304">
        <f>SUMIFS('PCO Log'!$E21:$SJ21,'PCO Log'!$E$9:$SJ$9,'Graph Data'!AL$1,'PCO Log'!$E$7:$SJ$7,"Approved")</f>
        <v>0</v>
      </c>
      <c r="AM11" s="304">
        <f>SUMIFS('PCO Log'!$E21:$SJ21,'PCO Log'!$E$9:$SJ$9,'Graph Data'!AM$1,'PCO Log'!$E$7:$SJ$7,"Approved")</f>
        <v>0</v>
      </c>
      <c r="AN11" s="304">
        <f>SUMIFS('PCO Log'!$E21:$SJ21,'PCO Log'!$E$9:$SJ$9,'Graph Data'!AN$1,'PCO Log'!$E$7:$SJ$7,"Approved")</f>
        <v>0</v>
      </c>
      <c r="AO11" s="304">
        <f>SUMIFS('PCO Log'!$E21:$SJ21,'PCO Log'!$E$9:$SJ$9,'Graph Data'!AO$1,'PCO Log'!$E$7:$SJ$7,"Approved")</f>
        <v>0</v>
      </c>
      <c r="AP11" s="304">
        <f>SUMIFS('PCO Log'!$E21:$SJ21,'PCO Log'!$E$9:$SJ$9,'Graph Data'!AP$1,'PCO Log'!$E$7:$SJ$7,"Approved")</f>
        <v>0</v>
      </c>
      <c r="AQ11" s="304">
        <f>SUMIFS('PCO Log'!$E21:$SJ21,'PCO Log'!$E$9:$SJ$9,'Graph Data'!AQ$1,'PCO Log'!$E$7:$SJ$7,"Approved")</f>
        <v>0</v>
      </c>
      <c r="AR11" s="304">
        <f>SUMIFS('PCO Log'!$E21:$SJ21,'PCO Log'!$E$9:$SJ$9,'Graph Data'!AR$1,'PCO Log'!$E$7:$SJ$7,"Approved")</f>
        <v>0</v>
      </c>
      <c r="AS11" s="304">
        <f>SUMIFS('PCO Log'!$E21:$SJ21,'PCO Log'!$E$9:$SJ$9,'Graph Data'!AS$1,'PCO Log'!$E$7:$SJ$7,"Approved")</f>
        <v>0</v>
      </c>
      <c r="AT11" s="304">
        <f>SUMIFS('PCO Log'!$E21:$SJ21,'PCO Log'!$E$9:$SJ$9,'Graph Data'!AT$1,'PCO Log'!$E$7:$SJ$7,"Approved")</f>
        <v>0</v>
      </c>
      <c r="AU11" s="304">
        <f>SUMIFS('PCO Log'!$E21:$SJ21,'PCO Log'!$E$9:$SJ$9,'Graph Data'!AU$1,'PCO Log'!$E$7:$SJ$7,"Approved")</f>
        <v>0</v>
      </c>
      <c r="AV11" s="304">
        <f>SUMIFS('PCO Log'!$E21:$SJ21,'PCO Log'!$E$9:$SJ$9,'Graph Data'!AV$1,'PCO Log'!$E$7:$SJ$7,"Approved")</f>
        <v>0</v>
      </c>
      <c r="AW11" s="304">
        <f>SUMIFS('PCO Log'!$E21:$SJ21,'PCO Log'!$E$9:$SJ$9,'Graph Data'!AW$1,'PCO Log'!$E$7:$SJ$7,"Approved")</f>
        <v>0</v>
      </c>
      <c r="AX11" s="304">
        <f>SUMIFS('PCO Log'!$E21:$SJ21,'PCO Log'!$E$9:$SJ$9,'Graph Data'!AX$1,'PCO Log'!$E$7:$SJ$7,"Approved")</f>
        <v>0</v>
      </c>
      <c r="AY11" s="304">
        <f>SUMIFS('PCO Log'!$E21:$SJ21,'PCO Log'!$E$9:$SJ$9,'Graph Data'!AY$1,'PCO Log'!$E$7:$SJ$7,"Approved")</f>
        <v>0</v>
      </c>
      <c r="AZ11" s="304">
        <f>SUMIFS('PCO Log'!$E21:$SJ21,'PCO Log'!$E$9:$SJ$9,'Graph Data'!AZ$1,'PCO Log'!$E$7:$SJ$7,"Approved")</f>
        <v>0</v>
      </c>
      <c r="BA11" s="304">
        <f>SUMIFS('PCO Log'!$E21:$SJ21,'PCO Log'!$E$9:$SJ$9,'Graph Data'!BA$1,'PCO Log'!$E$7:$SJ$7,"Approved")</f>
        <v>0</v>
      </c>
      <c r="BB11" s="304">
        <f>SUMIFS('PCO Log'!$E21:$SJ21,'PCO Log'!$E$9:$SJ$9,'Graph Data'!BB$1,'PCO Log'!$E$7:$SJ$7,"Approved")</f>
        <v>0</v>
      </c>
      <c r="BC11" s="304">
        <f>SUMIFS('PCO Log'!$E21:$SJ21,'PCO Log'!$E$9:$SJ$9,'Graph Data'!BC$1,'PCO Log'!$E$7:$SJ$7,"Approved")</f>
        <v>0</v>
      </c>
      <c r="BD11" s="304">
        <f>SUMIFS('PCO Log'!$E21:$SJ21,'PCO Log'!$E$9:$SJ$9,'Graph Data'!BD$1,'PCO Log'!$E$7:$SJ$7,"Approved")</f>
        <v>0</v>
      </c>
      <c r="BE11" s="304">
        <f>SUMIFS('PCO Log'!$E21:$SJ21,'PCO Log'!$E$9:$SJ$9,'Graph Data'!BE$1,'PCO Log'!$E$7:$SJ$7,"Approved")</f>
        <v>0</v>
      </c>
      <c r="BF11" s="304">
        <f>SUMIFS('PCO Log'!$E21:$SJ21,'PCO Log'!$E$9:$SJ$9,'Graph Data'!BF$1,'PCO Log'!$E$7:$SJ$7,"Approved")</f>
        <v>0</v>
      </c>
      <c r="BG11" s="304">
        <f>SUMIFS('PCO Log'!$E21:$SJ21,'PCO Log'!$E$9:$SJ$9,'Graph Data'!BG$1,'PCO Log'!$E$7:$SJ$7,"Approved")</f>
        <v>0</v>
      </c>
      <c r="BH11" s="304">
        <f>SUMIFS('PCO Log'!$E21:$SJ21,'PCO Log'!$E$9:$SJ$9,'Graph Data'!BH$1,'PCO Log'!$E$7:$SJ$7,"Approved")</f>
        <v>0</v>
      </c>
      <c r="BI11" s="304">
        <f>SUMIFS('PCO Log'!$E21:$SJ21,'PCO Log'!$E$9:$SJ$9,'Graph Data'!BI$1,'PCO Log'!$E$7:$SJ$7,"Approved")</f>
        <v>0</v>
      </c>
      <c r="BJ11" s="304">
        <f>SUMIFS('PCO Log'!$E21:$SJ21,'PCO Log'!$E$9:$SJ$9,'Graph Data'!BJ$1,'PCO Log'!$E$7:$SJ$7,"Approved")</f>
        <v>0</v>
      </c>
      <c r="BK11" s="304">
        <f>SUMIFS('PCO Log'!$E21:$SJ21,'PCO Log'!$E$9:$SJ$9,'Graph Data'!BK$1,'PCO Log'!$E$7:$SJ$7,"Approved")</f>
        <v>0</v>
      </c>
      <c r="BL11" s="304">
        <f>SUMIFS('PCO Log'!$E21:$SJ21,'PCO Log'!$E$9:$SJ$9,'Graph Data'!BL$1,'PCO Log'!$E$7:$SJ$7,"Approved")</f>
        <v>0</v>
      </c>
      <c r="BM11" s="304">
        <f>SUMIFS('PCO Log'!$E21:$SJ21,'PCO Log'!$E$9:$SJ$9,'Graph Data'!BM$1,'PCO Log'!$E$7:$SJ$7,"Approved")</f>
        <v>0</v>
      </c>
      <c r="BN11" s="304">
        <f>SUMIFS('PCO Log'!$E21:$SJ21,'PCO Log'!$E$9:$SJ$9,'Graph Data'!BN$1,'PCO Log'!$E$7:$SJ$7,"Approved")</f>
        <v>0</v>
      </c>
      <c r="BO11" s="304">
        <f>SUMIFS('PCO Log'!$E21:$SJ21,'PCO Log'!$E$9:$SJ$9,'Graph Data'!BO$1,'PCO Log'!$E$7:$SJ$7,"Approved")</f>
        <v>0</v>
      </c>
      <c r="BP11" s="304">
        <f>SUMIFS('PCO Log'!$E21:$SJ21,'PCO Log'!$E$9:$SJ$9,'Graph Data'!BP$1,'PCO Log'!$E$7:$SJ$7,"Approved")</f>
        <v>0</v>
      </c>
      <c r="BQ11" s="304">
        <f>SUMIFS('PCO Log'!$E21:$SJ21,'PCO Log'!$E$9:$SJ$9,'Graph Data'!BQ$1,'PCO Log'!$E$7:$SJ$7,"Approved")</f>
        <v>0</v>
      </c>
      <c r="BR11" s="304">
        <f>SUMIFS('PCO Log'!$E21:$SJ21,'PCO Log'!$E$9:$SJ$9,'Graph Data'!BR$1,'PCO Log'!$E$7:$SJ$7,"Approved")</f>
        <v>0</v>
      </c>
      <c r="BS11" s="304">
        <f>SUMIFS('PCO Log'!$E21:$SJ21,'PCO Log'!$E$9:$SJ$9,'Graph Data'!BS$1,'PCO Log'!$E$7:$SJ$7,"Approved")</f>
        <v>0</v>
      </c>
      <c r="BT11" s="304">
        <f>SUMIFS('PCO Log'!$E21:$SJ21,'PCO Log'!$E$9:$SJ$9,'Graph Data'!BT$1,'PCO Log'!$E$7:$SJ$7,"Approved")</f>
        <v>0</v>
      </c>
      <c r="BU11" s="304">
        <f>SUMIFS('PCO Log'!$E21:$SJ21,'PCO Log'!$E$9:$SJ$9,'Graph Data'!BU$1,'PCO Log'!$E$7:$SJ$7,"Approved")</f>
        <v>0</v>
      </c>
      <c r="BV11" s="304">
        <f>SUMIFS('PCO Log'!$E21:$SJ21,'PCO Log'!$E$9:$SJ$9,'Graph Data'!BV$1,'PCO Log'!$E$7:$SJ$7,"Approved")</f>
        <v>0</v>
      </c>
      <c r="BW11" s="304">
        <f>SUMIFS('PCO Log'!$E21:$SJ21,'PCO Log'!$E$9:$SJ$9,'Graph Data'!BW$1,'PCO Log'!$E$7:$SJ$7,"Approved")</f>
        <v>0</v>
      </c>
      <c r="BX11" s="304">
        <f>SUMIFS('PCO Log'!$E21:$SJ21,'PCO Log'!$E$9:$SJ$9,'Graph Data'!BX$1,'PCO Log'!$E$7:$SJ$7,"Approved")</f>
        <v>0</v>
      </c>
    </row>
    <row r="12" spans="1:76" x14ac:dyDescent="0.25">
      <c r="A12" s="303" t="s">
        <v>352</v>
      </c>
      <c r="B12" s="303">
        <f>'PCO Log'!O7</f>
        <v>0</v>
      </c>
      <c r="C12" s="303">
        <f>'PCO Log'!O4</f>
        <v>0</v>
      </c>
      <c r="D12" s="303" cm="1">
        <f t="array" ref="D12">INDEX('PCO Log'!$E$5:$SJ$5, 1, ROWS('Graph Data'!$D$2:D12))</f>
        <v>0</v>
      </c>
      <c r="E12" s="303">
        <f>'PCO Log'!O8</f>
        <v>0</v>
      </c>
      <c r="F12" s="303">
        <f>'PCO Log'!O3</f>
        <v>0</v>
      </c>
      <c r="G12" s="304">
        <f>'PCO Log'!O10</f>
        <v>0</v>
      </c>
      <c r="H12" s="305">
        <f>'PCO Log'!O6</f>
        <v>0</v>
      </c>
      <c r="J12" s="303" t="s">
        <v>279</v>
      </c>
      <c r="K12" s="303">
        <f>'Pay App 11'!H33</f>
        <v>0</v>
      </c>
      <c r="L12" s="303">
        <f>IF(M12&gt;0,'Pay App 11'!$G$149,0)</f>
        <v>0</v>
      </c>
      <c r="M12" s="303">
        <f>'Pay App 11'!H149</f>
        <v>0</v>
      </c>
      <c r="O12" s="303" t="str">
        <f>'Pay App 1'!B67</f>
        <v>01 35 00</v>
      </c>
      <c r="P12" s="303" t="str">
        <f>'Pay App 1'!C67</f>
        <v>Construction Management Fee</v>
      </c>
      <c r="Q12" s="304">
        <f>SUMIFS('PCO Log'!$E22:$SJ22,'PCO Log'!$E$9:$SJ$9,'Graph Data'!Q$1,'PCO Log'!$E$7:$SJ$7,"Approved")</f>
        <v>0</v>
      </c>
      <c r="R12" s="304">
        <f>SUMIFS('PCO Log'!$E22:$SJ22,'PCO Log'!$E$9:$SJ$9,'Graph Data'!R$1,'PCO Log'!$E$7:$SJ$7,"Approved")</f>
        <v>0</v>
      </c>
      <c r="S12" s="304">
        <f>SUMIFS('PCO Log'!$E22:$SJ22,'PCO Log'!$E$9:$SJ$9,'Graph Data'!S$1,'PCO Log'!$E$7:$SJ$7,"Approved")</f>
        <v>0</v>
      </c>
      <c r="T12" s="304">
        <f>SUMIFS('PCO Log'!$E22:$SJ22,'PCO Log'!$E$9:$SJ$9,'Graph Data'!T$1,'PCO Log'!$E$7:$SJ$7,"Approved")</f>
        <v>0</v>
      </c>
      <c r="U12" s="304">
        <f>SUMIFS('PCO Log'!$E22:$SJ22,'PCO Log'!$E$9:$SJ$9,'Graph Data'!U$1,'PCO Log'!$E$7:$SJ$7,"Approved")</f>
        <v>0</v>
      </c>
      <c r="V12" s="304">
        <f>SUMIFS('PCO Log'!$E22:$SJ22,'PCO Log'!$E$9:$SJ$9,'Graph Data'!V$1,'PCO Log'!$E$7:$SJ$7,"Approved")</f>
        <v>0</v>
      </c>
      <c r="W12" s="304">
        <f>SUMIFS('PCO Log'!$E22:$SJ22,'PCO Log'!$E$9:$SJ$9,'Graph Data'!W$1,'PCO Log'!$E$7:$SJ$7,"Approved")</f>
        <v>0</v>
      </c>
      <c r="X12" s="304">
        <f>SUMIFS('PCO Log'!$E22:$SJ22,'PCO Log'!$E$9:$SJ$9,'Graph Data'!X$1,'PCO Log'!$E$7:$SJ$7,"Approved")</f>
        <v>0</v>
      </c>
      <c r="Y12" s="304">
        <f>SUMIFS('PCO Log'!$E22:$SJ22,'PCO Log'!$E$9:$SJ$9,'Graph Data'!Y$1,'PCO Log'!$E$7:$SJ$7,"Approved")</f>
        <v>0</v>
      </c>
      <c r="Z12" s="304">
        <f>SUMIFS('PCO Log'!$E22:$SJ22,'PCO Log'!$E$9:$SJ$9,'Graph Data'!Z$1,'PCO Log'!$E$7:$SJ$7,"Approved")</f>
        <v>0</v>
      </c>
      <c r="AA12" s="304">
        <f>SUMIFS('PCO Log'!$E22:$SJ22,'PCO Log'!$E$9:$SJ$9,'Graph Data'!AA$1,'PCO Log'!$E$7:$SJ$7,"Approved")</f>
        <v>0</v>
      </c>
      <c r="AB12" s="304">
        <f>SUMIFS('PCO Log'!$E22:$SJ22,'PCO Log'!$E$9:$SJ$9,'Graph Data'!AB$1,'PCO Log'!$E$7:$SJ$7,"Approved")</f>
        <v>0</v>
      </c>
      <c r="AC12" s="304">
        <f>SUMIFS('PCO Log'!$E22:$SJ22,'PCO Log'!$E$9:$SJ$9,'Graph Data'!AC$1,'PCO Log'!$E$7:$SJ$7,"Approved")</f>
        <v>0</v>
      </c>
      <c r="AD12" s="304">
        <f>SUMIFS('PCO Log'!$E22:$SJ22,'PCO Log'!$E$9:$SJ$9,'Graph Data'!AD$1,'PCO Log'!$E$7:$SJ$7,"Approved")</f>
        <v>0</v>
      </c>
      <c r="AE12" s="304">
        <f>SUMIFS('PCO Log'!$E22:$SJ22,'PCO Log'!$E$9:$SJ$9,'Graph Data'!AE$1,'PCO Log'!$E$7:$SJ$7,"Approved")</f>
        <v>0</v>
      </c>
      <c r="AF12" s="304">
        <f>SUMIFS('PCO Log'!$E22:$SJ22,'PCO Log'!$E$9:$SJ$9,'Graph Data'!AF$1,'PCO Log'!$E$7:$SJ$7,"Approved")</f>
        <v>0</v>
      </c>
      <c r="AG12" s="304">
        <f>SUMIFS('PCO Log'!$E22:$SJ22,'PCO Log'!$E$9:$SJ$9,'Graph Data'!AG$1,'PCO Log'!$E$7:$SJ$7,"Approved")</f>
        <v>0</v>
      </c>
      <c r="AH12" s="304">
        <f>SUMIFS('PCO Log'!$E22:$SJ22,'PCO Log'!$E$9:$SJ$9,'Graph Data'!AH$1,'PCO Log'!$E$7:$SJ$7,"Approved")</f>
        <v>0</v>
      </c>
      <c r="AI12" s="304">
        <f>SUMIFS('PCO Log'!$E22:$SJ22,'PCO Log'!$E$9:$SJ$9,'Graph Data'!AI$1,'PCO Log'!$E$7:$SJ$7,"Approved")</f>
        <v>0</v>
      </c>
      <c r="AJ12" s="304">
        <f>SUMIFS('PCO Log'!$E22:$SJ22,'PCO Log'!$E$9:$SJ$9,'Graph Data'!AJ$1,'PCO Log'!$E$7:$SJ$7,"Approved")</f>
        <v>0</v>
      </c>
      <c r="AK12" s="304">
        <f>SUMIFS('PCO Log'!$E22:$SJ22,'PCO Log'!$E$9:$SJ$9,'Graph Data'!AK$1,'PCO Log'!$E$7:$SJ$7,"Approved")</f>
        <v>0</v>
      </c>
      <c r="AL12" s="304">
        <f>SUMIFS('PCO Log'!$E22:$SJ22,'PCO Log'!$E$9:$SJ$9,'Graph Data'!AL$1,'PCO Log'!$E$7:$SJ$7,"Approved")</f>
        <v>0</v>
      </c>
      <c r="AM12" s="304">
        <f>SUMIFS('PCO Log'!$E22:$SJ22,'PCO Log'!$E$9:$SJ$9,'Graph Data'!AM$1,'PCO Log'!$E$7:$SJ$7,"Approved")</f>
        <v>0</v>
      </c>
      <c r="AN12" s="304">
        <f>SUMIFS('PCO Log'!$E22:$SJ22,'PCO Log'!$E$9:$SJ$9,'Graph Data'!AN$1,'PCO Log'!$E$7:$SJ$7,"Approved")</f>
        <v>0</v>
      </c>
      <c r="AO12" s="304">
        <f>SUMIFS('PCO Log'!$E22:$SJ22,'PCO Log'!$E$9:$SJ$9,'Graph Data'!AO$1,'PCO Log'!$E$7:$SJ$7,"Approved")</f>
        <v>0</v>
      </c>
      <c r="AP12" s="304">
        <f>SUMIFS('PCO Log'!$E22:$SJ22,'PCO Log'!$E$9:$SJ$9,'Graph Data'!AP$1,'PCO Log'!$E$7:$SJ$7,"Approved")</f>
        <v>0</v>
      </c>
      <c r="AQ12" s="304">
        <f>SUMIFS('PCO Log'!$E22:$SJ22,'PCO Log'!$E$9:$SJ$9,'Graph Data'!AQ$1,'PCO Log'!$E$7:$SJ$7,"Approved")</f>
        <v>0</v>
      </c>
      <c r="AR12" s="304">
        <f>SUMIFS('PCO Log'!$E22:$SJ22,'PCO Log'!$E$9:$SJ$9,'Graph Data'!AR$1,'PCO Log'!$E$7:$SJ$7,"Approved")</f>
        <v>0</v>
      </c>
      <c r="AS12" s="304">
        <f>SUMIFS('PCO Log'!$E22:$SJ22,'PCO Log'!$E$9:$SJ$9,'Graph Data'!AS$1,'PCO Log'!$E$7:$SJ$7,"Approved")</f>
        <v>0</v>
      </c>
      <c r="AT12" s="304">
        <f>SUMIFS('PCO Log'!$E22:$SJ22,'PCO Log'!$E$9:$SJ$9,'Graph Data'!AT$1,'PCO Log'!$E$7:$SJ$7,"Approved")</f>
        <v>0</v>
      </c>
      <c r="AU12" s="304">
        <f>SUMIFS('PCO Log'!$E22:$SJ22,'PCO Log'!$E$9:$SJ$9,'Graph Data'!AU$1,'PCO Log'!$E$7:$SJ$7,"Approved")</f>
        <v>0</v>
      </c>
      <c r="AV12" s="304">
        <f>SUMIFS('PCO Log'!$E22:$SJ22,'PCO Log'!$E$9:$SJ$9,'Graph Data'!AV$1,'PCO Log'!$E$7:$SJ$7,"Approved")</f>
        <v>0</v>
      </c>
      <c r="AW12" s="304">
        <f>SUMIFS('PCO Log'!$E22:$SJ22,'PCO Log'!$E$9:$SJ$9,'Graph Data'!AW$1,'PCO Log'!$E$7:$SJ$7,"Approved")</f>
        <v>0</v>
      </c>
      <c r="AX12" s="304">
        <f>SUMIFS('PCO Log'!$E22:$SJ22,'PCO Log'!$E$9:$SJ$9,'Graph Data'!AX$1,'PCO Log'!$E$7:$SJ$7,"Approved")</f>
        <v>0</v>
      </c>
      <c r="AY12" s="304">
        <f>SUMIFS('PCO Log'!$E22:$SJ22,'PCO Log'!$E$9:$SJ$9,'Graph Data'!AY$1,'PCO Log'!$E$7:$SJ$7,"Approved")</f>
        <v>0</v>
      </c>
      <c r="AZ12" s="304">
        <f>SUMIFS('PCO Log'!$E22:$SJ22,'PCO Log'!$E$9:$SJ$9,'Graph Data'!AZ$1,'PCO Log'!$E$7:$SJ$7,"Approved")</f>
        <v>0</v>
      </c>
      <c r="BA12" s="304">
        <f>SUMIFS('PCO Log'!$E22:$SJ22,'PCO Log'!$E$9:$SJ$9,'Graph Data'!BA$1,'PCO Log'!$E$7:$SJ$7,"Approved")</f>
        <v>0</v>
      </c>
      <c r="BB12" s="304">
        <f>SUMIFS('PCO Log'!$E22:$SJ22,'PCO Log'!$E$9:$SJ$9,'Graph Data'!BB$1,'PCO Log'!$E$7:$SJ$7,"Approved")</f>
        <v>0</v>
      </c>
      <c r="BC12" s="304">
        <f>SUMIFS('PCO Log'!$E22:$SJ22,'PCO Log'!$E$9:$SJ$9,'Graph Data'!BC$1,'PCO Log'!$E$7:$SJ$7,"Approved")</f>
        <v>0</v>
      </c>
      <c r="BD12" s="304">
        <f>SUMIFS('PCO Log'!$E22:$SJ22,'PCO Log'!$E$9:$SJ$9,'Graph Data'!BD$1,'PCO Log'!$E$7:$SJ$7,"Approved")</f>
        <v>0</v>
      </c>
      <c r="BE12" s="304">
        <f>SUMIFS('PCO Log'!$E22:$SJ22,'PCO Log'!$E$9:$SJ$9,'Graph Data'!BE$1,'PCO Log'!$E$7:$SJ$7,"Approved")</f>
        <v>0</v>
      </c>
      <c r="BF12" s="304">
        <f>SUMIFS('PCO Log'!$E22:$SJ22,'PCO Log'!$E$9:$SJ$9,'Graph Data'!BF$1,'PCO Log'!$E$7:$SJ$7,"Approved")</f>
        <v>0</v>
      </c>
      <c r="BG12" s="304">
        <f>SUMIFS('PCO Log'!$E22:$SJ22,'PCO Log'!$E$9:$SJ$9,'Graph Data'!BG$1,'PCO Log'!$E$7:$SJ$7,"Approved")</f>
        <v>0</v>
      </c>
      <c r="BH12" s="304">
        <f>SUMIFS('PCO Log'!$E22:$SJ22,'PCO Log'!$E$9:$SJ$9,'Graph Data'!BH$1,'PCO Log'!$E$7:$SJ$7,"Approved")</f>
        <v>0</v>
      </c>
      <c r="BI12" s="304">
        <f>SUMIFS('PCO Log'!$E22:$SJ22,'PCO Log'!$E$9:$SJ$9,'Graph Data'!BI$1,'PCO Log'!$E$7:$SJ$7,"Approved")</f>
        <v>0</v>
      </c>
      <c r="BJ12" s="304">
        <f>SUMIFS('PCO Log'!$E22:$SJ22,'PCO Log'!$E$9:$SJ$9,'Graph Data'!BJ$1,'PCO Log'!$E$7:$SJ$7,"Approved")</f>
        <v>0</v>
      </c>
      <c r="BK12" s="304">
        <f>SUMIFS('PCO Log'!$E22:$SJ22,'PCO Log'!$E$9:$SJ$9,'Graph Data'!BK$1,'PCO Log'!$E$7:$SJ$7,"Approved")</f>
        <v>0</v>
      </c>
      <c r="BL12" s="304">
        <f>SUMIFS('PCO Log'!$E22:$SJ22,'PCO Log'!$E$9:$SJ$9,'Graph Data'!BL$1,'PCO Log'!$E$7:$SJ$7,"Approved")</f>
        <v>0</v>
      </c>
      <c r="BM12" s="304">
        <f>SUMIFS('PCO Log'!$E22:$SJ22,'PCO Log'!$E$9:$SJ$9,'Graph Data'!BM$1,'PCO Log'!$E$7:$SJ$7,"Approved")</f>
        <v>0</v>
      </c>
      <c r="BN12" s="304">
        <f>SUMIFS('PCO Log'!$E22:$SJ22,'PCO Log'!$E$9:$SJ$9,'Graph Data'!BN$1,'PCO Log'!$E$7:$SJ$7,"Approved")</f>
        <v>0</v>
      </c>
      <c r="BO12" s="304">
        <f>SUMIFS('PCO Log'!$E22:$SJ22,'PCO Log'!$E$9:$SJ$9,'Graph Data'!BO$1,'PCO Log'!$E$7:$SJ$7,"Approved")</f>
        <v>0</v>
      </c>
      <c r="BP12" s="304">
        <f>SUMIFS('PCO Log'!$E22:$SJ22,'PCO Log'!$E$9:$SJ$9,'Graph Data'!BP$1,'PCO Log'!$E$7:$SJ$7,"Approved")</f>
        <v>0</v>
      </c>
      <c r="BQ12" s="304">
        <f>SUMIFS('PCO Log'!$E22:$SJ22,'PCO Log'!$E$9:$SJ$9,'Graph Data'!BQ$1,'PCO Log'!$E$7:$SJ$7,"Approved")</f>
        <v>0</v>
      </c>
      <c r="BR12" s="304">
        <f>SUMIFS('PCO Log'!$E22:$SJ22,'PCO Log'!$E$9:$SJ$9,'Graph Data'!BR$1,'PCO Log'!$E$7:$SJ$7,"Approved")</f>
        <v>0</v>
      </c>
      <c r="BS12" s="304">
        <f>SUMIFS('PCO Log'!$E22:$SJ22,'PCO Log'!$E$9:$SJ$9,'Graph Data'!BS$1,'PCO Log'!$E$7:$SJ$7,"Approved")</f>
        <v>0</v>
      </c>
      <c r="BT12" s="304">
        <f>SUMIFS('PCO Log'!$E22:$SJ22,'PCO Log'!$E$9:$SJ$9,'Graph Data'!BT$1,'PCO Log'!$E$7:$SJ$7,"Approved")</f>
        <v>0</v>
      </c>
      <c r="BU12" s="304">
        <f>SUMIFS('PCO Log'!$E22:$SJ22,'PCO Log'!$E$9:$SJ$9,'Graph Data'!BU$1,'PCO Log'!$E$7:$SJ$7,"Approved")</f>
        <v>0</v>
      </c>
      <c r="BV12" s="304">
        <f>SUMIFS('PCO Log'!$E22:$SJ22,'PCO Log'!$E$9:$SJ$9,'Graph Data'!BV$1,'PCO Log'!$E$7:$SJ$7,"Approved")</f>
        <v>0</v>
      </c>
      <c r="BW12" s="304">
        <f>SUMIFS('PCO Log'!$E22:$SJ22,'PCO Log'!$E$9:$SJ$9,'Graph Data'!BW$1,'PCO Log'!$E$7:$SJ$7,"Approved")</f>
        <v>0</v>
      </c>
      <c r="BX12" s="304">
        <f>SUMIFS('PCO Log'!$E22:$SJ22,'PCO Log'!$E$9:$SJ$9,'Graph Data'!BX$1,'PCO Log'!$E$7:$SJ$7,"Approved")</f>
        <v>0</v>
      </c>
    </row>
    <row r="13" spans="1:76" x14ac:dyDescent="0.25">
      <c r="A13" s="303" t="s">
        <v>353</v>
      </c>
      <c r="B13" s="303">
        <f>'PCO Log'!P7</f>
        <v>0</v>
      </c>
      <c r="C13" s="303">
        <f>'PCO Log'!P4</f>
        <v>0</v>
      </c>
      <c r="D13" s="303" cm="1">
        <f t="array" ref="D13">INDEX('PCO Log'!$E$5:$SJ$5, 1, ROWS('Graph Data'!$D$2:D13))</f>
        <v>0</v>
      </c>
      <c r="E13" s="303">
        <f>'PCO Log'!P8</f>
        <v>0</v>
      </c>
      <c r="F13" s="303">
        <f>'PCO Log'!P3</f>
        <v>0</v>
      </c>
      <c r="G13" s="304">
        <f>'PCO Log'!P10</f>
        <v>0</v>
      </c>
      <c r="H13" s="305">
        <f>'PCO Log'!P6</f>
        <v>0</v>
      </c>
      <c r="J13" s="303" t="s">
        <v>280</v>
      </c>
      <c r="K13" s="303">
        <f>'Pay App 12'!H33</f>
        <v>0</v>
      </c>
      <c r="L13" s="303">
        <f>IF(M13&gt;0,'Pay App 12'!$G$149,0)</f>
        <v>0</v>
      </c>
      <c r="M13" s="303">
        <f>'Pay App 12'!H149</f>
        <v>0</v>
      </c>
      <c r="O13" s="303" t="str">
        <f>'Pay App 1'!B68</f>
        <v>01 36 00</v>
      </c>
      <c r="P13" s="303" t="str">
        <f>'Pay App 1'!C68</f>
        <v>Contingency</v>
      </c>
      <c r="Q13" s="304">
        <f>SUMIFS('PCO Log'!$E23:$SJ23,'PCO Log'!$E$9:$SJ$9,'Graph Data'!Q$1,'PCO Log'!$E$7:$SJ$7,"Approved")</f>
        <v>0</v>
      </c>
      <c r="R13" s="304">
        <f>SUMIFS('PCO Log'!$E23:$SJ23,'PCO Log'!$E$9:$SJ$9,'Graph Data'!R$1,'PCO Log'!$E$7:$SJ$7,"Approved")</f>
        <v>0</v>
      </c>
      <c r="S13" s="304">
        <f>SUMIFS('PCO Log'!$E23:$SJ23,'PCO Log'!$E$9:$SJ$9,'Graph Data'!S$1,'PCO Log'!$E$7:$SJ$7,"Approved")</f>
        <v>0</v>
      </c>
      <c r="T13" s="304">
        <f>SUMIFS('PCO Log'!$E23:$SJ23,'PCO Log'!$E$9:$SJ$9,'Graph Data'!T$1,'PCO Log'!$E$7:$SJ$7,"Approved")</f>
        <v>0</v>
      </c>
      <c r="U13" s="304">
        <f>SUMIFS('PCO Log'!$E23:$SJ23,'PCO Log'!$E$9:$SJ$9,'Graph Data'!U$1,'PCO Log'!$E$7:$SJ$7,"Approved")</f>
        <v>0</v>
      </c>
      <c r="V13" s="304">
        <f>SUMIFS('PCO Log'!$E23:$SJ23,'PCO Log'!$E$9:$SJ$9,'Graph Data'!V$1,'PCO Log'!$E$7:$SJ$7,"Approved")</f>
        <v>0</v>
      </c>
      <c r="W13" s="304">
        <f>SUMIFS('PCO Log'!$E23:$SJ23,'PCO Log'!$E$9:$SJ$9,'Graph Data'!W$1,'PCO Log'!$E$7:$SJ$7,"Approved")</f>
        <v>0</v>
      </c>
      <c r="X13" s="304">
        <f>SUMIFS('PCO Log'!$E23:$SJ23,'PCO Log'!$E$9:$SJ$9,'Graph Data'!X$1,'PCO Log'!$E$7:$SJ$7,"Approved")</f>
        <v>0</v>
      </c>
      <c r="Y13" s="304">
        <f>SUMIFS('PCO Log'!$E23:$SJ23,'PCO Log'!$E$9:$SJ$9,'Graph Data'!Y$1,'PCO Log'!$E$7:$SJ$7,"Approved")</f>
        <v>0</v>
      </c>
      <c r="Z13" s="304">
        <f>SUMIFS('PCO Log'!$E23:$SJ23,'PCO Log'!$E$9:$SJ$9,'Graph Data'!Z$1,'PCO Log'!$E$7:$SJ$7,"Approved")</f>
        <v>0</v>
      </c>
      <c r="AA13" s="304">
        <f>SUMIFS('PCO Log'!$E23:$SJ23,'PCO Log'!$E$9:$SJ$9,'Graph Data'!AA$1,'PCO Log'!$E$7:$SJ$7,"Approved")</f>
        <v>0</v>
      </c>
      <c r="AB13" s="304">
        <f>SUMIFS('PCO Log'!$E23:$SJ23,'PCO Log'!$E$9:$SJ$9,'Graph Data'!AB$1,'PCO Log'!$E$7:$SJ$7,"Approved")</f>
        <v>0</v>
      </c>
      <c r="AC13" s="304">
        <f>SUMIFS('PCO Log'!$E23:$SJ23,'PCO Log'!$E$9:$SJ$9,'Graph Data'!AC$1,'PCO Log'!$E$7:$SJ$7,"Approved")</f>
        <v>0</v>
      </c>
      <c r="AD13" s="304">
        <f>SUMIFS('PCO Log'!$E23:$SJ23,'PCO Log'!$E$9:$SJ$9,'Graph Data'!AD$1,'PCO Log'!$E$7:$SJ$7,"Approved")</f>
        <v>0</v>
      </c>
      <c r="AE13" s="304">
        <f>SUMIFS('PCO Log'!$E23:$SJ23,'PCO Log'!$E$9:$SJ$9,'Graph Data'!AE$1,'PCO Log'!$E$7:$SJ$7,"Approved")</f>
        <v>0</v>
      </c>
      <c r="AF13" s="304">
        <f>SUMIFS('PCO Log'!$E23:$SJ23,'PCO Log'!$E$9:$SJ$9,'Graph Data'!AF$1,'PCO Log'!$E$7:$SJ$7,"Approved")</f>
        <v>0</v>
      </c>
      <c r="AG13" s="304">
        <f>SUMIFS('PCO Log'!$E23:$SJ23,'PCO Log'!$E$9:$SJ$9,'Graph Data'!AG$1,'PCO Log'!$E$7:$SJ$7,"Approved")</f>
        <v>0</v>
      </c>
      <c r="AH13" s="304">
        <f>SUMIFS('PCO Log'!$E23:$SJ23,'PCO Log'!$E$9:$SJ$9,'Graph Data'!AH$1,'PCO Log'!$E$7:$SJ$7,"Approved")</f>
        <v>0</v>
      </c>
      <c r="AI13" s="304">
        <f>SUMIFS('PCO Log'!$E23:$SJ23,'PCO Log'!$E$9:$SJ$9,'Graph Data'!AI$1,'PCO Log'!$E$7:$SJ$7,"Approved")</f>
        <v>0</v>
      </c>
      <c r="AJ13" s="304">
        <f>SUMIFS('PCO Log'!$E23:$SJ23,'PCO Log'!$E$9:$SJ$9,'Graph Data'!AJ$1,'PCO Log'!$E$7:$SJ$7,"Approved")</f>
        <v>0</v>
      </c>
      <c r="AK13" s="304">
        <f>SUMIFS('PCO Log'!$E23:$SJ23,'PCO Log'!$E$9:$SJ$9,'Graph Data'!AK$1,'PCO Log'!$E$7:$SJ$7,"Approved")</f>
        <v>0</v>
      </c>
      <c r="AL13" s="304">
        <f>SUMIFS('PCO Log'!$E23:$SJ23,'PCO Log'!$E$9:$SJ$9,'Graph Data'!AL$1,'PCO Log'!$E$7:$SJ$7,"Approved")</f>
        <v>0</v>
      </c>
      <c r="AM13" s="304">
        <f>SUMIFS('PCO Log'!$E23:$SJ23,'PCO Log'!$E$9:$SJ$9,'Graph Data'!AM$1,'PCO Log'!$E$7:$SJ$7,"Approved")</f>
        <v>0</v>
      </c>
      <c r="AN13" s="304">
        <f>SUMIFS('PCO Log'!$E23:$SJ23,'PCO Log'!$E$9:$SJ$9,'Graph Data'!AN$1,'PCO Log'!$E$7:$SJ$7,"Approved")</f>
        <v>0</v>
      </c>
      <c r="AO13" s="304">
        <f>SUMIFS('PCO Log'!$E23:$SJ23,'PCO Log'!$E$9:$SJ$9,'Graph Data'!AO$1,'PCO Log'!$E$7:$SJ$7,"Approved")</f>
        <v>0</v>
      </c>
      <c r="AP13" s="304">
        <f>SUMIFS('PCO Log'!$E23:$SJ23,'PCO Log'!$E$9:$SJ$9,'Graph Data'!AP$1,'PCO Log'!$E$7:$SJ$7,"Approved")</f>
        <v>0</v>
      </c>
      <c r="AQ13" s="304">
        <f>SUMIFS('PCO Log'!$E23:$SJ23,'PCO Log'!$E$9:$SJ$9,'Graph Data'!AQ$1,'PCO Log'!$E$7:$SJ$7,"Approved")</f>
        <v>0</v>
      </c>
      <c r="AR13" s="304">
        <f>SUMIFS('PCO Log'!$E23:$SJ23,'PCO Log'!$E$9:$SJ$9,'Graph Data'!AR$1,'PCO Log'!$E$7:$SJ$7,"Approved")</f>
        <v>0</v>
      </c>
      <c r="AS13" s="304">
        <f>SUMIFS('PCO Log'!$E23:$SJ23,'PCO Log'!$E$9:$SJ$9,'Graph Data'!AS$1,'PCO Log'!$E$7:$SJ$7,"Approved")</f>
        <v>0</v>
      </c>
      <c r="AT13" s="304">
        <f>SUMIFS('PCO Log'!$E23:$SJ23,'PCO Log'!$E$9:$SJ$9,'Graph Data'!AT$1,'PCO Log'!$E$7:$SJ$7,"Approved")</f>
        <v>0</v>
      </c>
      <c r="AU13" s="304">
        <f>SUMIFS('PCO Log'!$E23:$SJ23,'PCO Log'!$E$9:$SJ$9,'Graph Data'!AU$1,'PCO Log'!$E$7:$SJ$7,"Approved")</f>
        <v>0</v>
      </c>
      <c r="AV13" s="304">
        <f>SUMIFS('PCO Log'!$E23:$SJ23,'PCO Log'!$E$9:$SJ$9,'Graph Data'!AV$1,'PCO Log'!$E$7:$SJ$7,"Approved")</f>
        <v>0</v>
      </c>
      <c r="AW13" s="304">
        <f>SUMIFS('PCO Log'!$E23:$SJ23,'PCO Log'!$E$9:$SJ$9,'Graph Data'!AW$1,'PCO Log'!$E$7:$SJ$7,"Approved")</f>
        <v>0</v>
      </c>
      <c r="AX13" s="304">
        <f>SUMIFS('PCO Log'!$E23:$SJ23,'PCO Log'!$E$9:$SJ$9,'Graph Data'!AX$1,'PCO Log'!$E$7:$SJ$7,"Approved")</f>
        <v>0</v>
      </c>
      <c r="AY13" s="304">
        <f>SUMIFS('PCO Log'!$E23:$SJ23,'PCO Log'!$E$9:$SJ$9,'Graph Data'!AY$1,'PCO Log'!$E$7:$SJ$7,"Approved")</f>
        <v>0</v>
      </c>
      <c r="AZ13" s="304">
        <f>SUMIFS('PCO Log'!$E23:$SJ23,'PCO Log'!$E$9:$SJ$9,'Graph Data'!AZ$1,'PCO Log'!$E$7:$SJ$7,"Approved")</f>
        <v>0</v>
      </c>
      <c r="BA13" s="304">
        <f>SUMIFS('PCO Log'!$E23:$SJ23,'PCO Log'!$E$9:$SJ$9,'Graph Data'!BA$1,'PCO Log'!$E$7:$SJ$7,"Approved")</f>
        <v>0</v>
      </c>
      <c r="BB13" s="304">
        <f>SUMIFS('PCO Log'!$E23:$SJ23,'PCO Log'!$E$9:$SJ$9,'Graph Data'!BB$1,'PCO Log'!$E$7:$SJ$7,"Approved")</f>
        <v>0</v>
      </c>
      <c r="BC13" s="304">
        <f>SUMIFS('PCO Log'!$E23:$SJ23,'PCO Log'!$E$9:$SJ$9,'Graph Data'!BC$1,'PCO Log'!$E$7:$SJ$7,"Approved")</f>
        <v>0</v>
      </c>
      <c r="BD13" s="304">
        <f>SUMIFS('PCO Log'!$E23:$SJ23,'PCO Log'!$E$9:$SJ$9,'Graph Data'!BD$1,'PCO Log'!$E$7:$SJ$7,"Approved")</f>
        <v>0</v>
      </c>
      <c r="BE13" s="304">
        <f>SUMIFS('PCO Log'!$E23:$SJ23,'PCO Log'!$E$9:$SJ$9,'Graph Data'!BE$1,'PCO Log'!$E$7:$SJ$7,"Approved")</f>
        <v>0</v>
      </c>
      <c r="BF13" s="304">
        <f>SUMIFS('PCO Log'!$E23:$SJ23,'PCO Log'!$E$9:$SJ$9,'Graph Data'!BF$1,'PCO Log'!$E$7:$SJ$7,"Approved")</f>
        <v>0</v>
      </c>
      <c r="BG13" s="304">
        <f>SUMIFS('PCO Log'!$E23:$SJ23,'PCO Log'!$E$9:$SJ$9,'Graph Data'!BG$1,'PCO Log'!$E$7:$SJ$7,"Approved")</f>
        <v>0</v>
      </c>
      <c r="BH13" s="304">
        <f>SUMIFS('PCO Log'!$E23:$SJ23,'PCO Log'!$E$9:$SJ$9,'Graph Data'!BH$1,'PCO Log'!$E$7:$SJ$7,"Approved")</f>
        <v>0</v>
      </c>
      <c r="BI13" s="304">
        <f>SUMIFS('PCO Log'!$E23:$SJ23,'PCO Log'!$E$9:$SJ$9,'Graph Data'!BI$1,'PCO Log'!$E$7:$SJ$7,"Approved")</f>
        <v>0</v>
      </c>
      <c r="BJ13" s="304">
        <f>SUMIFS('PCO Log'!$E23:$SJ23,'PCO Log'!$E$9:$SJ$9,'Graph Data'!BJ$1,'PCO Log'!$E$7:$SJ$7,"Approved")</f>
        <v>0</v>
      </c>
      <c r="BK13" s="304">
        <f>SUMIFS('PCO Log'!$E23:$SJ23,'PCO Log'!$E$9:$SJ$9,'Graph Data'!BK$1,'PCO Log'!$E$7:$SJ$7,"Approved")</f>
        <v>0</v>
      </c>
      <c r="BL13" s="304">
        <f>SUMIFS('PCO Log'!$E23:$SJ23,'PCO Log'!$E$9:$SJ$9,'Graph Data'!BL$1,'PCO Log'!$E$7:$SJ$7,"Approved")</f>
        <v>0</v>
      </c>
      <c r="BM13" s="304">
        <f>SUMIFS('PCO Log'!$E23:$SJ23,'PCO Log'!$E$9:$SJ$9,'Graph Data'!BM$1,'PCO Log'!$E$7:$SJ$7,"Approved")</f>
        <v>0</v>
      </c>
      <c r="BN13" s="304">
        <f>SUMIFS('PCO Log'!$E23:$SJ23,'PCO Log'!$E$9:$SJ$9,'Graph Data'!BN$1,'PCO Log'!$E$7:$SJ$7,"Approved")</f>
        <v>0</v>
      </c>
      <c r="BO13" s="304">
        <f>SUMIFS('PCO Log'!$E23:$SJ23,'PCO Log'!$E$9:$SJ$9,'Graph Data'!BO$1,'PCO Log'!$E$7:$SJ$7,"Approved")</f>
        <v>0</v>
      </c>
      <c r="BP13" s="304">
        <f>SUMIFS('PCO Log'!$E23:$SJ23,'PCO Log'!$E$9:$SJ$9,'Graph Data'!BP$1,'PCO Log'!$E$7:$SJ$7,"Approved")</f>
        <v>0</v>
      </c>
      <c r="BQ13" s="304">
        <f>SUMIFS('PCO Log'!$E23:$SJ23,'PCO Log'!$E$9:$SJ$9,'Graph Data'!BQ$1,'PCO Log'!$E$7:$SJ$7,"Approved")</f>
        <v>0</v>
      </c>
      <c r="BR13" s="304">
        <f>SUMIFS('PCO Log'!$E23:$SJ23,'PCO Log'!$E$9:$SJ$9,'Graph Data'!BR$1,'PCO Log'!$E$7:$SJ$7,"Approved")</f>
        <v>0</v>
      </c>
      <c r="BS13" s="304">
        <f>SUMIFS('PCO Log'!$E23:$SJ23,'PCO Log'!$E$9:$SJ$9,'Graph Data'!BS$1,'PCO Log'!$E$7:$SJ$7,"Approved")</f>
        <v>0</v>
      </c>
      <c r="BT13" s="304">
        <f>SUMIFS('PCO Log'!$E23:$SJ23,'PCO Log'!$E$9:$SJ$9,'Graph Data'!BT$1,'PCO Log'!$E$7:$SJ$7,"Approved")</f>
        <v>0</v>
      </c>
      <c r="BU13" s="304">
        <f>SUMIFS('PCO Log'!$E23:$SJ23,'PCO Log'!$E$9:$SJ$9,'Graph Data'!BU$1,'PCO Log'!$E$7:$SJ$7,"Approved")</f>
        <v>0</v>
      </c>
      <c r="BV13" s="304">
        <f>SUMIFS('PCO Log'!$E23:$SJ23,'PCO Log'!$E$9:$SJ$9,'Graph Data'!BV$1,'PCO Log'!$E$7:$SJ$7,"Approved")</f>
        <v>0</v>
      </c>
      <c r="BW13" s="304">
        <f>SUMIFS('PCO Log'!$E23:$SJ23,'PCO Log'!$E$9:$SJ$9,'Graph Data'!BW$1,'PCO Log'!$E$7:$SJ$7,"Approved")</f>
        <v>0</v>
      </c>
      <c r="BX13" s="304">
        <f>SUMIFS('PCO Log'!$E23:$SJ23,'PCO Log'!$E$9:$SJ$9,'Graph Data'!BX$1,'PCO Log'!$E$7:$SJ$7,"Approved")</f>
        <v>0</v>
      </c>
    </row>
    <row r="14" spans="1:76" x14ac:dyDescent="0.25">
      <c r="A14" s="303" t="s">
        <v>354</v>
      </c>
      <c r="B14" s="303">
        <f>'PCO Log'!Q7</f>
        <v>0</v>
      </c>
      <c r="C14" s="303">
        <f>'PCO Log'!Q4</f>
        <v>0</v>
      </c>
      <c r="D14" s="303" cm="1">
        <f t="array" ref="D14">INDEX('PCO Log'!$E$5:$SJ$5, 1, ROWS('Graph Data'!$D$2:D14))</f>
        <v>0</v>
      </c>
      <c r="E14" s="303">
        <f>'PCO Log'!Q8</f>
        <v>0</v>
      </c>
      <c r="F14" s="303">
        <f>'PCO Log'!Q3</f>
        <v>0</v>
      </c>
      <c r="G14" s="304">
        <f>'PCO Log'!Q10</f>
        <v>0</v>
      </c>
      <c r="H14" s="305">
        <f>'PCO Log'!Q6</f>
        <v>0</v>
      </c>
      <c r="J14" s="303" t="s">
        <v>281</v>
      </c>
      <c r="K14" s="303">
        <f>'Pay App 13'!H33</f>
        <v>0</v>
      </c>
      <c r="L14" s="303">
        <f>IF(M14&gt;0,'Pay App 13'!$G$149,0)</f>
        <v>0</v>
      </c>
      <c r="M14" s="303">
        <f>'Pay App 13'!H149</f>
        <v>0</v>
      </c>
      <c r="O14" s="303" t="str">
        <f>'Pay App 1'!B69</f>
        <v>01 37 00</v>
      </c>
      <c r="P14" s="303" t="str">
        <f>'Pay App 1'!C69</f>
        <v>Weather Allowance (All Trades)</v>
      </c>
      <c r="Q14" s="304">
        <f>SUMIFS('PCO Log'!$E24:$SJ24,'PCO Log'!$E$9:$SJ$9,'Graph Data'!Q$1,'PCO Log'!$E$7:$SJ$7,"Approved")</f>
        <v>0</v>
      </c>
      <c r="R14" s="304">
        <f>SUMIFS('PCO Log'!$E24:$SJ24,'PCO Log'!$E$9:$SJ$9,'Graph Data'!R$1,'PCO Log'!$E$7:$SJ$7,"Approved")</f>
        <v>0</v>
      </c>
      <c r="S14" s="304">
        <f>SUMIFS('PCO Log'!$E24:$SJ24,'PCO Log'!$E$9:$SJ$9,'Graph Data'!S$1,'PCO Log'!$E$7:$SJ$7,"Approved")</f>
        <v>0</v>
      </c>
      <c r="T14" s="304">
        <f>SUMIFS('PCO Log'!$E24:$SJ24,'PCO Log'!$E$9:$SJ$9,'Graph Data'!T$1,'PCO Log'!$E$7:$SJ$7,"Approved")</f>
        <v>0</v>
      </c>
      <c r="U14" s="304">
        <f>SUMIFS('PCO Log'!$E24:$SJ24,'PCO Log'!$E$9:$SJ$9,'Graph Data'!U$1,'PCO Log'!$E$7:$SJ$7,"Approved")</f>
        <v>0</v>
      </c>
      <c r="V14" s="304">
        <f>SUMIFS('PCO Log'!$E24:$SJ24,'PCO Log'!$E$9:$SJ$9,'Graph Data'!V$1,'PCO Log'!$E$7:$SJ$7,"Approved")</f>
        <v>0</v>
      </c>
      <c r="W14" s="304">
        <f>SUMIFS('PCO Log'!$E24:$SJ24,'PCO Log'!$E$9:$SJ$9,'Graph Data'!W$1,'PCO Log'!$E$7:$SJ$7,"Approved")</f>
        <v>0</v>
      </c>
      <c r="X14" s="304">
        <f>SUMIFS('PCO Log'!$E24:$SJ24,'PCO Log'!$E$9:$SJ$9,'Graph Data'!X$1,'PCO Log'!$E$7:$SJ$7,"Approved")</f>
        <v>0</v>
      </c>
      <c r="Y14" s="304">
        <f>SUMIFS('PCO Log'!$E24:$SJ24,'PCO Log'!$E$9:$SJ$9,'Graph Data'!Y$1,'PCO Log'!$E$7:$SJ$7,"Approved")</f>
        <v>0</v>
      </c>
      <c r="Z14" s="304">
        <f>SUMIFS('PCO Log'!$E24:$SJ24,'PCO Log'!$E$9:$SJ$9,'Graph Data'!Z$1,'PCO Log'!$E$7:$SJ$7,"Approved")</f>
        <v>0</v>
      </c>
      <c r="AA14" s="304">
        <f>SUMIFS('PCO Log'!$E24:$SJ24,'PCO Log'!$E$9:$SJ$9,'Graph Data'!AA$1,'PCO Log'!$E$7:$SJ$7,"Approved")</f>
        <v>0</v>
      </c>
      <c r="AB14" s="304">
        <f>SUMIFS('PCO Log'!$E24:$SJ24,'PCO Log'!$E$9:$SJ$9,'Graph Data'!AB$1,'PCO Log'!$E$7:$SJ$7,"Approved")</f>
        <v>0</v>
      </c>
      <c r="AC14" s="304">
        <f>SUMIFS('PCO Log'!$E24:$SJ24,'PCO Log'!$E$9:$SJ$9,'Graph Data'!AC$1,'PCO Log'!$E$7:$SJ$7,"Approved")</f>
        <v>0</v>
      </c>
      <c r="AD14" s="304">
        <f>SUMIFS('PCO Log'!$E24:$SJ24,'PCO Log'!$E$9:$SJ$9,'Graph Data'!AD$1,'PCO Log'!$E$7:$SJ$7,"Approved")</f>
        <v>0</v>
      </c>
      <c r="AE14" s="304">
        <f>SUMIFS('PCO Log'!$E24:$SJ24,'PCO Log'!$E$9:$SJ$9,'Graph Data'!AE$1,'PCO Log'!$E$7:$SJ$7,"Approved")</f>
        <v>0</v>
      </c>
      <c r="AF14" s="304">
        <f>SUMIFS('PCO Log'!$E24:$SJ24,'PCO Log'!$E$9:$SJ$9,'Graph Data'!AF$1,'PCO Log'!$E$7:$SJ$7,"Approved")</f>
        <v>0</v>
      </c>
      <c r="AG14" s="304">
        <f>SUMIFS('PCO Log'!$E24:$SJ24,'PCO Log'!$E$9:$SJ$9,'Graph Data'!AG$1,'PCO Log'!$E$7:$SJ$7,"Approved")</f>
        <v>0</v>
      </c>
      <c r="AH14" s="304">
        <f>SUMIFS('PCO Log'!$E24:$SJ24,'PCO Log'!$E$9:$SJ$9,'Graph Data'!AH$1,'PCO Log'!$E$7:$SJ$7,"Approved")</f>
        <v>0</v>
      </c>
      <c r="AI14" s="304">
        <f>SUMIFS('PCO Log'!$E24:$SJ24,'PCO Log'!$E$9:$SJ$9,'Graph Data'!AI$1,'PCO Log'!$E$7:$SJ$7,"Approved")</f>
        <v>0</v>
      </c>
      <c r="AJ14" s="304">
        <f>SUMIFS('PCO Log'!$E24:$SJ24,'PCO Log'!$E$9:$SJ$9,'Graph Data'!AJ$1,'PCO Log'!$E$7:$SJ$7,"Approved")</f>
        <v>0</v>
      </c>
      <c r="AK14" s="304">
        <f>SUMIFS('PCO Log'!$E24:$SJ24,'PCO Log'!$E$9:$SJ$9,'Graph Data'!AK$1,'PCO Log'!$E$7:$SJ$7,"Approved")</f>
        <v>0</v>
      </c>
      <c r="AL14" s="304">
        <f>SUMIFS('PCO Log'!$E24:$SJ24,'PCO Log'!$E$9:$SJ$9,'Graph Data'!AL$1,'PCO Log'!$E$7:$SJ$7,"Approved")</f>
        <v>0</v>
      </c>
      <c r="AM14" s="304">
        <f>SUMIFS('PCO Log'!$E24:$SJ24,'PCO Log'!$E$9:$SJ$9,'Graph Data'!AM$1,'PCO Log'!$E$7:$SJ$7,"Approved")</f>
        <v>0</v>
      </c>
      <c r="AN14" s="304">
        <f>SUMIFS('PCO Log'!$E24:$SJ24,'PCO Log'!$E$9:$SJ$9,'Graph Data'!AN$1,'PCO Log'!$E$7:$SJ$7,"Approved")</f>
        <v>0</v>
      </c>
      <c r="AO14" s="304">
        <f>SUMIFS('PCO Log'!$E24:$SJ24,'PCO Log'!$E$9:$SJ$9,'Graph Data'!AO$1,'PCO Log'!$E$7:$SJ$7,"Approved")</f>
        <v>0</v>
      </c>
      <c r="AP14" s="304">
        <f>SUMIFS('PCO Log'!$E24:$SJ24,'PCO Log'!$E$9:$SJ$9,'Graph Data'!AP$1,'PCO Log'!$E$7:$SJ$7,"Approved")</f>
        <v>0</v>
      </c>
      <c r="AQ14" s="304">
        <f>SUMIFS('PCO Log'!$E24:$SJ24,'PCO Log'!$E$9:$SJ$9,'Graph Data'!AQ$1,'PCO Log'!$E$7:$SJ$7,"Approved")</f>
        <v>0</v>
      </c>
      <c r="AR14" s="304">
        <f>SUMIFS('PCO Log'!$E24:$SJ24,'PCO Log'!$E$9:$SJ$9,'Graph Data'!AR$1,'PCO Log'!$E$7:$SJ$7,"Approved")</f>
        <v>0</v>
      </c>
      <c r="AS14" s="304">
        <f>SUMIFS('PCO Log'!$E24:$SJ24,'PCO Log'!$E$9:$SJ$9,'Graph Data'!AS$1,'PCO Log'!$E$7:$SJ$7,"Approved")</f>
        <v>0</v>
      </c>
      <c r="AT14" s="304">
        <f>SUMIFS('PCO Log'!$E24:$SJ24,'PCO Log'!$E$9:$SJ$9,'Graph Data'!AT$1,'PCO Log'!$E$7:$SJ$7,"Approved")</f>
        <v>0</v>
      </c>
      <c r="AU14" s="304">
        <f>SUMIFS('PCO Log'!$E24:$SJ24,'PCO Log'!$E$9:$SJ$9,'Graph Data'!AU$1,'PCO Log'!$E$7:$SJ$7,"Approved")</f>
        <v>0</v>
      </c>
      <c r="AV14" s="304">
        <f>SUMIFS('PCO Log'!$E24:$SJ24,'PCO Log'!$E$9:$SJ$9,'Graph Data'!AV$1,'PCO Log'!$E$7:$SJ$7,"Approved")</f>
        <v>0</v>
      </c>
      <c r="AW14" s="304">
        <f>SUMIFS('PCO Log'!$E24:$SJ24,'PCO Log'!$E$9:$SJ$9,'Graph Data'!AW$1,'PCO Log'!$E$7:$SJ$7,"Approved")</f>
        <v>0</v>
      </c>
      <c r="AX14" s="304">
        <f>SUMIFS('PCO Log'!$E24:$SJ24,'PCO Log'!$E$9:$SJ$9,'Graph Data'!AX$1,'PCO Log'!$E$7:$SJ$7,"Approved")</f>
        <v>0</v>
      </c>
      <c r="AY14" s="304">
        <f>SUMIFS('PCO Log'!$E24:$SJ24,'PCO Log'!$E$9:$SJ$9,'Graph Data'!AY$1,'PCO Log'!$E$7:$SJ$7,"Approved")</f>
        <v>0</v>
      </c>
      <c r="AZ14" s="304">
        <f>SUMIFS('PCO Log'!$E24:$SJ24,'PCO Log'!$E$9:$SJ$9,'Graph Data'!AZ$1,'PCO Log'!$E$7:$SJ$7,"Approved")</f>
        <v>0</v>
      </c>
      <c r="BA14" s="304">
        <f>SUMIFS('PCO Log'!$E24:$SJ24,'PCO Log'!$E$9:$SJ$9,'Graph Data'!BA$1,'PCO Log'!$E$7:$SJ$7,"Approved")</f>
        <v>0</v>
      </c>
      <c r="BB14" s="304">
        <f>SUMIFS('PCO Log'!$E24:$SJ24,'PCO Log'!$E$9:$SJ$9,'Graph Data'!BB$1,'PCO Log'!$E$7:$SJ$7,"Approved")</f>
        <v>0</v>
      </c>
      <c r="BC14" s="304">
        <f>SUMIFS('PCO Log'!$E24:$SJ24,'PCO Log'!$E$9:$SJ$9,'Graph Data'!BC$1,'PCO Log'!$E$7:$SJ$7,"Approved")</f>
        <v>0</v>
      </c>
      <c r="BD14" s="304">
        <f>SUMIFS('PCO Log'!$E24:$SJ24,'PCO Log'!$E$9:$SJ$9,'Graph Data'!BD$1,'PCO Log'!$E$7:$SJ$7,"Approved")</f>
        <v>0</v>
      </c>
      <c r="BE14" s="304">
        <f>SUMIFS('PCO Log'!$E24:$SJ24,'PCO Log'!$E$9:$SJ$9,'Graph Data'!BE$1,'PCO Log'!$E$7:$SJ$7,"Approved")</f>
        <v>0</v>
      </c>
      <c r="BF14" s="304">
        <f>SUMIFS('PCO Log'!$E24:$SJ24,'PCO Log'!$E$9:$SJ$9,'Graph Data'!BF$1,'PCO Log'!$E$7:$SJ$7,"Approved")</f>
        <v>0</v>
      </c>
      <c r="BG14" s="304">
        <f>SUMIFS('PCO Log'!$E24:$SJ24,'PCO Log'!$E$9:$SJ$9,'Graph Data'!BG$1,'PCO Log'!$E$7:$SJ$7,"Approved")</f>
        <v>0</v>
      </c>
      <c r="BH14" s="304">
        <f>SUMIFS('PCO Log'!$E24:$SJ24,'PCO Log'!$E$9:$SJ$9,'Graph Data'!BH$1,'PCO Log'!$E$7:$SJ$7,"Approved")</f>
        <v>0</v>
      </c>
      <c r="BI14" s="304">
        <f>SUMIFS('PCO Log'!$E24:$SJ24,'PCO Log'!$E$9:$SJ$9,'Graph Data'!BI$1,'PCO Log'!$E$7:$SJ$7,"Approved")</f>
        <v>0</v>
      </c>
      <c r="BJ14" s="304">
        <f>SUMIFS('PCO Log'!$E24:$SJ24,'PCO Log'!$E$9:$SJ$9,'Graph Data'!BJ$1,'PCO Log'!$E$7:$SJ$7,"Approved")</f>
        <v>0</v>
      </c>
      <c r="BK14" s="304">
        <f>SUMIFS('PCO Log'!$E24:$SJ24,'PCO Log'!$E$9:$SJ$9,'Graph Data'!BK$1,'PCO Log'!$E$7:$SJ$7,"Approved")</f>
        <v>0</v>
      </c>
      <c r="BL14" s="304">
        <f>SUMIFS('PCO Log'!$E24:$SJ24,'PCO Log'!$E$9:$SJ$9,'Graph Data'!BL$1,'PCO Log'!$E$7:$SJ$7,"Approved")</f>
        <v>0</v>
      </c>
      <c r="BM14" s="304">
        <f>SUMIFS('PCO Log'!$E24:$SJ24,'PCO Log'!$E$9:$SJ$9,'Graph Data'!BM$1,'PCO Log'!$E$7:$SJ$7,"Approved")</f>
        <v>0</v>
      </c>
      <c r="BN14" s="304">
        <f>SUMIFS('PCO Log'!$E24:$SJ24,'PCO Log'!$E$9:$SJ$9,'Graph Data'!BN$1,'PCO Log'!$E$7:$SJ$7,"Approved")</f>
        <v>0</v>
      </c>
      <c r="BO14" s="304">
        <f>SUMIFS('PCO Log'!$E24:$SJ24,'PCO Log'!$E$9:$SJ$9,'Graph Data'!BO$1,'PCO Log'!$E$7:$SJ$7,"Approved")</f>
        <v>0</v>
      </c>
      <c r="BP14" s="304">
        <f>SUMIFS('PCO Log'!$E24:$SJ24,'PCO Log'!$E$9:$SJ$9,'Graph Data'!BP$1,'PCO Log'!$E$7:$SJ$7,"Approved")</f>
        <v>0</v>
      </c>
      <c r="BQ14" s="304">
        <f>SUMIFS('PCO Log'!$E24:$SJ24,'PCO Log'!$E$9:$SJ$9,'Graph Data'!BQ$1,'PCO Log'!$E$7:$SJ$7,"Approved")</f>
        <v>0</v>
      </c>
      <c r="BR14" s="304">
        <f>SUMIFS('PCO Log'!$E24:$SJ24,'PCO Log'!$E$9:$SJ$9,'Graph Data'!BR$1,'PCO Log'!$E$7:$SJ$7,"Approved")</f>
        <v>0</v>
      </c>
      <c r="BS14" s="304">
        <f>SUMIFS('PCO Log'!$E24:$SJ24,'PCO Log'!$E$9:$SJ$9,'Graph Data'!BS$1,'PCO Log'!$E$7:$SJ$7,"Approved")</f>
        <v>0</v>
      </c>
      <c r="BT14" s="304">
        <f>SUMIFS('PCO Log'!$E24:$SJ24,'PCO Log'!$E$9:$SJ$9,'Graph Data'!BT$1,'PCO Log'!$E$7:$SJ$7,"Approved")</f>
        <v>0</v>
      </c>
      <c r="BU14" s="304">
        <f>SUMIFS('PCO Log'!$E24:$SJ24,'PCO Log'!$E$9:$SJ$9,'Graph Data'!BU$1,'PCO Log'!$E$7:$SJ$7,"Approved")</f>
        <v>0</v>
      </c>
      <c r="BV14" s="304">
        <f>SUMIFS('PCO Log'!$E24:$SJ24,'PCO Log'!$E$9:$SJ$9,'Graph Data'!BV$1,'PCO Log'!$E$7:$SJ$7,"Approved")</f>
        <v>0</v>
      </c>
      <c r="BW14" s="304">
        <f>SUMIFS('PCO Log'!$E24:$SJ24,'PCO Log'!$E$9:$SJ$9,'Graph Data'!BW$1,'PCO Log'!$E$7:$SJ$7,"Approved")</f>
        <v>0</v>
      </c>
      <c r="BX14" s="304">
        <f>SUMIFS('PCO Log'!$E24:$SJ24,'PCO Log'!$E$9:$SJ$9,'Graph Data'!BX$1,'PCO Log'!$E$7:$SJ$7,"Approved")</f>
        <v>0</v>
      </c>
    </row>
    <row r="15" spans="1:76" x14ac:dyDescent="0.25">
      <c r="A15" s="303" t="s">
        <v>355</v>
      </c>
      <c r="B15" s="303">
        <f>'PCO Log'!R7</f>
        <v>0</v>
      </c>
      <c r="C15" s="303">
        <f>'PCO Log'!R4</f>
        <v>0</v>
      </c>
      <c r="D15" s="303" cm="1">
        <f t="array" ref="D15">INDEX('PCO Log'!$E$5:$SJ$5, 1, ROWS('Graph Data'!$D$2:D15))</f>
        <v>0</v>
      </c>
      <c r="E15" s="303">
        <f>'PCO Log'!R8</f>
        <v>0</v>
      </c>
      <c r="F15" s="303">
        <f>'PCO Log'!R3</f>
        <v>0</v>
      </c>
      <c r="G15" s="304">
        <f>'PCO Log'!R10</f>
        <v>0</v>
      </c>
      <c r="H15" s="305">
        <f>'PCO Log'!R6</f>
        <v>0</v>
      </c>
      <c r="J15" s="303" t="s">
        <v>282</v>
      </c>
      <c r="K15" s="303">
        <f>'Pay App 14'!H33</f>
        <v>0</v>
      </c>
      <c r="L15" s="303">
        <f>IF(M15&gt;0,'Pay App 14'!$G$149,0)</f>
        <v>0</v>
      </c>
      <c r="M15" s="303">
        <f>'Pay App 14'!H149</f>
        <v>0</v>
      </c>
      <c r="O15" s="303" t="str">
        <f>'Pay App 1'!B70</f>
        <v>01 74 23</v>
      </c>
      <c r="P15" s="303" t="str">
        <f>'Pay App 1'!C70</f>
        <v>Cleaning (Final)</v>
      </c>
      <c r="Q15" s="304">
        <f>SUMIFS('PCO Log'!$E25:$SJ25,'PCO Log'!$E$9:$SJ$9,'Graph Data'!Q$1,'PCO Log'!$E$7:$SJ$7,"Approved")</f>
        <v>0</v>
      </c>
      <c r="R15" s="304">
        <f>SUMIFS('PCO Log'!$E25:$SJ25,'PCO Log'!$E$9:$SJ$9,'Graph Data'!R$1,'PCO Log'!$E$7:$SJ$7,"Approved")</f>
        <v>0</v>
      </c>
      <c r="S15" s="304">
        <f>SUMIFS('PCO Log'!$E25:$SJ25,'PCO Log'!$E$9:$SJ$9,'Graph Data'!S$1,'PCO Log'!$E$7:$SJ$7,"Approved")</f>
        <v>0</v>
      </c>
      <c r="T15" s="304">
        <f>SUMIFS('PCO Log'!$E25:$SJ25,'PCO Log'!$E$9:$SJ$9,'Graph Data'!T$1,'PCO Log'!$E$7:$SJ$7,"Approved")</f>
        <v>0</v>
      </c>
      <c r="U15" s="304">
        <f>SUMIFS('PCO Log'!$E25:$SJ25,'PCO Log'!$E$9:$SJ$9,'Graph Data'!U$1,'PCO Log'!$E$7:$SJ$7,"Approved")</f>
        <v>0</v>
      </c>
      <c r="V15" s="304">
        <f>SUMIFS('PCO Log'!$E25:$SJ25,'PCO Log'!$E$9:$SJ$9,'Graph Data'!V$1,'PCO Log'!$E$7:$SJ$7,"Approved")</f>
        <v>0</v>
      </c>
      <c r="W15" s="304">
        <f>SUMIFS('PCO Log'!$E25:$SJ25,'PCO Log'!$E$9:$SJ$9,'Graph Data'!W$1,'PCO Log'!$E$7:$SJ$7,"Approved")</f>
        <v>0</v>
      </c>
      <c r="X15" s="304">
        <f>SUMIFS('PCO Log'!$E25:$SJ25,'PCO Log'!$E$9:$SJ$9,'Graph Data'!X$1,'PCO Log'!$E$7:$SJ$7,"Approved")</f>
        <v>0</v>
      </c>
      <c r="Y15" s="304">
        <f>SUMIFS('PCO Log'!$E25:$SJ25,'PCO Log'!$E$9:$SJ$9,'Graph Data'!Y$1,'PCO Log'!$E$7:$SJ$7,"Approved")</f>
        <v>0</v>
      </c>
      <c r="Z15" s="304">
        <f>SUMIFS('PCO Log'!$E25:$SJ25,'PCO Log'!$E$9:$SJ$9,'Graph Data'!Z$1,'PCO Log'!$E$7:$SJ$7,"Approved")</f>
        <v>0</v>
      </c>
      <c r="AA15" s="304">
        <f>SUMIFS('PCO Log'!$E25:$SJ25,'PCO Log'!$E$9:$SJ$9,'Graph Data'!AA$1,'PCO Log'!$E$7:$SJ$7,"Approved")</f>
        <v>0</v>
      </c>
      <c r="AB15" s="304">
        <f>SUMIFS('PCO Log'!$E25:$SJ25,'PCO Log'!$E$9:$SJ$9,'Graph Data'!AB$1,'PCO Log'!$E$7:$SJ$7,"Approved")</f>
        <v>0</v>
      </c>
      <c r="AC15" s="304">
        <f>SUMIFS('PCO Log'!$E25:$SJ25,'PCO Log'!$E$9:$SJ$9,'Graph Data'!AC$1,'PCO Log'!$E$7:$SJ$7,"Approved")</f>
        <v>0</v>
      </c>
      <c r="AD15" s="304">
        <f>SUMIFS('PCO Log'!$E25:$SJ25,'PCO Log'!$E$9:$SJ$9,'Graph Data'!AD$1,'PCO Log'!$E$7:$SJ$7,"Approved")</f>
        <v>0</v>
      </c>
      <c r="AE15" s="304">
        <f>SUMIFS('PCO Log'!$E25:$SJ25,'PCO Log'!$E$9:$SJ$9,'Graph Data'!AE$1,'PCO Log'!$E$7:$SJ$7,"Approved")</f>
        <v>0</v>
      </c>
      <c r="AF15" s="304">
        <f>SUMIFS('PCO Log'!$E25:$SJ25,'PCO Log'!$E$9:$SJ$9,'Graph Data'!AF$1,'PCO Log'!$E$7:$SJ$7,"Approved")</f>
        <v>0</v>
      </c>
      <c r="AG15" s="304">
        <f>SUMIFS('PCO Log'!$E25:$SJ25,'PCO Log'!$E$9:$SJ$9,'Graph Data'!AG$1,'PCO Log'!$E$7:$SJ$7,"Approved")</f>
        <v>0</v>
      </c>
      <c r="AH15" s="304">
        <f>SUMIFS('PCO Log'!$E25:$SJ25,'PCO Log'!$E$9:$SJ$9,'Graph Data'!AH$1,'PCO Log'!$E$7:$SJ$7,"Approved")</f>
        <v>0</v>
      </c>
      <c r="AI15" s="304">
        <f>SUMIFS('PCO Log'!$E25:$SJ25,'PCO Log'!$E$9:$SJ$9,'Graph Data'!AI$1,'PCO Log'!$E$7:$SJ$7,"Approved")</f>
        <v>0</v>
      </c>
      <c r="AJ15" s="304">
        <f>SUMIFS('PCO Log'!$E25:$SJ25,'PCO Log'!$E$9:$SJ$9,'Graph Data'!AJ$1,'PCO Log'!$E$7:$SJ$7,"Approved")</f>
        <v>0</v>
      </c>
      <c r="AK15" s="304">
        <f>SUMIFS('PCO Log'!$E25:$SJ25,'PCO Log'!$E$9:$SJ$9,'Graph Data'!AK$1,'PCO Log'!$E$7:$SJ$7,"Approved")</f>
        <v>0</v>
      </c>
      <c r="AL15" s="304">
        <f>SUMIFS('PCO Log'!$E25:$SJ25,'PCO Log'!$E$9:$SJ$9,'Graph Data'!AL$1,'PCO Log'!$E$7:$SJ$7,"Approved")</f>
        <v>0</v>
      </c>
      <c r="AM15" s="304">
        <f>SUMIFS('PCO Log'!$E25:$SJ25,'PCO Log'!$E$9:$SJ$9,'Graph Data'!AM$1,'PCO Log'!$E$7:$SJ$7,"Approved")</f>
        <v>0</v>
      </c>
      <c r="AN15" s="304">
        <f>SUMIFS('PCO Log'!$E25:$SJ25,'PCO Log'!$E$9:$SJ$9,'Graph Data'!AN$1,'PCO Log'!$E$7:$SJ$7,"Approved")</f>
        <v>0</v>
      </c>
      <c r="AO15" s="304">
        <f>SUMIFS('PCO Log'!$E25:$SJ25,'PCO Log'!$E$9:$SJ$9,'Graph Data'!AO$1,'PCO Log'!$E$7:$SJ$7,"Approved")</f>
        <v>0</v>
      </c>
      <c r="AP15" s="304">
        <f>SUMIFS('PCO Log'!$E25:$SJ25,'PCO Log'!$E$9:$SJ$9,'Graph Data'!AP$1,'PCO Log'!$E$7:$SJ$7,"Approved")</f>
        <v>0</v>
      </c>
      <c r="AQ15" s="304">
        <f>SUMIFS('PCO Log'!$E25:$SJ25,'PCO Log'!$E$9:$SJ$9,'Graph Data'!AQ$1,'PCO Log'!$E$7:$SJ$7,"Approved")</f>
        <v>0</v>
      </c>
      <c r="AR15" s="304">
        <f>SUMIFS('PCO Log'!$E25:$SJ25,'PCO Log'!$E$9:$SJ$9,'Graph Data'!AR$1,'PCO Log'!$E$7:$SJ$7,"Approved")</f>
        <v>0</v>
      </c>
      <c r="AS15" s="304">
        <f>SUMIFS('PCO Log'!$E25:$SJ25,'PCO Log'!$E$9:$SJ$9,'Graph Data'!AS$1,'PCO Log'!$E$7:$SJ$7,"Approved")</f>
        <v>0</v>
      </c>
      <c r="AT15" s="304">
        <f>SUMIFS('PCO Log'!$E25:$SJ25,'PCO Log'!$E$9:$SJ$9,'Graph Data'!AT$1,'PCO Log'!$E$7:$SJ$7,"Approved")</f>
        <v>0</v>
      </c>
      <c r="AU15" s="304">
        <f>SUMIFS('PCO Log'!$E25:$SJ25,'PCO Log'!$E$9:$SJ$9,'Graph Data'!AU$1,'PCO Log'!$E$7:$SJ$7,"Approved")</f>
        <v>0</v>
      </c>
      <c r="AV15" s="304">
        <f>SUMIFS('PCO Log'!$E25:$SJ25,'PCO Log'!$E$9:$SJ$9,'Graph Data'!AV$1,'PCO Log'!$E$7:$SJ$7,"Approved")</f>
        <v>0</v>
      </c>
      <c r="AW15" s="304">
        <f>SUMIFS('PCO Log'!$E25:$SJ25,'PCO Log'!$E$9:$SJ$9,'Graph Data'!AW$1,'PCO Log'!$E$7:$SJ$7,"Approved")</f>
        <v>0</v>
      </c>
      <c r="AX15" s="304">
        <f>SUMIFS('PCO Log'!$E25:$SJ25,'PCO Log'!$E$9:$SJ$9,'Graph Data'!AX$1,'PCO Log'!$E$7:$SJ$7,"Approved")</f>
        <v>0</v>
      </c>
      <c r="AY15" s="304">
        <f>SUMIFS('PCO Log'!$E25:$SJ25,'PCO Log'!$E$9:$SJ$9,'Graph Data'!AY$1,'PCO Log'!$E$7:$SJ$7,"Approved")</f>
        <v>0</v>
      </c>
      <c r="AZ15" s="304">
        <f>SUMIFS('PCO Log'!$E25:$SJ25,'PCO Log'!$E$9:$SJ$9,'Graph Data'!AZ$1,'PCO Log'!$E$7:$SJ$7,"Approved")</f>
        <v>0</v>
      </c>
      <c r="BA15" s="304">
        <f>SUMIFS('PCO Log'!$E25:$SJ25,'PCO Log'!$E$9:$SJ$9,'Graph Data'!BA$1,'PCO Log'!$E$7:$SJ$7,"Approved")</f>
        <v>0</v>
      </c>
      <c r="BB15" s="304">
        <f>SUMIFS('PCO Log'!$E25:$SJ25,'PCO Log'!$E$9:$SJ$9,'Graph Data'!BB$1,'PCO Log'!$E$7:$SJ$7,"Approved")</f>
        <v>0</v>
      </c>
      <c r="BC15" s="304">
        <f>SUMIFS('PCO Log'!$E25:$SJ25,'PCO Log'!$E$9:$SJ$9,'Graph Data'!BC$1,'PCO Log'!$E$7:$SJ$7,"Approved")</f>
        <v>0</v>
      </c>
      <c r="BD15" s="304">
        <f>SUMIFS('PCO Log'!$E25:$SJ25,'PCO Log'!$E$9:$SJ$9,'Graph Data'!BD$1,'PCO Log'!$E$7:$SJ$7,"Approved")</f>
        <v>0</v>
      </c>
      <c r="BE15" s="304">
        <f>SUMIFS('PCO Log'!$E25:$SJ25,'PCO Log'!$E$9:$SJ$9,'Graph Data'!BE$1,'PCO Log'!$E$7:$SJ$7,"Approved")</f>
        <v>0</v>
      </c>
      <c r="BF15" s="304">
        <f>SUMIFS('PCO Log'!$E25:$SJ25,'PCO Log'!$E$9:$SJ$9,'Graph Data'!BF$1,'PCO Log'!$E$7:$SJ$7,"Approved")</f>
        <v>0</v>
      </c>
      <c r="BG15" s="304">
        <f>SUMIFS('PCO Log'!$E25:$SJ25,'PCO Log'!$E$9:$SJ$9,'Graph Data'!BG$1,'PCO Log'!$E$7:$SJ$7,"Approved")</f>
        <v>0</v>
      </c>
      <c r="BH15" s="304">
        <f>SUMIFS('PCO Log'!$E25:$SJ25,'PCO Log'!$E$9:$SJ$9,'Graph Data'!BH$1,'PCO Log'!$E$7:$SJ$7,"Approved")</f>
        <v>0</v>
      </c>
      <c r="BI15" s="304">
        <f>SUMIFS('PCO Log'!$E25:$SJ25,'PCO Log'!$E$9:$SJ$9,'Graph Data'!BI$1,'PCO Log'!$E$7:$SJ$7,"Approved")</f>
        <v>0</v>
      </c>
      <c r="BJ15" s="304">
        <f>SUMIFS('PCO Log'!$E25:$SJ25,'PCO Log'!$E$9:$SJ$9,'Graph Data'!BJ$1,'PCO Log'!$E$7:$SJ$7,"Approved")</f>
        <v>0</v>
      </c>
      <c r="BK15" s="304">
        <f>SUMIFS('PCO Log'!$E25:$SJ25,'PCO Log'!$E$9:$SJ$9,'Graph Data'!BK$1,'PCO Log'!$E$7:$SJ$7,"Approved")</f>
        <v>0</v>
      </c>
      <c r="BL15" s="304">
        <f>SUMIFS('PCO Log'!$E25:$SJ25,'PCO Log'!$E$9:$SJ$9,'Graph Data'!BL$1,'PCO Log'!$E$7:$SJ$7,"Approved")</f>
        <v>0</v>
      </c>
      <c r="BM15" s="304">
        <f>SUMIFS('PCO Log'!$E25:$SJ25,'PCO Log'!$E$9:$SJ$9,'Graph Data'!BM$1,'PCO Log'!$E$7:$SJ$7,"Approved")</f>
        <v>0</v>
      </c>
      <c r="BN15" s="304">
        <f>SUMIFS('PCO Log'!$E25:$SJ25,'PCO Log'!$E$9:$SJ$9,'Graph Data'!BN$1,'PCO Log'!$E$7:$SJ$7,"Approved")</f>
        <v>0</v>
      </c>
      <c r="BO15" s="304">
        <f>SUMIFS('PCO Log'!$E25:$SJ25,'PCO Log'!$E$9:$SJ$9,'Graph Data'!BO$1,'PCO Log'!$E$7:$SJ$7,"Approved")</f>
        <v>0</v>
      </c>
      <c r="BP15" s="304">
        <f>SUMIFS('PCO Log'!$E25:$SJ25,'PCO Log'!$E$9:$SJ$9,'Graph Data'!BP$1,'PCO Log'!$E$7:$SJ$7,"Approved")</f>
        <v>0</v>
      </c>
      <c r="BQ15" s="304">
        <f>SUMIFS('PCO Log'!$E25:$SJ25,'PCO Log'!$E$9:$SJ$9,'Graph Data'!BQ$1,'PCO Log'!$E$7:$SJ$7,"Approved")</f>
        <v>0</v>
      </c>
      <c r="BR15" s="304">
        <f>SUMIFS('PCO Log'!$E25:$SJ25,'PCO Log'!$E$9:$SJ$9,'Graph Data'!BR$1,'PCO Log'!$E$7:$SJ$7,"Approved")</f>
        <v>0</v>
      </c>
      <c r="BS15" s="304">
        <f>SUMIFS('PCO Log'!$E25:$SJ25,'PCO Log'!$E$9:$SJ$9,'Graph Data'!BS$1,'PCO Log'!$E$7:$SJ$7,"Approved")</f>
        <v>0</v>
      </c>
      <c r="BT15" s="304">
        <f>SUMIFS('PCO Log'!$E25:$SJ25,'PCO Log'!$E$9:$SJ$9,'Graph Data'!BT$1,'PCO Log'!$E$7:$SJ$7,"Approved")</f>
        <v>0</v>
      </c>
      <c r="BU15" s="304">
        <f>SUMIFS('PCO Log'!$E25:$SJ25,'PCO Log'!$E$9:$SJ$9,'Graph Data'!BU$1,'PCO Log'!$E$7:$SJ$7,"Approved")</f>
        <v>0</v>
      </c>
      <c r="BV15" s="304">
        <f>SUMIFS('PCO Log'!$E25:$SJ25,'PCO Log'!$E$9:$SJ$9,'Graph Data'!BV$1,'PCO Log'!$E$7:$SJ$7,"Approved")</f>
        <v>0</v>
      </c>
      <c r="BW15" s="304">
        <f>SUMIFS('PCO Log'!$E25:$SJ25,'PCO Log'!$E$9:$SJ$9,'Graph Data'!BW$1,'PCO Log'!$E$7:$SJ$7,"Approved")</f>
        <v>0</v>
      </c>
      <c r="BX15" s="304">
        <f>SUMIFS('PCO Log'!$E25:$SJ25,'PCO Log'!$E$9:$SJ$9,'Graph Data'!BX$1,'PCO Log'!$E$7:$SJ$7,"Approved")</f>
        <v>0</v>
      </c>
    </row>
    <row r="16" spans="1:76" x14ac:dyDescent="0.25">
      <c r="A16" s="303" t="s">
        <v>356</v>
      </c>
      <c r="B16" s="303">
        <f>'PCO Log'!S7</f>
        <v>0</v>
      </c>
      <c r="C16" s="303">
        <f>'PCO Log'!S4</f>
        <v>0</v>
      </c>
      <c r="D16" s="303" cm="1">
        <f t="array" ref="D16">INDEX('PCO Log'!$E$5:$SJ$5, 1, ROWS('Graph Data'!$D$2:D16))</f>
        <v>0</v>
      </c>
      <c r="E16" s="303">
        <f>'PCO Log'!S8</f>
        <v>0</v>
      </c>
      <c r="F16" s="303">
        <f>'PCO Log'!S3</f>
        <v>0</v>
      </c>
      <c r="G16" s="304">
        <f>'PCO Log'!S10</f>
        <v>0</v>
      </c>
      <c r="H16" s="305">
        <f>'PCO Log'!S6</f>
        <v>0</v>
      </c>
      <c r="J16" s="303" t="s">
        <v>283</v>
      </c>
      <c r="K16" s="303">
        <f>'Pay App 15'!H33</f>
        <v>0</v>
      </c>
      <c r="L16" s="303">
        <f>IF(M16&gt;0,'Pay App 15'!$G$149,0)</f>
        <v>0</v>
      </c>
      <c r="M16" s="303">
        <f>'Pay App 15'!H149</f>
        <v>0</v>
      </c>
      <c r="O16" s="303" t="str">
        <f>'Pay App 1'!B71</f>
        <v>02 21 00</v>
      </c>
      <c r="P16" s="303" t="str">
        <f>'Pay App 1'!C71</f>
        <v>Survey/Engineering</v>
      </c>
      <c r="Q16" s="304">
        <f>SUMIFS('PCO Log'!$E26:$SJ26,'PCO Log'!$E$9:$SJ$9,'Graph Data'!Q$1,'PCO Log'!$E$7:$SJ$7,"Approved")</f>
        <v>0</v>
      </c>
      <c r="R16" s="304">
        <f>SUMIFS('PCO Log'!$E26:$SJ26,'PCO Log'!$E$9:$SJ$9,'Graph Data'!R$1,'PCO Log'!$E$7:$SJ$7,"Approved")</f>
        <v>0</v>
      </c>
      <c r="S16" s="304">
        <f>SUMIFS('PCO Log'!$E26:$SJ26,'PCO Log'!$E$9:$SJ$9,'Graph Data'!S$1,'PCO Log'!$E$7:$SJ$7,"Approved")</f>
        <v>0</v>
      </c>
      <c r="T16" s="304">
        <f>SUMIFS('PCO Log'!$E26:$SJ26,'PCO Log'!$E$9:$SJ$9,'Graph Data'!T$1,'PCO Log'!$E$7:$SJ$7,"Approved")</f>
        <v>0</v>
      </c>
      <c r="U16" s="304">
        <f>SUMIFS('PCO Log'!$E26:$SJ26,'PCO Log'!$E$9:$SJ$9,'Graph Data'!U$1,'PCO Log'!$E$7:$SJ$7,"Approved")</f>
        <v>0</v>
      </c>
      <c r="V16" s="304">
        <f>SUMIFS('PCO Log'!$E26:$SJ26,'PCO Log'!$E$9:$SJ$9,'Graph Data'!V$1,'PCO Log'!$E$7:$SJ$7,"Approved")</f>
        <v>0</v>
      </c>
      <c r="W16" s="304">
        <f>SUMIFS('PCO Log'!$E26:$SJ26,'PCO Log'!$E$9:$SJ$9,'Graph Data'!W$1,'PCO Log'!$E$7:$SJ$7,"Approved")</f>
        <v>0</v>
      </c>
      <c r="X16" s="304">
        <f>SUMIFS('PCO Log'!$E26:$SJ26,'PCO Log'!$E$9:$SJ$9,'Graph Data'!X$1,'PCO Log'!$E$7:$SJ$7,"Approved")</f>
        <v>0</v>
      </c>
      <c r="Y16" s="304">
        <f>SUMIFS('PCO Log'!$E26:$SJ26,'PCO Log'!$E$9:$SJ$9,'Graph Data'!Y$1,'PCO Log'!$E$7:$SJ$7,"Approved")</f>
        <v>0</v>
      </c>
      <c r="Z16" s="304">
        <f>SUMIFS('PCO Log'!$E26:$SJ26,'PCO Log'!$E$9:$SJ$9,'Graph Data'!Z$1,'PCO Log'!$E$7:$SJ$7,"Approved")</f>
        <v>0</v>
      </c>
      <c r="AA16" s="304">
        <f>SUMIFS('PCO Log'!$E26:$SJ26,'PCO Log'!$E$9:$SJ$9,'Graph Data'!AA$1,'PCO Log'!$E$7:$SJ$7,"Approved")</f>
        <v>0</v>
      </c>
      <c r="AB16" s="304">
        <f>SUMIFS('PCO Log'!$E26:$SJ26,'PCO Log'!$E$9:$SJ$9,'Graph Data'!AB$1,'PCO Log'!$E$7:$SJ$7,"Approved")</f>
        <v>0</v>
      </c>
      <c r="AC16" s="304">
        <f>SUMIFS('PCO Log'!$E26:$SJ26,'PCO Log'!$E$9:$SJ$9,'Graph Data'!AC$1,'PCO Log'!$E$7:$SJ$7,"Approved")</f>
        <v>0</v>
      </c>
      <c r="AD16" s="304">
        <f>SUMIFS('PCO Log'!$E26:$SJ26,'PCO Log'!$E$9:$SJ$9,'Graph Data'!AD$1,'PCO Log'!$E$7:$SJ$7,"Approved")</f>
        <v>0</v>
      </c>
      <c r="AE16" s="304">
        <f>SUMIFS('PCO Log'!$E26:$SJ26,'PCO Log'!$E$9:$SJ$9,'Graph Data'!AE$1,'PCO Log'!$E$7:$SJ$7,"Approved")</f>
        <v>0</v>
      </c>
      <c r="AF16" s="304">
        <f>SUMIFS('PCO Log'!$E26:$SJ26,'PCO Log'!$E$9:$SJ$9,'Graph Data'!AF$1,'PCO Log'!$E$7:$SJ$7,"Approved")</f>
        <v>0</v>
      </c>
      <c r="AG16" s="304">
        <f>SUMIFS('PCO Log'!$E26:$SJ26,'PCO Log'!$E$9:$SJ$9,'Graph Data'!AG$1,'PCO Log'!$E$7:$SJ$7,"Approved")</f>
        <v>0</v>
      </c>
      <c r="AH16" s="304">
        <f>SUMIFS('PCO Log'!$E26:$SJ26,'PCO Log'!$E$9:$SJ$9,'Graph Data'!AH$1,'PCO Log'!$E$7:$SJ$7,"Approved")</f>
        <v>0</v>
      </c>
      <c r="AI16" s="304">
        <f>SUMIFS('PCO Log'!$E26:$SJ26,'PCO Log'!$E$9:$SJ$9,'Graph Data'!AI$1,'PCO Log'!$E$7:$SJ$7,"Approved")</f>
        <v>0</v>
      </c>
      <c r="AJ16" s="304">
        <f>SUMIFS('PCO Log'!$E26:$SJ26,'PCO Log'!$E$9:$SJ$9,'Graph Data'!AJ$1,'PCO Log'!$E$7:$SJ$7,"Approved")</f>
        <v>0</v>
      </c>
      <c r="AK16" s="304">
        <f>SUMIFS('PCO Log'!$E26:$SJ26,'PCO Log'!$E$9:$SJ$9,'Graph Data'!AK$1,'PCO Log'!$E$7:$SJ$7,"Approved")</f>
        <v>0</v>
      </c>
      <c r="AL16" s="304">
        <f>SUMIFS('PCO Log'!$E26:$SJ26,'PCO Log'!$E$9:$SJ$9,'Graph Data'!AL$1,'PCO Log'!$E$7:$SJ$7,"Approved")</f>
        <v>0</v>
      </c>
      <c r="AM16" s="304">
        <f>SUMIFS('PCO Log'!$E26:$SJ26,'PCO Log'!$E$9:$SJ$9,'Graph Data'!AM$1,'PCO Log'!$E$7:$SJ$7,"Approved")</f>
        <v>0</v>
      </c>
      <c r="AN16" s="304">
        <f>SUMIFS('PCO Log'!$E26:$SJ26,'PCO Log'!$E$9:$SJ$9,'Graph Data'!AN$1,'PCO Log'!$E$7:$SJ$7,"Approved")</f>
        <v>0</v>
      </c>
      <c r="AO16" s="304">
        <f>SUMIFS('PCO Log'!$E26:$SJ26,'PCO Log'!$E$9:$SJ$9,'Graph Data'!AO$1,'PCO Log'!$E$7:$SJ$7,"Approved")</f>
        <v>0</v>
      </c>
      <c r="AP16" s="304">
        <f>SUMIFS('PCO Log'!$E26:$SJ26,'PCO Log'!$E$9:$SJ$9,'Graph Data'!AP$1,'PCO Log'!$E$7:$SJ$7,"Approved")</f>
        <v>0</v>
      </c>
      <c r="AQ16" s="304">
        <f>SUMIFS('PCO Log'!$E26:$SJ26,'PCO Log'!$E$9:$SJ$9,'Graph Data'!AQ$1,'PCO Log'!$E$7:$SJ$7,"Approved")</f>
        <v>0</v>
      </c>
      <c r="AR16" s="304">
        <f>SUMIFS('PCO Log'!$E26:$SJ26,'PCO Log'!$E$9:$SJ$9,'Graph Data'!AR$1,'PCO Log'!$E$7:$SJ$7,"Approved")</f>
        <v>0</v>
      </c>
      <c r="AS16" s="304">
        <f>SUMIFS('PCO Log'!$E26:$SJ26,'PCO Log'!$E$9:$SJ$9,'Graph Data'!AS$1,'PCO Log'!$E$7:$SJ$7,"Approved")</f>
        <v>0</v>
      </c>
      <c r="AT16" s="304">
        <f>SUMIFS('PCO Log'!$E26:$SJ26,'PCO Log'!$E$9:$SJ$9,'Graph Data'!AT$1,'PCO Log'!$E$7:$SJ$7,"Approved")</f>
        <v>0</v>
      </c>
      <c r="AU16" s="304">
        <f>SUMIFS('PCO Log'!$E26:$SJ26,'PCO Log'!$E$9:$SJ$9,'Graph Data'!AU$1,'PCO Log'!$E$7:$SJ$7,"Approved")</f>
        <v>0</v>
      </c>
      <c r="AV16" s="304">
        <f>SUMIFS('PCO Log'!$E26:$SJ26,'PCO Log'!$E$9:$SJ$9,'Graph Data'!AV$1,'PCO Log'!$E$7:$SJ$7,"Approved")</f>
        <v>0</v>
      </c>
      <c r="AW16" s="304">
        <f>SUMIFS('PCO Log'!$E26:$SJ26,'PCO Log'!$E$9:$SJ$9,'Graph Data'!AW$1,'PCO Log'!$E$7:$SJ$7,"Approved")</f>
        <v>0</v>
      </c>
      <c r="AX16" s="304">
        <f>SUMIFS('PCO Log'!$E26:$SJ26,'PCO Log'!$E$9:$SJ$9,'Graph Data'!AX$1,'PCO Log'!$E$7:$SJ$7,"Approved")</f>
        <v>0</v>
      </c>
      <c r="AY16" s="304">
        <f>SUMIFS('PCO Log'!$E26:$SJ26,'PCO Log'!$E$9:$SJ$9,'Graph Data'!AY$1,'PCO Log'!$E$7:$SJ$7,"Approved")</f>
        <v>0</v>
      </c>
      <c r="AZ16" s="304">
        <f>SUMIFS('PCO Log'!$E26:$SJ26,'PCO Log'!$E$9:$SJ$9,'Graph Data'!AZ$1,'PCO Log'!$E$7:$SJ$7,"Approved")</f>
        <v>0</v>
      </c>
      <c r="BA16" s="304">
        <f>SUMIFS('PCO Log'!$E26:$SJ26,'PCO Log'!$E$9:$SJ$9,'Graph Data'!BA$1,'PCO Log'!$E$7:$SJ$7,"Approved")</f>
        <v>0</v>
      </c>
      <c r="BB16" s="304">
        <f>SUMIFS('PCO Log'!$E26:$SJ26,'PCO Log'!$E$9:$SJ$9,'Graph Data'!BB$1,'PCO Log'!$E$7:$SJ$7,"Approved")</f>
        <v>0</v>
      </c>
      <c r="BC16" s="304">
        <f>SUMIFS('PCO Log'!$E26:$SJ26,'PCO Log'!$E$9:$SJ$9,'Graph Data'!BC$1,'PCO Log'!$E$7:$SJ$7,"Approved")</f>
        <v>0</v>
      </c>
      <c r="BD16" s="304">
        <f>SUMIFS('PCO Log'!$E26:$SJ26,'PCO Log'!$E$9:$SJ$9,'Graph Data'!BD$1,'PCO Log'!$E$7:$SJ$7,"Approved")</f>
        <v>0</v>
      </c>
      <c r="BE16" s="304">
        <f>SUMIFS('PCO Log'!$E26:$SJ26,'PCO Log'!$E$9:$SJ$9,'Graph Data'!BE$1,'PCO Log'!$E$7:$SJ$7,"Approved")</f>
        <v>0</v>
      </c>
      <c r="BF16" s="304">
        <f>SUMIFS('PCO Log'!$E26:$SJ26,'PCO Log'!$E$9:$SJ$9,'Graph Data'!BF$1,'PCO Log'!$E$7:$SJ$7,"Approved")</f>
        <v>0</v>
      </c>
      <c r="BG16" s="304">
        <f>SUMIFS('PCO Log'!$E26:$SJ26,'PCO Log'!$E$9:$SJ$9,'Graph Data'!BG$1,'PCO Log'!$E$7:$SJ$7,"Approved")</f>
        <v>0</v>
      </c>
      <c r="BH16" s="304">
        <f>SUMIFS('PCO Log'!$E26:$SJ26,'PCO Log'!$E$9:$SJ$9,'Graph Data'!BH$1,'PCO Log'!$E$7:$SJ$7,"Approved")</f>
        <v>0</v>
      </c>
      <c r="BI16" s="304">
        <f>SUMIFS('PCO Log'!$E26:$SJ26,'PCO Log'!$E$9:$SJ$9,'Graph Data'!BI$1,'PCO Log'!$E$7:$SJ$7,"Approved")</f>
        <v>0</v>
      </c>
      <c r="BJ16" s="304">
        <f>SUMIFS('PCO Log'!$E26:$SJ26,'PCO Log'!$E$9:$SJ$9,'Graph Data'!BJ$1,'PCO Log'!$E$7:$SJ$7,"Approved")</f>
        <v>0</v>
      </c>
      <c r="BK16" s="304">
        <f>SUMIFS('PCO Log'!$E26:$SJ26,'PCO Log'!$E$9:$SJ$9,'Graph Data'!BK$1,'PCO Log'!$E$7:$SJ$7,"Approved")</f>
        <v>0</v>
      </c>
      <c r="BL16" s="304">
        <f>SUMIFS('PCO Log'!$E26:$SJ26,'PCO Log'!$E$9:$SJ$9,'Graph Data'!BL$1,'PCO Log'!$E$7:$SJ$7,"Approved")</f>
        <v>0</v>
      </c>
      <c r="BM16" s="304">
        <f>SUMIFS('PCO Log'!$E26:$SJ26,'PCO Log'!$E$9:$SJ$9,'Graph Data'!BM$1,'PCO Log'!$E$7:$SJ$7,"Approved")</f>
        <v>0</v>
      </c>
      <c r="BN16" s="304">
        <f>SUMIFS('PCO Log'!$E26:$SJ26,'PCO Log'!$E$9:$SJ$9,'Graph Data'!BN$1,'PCO Log'!$E$7:$SJ$7,"Approved")</f>
        <v>0</v>
      </c>
      <c r="BO16" s="304">
        <f>SUMIFS('PCO Log'!$E26:$SJ26,'PCO Log'!$E$9:$SJ$9,'Graph Data'!BO$1,'PCO Log'!$E$7:$SJ$7,"Approved")</f>
        <v>0</v>
      </c>
      <c r="BP16" s="304">
        <f>SUMIFS('PCO Log'!$E26:$SJ26,'PCO Log'!$E$9:$SJ$9,'Graph Data'!BP$1,'PCO Log'!$E$7:$SJ$7,"Approved")</f>
        <v>0</v>
      </c>
      <c r="BQ16" s="304">
        <f>SUMIFS('PCO Log'!$E26:$SJ26,'PCO Log'!$E$9:$SJ$9,'Graph Data'!BQ$1,'PCO Log'!$E$7:$SJ$7,"Approved")</f>
        <v>0</v>
      </c>
      <c r="BR16" s="304">
        <f>SUMIFS('PCO Log'!$E26:$SJ26,'PCO Log'!$E$9:$SJ$9,'Graph Data'!BR$1,'PCO Log'!$E$7:$SJ$7,"Approved")</f>
        <v>0</v>
      </c>
      <c r="BS16" s="304">
        <f>SUMIFS('PCO Log'!$E26:$SJ26,'PCO Log'!$E$9:$SJ$9,'Graph Data'!BS$1,'PCO Log'!$E$7:$SJ$7,"Approved")</f>
        <v>0</v>
      </c>
      <c r="BT16" s="304">
        <f>SUMIFS('PCO Log'!$E26:$SJ26,'PCO Log'!$E$9:$SJ$9,'Graph Data'!BT$1,'PCO Log'!$E$7:$SJ$7,"Approved")</f>
        <v>0</v>
      </c>
      <c r="BU16" s="304">
        <f>SUMIFS('PCO Log'!$E26:$SJ26,'PCO Log'!$E$9:$SJ$9,'Graph Data'!BU$1,'PCO Log'!$E$7:$SJ$7,"Approved")</f>
        <v>0</v>
      </c>
      <c r="BV16" s="304">
        <f>SUMIFS('PCO Log'!$E26:$SJ26,'PCO Log'!$E$9:$SJ$9,'Graph Data'!BV$1,'PCO Log'!$E$7:$SJ$7,"Approved")</f>
        <v>0</v>
      </c>
      <c r="BW16" s="304">
        <f>SUMIFS('PCO Log'!$E26:$SJ26,'PCO Log'!$E$9:$SJ$9,'Graph Data'!BW$1,'PCO Log'!$E$7:$SJ$7,"Approved")</f>
        <v>0</v>
      </c>
      <c r="BX16" s="304">
        <f>SUMIFS('PCO Log'!$E26:$SJ26,'PCO Log'!$E$9:$SJ$9,'Graph Data'!BX$1,'PCO Log'!$E$7:$SJ$7,"Approved")</f>
        <v>0</v>
      </c>
    </row>
    <row r="17" spans="1:76" x14ac:dyDescent="0.25">
      <c r="A17" s="303" t="s">
        <v>357</v>
      </c>
      <c r="B17" s="303">
        <f>'PCO Log'!T7</f>
        <v>0</v>
      </c>
      <c r="C17" s="303">
        <f>'PCO Log'!T4</f>
        <v>0</v>
      </c>
      <c r="D17" s="303" cm="1">
        <f t="array" ref="D17">INDEX('PCO Log'!$E$5:$SJ$5, 1, ROWS('Graph Data'!$D$2:D17))</f>
        <v>0</v>
      </c>
      <c r="E17" s="303">
        <f>'PCO Log'!T8</f>
        <v>0</v>
      </c>
      <c r="F17" s="303">
        <f>'PCO Log'!T3</f>
        <v>0</v>
      </c>
      <c r="G17" s="304">
        <f>'PCO Log'!T10</f>
        <v>0</v>
      </c>
      <c r="H17" s="305">
        <f>'PCO Log'!T6</f>
        <v>0</v>
      </c>
      <c r="J17" s="303" t="s">
        <v>284</v>
      </c>
      <c r="K17" s="303">
        <f>'Pay App 16'!H33</f>
        <v>0</v>
      </c>
      <c r="L17" s="303">
        <f>IF(M17&gt;0,'Pay App 16'!$G$149,0)</f>
        <v>0</v>
      </c>
      <c r="M17" s="303">
        <f>'Pay App 16'!H149</f>
        <v>0</v>
      </c>
      <c r="O17" s="303" t="str">
        <f>'Pay App 1'!B72</f>
        <v>02 41 00</v>
      </c>
      <c r="P17" s="303" t="str">
        <f>'Pay App 1'!C72</f>
        <v>Demolition</v>
      </c>
      <c r="Q17" s="304">
        <f>SUMIFS('PCO Log'!$E27:$SJ27,'PCO Log'!$E$9:$SJ$9,'Graph Data'!Q$1,'PCO Log'!$E$7:$SJ$7,"Approved")</f>
        <v>0</v>
      </c>
      <c r="R17" s="304">
        <f>SUMIFS('PCO Log'!$E27:$SJ27,'PCO Log'!$E$9:$SJ$9,'Graph Data'!R$1,'PCO Log'!$E$7:$SJ$7,"Approved")</f>
        <v>0</v>
      </c>
      <c r="S17" s="304">
        <f>SUMIFS('PCO Log'!$E27:$SJ27,'PCO Log'!$E$9:$SJ$9,'Graph Data'!S$1,'PCO Log'!$E$7:$SJ$7,"Approved")</f>
        <v>0</v>
      </c>
      <c r="T17" s="304">
        <f>SUMIFS('PCO Log'!$E27:$SJ27,'PCO Log'!$E$9:$SJ$9,'Graph Data'!T$1,'PCO Log'!$E$7:$SJ$7,"Approved")</f>
        <v>0</v>
      </c>
      <c r="U17" s="304">
        <f>SUMIFS('PCO Log'!$E27:$SJ27,'PCO Log'!$E$9:$SJ$9,'Graph Data'!U$1,'PCO Log'!$E$7:$SJ$7,"Approved")</f>
        <v>0</v>
      </c>
      <c r="V17" s="304">
        <f>SUMIFS('PCO Log'!$E27:$SJ27,'PCO Log'!$E$9:$SJ$9,'Graph Data'!V$1,'PCO Log'!$E$7:$SJ$7,"Approved")</f>
        <v>0</v>
      </c>
      <c r="W17" s="304">
        <f>SUMIFS('PCO Log'!$E27:$SJ27,'PCO Log'!$E$9:$SJ$9,'Graph Data'!W$1,'PCO Log'!$E$7:$SJ$7,"Approved")</f>
        <v>0</v>
      </c>
      <c r="X17" s="304">
        <f>SUMIFS('PCO Log'!$E27:$SJ27,'PCO Log'!$E$9:$SJ$9,'Graph Data'!X$1,'PCO Log'!$E$7:$SJ$7,"Approved")</f>
        <v>0</v>
      </c>
      <c r="Y17" s="304">
        <f>SUMIFS('PCO Log'!$E27:$SJ27,'PCO Log'!$E$9:$SJ$9,'Graph Data'!Y$1,'PCO Log'!$E$7:$SJ$7,"Approved")</f>
        <v>0</v>
      </c>
      <c r="Z17" s="304">
        <f>SUMIFS('PCO Log'!$E27:$SJ27,'PCO Log'!$E$9:$SJ$9,'Graph Data'!Z$1,'PCO Log'!$E$7:$SJ$7,"Approved")</f>
        <v>0</v>
      </c>
      <c r="AA17" s="304">
        <f>SUMIFS('PCO Log'!$E27:$SJ27,'PCO Log'!$E$9:$SJ$9,'Graph Data'!AA$1,'PCO Log'!$E$7:$SJ$7,"Approved")</f>
        <v>0</v>
      </c>
      <c r="AB17" s="304">
        <f>SUMIFS('PCO Log'!$E27:$SJ27,'PCO Log'!$E$9:$SJ$9,'Graph Data'!AB$1,'PCO Log'!$E$7:$SJ$7,"Approved")</f>
        <v>0</v>
      </c>
      <c r="AC17" s="304">
        <f>SUMIFS('PCO Log'!$E27:$SJ27,'PCO Log'!$E$9:$SJ$9,'Graph Data'!AC$1,'PCO Log'!$E$7:$SJ$7,"Approved")</f>
        <v>0</v>
      </c>
      <c r="AD17" s="304">
        <f>SUMIFS('PCO Log'!$E27:$SJ27,'PCO Log'!$E$9:$SJ$9,'Graph Data'!AD$1,'PCO Log'!$E$7:$SJ$7,"Approved")</f>
        <v>0</v>
      </c>
      <c r="AE17" s="304">
        <f>SUMIFS('PCO Log'!$E27:$SJ27,'PCO Log'!$E$9:$SJ$9,'Graph Data'!AE$1,'PCO Log'!$E$7:$SJ$7,"Approved")</f>
        <v>0</v>
      </c>
      <c r="AF17" s="304">
        <f>SUMIFS('PCO Log'!$E27:$SJ27,'PCO Log'!$E$9:$SJ$9,'Graph Data'!AF$1,'PCO Log'!$E$7:$SJ$7,"Approved")</f>
        <v>0</v>
      </c>
      <c r="AG17" s="304">
        <f>SUMIFS('PCO Log'!$E27:$SJ27,'PCO Log'!$E$9:$SJ$9,'Graph Data'!AG$1,'PCO Log'!$E$7:$SJ$7,"Approved")</f>
        <v>0</v>
      </c>
      <c r="AH17" s="304">
        <f>SUMIFS('PCO Log'!$E27:$SJ27,'PCO Log'!$E$9:$SJ$9,'Graph Data'!AH$1,'PCO Log'!$E$7:$SJ$7,"Approved")</f>
        <v>0</v>
      </c>
      <c r="AI17" s="304">
        <f>SUMIFS('PCO Log'!$E27:$SJ27,'PCO Log'!$E$9:$SJ$9,'Graph Data'!AI$1,'PCO Log'!$E$7:$SJ$7,"Approved")</f>
        <v>0</v>
      </c>
      <c r="AJ17" s="304">
        <f>SUMIFS('PCO Log'!$E27:$SJ27,'PCO Log'!$E$9:$SJ$9,'Graph Data'!AJ$1,'PCO Log'!$E$7:$SJ$7,"Approved")</f>
        <v>0</v>
      </c>
      <c r="AK17" s="304">
        <f>SUMIFS('PCO Log'!$E27:$SJ27,'PCO Log'!$E$9:$SJ$9,'Graph Data'!AK$1,'PCO Log'!$E$7:$SJ$7,"Approved")</f>
        <v>0</v>
      </c>
      <c r="AL17" s="304">
        <f>SUMIFS('PCO Log'!$E27:$SJ27,'PCO Log'!$E$9:$SJ$9,'Graph Data'!AL$1,'PCO Log'!$E$7:$SJ$7,"Approved")</f>
        <v>0</v>
      </c>
      <c r="AM17" s="304">
        <f>SUMIFS('PCO Log'!$E27:$SJ27,'PCO Log'!$E$9:$SJ$9,'Graph Data'!AM$1,'PCO Log'!$E$7:$SJ$7,"Approved")</f>
        <v>0</v>
      </c>
      <c r="AN17" s="304">
        <f>SUMIFS('PCO Log'!$E27:$SJ27,'PCO Log'!$E$9:$SJ$9,'Graph Data'!AN$1,'PCO Log'!$E$7:$SJ$7,"Approved")</f>
        <v>0</v>
      </c>
      <c r="AO17" s="304">
        <f>SUMIFS('PCO Log'!$E27:$SJ27,'PCO Log'!$E$9:$SJ$9,'Graph Data'!AO$1,'PCO Log'!$E$7:$SJ$7,"Approved")</f>
        <v>0</v>
      </c>
      <c r="AP17" s="304">
        <f>SUMIFS('PCO Log'!$E27:$SJ27,'PCO Log'!$E$9:$SJ$9,'Graph Data'!AP$1,'PCO Log'!$E$7:$SJ$7,"Approved")</f>
        <v>0</v>
      </c>
      <c r="AQ17" s="304">
        <f>SUMIFS('PCO Log'!$E27:$SJ27,'PCO Log'!$E$9:$SJ$9,'Graph Data'!AQ$1,'PCO Log'!$E$7:$SJ$7,"Approved")</f>
        <v>0</v>
      </c>
      <c r="AR17" s="304">
        <f>SUMIFS('PCO Log'!$E27:$SJ27,'PCO Log'!$E$9:$SJ$9,'Graph Data'!AR$1,'PCO Log'!$E$7:$SJ$7,"Approved")</f>
        <v>0</v>
      </c>
      <c r="AS17" s="304">
        <f>SUMIFS('PCO Log'!$E27:$SJ27,'PCO Log'!$E$9:$SJ$9,'Graph Data'!AS$1,'PCO Log'!$E$7:$SJ$7,"Approved")</f>
        <v>0</v>
      </c>
      <c r="AT17" s="304">
        <f>SUMIFS('PCO Log'!$E27:$SJ27,'PCO Log'!$E$9:$SJ$9,'Graph Data'!AT$1,'PCO Log'!$E$7:$SJ$7,"Approved")</f>
        <v>0</v>
      </c>
      <c r="AU17" s="304">
        <f>SUMIFS('PCO Log'!$E27:$SJ27,'PCO Log'!$E$9:$SJ$9,'Graph Data'!AU$1,'PCO Log'!$E$7:$SJ$7,"Approved")</f>
        <v>0</v>
      </c>
      <c r="AV17" s="304">
        <f>SUMIFS('PCO Log'!$E27:$SJ27,'PCO Log'!$E$9:$SJ$9,'Graph Data'!AV$1,'PCO Log'!$E$7:$SJ$7,"Approved")</f>
        <v>0</v>
      </c>
      <c r="AW17" s="304">
        <f>SUMIFS('PCO Log'!$E27:$SJ27,'PCO Log'!$E$9:$SJ$9,'Graph Data'!AW$1,'PCO Log'!$E$7:$SJ$7,"Approved")</f>
        <v>0</v>
      </c>
      <c r="AX17" s="304">
        <f>SUMIFS('PCO Log'!$E27:$SJ27,'PCO Log'!$E$9:$SJ$9,'Graph Data'!AX$1,'PCO Log'!$E$7:$SJ$7,"Approved")</f>
        <v>0</v>
      </c>
      <c r="AY17" s="304">
        <f>SUMIFS('PCO Log'!$E27:$SJ27,'PCO Log'!$E$9:$SJ$9,'Graph Data'!AY$1,'PCO Log'!$E$7:$SJ$7,"Approved")</f>
        <v>0</v>
      </c>
      <c r="AZ17" s="304">
        <f>SUMIFS('PCO Log'!$E27:$SJ27,'PCO Log'!$E$9:$SJ$9,'Graph Data'!AZ$1,'PCO Log'!$E$7:$SJ$7,"Approved")</f>
        <v>0</v>
      </c>
      <c r="BA17" s="304">
        <f>SUMIFS('PCO Log'!$E27:$SJ27,'PCO Log'!$E$9:$SJ$9,'Graph Data'!BA$1,'PCO Log'!$E$7:$SJ$7,"Approved")</f>
        <v>0</v>
      </c>
      <c r="BB17" s="304">
        <f>SUMIFS('PCO Log'!$E27:$SJ27,'PCO Log'!$E$9:$SJ$9,'Graph Data'!BB$1,'PCO Log'!$E$7:$SJ$7,"Approved")</f>
        <v>0</v>
      </c>
      <c r="BC17" s="304">
        <f>SUMIFS('PCO Log'!$E27:$SJ27,'PCO Log'!$E$9:$SJ$9,'Graph Data'!BC$1,'PCO Log'!$E$7:$SJ$7,"Approved")</f>
        <v>0</v>
      </c>
      <c r="BD17" s="304">
        <f>SUMIFS('PCO Log'!$E27:$SJ27,'PCO Log'!$E$9:$SJ$9,'Graph Data'!BD$1,'PCO Log'!$E$7:$SJ$7,"Approved")</f>
        <v>0</v>
      </c>
      <c r="BE17" s="304">
        <f>SUMIFS('PCO Log'!$E27:$SJ27,'PCO Log'!$E$9:$SJ$9,'Graph Data'!BE$1,'PCO Log'!$E$7:$SJ$7,"Approved")</f>
        <v>0</v>
      </c>
      <c r="BF17" s="304">
        <f>SUMIFS('PCO Log'!$E27:$SJ27,'PCO Log'!$E$9:$SJ$9,'Graph Data'!BF$1,'PCO Log'!$E$7:$SJ$7,"Approved")</f>
        <v>0</v>
      </c>
      <c r="BG17" s="304">
        <f>SUMIFS('PCO Log'!$E27:$SJ27,'PCO Log'!$E$9:$SJ$9,'Graph Data'!BG$1,'PCO Log'!$E$7:$SJ$7,"Approved")</f>
        <v>0</v>
      </c>
      <c r="BH17" s="304">
        <f>SUMIFS('PCO Log'!$E27:$SJ27,'PCO Log'!$E$9:$SJ$9,'Graph Data'!BH$1,'PCO Log'!$E$7:$SJ$7,"Approved")</f>
        <v>0</v>
      </c>
      <c r="BI17" s="304">
        <f>SUMIFS('PCO Log'!$E27:$SJ27,'PCO Log'!$E$9:$SJ$9,'Graph Data'!BI$1,'PCO Log'!$E$7:$SJ$7,"Approved")</f>
        <v>0</v>
      </c>
      <c r="BJ17" s="304">
        <f>SUMIFS('PCO Log'!$E27:$SJ27,'PCO Log'!$E$9:$SJ$9,'Graph Data'!BJ$1,'PCO Log'!$E$7:$SJ$7,"Approved")</f>
        <v>0</v>
      </c>
      <c r="BK17" s="304">
        <f>SUMIFS('PCO Log'!$E27:$SJ27,'PCO Log'!$E$9:$SJ$9,'Graph Data'!BK$1,'PCO Log'!$E$7:$SJ$7,"Approved")</f>
        <v>0</v>
      </c>
      <c r="BL17" s="304">
        <f>SUMIFS('PCO Log'!$E27:$SJ27,'PCO Log'!$E$9:$SJ$9,'Graph Data'!BL$1,'PCO Log'!$E$7:$SJ$7,"Approved")</f>
        <v>0</v>
      </c>
      <c r="BM17" s="304">
        <f>SUMIFS('PCO Log'!$E27:$SJ27,'PCO Log'!$E$9:$SJ$9,'Graph Data'!BM$1,'PCO Log'!$E$7:$SJ$7,"Approved")</f>
        <v>0</v>
      </c>
      <c r="BN17" s="304">
        <f>SUMIFS('PCO Log'!$E27:$SJ27,'PCO Log'!$E$9:$SJ$9,'Graph Data'!BN$1,'PCO Log'!$E$7:$SJ$7,"Approved")</f>
        <v>0</v>
      </c>
      <c r="BO17" s="304">
        <f>SUMIFS('PCO Log'!$E27:$SJ27,'PCO Log'!$E$9:$SJ$9,'Graph Data'!BO$1,'PCO Log'!$E$7:$SJ$7,"Approved")</f>
        <v>0</v>
      </c>
      <c r="BP17" s="304">
        <f>SUMIFS('PCO Log'!$E27:$SJ27,'PCO Log'!$E$9:$SJ$9,'Graph Data'!BP$1,'PCO Log'!$E$7:$SJ$7,"Approved")</f>
        <v>0</v>
      </c>
      <c r="BQ17" s="304">
        <f>SUMIFS('PCO Log'!$E27:$SJ27,'PCO Log'!$E$9:$SJ$9,'Graph Data'!BQ$1,'PCO Log'!$E$7:$SJ$7,"Approved")</f>
        <v>0</v>
      </c>
      <c r="BR17" s="304">
        <f>SUMIFS('PCO Log'!$E27:$SJ27,'PCO Log'!$E$9:$SJ$9,'Graph Data'!BR$1,'PCO Log'!$E$7:$SJ$7,"Approved")</f>
        <v>0</v>
      </c>
      <c r="BS17" s="304">
        <f>SUMIFS('PCO Log'!$E27:$SJ27,'PCO Log'!$E$9:$SJ$9,'Graph Data'!BS$1,'PCO Log'!$E$7:$SJ$7,"Approved")</f>
        <v>0</v>
      </c>
      <c r="BT17" s="304">
        <f>SUMIFS('PCO Log'!$E27:$SJ27,'PCO Log'!$E$9:$SJ$9,'Graph Data'!BT$1,'PCO Log'!$E$7:$SJ$7,"Approved")</f>
        <v>0</v>
      </c>
      <c r="BU17" s="304">
        <f>SUMIFS('PCO Log'!$E27:$SJ27,'PCO Log'!$E$9:$SJ$9,'Graph Data'!BU$1,'PCO Log'!$E$7:$SJ$7,"Approved")</f>
        <v>0</v>
      </c>
      <c r="BV17" s="304">
        <f>SUMIFS('PCO Log'!$E27:$SJ27,'PCO Log'!$E$9:$SJ$9,'Graph Data'!BV$1,'PCO Log'!$E$7:$SJ$7,"Approved")</f>
        <v>0</v>
      </c>
      <c r="BW17" s="304">
        <f>SUMIFS('PCO Log'!$E27:$SJ27,'PCO Log'!$E$9:$SJ$9,'Graph Data'!BW$1,'PCO Log'!$E$7:$SJ$7,"Approved")</f>
        <v>0</v>
      </c>
      <c r="BX17" s="304">
        <f>SUMIFS('PCO Log'!$E27:$SJ27,'PCO Log'!$E$9:$SJ$9,'Graph Data'!BX$1,'PCO Log'!$E$7:$SJ$7,"Approved")</f>
        <v>0</v>
      </c>
    </row>
    <row r="18" spans="1:76" x14ac:dyDescent="0.25">
      <c r="A18" s="303" t="s">
        <v>358</v>
      </c>
      <c r="B18" s="303">
        <f>'PCO Log'!U7</f>
        <v>0</v>
      </c>
      <c r="C18" s="303">
        <f>'PCO Log'!U4</f>
        <v>0</v>
      </c>
      <c r="D18" s="303" cm="1">
        <f t="array" ref="D18">INDEX('PCO Log'!$E$5:$SJ$5, 1, ROWS('Graph Data'!$D$2:D18))</f>
        <v>0</v>
      </c>
      <c r="E18" s="303">
        <f>'PCO Log'!U8</f>
        <v>0</v>
      </c>
      <c r="F18" s="303">
        <f>'PCO Log'!U3</f>
        <v>0</v>
      </c>
      <c r="G18" s="304">
        <f>'PCO Log'!U10</f>
        <v>0</v>
      </c>
      <c r="H18" s="305">
        <f>'PCO Log'!U6</f>
        <v>0</v>
      </c>
      <c r="J18" s="303" t="s">
        <v>285</v>
      </c>
      <c r="K18" s="303">
        <f>'Pay App 17'!H33</f>
        <v>0</v>
      </c>
      <c r="L18" s="303">
        <f>IF(M18&gt;0,'Pay App 17'!$G$149,0)</f>
        <v>0</v>
      </c>
      <c r="M18" s="303">
        <f>'Pay App 17'!H149</f>
        <v>0</v>
      </c>
      <c r="O18" s="303" t="str">
        <f>'Pay App 1'!B73</f>
        <v>02 82 00</v>
      </c>
      <c r="P18" s="303" t="str">
        <f>'Pay App 1'!C73</f>
        <v>Asbestos Abatement</v>
      </c>
      <c r="Q18" s="304">
        <f>SUMIFS('PCO Log'!$E28:$SJ28,'PCO Log'!$E$9:$SJ$9,'Graph Data'!Q$1,'PCO Log'!$E$7:$SJ$7,"Approved")</f>
        <v>0</v>
      </c>
      <c r="R18" s="304">
        <f>SUMIFS('PCO Log'!$E28:$SJ28,'PCO Log'!$E$9:$SJ$9,'Graph Data'!R$1,'PCO Log'!$E$7:$SJ$7,"Approved")</f>
        <v>0</v>
      </c>
      <c r="S18" s="304">
        <f>SUMIFS('PCO Log'!$E28:$SJ28,'PCO Log'!$E$9:$SJ$9,'Graph Data'!S$1,'PCO Log'!$E$7:$SJ$7,"Approved")</f>
        <v>0</v>
      </c>
      <c r="T18" s="304">
        <f>SUMIFS('PCO Log'!$E28:$SJ28,'PCO Log'!$E$9:$SJ$9,'Graph Data'!T$1,'PCO Log'!$E$7:$SJ$7,"Approved")</f>
        <v>0</v>
      </c>
      <c r="U18" s="304">
        <f>SUMIFS('PCO Log'!$E28:$SJ28,'PCO Log'!$E$9:$SJ$9,'Graph Data'!U$1,'PCO Log'!$E$7:$SJ$7,"Approved")</f>
        <v>0</v>
      </c>
      <c r="V18" s="304">
        <f>SUMIFS('PCO Log'!$E28:$SJ28,'PCO Log'!$E$9:$SJ$9,'Graph Data'!V$1,'PCO Log'!$E$7:$SJ$7,"Approved")</f>
        <v>0</v>
      </c>
      <c r="W18" s="304">
        <f>SUMIFS('PCO Log'!$E28:$SJ28,'PCO Log'!$E$9:$SJ$9,'Graph Data'!W$1,'PCO Log'!$E$7:$SJ$7,"Approved")</f>
        <v>0</v>
      </c>
      <c r="X18" s="304">
        <f>SUMIFS('PCO Log'!$E28:$SJ28,'PCO Log'!$E$9:$SJ$9,'Graph Data'!X$1,'PCO Log'!$E$7:$SJ$7,"Approved")</f>
        <v>0</v>
      </c>
      <c r="Y18" s="304">
        <f>SUMIFS('PCO Log'!$E28:$SJ28,'PCO Log'!$E$9:$SJ$9,'Graph Data'!Y$1,'PCO Log'!$E$7:$SJ$7,"Approved")</f>
        <v>0</v>
      </c>
      <c r="Z18" s="304">
        <f>SUMIFS('PCO Log'!$E28:$SJ28,'PCO Log'!$E$9:$SJ$9,'Graph Data'!Z$1,'PCO Log'!$E$7:$SJ$7,"Approved")</f>
        <v>0</v>
      </c>
      <c r="AA18" s="304">
        <f>SUMIFS('PCO Log'!$E28:$SJ28,'PCO Log'!$E$9:$SJ$9,'Graph Data'!AA$1,'PCO Log'!$E$7:$SJ$7,"Approved")</f>
        <v>0</v>
      </c>
      <c r="AB18" s="304">
        <f>SUMIFS('PCO Log'!$E28:$SJ28,'PCO Log'!$E$9:$SJ$9,'Graph Data'!AB$1,'PCO Log'!$E$7:$SJ$7,"Approved")</f>
        <v>0</v>
      </c>
      <c r="AC18" s="304">
        <f>SUMIFS('PCO Log'!$E28:$SJ28,'PCO Log'!$E$9:$SJ$9,'Graph Data'!AC$1,'PCO Log'!$E$7:$SJ$7,"Approved")</f>
        <v>0</v>
      </c>
      <c r="AD18" s="304">
        <f>SUMIFS('PCO Log'!$E28:$SJ28,'PCO Log'!$E$9:$SJ$9,'Graph Data'!AD$1,'PCO Log'!$E$7:$SJ$7,"Approved")</f>
        <v>0</v>
      </c>
      <c r="AE18" s="304">
        <f>SUMIFS('PCO Log'!$E28:$SJ28,'PCO Log'!$E$9:$SJ$9,'Graph Data'!AE$1,'PCO Log'!$E$7:$SJ$7,"Approved")</f>
        <v>0</v>
      </c>
      <c r="AF18" s="304">
        <f>SUMIFS('PCO Log'!$E28:$SJ28,'PCO Log'!$E$9:$SJ$9,'Graph Data'!AF$1,'PCO Log'!$E$7:$SJ$7,"Approved")</f>
        <v>0</v>
      </c>
      <c r="AG18" s="304">
        <f>SUMIFS('PCO Log'!$E28:$SJ28,'PCO Log'!$E$9:$SJ$9,'Graph Data'!AG$1,'PCO Log'!$E$7:$SJ$7,"Approved")</f>
        <v>0</v>
      </c>
      <c r="AH18" s="304">
        <f>SUMIFS('PCO Log'!$E28:$SJ28,'PCO Log'!$E$9:$SJ$9,'Graph Data'!AH$1,'PCO Log'!$E$7:$SJ$7,"Approved")</f>
        <v>0</v>
      </c>
      <c r="AI18" s="304">
        <f>SUMIFS('PCO Log'!$E28:$SJ28,'PCO Log'!$E$9:$SJ$9,'Graph Data'!AI$1,'PCO Log'!$E$7:$SJ$7,"Approved")</f>
        <v>0</v>
      </c>
      <c r="AJ18" s="304">
        <f>SUMIFS('PCO Log'!$E28:$SJ28,'PCO Log'!$E$9:$SJ$9,'Graph Data'!AJ$1,'PCO Log'!$E$7:$SJ$7,"Approved")</f>
        <v>0</v>
      </c>
      <c r="AK18" s="304">
        <f>SUMIFS('PCO Log'!$E28:$SJ28,'PCO Log'!$E$9:$SJ$9,'Graph Data'!AK$1,'PCO Log'!$E$7:$SJ$7,"Approved")</f>
        <v>0</v>
      </c>
      <c r="AL18" s="304">
        <f>SUMIFS('PCO Log'!$E28:$SJ28,'PCO Log'!$E$9:$SJ$9,'Graph Data'!AL$1,'PCO Log'!$E$7:$SJ$7,"Approved")</f>
        <v>0</v>
      </c>
      <c r="AM18" s="304">
        <f>SUMIFS('PCO Log'!$E28:$SJ28,'PCO Log'!$E$9:$SJ$9,'Graph Data'!AM$1,'PCO Log'!$E$7:$SJ$7,"Approved")</f>
        <v>0</v>
      </c>
      <c r="AN18" s="304">
        <f>SUMIFS('PCO Log'!$E28:$SJ28,'PCO Log'!$E$9:$SJ$9,'Graph Data'!AN$1,'PCO Log'!$E$7:$SJ$7,"Approved")</f>
        <v>0</v>
      </c>
      <c r="AO18" s="304">
        <f>SUMIFS('PCO Log'!$E28:$SJ28,'PCO Log'!$E$9:$SJ$9,'Graph Data'!AO$1,'PCO Log'!$E$7:$SJ$7,"Approved")</f>
        <v>0</v>
      </c>
      <c r="AP18" s="304">
        <f>SUMIFS('PCO Log'!$E28:$SJ28,'PCO Log'!$E$9:$SJ$9,'Graph Data'!AP$1,'PCO Log'!$E$7:$SJ$7,"Approved")</f>
        <v>0</v>
      </c>
      <c r="AQ18" s="304">
        <f>SUMIFS('PCO Log'!$E28:$SJ28,'PCO Log'!$E$9:$SJ$9,'Graph Data'!AQ$1,'PCO Log'!$E$7:$SJ$7,"Approved")</f>
        <v>0</v>
      </c>
      <c r="AR18" s="304">
        <f>SUMIFS('PCO Log'!$E28:$SJ28,'PCO Log'!$E$9:$SJ$9,'Graph Data'!AR$1,'PCO Log'!$E$7:$SJ$7,"Approved")</f>
        <v>0</v>
      </c>
      <c r="AS18" s="304">
        <f>SUMIFS('PCO Log'!$E28:$SJ28,'PCO Log'!$E$9:$SJ$9,'Graph Data'!AS$1,'PCO Log'!$E$7:$SJ$7,"Approved")</f>
        <v>0</v>
      </c>
      <c r="AT18" s="304">
        <f>SUMIFS('PCO Log'!$E28:$SJ28,'PCO Log'!$E$9:$SJ$9,'Graph Data'!AT$1,'PCO Log'!$E$7:$SJ$7,"Approved")</f>
        <v>0</v>
      </c>
      <c r="AU18" s="304">
        <f>SUMIFS('PCO Log'!$E28:$SJ28,'PCO Log'!$E$9:$SJ$9,'Graph Data'!AU$1,'PCO Log'!$E$7:$SJ$7,"Approved")</f>
        <v>0</v>
      </c>
      <c r="AV18" s="304">
        <f>SUMIFS('PCO Log'!$E28:$SJ28,'PCO Log'!$E$9:$SJ$9,'Graph Data'!AV$1,'PCO Log'!$E$7:$SJ$7,"Approved")</f>
        <v>0</v>
      </c>
      <c r="AW18" s="304">
        <f>SUMIFS('PCO Log'!$E28:$SJ28,'PCO Log'!$E$9:$SJ$9,'Graph Data'!AW$1,'PCO Log'!$E$7:$SJ$7,"Approved")</f>
        <v>0</v>
      </c>
      <c r="AX18" s="304">
        <f>SUMIFS('PCO Log'!$E28:$SJ28,'PCO Log'!$E$9:$SJ$9,'Graph Data'!AX$1,'PCO Log'!$E$7:$SJ$7,"Approved")</f>
        <v>0</v>
      </c>
      <c r="AY18" s="304">
        <f>SUMIFS('PCO Log'!$E28:$SJ28,'PCO Log'!$E$9:$SJ$9,'Graph Data'!AY$1,'PCO Log'!$E$7:$SJ$7,"Approved")</f>
        <v>0</v>
      </c>
      <c r="AZ18" s="304">
        <f>SUMIFS('PCO Log'!$E28:$SJ28,'PCO Log'!$E$9:$SJ$9,'Graph Data'!AZ$1,'PCO Log'!$E$7:$SJ$7,"Approved")</f>
        <v>0</v>
      </c>
      <c r="BA18" s="304">
        <f>SUMIFS('PCO Log'!$E28:$SJ28,'PCO Log'!$E$9:$SJ$9,'Graph Data'!BA$1,'PCO Log'!$E$7:$SJ$7,"Approved")</f>
        <v>0</v>
      </c>
      <c r="BB18" s="304">
        <f>SUMIFS('PCO Log'!$E28:$SJ28,'PCO Log'!$E$9:$SJ$9,'Graph Data'!BB$1,'PCO Log'!$E$7:$SJ$7,"Approved")</f>
        <v>0</v>
      </c>
      <c r="BC18" s="304">
        <f>SUMIFS('PCO Log'!$E28:$SJ28,'PCO Log'!$E$9:$SJ$9,'Graph Data'!BC$1,'PCO Log'!$E$7:$SJ$7,"Approved")</f>
        <v>0</v>
      </c>
      <c r="BD18" s="304">
        <f>SUMIFS('PCO Log'!$E28:$SJ28,'PCO Log'!$E$9:$SJ$9,'Graph Data'!BD$1,'PCO Log'!$E$7:$SJ$7,"Approved")</f>
        <v>0</v>
      </c>
      <c r="BE18" s="304">
        <f>SUMIFS('PCO Log'!$E28:$SJ28,'PCO Log'!$E$9:$SJ$9,'Graph Data'!BE$1,'PCO Log'!$E$7:$SJ$7,"Approved")</f>
        <v>0</v>
      </c>
      <c r="BF18" s="304">
        <f>SUMIFS('PCO Log'!$E28:$SJ28,'PCO Log'!$E$9:$SJ$9,'Graph Data'!BF$1,'PCO Log'!$E$7:$SJ$7,"Approved")</f>
        <v>0</v>
      </c>
      <c r="BG18" s="304">
        <f>SUMIFS('PCO Log'!$E28:$SJ28,'PCO Log'!$E$9:$SJ$9,'Graph Data'!BG$1,'PCO Log'!$E$7:$SJ$7,"Approved")</f>
        <v>0</v>
      </c>
      <c r="BH18" s="304">
        <f>SUMIFS('PCO Log'!$E28:$SJ28,'PCO Log'!$E$9:$SJ$9,'Graph Data'!BH$1,'PCO Log'!$E$7:$SJ$7,"Approved")</f>
        <v>0</v>
      </c>
      <c r="BI18" s="304">
        <f>SUMIFS('PCO Log'!$E28:$SJ28,'PCO Log'!$E$9:$SJ$9,'Graph Data'!BI$1,'PCO Log'!$E$7:$SJ$7,"Approved")</f>
        <v>0</v>
      </c>
      <c r="BJ18" s="304">
        <f>SUMIFS('PCO Log'!$E28:$SJ28,'PCO Log'!$E$9:$SJ$9,'Graph Data'!BJ$1,'PCO Log'!$E$7:$SJ$7,"Approved")</f>
        <v>0</v>
      </c>
      <c r="BK18" s="304">
        <f>SUMIFS('PCO Log'!$E28:$SJ28,'PCO Log'!$E$9:$SJ$9,'Graph Data'!BK$1,'PCO Log'!$E$7:$SJ$7,"Approved")</f>
        <v>0</v>
      </c>
      <c r="BL18" s="304">
        <f>SUMIFS('PCO Log'!$E28:$SJ28,'PCO Log'!$E$9:$SJ$9,'Graph Data'!BL$1,'PCO Log'!$E$7:$SJ$7,"Approved")</f>
        <v>0</v>
      </c>
      <c r="BM18" s="304">
        <f>SUMIFS('PCO Log'!$E28:$SJ28,'PCO Log'!$E$9:$SJ$9,'Graph Data'!BM$1,'PCO Log'!$E$7:$SJ$7,"Approved")</f>
        <v>0</v>
      </c>
      <c r="BN18" s="304">
        <f>SUMIFS('PCO Log'!$E28:$SJ28,'PCO Log'!$E$9:$SJ$9,'Graph Data'!BN$1,'PCO Log'!$E$7:$SJ$7,"Approved")</f>
        <v>0</v>
      </c>
      <c r="BO18" s="304">
        <f>SUMIFS('PCO Log'!$E28:$SJ28,'PCO Log'!$E$9:$SJ$9,'Graph Data'!BO$1,'PCO Log'!$E$7:$SJ$7,"Approved")</f>
        <v>0</v>
      </c>
      <c r="BP18" s="304">
        <f>SUMIFS('PCO Log'!$E28:$SJ28,'PCO Log'!$E$9:$SJ$9,'Graph Data'!BP$1,'PCO Log'!$E$7:$SJ$7,"Approved")</f>
        <v>0</v>
      </c>
      <c r="BQ18" s="304">
        <f>SUMIFS('PCO Log'!$E28:$SJ28,'PCO Log'!$E$9:$SJ$9,'Graph Data'!BQ$1,'PCO Log'!$E$7:$SJ$7,"Approved")</f>
        <v>0</v>
      </c>
      <c r="BR18" s="304">
        <f>SUMIFS('PCO Log'!$E28:$SJ28,'PCO Log'!$E$9:$SJ$9,'Graph Data'!BR$1,'PCO Log'!$E$7:$SJ$7,"Approved")</f>
        <v>0</v>
      </c>
      <c r="BS18" s="304">
        <f>SUMIFS('PCO Log'!$E28:$SJ28,'PCO Log'!$E$9:$SJ$9,'Graph Data'!BS$1,'PCO Log'!$E$7:$SJ$7,"Approved")</f>
        <v>0</v>
      </c>
      <c r="BT18" s="304">
        <f>SUMIFS('PCO Log'!$E28:$SJ28,'PCO Log'!$E$9:$SJ$9,'Graph Data'!BT$1,'PCO Log'!$E$7:$SJ$7,"Approved")</f>
        <v>0</v>
      </c>
      <c r="BU18" s="304">
        <f>SUMIFS('PCO Log'!$E28:$SJ28,'PCO Log'!$E$9:$SJ$9,'Graph Data'!BU$1,'PCO Log'!$E$7:$SJ$7,"Approved")</f>
        <v>0</v>
      </c>
      <c r="BV18" s="304">
        <f>SUMIFS('PCO Log'!$E28:$SJ28,'PCO Log'!$E$9:$SJ$9,'Graph Data'!BV$1,'PCO Log'!$E$7:$SJ$7,"Approved")</f>
        <v>0</v>
      </c>
      <c r="BW18" s="304">
        <f>SUMIFS('PCO Log'!$E28:$SJ28,'PCO Log'!$E$9:$SJ$9,'Graph Data'!BW$1,'PCO Log'!$E$7:$SJ$7,"Approved")</f>
        <v>0</v>
      </c>
      <c r="BX18" s="304">
        <f>SUMIFS('PCO Log'!$E28:$SJ28,'PCO Log'!$E$9:$SJ$9,'Graph Data'!BX$1,'PCO Log'!$E$7:$SJ$7,"Approved")</f>
        <v>0</v>
      </c>
    </row>
    <row r="19" spans="1:76" x14ac:dyDescent="0.25">
      <c r="A19" s="303" t="s">
        <v>359</v>
      </c>
      <c r="B19" s="303">
        <f>'PCO Log'!V7</f>
        <v>0</v>
      </c>
      <c r="C19" s="303">
        <f>'PCO Log'!V4</f>
        <v>0</v>
      </c>
      <c r="D19" s="303" cm="1">
        <f t="array" ref="D19">INDEX('PCO Log'!$E$5:$SJ$5, 1, ROWS('Graph Data'!$D$2:D19))</f>
        <v>0</v>
      </c>
      <c r="E19" s="303">
        <f>'PCO Log'!V8</f>
        <v>0</v>
      </c>
      <c r="F19" s="303">
        <f>'PCO Log'!V3</f>
        <v>0</v>
      </c>
      <c r="G19" s="304">
        <f>'PCO Log'!V10</f>
        <v>0</v>
      </c>
      <c r="H19" s="305">
        <f>'PCO Log'!V6</f>
        <v>0</v>
      </c>
      <c r="J19" s="303" t="s">
        <v>286</v>
      </c>
      <c r="K19" s="303">
        <f>'Pay App 18'!H33</f>
        <v>0</v>
      </c>
      <c r="L19" s="303">
        <f>IF(M19&gt;0,'Pay App 18'!$G$149,0)</f>
        <v>0</v>
      </c>
      <c r="M19" s="303">
        <f>'Pay App 18'!H149</f>
        <v>0</v>
      </c>
      <c r="O19" s="303" t="str">
        <f>'Pay App 1'!B74</f>
        <v>03 00 00</v>
      </c>
      <c r="P19" s="303" t="str">
        <f>'Pay App 1'!C74</f>
        <v>Building Concrete</v>
      </c>
      <c r="Q19" s="304">
        <f>SUMIFS('PCO Log'!$E29:$SJ29,'PCO Log'!$E$9:$SJ$9,'Graph Data'!Q$1,'PCO Log'!$E$7:$SJ$7,"Approved")</f>
        <v>0</v>
      </c>
      <c r="R19" s="304">
        <f>SUMIFS('PCO Log'!$E29:$SJ29,'PCO Log'!$E$9:$SJ$9,'Graph Data'!R$1,'PCO Log'!$E$7:$SJ$7,"Approved")</f>
        <v>0</v>
      </c>
      <c r="S19" s="304">
        <f>SUMIFS('PCO Log'!$E29:$SJ29,'PCO Log'!$E$9:$SJ$9,'Graph Data'!S$1,'PCO Log'!$E$7:$SJ$7,"Approved")</f>
        <v>0</v>
      </c>
      <c r="T19" s="304">
        <f>SUMIFS('PCO Log'!$E29:$SJ29,'PCO Log'!$E$9:$SJ$9,'Graph Data'!T$1,'PCO Log'!$E$7:$SJ$7,"Approved")</f>
        <v>0</v>
      </c>
      <c r="U19" s="304">
        <f>SUMIFS('PCO Log'!$E29:$SJ29,'PCO Log'!$E$9:$SJ$9,'Graph Data'!U$1,'PCO Log'!$E$7:$SJ$7,"Approved")</f>
        <v>0</v>
      </c>
      <c r="V19" s="304">
        <f>SUMIFS('PCO Log'!$E29:$SJ29,'PCO Log'!$E$9:$SJ$9,'Graph Data'!V$1,'PCO Log'!$E$7:$SJ$7,"Approved")</f>
        <v>0</v>
      </c>
      <c r="W19" s="304">
        <f>SUMIFS('PCO Log'!$E29:$SJ29,'PCO Log'!$E$9:$SJ$9,'Graph Data'!W$1,'PCO Log'!$E$7:$SJ$7,"Approved")</f>
        <v>0</v>
      </c>
      <c r="X19" s="304">
        <f>SUMIFS('PCO Log'!$E29:$SJ29,'PCO Log'!$E$9:$SJ$9,'Graph Data'!X$1,'PCO Log'!$E$7:$SJ$7,"Approved")</f>
        <v>0</v>
      </c>
      <c r="Y19" s="304">
        <f>SUMIFS('PCO Log'!$E29:$SJ29,'PCO Log'!$E$9:$SJ$9,'Graph Data'!Y$1,'PCO Log'!$E$7:$SJ$7,"Approved")</f>
        <v>0</v>
      </c>
      <c r="Z19" s="304">
        <f>SUMIFS('PCO Log'!$E29:$SJ29,'PCO Log'!$E$9:$SJ$9,'Graph Data'!Z$1,'PCO Log'!$E$7:$SJ$7,"Approved")</f>
        <v>0</v>
      </c>
      <c r="AA19" s="304">
        <f>SUMIFS('PCO Log'!$E29:$SJ29,'PCO Log'!$E$9:$SJ$9,'Graph Data'!AA$1,'PCO Log'!$E$7:$SJ$7,"Approved")</f>
        <v>0</v>
      </c>
      <c r="AB19" s="304">
        <f>SUMIFS('PCO Log'!$E29:$SJ29,'PCO Log'!$E$9:$SJ$9,'Graph Data'!AB$1,'PCO Log'!$E$7:$SJ$7,"Approved")</f>
        <v>0</v>
      </c>
      <c r="AC19" s="304">
        <f>SUMIFS('PCO Log'!$E29:$SJ29,'PCO Log'!$E$9:$SJ$9,'Graph Data'!AC$1,'PCO Log'!$E$7:$SJ$7,"Approved")</f>
        <v>0</v>
      </c>
      <c r="AD19" s="304">
        <f>SUMIFS('PCO Log'!$E29:$SJ29,'PCO Log'!$E$9:$SJ$9,'Graph Data'!AD$1,'PCO Log'!$E$7:$SJ$7,"Approved")</f>
        <v>0</v>
      </c>
      <c r="AE19" s="304">
        <f>SUMIFS('PCO Log'!$E29:$SJ29,'PCO Log'!$E$9:$SJ$9,'Graph Data'!AE$1,'PCO Log'!$E$7:$SJ$7,"Approved")</f>
        <v>0</v>
      </c>
      <c r="AF19" s="304">
        <f>SUMIFS('PCO Log'!$E29:$SJ29,'PCO Log'!$E$9:$SJ$9,'Graph Data'!AF$1,'PCO Log'!$E$7:$SJ$7,"Approved")</f>
        <v>0</v>
      </c>
      <c r="AG19" s="304">
        <f>SUMIFS('PCO Log'!$E29:$SJ29,'PCO Log'!$E$9:$SJ$9,'Graph Data'!AG$1,'PCO Log'!$E$7:$SJ$7,"Approved")</f>
        <v>0</v>
      </c>
      <c r="AH19" s="304">
        <f>SUMIFS('PCO Log'!$E29:$SJ29,'PCO Log'!$E$9:$SJ$9,'Graph Data'!AH$1,'PCO Log'!$E$7:$SJ$7,"Approved")</f>
        <v>0</v>
      </c>
      <c r="AI19" s="304">
        <f>SUMIFS('PCO Log'!$E29:$SJ29,'PCO Log'!$E$9:$SJ$9,'Graph Data'!AI$1,'PCO Log'!$E$7:$SJ$7,"Approved")</f>
        <v>0</v>
      </c>
      <c r="AJ19" s="304">
        <f>SUMIFS('PCO Log'!$E29:$SJ29,'PCO Log'!$E$9:$SJ$9,'Graph Data'!AJ$1,'PCO Log'!$E$7:$SJ$7,"Approved")</f>
        <v>0</v>
      </c>
      <c r="AK19" s="304">
        <f>SUMIFS('PCO Log'!$E29:$SJ29,'PCO Log'!$E$9:$SJ$9,'Graph Data'!AK$1,'PCO Log'!$E$7:$SJ$7,"Approved")</f>
        <v>0</v>
      </c>
      <c r="AL19" s="304">
        <f>SUMIFS('PCO Log'!$E29:$SJ29,'PCO Log'!$E$9:$SJ$9,'Graph Data'!AL$1,'PCO Log'!$E$7:$SJ$7,"Approved")</f>
        <v>0</v>
      </c>
      <c r="AM19" s="304">
        <f>SUMIFS('PCO Log'!$E29:$SJ29,'PCO Log'!$E$9:$SJ$9,'Graph Data'!AM$1,'PCO Log'!$E$7:$SJ$7,"Approved")</f>
        <v>0</v>
      </c>
      <c r="AN19" s="304">
        <f>SUMIFS('PCO Log'!$E29:$SJ29,'PCO Log'!$E$9:$SJ$9,'Graph Data'!AN$1,'PCO Log'!$E$7:$SJ$7,"Approved")</f>
        <v>0</v>
      </c>
      <c r="AO19" s="304">
        <f>SUMIFS('PCO Log'!$E29:$SJ29,'PCO Log'!$E$9:$SJ$9,'Graph Data'!AO$1,'PCO Log'!$E$7:$SJ$7,"Approved")</f>
        <v>0</v>
      </c>
      <c r="AP19" s="304">
        <f>SUMIFS('PCO Log'!$E29:$SJ29,'PCO Log'!$E$9:$SJ$9,'Graph Data'!AP$1,'PCO Log'!$E$7:$SJ$7,"Approved")</f>
        <v>0</v>
      </c>
      <c r="AQ19" s="304">
        <f>SUMIFS('PCO Log'!$E29:$SJ29,'PCO Log'!$E$9:$SJ$9,'Graph Data'!AQ$1,'PCO Log'!$E$7:$SJ$7,"Approved")</f>
        <v>0</v>
      </c>
      <c r="AR19" s="304">
        <f>SUMIFS('PCO Log'!$E29:$SJ29,'PCO Log'!$E$9:$SJ$9,'Graph Data'!AR$1,'PCO Log'!$E$7:$SJ$7,"Approved")</f>
        <v>0</v>
      </c>
      <c r="AS19" s="304">
        <f>SUMIFS('PCO Log'!$E29:$SJ29,'PCO Log'!$E$9:$SJ$9,'Graph Data'!AS$1,'PCO Log'!$E$7:$SJ$7,"Approved")</f>
        <v>0</v>
      </c>
      <c r="AT19" s="304">
        <f>SUMIFS('PCO Log'!$E29:$SJ29,'PCO Log'!$E$9:$SJ$9,'Graph Data'!AT$1,'PCO Log'!$E$7:$SJ$7,"Approved")</f>
        <v>0</v>
      </c>
      <c r="AU19" s="304">
        <f>SUMIFS('PCO Log'!$E29:$SJ29,'PCO Log'!$E$9:$SJ$9,'Graph Data'!AU$1,'PCO Log'!$E$7:$SJ$7,"Approved")</f>
        <v>0</v>
      </c>
      <c r="AV19" s="304">
        <f>SUMIFS('PCO Log'!$E29:$SJ29,'PCO Log'!$E$9:$SJ$9,'Graph Data'!AV$1,'PCO Log'!$E$7:$SJ$7,"Approved")</f>
        <v>0</v>
      </c>
      <c r="AW19" s="304">
        <f>SUMIFS('PCO Log'!$E29:$SJ29,'PCO Log'!$E$9:$SJ$9,'Graph Data'!AW$1,'PCO Log'!$E$7:$SJ$7,"Approved")</f>
        <v>0</v>
      </c>
      <c r="AX19" s="304">
        <f>SUMIFS('PCO Log'!$E29:$SJ29,'PCO Log'!$E$9:$SJ$9,'Graph Data'!AX$1,'PCO Log'!$E$7:$SJ$7,"Approved")</f>
        <v>0</v>
      </c>
      <c r="AY19" s="304">
        <f>SUMIFS('PCO Log'!$E29:$SJ29,'PCO Log'!$E$9:$SJ$9,'Graph Data'!AY$1,'PCO Log'!$E$7:$SJ$7,"Approved")</f>
        <v>0</v>
      </c>
      <c r="AZ19" s="304">
        <f>SUMIFS('PCO Log'!$E29:$SJ29,'PCO Log'!$E$9:$SJ$9,'Graph Data'!AZ$1,'PCO Log'!$E$7:$SJ$7,"Approved")</f>
        <v>0</v>
      </c>
      <c r="BA19" s="304">
        <f>SUMIFS('PCO Log'!$E29:$SJ29,'PCO Log'!$E$9:$SJ$9,'Graph Data'!BA$1,'PCO Log'!$E$7:$SJ$7,"Approved")</f>
        <v>0</v>
      </c>
      <c r="BB19" s="304">
        <f>SUMIFS('PCO Log'!$E29:$SJ29,'PCO Log'!$E$9:$SJ$9,'Graph Data'!BB$1,'PCO Log'!$E$7:$SJ$7,"Approved")</f>
        <v>0</v>
      </c>
      <c r="BC19" s="304">
        <f>SUMIFS('PCO Log'!$E29:$SJ29,'PCO Log'!$E$9:$SJ$9,'Graph Data'!BC$1,'PCO Log'!$E$7:$SJ$7,"Approved")</f>
        <v>0</v>
      </c>
      <c r="BD19" s="304">
        <f>SUMIFS('PCO Log'!$E29:$SJ29,'PCO Log'!$E$9:$SJ$9,'Graph Data'!BD$1,'PCO Log'!$E$7:$SJ$7,"Approved")</f>
        <v>0</v>
      </c>
      <c r="BE19" s="304">
        <f>SUMIFS('PCO Log'!$E29:$SJ29,'PCO Log'!$E$9:$SJ$9,'Graph Data'!BE$1,'PCO Log'!$E$7:$SJ$7,"Approved")</f>
        <v>0</v>
      </c>
      <c r="BF19" s="304">
        <f>SUMIFS('PCO Log'!$E29:$SJ29,'PCO Log'!$E$9:$SJ$9,'Graph Data'!BF$1,'PCO Log'!$E$7:$SJ$7,"Approved")</f>
        <v>0</v>
      </c>
      <c r="BG19" s="304">
        <f>SUMIFS('PCO Log'!$E29:$SJ29,'PCO Log'!$E$9:$SJ$9,'Graph Data'!BG$1,'PCO Log'!$E$7:$SJ$7,"Approved")</f>
        <v>0</v>
      </c>
      <c r="BH19" s="304">
        <f>SUMIFS('PCO Log'!$E29:$SJ29,'PCO Log'!$E$9:$SJ$9,'Graph Data'!BH$1,'PCO Log'!$E$7:$SJ$7,"Approved")</f>
        <v>0</v>
      </c>
      <c r="BI19" s="304">
        <f>SUMIFS('PCO Log'!$E29:$SJ29,'PCO Log'!$E$9:$SJ$9,'Graph Data'!BI$1,'PCO Log'!$E$7:$SJ$7,"Approved")</f>
        <v>0</v>
      </c>
      <c r="BJ19" s="304">
        <f>SUMIFS('PCO Log'!$E29:$SJ29,'PCO Log'!$E$9:$SJ$9,'Graph Data'!BJ$1,'PCO Log'!$E$7:$SJ$7,"Approved")</f>
        <v>0</v>
      </c>
      <c r="BK19" s="304">
        <f>SUMIFS('PCO Log'!$E29:$SJ29,'PCO Log'!$E$9:$SJ$9,'Graph Data'!BK$1,'PCO Log'!$E$7:$SJ$7,"Approved")</f>
        <v>0</v>
      </c>
      <c r="BL19" s="304">
        <f>SUMIFS('PCO Log'!$E29:$SJ29,'PCO Log'!$E$9:$SJ$9,'Graph Data'!BL$1,'PCO Log'!$E$7:$SJ$7,"Approved")</f>
        <v>0</v>
      </c>
      <c r="BM19" s="304">
        <f>SUMIFS('PCO Log'!$E29:$SJ29,'PCO Log'!$E$9:$SJ$9,'Graph Data'!BM$1,'PCO Log'!$E$7:$SJ$7,"Approved")</f>
        <v>0</v>
      </c>
      <c r="BN19" s="304">
        <f>SUMIFS('PCO Log'!$E29:$SJ29,'PCO Log'!$E$9:$SJ$9,'Graph Data'!BN$1,'PCO Log'!$E$7:$SJ$7,"Approved")</f>
        <v>0</v>
      </c>
      <c r="BO19" s="304">
        <f>SUMIFS('PCO Log'!$E29:$SJ29,'PCO Log'!$E$9:$SJ$9,'Graph Data'!BO$1,'PCO Log'!$E$7:$SJ$7,"Approved")</f>
        <v>0</v>
      </c>
      <c r="BP19" s="304">
        <f>SUMIFS('PCO Log'!$E29:$SJ29,'PCO Log'!$E$9:$SJ$9,'Graph Data'!BP$1,'PCO Log'!$E$7:$SJ$7,"Approved")</f>
        <v>0</v>
      </c>
      <c r="BQ19" s="304">
        <f>SUMIFS('PCO Log'!$E29:$SJ29,'PCO Log'!$E$9:$SJ$9,'Graph Data'!BQ$1,'PCO Log'!$E$7:$SJ$7,"Approved")</f>
        <v>0</v>
      </c>
      <c r="BR19" s="304">
        <f>SUMIFS('PCO Log'!$E29:$SJ29,'PCO Log'!$E$9:$SJ$9,'Graph Data'!BR$1,'PCO Log'!$E$7:$SJ$7,"Approved")</f>
        <v>0</v>
      </c>
      <c r="BS19" s="304">
        <f>SUMIFS('PCO Log'!$E29:$SJ29,'PCO Log'!$E$9:$SJ$9,'Graph Data'!BS$1,'PCO Log'!$E$7:$SJ$7,"Approved")</f>
        <v>0</v>
      </c>
      <c r="BT19" s="304">
        <f>SUMIFS('PCO Log'!$E29:$SJ29,'PCO Log'!$E$9:$SJ$9,'Graph Data'!BT$1,'PCO Log'!$E$7:$SJ$7,"Approved")</f>
        <v>0</v>
      </c>
      <c r="BU19" s="304">
        <f>SUMIFS('PCO Log'!$E29:$SJ29,'PCO Log'!$E$9:$SJ$9,'Graph Data'!BU$1,'PCO Log'!$E$7:$SJ$7,"Approved")</f>
        <v>0</v>
      </c>
      <c r="BV19" s="304">
        <f>SUMIFS('PCO Log'!$E29:$SJ29,'PCO Log'!$E$9:$SJ$9,'Graph Data'!BV$1,'PCO Log'!$E$7:$SJ$7,"Approved")</f>
        <v>0</v>
      </c>
      <c r="BW19" s="304">
        <f>SUMIFS('PCO Log'!$E29:$SJ29,'PCO Log'!$E$9:$SJ$9,'Graph Data'!BW$1,'PCO Log'!$E$7:$SJ$7,"Approved")</f>
        <v>0</v>
      </c>
      <c r="BX19" s="304">
        <f>SUMIFS('PCO Log'!$E29:$SJ29,'PCO Log'!$E$9:$SJ$9,'Graph Data'!BX$1,'PCO Log'!$E$7:$SJ$7,"Approved")</f>
        <v>0</v>
      </c>
    </row>
    <row r="20" spans="1:76" x14ac:dyDescent="0.25">
      <c r="A20" s="303" t="s">
        <v>360</v>
      </c>
      <c r="B20" s="303">
        <f>'PCO Log'!W7</f>
        <v>0</v>
      </c>
      <c r="C20" s="303">
        <f>'PCO Log'!W4</f>
        <v>0</v>
      </c>
      <c r="D20" s="303" cm="1">
        <f t="array" ref="D20">INDEX('PCO Log'!$E$5:$SJ$5, 1, ROWS('Graph Data'!$D$2:D20))</f>
        <v>0</v>
      </c>
      <c r="E20" s="303">
        <f>'PCO Log'!W8</f>
        <v>0</v>
      </c>
      <c r="F20" s="303">
        <f>'PCO Log'!W3</f>
        <v>0</v>
      </c>
      <c r="G20" s="304">
        <f>'PCO Log'!W10</f>
        <v>0</v>
      </c>
      <c r="H20" s="305">
        <f>'PCO Log'!W6</f>
        <v>0</v>
      </c>
      <c r="J20" s="303" t="s">
        <v>287</v>
      </c>
      <c r="K20" s="303">
        <f>'Pay App 19'!H33</f>
        <v>0</v>
      </c>
      <c r="L20" s="303">
        <f>IF(M20&gt;0,'Pay App 19'!$G$149,0)</f>
        <v>0</v>
      </c>
      <c r="M20" s="303">
        <f>'Pay App 19'!H149</f>
        <v>0</v>
      </c>
      <c r="O20" s="303" t="str">
        <f>'Pay App 1'!B75</f>
        <v>03 20 00</v>
      </c>
      <c r="P20" s="303" t="str">
        <f>'Pay App 1'!C75</f>
        <v>Building Concrete Reinforcing</v>
      </c>
      <c r="Q20" s="304">
        <f>SUMIFS('PCO Log'!$E30:$SJ30,'PCO Log'!$E$9:$SJ$9,'Graph Data'!Q$1,'PCO Log'!$E$7:$SJ$7,"Approved")</f>
        <v>0</v>
      </c>
      <c r="R20" s="304">
        <f>SUMIFS('PCO Log'!$E30:$SJ30,'PCO Log'!$E$9:$SJ$9,'Graph Data'!R$1,'PCO Log'!$E$7:$SJ$7,"Approved")</f>
        <v>0</v>
      </c>
      <c r="S20" s="304">
        <f>SUMIFS('PCO Log'!$E30:$SJ30,'PCO Log'!$E$9:$SJ$9,'Graph Data'!S$1,'PCO Log'!$E$7:$SJ$7,"Approved")</f>
        <v>0</v>
      </c>
      <c r="T20" s="304">
        <f>SUMIFS('PCO Log'!$E30:$SJ30,'PCO Log'!$E$9:$SJ$9,'Graph Data'!T$1,'PCO Log'!$E$7:$SJ$7,"Approved")</f>
        <v>0</v>
      </c>
      <c r="U20" s="304">
        <f>SUMIFS('PCO Log'!$E30:$SJ30,'PCO Log'!$E$9:$SJ$9,'Graph Data'!U$1,'PCO Log'!$E$7:$SJ$7,"Approved")</f>
        <v>0</v>
      </c>
      <c r="V20" s="304">
        <f>SUMIFS('PCO Log'!$E30:$SJ30,'PCO Log'!$E$9:$SJ$9,'Graph Data'!V$1,'PCO Log'!$E$7:$SJ$7,"Approved")</f>
        <v>0</v>
      </c>
      <c r="W20" s="304">
        <f>SUMIFS('PCO Log'!$E30:$SJ30,'PCO Log'!$E$9:$SJ$9,'Graph Data'!W$1,'PCO Log'!$E$7:$SJ$7,"Approved")</f>
        <v>0</v>
      </c>
      <c r="X20" s="304">
        <f>SUMIFS('PCO Log'!$E30:$SJ30,'PCO Log'!$E$9:$SJ$9,'Graph Data'!X$1,'PCO Log'!$E$7:$SJ$7,"Approved")</f>
        <v>0</v>
      </c>
      <c r="Y20" s="304">
        <f>SUMIFS('PCO Log'!$E30:$SJ30,'PCO Log'!$E$9:$SJ$9,'Graph Data'!Y$1,'PCO Log'!$E$7:$SJ$7,"Approved")</f>
        <v>0</v>
      </c>
      <c r="Z20" s="304">
        <f>SUMIFS('PCO Log'!$E30:$SJ30,'PCO Log'!$E$9:$SJ$9,'Graph Data'!Z$1,'PCO Log'!$E$7:$SJ$7,"Approved")</f>
        <v>0</v>
      </c>
      <c r="AA20" s="304">
        <f>SUMIFS('PCO Log'!$E30:$SJ30,'PCO Log'!$E$9:$SJ$9,'Graph Data'!AA$1,'PCO Log'!$E$7:$SJ$7,"Approved")</f>
        <v>0</v>
      </c>
      <c r="AB20" s="304">
        <f>SUMIFS('PCO Log'!$E30:$SJ30,'PCO Log'!$E$9:$SJ$9,'Graph Data'!AB$1,'PCO Log'!$E$7:$SJ$7,"Approved")</f>
        <v>0</v>
      </c>
      <c r="AC20" s="304">
        <f>SUMIFS('PCO Log'!$E30:$SJ30,'PCO Log'!$E$9:$SJ$9,'Graph Data'!AC$1,'PCO Log'!$E$7:$SJ$7,"Approved")</f>
        <v>0</v>
      </c>
      <c r="AD20" s="304">
        <f>SUMIFS('PCO Log'!$E30:$SJ30,'PCO Log'!$E$9:$SJ$9,'Graph Data'!AD$1,'PCO Log'!$E$7:$SJ$7,"Approved")</f>
        <v>0</v>
      </c>
      <c r="AE20" s="304">
        <f>SUMIFS('PCO Log'!$E30:$SJ30,'PCO Log'!$E$9:$SJ$9,'Graph Data'!AE$1,'PCO Log'!$E$7:$SJ$7,"Approved")</f>
        <v>0</v>
      </c>
      <c r="AF20" s="304">
        <f>SUMIFS('PCO Log'!$E30:$SJ30,'PCO Log'!$E$9:$SJ$9,'Graph Data'!AF$1,'PCO Log'!$E$7:$SJ$7,"Approved")</f>
        <v>0</v>
      </c>
      <c r="AG20" s="304">
        <f>SUMIFS('PCO Log'!$E30:$SJ30,'PCO Log'!$E$9:$SJ$9,'Graph Data'!AG$1,'PCO Log'!$E$7:$SJ$7,"Approved")</f>
        <v>0</v>
      </c>
      <c r="AH20" s="304">
        <f>SUMIFS('PCO Log'!$E30:$SJ30,'PCO Log'!$E$9:$SJ$9,'Graph Data'!AH$1,'PCO Log'!$E$7:$SJ$7,"Approved")</f>
        <v>0</v>
      </c>
      <c r="AI20" s="304">
        <f>SUMIFS('PCO Log'!$E30:$SJ30,'PCO Log'!$E$9:$SJ$9,'Graph Data'!AI$1,'PCO Log'!$E$7:$SJ$7,"Approved")</f>
        <v>0</v>
      </c>
      <c r="AJ20" s="304">
        <f>SUMIFS('PCO Log'!$E30:$SJ30,'PCO Log'!$E$9:$SJ$9,'Graph Data'!AJ$1,'PCO Log'!$E$7:$SJ$7,"Approved")</f>
        <v>0</v>
      </c>
      <c r="AK20" s="304">
        <f>SUMIFS('PCO Log'!$E30:$SJ30,'PCO Log'!$E$9:$SJ$9,'Graph Data'!AK$1,'PCO Log'!$E$7:$SJ$7,"Approved")</f>
        <v>0</v>
      </c>
      <c r="AL20" s="304">
        <f>SUMIFS('PCO Log'!$E30:$SJ30,'PCO Log'!$E$9:$SJ$9,'Graph Data'!AL$1,'PCO Log'!$E$7:$SJ$7,"Approved")</f>
        <v>0</v>
      </c>
      <c r="AM20" s="304">
        <f>SUMIFS('PCO Log'!$E30:$SJ30,'PCO Log'!$E$9:$SJ$9,'Graph Data'!AM$1,'PCO Log'!$E$7:$SJ$7,"Approved")</f>
        <v>0</v>
      </c>
      <c r="AN20" s="304">
        <f>SUMIFS('PCO Log'!$E30:$SJ30,'PCO Log'!$E$9:$SJ$9,'Graph Data'!AN$1,'PCO Log'!$E$7:$SJ$7,"Approved")</f>
        <v>0</v>
      </c>
      <c r="AO20" s="304">
        <f>SUMIFS('PCO Log'!$E30:$SJ30,'PCO Log'!$E$9:$SJ$9,'Graph Data'!AO$1,'PCO Log'!$E$7:$SJ$7,"Approved")</f>
        <v>0</v>
      </c>
      <c r="AP20" s="304">
        <f>SUMIFS('PCO Log'!$E30:$SJ30,'PCO Log'!$E$9:$SJ$9,'Graph Data'!AP$1,'PCO Log'!$E$7:$SJ$7,"Approved")</f>
        <v>0</v>
      </c>
      <c r="AQ20" s="304">
        <f>SUMIFS('PCO Log'!$E30:$SJ30,'PCO Log'!$E$9:$SJ$9,'Graph Data'!AQ$1,'PCO Log'!$E$7:$SJ$7,"Approved")</f>
        <v>0</v>
      </c>
      <c r="AR20" s="304">
        <f>SUMIFS('PCO Log'!$E30:$SJ30,'PCO Log'!$E$9:$SJ$9,'Graph Data'!AR$1,'PCO Log'!$E$7:$SJ$7,"Approved")</f>
        <v>0</v>
      </c>
      <c r="AS20" s="304">
        <f>SUMIFS('PCO Log'!$E30:$SJ30,'PCO Log'!$E$9:$SJ$9,'Graph Data'!AS$1,'PCO Log'!$E$7:$SJ$7,"Approved")</f>
        <v>0</v>
      </c>
      <c r="AT20" s="304">
        <f>SUMIFS('PCO Log'!$E30:$SJ30,'PCO Log'!$E$9:$SJ$9,'Graph Data'!AT$1,'PCO Log'!$E$7:$SJ$7,"Approved")</f>
        <v>0</v>
      </c>
      <c r="AU20" s="304">
        <f>SUMIFS('PCO Log'!$E30:$SJ30,'PCO Log'!$E$9:$SJ$9,'Graph Data'!AU$1,'PCO Log'!$E$7:$SJ$7,"Approved")</f>
        <v>0</v>
      </c>
      <c r="AV20" s="304">
        <f>SUMIFS('PCO Log'!$E30:$SJ30,'PCO Log'!$E$9:$SJ$9,'Graph Data'!AV$1,'PCO Log'!$E$7:$SJ$7,"Approved")</f>
        <v>0</v>
      </c>
      <c r="AW20" s="304">
        <f>SUMIFS('PCO Log'!$E30:$SJ30,'PCO Log'!$E$9:$SJ$9,'Graph Data'!AW$1,'PCO Log'!$E$7:$SJ$7,"Approved")</f>
        <v>0</v>
      </c>
      <c r="AX20" s="304">
        <f>SUMIFS('PCO Log'!$E30:$SJ30,'PCO Log'!$E$9:$SJ$9,'Graph Data'!AX$1,'PCO Log'!$E$7:$SJ$7,"Approved")</f>
        <v>0</v>
      </c>
      <c r="AY20" s="304">
        <f>SUMIFS('PCO Log'!$E30:$SJ30,'PCO Log'!$E$9:$SJ$9,'Graph Data'!AY$1,'PCO Log'!$E$7:$SJ$7,"Approved")</f>
        <v>0</v>
      </c>
      <c r="AZ20" s="304">
        <f>SUMIFS('PCO Log'!$E30:$SJ30,'PCO Log'!$E$9:$SJ$9,'Graph Data'!AZ$1,'PCO Log'!$E$7:$SJ$7,"Approved")</f>
        <v>0</v>
      </c>
      <c r="BA20" s="304">
        <f>SUMIFS('PCO Log'!$E30:$SJ30,'PCO Log'!$E$9:$SJ$9,'Graph Data'!BA$1,'PCO Log'!$E$7:$SJ$7,"Approved")</f>
        <v>0</v>
      </c>
      <c r="BB20" s="304">
        <f>SUMIFS('PCO Log'!$E30:$SJ30,'PCO Log'!$E$9:$SJ$9,'Graph Data'!BB$1,'PCO Log'!$E$7:$SJ$7,"Approved")</f>
        <v>0</v>
      </c>
      <c r="BC20" s="304">
        <f>SUMIFS('PCO Log'!$E30:$SJ30,'PCO Log'!$E$9:$SJ$9,'Graph Data'!BC$1,'PCO Log'!$E$7:$SJ$7,"Approved")</f>
        <v>0</v>
      </c>
      <c r="BD20" s="304">
        <f>SUMIFS('PCO Log'!$E30:$SJ30,'PCO Log'!$E$9:$SJ$9,'Graph Data'!BD$1,'PCO Log'!$E$7:$SJ$7,"Approved")</f>
        <v>0</v>
      </c>
      <c r="BE20" s="304">
        <f>SUMIFS('PCO Log'!$E30:$SJ30,'PCO Log'!$E$9:$SJ$9,'Graph Data'!BE$1,'PCO Log'!$E$7:$SJ$7,"Approved")</f>
        <v>0</v>
      </c>
      <c r="BF20" s="304">
        <f>SUMIFS('PCO Log'!$E30:$SJ30,'PCO Log'!$E$9:$SJ$9,'Graph Data'!BF$1,'PCO Log'!$E$7:$SJ$7,"Approved")</f>
        <v>0</v>
      </c>
      <c r="BG20" s="304">
        <f>SUMIFS('PCO Log'!$E30:$SJ30,'PCO Log'!$E$9:$SJ$9,'Graph Data'!BG$1,'PCO Log'!$E$7:$SJ$7,"Approved")</f>
        <v>0</v>
      </c>
      <c r="BH20" s="304">
        <f>SUMIFS('PCO Log'!$E30:$SJ30,'PCO Log'!$E$9:$SJ$9,'Graph Data'!BH$1,'PCO Log'!$E$7:$SJ$7,"Approved")</f>
        <v>0</v>
      </c>
      <c r="BI20" s="304">
        <f>SUMIFS('PCO Log'!$E30:$SJ30,'PCO Log'!$E$9:$SJ$9,'Graph Data'!BI$1,'PCO Log'!$E$7:$SJ$7,"Approved")</f>
        <v>0</v>
      </c>
      <c r="BJ20" s="304">
        <f>SUMIFS('PCO Log'!$E30:$SJ30,'PCO Log'!$E$9:$SJ$9,'Graph Data'!BJ$1,'PCO Log'!$E$7:$SJ$7,"Approved")</f>
        <v>0</v>
      </c>
      <c r="BK20" s="304">
        <f>SUMIFS('PCO Log'!$E30:$SJ30,'PCO Log'!$E$9:$SJ$9,'Graph Data'!BK$1,'PCO Log'!$E$7:$SJ$7,"Approved")</f>
        <v>0</v>
      </c>
      <c r="BL20" s="304">
        <f>SUMIFS('PCO Log'!$E30:$SJ30,'PCO Log'!$E$9:$SJ$9,'Graph Data'!BL$1,'PCO Log'!$E$7:$SJ$7,"Approved")</f>
        <v>0</v>
      </c>
      <c r="BM20" s="304">
        <f>SUMIFS('PCO Log'!$E30:$SJ30,'PCO Log'!$E$9:$SJ$9,'Graph Data'!BM$1,'PCO Log'!$E$7:$SJ$7,"Approved")</f>
        <v>0</v>
      </c>
      <c r="BN20" s="304">
        <f>SUMIFS('PCO Log'!$E30:$SJ30,'PCO Log'!$E$9:$SJ$9,'Graph Data'!BN$1,'PCO Log'!$E$7:$SJ$7,"Approved")</f>
        <v>0</v>
      </c>
      <c r="BO20" s="304">
        <f>SUMIFS('PCO Log'!$E30:$SJ30,'PCO Log'!$E$9:$SJ$9,'Graph Data'!BO$1,'PCO Log'!$E$7:$SJ$7,"Approved")</f>
        <v>0</v>
      </c>
      <c r="BP20" s="304">
        <f>SUMIFS('PCO Log'!$E30:$SJ30,'PCO Log'!$E$9:$SJ$9,'Graph Data'!BP$1,'PCO Log'!$E$7:$SJ$7,"Approved")</f>
        <v>0</v>
      </c>
      <c r="BQ20" s="304">
        <f>SUMIFS('PCO Log'!$E30:$SJ30,'PCO Log'!$E$9:$SJ$9,'Graph Data'!BQ$1,'PCO Log'!$E$7:$SJ$7,"Approved")</f>
        <v>0</v>
      </c>
      <c r="BR20" s="304">
        <f>SUMIFS('PCO Log'!$E30:$SJ30,'PCO Log'!$E$9:$SJ$9,'Graph Data'!BR$1,'PCO Log'!$E$7:$SJ$7,"Approved")</f>
        <v>0</v>
      </c>
      <c r="BS20" s="304">
        <f>SUMIFS('PCO Log'!$E30:$SJ30,'PCO Log'!$E$9:$SJ$9,'Graph Data'!BS$1,'PCO Log'!$E$7:$SJ$7,"Approved")</f>
        <v>0</v>
      </c>
      <c r="BT20" s="304">
        <f>SUMIFS('PCO Log'!$E30:$SJ30,'PCO Log'!$E$9:$SJ$9,'Graph Data'!BT$1,'PCO Log'!$E$7:$SJ$7,"Approved")</f>
        <v>0</v>
      </c>
      <c r="BU20" s="304">
        <f>SUMIFS('PCO Log'!$E30:$SJ30,'PCO Log'!$E$9:$SJ$9,'Graph Data'!BU$1,'PCO Log'!$E$7:$SJ$7,"Approved")</f>
        <v>0</v>
      </c>
      <c r="BV20" s="304">
        <f>SUMIFS('PCO Log'!$E30:$SJ30,'PCO Log'!$E$9:$SJ$9,'Graph Data'!BV$1,'PCO Log'!$E$7:$SJ$7,"Approved")</f>
        <v>0</v>
      </c>
      <c r="BW20" s="304">
        <f>SUMIFS('PCO Log'!$E30:$SJ30,'PCO Log'!$E$9:$SJ$9,'Graph Data'!BW$1,'PCO Log'!$E$7:$SJ$7,"Approved")</f>
        <v>0</v>
      </c>
      <c r="BX20" s="304">
        <f>SUMIFS('PCO Log'!$E30:$SJ30,'PCO Log'!$E$9:$SJ$9,'Graph Data'!BX$1,'PCO Log'!$E$7:$SJ$7,"Approved")</f>
        <v>0</v>
      </c>
    </row>
    <row r="21" spans="1:76" x14ac:dyDescent="0.25">
      <c r="A21" s="303" t="s">
        <v>361</v>
      </c>
      <c r="B21" s="303">
        <f>'PCO Log'!X7</f>
        <v>0</v>
      </c>
      <c r="C21" s="303">
        <f>'PCO Log'!X4</f>
        <v>0</v>
      </c>
      <c r="D21" s="303" cm="1">
        <f t="array" ref="D21">INDEX('PCO Log'!$E$5:$SJ$5, 1, ROWS('Graph Data'!$D$2:D21))</f>
        <v>0</v>
      </c>
      <c r="E21" s="303">
        <f>'PCO Log'!X8</f>
        <v>0</v>
      </c>
      <c r="F21" s="303">
        <f>'PCO Log'!X3</f>
        <v>0</v>
      </c>
      <c r="G21" s="304">
        <f>'PCO Log'!X10</f>
        <v>0</v>
      </c>
      <c r="H21" s="305">
        <f>'PCO Log'!X6</f>
        <v>0</v>
      </c>
      <c r="J21" s="303" t="s">
        <v>288</v>
      </c>
      <c r="K21" s="303">
        <f>'Pay App 20'!H33</f>
        <v>0</v>
      </c>
      <c r="L21" s="303">
        <f>IF(M21&gt;0,'Pay App 20'!$G$149,0)</f>
        <v>0</v>
      </c>
      <c r="M21" s="303">
        <f>'Pay App 20'!H149</f>
        <v>0</v>
      </c>
      <c r="O21" s="303" t="str">
        <f>'Pay App 1'!B76</f>
        <v>03 40 00</v>
      </c>
      <c r="P21" s="303" t="str">
        <f>'Pay App 1'!C76</f>
        <v>Precast</v>
      </c>
      <c r="Q21" s="304">
        <f>SUMIFS('PCO Log'!$E31:$SJ31,'PCO Log'!$E$9:$SJ$9,'Graph Data'!Q$1,'PCO Log'!$E$7:$SJ$7,"Approved")</f>
        <v>0</v>
      </c>
      <c r="R21" s="304">
        <f>SUMIFS('PCO Log'!$E31:$SJ31,'PCO Log'!$E$9:$SJ$9,'Graph Data'!R$1,'PCO Log'!$E$7:$SJ$7,"Approved")</f>
        <v>0</v>
      </c>
      <c r="S21" s="304">
        <f>SUMIFS('PCO Log'!$E31:$SJ31,'PCO Log'!$E$9:$SJ$9,'Graph Data'!S$1,'PCO Log'!$E$7:$SJ$7,"Approved")</f>
        <v>0</v>
      </c>
      <c r="T21" s="304">
        <f>SUMIFS('PCO Log'!$E31:$SJ31,'PCO Log'!$E$9:$SJ$9,'Graph Data'!T$1,'PCO Log'!$E$7:$SJ$7,"Approved")</f>
        <v>0</v>
      </c>
      <c r="U21" s="304">
        <f>SUMIFS('PCO Log'!$E31:$SJ31,'PCO Log'!$E$9:$SJ$9,'Graph Data'!U$1,'PCO Log'!$E$7:$SJ$7,"Approved")</f>
        <v>0</v>
      </c>
      <c r="V21" s="304">
        <f>SUMIFS('PCO Log'!$E31:$SJ31,'PCO Log'!$E$9:$SJ$9,'Graph Data'!V$1,'PCO Log'!$E$7:$SJ$7,"Approved")</f>
        <v>0</v>
      </c>
      <c r="W21" s="304">
        <f>SUMIFS('PCO Log'!$E31:$SJ31,'PCO Log'!$E$9:$SJ$9,'Graph Data'!W$1,'PCO Log'!$E$7:$SJ$7,"Approved")</f>
        <v>0</v>
      </c>
      <c r="X21" s="304">
        <f>SUMIFS('PCO Log'!$E31:$SJ31,'PCO Log'!$E$9:$SJ$9,'Graph Data'!X$1,'PCO Log'!$E$7:$SJ$7,"Approved")</f>
        <v>0</v>
      </c>
      <c r="Y21" s="304">
        <f>SUMIFS('PCO Log'!$E31:$SJ31,'PCO Log'!$E$9:$SJ$9,'Graph Data'!Y$1,'PCO Log'!$E$7:$SJ$7,"Approved")</f>
        <v>0</v>
      </c>
      <c r="Z21" s="304">
        <f>SUMIFS('PCO Log'!$E31:$SJ31,'PCO Log'!$E$9:$SJ$9,'Graph Data'!Z$1,'PCO Log'!$E$7:$SJ$7,"Approved")</f>
        <v>0</v>
      </c>
      <c r="AA21" s="304">
        <f>SUMIFS('PCO Log'!$E31:$SJ31,'PCO Log'!$E$9:$SJ$9,'Graph Data'!AA$1,'PCO Log'!$E$7:$SJ$7,"Approved")</f>
        <v>0</v>
      </c>
      <c r="AB21" s="304">
        <f>SUMIFS('PCO Log'!$E31:$SJ31,'PCO Log'!$E$9:$SJ$9,'Graph Data'!AB$1,'PCO Log'!$E$7:$SJ$7,"Approved")</f>
        <v>0</v>
      </c>
      <c r="AC21" s="304">
        <f>SUMIFS('PCO Log'!$E31:$SJ31,'PCO Log'!$E$9:$SJ$9,'Graph Data'!AC$1,'PCO Log'!$E$7:$SJ$7,"Approved")</f>
        <v>0</v>
      </c>
      <c r="AD21" s="304">
        <f>SUMIFS('PCO Log'!$E31:$SJ31,'PCO Log'!$E$9:$SJ$9,'Graph Data'!AD$1,'PCO Log'!$E$7:$SJ$7,"Approved")</f>
        <v>0</v>
      </c>
      <c r="AE21" s="304">
        <f>SUMIFS('PCO Log'!$E31:$SJ31,'PCO Log'!$E$9:$SJ$9,'Graph Data'!AE$1,'PCO Log'!$E$7:$SJ$7,"Approved")</f>
        <v>0</v>
      </c>
      <c r="AF21" s="304">
        <f>SUMIFS('PCO Log'!$E31:$SJ31,'PCO Log'!$E$9:$SJ$9,'Graph Data'!AF$1,'PCO Log'!$E$7:$SJ$7,"Approved")</f>
        <v>0</v>
      </c>
      <c r="AG21" s="304">
        <f>SUMIFS('PCO Log'!$E31:$SJ31,'PCO Log'!$E$9:$SJ$9,'Graph Data'!AG$1,'PCO Log'!$E$7:$SJ$7,"Approved")</f>
        <v>0</v>
      </c>
      <c r="AH21" s="304">
        <f>SUMIFS('PCO Log'!$E31:$SJ31,'PCO Log'!$E$9:$SJ$9,'Graph Data'!AH$1,'PCO Log'!$E$7:$SJ$7,"Approved")</f>
        <v>0</v>
      </c>
      <c r="AI21" s="304">
        <f>SUMIFS('PCO Log'!$E31:$SJ31,'PCO Log'!$E$9:$SJ$9,'Graph Data'!AI$1,'PCO Log'!$E$7:$SJ$7,"Approved")</f>
        <v>0</v>
      </c>
      <c r="AJ21" s="304">
        <f>SUMIFS('PCO Log'!$E31:$SJ31,'PCO Log'!$E$9:$SJ$9,'Graph Data'!AJ$1,'PCO Log'!$E$7:$SJ$7,"Approved")</f>
        <v>0</v>
      </c>
      <c r="AK21" s="304">
        <f>SUMIFS('PCO Log'!$E31:$SJ31,'PCO Log'!$E$9:$SJ$9,'Graph Data'!AK$1,'PCO Log'!$E$7:$SJ$7,"Approved")</f>
        <v>0</v>
      </c>
      <c r="AL21" s="304">
        <f>SUMIFS('PCO Log'!$E31:$SJ31,'PCO Log'!$E$9:$SJ$9,'Graph Data'!AL$1,'PCO Log'!$E$7:$SJ$7,"Approved")</f>
        <v>0</v>
      </c>
      <c r="AM21" s="304">
        <f>SUMIFS('PCO Log'!$E31:$SJ31,'PCO Log'!$E$9:$SJ$9,'Graph Data'!AM$1,'PCO Log'!$E$7:$SJ$7,"Approved")</f>
        <v>0</v>
      </c>
      <c r="AN21" s="304">
        <f>SUMIFS('PCO Log'!$E31:$SJ31,'PCO Log'!$E$9:$SJ$9,'Graph Data'!AN$1,'PCO Log'!$E$7:$SJ$7,"Approved")</f>
        <v>0</v>
      </c>
      <c r="AO21" s="304">
        <f>SUMIFS('PCO Log'!$E31:$SJ31,'PCO Log'!$E$9:$SJ$9,'Graph Data'!AO$1,'PCO Log'!$E$7:$SJ$7,"Approved")</f>
        <v>0</v>
      </c>
      <c r="AP21" s="304">
        <f>SUMIFS('PCO Log'!$E31:$SJ31,'PCO Log'!$E$9:$SJ$9,'Graph Data'!AP$1,'PCO Log'!$E$7:$SJ$7,"Approved")</f>
        <v>0</v>
      </c>
      <c r="AQ21" s="304">
        <f>SUMIFS('PCO Log'!$E31:$SJ31,'PCO Log'!$E$9:$SJ$9,'Graph Data'!AQ$1,'PCO Log'!$E$7:$SJ$7,"Approved")</f>
        <v>0</v>
      </c>
      <c r="AR21" s="304">
        <f>SUMIFS('PCO Log'!$E31:$SJ31,'PCO Log'!$E$9:$SJ$9,'Graph Data'!AR$1,'PCO Log'!$E$7:$SJ$7,"Approved")</f>
        <v>0</v>
      </c>
      <c r="AS21" s="304">
        <f>SUMIFS('PCO Log'!$E31:$SJ31,'PCO Log'!$E$9:$SJ$9,'Graph Data'!AS$1,'PCO Log'!$E$7:$SJ$7,"Approved")</f>
        <v>0</v>
      </c>
      <c r="AT21" s="304">
        <f>SUMIFS('PCO Log'!$E31:$SJ31,'PCO Log'!$E$9:$SJ$9,'Graph Data'!AT$1,'PCO Log'!$E$7:$SJ$7,"Approved")</f>
        <v>0</v>
      </c>
      <c r="AU21" s="304">
        <f>SUMIFS('PCO Log'!$E31:$SJ31,'PCO Log'!$E$9:$SJ$9,'Graph Data'!AU$1,'PCO Log'!$E$7:$SJ$7,"Approved")</f>
        <v>0</v>
      </c>
      <c r="AV21" s="304">
        <f>SUMIFS('PCO Log'!$E31:$SJ31,'PCO Log'!$E$9:$SJ$9,'Graph Data'!AV$1,'PCO Log'!$E$7:$SJ$7,"Approved")</f>
        <v>0</v>
      </c>
      <c r="AW21" s="304">
        <f>SUMIFS('PCO Log'!$E31:$SJ31,'PCO Log'!$E$9:$SJ$9,'Graph Data'!AW$1,'PCO Log'!$E$7:$SJ$7,"Approved")</f>
        <v>0</v>
      </c>
      <c r="AX21" s="304">
        <f>SUMIFS('PCO Log'!$E31:$SJ31,'PCO Log'!$E$9:$SJ$9,'Graph Data'!AX$1,'PCO Log'!$E$7:$SJ$7,"Approved")</f>
        <v>0</v>
      </c>
      <c r="AY21" s="304">
        <f>SUMIFS('PCO Log'!$E31:$SJ31,'PCO Log'!$E$9:$SJ$9,'Graph Data'!AY$1,'PCO Log'!$E$7:$SJ$7,"Approved")</f>
        <v>0</v>
      </c>
      <c r="AZ21" s="304">
        <f>SUMIFS('PCO Log'!$E31:$SJ31,'PCO Log'!$E$9:$SJ$9,'Graph Data'!AZ$1,'PCO Log'!$E$7:$SJ$7,"Approved")</f>
        <v>0</v>
      </c>
      <c r="BA21" s="304">
        <f>SUMIFS('PCO Log'!$E31:$SJ31,'PCO Log'!$E$9:$SJ$9,'Graph Data'!BA$1,'PCO Log'!$E$7:$SJ$7,"Approved")</f>
        <v>0</v>
      </c>
      <c r="BB21" s="304">
        <f>SUMIFS('PCO Log'!$E31:$SJ31,'PCO Log'!$E$9:$SJ$9,'Graph Data'!BB$1,'PCO Log'!$E$7:$SJ$7,"Approved")</f>
        <v>0</v>
      </c>
      <c r="BC21" s="304">
        <f>SUMIFS('PCO Log'!$E31:$SJ31,'PCO Log'!$E$9:$SJ$9,'Graph Data'!BC$1,'PCO Log'!$E$7:$SJ$7,"Approved")</f>
        <v>0</v>
      </c>
      <c r="BD21" s="304">
        <f>SUMIFS('PCO Log'!$E31:$SJ31,'PCO Log'!$E$9:$SJ$9,'Graph Data'!BD$1,'PCO Log'!$E$7:$SJ$7,"Approved")</f>
        <v>0</v>
      </c>
      <c r="BE21" s="304">
        <f>SUMIFS('PCO Log'!$E31:$SJ31,'PCO Log'!$E$9:$SJ$9,'Graph Data'!BE$1,'PCO Log'!$E$7:$SJ$7,"Approved")</f>
        <v>0</v>
      </c>
      <c r="BF21" s="304">
        <f>SUMIFS('PCO Log'!$E31:$SJ31,'PCO Log'!$E$9:$SJ$9,'Graph Data'!BF$1,'PCO Log'!$E$7:$SJ$7,"Approved")</f>
        <v>0</v>
      </c>
      <c r="BG21" s="304">
        <f>SUMIFS('PCO Log'!$E31:$SJ31,'PCO Log'!$E$9:$SJ$9,'Graph Data'!BG$1,'PCO Log'!$E$7:$SJ$7,"Approved")</f>
        <v>0</v>
      </c>
      <c r="BH21" s="304">
        <f>SUMIFS('PCO Log'!$E31:$SJ31,'PCO Log'!$E$9:$SJ$9,'Graph Data'!BH$1,'PCO Log'!$E$7:$SJ$7,"Approved")</f>
        <v>0</v>
      </c>
      <c r="BI21" s="304">
        <f>SUMIFS('PCO Log'!$E31:$SJ31,'PCO Log'!$E$9:$SJ$9,'Graph Data'!BI$1,'PCO Log'!$E$7:$SJ$7,"Approved")</f>
        <v>0</v>
      </c>
      <c r="BJ21" s="304">
        <f>SUMIFS('PCO Log'!$E31:$SJ31,'PCO Log'!$E$9:$SJ$9,'Graph Data'!BJ$1,'PCO Log'!$E$7:$SJ$7,"Approved")</f>
        <v>0</v>
      </c>
      <c r="BK21" s="304">
        <f>SUMIFS('PCO Log'!$E31:$SJ31,'PCO Log'!$E$9:$SJ$9,'Graph Data'!BK$1,'PCO Log'!$E$7:$SJ$7,"Approved")</f>
        <v>0</v>
      </c>
      <c r="BL21" s="304">
        <f>SUMIFS('PCO Log'!$E31:$SJ31,'PCO Log'!$E$9:$SJ$9,'Graph Data'!BL$1,'PCO Log'!$E$7:$SJ$7,"Approved")</f>
        <v>0</v>
      </c>
      <c r="BM21" s="304">
        <f>SUMIFS('PCO Log'!$E31:$SJ31,'PCO Log'!$E$9:$SJ$9,'Graph Data'!BM$1,'PCO Log'!$E$7:$SJ$7,"Approved")</f>
        <v>0</v>
      </c>
      <c r="BN21" s="304">
        <f>SUMIFS('PCO Log'!$E31:$SJ31,'PCO Log'!$E$9:$SJ$9,'Graph Data'!BN$1,'PCO Log'!$E$7:$SJ$7,"Approved")</f>
        <v>0</v>
      </c>
      <c r="BO21" s="304">
        <f>SUMIFS('PCO Log'!$E31:$SJ31,'PCO Log'!$E$9:$SJ$9,'Graph Data'!BO$1,'PCO Log'!$E$7:$SJ$7,"Approved")</f>
        <v>0</v>
      </c>
      <c r="BP21" s="304">
        <f>SUMIFS('PCO Log'!$E31:$SJ31,'PCO Log'!$E$9:$SJ$9,'Graph Data'!BP$1,'PCO Log'!$E$7:$SJ$7,"Approved")</f>
        <v>0</v>
      </c>
      <c r="BQ21" s="304">
        <f>SUMIFS('PCO Log'!$E31:$SJ31,'PCO Log'!$E$9:$SJ$9,'Graph Data'!BQ$1,'PCO Log'!$E$7:$SJ$7,"Approved")</f>
        <v>0</v>
      </c>
      <c r="BR21" s="304">
        <f>SUMIFS('PCO Log'!$E31:$SJ31,'PCO Log'!$E$9:$SJ$9,'Graph Data'!BR$1,'PCO Log'!$E$7:$SJ$7,"Approved")</f>
        <v>0</v>
      </c>
      <c r="BS21" s="304">
        <f>SUMIFS('PCO Log'!$E31:$SJ31,'PCO Log'!$E$9:$SJ$9,'Graph Data'!BS$1,'PCO Log'!$E$7:$SJ$7,"Approved")</f>
        <v>0</v>
      </c>
      <c r="BT21" s="304">
        <f>SUMIFS('PCO Log'!$E31:$SJ31,'PCO Log'!$E$9:$SJ$9,'Graph Data'!BT$1,'PCO Log'!$E$7:$SJ$7,"Approved")</f>
        <v>0</v>
      </c>
      <c r="BU21" s="304">
        <f>SUMIFS('PCO Log'!$E31:$SJ31,'PCO Log'!$E$9:$SJ$9,'Graph Data'!BU$1,'PCO Log'!$E$7:$SJ$7,"Approved")</f>
        <v>0</v>
      </c>
      <c r="BV21" s="304">
        <f>SUMIFS('PCO Log'!$E31:$SJ31,'PCO Log'!$E$9:$SJ$9,'Graph Data'!BV$1,'PCO Log'!$E$7:$SJ$7,"Approved")</f>
        <v>0</v>
      </c>
      <c r="BW21" s="304">
        <f>SUMIFS('PCO Log'!$E31:$SJ31,'PCO Log'!$E$9:$SJ$9,'Graph Data'!BW$1,'PCO Log'!$E$7:$SJ$7,"Approved")</f>
        <v>0</v>
      </c>
      <c r="BX21" s="304">
        <f>SUMIFS('PCO Log'!$E31:$SJ31,'PCO Log'!$E$9:$SJ$9,'Graph Data'!BX$1,'PCO Log'!$E$7:$SJ$7,"Approved")</f>
        <v>0</v>
      </c>
    </row>
    <row r="22" spans="1:76" x14ac:dyDescent="0.25">
      <c r="A22" s="303" t="s">
        <v>362</v>
      </c>
      <c r="B22" s="303">
        <f>'PCO Log'!Y7</f>
        <v>0</v>
      </c>
      <c r="C22" s="303">
        <f>'PCO Log'!Y4</f>
        <v>0</v>
      </c>
      <c r="D22" s="303" cm="1">
        <f t="array" ref="D22">INDEX('PCO Log'!$E$5:$SJ$5, 1, ROWS('Graph Data'!$D$2:D22))</f>
        <v>0</v>
      </c>
      <c r="E22" s="303">
        <f>'PCO Log'!Y8</f>
        <v>0</v>
      </c>
      <c r="F22" s="303">
        <f>'PCO Log'!Y3</f>
        <v>0</v>
      </c>
      <c r="G22" s="304">
        <f>'PCO Log'!Y10</f>
        <v>0</v>
      </c>
      <c r="H22" s="305">
        <f>'PCO Log'!Y6</f>
        <v>0</v>
      </c>
      <c r="J22" s="303" t="s">
        <v>289</v>
      </c>
      <c r="K22" s="303">
        <f>'Pay App 21'!H33</f>
        <v>0</v>
      </c>
      <c r="L22" s="303">
        <f>IF(M22&gt;0,'Pay App 21'!$G$149,0)</f>
        <v>0</v>
      </c>
      <c r="M22" s="303">
        <f>'Pay App 21'!H149</f>
        <v>0</v>
      </c>
      <c r="O22" s="303" t="str">
        <f>'Pay App 1'!B77</f>
        <v>04 00 00</v>
      </c>
      <c r="P22" s="303" t="str">
        <f>'Pay App 1'!C77</f>
        <v>Masonry</v>
      </c>
      <c r="Q22" s="304">
        <f>SUMIFS('PCO Log'!$E32:$SJ32,'PCO Log'!$E$9:$SJ$9,'Graph Data'!Q$1,'PCO Log'!$E$7:$SJ$7,"Approved")</f>
        <v>0</v>
      </c>
      <c r="R22" s="304">
        <f>SUMIFS('PCO Log'!$E32:$SJ32,'PCO Log'!$E$9:$SJ$9,'Graph Data'!R$1,'PCO Log'!$E$7:$SJ$7,"Approved")</f>
        <v>0</v>
      </c>
      <c r="S22" s="304">
        <f>SUMIFS('PCO Log'!$E32:$SJ32,'PCO Log'!$E$9:$SJ$9,'Graph Data'!S$1,'PCO Log'!$E$7:$SJ$7,"Approved")</f>
        <v>0</v>
      </c>
      <c r="T22" s="304">
        <f>SUMIFS('PCO Log'!$E32:$SJ32,'PCO Log'!$E$9:$SJ$9,'Graph Data'!T$1,'PCO Log'!$E$7:$SJ$7,"Approved")</f>
        <v>0</v>
      </c>
      <c r="U22" s="304">
        <f>SUMIFS('PCO Log'!$E32:$SJ32,'PCO Log'!$E$9:$SJ$9,'Graph Data'!U$1,'PCO Log'!$E$7:$SJ$7,"Approved")</f>
        <v>0</v>
      </c>
      <c r="V22" s="304">
        <f>SUMIFS('PCO Log'!$E32:$SJ32,'PCO Log'!$E$9:$SJ$9,'Graph Data'!V$1,'PCO Log'!$E$7:$SJ$7,"Approved")</f>
        <v>0</v>
      </c>
      <c r="W22" s="304">
        <f>SUMIFS('PCO Log'!$E32:$SJ32,'PCO Log'!$E$9:$SJ$9,'Graph Data'!W$1,'PCO Log'!$E$7:$SJ$7,"Approved")</f>
        <v>0</v>
      </c>
      <c r="X22" s="304">
        <f>SUMIFS('PCO Log'!$E32:$SJ32,'PCO Log'!$E$9:$SJ$9,'Graph Data'!X$1,'PCO Log'!$E$7:$SJ$7,"Approved")</f>
        <v>0</v>
      </c>
      <c r="Y22" s="304">
        <f>SUMIFS('PCO Log'!$E32:$SJ32,'PCO Log'!$E$9:$SJ$9,'Graph Data'!Y$1,'PCO Log'!$E$7:$SJ$7,"Approved")</f>
        <v>0</v>
      </c>
      <c r="Z22" s="304">
        <f>SUMIFS('PCO Log'!$E32:$SJ32,'PCO Log'!$E$9:$SJ$9,'Graph Data'!Z$1,'PCO Log'!$E$7:$SJ$7,"Approved")</f>
        <v>0</v>
      </c>
      <c r="AA22" s="304">
        <f>SUMIFS('PCO Log'!$E32:$SJ32,'PCO Log'!$E$9:$SJ$9,'Graph Data'!AA$1,'PCO Log'!$E$7:$SJ$7,"Approved")</f>
        <v>0</v>
      </c>
      <c r="AB22" s="304">
        <f>SUMIFS('PCO Log'!$E32:$SJ32,'PCO Log'!$E$9:$SJ$9,'Graph Data'!AB$1,'PCO Log'!$E$7:$SJ$7,"Approved")</f>
        <v>0</v>
      </c>
      <c r="AC22" s="304">
        <f>SUMIFS('PCO Log'!$E32:$SJ32,'PCO Log'!$E$9:$SJ$9,'Graph Data'!AC$1,'PCO Log'!$E$7:$SJ$7,"Approved")</f>
        <v>0</v>
      </c>
      <c r="AD22" s="304">
        <f>SUMIFS('PCO Log'!$E32:$SJ32,'PCO Log'!$E$9:$SJ$9,'Graph Data'!AD$1,'PCO Log'!$E$7:$SJ$7,"Approved")</f>
        <v>0</v>
      </c>
      <c r="AE22" s="304">
        <f>SUMIFS('PCO Log'!$E32:$SJ32,'PCO Log'!$E$9:$SJ$9,'Graph Data'!AE$1,'PCO Log'!$E$7:$SJ$7,"Approved")</f>
        <v>0</v>
      </c>
      <c r="AF22" s="304">
        <f>SUMIFS('PCO Log'!$E32:$SJ32,'PCO Log'!$E$9:$SJ$9,'Graph Data'!AF$1,'PCO Log'!$E$7:$SJ$7,"Approved")</f>
        <v>0</v>
      </c>
      <c r="AG22" s="304">
        <f>SUMIFS('PCO Log'!$E32:$SJ32,'PCO Log'!$E$9:$SJ$9,'Graph Data'!AG$1,'PCO Log'!$E$7:$SJ$7,"Approved")</f>
        <v>0</v>
      </c>
      <c r="AH22" s="304">
        <f>SUMIFS('PCO Log'!$E32:$SJ32,'PCO Log'!$E$9:$SJ$9,'Graph Data'!AH$1,'PCO Log'!$E$7:$SJ$7,"Approved")</f>
        <v>0</v>
      </c>
      <c r="AI22" s="304">
        <f>SUMIFS('PCO Log'!$E32:$SJ32,'PCO Log'!$E$9:$SJ$9,'Graph Data'!AI$1,'PCO Log'!$E$7:$SJ$7,"Approved")</f>
        <v>0</v>
      </c>
      <c r="AJ22" s="304">
        <f>SUMIFS('PCO Log'!$E32:$SJ32,'PCO Log'!$E$9:$SJ$9,'Graph Data'!AJ$1,'PCO Log'!$E$7:$SJ$7,"Approved")</f>
        <v>0</v>
      </c>
      <c r="AK22" s="304">
        <f>SUMIFS('PCO Log'!$E32:$SJ32,'PCO Log'!$E$9:$SJ$9,'Graph Data'!AK$1,'PCO Log'!$E$7:$SJ$7,"Approved")</f>
        <v>0</v>
      </c>
      <c r="AL22" s="304">
        <f>SUMIFS('PCO Log'!$E32:$SJ32,'PCO Log'!$E$9:$SJ$9,'Graph Data'!AL$1,'PCO Log'!$E$7:$SJ$7,"Approved")</f>
        <v>0</v>
      </c>
      <c r="AM22" s="304">
        <f>SUMIFS('PCO Log'!$E32:$SJ32,'PCO Log'!$E$9:$SJ$9,'Graph Data'!AM$1,'PCO Log'!$E$7:$SJ$7,"Approved")</f>
        <v>0</v>
      </c>
      <c r="AN22" s="304">
        <f>SUMIFS('PCO Log'!$E32:$SJ32,'PCO Log'!$E$9:$SJ$9,'Graph Data'!AN$1,'PCO Log'!$E$7:$SJ$7,"Approved")</f>
        <v>0</v>
      </c>
      <c r="AO22" s="304">
        <f>SUMIFS('PCO Log'!$E32:$SJ32,'PCO Log'!$E$9:$SJ$9,'Graph Data'!AO$1,'PCO Log'!$E$7:$SJ$7,"Approved")</f>
        <v>0</v>
      </c>
      <c r="AP22" s="304">
        <f>SUMIFS('PCO Log'!$E32:$SJ32,'PCO Log'!$E$9:$SJ$9,'Graph Data'!AP$1,'PCO Log'!$E$7:$SJ$7,"Approved")</f>
        <v>0</v>
      </c>
      <c r="AQ22" s="304">
        <f>SUMIFS('PCO Log'!$E32:$SJ32,'PCO Log'!$E$9:$SJ$9,'Graph Data'!AQ$1,'PCO Log'!$E$7:$SJ$7,"Approved")</f>
        <v>0</v>
      </c>
      <c r="AR22" s="304">
        <f>SUMIFS('PCO Log'!$E32:$SJ32,'PCO Log'!$E$9:$SJ$9,'Graph Data'!AR$1,'PCO Log'!$E$7:$SJ$7,"Approved")</f>
        <v>0</v>
      </c>
      <c r="AS22" s="304">
        <f>SUMIFS('PCO Log'!$E32:$SJ32,'PCO Log'!$E$9:$SJ$9,'Graph Data'!AS$1,'PCO Log'!$E$7:$SJ$7,"Approved")</f>
        <v>0</v>
      </c>
      <c r="AT22" s="304">
        <f>SUMIFS('PCO Log'!$E32:$SJ32,'PCO Log'!$E$9:$SJ$9,'Graph Data'!AT$1,'PCO Log'!$E$7:$SJ$7,"Approved")</f>
        <v>0</v>
      </c>
      <c r="AU22" s="304">
        <f>SUMIFS('PCO Log'!$E32:$SJ32,'PCO Log'!$E$9:$SJ$9,'Graph Data'!AU$1,'PCO Log'!$E$7:$SJ$7,"Approved")</f>
        <v>0</v>
      </c>
      <c r="AV22" s="304">
        <f>SUMIFS('PCO Log'!$E32:$SJ32,'PCO Log'!$E$9:$SJ$9,'Graph Data'!AV$1,'PCO Log'!$E$7:$SJ$7,"Approved")</f>
        <v>0</v>
      </c>
      <c r="AW22" s="304">
        <f>SUMIFS('PCO Log'!$E32:$SJ32,'PCO Log'!$E$9:$SJ$9,'Graph Data'!AW$1,'PCO Log'!$E$7:$SJ$7,"Approved")</f>
        <v>0</v>
      </c>
      <c r="AX22" s="304">
        <f>SUMIFS('PCO Log'!$E32:$SJ32,'PCO Log'!$E$9:$SJ$9,'Graph Data'!AX$1,'PCO Log'!$E$7:$SJ$7,"Approved")</f>
        <v>0</v>
      </c>
      <c r="AY22" s="304">
        <f>SUMIFS('PCO Log'!$E32:$SJ32,'PCO Log'!$E$9:$SJ$9,'Graph Data'!AY$1,'PCO Log'!$E$7:$SJ$7,"Approved")</f>
        <v>0</v>
      </c>
      <c r="AZ22" s="304">
        <f>SUMIFS('PCO Log'!$E32:$SJ32,'PCO Log'!$E$9:$SJ$9,'Graph Data'!AZ$1,'PCO Log'!$E$7:$SJ$7,"Approved")</f>
        <v>0</v>
      </c>
      <c r="BA22" s="304">
        <f>SUMIFS('PCO Log'!$E32:$SJ32,'PCO Log'!$E$9:$SJ$9,'Graph Data'!BA$1,'PCO Log'!$E$7:$SJ$7,"Approved")</f>
        <v>0</v>
      </c>
      <c r="BB22" s="304">
        <f>SUMIFS('PCO Log'!$E32:$SJ32,'PCO Log'!$E$9:$SJ$9,'Graph Data'!BB$1,'PCO Log'!$E$7:$SJ$7,"Approved")</f>
        <v>0</v>
      </c>
      <c r="BC22" s="304">
        <f>SUMIFS('PCO Log'!$E32:$SJ32,'PCO Log'!$E$9:$SJ$9,'Graph Data'!BC$1,'PCO Log'!$E$7:$SJ$7,"Approved")</f>
        <v>0</v>
      </c>
      <c r="BD22" s="304">
        <f>SUMIFS('PCO Log'!$E32:$SJ32,'PCO Log'!$E$9:$SJ$9,'Graph Data'!BD$1,'PCO Log'!$E$7:$SJ$7,"Approved")</f>
        <v>0</v>
      </c>
      <c r="BE22" s="304">
        <f>SUMIFS('PCO Log'!$E32:$SJ32,'PCO Log'!$E$9:$SJ$9,'Graph Data'!BE$1,'PCO Log'!$E$7:$SJ$7,"Approved")</f>
        <v>0</v>
      </c>
      <c r="BF22" s="304">
        <f>SUMIFS('PCO Log'!$E32:$SJ32,'PCO Log'!$E$9:$SJ$9,'Graph Data'!BF$1,'PCO Log'!$E$7:$SJ$7,"Approved")</f>
        <v>0</v>
      </c>
      <c r="BG22" s="304">
        <f>SUMIFS('PCO Log'!$E32:$SJ32,'PCO Log'!$E$9:$SJ$9,'Graph Data'!BG$1,'PCO Log'!$E$7:$SJ$7,"Approved")</f>
        <v>0</v>
      </c>
      <c r="BH22" s="304">
        <f>SUMIFS('PCO Log'!$E32:$SJ32,'PCO Log'!$E$9:$SJ$9,'Graph Data'!BH$1,'PCO Log'!$E$7:$SJ$7,"Approved")</f>
        <v>0</v>
      </c>
      <c r="BI22" s="304">
        <f>SUMIFS('PCO Log'!$E32:$SJ32,'PCO Log'!$E$9:$SJ$9,'Graph Data'!BI$1,'PCO Log'!$E$7:$SJ$7,"Approved")</f>
        <v>0</v>
      </c>
      <c r="BJ22" s="304">
        <f>SUMIFS('PCO Log'!$E32:$SJ32,'PCO Log'!$E$9:$SJ$9,'Graph Data'!BJ$1,'PCO Log'!$E$7:$SJ$7,"Approved")</f>
        <v>0</v>
      </c>
      <c r="BK22" s="304">
        <f>SUMIFS('PCO Log'!$E32:$SJ32,'PCO Log'!$E$9:$SJ$9,'Graph Data'!BK$1,'PCO Log'!$E$7:$SJ$7,"Approved")</f>
        <v>0</v>
      </c>
      <c r="BL22" s="304">
        <f>SUMIFS('PCO Log'!$E32:$SJ32,'PCO Log'!$E$9:$SJ$9,'Graph Data'!BL$1,'PCO Log'!$E$7:$SJ$7,"Approved")</f>
        <v>0</v>
      </c>
      <c r="BM22" s="304">
        <f>SUMIFS('PCO Log'!$E32:$SJ32,'PCO Log'!$E$9:$SJ$9,'Graph Data'!BM$1,'PCO Log'!$E$7:$SJ$7,"Approved")</f>
        <v>0</v>
      </c>
      <c r="BN22" s="304">
        <f>SUMIFS('PCO Log'!$E32:$SJ32,'PCO Log'!$E$9:$SJ$9,'Graph Data'!BN$1,'PCO Log'!$E$7:$SJ$7,"Approved")</f>
        <v>0</v>
      </c>
      <c r="BO22" s="304">
        <f>SUMIFS('PCO Log'!$E32:$SJ32,'PCO Log'!$E$9:$SJ$9,'Graph Data'!BO$1,'PCO Log'!$E$7:$SJ$7,"Approved")</f>
        <v>0</v>
      </c>
      <c r="BP22" s="304">
        <f>SUMIFS('PCO Log'!$E32:$SJ32,'PCO Log'!$E$9:$SJ$9,'Graph Data'!BP$1,'PCO Log'!$E$7:$SJ$7,"Approved")</f>
        <v>0</v>
      </c>
      <c r="BQ22" s="304">
        <f>SUMIFS('PCO Log'!$E32:$SJ32,'PCO Log'!$E$9:$SJ$9,'Graph Data'!BQ$1,'PCO Log'!$E$7:$SJ$7,"Approved")</f>
        <v>0</v>
      </c>
      <c r="BR22" s="304">
        <f>SUMIFS('PCO Log'!$E32:$SJ32,'PCO Log'!$E$9:$SJ$9,'Graph Data'!BR$1,'PCO Log'!$E$7:$SJ$7,"Approved")</f>
        <v>0</v>
      </c>
      <c r="BS22" s="304">
        <f>SUMIFS('PCO Log'!$E32:$SJ32,'PCO Log'!$E$9:$SJ$9,'Graph Data'!BS$1,'PCO Log'!$E$7:$SJ$7,"Approved")</f>
        <v>0</v>
      </c>
      <c r="BT22" s="304">
        <f>SUMIFS('PCO Log'!$E32:$SJ32,'PCO Log'!$E$9:$SJ$9,'Graph Data'!BT$1,'PCO Log'!$E$7:$SJ$7,"Approved")</f>
        <v>0</v>
      </c>
      <c r="BU22" s="304">
        <f>SUMIFS('PCO Log'!$E32:$SJ32,'PCO Log'!$E$9:$SJ$9,'Graph Data'!BU$1,'PCO Log'!$E$7:$SJ$7,"Approved")</f>
        <v>0</v>
      </c>
      <c r="BV22" s="304">
        <f>SUMIFS('PCO Log'!$E32:$SJ32,'PCO Log'!$E$9:$SJ$9,'Graph Data'!BV$1,'PCO Log'!$E$7:$SJ$7,"Approved")</f>
        <v>0</v>
      </c>
      <c r="BW22" s="304">
        <f>SUMIFS('PCO Log'!$E32:$SJ32,'PCO Log'!$E$9:$SJ$9,'Graph Data'!BW$1,'PCO Log'!$E$7:$SJ$7,"Approved")</f>
        <v>0</v>
      </c>
      <c r="BX22" s="304">
        <f>SUMIFS('PCO Log'!$E32:$SJ32,'PCO Log'!$E$9:$SJ$9,'Graph Data'!BX$1,'PCO Log'!$E$7:$SJ$7,"Approved")</f>
        <v>0</v>
      </c>
    </row>
    <row r="23" spans="1:76" x14ac:dyDescent="0.25">
      <c r="A23" s="303" t="s">
        <v>363</v>
      </c>
      <c r="B23" s="303">
        <f>'PCO Log'!Z7</f>
        <v>0</v>
      </c>
      <c r="C23" s="303">
        <f>'PCO Log'!Z4</f>
        <v>0</v>
      </c>
      <c r="D23" s="303" cm="1">
        <f t="array" ref="D23">INDEX('PCO Log'!$E$5:$SJ$5, 1, ROWS('Graph Data'!$D$2:D23))</f>
        <v>0</v>
      </c>
      <c r="E23" s="303">
        <f>'PCO Log'!Z8</f>
        <v>0</v>
      </c>
      <c r="F23" s="303">
        <f>'PCO Log'!Z3</f>
        <v>0</v>
      </c>
      <c r="G23" s="304">
        <f>'PCO Log'!Z10</f>
        <v>0</v>
      </c>
      <c r="H23" s="305">
        <f>'PCO Log'!Z6</f>
        <v>0</v>
      </c>
      <c r="J23" s="303" t="s">
        <v>290</v>
      </c>
      <c r="K23" s="303">
        <f>'Pay App 22'!H33</f>
        <v>0</v>
      </c>
      <c r="L23" s="303">
        <f>IF(M23&gt;0,'Pay App 22'!$G$149,0)</f>
        <v>0</v>
      </c>
      <c r="M23" s="303">
        <f>'Pay App 22'!H149</f>
        <v>0</v>
      </c>
      <c r="O23" s="303" t="str">
        <f>'Pay App 1'!B78</f>
        <v>04 05 19</v>
      </c>
      <c r="P23" s="303" t="str">
        <f>'Pay App 1'!C78</f>
        <v>Masonry Reinforcing</v>
      </c>
      <c r="Q23" s="304">
        <f>SUMIFS('PCO Log'!$E33:$SJ33,'PCO Log'!$E$9:$SJ$9,'Graph Data'!Q$1,'PCO Log'!$E$7:$SJ$7,"Approved")</f>
        <v>0</v>
      </c>
      <c r="R23" s="304">
        <f>SUMIFS('PCO Log'!$E33:$SJ33,'PCO Log'!$E$9:$SJ$9,'Graph Data'!R$1,'PCO Log'!$E$7:$SJ$7,"Approved")</f>
        <v>0</v>
      </c>
      <c r="S23" s="304">
        <f>SUMIFS('PCO Log'!$E33:$SJ33,'PCO Log'!$E$9:$SJ$9,'Graph Data'!S$1,'PCO Log'!$E$7:$SJ$7,"Approved")</f>
        <v>0</v>
      </c>
      <c r="T23" s="304">
        <f>SUMIFS('PCO Log'!$E33:$SJ33,'PCO Log'!$E$9:$SJ$9,'Graph Data'!T$1,'PCO Log'!$E$7:$SJ$7,"Approved")</f>
        <v>0</v>
      </c>
      <c r="U23" s="304">
        <f>SUMIFS('PCO Log'!$E33:$SJ33,'PCO Log'!$E$9:$SJ$9,'Graph Data'!U$1,'PCO Log'!$E$7:$SJ$7,"Approved")</f>
        <v>0</v>
      </c>
      <c r="V23" s="304">
        <f>SUMIFS('PCO Log'!$E33:$SJ33,'PCO Log'!$E$9:$SJ$9,'Graph Data'!V$1,'PCO Log'!$E$7:$SJ$7,"Approved")</f>
        <v>0</v>
      </c>
      <c r="W23" s="304">
        <f>SUMIFS('PCO Log'!$E33:$SJ33,'PCO Log'!$E$9:$SJ$9,'Graph Data'!W$1,'PCO Log'!$E$7:$SJ$7,"Approved")</f>
        <v>0</v>
      </c>
      <c r="X23" s="304">
        <f>SUMIFS('PCO Log'!$E33:$SJ33,'PCO Log'!$E$9:$SJ$9,'Graph Data'!X$1,'PCO Log'!$E$7:$SJ$7,"Approved")</f>
        <v>0</v>
      </c>
      <c r="Y23" s="304">
        <f>SUMIFS('PCO Log'!$E33:$SJ33,'PCO Log'!$E$9:$SJ$9,'Graph Data'!Y$1,'PCO Log'!$E$7:$SJ$7,"Approved")</f>
        <v>0</v>
      </c>
      <c r="Z23" s="304">
        <f>SUMIFS('PCO Log'!$E33:$SJ33,'PCO Log'!$E$9:$SJ$9,'Graph Data'!Z$1,'PCO Log'!$E$7:$SJ$7,"Approved")</f>
        <v>0</v>
      </c>
      <c r="AA23" s="304">
        <f>SUMIFS('PCO Log'!$E33:$SJ33,'PCO Log'!$E$9:$SJ$9,'Graph Data'!AA$1,'PCO Log'!$E$7:$SJ$7,"Approved")</f>
        <v>0</v>
      </c>
      <c r="AB23" s="304">
        <f>SUMIFS('PCO Log'!$E33:$SJ33,'PCO Log'!$E$9:$SJ$9,'Graph Data'!AB$1,'PCO Log'!$E$7:$SJ$7,"Approved")</f>
        <v>0</v>
      </c>
      <c r="AC23" s="304">
        <f>SUMIFS('PCO Log'!$E33:$SJ33,'PCO Log'!$E$9:$SJ$9,'Graph Data'!AC$1,'PCO Log'!$E$7:$SJ$7,"Approved")</f>
        <v>0</v>
      </c>
      <c r="AD23" s="304">
        <f>SUMIFS('PCO Log'!$E33:$SJ33,'PCO Log'!$E$9:$SJ$9,'Graph Data'!AD$1,'PCO Log'!$E$7:$SJ$7,"Approved")</f>
        <v>0</v>
      </c>
      <c r="AE23" s="304">
        <f>SUMIFS('PCO Log'!$E33:$SJ33,'PCO Log'!$E$9:$SJ$9,'Graph Data'!AE$1,'PCO Log'!$E$7:$SJ$7,"Approved")</f>
        <v>0</v>
      </c>
      <c r="AF23" s="304">
        <f>SUMIFS('PCO Log'!$E33:$SJ33,'PCO Log'!$E$9:$SJ$9,'Graph Data'!AF$1,'PCO Log'!$E$7:$SJ$7,"Approved")</f>
        <v>0</v>
      </c>
      <c r="AG23" s="304">
        <f>SUMIFS('PCO Log'!$E33:$SJ33,'PCO Log'!$E$9:$SJ$9,'Graph Data'!AG$1,'PCO Log'!$E$7:$SJ$7,"Approved")</f>
        <v>0</v>
      </c>
      <c r="AH23" s="304">
        <f>SUMIFS('PCO Log'!$E33:$SJ33,'PCO Log'!$E$9:$SJ$9,'Graph Data'!AH$1,'PCO Log'!$E$7:$SJ$7,"Approved")</f>
        <v>0</v>
      </c>
      <c r="AI23" s="304">
        <f>SUMIFS('PCO Log'!$E33:$SJ33,'PCO Log'!$E$9:$SJ$9,'Graph Data'!AI$1,'PCO Log'!$E$7:$SJ$7,"Approved")</f>
        <v>0</v>
      </c>
      <c r="AJ23" s="304">
        <f>SUMIFS('PCO Log'!$E33:$SJ33,'PCO Log'!$E$9:$SJ$9,'Graph Data'!AJ$1,'PCO Log'!$E$7:$SJ$7,"Approved")</f>
        <v>0</v>
      </c>
      <c r="AK23" s="304">
        <f>SUMIFS('PCO Log'!$E33:$SJ33,'PCO Log'!$E$9:$SJ$9,'Graph Data'!AK$1,'PCO Log'!$E$7:$SJ$7,"Approved")</f>
        <v>0</v>
      </c>
      <c r="AL23" s="304">
        <f>SUMIFS('PCO Log'!$E33:$SJ33,'PCO Log'!$E$9:$SJ$9,'Graph Data'!AL$1,'PCO Log'!$E$7:$SJ$7,"Approved")</f>
        <v>0</v>
      </c>
      <c r="AM23" s="304">
        <f>SUMIFS('PCO Log'!$E33:$SJ33,'PCO Log'!$E$9:$SJ$9,'Graph Data'!AM$1,'PCO Log'!$E$7:$SJ$7,"Approved")</f>
        <v>0</v>
      </c>
      <c r="AN23" s="304">
        <f>SUMIFS('PCO Log'!$E33:$SJ33,'PCO Log'!$E$9:$SJ$9,'Graph Data'!AN$1,'PCO Log'!$E$7:$SJ$7,"Approved")</f>
        <v>0</v>
      </c>
      <c r="AO23" s="304">
        <f>SUMIFS('PCO Log'!$E33:$SJ33,'PCO Log'!$E$9:$SJ$9,'Graph Data'!AO$1,'PCO Log'!$E$7:$SJ$7,"Approved")</f>
        <v>0</v>
      </c>
      <c r="AP23" s="304">
        <f>SUMIFS('PCO Log'!$E33:$SJ33,'PCO Log'!$E$9:$SJ$9,'Graph Data'!AP$1,'PCO Log'!$E$7:$SJ$7,"Approved")</f>
        <v>0</v>
      </c>
      <c r="AQ23" s="304">
        <f>SUMIFS('PCO Log'!$E33:$SJ33,'PCO Log'!$E$9:$SJ$9,'Graph Data'!AQ$1,'PCO Log'!$E$7:$SJ$7,"Approved")</f>
        <v>0</v>
      </c>
      <c r="AR23" s="304">
        <f>SUMIFS('PCO Log'!$E33:$SJ33,'PCO Log'!$E$9:$SJ$9,'Graph Data'!AR$1,'PCO Log'!$E$7:$SJ$7,"Approved")</f>
        <v>0</v>
      </c>
      <c r="AS23" s="304">
        <f>SUMIFS('PCO Log'!$E33:$SJ33,'PCO Log'!$E$9:$SJ$9,'Graph Data'!AS$1,'PCO Log'!$E$7:$SJ$7,"Approved")</f>
        <v>0</v>
      </c>
      <c r="AT23" s="304">
        <f>SUMIFS('PCO Log'!$E33:$SJ33,'PCO Log'!$E$9:$SJ$9,'Graph Data'!AT$1,'PCO Log'!$E$7:$SJ$7,"Approved")</f>
        <v>0</v>
      </c>
      <c r="AU23" s="304">
        <f>SUMIFS('PCO Log'!$E33:$SJ33,'PCO Log'!$E$9:$SJ$9,'Graph Data'!AU$1,'PCO Log'!$E$7:$SJ$7,"Approved")</f>
        <v>0</v>
      </c>
      <c r="AV23" s="304">
        <f>SUMIFS('PCO Log'!$E33:$SJ33,'PCO Log'!$E$9:$SJ$9,'Graph Data'!AV$1,'PCO Log'!$E$7:$SJ$7,"Approved")</f>
        <v>0</v>
      </c>
      <c r="AW23" s="304">
        <f>SUMIFS('PCO Log'!$E33:$SJ33,'PCO Log'!$E$9:$SJ$9,'Graph Data'!AW$1,'PCO Log'!$E$7:$SJ$7,"Approved")</f>
        <v>0</v>
      </c>
      <c r="AX23" s="304">
        <f>SUMIFS('PCO Log'!$E33:$SJ33,'PCO Log'!$E$9:$SJ$9,'Graph Data'!AX$1,'PCO Log'!$E$7:$SJ$7,"Approved")</f>
        <v>0</v>
      </c>
      <c r="AY23" s="304">
        <f>SUMIFS('PCO Log'!$E33:$SJ33,'PCO Log'!$E$9:$SJ$9,'Graph Data'!AY$1,'PCO Log'!$E$7:$SJ$7,"Approved")</f>
        <v>0</v>
      </c>
      <c r="AZ23" s="304">
        <f>SUMIFS('PCO Log'!$E33:$SJ33,'PCO Log'!$E$9:$SJ$9,'Graph Data'!AZ$1,'PCO Log'!$E$7:$SJ$7,"Approved")</f>
        <v>0</v>
      </c>
      <c r="BA23" s="304">
        <f>SUMIFS('PCO Log'!$E33:$SJ33,'PCO Log'!$E$9:$SJ$9,'Graph Data'!BA$1,'PCO Log'!$E$7:$SJ$7,"Approved")</f>
        <v>0</v>
      </c>
      <c r="BB23" s="304">
        <f>SUMIFS('PCO Log'!$E33:$SJ33,'PCO Log'!$E$9:$SJ$9,'Graph Data'!BB$1,'PCO Log'!$E$7:$SJ$7,"Approved")</f>
        <v>0</v>
      </c>
      <c r="BC23" s="304">
        <f>SUMIFS('PCO Log'!$E33:$SJ33,'PCO Log'!$E$9:$SJ$9,'Graph Data'!BC$1,'PCO Log'!$E$7:$SJ$7,"Approved")</f>
        <v>0</v>
      </c>
      <c r="BD23" s="304">
        <f>SUMIFS('PCO Log'!$E33:$SJ33,'PCO Log'!$E$9:$SJ$9,'Graph Data'!BD$1,'PCO Log'!$E$7:$SJ$7,"Approved")</f>
        <v>0</v>
      </c>
      <c r="BE23" s="304">
        <f>SUMIFS('PCO Log'!$E33:$SJ33,'PCO Log'!$E$9:$SJ$9,'Graph Data'!BE$1,'PCO Log'!$E$7:$SJ$7,"Approved")</f>
        <v>0</v>
      </c>
      <c r="BF23" s="304">
        <f>SUMIFS('PCO Log'!$E33:$SJ33,'PCO Log'!$E$9:$SJ$9,'Graph Data'!BF$1,'PCO Log'!$E$7:$SJ$7,"Approved")</f>
        <v>0</v>
      </c>
      <c r="BG23" s="304">
        <f>SUMIFS('PCO Log'!$E33:$SJ33,'PCO Log'!$E$9:$SJ$9,'Graph Data'!BG$1,'PCO Log'!$E$7:$SJ$7,"Approved")</f>
        <v>0</v>
      </c>
      <c r="BH23" s="304">
        <f>SUMIFS('PCO Log'!$E33:$SJ33,'PCO Log'!$E$9:$SJ$9,'Graph Data'!BH$1,'PCO Log'!$E$7:$SJ$7,"Approved")</f>
        <v>0</v>
      </c>
      <c r="BI23" s="304">
        <f>SUMIFS('PCO Log'!$E33:$SJ33,'PCO Log'!$E$9:$SJ$9,'Graph Data'!BI$1,'PCO Log'!$E$7:$SJ$7,"Approved")</f>
        <v>0</v>
      </c>
      <c r="BJ23" s="304">
        <f>SUMIFS('PCO Log'!$E33:$SJ33,'PCO Log'!$E$9:$SJ$9,'Graph Data'!BJ$1,'PCO Log'!$E$7:$SJ$7,"Approved")</f>
        <v>0</v>
      </c>
      <c r="BK23" s="304">
        <f>SUMIFS('PCO Log'!$E33:$SJ33,'PCO Log'!$E$9:$SJ$9,'Graph Data'!BK$1,'PCO Log'!$E$7:$SJ$7,"Approved")</f>
        <v>0</v>
      </c>
      <c r="BL23" s="304">
        <f>SUMIFS('PCO Log'!$E33:$SJ33,'PCO Log'!$E$9:$SJ$9,'Graph Data'!BL$1,'PCO Log'!$E$7:$SJ$7,"Approved")</f>
        <v>0</v>
      </c>
      <c r="BM23" s="304">
        <f>SUMIFS('PCO Log'!$E33:$SJ33,'PCO Log'!$E$9:$SJ$9,'Graph Data'!BM$1,'PCO Log'!$E$7:$SJ$7,"Approved")</f>
        <v>0</v>
      </c>
      <c r="BN23" s="304">
        <f>SUMIFS('PCO Log'!$E33:$SJ33,'PCO Log'!$E$9:$SJ$9,'Graph Data'!BN$1,'PCO Log'!$E$7:$SJ$7,"Approved")</f>
        <v>0</v>
      </c>
      <c r="BO23" s="304">
        <f>SUMIFS('PCO Log'!$E33:$SJ33,'PCO Log'!$E$9:$SJ$9,'Graph Data'!BO$1,'PCO Log'!$E$7:$SJ$7,"Approved")</f>
        <v>0</v>
      </c>
      <c r="BP23" s="304">
        <f>SUMIFS('PCO Log'!$E33:$SJ33,'PCO Log'!$E$9:$SJ$9,'Graph Data'!BP$1,'PCO Log'!$E$7:$SJ$7,"Approved")</f>
        <v>0</v>
      </c>
      <c r="BQ23" s="304">
        <f>SUMIFS('PCO Log'!$E33:$SJ33,'PCO Log'!$E$9:$SJ$9,'Graph Data'!BQ$1,'PCO Log'!$E$7:$SJ$7,"Approved")</f>
        <v>0</v>
      </c>
      <c r="BR23" s="304">
        <f>SUMIFS('PCO Log'!$E33:$SJ33,'PCO Log'!$E$9:$SJ$9,'Graph Data'!BR$1,'PCO Log'!$E$7:$SJ$7,"Approved")</f>
        <v>0</v>
      </c>
      <c r="BS23" s="304">
        <f>SUMIFS('PCO Log'!$E33:$SJ33,'PCO Log'!$E$9:$SJ$9,'Graph Data'!BS$1,'PCO Log'!$E$7:$SJ$7,"Approved")</f>
        <v>0</v>
      </c>
      <c r="BT23" s="304">
        <f>SUMIFS('PCO Log'!$E33:$SJ33,'PCO Log'!$E$9:$SJ$9,'Graph Data'!BT$1,'PCO Log'!$E$7:$SJ$7,"Approved")</f>
        <v>0</v>
      </c>
      <c r="BU23" s="304">
        <f>SUMIFS('PCO Log'!$E33:$SJ33,'PCO Log'!$E$9:$SJ$9,'Graph Data'!BU$1,'PCO Log'!$E$7:$SJ$7,"Approved")</f>
        <v>0</v>
      </c>
      <c r="BV23" s="304">
        <f>SUMIFS('PCO Log'!$E33:$SJ33,'PCO Log'!$E$9:$SJ$9,'Graph Data'!BV$1,'PCO Log'!$E$7:$SJ$7,"Approved")</f>
        <v>0</v>
      </c>
      <c r="BW23" s="304">
        <f>SUMIFS('PCO Log'!$E33:$SJ33,'PCO Log'!$E$9:$SJ$9,'Graph Data'!BW$1,'PCO Log'!$E$7:$SJ$7,"Approved")</f>
        <v>0</v>
      </c>
      <c r="BX23" s="304">
        <f>SUMIFS('PCO Log'!$E33:$SJ33,'PCO Log'!$E$9:$SJ$9,'Graph Data'!BX$1,'PCO Log'!$E$7:$SJ$7,"Approved")</f>
        <v>0</v>
      </c>
    </row>
    <row r="24" spans="1:76" x14ac:dyDescent="0.25">
      <c r="A24" s="303" t="s">
        <v>364</v>
      </c>
      <c r="B24" s="303">
        <f>'PCO Log'!AA7</f>
        <v>0</v>
      </c>
      <c r="C24" s="303">
        <f>'PCO Log'!AA4</f>
        <v>0</v>
      </c>
      <c r="D24" s="303" cm="1">
        <f t="array" ref="D24">INDEX('PCO Log'!$E$5:$SJ$5, 1, ROWS('Graph Data'!$D$2:D24))</f>
        <v>0</v>
      </c>
      <c r="E24" s="303">
        <f>'PCO Log'!AA8</f>
        <v>0</v>
      </c>
      <c r="F24" s="303">
        <f>'PCO Log'!AA3</f>
        <v>0</v>
      </c>
      <c r="G24" s="304">
        <f>'PCO Log'!AA10</f>
        <v>0</v>
      </c>
      <c r="H24" s="305">
        <f>'PCO Log'!AA6</f>
        <v>0</v>
      </c>
      <c r="J24" s="303" t="s">
        <v>291</v>
      </c>
      <c r="K24" s="303">
        <f>'Pay App 23'!H33</f>
        <v>0</v>
      </c>
      <c r="L24" s="303">
        <f>IF(M24&gt;0,'Pay App 23'!$G$149,0)</f>
        <v>0</v>
      </c>
      <c r="M24" s="303">
        <f>'Pay App 23'!H149</f>
        <v>0</v>
      </c>
      <c r="O24" s="303" t="str">
        <f>'Pay App 1'!B79</f>
        <v>05 10 00</v>
      </c>
      <c r="P24" s="303" t="str">
        <f>'Pay App 1'!C79</f>
        <v>Structural Steel/Misc. Steel Fab</v>
      </c>
      <c r="Q24" s="304">
        <f>SUMIFS('PCO Log'!$E34:$SJ34,'PCO Log'!$E$9:$SJ$9,'Graph Data'!Q$1,'PCO Log'!$E$7:$SJ$7,"Approved")</f>
        <v>0</v>
      </c>
      <c r="R24" s="304">
        <f>SUMIFS('PCO Log'!$E34:$SJ34,'PCO Log'!$E$9:$SJ$9,'Graph Data'!R$1,'PCO Log'!$E$7:$SJ$7,"Approved")</f>
        <v>0</v>
      </c>
      <c r="S24" s="304">
        <f>SUMIFS('PCO Log'!$E34:$SJ34,'PCO Log'!$E$9:$SJ$9,'Graph Data'!S$1,'PCO Log'!$E$7:$SJ$7,"Approved")</f>
        <v>0</v>
      </c>
      <c r="T24" s="304">
        <f>SUMIFS('PCO Log'!$E34:$SJ34,'PCO Log'!$E$9:$SJ$9,'Graph Data'!T$1,'PCO Log'!$E$7:$SJ$7,"Approved")</f>
        <v>0</v>
      </c>
      <c r="U24" s="304">
        <f>SUMIFS('PCO Log'!$E34:$SJ34,'PCO Log'!$E$9:$SJ$9,'Graph Data'!U$1,'PCO Log'!$E$7:$SJ$7,"Approved")</f>
        <v>0</v>
      </c>
      <c r="V24" s="304">
        <f>SUMIFS('PCO Log'!$E34:$SJ34,'PCO Log'!$E$9:$SJ$9,'Graph Data'!V$1,'PCO Log'!$E$7:$SJ$7,"Approved")</f>
        <v>0</v>
      </c>
      <c r="W24" s="304">
        <f>SUMIFS('PCO Log'!$E34:$SJ34,'PCO Log'!$E$9:$SJ$9,'Graph Data'!W$1,'PCO Log'!$E$7:$SJ$7,"Approved")</f>
        <v>0</v>
      </c>
      <c r="X24" s="304">
        <f>SUMIFS('PCO Log'!$E34:$SJ34,'PCO Log'!$E$9:$SJ$9,'Graph Data'!X$1,'PCO Log'!$E$7:$SJ$7,"Approved")</f>
        <v>0</v>
      </c>
      <c r="Y24" s="304">
        <f>SUMIFS('PCO Log'!$E34:$SJ34,'PCO Log'!$E$9:$SJ$9,'Graph Data'!Y$1,'PCO Log'!$E$7:$SJ$7,"Approved")</f>
        <v>0</v>
      </c>
      <c r="Z24" s="304">
        <f>SUMIFS('PCO Log'!$E34:$SJ34,'PCO Log'!$E$9:$SJ$9,'Graph Data'!Z$1,'PCO Log'!$E$7:$SJ$7,"Approved")</f>
        <v>0</v>
      </c>
      <c r="AA24" s="304">
        <f>SUMIFS('PCO Log'!$E34:$SJ34,'PCO Log'!$E$9:$SJ$9,'Graph Data'!AA$1,'PCO Log'!$E$7:$SJ$7,"Approved")</f>
        <v>0</v>
      </c>
      <c r="AB24" s="304">
        <f>SUMIFS('PCO Log'!$E34:$SJ34,'PCO Log'!$E$9:$SJ$9,'Graph Data'!AB$1,'PCO Log'!$E$7:$SJ$7,"Approved")</f>
        <v>0</v>
      </c>
      <c r="AC24" s="304">
        <f>SUMIFS('PCO Log'!$E34:$SJ34,'PCO Log'!$E$9:$SJ$9,'Graph Data'!AC$1,'PCO Log'!$E$7:$SJ$7,"Approved")</f>
        <v>0</v>
      </c>
      <c r="AD24" s="304">
        <f>SUMIFS('PCO Log'!$E34:$SJ34,'PCO Log'!$E$9:$SJ$9,'Graph Data'!AD$1,'PCO Log'!$E$7:$SJ$7,"Approved")</f>
        <v>0</v>
      </c>
      <c r="AE24" s="304">
        <f>SUMIFS('PCO Log'!$E34:$SJ34,'PCO Log'!$E$9:$SJ$9,'Graph Data'!AE$1,'PCO Log'!$E$7:$SJ$7,"Approved")</f>
        <v>0</v>
      </c>
      <c r="AF24" s="304">
        <f>SUMIFS('PCO Log'!$E34:$SJ34,'PCO Log'!$E$9:$SJ$9,'Graph Data'!AF$1,'PCO Log'!$E$7:$SJ$7,"Approved")</f>
        <v>0</v>
      </c>
      <c r="AG24" s="304">
        <f>SUMIFS('PCO Log'!$E34:$SJ34,'PCO Log'!$E$9:$SJ$9,'Graph Data'!AG$1,'PCO Log'!$E$7:$SJ$7,"Approved")</f>
        <v>0</v>
      </c>
      <c r="AH24" s="304">
        <f>SUMIFS('PCO Log'!$E34:$SJ34,'PCO Log'!$E$9:$SJ$9,'Graph Data'!AH$1,'PCO Log'!$E$7:$SJ$7,"Approved")</f>
        <v>0</v>
      </c>
      <c r="AI24" s="304">
        <f>SUMIFS('PCO Log'!$E34:$SJ34,'PCO Log'!$E$9:$SJ$9,'Graph Data'!AI$1,'PCO Log'!$E$7:$SJ$7,"Approved")</f>
        <v>0</v>
      </c>
      <c r="AJ24" s="304">
        <f>SUMIFS('PCO Log'!$E34:$SJ34,'PCO Log'!$E$9:$SJ$9,'Graph Data'!AJ$1,'PCO Log'!$E$7:$SJ$7,"Approved")</f>
        <v>0</v>
      </c>
      <c r="AK24" s="304">
        <f>SUMIFS('PCO Log'!$E34:$SJ34,'PCO Log'!$E$9:$SJ$9,'Graph Data'!AK$1,'PCO Log'!$E$7:$SJ$7,"Approved")</f>
        <v>0</v>
      </c>
      <c r="AL24" s="304">
        <f>SUMIFS('PCO Log'!$E34:$SJ34,'PCO Log'!$E$9:$SJ$9,'Graph Data'!AL$1,'PCO Log'!$E$7:$SJ$7,"Approved")</f>
        <v>0</v>
      </c>
      <c r="AM24" s="304">
        <f>SUMIFS('PCO Log'!$E34:$SJ34,'PCO Log'!$E$9:$SJ$9,'Graph Data'!AM$1,'PCO Log'!$E$7:$SJ$7,"Approved")</f>
        <v>0</v>
      </c>
      <c r="AN24" s="304">
        <f>SUMIFS('PCO Log'!$E34:$SJ34,'PCO Log'!$E$9:$SJ$9,'Graph Data'!AN$1,'PCO Log'!$E$7:$SJ$7,"Approved")</f>
        <v>0</v>
      </c>
      <c r="AO24" s="304">
        <f>SUMIFS('PCO Log'!$E34:$SJ34,'PCO Log'!$E$9:$SJ$9,'Graph Data'!AO$1,'PCO Log'!$E$7:$SJ$7,"Approved")</f>
        <v>0</v>
      </c>
      <c r="AP24" s="304">
        <f>SUMIFS('PCO Log'!$E34:$SJ34,'PCO Log'!$E$9:$SJ$9,'Graph Data'!AP$1,'PCO Log'!$E$7:$SJ$7,"Approved")</f>
        <v>0</v>
      </c>
      <c r="AQ24" s="304">
        <f>SUMIFS('PCO Log'!$E34:$SJ34,'PCO Log'!$E$9:$SJ$9,'Graph Data'!AQ$1,'PCO Log'!$E$7:$SJ$7,"Approved")</f>
        <v>0</v>
      </c>
      <c r="AR24" s="304">
        <f>SUMIFS('PCO Log'!$E34:$SJ34,'PCO Log'!$E$9:$SJ$9,'Graph Data'!AR$1,'PCO Log'!$E$7:$SJ$7,"Approved")</f>
        <v>0</v>
      </c>
      <c r="AS24" s="304">
        <f>SUMIFS('PCO Log'!$E34:$SJ34,'PCO Log'!$E$9:$SJ$9,'Graph Data'!AS$1,'PCO Log'!$E$7:$SJ$7,"Approved")</f>
        <v>0</v>
      </c>
      <c r="AT24" s="304">
        <f>SUMIFS('PCO Log'!$E34:$SJ34,'PCO Log'!$E$9:$SJ$9,'Graph Data'!AT$1,'PCO Log'!$E$7:$SJ$7,"Approved")</f>
        <v>0</v>
      </c>
      <c r="AU24" s="304">
        <f>SUMIFS('PCO Log'!$E34:$SJ34,'PCO Log'!$E$9:$SJ$9,'Graph Data'!AU$1,'PCO Log'!$E$7:$SJ$7,"Approved")</f>
        <v>0</v>
      </c>
      <c r="AV24" s="304">
        <f>SUMIFS('PCO Log'!$E34:$SJ34,'PCO Log'!$E$9:$SJ$9,'Graph Data'!AV$1,'PCO Log'!$E$7:$SJ$7,"Approved")</f>
        <v>0</v>
      </c>
      <c r="AW24" s="304">
        <f>SUMIFS('PCO Log'!$E34:$SJ34,'PCO Log'!$E$9:$SJ$9,'Graph Data'!AW$1,'PCO Log'!$E$7:$SJ$7,"Approved")</f>
        <v>0</v>
      </c>
      <c r="AX24" s="304">
        <f>SUMIFS('PCO Log'!$E34:$SJ34,'PCO Log'!$E$9:$SJ$9,'Graph Data'!AX$1,'PCO Log'!$E$7:$SJ$7,"Approved")</f>
        <v>0</v>
      </c>
      <c r="AY24" s="304">
        <f>SUMIFS('PCO Log'!$E34:$SJ34,'PCO Log'!$E$9:$SJ$9,'Graph Data'!AY$1,'PCO Log'!$E$7:$SJ$7,"Approved")</f>
        <v>0</v>
      </c>
      <c r="AZ24" s="304">
        <f>SUMIFS('PCO Log'!$E34:$SJ34,'PCO Log'!$E$9:$SJ$9,'Graph Data'!AZ$1,'PCO Log'!$E$7:$SJ$7,"Approved")</f>
        <v>0</v>
      </c>
      <c r="BA24" s="304">
        <f>SUMIFS('PCO Log'!$E34:$SJ34,'PCO Log'!$E$9:$SJ$9,'Graph Data'!BA$1,'PCO Log'!$E$7:$SJ$7,"Approved")</f>
        <v>0</v>
      </c>
      <c r="BB24" s="304">
        <f>SUMIFS('PCO Log'!$E34:$SJ34,'PCO Log'!$E$9:$SJ$9,'Graph Data'!BB$1,'PCO Log'!$E$7:$SJ$7,"Approved")</f>
        <v>0</v>
      </c>
      <c r="BC24" s="304">
        <f>SUMIFS('PCO Log'!$E34:$SJ34,'PCO Log'!$E$9:$SJ$9,'Graph Data'!BC$1,'PCO Log'!$E$7:$SJ$7,"Approved")</f>
        <v>0</v>
      </c>
      <c r="BD24" s="304">
        <f>SUMIFS('PCO Log'!$E34:$SJ34,'PCO Log'!$E$9:$SJ$9,'Graph Data'!BD$1,'PCO Log'!$E$7:$SJ$7,"Approved")</f>
        <v>0</v>
      </c>
      <c r="BE24" s="304">
        <f>SUMIFS('PCO Log'!$E34:$SJ34,'PCO Log'!$E$9:$SJ$9,'Graph Data'!BE$1,'PCO Log'!$E$7:$SJ$7,"Approved")</f>
        <v>0</v>
      </c>
      <c r="BF24" s="304">
        <f>SUMIFS('PCO Log'!$E34:$SJ34,'PCO Log'!$E$9:$SJ$9,'Graph Data'!BF$1,'PCO Log'!$E$7:$SJ$7,"Approved")</f>
        <v>0</v>
      </c>
      <c r="BG24" s="304">
        <f>SUMIFS('PCO Log'!$E34:$SJ34,'PCO Log'!$E$9:$SJ$9,'Graph Data'!BG$1,'PCO Log'!$E$7:$SJ$7,"Approved")</f>
        <v>0</v>
      </c>
      <c r="BH24" s="304">
        <f>SUMIFS('PCO Log'!$E34:$SJ34,'PCO Log'!$E$9:$SJ$9,'Graph Data'!BH$1,'PCO Log'!$E$7:$SJ$7,"Approved")</f>
        <v>0</v>
      </c>
      <c r="BI24" s="304">
        <f>SUMIFS('PCO Log'!$E34:$SJ34,'PCO Log'!$E$9:$SJ$9,'Graph Data'!BI$1,'PCO Log'!$E$7:$SJ$7,"Approved")</f>
        <v>0</v>
      </c>
      <c r="BJ24" s="304">
        <f>SUMIFS('PCO Log'!$E34:$SJ34,'PCO Log'!$E$9:$SJ$9,'Graph Data'!BJ$1,'PCO Log'!$E$7:$SJ$7,"Approved")</f>
        <v>0</v>
      </c>
      <c r="BK24" s="304">
        <f>SUMIFS('PCO Log'!$E34:$SJ34,'PCO Log'!$E$9:$SJ$9,'Graph Data'!BK$1,'PCO Log'!$E$7:$SJ$7,"Approved")</f>
        <v>0</v>
      </c>
      <c r="BL24" s="304">
        <f>SUMIFS('PCO Log'!$E34:$SJ34,'PCO Log'!$E$9:$SJ$9,'Graph Data'!BL$1,'PCO Log'!$E$7:$SJ$7,"Approved")</f>
        <v>0</v>
      </c>
      <c r="BM24" s="304">
        <f>SUMIFS('PCO Log'!$E34:$SJ34,'PCO Log'!$E$9:$SJ$9,'Graph Data'!BM$1,'PCO Log'!$E$7:$SJ$7,"Approved")</f>
        <v>0</v>
      </c>
      <c r="BN24" s="304">
        <f>SUMIFS('PCO Log'!$E34:$SJ34,'PCO Log'!$E$9:$SJ$9,'Graph Data'!BN$1,'PCO Log'!$E$7:$SJ$7,"Approved")</f>
        <v>0</v>
      </c>
      <c r="BO24" s="304">
        <f>SUMIFS('PCO Log'!$E34:$SJ34,'PCO Log'!$E$9:$SJ$9,'Graph Data'!BO$1,'PCO Log'!$E$7:$SJ$7,"Approved")</f>
        <v>0</v>
      </c>
      <c r="BP24" s="304">
        <f>SUMIFS('PCO Log'!$E34:$SJ34,'PCO Log'!$E$9:$SJ$9,'Graph Data'!BP$1,'PCO Log'!$E$7:$SJ$7,"Approved")</f>
        <v>0</v>
      </c>
      <c r="BQ24" s="304">
        <f>SUMIFS('PCO Log'!$E34:$SJ34,'PCO Log'!$E$9:$SJ$9,'Graph Data'!BQ$1,'PCO Log'!$E$7:$SJ$7,"Approved")</f>
        <v>0</v>
      </c>
      <c r="BR24" s="304">
        <f>SUMIFS('PCO Log'!$E34:$SJ34,'PCO Log'!$E$9:$SJ$9,'Graph Data'!BR$1,'PCO Log'!$E$7:$SJ$7,"Approved")</f>
        <v>0</v>
      </c>
      <c r="BS24" s="304">
        <f>SUMIFS('PCO Log'!$E34:$SJ34,'PCO Log'!$E$9:$SJ$9,'Graph Data'!BS$1,'PCO Log'!$E$7:$SJ$7,"Approved")</f>
        <v>0</v>
      </c>
      <c r="BT24" s="304">
        <f>SUMIFS('PCO Log'!$E34:$SJ34,'PCO Log'!$E$9:$SJ$9,'Graph Data'!BT$1,'PCO Log'!$E$7:$SJ$7,"Approved")</f>
        <v>0</v>
      </c>
      <c r="BU24" s="304">
        <f>SUMIFS('PCO Log'!$E34:$SJ34,'PCO Log'!$E$9:$SJ$9,'Graph Data'!BU$1,'PCO Log'!$E$7:$SJ$7,"Approved")</f>
        <v>0</v>
      </c>
      <c r="BV24" s="304">
        <f>SUMIFS('PCO Log'!$E34:$SJ34,'PCO Log'!$E$9:$SJ$9,'Graph Data'!BV$1,'PCO Log'!$E$7:$SJ$7,"Approved")</f>
        <v>0</v>
      </c>
      <c r="BW24" s="304">
        <f>SUMIFS('PCO Log'!$E34:$SJ34,'PCO Log'!$E$9:$SJ$9,'Graph Data'!BW$1,'PCO Log'!$E$7:$SJ$7,"Approved")</f>
        <v>0</v>
      </c>
      <c r="BX24" s="304">
        <f>SUMIFS('PCO Log'!$E34:$SJ34,'PCO Log'!$E$9:$SJ$9,'Graph Data'!BX$1,'PCO Log'!$E$7:$SJ$7,"Approved")</f>
        <v>0</v>
      </c>
    </row>
    <row r="25" spans="1:76" x14ac:dyDescent="0.25">
      <c r="A25" s="303" t="s">
        <v>365</v>
      </c>
      <c r="B25" s="303">
        <f>'PCO Log'!AB7</f>
        <v>0</v>
      </c>
      <c r="C25" s="303">
        <f>'PCO Log'!AB4</f>
        <v>0</v>
      </c>
      <c r="D25" s="303" cm="1">
        <f t="array" ref="D25">INDEX('PCO Log'!$E$5:$SJ$5, 1, ROWS('Graph Data'!$D$2:D25))</f>
        <v>0</v>
      </c>
      <c r="E25" s="303">
        <f>'PCO Log'!AB8</f>
        <v>0</v>
      </c>
      <c r="F25" s="303">
        <f>'PCO Log'!AB3</f>
        <v>0</v>
      </c>
      <c r="G25" s="304">
        <f>'PCO Log'!AB10</f>
        <v>0</v>
      </c>
      <c r="H25" s="305">
        <f>'PCO Log'!AB6</f>
        <v>0</v>
      </c>
      <c r="J25" s="303" t="s">
        <v>292</v>
      </c>
      <c r="K25" s="303">
        <f>'Pay App 24'!H33</f>
        <v>0</v>
      </c>
      <c r="L25" s="303">
        <f>IF(M25&gt;0,'Pay App 24'!$G$149,0)</f>
        <v>0</v>
      </c>
      <c r="M25" s="303">
        <f>'Pay App 24'!H149</f>
        <v>0</v>
      </c>
      <c r="O25" s="303" t="str">
        <f>'Pay App 1'!B80</f>
        <v>05 20 00</v>
      </c>
      <c r="P25" s="303" t="str">
        <f>'Pay App 1'!C80</f>
        <v>Joists &amp; Deck</v>
      </c>
      <c r="Q25" s="304">
        <f>SUMIFS('PCO Log'!$E35:$SJ35,'PCO Log'!$E$9:$SJ$9,'Graph Data'!Q$1,'PCO Log'!$E$7:$SJ$7,"Approved")</f>
        <v>0</v>
      </c>
      <c r="R25" s="304">
        <f>SUMIFS('PCO Log'!$E35:$SJ35,'PCO Log'!$E$9:$SJ$9,'Graph Data'!R$1,'PCO Log'!$E$7:$SJ$7,"Approved")</f>
        <v>0</v>
      </c>
      <c r="S25" s="304">
        <f>SUMIFS('PCO Log'!$E35:$SJ35,'PCO Log'!$E$9:$SJ$9,'Graph Data'!S$1,'PCO Log'!$E$7:$SJ$7,"Approved")</f>
        <v>0</v>
      </c>
      <c r="T25" s="304">
        <f>SUMIFS('PCO Log'!$E35:$SJ35,'PCO Log'!$E$9:$SJ$9,'Graph Data'!T$1,'PCO Log'!$E$7:$SJ$7,"Approved")</f>
        <v>0</v>
      </c>
      <c r="U25" s="304">
        <f>SUMIFS('PCO Log'!$E35:$SJ35,'PCO Log'!$E$9:$SJ$9,'Graph Data'!U$1,'PCO Log'!$E$7:$SJ$7,"Approved")</f>
        <v>0</v>
      </c>
      <c r="V25" s="304">
        <f>SUMIFS('PCO Log'!$E35:$SJ35,'PCO Log'!$E$9:$SJ$9,'Graph Data'!V$1,'PCO Log'!$E$7:$SJ$7,"Approved")</f>
        <v>0</v>
      </c>
      <c r="W25" s="304">
        <f>SUMIFS('PCO Log'!$E35:$SJ35,'PCO Log'!$E$9:$SJ$9,'Graph Data'!W$1,'PCO Log'!$E$7:$SJ$7,"Approved")</f>
        <v>0</v>
      </c>
      <c r="X25" s="304">
        <f>SUMIFS('PCO Log'!$E35:$SJ35,'PCO Log'!$E$9:$SJ$9,'Graph Data'!X$1,'PCO Log'!$E$7:$SJ$7,"Approved")</f>
        <v>0</v>
      </c>
      <c r="Y25" s="304">
        <f>SUMIFS('PCO Log'!$E35:$SJ35,'PCO Log'!$E$9:$SJ$9,'Graph Data'!Y$1,'PCO Log'!$E$7:$SJ$7,"Approved")</f>
        <v>0</v>
      </c>
      <c r="Z25" s="304">
        <f>SUMIFS('PCO Log'!$E35:$SJ35,'PCO Log'!$E$9:$SJ$9,'Graph Data'!Z$1,'PCO Log'!$E$7:$SJ$7,"Approved")</f>
        <v>0</v>
      </c>
      <c r="AA25" s="304">
        <f>SUMIFS('PCO Log'!$E35:$SJ35,'PCO Log'!$E$9:$SJ$9,'Graph Data'!AA$1,'PCO Log'!$E$7:$SJ$7,"Approved")</f>
        <v>0</v>
      </c>
      <c r="AB25" s="304">
        <f>SUMIFS('PCO Log'!$E35:$SJ35,'PCO Log'!$E$9:$SJ$9,'Graph Data'!AB$1,'PCO Log'!$E$7:$SJ$7,"Approved")</f>
        <v>0</v>
      </c>
      <c r="AC25" s="304">
        <f>SUMIFS('PCO Log'!$E35:$SJ35,'PCO Log'!$E$9:$SJ$9,'Graph Data'!AC$1,'PCO Log'!$E$7:$SJ$7,"Approved")</f>
        <v>0</v>
      </c>
      <c r="AD25" s="304">
        <f>SUMIFS('PCO Log'!$E35:$SJ35,'PCO Log'!$E$9:$SJ$9,'Graph Data'!AD$1,'PCO Log'!$E$7:$SJ$7,"Approved")</f>
        <v>0</v>
      </c>
      <c r="AE25" s="304">
        <f>SUMIFS('PCO Log'!$E35:$SJ35,'PCO Log'!$E$9:$SJ$9,'Graph Data'!AE$1,'PCO Log'!$E$7:$SJ$7,"Approved")</f>
        <v>0</v>
      </c>
      <c r="AF25" s="304">
        <f>SUMIFS('PCO Log'!$E35:$SJ35,'PCO Log'!$E$9:$SJ$9,'Graph Data'!AF$1,'PCO Log'!$E$7:$SJ$7,"Approved")</f>
        <v>0</v>
      </c>
      <c r="AG25" s="304">
        <f>SUMIFS('PCO Log'!$E35:$SJ35,'PCO Log'!$E$9:$SJ$9,'Graph Data'!AG$1,'PCO Log'!$E$7:$SJ$7,"Approved")</f>
        <v>0</v>
      </c>
      <c r="AH25" s="304">
        <f>SUMIFS('PCO Log'!$E35:$SJ35,'PCO Log'!$E$9:$SJ$9,'Graph Data'!AH$1,'PCO Log'!$E$7:$SJ$7,"Approved")</f>
        <v>0</v>
      </c>
      <c r="AI25" s="304">
        <f>SUMIFS('PCO Log'!$E35:$SJ35,'PCO Log'!$E$9:$SJ$9,'Graph Data'!AI$1,'PCO Log'!$E$7:$SJ$7,"Approved")</f>
        <v>0</v>
      </c>
      <c r="AJ25" s="304">
        <f>SUMIFS('PCO Log'!$E35:$SJ35,'PCO Log'!$E$9:$SJ$9,'Graph Data'!AJ$1,'PCO Log'!$E$7:$SJ$7,"Approved")</f>
        <v>0</v>
      </c>
      <c r="AK25" s="304">
        <f>SUMIFS('PCO Log'!$E35:$SJ35,'PCO Log'!$E$9:$SJ$9,'Graph Data'!AK$1,'PCO Log'!$E$7:$SJ$7,"Approved")</f>
        <v>0</v>
      </c>
      <c r="AL25" s="304">
        <f>SUMIFS('PCO Log'!$E35:$SJ35,'PCO Log'!$E$9:$SJ$9,'Graph Data'!AL$1,'PCO Log'!$E$7:$SJ$7,"Approved")</f>
        <v>0</v>
      </c>
      <c r="AM25" s="304">
        <f>SUMIFS('PCO Log'!$E35:$SJ35,'PCO Log'!$E$9:$SJ$9,'Graph Data'!AM$1,'PCO Log'!$E$7:$SJ$7,"Approved")</f>
        <v>0</v>
      </c>
      <c r="AN25" s="304">
        <f>SUMIFS('PCO Log'!$E35:$SJ35,'PCO Log'!$E$9:$SJ$9,'Graph Data'!AN$1,'PCO Log'!$E$7:$SJ$7,"Approved")</f>
        <v>0</v>
      </c>
      <c r="AO25" s="304">
        <f>SUMIFS('PCO Log'!$E35:$SJ35,'PCO Log'!$E$9:$SJ$9,'Graph Data'!AO$1,'PCO Log'!$E$7:$SJ$7,"Approved")</f>
        <v>0</v>
      </c>
      <c r="AP25" s="304">
        <f>SUMIFS('PCO Log'!$E35:$SJ35,'PCO Log'!$E$9:$SJ$9,'Graph Data'!AP$1,'PCO Log'!$E$7:$SJ$7,"Approved")</f>
        <v>0</v>
      </c>
      <c r="AQ25" s="304">
        <f>SUMIFS('PCO Log'!$E35:$SJ35,'PCO Log'!$E$9:$SJ$9,'Graph Data'!AQ$1,'PCO Log'!$E$7:$SJ$7,"Approved")</f>
        <v>0</v>
      </c>
      <c r="AR25" s="304">
        <f>SUMIFS('PCO Log'!$E35:$SJ35,'PCO Log'!$E$9:$SJ$9,'Graph Data'!AR$1,'PCO Log'!$E$7:$SJ$7,"Approved")</f>
        <v>0</v>
      </c>
      <c r="AS25" s="304">
        <f>SUMIFS('PCO Log'!$E35:$SJ35,'PCO Log'!$E$9:$SJ$9,'Graph Data'!AS$1,'PCO Log'!$E$7:$SJ$7,"Approved")</f>
        <v>0</v>
      </c>
      <c r="AT25" s="304">
        <f>SUMIFS('PCO Log'!$E35:$SJ35,'PCO Log'!$E$9:$SJ$9,'Graph Data'!AT$1,'PCO Log'!$E$7:$SJ$7,"Approved")</f>
        <v>0</v>
      </c>
      <c r="AU25" s="304">
        <f>SUMIFS('PCO Log'!$E35:$SJ35,'PCO Log'!$E$9:$SJ$9,'Graph Data'!AU$1,'PCO Log'!$E$7:$SJ$7,"Approved")</f>
        <v>0</v>
      </c>
      <c r="AV25" s="304">
        <f>SUMIFS('PCO Log'!$E35:$SJ35,'PCO Log'!$E$9:$SJ$9,'Graph Data'!AV$1,'PCO Log'!$E$7:$SJ$7,"Approved")</f>
        <v>0</v>
      </c>
      <c r="AW25" s="304">
        <f>SUMIFS('PCO Log'!$E35:$SJ35,'PCO Log'!$E$9:$SJ$9,'Graph Data'!AW$1,'PCO Log'!$E$7:$SJ$7,"Approved")</f>
        <v>0</v>
      </c>
      <c r="AX25" s="304">
        <f>SUMIFS('PCO Log'!$E35:$SJ35,'PCO Log'!$E$9:$SJ$9,'Graph Data'!AX$1,'PCO Log'!$E$7:$SJ$7,"Approved")</f>
        <v>0</v>
      </c>
      <c r="AY25" s="304">
        <f>SUMIFS('PCO Log'!$E35:$SJ35,'PCO Log'!$E$9:$SJ$9,'Graph Data'!AY$1,'PCO Log'!$E$7:$SJ$7,"Approved")</f>
        <v>0</v>
      </c>
      <c r="AZ25" s="304">
        <f>SUMIFS('PCO Log'!$E35:$SJ35,'PCO Log'!$E$9:$SJ$9,'Graph Data'!AZ$1,'PCO Log'!$E$7:$SJ$7,"Approved")</f>
        <v>0</v>
      </c>
      <c r="BA25" s="304">
        <f>SUMIFS('PCO Log'!$E35:$SJ35,'PCO Log'!$E$9:$SJ$9,'Graph Data'!BA$1,'PCO Log'!$E$7:$SJ$7,"Approved")</f>
        <v>0</v>
      </c>
      <c r="BB25" s="304">
        <f>SUMIFS('PCO Log'!$E35:$SJ35,'PCO Log'!$E$9:$SJ$9,'Graph Data'!BB$1,'PCO Log'!$E$7:$SJ$7,"Approved")</f>
        <v>0</v>
      </c>
      <c r="BC25" s="304">
        <f>SUMIFS('PCO Log'!$E35:$SJ35,'PCO Log'!$E$9:$SJ$9,'Graph Data'!BC$1,'PCO Log'!$E$7:$SJ$7,"Approved")</f>
        <v>0</v>
      </c>
      <c r="BD25" s="304">
        <f>SUMIFS('PCO Log'!$E35:$SJ35,'PCO Log'!$E$9:$SJ$9,'Graph Data'!BD$1,'PCO Log'!$E$7:$SJ$7,"Approved")</f>
        <v>0</v>
      </c>
      <c r="BE25" s="304">
        <f>SUMIFS('PCO Log'!$E35:$SJ35,'PCO Log'!$E$9:$SJ$9,'Graph Data'!BE$1,'PCO Log'!$E$7:$SJ$7,"Approved")</f>
        <v>0</v>
      </c>
      <c r="BF25" s="304">
        <f>SUMIFS('PCO Log'!$E35:$SJ35,'PCO Log'!$E$9:$SJ$9,'Graph Data'!BF$1,'PCO Log'!$E$7:$SJ$7,"Approved")</f>
        <v>0</v>
      </c>
      <c r="BG25" s="304">
        <f>SUMIFS('PCO Log'!$E35:$SJ35,'PCO Log'!$E$9:$SJ$9,'Graph Data'!BG$1,'PCO Log'!$E$7:$SJ$7,"Approved")</f>
        <v>0</v>
      </c>
      <c r="BH25" s="304">
        <f>SUMIFS('PCO Log'!$E35:$SJ35,'PCO Log'!$E$9:$SJ$9,'Graph Data'!BH$1,'PCO Log'!$E$7:$SJ$7,"Approved")</f>
        <v>0</v>
      </c>
      <c r="BI25" s="304">
        <f>SUMIFS('PCO Log'!$E35:$SJ35,'PCO Log'!$E$9:$SJ$9,'Graph Data'!BI$1,'PCO Log'!$E$7:$SJ$7,"Approved")</f>
        <v>0</v>
      </c>
      <c r="BJ25" s="304">
        <f>SUMIFS('PCO Log'!$E35:$SJ35,'PCO Log'!$E$9:$SJ$9,'Graph Data'!BJ$1,'PCO Log'!$E$7:$SJ$7,"Approved")</f>
        <v>0</v>
      </c>
      <c r="BK25" s="304">
        <f>SUMIFS('PCO Log'!$E35:$SJ35,'PCO Log'!$E$9:$SJ$9,'Graph Data'!BK$1,'PCO Log'!$E$7:$SJ$7,"Approved")</f>
        <v>0</v>
      </c>
      <c r="BL25" s="304">
        <f>SUMIFS('PCO Log'!$E35:$SJ35,'PCO Log'!$E$9:$SJ$9,'Graph Data'!BL$1,'PCO Log'!$E$7:$SJ$7,"Approved")</f>
        <v>0</v>
      </c>
      <c r="BM25" s="304">
        <f>SUMIFS('PCO Log'!$E35:$SJ35,'PCO Log'!$E$9:$SJ$9,'Graph Data'!BM$1,'PCO Log'!$E$7:$SJ$7,"Approved")</f>
        <v>0</v>
      </c>
      <c r="BN25" s="304">
        <f>SUMIFS('PCO Log'!$E35:$SJ35,'PCO Log'!$E$9:$SJ$9,'Graph Data'!BN$1,'PCO Log'!$E$7:$SJ$7,"Approved")</f>
        <v>0</v>
      </c>
      <c r="BO25" s="304">
        <f>SUMIFS('PCO Log'!$E35:$SJ35,'PCO Log'!$E$9:$SJ$9,'Graph Data'!BO$1,'PCO Log'!$E$7:$SJ$7,"Approved")</f>
        <v>0</v>
      </c>
      <c r="BP25" s="304">
        <f>SUMIFS('PCO Log'!$E35:$SJ35,'PCO Log'!$E$9:$SJ$9,'Graph Data'!BP$1,'PCO Log'!$E$7:$SJ$7,"Approved")</f>
        <v>0</v>
      </c>
      <c r="BQ25" s="304">
        <f>SUMIFS('PCO Log'!$E35:$SJ35,'PCO Log'!$E$9:$SJ$9,'Graph Data'!BQ$1,'PCO Log'!$E$7:$SJ$7,"Approved")</f>
        <v>0</v>
      </c>
      <c r="BR25" s="304">
        <f>SUMIFS('PCO Log'!$E35:$SJ35,'PCO Log'!$E$9:$SJ$9,'Graph Data'!BR$1,'PCO Log'!$E$7:$SJ$7,"Approved")</f>
        <v>0</v>
      </c>
      <c r="BS25" s="304">
        <f>SUMIFS('PCO Log'!$E35:$SJ35,'PCO Log'!$E$9:$SJ$9,'Graph Data'!BS$1,'PCO Log'!$E$7:$SJ$7,"Approved")</f>
        <v>0</v>
      </c>
      <c r="BT25" s="304">
        <f>SUMIFS('PCO Log'!$E35:$SJ35,'PCO Log'!$E$9:$SJ$9,'Graph Data'!BT$1,'PCO Log'!$E$7:$SJ$7,"Approved")</f>
        <v>0</v>
      </c>
      <c r="BU25" s="304">
        <f>SUMIFS('PCO Log'!$E35:$SJ35,'PCO Log'!$E$9:$SJ$9,'Graph Data'!BU$1,'PCO Log'!$E$7:$SJ$7,"Approved")</f>
        <v>0</v>
      </c>
      <c r="BV25" s="304">
        <f>SUMIFS('PCO Log'!$E35:$SJ35,'PCO Log'!$E$9:$SJ$9,'Graph Data'!BV$1,'PCO Log'!$E$7:$SJ$7,"Approved")</f>
        <v>0</v>
      </c>
      <c r="BW25" s="304">
        <f>SUMIFS('PCO Log'!$E35:$SJ35,'PCO Log'!$E$9:$SJ$9,'Graph Data'!BW$1,'PCO Log'!$E$7:$SJ$7,"Approved")</f>
        <v>0</v>
      </c>
      <c r="BX25" s="304">
        <f>SUMIFS('PCO Log'!$E35:$SJ35,'PCO Log'!$E$9:$SJ$9,'Graph Data'!BX$1,'PCO Log'!$E$7:$SJ$7,"Approved")</f>
        <v>0</v>
      </c>
    </row>
    <row r="26" spans="1:76" x14ac:dyDescent="0.25">
      <c r="A26" s="303" t="s">
        <v>366</v>
      </c>
      <c r="B26" s="303">
        <f>'PCO Log'!AC7</f>
        <v>0</v>
      </c>
      <c r="C26" s="303">
        <f>'PCO Log'!AC4</f>
        <v>0</v>
      </c>
      <c r="D26" s="303" cm="1">
        <f t="array" ref="D26">INDEX('PCO Log'!$E$5:$SJ$5, 1, ROWS('Graph Data'!$D$2:D26))</f>
        <v>0</v>
      </c>
      <c r="E26" s="303">
        <f>'PCO Log'!AC8</f>
        <v>0</v>
      </c>
      <c r="F26" s="303">
        <f>'PCO Log'!AC3</f>
        <v>0</v>
      </c>
      <c r="G26" s="304">
        <f>'PCO Log'!AC10</f>
        <v>0</v>
      </c>
      <c r="H26" s="305">
        <f>'PCO Log'!AC6</f>
        <v>0</v>
      </c>
      <c r="J26" s="303" t="s">
        <v>293</v>
      </c>
      <c r="K26" s="303">
        <f>'Pay App 25'!H33</f>
        <v>0</v>
      </c>
      <c r="L26" s="303">
        <f>IF(M26&gt;0,'Pay App 25'!$G$149,0)</f>
        <v>0</v>
      </c>
      <c r="M26" s="303">
        <f>'Pay App 25'!H149</f>
        <v>0</v>
      </c>
      <c r="O26" s="303" t="str">
        <f>'Pay App 1'!B81</f>
        <v>05 70 00</v>
      </c>
      <c r="P26" s="303" t="str">
        <f>'Pay App 1'!C81</f>
        <v>Ornamental Metal</v>
      </c>
      <c r="Q26" s="304">
        <f>SUMIFS('PCO Log'!$E36:$SJ36,'PCO Log'!$E$9:$SJ$9,'Graph Data'!Q$1,'PCO Log'!$E$7:$SJ$7,"Approved")</f>
        <v>0</v>
      </c>
      <c r="R26" s="304">
        <f>SUMIFS('PCO Log'!$E36:$SJ36,'PCO Log'!$E$9:$SJ$9,'Graph Data'!R$1,'PCO Log'!$E$7:$SJ$7,"Approved")</f>
        <v>0</v>
      </c>
      <c r="S26" s="304">
        <f>SUMIFS('PCO Log'!$E36:$SJ36,'PCO Log'!$E$9:$SJ$9,'Graph Data'!S$1,'PCO Log'!$E$7:$SJ$7,"Approved")</f>
        <v>0</v>
      </c>
      <c r="T26" s="304">
        <f>SUMIFS('PCO Log'!$E36:$SJ36,'PCO Log'!$E$9:$SJ$9,'Graph Data'!T$1,'PCO Log'!$E$7:$SJ$7,"Approved")</f>
        <v>0</v>
      </c>
      <c r="U26" s="304">
        <f>SUMIFS('PCO Log'!$E36:$SJ36,'PCO Log'!$E$9:$SJ$9,'Graph Data'!U$1,'PCO Log'!$E$7:$SJ$7,"Approved")</f>
        <v>0</v>
      </c>
      <c r="V26" s="304">
        <f>SUMIFS('PCO Log'!$E36:$SJ36,'PCO Log'!$E$9:$SJ$9,'Graph Data'!V$1,'PCO Log'!$E$7:$SJ$7,"Approved")</f>
        <v>0</v>
      </c>
      <c r="W26" s="304">
        <f>SUMIFS('PCO Log'!$E36:$SJ36,'PCO Log'!$E$9:$SJ$9,'Graph Data'!W$1,'PCO Log'!$E$7:$SJ$7,"Approved")</f>
        <v>0</v>
      </c>
      <c r="X26" s="304">
        <f>SUMIFS('PCO Log'!$E36:$SJ36,'PCO Log'!$E$9:$SJ$9,'Graph Data'!X$1,'PCO Log'!$E$7:$SJ$7,"Approved")</f>
        <v>0</v>
      </c>
      <c r="Y26" s="304">
        <f>SUMIFS('PCO Log'!$E36:$SJ36,'PCO Log'!$E$9:$SJ$9,'Graph Data'!Y$1,'PCO Log'!$E$7:$SJ$7,"Approved")</f>
        <v>0</v>
      </c>
      <c r="Z26" s="304">
        <f>SUMIFS('PCO Log'!$E36:$SJ36,'PCO Log'!$E$9:$SJ$9,'Graph Data'!Z$1,'PCO Log'!$E$7:$SJ$7,"Approved")</f>
        <v>0</v>
      </c>
      <c r="AA26" s="304">
        <f>SUMIFS('PCO Log'!$E36:$SJ36,'PCO Log'!$E$9:$SJ$9,'Graph Data'!AA$1,'PCO Log'!$E$7:$SJ$7,"Approved")</f>
        <v>0</v>
      </c>
      <c r="AB26" s="304">
        <f>SUMIFS('PCO Log'!$E36:$SJ36,'PCO Log'!$E$9:$SJ$9,'Graph Data'!AB$1,'PCO Log'!$E$7:$SJ$7,"Approved")</f>
        <v>0</v>
      </c>
      <c r="AC26" s="304">
        <f>SUMIFS('PCO Log'!$E36:$SJ36,'PCO Log'!$E$9:$SJ$9,'Graph Data'!AC$1,'PCO Log'!$E$7:$SJ$7,"Approved")</f>
        <v>0</v>
      </c>
      <c r="AD26" s="304">
        <f>SUMIFS('PCO Log'!$E36:$SJ36,'PCO Log'!$E$9:$SJ$9,'Graph Data'!AD$1,'PCO Log'!$E$7:$SJ$7,"Approved")</f>
        <v>0</v>
      </c>
      <c r="AE26" s="304">
        <f>SUMIFS('PCO Log'!$E36:$SJ36,'PCO Log'!$E$9:$SJ$9,'Graph Data'!AE$1,'PCO Log'!$E$7:$SJ$7,"Approved")</f>
        <v>0</v>
      </c>
      <c r="AF26" s="304">
        <f>SUMIFS('PCO Log'!$E36:$SJ36,'PCO Log'!$E$9:$SJ$9,'Graph Data'!AF$1,'PCO Log'!$E$7:$SJ$7,"Approved")</f>
        <v>0</v>
      </c>
      <c r="AG26" s="304">
        <f>SUMIFS('PCO Log'!$E36:$SJ36,'PCO Log'!$E$9:$SJ$9,'Graph Data'!AG$1,'PCO Log'!$E$7:$SJ$7,"Approved")</f>
        <v>0</v>
      </c>
      <c r="AH26" s="304">
        <f>SUMIFS('PCO Log'!$E36:$SJ36,'PCO Log'!$E$9:$SJ$9,'Graph Data'!AH$1,'PCO Log'!$E$7:$SJ$7,"Approved")</f>
        <v>0</v>
      </c>
      <c r="AI26" s="304">
        <f>SUMIFS('PCO Log'!$E36:$SJ36,'PCO Log'!$E$9:$SJ$9,'Graph Data'!AI$1,'PCO Log'!$E$7:$SJ$7,"Approved")</f>
        <v>0</v>
      </c>
      <c r="AJ26" s="304">
        <f>SUMIFS('PCO Log'!$E36:$SJ36,'PCO Log'!$E$9:$SJ$9,'Graph Data'!AJ$1,'PCO Log'!$E$7:$SJ$7,"Approved")</f>
        <v>0</v>
      </c>
      <c r="AK26" s="304">
        <f>SUMIFS('PCO Log'!$E36:$SJ36,'PCO Log'!$E$9:$SJ$9,'Graph Data'!AK$1,'PCO Log'!$E$7:$SJ$7,"Approved")</f>
        <v>0</v>
      </c>
      <c r="AL26" s="304">
        <f>SUMIFS('PCO Log'!$E36:$SJ36,'PCO Log'!$E$9:$SJ$9,'Graph Data'!AL$1,'PCO Log'!$E$7:$SJ$7,"Approved")</f>
        <v>0</v>
      </c>
      <c r="AM26" s="304">
        <f>SUMIFS('PCO Log'!$E36:$SJ36,'PCO Log'!$E$9:$SJ$9,'Graph Data'!AM$1,'PCO Log'!$E$7:$SJ$7,"Approved")</f>
        <v>0</v>
      </c>
      <c r="AN26" s="304">
        <f>SUMIFS('PCO Log'!$E36:$SJ36,'PCO Log'!$E$9:$SJ$9,'Graph Data'!AN$1,'PCO Log'!$E$7:$SJ$7,"Approved")</f>
        <v>0</v>
      </c>
      <c r="AO26" s="304">
        <f>SUMIFS('PCO Log'!$E36:$SJ36,'PCO Log'!$E$9:$SJ$9,'Graph Data'!AO$1,'PCO Log'!$E$7:$SJ$7,"Approved")</f>
        <v>0</v>
      </c>
      <c r="AP26" s="304">
        <f>SUMIFS('PCO Log'!$E36:$SJ36,'PCO Log'!$E$9:$SJ$9,'Graph Data'!AP$1,'PCO Log'!$E$7:$SJ$7,"Approved")</f>
        <v>0</v>
      </c>
      <c r="AQ26" s="304">
        <f>SUMIFS('PCO Log'!$E36:$SJ36,'PCO Log'!$E$9:$SJ$9,'Graph Data'!AQ$1,'PCO Log'!$E$7:$SJ$7,"Approved")</f>
        <v>0</v>
      </c>
      <c r="AR26" s="304">
        <f>SUMIFS('PCO Log'!$E36:$SJ36,'PCO Log'!$E$9:$SJ$9,'Graph Data'!AR$1,'PCO Log'!$E$7:$SJ$7,"Approved")</f>
        <v>0</v>
      </c>
      <c r="AS26" s="304">
        <f>SUMIFS('PCO Log'!$E36:$SJ36,'PCO Log'!$E$9:$SJ$9,'Graph Data'!AS$1,'PCO Log'!$E$7:$SJ$7,"Approved")</f>
        <v>0</v>
      </c>
      <c r="AT26" s="304">
        <f>SUMIFS('PCO Log'!$E36:$SJ36,'PCO Log'!$E$9:$SJ$9,'Graph Data'!AT$1,'PCO Log'!$E$7:$SJ$7,"Approved")</f>
        <v>0</v>
      </c>
      <c r="AU26" s="304">
        <f>SUMIFS('PCO Log'!$E36:$SJ36,'PCO Log'!$E$9:$SJ$9,'Graph Data'!AU$1,'PCO Log'!$E$7:$SJ$7,"Approved")</f>
        <v>0</v>
      </c>
      <c r="AV26" s="304">
        <f>SUMIFS('PCO Log'!$E36:$SJ36,'PCO Log'!$E$9:$SJ$9,'Graph Data'!AV$1,'PCO Log'!$E$7:$SJ$7,"Approved")</f>
        <v>0</v>
      </c>
      <c r="AW26" s="304">
        <f>SUMIFS('PCO Log'!$E36:$SJ36,'PCO Log'!$E$9:$SJ$9,'Graph Data'!AW$1,'PCO Log'!$E$7:$SJ$7,"Approved")</f>
        <v>0</v>
      </c>
      <c r="AX26" s="304">
        <f>SUMIFS('PCO Log'!$E36:$SJ36,'PCO Log'!$E$9:$SJ$9,'Graph Data'!AX$1,'PCO Log'!$E$7:$SJ$7,"Approved")</f>
        <v>0</v>
      </c>
      <c r="AY26" s="304">
        <f>SUMIFS('PCO Log'!$E36:$SJ36,'PCO Log'!$E$9:$SJ$9,'Graph Data'!AY$1,'PCO Log'!$E$7:$SJ$7,"Approved")</f>
        <v>0</v>
      </c>
      <c r="AZ26" s="304">
        <f>SUMIFS('PCO Log'!$E36:$SJ36,'PCO Log'!$E$9:$SJ$9,'Graph Data'!AZ$1,'PCO Log'!$E$7:$SJ$7,"Approved")</f>
        <v>0</v>
      </c>
      <c r="BA26" s="304">
        <f>SUMIFS('PCO Log'!$E36:$SJ36,'PCO Log'!$E$9:$SJ$9,'Graph Data'!BA$1,'PCO Log'!$E$7:$SJ$7,"Approved")</f>
        <v>0</v>
      </c>
      <c r="BB26" s="304">
        <f>SUMIFS('PCO Log'!$E36:$SJ36,'PCO Log'!$E$9:$SJ$9,'Graph Data'!BB$1,'PCO Log'!$E$7:$SJ$7,"Approved")</f>
        <v>0</v>
      </c>
      <c r="BC26" s="304">
        <f>SUMIFS('PCO Log'!$E36:$SJ36,'PCO Log'!$E$9:$SJ$9,'Graph Data'!BC$1,'PCO Log'!$E$7:$SJ$7,"Approved")</f>
        <v>0</v>
      </c>
      <c r="BD26" s="304">
        <f>SUMIFS('PCO Log'!$E36:$SJ36,'PCO Log'!$E$9:$SJ$9,'Graph Data'!BD$1,'PCO Log'!$E$7:$SJ$7,"Approved")</f>
        <v>0</v>
      </c>
      <c r="BE26" s="304">
        <f>SUMIFS('PCO Log'!$E36:$SJ36,'PCO Log'!$E$9:$SJ$9,'Graph Data'!BE$1,'PCO Log'!$E$7:$SJ$7,"Approved")</f>
        <v>0</v>
      </c>
      <c r="BF26" s="304">
        <f>SUMIFS('PCO Log'!$E36:$SJ36,'PCO Log'!$E$9:$SJ$9,'Graph Data'!BF$1,'PCO Log'!$E$7:$SJ$7,"Approved")</f>
        <v>0</v>
      </c>
      <c r="BG26" s="304">
        <f>SUMIFS('PCO Log'!$E36:$SJ36,'PCO Log'!$E$9:$SJ$9,'Graph Data'!BG$1,'PCO Log'!$E$7:$SJ$7,"Approved")</f>
        <v>0</v>
      </c>
      <c r="BH26" s="304">
        <f>SUMIFS('PCO Log'!$E36:$SJ36,'PCO Log'!$E$9:$SJ$9,'Graph Data'!BH$1,'PCO Log'!$E$7:$SJ$7,"Approved")</f>
        <v>0</v>
      </c>
      <c r="BI26" s="304">
        <f>SUMIFS('PCO Log'!$E36:$SJ36,'PCO Log'!$E$9:$SJ$9,'Graph Data'!BI$1,'PCO Log'!$E$7:$SJ$7,"Approved")</f>
        <v>0</v>
      </c>
      <c r="BJ26" s="304">
        <f>SUMIFS('PCO Log'!$E36:$SJ36,'PCO Log'!$E$9:$SJ$9,'Graph Data'!BJ$1,'PCO Log'!$E$7:$SJ$7,"Approved")</f>
        <v>0</v>
      </c>
      <c r="BK26" s="304">
        <f>SUMIFS('PCO Log'!$E36:$SJ36,'PCO Log'!$E$9:$SJ$9,'Graph Data'!BK$1,'PCO Log'!$E$7:$SJ$7,"Approved")</f>
        <v>0</v>
      </c>
      <c r="BL26" s="304">
        <f>SUMIFS('PCO Log'!$E36:$SJ36,'PCO Log'!$E$9:$SJ$9,'Graph Data'!BL$1,'PCO Log'!$E$7:$SJ$7,"Approved")</f>
        <v>0</v>
      </c>
      <c r="BM26" s="304">
        <f>SUMIFS('PCO Log'!$E36:$SJ36,'PCO Log'!$E$9:$SJ$9,'Graph Data'!BM$1,'PCO Log'!$E$7:$SJ$7,"Approved")</f>
        <v>0</v>
      </c>
      <c r="BN26" s="304">
        <f>SUMIFS('PCO Log'!$E36:$SJ36,'PCO Log'!$E$9:$SJ$9,'Graph Data'!BN$1,'PCO Log'!$E$7:$SJ$7,"Approved")</f>
        <v>0</v>
      </c>
      <c r="BO26" s="304">
        <f>SUMIFS('PCO Log'!$E36:$SJ36,'PCO Log'!$E$9:$SJ$9,'Graph Data'!BO$1,'PCO Log'!$E$7:$SJ$7,"Approved")</f>
        <v>0</v>
      </c>
      <c r="BP26" s="304">
        <f>SUMIFS('PCO Log'!$E36:$SJ36,'PCO Log'!$E$9:$SJ$9,'Graph Data'!BP$1,'PCO Log'!$E$7:$SJ$7,"Approved")</f>
        <v>0</v>
      </c>
      <c r="BQ26" s="304">
        <f>SUMIFS('PCO Log'!$E36:$SJ36,'PCO Log'!$E$9:$SJ$9,'Graph Data'!BQ$1,'PCO Log'!$E$7:$SJ$7,"Approved")</f>
        <v>0</v>
      </c>
      <c r="BR26" s="304">
        <f>SUMIFS('PCO Log'!$E36:$SJ36,'PCO Log'!$E$9:$SJ$9,'Graph Data'!BR$1,'PCO Log'!$E$7:$SJ$7,"Approved")</f>
        <v>0</v>
      </c>
      <c r="BS26" s="304">
        <f>SUMIFS('PCO Log'!$E36:$SJ36,'PCO Log'!$E$9:$SJ$9,'Graph Data'!BS$1,'PCO Log'!$E$7:$SJ$7,"Approved")</f>
        <v>0</v>
      </c>
      <c r="BT26" s="304">
        <f>SUMIFS('PCO Log'!$E36:$SJ36,'PCO Log'!$E$9:$SJ$9,'Graph Data'!BT$1,'PCO Log'!$E$7:$SJ$7,"Approved")</f>
        <v>0</v>
      </c>
      <c r="BU26" s="304">
        <f>SUMIFS('PCO Log'!$E36:$SJ36,'PCO Log'!$E$9:$SJ$9,'Graph Data'!BU$1,'PCO Log'!$E$7:$SJ$7,"Approved")</f>
        <v>0</v>
      </c>
      <c r="BV26" s="304">
        <f>SUMIFS('PCO Log'!$E36:$SJ36,'PCO Log'!$E$9:$SJ$9,'Graph Data'!BV$1,'PCO Log'!$E$7:$SJ$7,"Approved")</f>
        <v>0</v>
      </c>
      <c r="BW26" s="304">
        <f>SUMIFS('PCO Log'!$E36:$SJ36,'PCO Log'!$E$9:$SJ$9,'Graph Data'!BW$1,'PCO Log'!$E$7:$SJ$7,"Approved")</f>
        <v>0</v>
      </c>
      <c r="BX26" s="304">
        <f>SUMIFS('PCO Log'!$E36:$SJ36,'PCO Log'!$E$9:$SJ$9,'Graph Data'!BX$1,'PCO Log'!$E$7:$SJ$7,"Approved")</f>
        <v>0</v>
      </c>
    </row>
    <row r="27" spans="1:76" x14ac:dyDescent="0.25">
      <c r="A27" s="303" t="s">
        <v>367</v>
      </c>
      <c r="B27" s="303">
        <f>'PCO Log'!AD7</f>
        <v>0</v>
      </c>
      <c r="C27" s="303">
        <f>'PCO Log'!AD4</f>
        <v>0</v>
      </c>
      <c r="D27" s="303" cm="1">
        <f t="array" ref="D27">INDEX('PCO Log'!$E$5:$SJ$5, 1, ROWS('Graph Data'!$D$2:D27))</f>
        <v>0</v>
      </c>
      <c r="E27" s="303">
        <f>'PCO Log'!AD8</f>
        <v>0</v>
      </c>
      <c r="F27" s="303">
        <f>'PCO Log'!AD3</f>
        <v>0</v>
      </c>
      <c r="G27" s="304">
        <f>'PCO Log'!AD10</f>
        <v>0</v>
      </c>
      <c r="H27" s="305">
        <f>'PCO Log'!AD6</f>
        <v>0</v>
      </c>
      <c r="J27" s="303" t="s">
        <v>294</v>
      </c>
      <c r="K27" s="303">
        <f>'Pay App 26'!H33</f>
        <v>0</v>
      </c>
      <c r="L27" s="303">
        <f>IF(M27&gt;0,'Pay App 26'!$G$149,0)</f>
        <v>0</v>
      </c>
      <c r="M27" s="303">
        <f>'Pay App 26'!H149</f>
        <v>0</v>
      </c>
      <c r="O27" s="303" t="str">
        <f>'Pay App 1'!B82</f>
        <v>06 10 00</v>
      </c>
      <c r="P27" s="303" t="str">
        <f>'Pay App 1'!C82</f>
        <v>Rough Carpentry</v>
      </c>
      <c r="Q27" s="304">
        <f>SUMIFS('PCO Log'!$E37:$SJ37,'PCO Log'!$E$9:$SJ$9,'Graph Data'!Q$1,'PCO Log'!$E$7:$SJ$7,"Approved")</f>
        <v>0</v>
      </c>
      <c r="R27" s="304">
        <f>SUMIFS('PCO Log'!$E37:$SJ37,'PCO Log'!$E$9:$SJ$9,'Graph Data'!R$1,'PCO Log'!$E$7:$SJ$7,"Approved")</f>
        <v>0</v>
      </c>
      <c r="S27" s="304">
        <f>SUMIFS('PCO Log'!$E37:$SJ37,'PCO Log'!$E$9:$SJ$9,'Graph Data'!S$1,'PCO Log'!$E$7:$SJ$7,"Approved")</f>
        <v>0</v>
      </c>
      <c r="T27" s="304">
        <f>SUMIFS('PCO Log'!$E37:$SJ37,'PCO Log'!$E$9:$SJ$9,'Graph Data'!T$1,'PCO Log'!$E$7:$SJ$7,"Approved")</f>
        <v>0</v>
      </c>
      <c r="U27" s="304">
        <f>SUMIFS('PCO Log'!$E37:$SJ37,'PCO Log'!$E$9:$SJ$9,'Graph Data'!U$1,'PCO Log'!$E$7:$SJ$7,"Approved")</f>
        <v>0</v>
      </c>
      <c r="V27" s="304">
        <f>SUMIFS('PCO Log'!$E37:$SJ37,'PCO Log'!$E$9:$SJ$9,'Graph Data'!V$1,'PCO Log'!$E$7:$SJ$7,"Approved")</f>
        <v>0</v>
      </c>
      <c r="W27" s="304">
        <f>SUMIFS('PCO Log'!$E37:$SJ37,'PCO Log'!$E$9:$SJ$9,'Graph Data'!W$1,'PCO Log'!$E$7:$SJ$7,"Approved")</f>
        <v>0</v>
      </c>
      <c r="X27" s="304">
        <f>SUMIFS('PCO Log'!$E37:$SJ37,'PCO Log'!$E$9:$SJ$9,'Graph Data'!X$1,'PCO Log'!$E$7:$SJ$7,"Approved")</f>
        <v>0</v>
      </c>
      <c r="Y27" s="304">
        <f>SUMIFS('PCO Log'!$E37:$SJ37,'PCO Log'!$E$9:$SJ$9,'Graph Data'!Y$1,'PCO Log'!$E$7:$SJ$7,"Approved")</f>
        <v>0</v>
      </c>
      <c r="Z27" s="304">
        <f>SUMIFS('PCO Log'!$E37:$SJ37,'PCO Log'!$E$9:$SJ$9,'Graph Data'!Z$1,'PCO Log'!$E$7:$SJ$7,"Approved")</f>
        <v>0</v>
      </c>
      <c r="AA27" s="304">
        <f>SUMIFS('PCO Log'!$E37:$SJ37,'PCO Log'!$E$9:$SJ$9,'Graph Data'!AA$1,'PCO Log'!$E$7:$SJ$7,"Approved")</f>
        <v>0</v>
      </c>
      <c r="AB27" s="304">
        <f>SUMIFS('PCO Log'!$E37:$SJ37,'PCO Log'!$E$9:$SJ$9,'Graph Data'!AB$1,'PCO Log'!$E$7:$SJ$7,"Approved")</f>
        <v>0</v>
      </c>
      <c r="AC27" s="304">
        <f>SUMIFS('PCO Log'!$E37:$SJ37,'PCO Log'!$E$9:$SJ$9,'Graph Data'!AC$1,'PCO Log'!$E$7:$SJ$7,"Approved")</f>
        <v>0</v>
      </c>
      <c r="AD27" s="304">
        <f>SUMIFS('PCO Log'!$E37:$SJ37,'PCO Log'!$E$9:$SJ$9,'Graph Data'!AD$1,'PCO Log'!$E$7:$SJ$7,"Approved")</f>
        <v>0</v>
      </c>
      <c r="AE27" s="304">
        <f>SUMIFS('PCO Log'!$E37:$SJ37,'PCO Log'!$E$9:$SJ$9,'Graph Data'!AE$1,'PCO Log'!$E$7:$SJ$7,"Approved")</f>
        <v>0</v>
      </c>
      <c r="AF27" s="304">
        <f>SUMIFS('PCO Log'!$E37:$SJ37,'PCO Log'!$E$9:$SJ$9,'Graph Data'!AF$1,'PCO Log'!$E$7:$SJ$7,"Approved")</f>
        <v>0</v>
      </c>
      <c r="AG27" s="304">
        <f>SUMIFS('PCO Log'!$E37:$SJ37,'PCO Log'!$E$9:$SJ$9,'Graph Data'!AG$1,'PCO Log'!$E$7:$SJ$7,"Approved")</f>
        <v>0</v>
      </c>
      <c r="AH27" s="304">
        <f>SUMIFS('PCO Log'!$E37:$SJ37,'PCO Log'!$E$9:$SJ$9,'Graph Data'!AH$1,'PCO Log'!$E$7:$SJ$7,"Approved")</f>
        <v>0</v>
      </c>
      <c r="AI27" s="304">
        <f>SUMIFS('PCO Log'!$E37:$SJ37,'PCO Log'!$E$9:$SJ$9,'Graph Data'!AI$1,'PCO Log'!$E$7:$SJ$7,"Approved")</f>
        <v>0</v>
      </c>
      <c r="AJ27" s="304">
        <f>SUMIFS('PCO Log'!$E37:$SJ37,'PCO Log'!$E$9:$SJ$9,'Graph Data'!AJ$1,'PCO Log'!$E$7:$SJ$7,"Approved")</f>
        <v>0</v>
      </c>
      <c r="AK27" s="304">
        <f>SUMIFS('PCO Log'!$E37:$SJ37,'PCO Log'!$E$9:$SJ$9,'Graph Data'!AK$1,'PCO Log'!$E$7:$SJ$7,"Approved")</f>
        <v>0</v>
      </c>
      <c r="AL27" s="304">
        <f>SUMIFS('PCO Log'!$E37:$SJ37,'PCO Log'!$E$9:$SJ$9,'Graph Data'!AL$1,'PCO Log'!$E$7:$SJ$7,"Approved")</f>
        <v>0</v>
      </c>
      <c r="AM27" s="304">
        <f>SUMIFS('PCO Log'!$E37:$SJ37,'PCO Log'!$E$9:$SJ$9,'Graph Data'!AM$1,'PCO Log'!$E$7:$SJ$7,"Approved")</f>
        <v>0</v>
      </c>
      <c r="AN27" s="304">
        <f>SUMIFS('PCO Log'!$E37:$SJ37,'PCO Log'!$E$9:$SJ$9,'Graph Data'!AN$1,'PCO Log'!$E$7:$SJ$7,"Approved")</f>
        <v>0</v>
      </c>
      <c r="AO27" s="304">
        <f>SUMIFS('PCO Log'!$E37:$SJ37,'PCO Log'!$E$9:$SJ$9,'Graph Data'!AO$1,'PCO Log'!$E$7:$SJ$7,"Approved")</f>
        <v>0</v>
      </c>
      <c r="AP27" s="304">
        <f>SUMIFS('PCO Log'!$E37:$SJ37,'PCO Log'!$E$9:$SJ$9,'Graph Data'!AP$1,'PCO Log'!$E$7:$SJ$7,"Approved")</f>
        <v>0</v>
      </c>
      <c r="AQ27" s="304">
        <f>SUMIFS('PCO Log'!$E37:$SJ37,'PCO Log'!$E$9:$SJ$9,'Graph Data'!AQ$1,'PCO Log'!$E$7:$SJ$7,"Approved")</f>
        <v>0</v>
      </c>
      <c r="AR27" s="304">
        <f>SUMIFS('PCO Log'!$E37:$SJ37,'PCO Log'!$E$9:$SJ$9,'Graph Data'!AR$1,'PCO Log'!$E$7:$SJ$7,"Approved")</f>
        <v>0</v>
      </c>
      <c r="AS27" s="304">
        <f>SUMIFS('PCO Log'!$E37:$SJ37,'PCO Log'!$E$9:$SJ$9,'Graph Data'!AS$1,'PCO Log'!$E$7:$SJ$7,"Approved")</f>
        <v>0</v>
      </c>
      <c r="AT27" s="304">
        <f>SUMIFS('PCO Log'!$E37:$SJ37,'PCO Log'!$E$9:$SJ$9,'Graph Data'!AT$1,'PCO Log'!$E$7:$SJ$7,"Approved")</f>
        <v>0</v>
      </c>
      <c r="AU27" s="304">
        <f>SUMIFS('PCO Log'!$E37:$SJ37,'PCO Log'!$E$9:$SJ$9,'Graph Data'!AU$1,'PCO Log'!$E$7:$SJ$7,"Approved")</f>
        <v>0</v>
      </c>
      <c r="AV27" s="304">
        <f>SUMIFS('PCO Log'!$E37:$SJ37,'PCO Log'!$E$9:$SJ$9,'Graph Data'!AV$1,'PCO Log'!$E$7:$SJ$7,"Approved")</f>
        <v>0</v>
      </c>
      <c r="AW27" s="304">
        <f>SUMIFS('PCO Log'!$E37:$SJ37,'PCO Log'!$E$9:$SJ$9,'Graph Data'!AW$1,'PCO Log'!$E$7:$SJ$7,"Approved")</f>
        <v>0</v>
      </c>
      <c r="AX27" s="304">
        <f>SUMIFS('PCO Log'!$E37:$SJ37,'PCO Log'!$E$9:$SJ$9,'Graph Data'!AX$1,'PCO Log'!$E$7:$SJ$7,"Approved")</f>
        <v>0</v>
      </c>
      <c r="AY27" s="304">
        <f>SUMIFS('PCO Log'!$E37:$SJ37,'PCO Log'!$E$9:$SJ$9,'Graph Data'!AY$1,'PCO Log'!$E$7:$SJ$7,"Approved")</f>
        <v>0</v>
      </c>
      <c r="AZ27" s="304">
        <f>SUMIFS('PCO Log'!$E37:$SJ37,'PCO Log'!$E$9:$SJ$9,'Graph Data'!AZ$1,'PCO Log'!$E$7:$SJ$7,"Approved")</f>
        <v>0</v>
      </c>
      <c r="BA27" s="304">
        <f>SUMIFS('PCO Log'!$E37:$SJ37,'PCO Log'!$E$9:$SJ$9,'Graph Data'!BA$1,'PCO Log'!$E$7:$SJ$7,"Approved")</f>
        <v>0</v>
      </c>
      <c r="BB27" s="304">
        <f>SUMIFS('PCO Log'!$E37:$SJ37,'PCO Log'!$E$9:$SJ$9,'Graph Data'!BB$1,'PCO Log'!$E$7:$SJ$7,"Approved")</f>
        <v>0</v>
      </c>
      <c r="BC27" s="304">
        <f>SUMIFS('PCO Log'!$E37:$SJ37,'PCO Log'!$E$9:$SJ$9,'Graph Data'!BC$1,'PCO Log'!$E$7:$SJ$7,"Approved")</f>
        <v>0</v>
      </c>
      <c r="BD27" s="304">
        <f>SUMIFS('PCO Log'!$E37:$SJ37,'PCO Log'!$E$9:$SJ$9,'Graph Data'!BD$1,'PCO Log'!$E$7:$SJ$7,"Approved")</f>
        <v>0</v>
      </c>
      <c r="BE27" s="304">
        <f>SUMIFS('PCO Log'!$E37:$SJ37,'PCO Log'!$E$9:$SJ$9,'Graph Data'!BE$1,'PCO Log'!$E$7:$SJ$7,"Approved")</f>
        <v>0</v>
      </c>
      <c r="BF27" s="304">
        <f>SUMIFS('PCO Log'!$E37:$SJ37,'PCO Log'!$E$9:$SJ$9,'Graph Data'!BF$1,'PCO Log'!$E$7:$SJ$7,"Approved")</f>
        <v>0</v>
      </c>
      <c r="BG27" s="304">
        <f>SUMIFS('PCO Log'!$E37:$SJ37,'PCO Log'!$E$9:$SJ$9,'Graph Data'!BG$1,'PCO Log'!$E$7:$SJ$7,"Approved")</f>
        <v>0</v>
      </c>
      <c r="BH27" s="304">
        <f>SUMIFS('PCO Log'!$E37:$SJ37,'PCO Log'!$E$9:$SJ$9,'Graph Data'!BH$1,'PCO Log'!$E$7:$SJ$7,"Approved")</f>
        <v>0</v>
      </c>
      <c r="BI27" s="304">
        <f>SUMIFS('PCO Log'!$E37:$SJ37,'PCO Log'!$E$9:$SJ$9,'Graph Data'!BI$1,'PCO Log'!$E$7:$SJ$7,"Approved")</f>
        <v>0</v>
      </c>
      <c r="BJ27" s="304">
        <f>SUMIFS('PCO Log'!$E37:$SJ37,'PCO Log'!$E$9:$SJ$9,'Graph Data'!BJ$1,'PCO Log'!$E$7:$SJ$7,"Approved")</f>
        <v>0</v>
      </c>
      <c r="BK27" s="304">
        <f>SUMIFS('PCO Log'!$E37:$SJ37,'PCO Log'!$E$9:$SJ$9,'Graph Data'!BK$1,'PCO Log'!$E$7:$SJ$7,"Approved")</f>
        <v>0</v>
      </c>
      <c r="BL27" s="304">
        <f>SUMIFS('PCO Log'!$E37:$SJ37,'PCO Log'!$E$9:$SJ$9,'Graph Data'!BL$1,'PCO Log'!$E$7:$SJ$7,"Approved")</f>
        <v>0</v>
      </c>
      <c r="BM27" s="304">
        <f>SUMIFS('PCO Log'!$E37:$SJ37,'PCO Log'!$E$9:$SJ$9,'Graph Data'!BM$1,'PCO Log'!$E$7:$SJ$7,"Approved")</f>
        <v>0</v>
      </c>
      <c r="BN27" s="304">
        <f>SUMIFS('PCO Log'!$E37:$SJ37,'PCO Log'!$E$9:$SJ$9,'Graph Data'!BN$1,'PCO Log'!$E$7:$SJ$7,"Approved")</f>
        <v>0</v>
      </c>
      <c r="BO27" s="304">
        <f>SUMIFS('PCO Log'!$E37:$SJ37,'PCO Log'!$E$9:$SJ$9,'Graph Data'!BO$1,'PCO Log'!$E$7:$SJ$7,"Approved")</f>
        <v>0</v>
      </c>
      <c r="BP27" s="304">
        <f>SUMIFS('PCO Log'!$E37:$SJ37,'PCO Log'!$E$9:$SJ$9,'Graph Data'!BP$1,'PCO Log'!$E$7:$SJ$7,"Approved")</f>
        <v>0</v>
      </c>
      <c r="BQ27" s="304">
        <f>SUMIFS('PCO Log'!$E37:$SJ37,'PCO Log'!$E$9:$SJ$9,'Graph Data'!BQ$1,'PCO Log'!$E$7:$SJ$7,"Approved")</f>
        <v>0</v>
      </c>
      <c r="BR27" s="304">
        <f>SUMIFS('PCO Log'!$E37:$SJ37,'PCO Log'!$E$9:$SJ$9,'Graph Data'!BR$1,'PCO Log'!$E$7:$SJ$7,"Approved")</f>
        <v>0</v>
      </c>
      <c r="BS27" s="304">
        <f>SUMIFS('PCO Log'!$E37:$SJ37,'PCO Log'!$E$9:$SJ$9,'Graph Data'!BS$1,'PCO Log'!$E$7:$SJ$7,"Approved")</f>
        <v>0</v>
      </c>
      <c r="BT27" s="304">
        <f>SUMIFS('PCO Log'!$E37:$SJ37,'PCO Log'!$E$9:$SJ$9,'Graph Data'!BT$1,'PCO Log'!$E$7:$SJ$7,"Approved")</f>
        <v>0</v>
      </c>
      <c r="BU27" s="304">
        <f>SUMIFS('PCO Log'!$E37:$SJ37,'PCO Log'!$E$9:$SJ$9,'Graph Data'!BU$1,'PCO Log'!$E$7:$SJ$7,"Approved")</f>
        <v>0</v>
      </c>
      <c r="BV27" s="304">
        <f>SUMIFS('PCO Log'!$E37:$SJ37,'PCO Log'!$E$9:$SJ$9,'Graph Data'!BV$1,'PCO Log'!$E$7:$SJ$7,"Approved")</f>
        <v>0</v>
      </c>
      <c r="BW27" s="304">
        <f>SUMIFS('PCO Log'!$E37:$SJ37,'PCO Log'!$E$9:$SJ$9,'Graph Data'!BW$1,'PCO Log'!$E$7:$SJ$7,"Approved")</f>
        <v>0</v>
      </c>
      <c r="BX27" s="304">
        <f>SUMIFS('PCO Log'!$E37:$SJ37,'PCO Log'!$E$9:$SJ$9,'Graph Data'!BX$1,'PCO Log'!$E$7:$SJ$7,"Approved")</f>
        <v>0</v>
      </c>
    </row>
    <row r="28" spans="1:76" x14ac:dyDescent="0.25">
      <c r="A28" s="303" t="s">
        <v>368</v>
      </c>
      <c r="B28" s="303">
        <f>'PCO Log'!AE7</f>
        <v>0</v>
      </c>
      <c r="C28" s="303">
        <f>'PCO Log'!AE4</f>
        <v>0</v>
      </c>
      <c r="D28" s="303" cm="1">
        <f t="array" ref="D28">INDEX('PCO Log'!$E$5:$SJ$5, 1, ROWS('Graph Data'!$D$2:D28))</f>
        <v>0</v>
      </c>
      <c r="E28" s="303">
        <f>'PCO Log'!AE8</f>
        <v>0</v>
      </c>
      <c r="F28" s="303">
        <f>'PCO Log'!AE3</f>
        <v>0</v>
      </c>
      <c r="G28" s="304">
        <f>'PCO Log'!AE10</f>
        <v>0</v>
      </c>
      <c r="H28" s="305">
        <f>'PCO Log'!AE6</f>
        <v>0</v>
      </c>
      <c r="J28" s="303" t="s">
        <v>295</v>
      </c>
      <c r="K28" s="303">
        <f>'Pay App 27'!H33</f>
        <v>0</v>
      </c>
      <c r="L28" s="303">
        <f>IF(M28&gt;0,'Pay App 27'!$G$149,0)</f>
        <v>0</v>
      </c>
      <c r="M28" s="303">
        <f>'Pay App 27'!H149</f>
        <v>0</v>
      </c>
      <c r="O28" s="303" t="str">
        <f>'Pay App 1'!B83</f>
        <v>06 40 00</v>
      </c>
      <c r="P28" s="303" t="str">
        <f>'Pay App 1'!C83</f>
        <v>Arch. Woodwork &amp; Finish Carp.</v>
      </c>
      <c r="Q28" s="304">
        <f>SUMIFS('PCO Log'!$E38:$SJ38,'PCO Log'!$E$9:$SJ$9,'Graph Data'!Q$1,'PCO Log'!$E$7:$SJ$7,"Approved")</f>
        <v>0</v>
      </c>
      <c r="R28" s="304">
        <f>SUMIFS('PCO Log'!$E38:$SJ38,'PCO Log'!$E$9:$SJ$9,'Graph Data'!R$1,'PCO Log'!$E$7:$SJ$7,"Approved")</f>
        <v>0</v>
      </c>
      <c r="S28" s="304">
        <f>SUMIFS('PCO Log'!$E38:$SJ38,'PCO Log'!$E$9:$SJ$9,'Graph Data'!S$1,'PCO Log'!$E$7:$SJ$7,"Approved")</f>
        <v>0</v>
      </c>
      <c r="T28" s="304">
        <f>SUMIFS('PCO Log'!$E38:$SJ38,'PCO Log'!$E$9:$SJ$9,'Graph Data'!T$1,'PCO Log'!$E$7:$SJ$7,"Approved")</f>
        <v>0</v>
      </c>
      <c r="U28" s="304">
        <f>SUMIFS('PCO Log'!$E38:$SJ38,'PCO Log'!$E$9:$SJ$9,'Graph Data'!U$1,'PCO Log'!$E$7:$SJ$7,"Approved")</f>
        <v>0</v>
      </c>
      <c r="V28" s="304">
        <f>SUMIFS('PCO Log'!$E38:$SJ38,'PCO Log'!$E$9:$SJ$9,'Graph Data'!V$1,'PCO Log'!$E$7:$SJ$7,"Approved")</f>
        <v>0</v>
      </c>
      <c r="W28" s="304">
        <f>SUMIFS('PCO Log'!$E38:$SJ38,'PCO Log'!$E$9:$SJ$9,'Graph Data'!W$1,'PCO Log'!$E$7:$SJ$7,"Approved")</f>
        <v>0</v>
      </c>
      <c r="X28" s="304">
        <f>SUMIFS('PCO Log'!$E38:$SJ38,'PCO Log'!$E$9:$SJ$9,'Graph Data'!X$1,'PCO Log'!$E$7:$SJ$7,"Approved")</f>
        <v>0</v>
      </c>
      <c r="Y28" s="304">
        <f>SUMIFS('PCO Log'!$E38:$SJ38,'PCO Log'!$E$9:$SJ$9,'Graph Data'!Y$1,'PCO Log'!$E$7:$SJ$7,"Approved")</f>
        <v>0</v>
      </c>
      <c r="Z28" s="304">
        <f>SUMIFS('PCO Log'!$E38:$SJ38,'PCO Log'!$E$9:$SJ$9,'Graph Data'!Z$1,'PCO Log'!$E$7:$SJ$7,"Approved")</f>
        <v>0</v>
      </c>
      <c r="AA28" s="304">
        <f>SUMIFS('PCO Log'!$E38:$SJ38,'PCO Log'!$E$9:$SJ$9,'Graph Data'!AA$1,'PCO Log'!$E$7:$SJ$7,"Approved")</f>
        <v>0</v>
      </c>
      <c r="AB28" s="304">
        <f>SUMIFS('PCO Log'!$E38:$SJ38,'PCO Log'!$E$9:$SJ$9,'Graph Data'!AB$1,'PCO Log'!$E$7:$SJ$7,"Approved")</f>
        <v>0</v>
      </c>
      <c r="AC28" s="304">
        <f>SUMIFS('PCO Log'!$E38:$SJ38,'PCO Log'!$E$9:$SJ$9,'Graph Data'!AC$1,'PCO Log'!$E$7:$SJ$7,"Approved")</f>
        <v>0</v>
      </c>
      <c r="AD28" s="304">
        <f>SUMIFS('PCO Log'!$E38:$SJ38,'PCO Log'!$E$9:$SJ$9,'Graph Data'!AD$1,'PCO Log'!$E$7:$SJ$7,"Approved")</f>
        <v>0</v>
      </c>
      <c r="AE28" s="304">
        <f>SUMIFS('PCO Log'!$E38:$SJ38,'PCO Log'!$E$9:$SJ$9,'Graph Data'!AE$1,'PCO Log'!$E$7:$SJ$7,"Approved")</f>
        <v>0</v>
      </c>
      <c r="AF28" s="304">
        <f>SUMIFS('PCO Log'!$E38:$SJ38,'PCO Log'!$E$9:$SJ$9,'Graph Data'!AF$1,'PCO Log'!$E$7:$SJ$7,"Approved")</f>
        <v>0</v>
      </c>
      <c r="AG28" s="304">
        <f>SUMIFS('PCO Log'!$E38:$SJ38,'PCO Log'!$E$9:$SJ$9,'Graph Data'!AG$1,'PCO Log'!$E$7:$SJ$7,"Approved")</f>
        <v>0</v>
      </c>
      <c r="AH28" s="304">
        <f>SUMIFS('PCO Log'!$E38:$SJ38,'PCO Log'!$E$9:$SJ$9,'Graph Data'!AH$1,'PCO Log'!$E$7:$SJ$7,"Approved")</f>
        <v>0</v>
      </c>
      <c r="AI28" s="304">
        <f>SUMIFS('PCO Log'!$E38:$SJ38,'PCO Log'!$E$9:$SJ$9,'Graph Data'!AI$1,'PCO Log'!$E$7:$SJ$7,"Approved")</f>
        <v>0</v>
      </c>
      <c r="AJ28" s="304">
        <f>SUMIFS('PCO Log'!$E38:$SJ38,'PCO Log'!$E$9:$SJ$9,'Graph Data'!AJ$1,'PCO Log'!$E$7:$SJ$7,"Approved")</f>
        <v>0</v>
      </c>
      <c r="AK28" s="304">
        <f>SUMIFS('PCO Log'!$E38:$SJ38,'PCO Log'!$E$9:$SJ$9,'Graph Data'!AK$1,'PCO Log'!$E$7:$SJ$7,"Approved")</f>
        <v>0</v>
      </c>
      <c r="AL28" s="304">
        <f>SUMIFS('PCO Log'!$E38:$SJ38,'PCO Log'!$E$9:$SJ$9,'Graph Data'!AL$1,'PCO Log'!$E$7:$SJ$7,"Approved")</f>
        <v>0</v>
      </c>
      <c r="AM28" s="304">
        <f>SUMIFS('PCO Log'!$E38:$SJ38,'PCO Log'!$E$9:$SJ$9,'Graph Data'!AM$1,'PCO Log'!$E$7:$SJ$7,"Approved")</f>
        <v>0</v>
      </c>
      <c r="AN28" s="304">
        <f>SUMIFS('PCO Log'!$E38:$SJ38,'PCO Log'!$E$9:$SJ$9,'Graph Data'!AN$1,'PCO Log'!$E$7:$SJ$7,"Approved")</f>
        <v>0</v>
      </c>
      <c r="AO28" s="304">
        <f>SUMIFS('PCO Log'!$E38:$SJ38,'PCO Log'!$E$9:$SJ$9,'Graph Data'!AO$1,'PCO Log'!$E$7:$SJ$7,"Approved")</f>
        <v>0</v>
      </c>
      <c r="AP28" s="304">
        <f>SUMIFS('PCO Log'!$E38:$SJ38,'PCO Log'!$E$9:$SJ$9,'Graph Data'!AP$1,'PCO Log'!$E$7:$SJ$7,"Approved")</f>
        <v>0</v>
      </c>
      <c r="AQ28" s="304">
        <f>SUMIFS('PCO Log'!$E38:$SJ38,'PCO Log'!$E$9:$SJ$9,'Graph Data'!AQ$1,'PCO Log'!$E$7:$SJ$7,"Approved")</f>
        <v>0</v>
      </c>
      <c r="AR28" s="304">
        <f>SUMIFS('PCO Log'!$E38:$SJ38,'PCO Log'!$E$9:$SJ$9,'Graph Data'!AR$1,'PCO Log'!$E$7:$SJ$7,"Approved")</f>
        <v>0</v>
      </c>
      <c r="AS28" s="304">
        <f>SUMIFS('PCO Log'!$E38:$SJ38,'PCO Log'!$E$9:$SJ$9,'Graph Data'!AS$1,'PCO Log'!$E$7:$SJ$7,"Approved")</f>
        <v>0</v>
      </c>
      <c r="AT28" s="304">
        <f>SUMIFS('PCO Log'!$E38:$SJ38,'PCO Log'!$E$9:$SJ$9,'Graph Data'!AT$1,'PCO Log'!$E$7:$SJ$7,"Approved")</f>
        <v>0</v>
      </c>
      <c r="AU28" s="304">
        <f>SUMIFS('PCO Log'!$E38:$SJ38,'PCO Log'!$E$9:$SJ$9,'Graph Data'!AU$1,'PCO Log'!$E$7:$SJ$7,"Approved")</f>
        <v>0</v>
      </c>
      <c r="AV28" s="304">
        <f>SUMIFS('PCO Log'!$E38:$SJ38,'PCO Log'!$E$9:$SJ$9,'Graph Data'!AV$1,'PCO Log'!$E$7:$SJ$7,"Approved")</f>
        <v>0</v>
      </c>
      <c r="AW28" s="304">
        <f>SUMIFS('PCO Log'!$E38:$SJ38,'PCO Log'!$E$9:$SJ$9,'Graph Data'!AW$1,'PCO Log'!$E$7:$SJ$7,"Approved")</f>
        <v>0</v>
      </c>
      <c r="AX28" s="304">
        <f>SUMIFS('PCO Log'!$E38:$SJ38,'PCO Log'!$E$9:$SJ$9,'Graph Data'!AX$1,'PCO Log'!$E$7:$SJ$7,"Approved")</f>
        <v>0</v>
      </c>
      <c r="AY28" s="304">
        <f>SUMIFS('PCO Log'!$E38:$SJ38,'PCO Log'!$E$9:$SJ$9,'Graph Data'!AY$1,'PCO Log'!$E$7:$SJ$7,"Approved")</f>
        <v>0</v>
      </c>
      <c r="AZ28" s="304">
        <f>SUMIFS('PCO Log'!$E38:$SJ38,'PCO Log'!$E$9:$SJ$9,'Graph Data'!AZ$1,'PCO Log'!$E$7:$SJ$7,"Approved")</f>
        <v>0</v>
      </c>
      <c r="BA28" s="304">
        <f>SUMIFS('PCO Log'!$E38:$SJ38,'PCO Log'!$E$9:$SJ$9,'Graph Data'!BA$1,'PCO Log'!$E$7:$SJ$7,"Approved")</f>
        <v>0</v>
      </c>
      <c r="BB28" s="304">
        <f>SUMIFS('PCO Log'!$E38:$SJ38,'PCO Log'!$E$9:$SJ$9,'Graph Data'!BB$1,'PCO Log'!$E$7:$SJ$7,"Approved")</f>
        <v>0</v>
      </c>
      <c r="BC28" s="304">
        <f>SUMIFS('PCO Log'!$E38:$SJ38,'PCO Log'!$E$9:$SJ$9,'Graph Data'!BC$1,'PCO Log'!$E$7:$SJ$7,"Approved")</f>
        <v>0</v>
      </c>
      <c r="BD28" s="304">
        <f>SUMIFS('PCO Log'!$E38:$SJ38,'PCO Log'!$E$9:$SJ$9,'Graph Data'!BD$1,'PCO Log'!$E$7:$SJ$7,"Approved")</f>
        <v>0</v>
      </c>
      <c r="BE28" s="304">
        <f>SUMIFS('PCO Log'!$E38:$SJ38,'PCO Log'!$E$9:$SJ$9,'Graph Data'!BE$1,'PCO Log'!$E$7:$SJ$7,"Approved")</f>
        <v>0</v>
      </c>
      <c r="BF28" s="304">
        <f>SUMIFS('PCO Log'!$E38:$SJ38,'PCO Log'!$E$9:$SJ$9,'Graph Data'!BF$1,'PCO Log'!$E$7:$SJ$7,"Approved")</f>
        <v>0</v>
      </c>
      <c r="BG28" s="304">
        <f>SUMIFS('PCO Log'!$E38:$SJ38,'PCO Log'!$E$9:$SJ$9,'Graph Data'!BG$1,'PCO Log'!$E$7:$SJ$7,"Approved")</f>
        <v>0</v>
      </c>
      <c r="BH28" s="304">
        <f>SUMIFS('PCO Log'!$E38:$SJ38,'PCO Log'!$E$9:$SJ$9,'Graph Data'!BH$1,'PCO Log'!$E$7:$SJ$7,"Approved")</f>
        <v>0</v>
      </c>
      <c r="BI28" s="304">
        <f>SUMIFS('PCO Log'!$E38:$SJ38,'PCO Log'!$E$9:$SJ$9,'Graph Data'!BI$1,'PCO Log'!$E$7:$SJ$7,"Approved")</f>
        <v>0</v>
      </c>
      <c r="BJ28" s="304">
        <f>SUMIFS('PCO Log'!$E38:$SJ38,'PCO Log'!$E$9:$SJ$9,'Graph Data'!BJ$1,'PCO Log'!$E$7:$SJ$7,"Approved")</f>
        <v>0</v>
      </c>
      <c r="BK28" s="304">
        <f>SUMIFS('PCO Log'!$E38:$SJ38,'PCO Log'!$E$9:$SJ$9,'Graph Data'!BK$1,'PCO Log'!$E$7:$SJ$7,"Approved")</f>
        <v>0</v>
      </c>
      <c r="BL28" s="304">
        <f>SUMIFS('PCO Log'!$E38:$SJ38,'PCO Log'!$E$9:$SJ$9,'Graph Data'!BL$1,'PCO Log'!$E$7:$SJ$7,"Approved")</f>
        <v>0</v>
      </c>
      <c r="BM28" s="304">
        <f>SUMIFS('PCO Log'!$E38:$SJ38,'PCO Log'!$E$9:$SJ$9,'Graph Data'!BM$1,'PCO Log'!$E$7:$SJ$7,"Approved")</f>
        <v>0</v>
      </c>
      <c r="BN28" s="304">
        <f>SUMIFS('PCO Log'!$E38:$SJ38,'PCO Log'!$E$9:$SJ$9,'Graph Data'!BN$1,'PCO Log'!$E$7:$SJ$7,"Approved")</f>
        <v>0</v>
      </c>
      <c r="BO28" s="304">
        <f>SUMIFS('PCO Log'!$E38:$SJ38,'PCO Log'!$E$9:$SJ$9,'Graph Data'!BO$1,'PCO Log'!$E$7:$SJ$7,"Approved")</f>
        <v>0</v>
      </c>
      <c r="BP28" s="304">
        <f>SUMIFS('PCO Log'!$E38:$SJ38,'PCO Log'!$E$9:$SJ$9,'Graph Data'!BP$1,'PCO Log'!$E$7:$SJ$7,"Approved")</f>
        <v>0</v>
      </c>
      <c r="BQ28" s="304">
        <f>SUMIFS('PCO Log'!$E38:$SJ38,'PCO Log'!$E$9:$SJ$9,'Graph Data'!BQ$1,'PCO Log'!$E$7:$SJ$7,"Approved")</f>
        <v>0</v>
      </c>
      <c r="BR28" s="304">
        <f>SUMIFS('PCO Log'!$E38:$SJ38,'PCO Log'!$E$9:$SJ$9,'Graph Data'!BR$1,'PCO Log'!$E$7:$SJ$7,"Approved")</f>
        <v>0</v>
      </c>
      <c r="BS28" s="304">
        <f>SUMIFS('PCO Log'!$E38:$SJ38,'PCO Log'!$E$9:$SJ$9,'Graph Data'!BS$1,'PCO Log'!$E$7:$SJ$7,"Approved")</f>
        <v>0</v>
      </c>
      <c r="BT28" s="304">
        <f>SUMIFS('PCO Log'!$E38:$SJ38,'PCO Log'!$E$9:$SJ$9,'Graph Data'!BT$1,'PCO Log'!$E$7:$SJ$7,"Approved")</f>
        <v>0</v>
      </c>
      <c r="BU28" s="304">
        <f>SUMIFS('PCO Log'!$E38:$SJ38,'PCO Log'!$E$9:$SJ$9,'Graph Data'!BU$1,'PCO Log'!$E$7:$SJ$7,"Approved")</f>
        <v>0</v>
      </c>
      <c r="BV28" s="304">
        <f>SUMIFS('PCO Log'!$E38:$SJ38,'PCO Log'!$E$9:$SJ$9,'Graph Data'!BV$1,'PCO Log'!$E$7:$SJ$7,"Approved")</f>
        <v>0</v>
      </c>
      <c r="BW28" s="304">
        <f>SUMIFS('PCO Log'!$E38:$SJ38,'PCO Log'!$E$9:$SJ$9,'Graph Data'!BW$1,'PCO Log'!$E$7:$SJ$7,"Approved")</f>
        <v>0</v>
      </c>
      <c r="BX28" s="304">
        <f>SUMIFS('PCO Log'!$E38:$SJ38,'PCO Log'!$E$9:$SJ$9,'Graph Data'!BX$1,'PCO Log'!$E$7:$SJ$7,"Approved")</f>
        <v>0</v>
      </c>
    </row>
    <row r="29" spans="1:76" x14ac:dyDescent="0.25">
      <c r="A29" s="303" t="s">
        <v>369</v>
      </c>
      <c r="B29" s="303">
        <f>'PCO Log'!AF7</f>
        <v>0</v>
      </c>
      <c r="C29" s="303">
        <f>'PCO Log'!AF4</f>
        <v>0</v>
      </c>
      <c r="D29" s="303" cm="1">
        <f t="array" ref="D29">INDEX('PCO Log'!$E$5:$SJ$5, 1, ROWS('Graph Data'!$D$2:D29))</f>
        <v>0</v>
      </c>
      <c r="E29" s="303">
        <f>'PCO Log'!AF8</f>
        <v>0</v>
      </c>
      <c r="F29" s="303">
        <f>'PCO Log'!AF3</f>
        <v>0</v>
      </c>
      <c r="G29" s="304">
        <f>'PCO Log'!AF10</f>
        <v>0</v>
      </c>
      <c r="H29" s="305">
        <f>'PCO Log'!AF6</f>
        <v>0</v>
      </c>
      <c r="J29" s="303" t="s">
        <v>296</v>
      </c>
      <c r="K29" s="303">
        <f>'Pay App 28'!H33</f>
        <v>0</v>
      </c>
      <c r="L29" s="303">
        <f>IF(M29&gt;0,'Pay App 28'!$G$149,0)</f>
        <v>0</v>
      </c>
      <c r="M29" s="303">
        <f>'Pay App 28'!H149</f>
        <v>0</v>
      </c>
      <c r="O29" s="303" t="str">
        <f>'Pay App 1'!B84</f>
        <v>07 10 00</v>
      </c>
      <c r="P29" s="303" t="str">
        <f>'Pay App 1'!C84</f>
        <v>Waterproofing/Water Repellents</v>
      </c>
      <c r="Q29" s="304">
        <f>SUMIFS('PCO Log'!$E39:$SJ39,'PCO Log'!$E$9:$SJ$9,'Graph Data'!Q$1,'PCO Log'!$E$7:$SJ$7,"Approved")</f>
        <v>0</v>
      </c>
      <c r="R29" s="304">
        <f>SUMIFS('PCO Log'!$E39:$SJ39,'PCO Log'!$E$9:$SJ$9,'Graph Data'!R$1,'PCO Log'!$E$7:$SJ$7,"Approved")</f>
        <v>0</v>
      </c>
      <c r="S29" s="304">
        <f>SUMIFS('PCO Log'!$E39:$SJ39,'PCO Log'!$E$9:$SJ$9,'Graph Data'!S$1,'PCO Log'!$E$7:$SJ$7,"Approved")</f>
        <v>0</v>
      </c>
      <c r="T29" s="304">
        <f>SUMIFS('PCO Log'!$E39:$SJ39,'PCO Log'!$E$9:$SJ$9,'Graph Data'!T$1,'PCO Log'!$E$7:$SJ$7,"Approved")</f>
        <v>0</v>
      </c>
      <c r="U29" s="304">
        <f>SUMIFS('PCO Log'!$E39:$SJ39,'PCO Log'!$E$9:$SJ$9,'Graph Data'!U$1,'PCO Log'!$E$7:$SJ$7,"Approved")</f>
        <v>0</v>
      </c>
      <c r="V29" s="304">
        <f>SUMIFS('PCO Log'!$E39:$SJ39,'PCO Log'!$E$9:$SJ$9,'Graph Data'!V$1,'PCO Log'!$E$7:$SJ$7,"Approved")</f>
        <v>0</v>
      </c>
      <c r="W29" s="304">
        <f>SUMIFS('PCO Log'!$E39:$SJ39,'PCO Log'!$E$9:$SJ$9,'Graph Data'!W$1,'PCO Log'!$E$7:$SJ$7,"Approved")</f>
        <v>0</v>
      </c>
      <c r="X29" s="304">
        <f>SUMIFS('PCO Log'!$E39:$SJ39,'PCO Log'!$E$9:$SJ$9,'Graph Data'!X$1,'PCO Log'!$E$7:$SJ$7,"Approved")</f>
        <v>0</v>
      </c>
      <c r="Y29" s="304">
        <f>SUMIFS('PCO Log'!$E39:$SJ39,'PCO Log'!$E$9:$SJ$9,'Graph Data'!Y$1,'PCO Log'!$E$7:$SJ$7,"Approved")</f>
        <v>0</v>
      </c>
      <c r="Z29" s="304">
        <f>SUMIFS('PCO Log'!$E39:$SJ39,'PCO Log'!$E$9:$SJ$9,'Graph Data'!Z$1,'PCO Log'!$E$7:$SJ$7,"Approved")</f>
        <v>0</v>
      </c>
      <c r="AA29" s="304">
        <f>SUMIFS('PCO Log'!$E39:$SJ39,'PCO Log'!$E$9:$SJ$9,'Graph Data'!AA$1,'PCO Log'!$E$7:$SJ$7,"Approved")</f>
        <v>0</v>
      </c>
      <c r="AB29" s="304">
        <f>SUMIFS('PCO Log'!$E39:$SJ39,'PCO Log'!$E$9:$SJ$9,'Graph Data'!AB$1,'PCO Log'!$E$7:$SJ$7,"Approved")</f>
        <v>0</v>
      </c>
      <c r="AC29" s="304">
        <f>SUMIFS('PCO Log'!$E39:$SJ39,'PCO Log'!$E$9:$SJ$9,'Graph Data'!AC$1,'PCO Log'!$E$7:$SJ$7,"Approved")</f>
        <v>0</v>
      </c>
      <c r="AD29" s="304">
        <f>SUMIFS('PCO Log'!$E39:$SJ39,'PCO Log'!$E$9:$SJ$9,'Graph Data'!AD$1,'PCO Log'!$E$7:$SJ$7,"Approved")</f>
        <v>0</v>
      </c>
      <c r="AE29" s="304">
        <f>SUMIFS('PCO Log'!$E39:$SJ39,'PCO Log'!$E$9:$SJ$9,'Graph Data'!AE$1,'PCO Log'!$E$7:$SJ$7,"Approved")</f>
        <v>0</v>
      </c>
      <c r="AF29" s="304">
        <f>SUMIFS('PCO Log'!$E39:$SJ39,'PCO Log'!$E$9:$SJ$9,'Graph Data'!AF$1,'PCO Log'!$E$7:$SJ$7,"Approved")</f>
        <v>0</v>
      </c>
      <c r="AG29" s="304">
        <f>SUMIFS('PCO Log'!$E39:$SJ39,'PCO Log'!$E$9:$SJ$9,'Graph Data'!AG$1,'PCO Log'!$E$7:$SJ$7,"Approved")</f>
        <v>0</v>
      </c>
      <c r="AH29" s="304">
        <f>SUMIFS('PCO Log'!$E39:$SJ39,'PCO Log'!$E$9:$SJ$9,'Graph Data'!AH$1,'PCO Log'!$E$7:$SJ$7,"Approved")</f>
        <v>0</v>
      </c>
      <c r="AI29" s="304">
        <f>SUMIFS('PCO Log'!$E39:$SJ39,'PCO Log'!$E$9:$SJ$9,'Graph Data'!AI$1,'PCO Log'!$E$7:$SJ$7,"Approved")</f>
        <v>0</v>
      </c>
      <c r="AJ29" s="304">
        <f>SUMIFS('PCO Log'!$E39:$SJ39,'PCO Log'!$E$9:$SJ$9,'Graph Data'!AJ$1,'PCO Log'!$E$7:$SJ$7,"Approved")</f>
        <v>0</v>
      </c>
      <c r="AK29" s="304">
        <f>SUMIFS('PCO Log'!$E39:$SJ39,'PCO Log'!$E$9:$SJ$9,'Graph Data'!AK$1,'PCO Log'!$E$7:$SJ$7,"Approved")</f>
        <v>0</v>
      </c>
      <c r="AL29" s="304">
        <f>SUMIFS('PCO Log'!$E39:$SJ39,'PCO Log'!$E$9:$SJ$9,'Graph Data'!AL$1,'PCO Log'!$E$7:$SJ$7,"Approved")</f>
        <v>0</v>
      </c>
      <c r="AM29" s="304">
        <f>SUMIFS('PCO Log'!$E39:$SJ39,'PCO Log'!$E$9:$SJ$9,'Graph Data'!AM$1,'PCO Log'!$E$7:$SJ$7,"Approved")</f>
        <v>0</v>
      </c>
      <c r="AN29" s="304">
        <f>SUMIFS('PCO Log'!$E39:$SJ39,'PCO Log'!$E$9:$SJ$9,'Graph Data'!AN$1,'PCO Log'!$E$7:$SJ$7,"Approved")</f>
        <v>0</v>
      </c>
      <c r="AO29" s="304">
        <f>SUMIFS('PCO Log'!$E39:$SJ39,'PCO Log'!$E$9:$SJ$9,'Graph Data'!AO$1,'PCO Log'!$E$7:$SJ$7,"Approved")</f>
        <v>0</v>
      </c>
      <c r="AP29" s="304">
        <f>SUMIFS('PCO Log'!$E39:$SJ39,'PCO Log'!$E$9:$SJ$9,'Graph Data'!AP$1,'PCO Log'!$E$7:$SJ$7,"Approved")</f>
        <v>0</v>
      </c>
      <c r="AQ29" s="304">
        <f>SUMIFS('PCO Log'!$E39:$SJ39,'PCO Log'!$E$9:$SJ$9,'Graph Data'!AQ$1,'PCO Log'!$E$7:$SJ$7,"Approved")</f>
        <v>0</v>
      </c>
      <c r="AR29" s="304">
        <f>SUMIFS('PCO Log'!$E39:$SJ39,'PCO Log'!$E$9:$SJ$9,'Graph Data'!AR$1,'PCO Log'!$E$7:$SJ$7,"Approved")</f>
        <v>0</v>
      </c>
      <c r="AS29" s="304">
        <f>SUMIFS('PCO Log'!$E39:$SJ39,'PCO Log'!$E$9:$SJ$9,'Graph Data'!AS$1,'PCO Log'!$E$7:$SJ$7,"Approved")</f>
        <v>0</v>
      </c>
      <c r="AT29" s="304">
        <f>SUMIFS('PCO Log'!$E39:$SJ39,'PCO Log'!$E$9:$SJ$9,'Graph Data'!AT$1,'PCO Log'!$E$7:$SJ$7,"Approved")</f>
        <v>0</v>
      </c>
      <c r="AU29" s="304">
        <f>SUMIFS('PCO Log'!$E39:$SJ39,'PCO Log'!$E$9:$SJ$9,'Graph Data'!AU$1,'PCO Log'!$E$7:$SJ$7,"Approved")</f>
        <v>0</v>
      </c>
      <c r="AV29" s="304">
        <f>SUMIFS('PCO Log'!$E39:$SJ39,'PCO Log'!$E$9:$SJ$9,'Graph Data'!AV$1,'PCO Log'!$E$7:$SJ$7,"Approved")</f>
        <v>0</v>
      </c>
      <c r="AW29" s="304">
        <f>SUMIFS('PCO Log'!$E39:$SJ39,'PCO Log'!$E$9:$SJ$9,'Graph Data'!AW$1,'PCO Log'!$E$7:$SJ$7,"Approved")</f>
        <v>0</v>
      </c>
      <c r="AX29" s="304">
        <f>SUMIFS('PCO Log'!$E39:$SJ39,'PCO Log'!$E$9:$SJ$9,'Graph Data'!AX$1,'PCO Log'!$E$7:$SJ$7,"Approved")</f>
        <v>0</v>
      </c>
      <c r="AY29" s="304">
        <f>SUMIFS('PCO Log'!$E39:$SJ39,'PCO Log'!$E$9:$SJ$9,'Graph Data'!AY$1,'PCO Log'!$E$7:$SJ$7,"Approved")</f>
        <v>0</v>
      </c>
      <c r="AZ29" s="304">
        <f>SUMIFS('PCO Log'!$E39:$SJ39,'PCO Log'!$E$9:$SJ$9,'Graph Data'!AZ$1,'PCO Log'!$E$7:$SJ$7,"Approved")</f>
        <v>0</v>
      </c>
      <c r="BA29" s="304">
        <f>SUMIFS('PCO Log'!$E39:$SJ39,'PCO Log'!$E$9:$SJ$9,'Graph Data'!BA$1,'PCO Log'!$E$7:$SJ$7,"Approved")</f>
        <v>0</v>
      </c>
      <c r="BB29" s="304">
        <f>SUMIFS('PCO Log'!$E39:$SJ39,'PCO Log'!$E$9:$SJ$9,'Graph Data'!BB$1,'PCO Log'!$E$7:$SJ$7,"Approved")</f>
        <v>0</v>
      </c>
      <c r="BC29" s="304">
        <f>SUMIFS('PCO Log'!$E39:$SJ39,'PCO Log'!$E$9:$SJ$9,'Graph Data'!BC$1,'PCO Log'!$E$7:$SJ$7,"Approved")</f>
        <v>0</v>
      </c>
      <c r="BD29" s="304">
        <f>SUMIFS('PCO Log'!$E39:$SJ39,'PCO Log'!$E$9:$SJ$9,'Graph Data'!BD$1,'PCO Log'!$E$7:$SJ$7,"Approved")</f>
        <v>0</v>
      </c>
      <c r="BE29" s="304">
        <f>SUMIFS('PCO Log'!$E39:$SJ39,'PCO Log'!$E$9:$SJ$9,'Graph Data'!BE$1,'PCO Log'!$E$7:$SJ$7,"Approved")</f>
        <v>0</v>
      </c>
      <c r="BF29" s="304">
        <f>SUMIFS('PCO Log'!$E39:$SJ39,'PCO Log'!$E$9:$SJ$9,'Graph Data'!BF$1,'PCO Log'!$E$7:$SJ$7,"Approved")</f>
        <v>0</v>
      </c>
      <c r="BG29" s="304">
        <f>SUMIFS('PCO Log'!$E39:$SJ39,'PCO Log'!$E$9:$SJ$9,'Graph Data'!BG$1,'PCO Log'!$E$7:$SJ$7,"Approved")</f>
        <v>0</v>
      </c>
      <c r="BH29" s="304">
        <f>SUMIFS('PCO Log'!$E39:$SJ39,'PCO Log'!$E$9:$SJ$9,'Graph Data'!BH$1,'PCO Log'!$E$7:$SJ$7,"Approved")</f>
        <v>0</v>
      </c>
      <c r="BI29" s="304">
        <f>SUMIFS('PCO Log'!$E39:$SJ39,'PCO Log'!$E$9:$SJ$9,'Graph Data'!BI$1,'PCO Log'!$E$7:$SJ$7,"Approved")</f>
        <v>0</v>
      </c>
      <c r="BJ29" s="304">
        <f>SUMIFS('PCO Log'!$E39:$SJ39,'PCO Log'!$E$9:$SJ$9,'Graph Data'!BJ$1,'PCO Log'!$E$7:$SJ$7,"Approved")</f>
        <v>0</v>
      </c>
      <c r="BK29" s="304">
        <f>SUMIFS('PCO Log'!$E39:$SJ39,'PCO Log'!$E$9:$SJ$9,'Graph Data'!BK$1,'PCO Log'!$E$7:$SJ$7,"Approved")</f>
        <v>0</v>
      </c>
      <c r="BL29" s="304">
        <f>SUMIFS('PCO Log'!$E39:$SJ39,'PCO Log'!$E$9:$SJ$9,'Graph Data'!BL$1,'PCO Log'!$E$7:$SJ$7,"Approved")</f>
        <v>0</v>
      </c>
      <c r="BM29" s="304">
        <f>SUMIFS('PCO Log'!$E39:$SJ39,'PCO Log'!$E$9:$SJ$9,'Graph Data'!BM$1,'PCO Log'!$E$7:$SJ$7,"Approved")</f>
        <v>0</v>
      </c>
      <c r="BN29" s="304">
        <f>SUMIFS('PCO Log'!$E39:$SJ39,'PCO Log'!$E$9:$SJ$9,'Graph Data'!BN$1,'PCO Log'!$E$7:$SJ$7,"Approved")</f>
        <v>0</v>
      </c>
      <c r="BO29" s="304">
        <f>SUMIFS('PCO Log'!$E39:$SJ39,'PCO Log'!$E$9:$SJ$9,'Graph Data'!BO$1,'PCO Log'!$E$7:$SJ$7,"Approved")</f>
        <v>0</v>
      </c>
      <c r="BP29" s="304">
        <f>SUMIFS('PCO Log'!$E39:$SJ39,'PCO Log'!$E$9:$SJ$9,'Graph Data'!BP$1,'PCO Log'!$E$7:$SJ$7,"Approved")</f>
        <v>0</v>
      </c>
      <c r="BQ29" s="304">
        <f>SUMIFS('PCO Log'!$E39:$SJ39,'PCO Log'!$E$9:$SJ$9,'Graph Data'!BQ$1,'PCO Log'!$E$7:$SJ$7,"Approved")</f>
        <v>0</v>
      </c>
      <c r="BR29" s="304">
        <f>SUMIFS('PCO Log'!$E39:$SJ39,'PCO Log'!$E$9:$SJ$9,'Graph Data'!BR$1,'PCO Log'!$E$7:$SJ$7,"Approved")</f>
        <v>0</v>
      </c>
      <c r="BS29" s="304">
        <f>SUMIFS('PCO Log'!$E39:$SJ39,'PCO Log'!$E$9:$SJ$9,'Graph Data'!BS$1,'PCO Log'!$E$7:$SJ$7,"Approved")</f>
        <v>0</v>
      </c>
      <c r="BT29" s="304">
        <f>SUMIFS('PCO Log'!$E39:$SJ39,'PCO Log'!$E$9:$SJ$9,'Graph Data'!BT$1,'PCO Log'!$E$7:$SJ$7,"Approved")</f>
        <v>0</v>
      </c>
      <c r="BU29" s="304">
        <f>SUMIFS('PCO Log'!$E39:$SJ39,'PCO Log'!$E$9:$SJ$9,'Graph Data'!BU$1,'PCO Log'!$E$7:$SJ$7,"Approved")</f>
        <v>0</v>
      </c>
      <c r="BV29" s="304">
        <f>SUMIFS('PCO Log'!$E39:$SJ39,'PCO Log'!$E$9:$SJ$9,'Graph Data'!BV$1,'PCO Log'!$E$7:$SJ$7,"Approved")</f>
        <v>0</v>
      </c>
      <c r="BW29" s="304">
        <f>SUMIFS('PCO Log'!$E39:$SJ39,'PCO Log'!$E$9:$SJ$9,'Graph Data'!BW$1,'PCO Log'!$E$7:$SJ$7,"Approved")</f>
        <v>0</v>
      </c>
      <c r="BX29" s="304">
        <f>SUMIFS('PCO Log'!$E39:$SJ39,'PCO Log'!$E$9:$SJ$9,'Graph Data'!BX$1,'PCO Log'!$E$7:$SJ$7,"Approved")</f>
        <v>0</v>
      </c>
    </row>
    <row r="30" spans="1:76" x14ac:dyDescent="0.25">
      <c r="A30" s="303" t="s">
        <v>370</v>
      </c>
      <c r="B30" s="303">
        <f>'PCO Log'!AG7</f>
        <v>0</v>
      </c>
      <c r="C30" s="303">
        <f>'PCO Log'!AG4</f>
        <v>0</v>
      </c>
      <c r="D30" s="303" cm="1">
        <f t="array" ref="D30">INDEX('PCO Log'!$E$5:$SJ$5, 1, ROWS('Graph Data'!$D$2:D30))</f>
        <v>0</v>
      </c>
      <c r="E30" s="303">
        <f>'PCO Log'!AG8</f>
        <v>0</v>
      </c>
      <c r="F30" s="303">
        <f>'PCO Log'!AG3</f>
        <v>0</v>
      </c>
      <c r="G30" s="304">
        <f>'PCO Log'!AG10</f>
        <v>0</v>
      </c>
      <c r="H30" s="305">
        <f>'PCO Log'!AG6</f>
        <v>0</v>
      </c>
      <c r="J30" s="303" t="s">
        <v>297</v>
      </c>
      <c r="K30" s="303">
        <f>'Pay App 29'!H33</f>
        <v>0</v>
      </c>
      <c r="L30" s="303">
        <f>IF(M30&gt;0,'Pay App 29'!$G$149,0)</f>
        <v>0</v>
      </c>
      <c r="M30" s="303">
        <f>'Pay App 29'!H149</f>
        <v>0</v>
      </c>
      <c r="O30" s="303" t="str">
        <f>'Pay App 1'!B85</f>
        <v>07 20 00</v>
      </c>
      <c r="P30" s="303" t="str">
        <f>'Pay App 1'!C85</f>
        <v>Insulation</v>
      </c>
      <c r="Q30" s="304">
        <f>SUMIFS('PCO Log'!$E40:$SJ40,'PCO Log'!$E$9:$SJ$9,'Graph Data'!Q$1,'PCO Log'!$E$7:$SJ$7,"Approved")</f>
        <v>0</v>
      </c>
      <c r="R30" s="304">
        <f>SUMIFS('PCO Log'!$E40:$SJ40,'PCO Log'!$E$9:$SJ$9,'Graph Data'!R$1,'PCO Log'!$E$7:$SJ$7,"Approved")</f>
        <v>0</v>
      </c>
      <c r="S30" s="304">
        <f>SUMIFS('PCO Log'!$E40:$SJ40,'PCO Log'!$E$9:$SJ$9,'Graph Data'!S$1,'PCO Log'!$E$7:$SJ$7,"Approved")</f>
        <v>0</v>
      </c>
      <c r="T30" s="304">
        <f>SUMIFS('PCO Log'!$E40:$SJ40,'PCO Log'!$E$9:$SJ$9,'Graph Data'!T$1,'PCO Log'!$E$7:$SJ$7,"Approved")</f>
        <v>0</v>
      </c>
      <c r="U30" s="304">
        <f>SUMIFS('PCO Log'!$E40:$SJ40,'PCO Log'!$E$9:$SJ$9,'Graph Data'!U$1,'PCO Log'!$E$7:$SJ$7,"Approved")</f>
        <v>0</v>
      </c>
      <c r="V30" s="304">
        <f>SUMIFS('PCO Log'!$E40:$SJ40,'PCO Log'!$E$9:$SJ$9,'Graph Data'!V$1,'PCO Log'!$E$7:$SJ$7,"Approved")</f>
        <v>0</v>
      </c>
      <c r="W30" s="304">
        <f>SUMIFS('PCO Log'!$E40:$SJ40,'PCO Log'!$E$9:$SJ$9,'Graph Data'!W$1,'PCO Log'!$E$7:$SJ$7,"Approved")</f>
        <v>0</v>
      </c>
      <c r="X30" s="304">
        <f>SUMIFS('PCO Log'!$E40:$SJ40,'PCO Log'!$E$9:$SJ$9,'Graph Data'!X$1,'PCO Log'!$E$7:$SJ$7,"Approved")</f>
        <v>0</v>
      </c>
      <c r="Y30" s="304">
        <f>SUMIFS('PCO Log'!$E40:$SJ40,'PCO Log'!$E$9:$SJ$9,'Graph Data'!Y$1,'PCO Log'!$E$7:$SJ$7,"Approved")</f>
        <v>0</v>
      </c>
      <c r="Z30" s="304">
        <f>SUMIFS('PCO Log'!$E40:$SJ40,'PCO Log'!$E$9:$SJ$9,'Graph Data'!Z$1,'PCO Log'!$E$7:$SJ$7,"Approved")</f>
        <v>0</v>
      </c>
      <c r="AA30" s="304">
        <f>SUMIFS('PCO Log'!$E40:$SJ40,'PCO Log'!$E$9:$SJ$9,'Graph Data'!AA$1,'PCO Log'!$E$7:$SJ$7,"Approved")</f>
        <v>0</v>
      </c>
      <c r="AB30" s="304">
        <f>SUMIFS('PCO Log'!$E40:$SJ40,'PCO Log'!$E$9:$SJ$9,'Graph Data'!AB$1,'PCO Log'!$E$7:$SJ$7,"Approved")</f>
        <v>0</v>
      </c>
      <c r="AC30" s="304">
        <f>SUMIFS('PCO Log'!$E40:$SJ40,'PCO Log'!$E$9:$SJ$9,'Graph Data'!AC$1,'PCO Log'!$E$7:$SJ$7,"Approved")</f>
        <v>0</v>
      </c>
      <c r="AD30" s="304">
        <f>SUMIFS('PCO Log'!$E40:$SJ40,'PCO Log'!$E$9:$SJ$9,'Graph Data'!AD$1,'PCO Log'!$E$7:$SJ$7,"Approved")</f>
        <v>0</v>
      </c>
      <c r="AE30" s="304">
        <f>SUMIFS('PCO Log'!$E40:$SJ40,'PCO Log'!$E$9:$SJ$9,'Graph Data'!AE$1,'PCO Log'!$E$7:$SJ$7,"Approved")</f>
        <v>0</v>
      </c>
      <c r="AF30" s="304">
        <f>SUMIFS('PCO Log'!$E40:$SJ40,'PCO Log'!$E$9:$SJ$9,'Graph Data'!AF$1,'PCO Log'!$E$7:$SJ$7,"Approved")</f>
        <v>0</v>
      </c>
      <c r="AG30" s="304">
        <f>SUMIFS('PCO Log'!$E40:$SJ40,'PCO Log'!$E$9:$SJ$9,'Graph Data'!AG$1,'PCO Log'!$E$7:$SJ$7,"Approved")</f>
        <v>0</v>
      </c>
      <c r="AH30" s="304">
        <f>SUMIFS('PCO Log'!$E40:$SJ40,'PCO Log'!$E$9:$SJ$9,'Graph Data'!AH$1,'PCO Log'!$E$7:$SJ$7,"Approved")</f>
        <v>0</v>
      </c>
      <c r="AI30" s="304">
        <f>SUMIFS('PCO Log'!$E40:$SJ40,'PCO Log'!$E$9:$SJ$9,'Graph Data'!AI$1,'PCO Log'!$E$7:$SJ$7,"Approved")</f>
        <v>0</v>
      </c>
      <c r="AJ30" s="304">
        <f>SUMIFS('PCO Log'!$E40:$SJ40,'PCO Log'!$E$9:$SJ$9,'Graph Data'!AJ$1,'PCO Log'!$E$7:$SJ$7,"Approved")</f>
        <v>0</v>
      </c>
      <c r="AK30" s="304">
        <f>SUMIFS('PCO Log'!$E40:$SJ40,'PCO Log'!$E$9:$SJ$9,'Graph Data'!AK$1,'PCO Log'!$E$7:$SJ$7,"Approved")</f>
        <v>0</v>
      </c>
      <c r="AL30" s="304">
        <f>SUMIFS('PCO Log'!$E40:$SJ40,'PCO Log'!$E$9:$SJ$9,'Graph Data'!AL$1,'PCO Log'!$E$7:$SJ$7,"Approved")</f>
        <v>0</v>
      </c>
      <c r="AM30" s="304">
        <f>SUMIFS('PCO Log'!$E40:$SJ40,'PCO Log'!$E$9:$SJ$9,'Graph Data'!AM$1,'PCO Log'!$E$7:$SJ$7,"Approved")</f>
        <v>0</v>
      </c>
      <c r="AN30" s="304">
        <f>SUMIFS('PCO Log'!$E40:$SJ40,'PCO Log'!$E$9:$SJ$9,'Graph Data'!AN$1,'PCO Log'!$E$7:$SJ$7,"Approved")</f>
        <v>0</v>
      </c>
      <c r="AO30" s="304">
        <f>SUMIFS('PCO Log'!$E40:$SJ40,'PCO Log'!$E$9:$SJ$9,'Graph Data'!AO$1,'PCO Log'!$E$7:$SJ$7,"Approved")</f>
        <v>0</v>
      </c>
      <c r="AP30" s="304">
        <f>SUMIFS('PCO Log'!$E40:$SJ40,'PCO Log'!$E$9:$SJ$9,'Graph Data'!AP$1,'PCO Log'!$E$7:$SJ$7,"Approved")</f>
        <v>0</v>
      </c>
      <c r="AQ30" s="304">
        <f>SUMIFS('PCO Log'!$E40:$SJ40,'PCO Log'!$E$9:$SJ$9,'Graph Data'!AQ$1,'PCO Log'!$E$7:$SJ$7,"Approved")</f>
        <v>0</v>
      </c>
      <c r="AR30" s="304">
        <f>SUMIFS('PCO Log'!$E40:$SJ40,'PCO Log'!$E$9:$SJ$9,'Graph Data'!AR$1,'PCO Log'!$E$7:$SJ$7,"Approved")</f>
        <v>0</v>
      </c>
      <c r="AS30" s="304">
        <f>SUMIFS('PCO Log'!$E40:$SJ40,'PCO Log'!$E$9:$SJ$9,'Graph Data'!AS$1,'PCO Log'!$E$7:$SJ$7,"Approved")</f>
        <v>0</v>
      </c>
      <c r="AT30" s="304">
        <f>SUMIFS('PCO Log'!$E40:$SJ40,'PCO Log'!$E$9:$SJ$9,'Graph Data'!AT$1,'PCO Log'!$E$7:$SJ$7,"Approved")</f>
        <v>0</v>
      </c>
      <c r="AU30" s="304">
        <f>SUMIFS('PCO Log'!$E40:$SJ40,'PCO Log'!$E$9:$SJ$9,'Graph Data'!AU$1,'PCO Log'!$E$7:$SJ$7,"Approved")</f>
        <v>0</v>
      </c>
      <c r="AV30" s="304">
        <f>SUMIFS('PCO Log'!$E40:$SJ40,'PCO Log'!$E$9:$SJ$9,'Graph Data'!AV$1,'PCO Log'!$E$7:$SJ$7,"Approved")</f>
        <v>0</v>
      </c>
      <c r="AW30" s="304">
        <f>SUMIFS('PCO Log'!$E40:$SJ40,'PCO Log'!$E$9:$SJ$9,'Graph Data'!AW$1,'PCO Log'!$E$7:$SJ$7,"Approved")</f>
        <v>0</v>
      </c>
      <c r="AX30" s="304">
        <f>SUMIFS('PCO Log'!$E40:$SJ40,'PCO Log'!$E$9:$SJ$9,'Graph Data'!AX$1,'PCO Log'!$E$7:$SJ$7,"Approved")</f>
        <v>0</v>
      </c>
      <c r="AY30" s="304">
        <f>SUMIFS('PCO Log'!$E40:$SJ40,'PCO Log'!$E$9:$SJ$9,'Graph Data'!AY$1,'PCO Log'!$E$7:$SJ$7,"Approved")</f>
        <v>0</v>
      </c>
      <c r="AZ30" s="304">
        <f>SUMIFS('PCO Log'!$E40:$SJ40,'PCO Log'!$E$9:$SJ$9,'Graph Data'!AZ$1,'PCO Log'!$E$7:$SJ$7,"Approved")</f>
        <v>0</v>
      </c>
      <c r="BA30" s="304">
        <f>SUMIFS('PCO Log'!$E40:$SJ40,'PCO Log'!$E$9:$SJ$9,'Graph Data'!BA$1,'PCO Log'!$E$7:$SJ$7,"Approved")</f>
        <v>0</v>
      </c>
      <c r="BB30" s="304">
        <f>SUMIFS('PCO Log'!$E40:$SJ40,'PCO Log'!$E$9:$SJ$9,'Graph Data'!BB$1,'PCO Log'!$E$7:$SJ$7,"Approved")</f>
        <v>0</v>
      </c>
      <c r="BC30" s="304">
        <f>SUMIFS('PCO Log'!$E40:$SJ40,'PCO Log'!$E$9:$SJ$9,'Graph Data'!BC$1,'PCO Log'!$E$7:$SJ$7,"Approved")</f>
        <v>0</v>
      </c>
      <c r="BD30" s="304">
        <f>SUMIFS('PCO Log'!$E40:$SJ40,'PCO Log'!$E$9:$SJ$9,'Graph Data'!BD$1,'PCO Log'!$E$7:$SJ$7,"Approved")</f>
        <v>0</v>
      </c>
      <c r="BE30" s="304">
        <f>SUMIFS('PCO Log'!$E40:$SJ40,'PCO Log'!$E$9:$SJ$9,'Graph Data'!BE$1,'PCO Log'!$E$7:$SJ$7,"Approved")</f>
        <v>0</v>
      </c>
      <c r="BF30" s="304">
        <f>SUMIFS('PCO Log'!$E40:$SJ40,'PCO Log'!$E$9:$SJ$9,'Graph Data'!BF$1,'PCO Log'!$E$7:$SJ$7,"Approved")</f>
        <v>0</v>
      </c>
      <c r="BG30" s="304">
        <f>SUMIFS('PCO Log'!$E40:$SJ40,'PCO Log'!$E$9:$SJ$9,'Graph Data'!BG$1,'PCO Log'!$E$7:$SJ$7,"Approved")</f>
        <v>0</v>
      </c>
      <c r="BH30" s="304">
        <f>SUMIFS('PCO Log'!$E40:$SJ40,'PCO Log'!$E$9:$SJ$9,'Graph Data'!BH$1,'PCO Log'!$E$7:$SJ$7,"Approved")</f>
        <v>0</v>
      </c>
      <c r="BI30" s="304">
        <f>SUMIFS('PCO Log'!$E40:$SJ40,'PCO Log'!$E$9:$SJ$9,'Graph Data'!BI$1,'PCO Log'!$E$7:$SJ$7,"Approved")</f>
        <v>0</v>
      </c>
      <c r="BJ30" s="304">
        <f>SUMIFS('PCO Log'!$E40:$SJ40,'PCO Log'!$E$9:$SJ$9,'Graph Data'!BJ$1,'PCO Log'!$E$7:$SJ$7,"Approved")</f>
        <v>0</v>
      </c>
      <c r="BK30" s="304">
        <f>SUMIFS('PCO Log'!$E40:$SJ40,'PCO Log'!$E$9:$SJ$9,'Graph Data'!BK$1,'PCO Log'!$E$7:$SJ$7,"Approved")</f>
        <v>0</v>
      </c>
      <c r="BL30" s="304">
        <f>SUMIFS('PCO Log'!$E40:$SJ40,'PCO Log'!$E$9:$SJ$9,'Graph Data'!BL$1,'PCO Log'!$E$7:$SJ$7,"Approved")</f>
        <v>0</v>
      </c>
      <c r="BM30" s="304">
        <f>SUMIFS('PCO Log'!$E40:$SJ40,'PCO Log'!$E$9:$SJ$9,'Graph Data'!BM$1,'PCO Log'!$E$7:$SJ$7,"Approved")</f>
        <v>0</v>
      </c>
      <c r="BN30" s="304">
        <f>SUMIFS('PCO Log'!$E40:$SJ40,'PCO Log'!$E$9:$SJ$9,'Graph Data'!BN$1,'PCO Log'!$E$7:$SJ$7,"Approved")</f>
        <v>0</v>
      </c>
      <c r="BO30" s="304">
        <f>SUMIFS('PCO Log'!$E40:$SJ40,'PCO Log'!$E$9:$SJ$9,'Graph Data'!BO$1,'PCO Log'!$E$7:$SJ$7,"Approved")</f>
        <v>0</v>
      </c>
      <c r="BP30" s="304">
        <f>SUMIFS('PCO Log'!$E40:$SJ40,'PCO Log'!$E$9:$SJ$9,'Graph Data'!BP$1,'PCO Log'!$E$7:$SJ$7,"Approved")</f>
        <v>0</v>
      </c>
      <c r="BQ30" s="304">
        <f>SUMIFS('PCO Log'!$E40:$SJ40,'PCO Log'!$E$9:$SJ$9,'Graph Data'!BQ$1,'PCO Log'!$E$7:$SJ$7,"Approved")</f>
        <v>0</v>
      </c>
      <c r="BR30" s="304">
        <f>SUMIFS('PCO Log'!$E40:$SJ40,'PCO Log'!$E$9:$SJ$9,'Graph Data'!BR$1,'PCO Log'!$E$7:$SJ$7,"Approved")</f>
        <v>0</v>
      </c>
      <c r="BS30" s="304">
        <f>SUMIFS('PCO Log'!$E40:$SJ40,'PCO Log'!$E$9:$SJ$9,'Graph Data'!BS$1,'PCO Log'!$E$7:$SJ$7,"Approved")</f>
        <v>0</v>
      </c>
      <c r="BT30" s="304">
        <f>SUMIFS('PCO Log'!$E40:$SJ40,'PCO Log'!$E$9:$SJ$9,'Graph Data'!BT$1,'PCO Log'!$E$7:$SJ$7,"Approved")</f>
        <v>0</v>
      </c>
      <c r="BU30" s="304">
        <f>SUMIFS('PCO Log'!$E40:$SJ40,'PCO Log'!$E$9:$SJ$9,'Graph Data'!BU$1,'PCO Log'!$E$7:$SJ$7,"Approved")</f>
        <v>0</v>
      </c>
      <c r="BV30" s="304">
        <f>SUMIFS('PCO Log'!$E40:$SJ40,'PCO Log'!$E$9:$SJ$9,'Graph Data'!BV$1,'PCO Log'!$E$7:$SJ$7,"Approved")</f>
        <v>0</v>
      </c>
      <c r="BW30" s="304">
        <f>SUMIFS('PCO Log'!$E40:$SJ40,'PCO Log'!$E$9:$SJ$9,'Graph Data'!BW$1,'PCO Log'!$E$7:$SJ$7,"Approved")</f>
        <v>0</v>
      </c>
      <c r="BX30" s="304">
        <f>SUMIFS('PCO Log'!$E40:$SJ40,'PCO Log'!$E$9:$SJ$9,'Graph Data'!BX$1,'PCO Log'!$E$7:$SJ$7,"Approved")</f>
        <v>0</v>
      </c>
    </row>
    <row r="31" spans="1:76" x14ac:dyDescent="0.25">
      <c r="A31" s="303" t="s">
        <v>371</v>
      </c>
      <c r="B31" s="303">
        <f>'PCO Log'!AH7</f>
        <v>0</v>
      </c>
      <c r="C31" s="303">
        <f>'PCO Log'!AH4</f>
        <v>0</v>
      </c>
      <c r="D31" s="303" cm="1">
        <f t="array" ref="D31">INDEX('PCO Log'!$E$5:$SJ$5, 1, ROWS('Graph Data'!$D$2:D31))</f>
        <v>0</v>
      </c>
      <c r="E31" s="303">
        <f>'PCO Log'!AH8</f>
        <v>0</v>
      </c>
      <c r="F31" s="303">
        <f>'PCO Log'!AH3</f>
        <v>0</v>
      </c>
      <c r="G31" s="304">
        <f>'PCO Log'!AH10</f>
        <v>0</v>
      </c>
      <c r="H31" s="305">
        <f>'PCO Log'!AH6</f>
        <v>0</v>
      </c>
      <c r="J31" s="303" t="s">
        <v>298</v>
      </c>
      <c r="K31" s="303">
        <f>'Pay App 30'!H33</f>
        <v>0</v>
      </c>
      <c r="L31" s="303">
        <f>IF(M31&gt;0,'Pay App 30'!$G$149,0)</f>
        <v>0</v>
      </c>
      <c r="M31" s="303">
        <f>'Pay App 30'!H149</f>
        <v>0</v>
      </c>
      <c r="O31" s="303" t="str">
        <f>'Pay App 1'!B86</f>
        <v>07 24 00</v>
      </c>
      <c r="P31" s="303" t="str">
        <f>'Pay App 1'!C86</f>
        <v>EIFS</v>
      </c>
      <c r="Q31" s="304">
        <f>SUMIFS('PCO Log'!$E41:$SJ41,'PCO Log'!$E$9:$SJ$9,'Graph Data'!Q$1,'PCO Log'!$E$7:$SJ$7,"Approved")</f>
        <v>0</v>
      </c>
      <c r="R31" s="304">
        <f>SUMIFS('PCO Log'!$E41:$SJ41,'PCO Log'!$E$9:$SJ$9,'Graph Data'!R$1,'PCO Log'!$E$7:$SJ$7,"Approved")</f>
        <v>0</v>
      </c>
      <c r="S31" s="304">
        <f>SUMIFS('PCO Log'!$E41:$SJ41,'PCO Log'!$E$9:$SJ$9,'Graph Data'!S$1,'PCO Log'!$E$7:$SJ$7,"Approved")</f>
        <v>0</v>
      </c>
      <c r="T31" s="304">
        <f>SUMIFS('PCO Log'!$E41:$SJ41,'PCO Log'!$E$9:$SJ$9,'Graph Data'!T$1,'PCO Log'!$E$7:$SJ$7,"Approved")</f>
        <v>0</v>
      </c>
      <c r="U31" s="304">
        <f>SUMIFS('PCO Log'!$E41:$SJ41,'PCO Log'!$E$9:$SJ$9,'Graph Data'!U$1,'PCO Log'!$E$7:$SJ$7,"Approved")</f>
        <v>0</v>
      </c>
      <c r="V31" s="304">
        <f>SUMIFS('PCO Log'!$E41:$SJ41,'PCO Log'!$E$9:$SJ$9,'Graph Data'!V$1,'PCO Log'!$E$7:$SJ$7,"Approved")</f>
        <v>0</v>
      </c>
      <c r="W31" s="304">
        <f>SUMIFS('PCO Log'!$E41:$SJ41,'PCO Log'!$E$9:$SJ$9,'Graph Data'!W$1,'PCO Log'!$E$7:$SJ$7,"Approved")</f>
        <v>0</v>
      </c>
      <c r="X31" s="304">
        <f>SUMIFS('PCO Log'!$E41:$SJ41,'PCO Log'!$E$9:$SJ$9,'Graph Data'!X$1,'PCO Log'!$E$7:$SJ$7,"Approved")</f>
        <v>0</v>
      </c>
      <c r="Y31" s="304">
        <f>SUMIFS('PCO Log'!$E41:$SJ41,'PCO Log'!$E$9:$SJ$9,'Graph Data'!Y$1,'PCO Log'!$E$7:$SJ$7,"Approved")</f>
        <v>0</v>
      </c>
      <c r="Z31" s="304">
        <f>SUMIFS('PCO Log'!$E41:$SJ41,'PCO Log'!$E$9:$SJ$9,'Graph Data'!Z$1,'PCO Log'!$E$7:$SJ$7,"Approved")</f>
        <v>0</v>
      </c>
      <c r="AA31" s="304">
        <f>SUMIFS('PCO Log'!$E41:$SJ41,'PCO Log'!$E$9:$SJ$9,'Graph Data'!AA$1,'PCO Log'!$E$7:$SJ$7,"Approved")</f>
        <v>0</v>
      </c>
      <c r="AB31" s="304">
        <f>SUMIFS('PCO Log'!$E41:$SJ41,'PCO Log'!$E$9:$SJ$9,'Graph Data'!AB$1,'PCO Log'!$E$7:$SJ$7,"Approved")</f>
        <v>0</v>
      </c>
      <c r="AC31" s="304">
        <f>SUMIFS('PCO Log'!$E41:$SJ41,'PCO Log'!$E$9:$SJ$9,'Graph Data'!AC$1,'PCO Log'!$E$7:$SJ$7,"Approved")</f>
        <v>0</v>
      </c>
      <c r="AD31" s="304">
        <f>SUMIFS('PCO Log'!$E41:$SJ41,'PCO Log'!$E$9:$SJ$9,'Graph Data'!AD$1,'PCO Log'!$E$7:$SJ$7,"Approved")</f>
        <v>0</v>
      </c>
      <c r="AE31" s="304">
        <f>SUMIFS('PCO Log'!$E41:$SJ41,'PCO Log'!$E$9:$SJ$9,'Graph Data'!AE$1,'PCO Log'!$E$7:$SJ$7,"Approved")</f>
        <v>0</v>
      </c>
      <c r="AF31" s="304">
        <f>SUMIFS('PCO Log'!$E41:$SJ41,'PCO Log'!$E$9:$SJ$9,'Graph Data'!AF$1,'PCO Log'!$E$7:$SJ$7,"Approved")</f>
        <v>0</v>
      </c>
      <c r="AG31" s="304">
        <f>SUMIFS('PCO Log'!$E41:$SJ41,'PCO Log'!$E$9:$SJ$9,'Graph Data'!AG$1,'PCO Log'!$E$7:$SJ$7,"Approved")</f>
        <v>0</v>
      </c>
      <c r="AH31" s="304">
        <f>SUMIFS('PCO Log'!$E41:$SJ41,'PCO Log'!$E$9:$SJ$9,'Graph Data'!AH$1,'PCO Log'!$E$7:$SJ$7,"Approved")</f>
        <v>0</v>
      </c>
      <c r="AI31" s="304">
        <f>SUMIFS('PCO Log'!$E41:$SJ41,'PCO Log'!$E$9:$SJ$9,'Graph Data'!AI$1,'PCO Log'!$E$7:$SJ$7,"Approved")</f>
        <v>0</v>
      </c>
      <c r="AJ31" s="304">
        <f>SUMIFS('PCO Log'!$E41:$SJ41,'PCO Log'!$E$9:$SJ$9,'Graph Data'!AJ$1,'PCO Log'!$E$7:$SJ$7,"Approved")</f>
        <v>0</v>
      </c>
      <c r="AK31" s="304">
        <f>SUMIFS('PCO Log'!$E41:$SJ41,'PCO Log'!$E$9:$SJ$9,'Graph Data'!AK$1,'PCO Log'!$E$7:$SJ$7,"Approved")</f>
        <v>0</v>
      </c>
      <c r="AL31" s="304">
        <f>SUMIFS('PCO Log'!$E41:$SJ41,'PCO Log'!$E$9:$SJ$9,'Graph Data'!AL$1,'PCO Log'!$E$7:$SJ$7,"Approved")</f>
        <v>0</v>
      </c>
      <c r="AM31" s="304">
        <f>SUMIFS('PCO Log'!$E41:$SJ41,'PCO Log'!$E$9:$SJ$9,'Graph Data'!AM$1,'PCO Log'!$E$7:$SJ$7,"Approved")</f>
        <v>0</v>
      </c>
      <c r="AN31" s="304">
        <f>SUMIFS('PCO Log'!$E41:$SJ41,'PCO Log'!$E$9:$SJ$9,'Graph Data'!AN$1,'PCO Log'!$E$7:$SJ$7,"Approved")</f>
        <v>0</v>
      </c>
      <c r="AO31" s="304">
        <f>SUMIFS('PCO Log'!$E41:$SJ41,'PCO Log'!$E$9:$SJ$9,'Graph Data'!AO$1,'PCO Log'!$E$7:$SJ$7,"Approved")</f>
        <v>0</v>
      </c>
      <c r="AP31" s="304">
        <f>SUMIFS('PCO Log'!$E41:$SJ41,'PCO Log'!$E$9:$SJ$9,'Graph Data'!AP$1,'PCO Log'!$E$7:$SJ$7,"Approved")</f>
        <v>0</v>
      </c>
      <c r="AQ31" s="304">
        <f>SUMIFS('PCO Log'!$E41:$SJ41,'PCO Log'!$E$9:$SJ$9,'Graph Data'!AQ$1,'PCO Log'!$E$7:$SJ$7,"Approved")</f>
        <v>0</v>
      </c>
      <c r="AR31" s="304">
        <f>SUMIFS('PCO Log'!$E41:$SJ41,'PCO Log'!$E$9:$SJ$9,'Graph Data'!AR$1,'PCO Log'!$E$7:$SJ$7,"Approved")</f>
        <v>0</v>
      </c>
      <c r="AS31" s="304">
        <f>SUMIFS('PCO Log'!$E41:$SJ41,'PCO Log'!$E$9:$SJ$9,'Graph Data'!AS$1,'PCO Log'!$E$7:$SJ$7,"Approved")</f>
        <v>0</v>
      </c>
      <c r="AT31" s="304">
        <f>SUMIFS('PCO Log'!$E41:$SJ41,'PCO Log'!$E$9:$SJ$9,'Graph Data'!AT$1,'PCO Log'!$E$7:$SJ$7,"Approved")</f>
        <v>0</v>
      </c>
      <c r="AU31" s="304">
        <f>SUMIFS('PCO Log'!$E41:$SJ41,'PCO Log'!$E$9:$SJ$9,'Graph Data'!AU$1,'PCO Log'!$E$7:$SJ$7,"Approved")</f>
        <v>0</v>
      </c>
      <c r="AV31" s="304">
        <f>SUMIFS('PCO Log'!$E41:$SJ41,'PCO Log'!$E$9:$SJ$9,'Graph Data'!AV$1,'PCO Log'!$E$7:$SJ$7,"Approved")</f>
        <v>0</v>
      </c>
      <c r="AW31" s="304">
        <f>SUMIFS('PCO Log'!$E41:$SJ41,'PCO Log'!$E$9:$SJ$9,'Graph Data'!AW$1,'PCO Log'!$E$7:$SJ$7,"Approved")</f>
        <v>0</v>
      </c>
      <c r="AX31" s="304">
        <f>SUMIFS('PCO Log'!$E41:$SJ41,'PCO Log'!$E$9:$SJ$9,'Graph Data'!AX$1,'PCO Log'!$E$7:$SJ$7,"Approved")</f>
        <v>0</v>
      </c>
      <c r="AY31" s="304">
        <f>SUMIFS('PCO Log'!$E41:$SJ41,'PCO Log'!$E$9:$SJ$9,'Graph Data'!AY$1,'PCO Log'!$E$7:$SJ$7,"Approved")</f>
        <v>0</v>
      </c>
      <c r="AZ31" s="304">
        <f>SUMIFS('PCO Log'!$E41:$SJ41,'PCO Log'!$E$9:$SJ$9,'Graph Data'!AZ$1,'PCO Log'!$E$7:$SJ$7,"Approved")</f>
        <v>0</v>
      </c>
      <c r="BA31" s="304">
        <f>SUMIFS('PCO Log'!$E41:$SJ41,'PCO Log'!$E$9:$SJ$9,'Graph Data'!BA$1,'PCO Log'!$E$7:$SJ$7,"Approved")</f>
        <v>0</v>
      </c>
      <c r="BB31" s="304">
        <f>SUMIFS('PCO Log'!$E41:$SJ41,'PCO Log'!$E$9:$SJ$9,'Graph Data'!BB$1,'PCO Log'!$E$7:$SJ$7,"Approved")</f>
        <v>0</v>
      </c>
      <c r="BC31" s="304">
        <f>SUMIFS('PCO Log'!$E41:$SJ41,'PCO Log'!$E$9:$SJ$9,'Graph Data'!BC$1,'PCO Log'!$E$7:$SJ$7,"Approved")</f>
        <v>0</v>
      </c>
      <c r="BD31" s="304">
        <f>SUMIFS('PCO Log'!$E41:$SJ41,'PCO Log'!$E$9:$SJ$9,'Graph Data'!BD$1,'PCO Log'!$E$7:$SJ$7,"Approved")</f>
        <v>0</v>
      </c>
      <c r="BE31" s="304">
        <f>SUMIFS('PCO Log'!$E41:$SJ41,'PCO Log'!$E$9:$SJ$9,'Graph Data'!BE$1,'PCO Log'!$E$7:$SJ$7,"Approved")</f>
        <v>0</v>
      </c>
      <c r="BF31" s="304">
        <f>SUMIFS('PCO Log'!$E41:$SJ41,'PCO Log'!$E$9:$SJ$9,'Graph Data'!BF$1,'PCO Log'!$E$7:$SJ$7,"Approved")</f>
        <v>0</v>
      </c>
      <c r="BG31" s="304">
        <f>SUMIFS('PCO Log'!$E41:$SJ41,'PCO Log'!$E$9:$SJ$9,'Graph Data'!BG$1,'PCO Log'!$E$7:$SJ$7,"Approved")</f>
        <v>0</v>
      </c>
      <c r="BH31" s="304">
        <f>SUMIFS('PCO Log'!$E41:$SJ41,'PCO Log'!$E$9:$SJ$9,'Graph Data'!BH$1,'PCO Log'!$E$7:$SJ$7,"Approved")</f>
        <v>0</v>
      </c>
      <c r="BI31" s="304">
        <f>SUMIFS('PCO Log'!$E41:$SJ41,'PCO Log'!$E$9:$SJ$9,'Graph Data'!BI$1,'PCO Log'!$E$7:$SJ$7,"Approved")</f>
        <v>0</v>
      </c>
      <c r="BJ31" s="304">
        <f>SUMIFS('PCO Log'!$E41:$SJ41,'PCO Log'!$E$9:$SJ$9,'Graph Data'!BJ$1,'PCO Log'!$E$7:$SJ$7,"Approved")</f>
        <v>0</v>
      </c>
      <c r="BK31" s="304">
        <f>SUMIFS('PCO Log'!$E41:$SJ41,'PCO Log'!$E$9:$SJ$9,'Graph Data'!BK$1,'PCO Log'!$E$7:$SJ$7,"Approved")</f>
        <v>0</v>
      </c>
      <c r="BL31" s="304">
        <f>SUMIFS('PCO Log'!$E41:$SJ41,'PCO Log'!$E$9:$SJ$9,'Graph Data'!BL$1,'PCO Log'!$E$7:$SJ$7,"Approved")</f>
        <v>0</v>
      </c>
      <c r="BM31" s="304">
        <f>SUMIFS('PCO Log'!$E41:$SJ41,'PCO Log'!$E$9:$SJ$9,'Graph Data'!BM$1,'PCO Log'!$E$7:$SJ$7,"Approved")</f>
        <v>0</v>
      </c>
      <c r="BN31" s="304">
        <f>SUMIFS('PCO Log'!$E41:$SJ41,'PCO Log'!$E$9:$SJ$9,'Graph Data'!BN$1,'PCO Log'!$E$7:$SJ$7,"Approved")</f>
        <v>0</v>
      </c>
      <c r="BO31" s="304">
        <f>SUMIFS('PCO Log'!$E41:$SJ41,'PCO Log'!$E$9:$SJ$9,'Graph Data'!BO$1,'PCO Log'!$E$7:$SJ$7,"Approved")</f>
        <v>0</v>
      </c>
      <c r="BP31" s="304">
        <f>SUMIFS('PCO Log'!$E41:$SJ41,'PCO Log'!$E$9:$SJ$9,'Graph Data'!BP$1,'PCO Log'!$E$7:$SJ$7,"Approved")</f>
        <v>0</v>
      </c>
      <c r="BQ31" s="304">
        <f>SUMIFS('PCO Log'!$E41:$SJ41,'PCO Log'!$E$9:$SJ$9,'Graph Data'!BQ$1,'PCO Log'!$E$7:$SJ$7,"Approved")</f>
        <v>0</v>
      </c>
      <c r="BR31" s="304">
        <f>SUMIFS('PCO Log'!$E41:$SJ41,'PCO Log'!$E$9:$SJ$9,'Graph Data'!BR$1,'PCO Log'!$E$7:$SJ$7,"Approved")</f>
        <v>0</v>
      </c>
      <c r="BS31" s="304">
        <f>SUMIFS('PCO Log'!$E41:$SJ41,'PCO Log'!$E$9:$SJ$9,'Graph Data'!BS$1,'PCO Log'!$E$7:$SJ$7,"Approved")</f>
        <v>0</v>
      </c>
      <c r="BT31" s="304">
        <f>SUMIFS('PCO Log'!$E41:$SJ41,'PCO Log'!$E$9:$SJ$9,'Graph Data'!BT$1,'PCO Log'!$E$7:$SJ$7,"Approved")</f>
        <v>0</v>
      </c>
      <c r="BU31" s="304">
        <f>SUMIFS('PCO Log'!$E41:$SJ41,'PCO Log'!$E$9:$SJ$9,'Graph Data'!BU$1,'PCO Log'!$E$7:$SJ$7,"Approved")</f>
        <v>0</v>
      </c>
      <c r="BV31" s="304">
        <f>SUMIFS('PCO Log'!$E41:$SJ41,'PCO Log'!$E$9:$SJ$9,'Graph Data'!BV$1,'PCO Log'!$E$7:$SJ$7,"Approved")</f>
        <v>0</v>
      </c>
      <c r="BW31" s="304">
        <f>SUMIFS('PCO Log'!$E41:$SJ41,'PCO Log'!$E$9:$SJ$9,'Graph Data'!BW$1,'PCO Log'!$E$7:$SJ$7,"Approved")</f>
        <v>0</v>
      </c>
      <c r="BX31" s="304">
        <f>SUMIFS('PCO Log'!$E41:$SJ41,'PCO Log'!$E$9:$SJ$9,'Graph Data'!BX$1,'PCO Log'!$E$7:$SJ$7,"Approved")</f>
        <v>0</v>
      </c>
    </row>
    <row r="32" spans="1:76" x14ac:dyDescent="0.25">
      <c r="A32" s="303" t="s">
        <v>372</v>
      </c>
      <c r="B32" s="303">
        <f>'PCO Log'!AI7</f>
        <v>0</v>
      </c>
      <c r="C32" s="303">
        <f>'PCO Log'!AI4</f>
        <v>0</v>
      </c>
      <c r="D32" s="303" cm="1">
        <f t="array" ref="D32">INDEX('PCO Log'!$E$5:$SJ$5, 1, ROWS('Graph Data'!$D$2:D32))</f>
        <v>0</v>
      </c>
      <c r="E32" s="303">
        <f>'PCO Log'!AI8</f>
        <v>0</v>
      </c>
      <c r="F32" s="303">
        <f>'PCO Log'!AI3</f>
        <v>0</v>
      </c>
      <c r="G32" s="304">
        <f>'PCO Log'!AI10</f>
        <v>0</v>
      </c>
      <c r="H32" s="305">
        <f>'PCO Log'!AI6</f>
        <v>0</v>
      </c>
      <c r="J32" s="303" t="s">
        <v>299</v>
      </c>
      <c r="K32" s="303">
        <f>'Pay App 31'!H33</f>
        <v>0</v>
      </c>
      <c r="L32" s="303">
        <f>IF(M32&gt;0,'Pay App 31'!$G$149,0)</f>
        <v>0</v>
      </c>
      <c r="M32" s="303">
        <f>'Pay App 31'!H149</f>
        <v>0</v>
      </c>
      <c r="O32" s="303" t="str">
        <f>'Pay App 1'!B87</f>
        <v>07 26 00</v>
      </c>
      <c r="P32" s="303" t="str">
        <f>'Pay App 1'!C87</f>
        <v>Vapor Retarders</v>
      </c>
      <c r="Q32" s="304">
        <f>SUMIFS('PCO Log'!$E42:$SJ42,'PCO Log'!$E$9:$SJ$9,'Graph Data'!Q$1,'PCO Log'!$E$7:$SJ$7,"Approved")</f>
        <v>0</v>
      </c>
      <c r="R32" s="304">
        <f>SUMIFS('PCO Log'!$E42:$SJ42,'PCO Log'!$E$9:$SJ$9,'Graph Data'!R$1,'PCO Log'!$E$7:$SJ$7,"Approved")</f>
        <v>0</v>
      </c>
      <c r="S32" s="304">
        <f>SUMIFS('PCO Log'!$E42:$SJ42,'PCO Log'!$E$9:$SJ$9,'Graph Data'!S$1,'PCO Log'!$E$7:$SJ$7,"Approved")</f>
        <v>0</v>
      </c>
      <c r="T32" s="304">
        <f>SUMIFS('PCO Log'!$E42:$SJ42,'PCO Log'!$E$9:$SJ$9,'Graph Data'!T$1,'PCO Log'!$E$7:$SJ$7,"Approved")</f>
        <v>0</v>
      </c>
      <c r="U32" s="304">
        <f>SUMIFS('PCO Log'!$E42:$SJ42,'PCO Log'!$E$9:$SJ$9,'Graph Data'!U$1,'PCO Log'!$E$7:$SJ$7,"Approved")</f>
        <v>0</v>
      </c>
      <c r="V32" s="304">
        <f>SUMIFS('PCO Log'!$E42:$SJ42,'PCO Log'!$E$9:$SJ$9,'Graph Data'!V$1,'PCO Log'!$E$7:$SJ$7,"Approved")</f>
        <v>0</v>
      </c>
      <c r="W32" s="304">
        <f>SUMIFS('PCO Log'!$E42:$SJ42,'PCO Log'!$E$9:$SJ$9,'Graph Data'!W$1,'PCO Log'!$E$7:$SJ$7,"Approved")</f>
        <v>0</v>
      </c>
      <c r="X32" s="304">
        <f>SUMIFS('PCO Log'!$E42:$SJ42,'PCO Log'!$E$9:$SJ$9,'Graph Data'!X$1,'PCO Log'!$E$7:$SJ$7,"Approved")</f>
        <v>0</v>
      </c>
      <c r="Y32" s="304">
        <f>SUMIFS('PCO Log'!$E42:$SJ42,'PCO Log'!$E$9:$SJ$9,'Graph Data'!Y$1,'PCO Log'!$E$7:$SJ$7,"Approved")</f>
        <v>0</v>
      </c>
      <c r="Z32" s="304">
        <f>SUMIFS('PCO Log'!$E42:$SJ42,'PCO Log'!$E$9:$SJ$9,'Graph Data'!Z$1,'PCO Log'!$E$7:$SJ$7,"Approved")</f>
        <v>0</v>
      </c>
      <c r="AA32" s="304">
        <f>SUMIFS('PCO Log'!$E42:$SJ42,'PCO Log'!$E$9:$SJ$9,'Graph Data'!AA$1,'PCO Log'!$E$7:$SJ$7,"Approved")</f>
        <v>0</v>
      </c>
      <c r="AB32" s="304">
        <f>SUMIFS('PCO Log'!$E42:$SJ42,'PCO Log'!$E$9:$SJ$9,'Graph Data'!AB$1,'PCO Log'!$E$7:$SJ$7,"Approved")</f>
        <v>0</v>
      </c>
      <c r="AC32" s="304">
        <f>SUMIFS('PCO Log'!$E42:$SJ42,'PCO Log'!$E$9:$SJ$9,'Graph Data'!AC$1,'PCO Log'!$E$7:$SJ$7,"Approved")</f>
        <v>0</v>
      </c>
      <c r="AD32" s="304">
        <f>SUMIFS('PCO Log'!$E42:$SJ42,'PCO Log'!$E$9:$SJ$9,'Graph Data'!AD$1,'PCO Log'!$E$7:$SJ$7,"Approved")</f>
        <v>0</v>
      </c>
      <c r="AE32" s="304">
        <f>SUMIFS('PCO Log'!$E42:$SJ42,'PCO Log'!$E$9:$SJ$9,'Graph Data'!AE$1,'PCO Log'!$E$7:$SJ$7,"Approved")</f>
        <v>0</v>
      </c>
      <c r="AF32" s="304">
        <f>SUMIFS('PCO Log'!$E42:$SJ42,'PCO Log'!$E$9:$SJ$9,'Graph Data'!AF$1,'PCO Log'!$E$7:$SJ$7,"Approved")</f>
        <v>0</v>
      </c>
      <c r="AG32" s="304">
        <f>SUMIFS('PCO Log'!$E42:$SJ42,'PCO Log'!$E$9:$SJ$9,'Graph Data'!AG$1,'PCO Log'!$E$7:$SJ$7,"Approved")</f>
        <v>0</v>
      </c>
      <c r="AH32" s="304">
        <f>SUMIFS('PCO Log'!$E42:$SJ42,'PCO Log'!$E$9:$SJ$9,'Graph Data'!AH$1,'PCO Log'!$E$7:$SJ$7,"Approved")</f>
        <v>0</v>
      </c>
      <c r="AI32" s="304">
        <f>SUMIFS('PCO Log'!$E42:$SJ42,'PCO Log'!$E$9:$SJ$9,'Graph Data'!AI$1,'PCO Log'!$E$7:$SJ$7,"Approved")</f>
        <v>0</v>
      </c>
      <c r="AJ32" s="304">
        <f>SUMIFS('PCO Log'!$E42:$SJ42,'PCO Log'!$E$9:$SJ$9,'Graph Data'!AJ$1,'PCO Log'!$E$7:$SJ$7,"Approved")</f>
        <v>0</v>
      </c>
      <c r="AK32" s="304">
        <f>SUMIFS('PCO Log'!$E42:$SJ42,'PCO Log'!$E$9:$SJ$9,'Graph Data'!AK$1,'PCO Log'!$E$7:$SJ$7,"Approved")</f>
        <v>0</v>
      </c>
      <c r="AL32" s="304">
        <f>SUMIFS('PCO Log'!$E42:$SJ42,'PCO Log'!$E$9:$SJ$9,'Graph Data'!AL$1,'PCO Log'!$E$7:$SJ$7,"Approved")</f>
        <v>0</v>
      </c>
      <c r="AM32" s="304">
        <f>SUMIFS('PCO Log'!$E42:$SJ42,'PCO Log'!$E$9:$SJ$9,'Graph Data'!AM$1,'PCO Log'!$E$7:$SJ$7,"Approved")</f>
        <v>0</v>
      </c>
      <c r="AN32" s="304">
        <f>SUMIFS('PCO Log'!$E42:$SJ42,'PCO Log'!$E$9:$SJ$9,'Graph Data'!AN$1,'PCO Log'!$E$7:$SJ$7,"Approved")</f>
        <v>0</v>
      </c>
      <c r="AO32" s="304">
        <f>SUMIFS('PCO Log'!$E42:$SJ42,'PCO Log'!$E$9:$SJ$9,'Graph Data'!AO$1,'PCO Log'!$E$7:$SJ$7,"Approved")</f>
        <v>0</v>
      </c>
      <c r="AP32" s="304">
        <f>SUMIFS('PCO Log'!$E42:$SJ42,'PCO Log'!$E$9:$SJ$9,'Graph Data'!AP$1,'PCO Log'!$E$7:$SJ$7,"Approved")</f>
        <v>0</v>
      </c>
      <c r="AQ32" s="304">
        <f>SUMIFS('PCO Log'!$E42:$SJ42,'PCO Log'!$E$9:$SJ$9,'Graph Data'!AQ$1,'PCO Log'!$E$7:$SJ$7,"Approved")</f>
        <v>0</v>
      </c>
      <c r="AR32" s="304">
        <f>SUMIFS('PCO Log'!$E42:$SJ42,'PCO Log'!$E$9:$SJ$9,'Graph Data'!AR$1,'PCO Log'!$E$7:$SJ$7,"Approved")</f>
        <v>0</v>
      </c>
      <c r="AS32" s="304">
        <f>SUMIFS('PCO Log'!$E42:$SJ42,'PCO Log'!$E$9:$SJ$9,'Graph Data'!AS$1,'PCO Log'!$E$7:$SJ$7,"Approved")</f>
        <v>0</v>
      </c>
      <c r="AT32" s="304">
        <f>SUMIFS('PCO Log'!$E42:$SJ42,'PCO Log'!$E$9:$SJ$9,'Graph Data'!AT$1,'PCO Log'!$E$7:$SJ$7,"Approved")</f>
        <v>0</v>
      </c>
      <c r="AU32" s="304">
        <f>SUMIFS('PCO Log'!$E42:$SJ42,'PCO Log'!$E$9:$SJ$9,'Graph Data'!AU$1,'PCO Log'!$E$7:$SJ$7,"Approved")</f>
        <v>0</v>
      </c>
      <c r="AV32" s="304">
        <f>SUMIFS('PCO Log'!$E42:$SJ42,'PCO Log'!$E$9:$SJ$9,'Graph Data'!AV$1,'PCO Log'!$E$7:$SJ$7,"Approved")</f>
        <v>0</v>
      </c>
      <c r="AW32" s="304">
        <f>SUMIFS('PCO Log'!$E42:$SJ42,'PCO Log'!$E$9:$SJ$9,'Graph Data'!AW$1,'PCO Log'!$E$7:$SJ$7,"Approved")</f>
        <v>0</v>
      </c>
      <c r="AX32" s="304">
        <f>SUMIFS('PCO Log'!$E42:$SJ42,'PCO Log'!$E$9:$SJ$9,'Graph Data'!AX$1,'PCO Log'!$E$7:$SJ$7,"Approved")</f>
        <v>0</v>
      </c>
      <c r="AY32" s="304">
        <f>SUMIFS('PCO Log'!$E42:$SJ42,'PCO Log'!$E$9:$SJ$9,'Graph Data'!AY$1,'PCO Log'!$E$7:$SJ$7,"Approved")</f>
        <v>0</v>
      </c>
      <c r="AZ32" s="304">
        <f>SUMIFS('PCO Log'!$E42:$SJ42,'PCO Log'!$E$9:$SJ$9,'Graph Data'!AZ$1,'PCO Log'!$E$7:$SJ$7,"Approved")</f>
        <v>0</v>
      </c>
      <c r="BA32" s="304">
        <f>SUMIFS('PCO Log'!$E42:$SJ42,'PCO Log'!$E$9:$SJ$9,'Graph Data'!BA$1,'PCO Log'!$E$7:$SJ$7,"Approved")</f>
        <v>0</v>
      </c>
      <c r="BB32" s="304">
        <f>SUMIFS('PCO Log'!$E42:$SJ42,'PCO Log'!$E$9:$SJ$9,'Graph Data'!BB$1,'PCO Log'!$E$7:$SJ$7,"Approved")</f>
        <v>0</v>
      </c>
      <c r="BC32" s="304">
        <f>SUMIFS('PCO Log'!$E42:$SJ42,'PCO Log'!$E$9:$SJ$9,'Graph Data'!BC$1,'PCO Log'!$E$7:$SJ$7,"Approved")</f>
        <v>0</v>
      </c>
      <c r="BD32" s="304">
        <f>SUMIFS('PCO Log'!$E42:$SJ42,'PCO Log'!$E$9:$SJ$9,'Graph Data'!BD$1,'PCO Log'!$E$7:$SJ$7,"Approved")</f>
        <v>0</v>
      </c>
      <c r="BE32" s="304">
        <f>SUMIFS('PCO Log'!$E42:$SJ42,'PCO Log'!$E$9:$SJ$9,'Graph Data'!BE$1,'PCO Log'!$E$7:$SJ$7,"Approved")</f>
        <v>0</v>
      </c>
      <c r="BF32" s="304">
        <f>SUMIFS('PCO Log'!$E42:$SJ42,'PCO Log'!$E$9:$SJ$9,'Graph Data'!BF$1,'PCO Log'!$E$7:$SJ$7,"Approved")</f>
        <v>0</v>
      </c>
      <c r="BG32" s="304">
        <f>SUMIFS('PCO Log'!$E42:$SJ42,'PCO Log'!$E$9:$SJ$9,'Graph Data'!BG$1,'PCO Log'!$E$7:$SJ$7,"Approved")</f>
        <v>0</v>
      </c>
      <c r="BH32" s="304">
        <f>SUMIFS('PCO Log'!$E42:$SJ42,'PCO Log'!$E$9:$SJ$9,'Graph Data'!BH$1,'PCO Log'!$E$7:$SJ$7,"Approved")</f>
        <v>0</v>
      </c>
      <c r="BI32" s="304">
        <f>SUMIFS('PCO Log'!$E42:$SJ42,'PCO Log'!$E$9:$SJ$9,'Graph Data'!BI$1,'PCO Log'!$E$7:$SJ$7,"Approved")</f>
        <v>0</v>
      </c>
      <c r="BJ32" s="304">
        <f>SUMIFS('PCO Log'!$E42:$SJ42,'PCO Log'!$E$9:$SJ$9,'Graph Data'!BJ$1,'PCO Log'!$E$7:$SJ$7,"Approved")</f>
        <v>0</v>
      </c>
      <c r="BK32" s="304">
        <f>SUMIFS('PCO Log'!$E42:$SJ42,'PCO Log'!$E$9:$SJ$9,'Graph Data'!BK$1,'PCO Log'!$E$7:$SJ$7,"Approved")</f>
        <v>0</v>
      </c>
      <c r="BL32" s="304">
        <f>SUMIFS('PCO Log'!$E42:$SJ42,'PCO Log'!$E$9:$SJ$9,'Graph Data'!BL$1,'PCO Log'!$E$7:$SJ$7,"Approved")</f>
        <v>0</v>
      </c>
      <c r="BM32" s="304">
        <f>SUMIFS('PCO Log'!$E42:$SJ42,'PCO Log'!$E$9:$SJ$9,'Graph Data'!BM$1,'PCO Log'!$E$7:$SJ$7,"Approved")</f>
        <v>0</v>
      </c>
      <c r="BN32" s="304">
        <f>SUMIFS('PCO Log'!$E42:$SJ42,'PCO Log'!$E$9:$SJ$9,'Graph Data'!BN$1,'PCO Log'!$E$7:$SJ$7,"Approved")</f>
        <v>0</v>
      </c>
      <c r="BO32" s="304">
        <f>SUMIFS('PCO Log'!$E42:$SJ42,'PCO Log'!$E$9:$SJ$9,'Graph Data'!BO$1,'PCO Log'!$E$7:$SJ$7,"Approved")</f>
        <v>0</v>
      </c>
      <c r="BP32" s="304">
        <f>SUMIFS('PCO Log'!$E42:$SJ42,'PCO Log'!$E$9:$SJ$9,'Graph Data'!BP$1,'PCO Log'!$E$7:$SJ$7,"Approved")</f>
        <v>0</v>
      </c>
      <c r="BQ32" s="304">
        <f>SUMIFS('PCO Log'!$E42:$SJ42,'PCO Log'!$E$9:$SJ$9,'Graph Data'!BQ$1,'PCO Log'!$E$7:$SJ$7,"Approved")</f>
        <v>0</v>
      </c>
      <c r="BR32" s="304">
        <f>SUMIFS('PCO Log'!$E42:$SJ42,'PCO Log'!$E$9:$SJ$9,'Graph Data'!BR$1,'PCO Log'!$E$7:$SJ$7,"Approved")</f>
        <v>0</v>
      </c>
      <c r="BS32" s="304">
        <f>SUMIFS('PCO Log'!$E42:$SJ42,'PCO Log'!$E$9:$SJ$9,'Graph Data'!BS$1,'PCO Log'!$E$7:$SJ$7,"Approved")</f>
        <v>0</v>
      </c>
      <c r="BT32" s="304">
        <f>SUMIFS('PCO Log'!$E42:$SJ42,'PCO Log'!$E$9:$SJ$9,'Graph Data'!BT$1,'PCO Log'!$E$7:$SJ$7,"Approved")</f>
        <v>0</v>
      </c>
      <c r="BU32" s="304">
        <f>SUMIFS('PCO Log'!$E42:$SJ42,'PCO Log'!$E$9:$SJ$9,'Graph Data'!BU$1,'PCO Log'!$E$7:$SJ$7,"Approved")</f>
        <v>0</v>
      </c>
      <c r="BV32" s="304">
        <f>SUMIFS('PCO Log'!$E42:$SJ42,'PCO Log'!$E$9:$SJ$9,'Graph Data'!BV$1,'PCO Log'!$E$7:$SJ$7,"Approved")</f>
        <v>0</v>
      </c>
      <c r="BW32" s="304">
        <f>SUMIFS('PCO Log'!$E42:$SJ42,'PCO Log'!$E$9:$SJ$9,'Graph Data'!BW$1,'PCO Log'!$E$7:$SJ$7,"Approved")</f>
        <v>0</v>
      </c>
      <c r="BX32" s="304">
        <f>SUMIFS('PCO Log'!$E42:$SJ42,'PCO Log'!$E$9:$SJ$9,'Graph Data'!BX$1,'PCO Log'!$E$7:$SJ$7,"Approved")</f>
        <v>0</v>
      </c>
    </row>
    <row r="33" spans="1:76" x14ac:dyDescent="0.25">
      <c r="A33" s="303" t="s">
        <v>373</v>
      </c>
      <c r="B33" s="303">
        <f>'PCO Log'!AJ7</f>
        <v>0</v>
      </c>
      <c r="C33" s="303">
        <f>'PCO Log'!AJ4</f>
        <v>0</v>
      </c>
      <c r="D33" s="303" cm="1">
        <f t="array" ref="D33">INDEX('PCO Log'!$E$5:$SJ$5, 1, ROWS('Graph Data'!$D$2:D33))</f>
        <v>0</v>
      </c>
      <c r="E33" s="303">
        <f>'PCO Log'!AJ8</f>
        <v>0</v>
      </c>
      <c r="F33" s="303">
        <f>'PCO Log'!AJ3</f>
        <v>0</v>
      </c>
      <c r="G33" s="304">
        <f>'PCO Log'!AJ10</f>
        <v>0</v>
      </c>
      <c r="H33" s="305">
        <f>'PCO Log'!AJ6</f>
        <v>0</v>
      </c>
      <c r="J33" s="303" t="s">
        <v>300</v>
      </c>
      <c r="K33" s="303">
        <f>'Pay App 32'!H33</f>
        <v>0</v>
      </c>
      <c r="L33" s="303">
        <f>IF(M33&gt;0,'Pay App 32'!$G$149,0)</f>
        <v>0</v>
      </c>
      <c r="M33" s="303">
        <f>'Pay App 32'!H149</f>
        <v>0</v>
      </c>
      <c r="O33" s="303" t="str">
        <f>'Pay App 1'!B88</f>
        <v>07 41 00</v>
      </c>
      <c r="P33" s="303" t="str">
        <f>'Pay App 1'!C88</f>
        <v>Roofing</v>
      </c>
      <c r="Q33" s="304">
        <f>SUMIFS('PCO Log'!$E43:$SJ43,'PCO Log'!$E$9:$SJ$9,'Graph Data'!Q$1,'PCO Log'!$E$7:$SJ$7,"Approved")</f>
        <v>0</v>
      </c>
      <c r="R33" s="304">
        <f>SUMIFS('PCO Log'!$E43:$SJ43,'PCO Log'!$E$9:$SJ$9,'Graph Data'!R$1,'PCO Log'!$E$7:$SJ$7,"Approved")</f>
        <v>0</v>
      </c>
      <c r="S33" s="304">
        <f>SUMIFS('PCO Log'!$E43:$SJ43,'PCO Log'!$E$9:$SJ$9,'Graph Data'!S$1,'PCO Log'!$E$7:$SJ$7,"Approved")</f>
        <v>0</v>
      </c>
      <c r="T33" s="304">
        <f>SUMIFS('PCO Log'!$E43:$SJ43,'PCO Log'!$E$9:$SJ$9,'Graph Data'!T$1,'PCO Log'!$E$7:$SJ$7,"Approved")</f>
        <v>0</v>
      </c>
      <c r="U33" s="304">
        <f>SUMIFS('PCO Log'!$E43:$SJ43,'PCO Log'!$E$9:$SJ$9,'Graph Data'!U$1,'PCO Log'!$E$7:$SJ$7,"Approved")</f>
        <v>0</v>
      </c>
      <c r="V33" s="304">
        <f>SUMIFS('PCO Log'!$E43:$SJ43,'PCO Log'!$E$9:$SJ$9,'Graph Data'!V$1,'PCO Log'!$E$7:$SJ$7,"Approved")</f>
        <v>0</v>
      </c>
      <c r="W33" s="304">
        <f>SUMIFS('PCO Log'!$E43:$SJ43,'PCO Log'!$E$9:$SJ$9,'Graph Data'!W$1,'PCO Log'!$E$7:$SJ$7,"Approved")</f>
        <v>0</v>
      </c>
      <c r="X33" s="304">
        <f>SUMIFS('PCO Log'!$E43:$SJ43,'PCO Log'!$E$9:$SJ$9,'Graph Data'!X$1,'PCO Log'!$E$7:$SJ$7,"Approved")</f>
        <v>0</v>
      </c>
      <c r="Y33" s="304">
        <f>SUMIFS('PCO Log'!$E43:$SJ43,'PCO Log'!$E$9:$SJ$9,'Graph Data'!Y$1,'PCO Log'!$E$7:$SJ$7,"Approved")</f>
        <v>0</v>
      </c>
      <c r="Z33" s="304">
        <f>SUMIFS('PCO Log'!$E43:$SJ43,'PCO Log'!$E$9:$SJ$9,'Graph Data'!Z$1,'PCO Log'!$E$7:$SJ$7,"Approved")</f>
        <v>0</v>
      </c>
      <c r="AA33" s="304">
        <f>SUMIFS('PCO Log'!$E43:$SJ43,'PCO Log'!$E$9:$SJ$9,'Graph Data'!AA$1,'PCO Log'!$E$7:$SJ$7,"Approved")</f>
        <v>0</v>
      </c>
      <c r="AB33" s="304">
        <f>SUMIFS('PCO Log'!$E43:$SJ43,'PCO Log'!$E$9:$SJ$9,'Graph Data'!AB$1,'PCO Log'!$E$7:$SJ$7,"Approved")</f>
        <v>0</v>
      </c>
      <c r="AC33" s="304">
        <f>SUMIFS('PCO Log'!$E43:$SJ43,'PCO Log'!$E$9:$SJ$9,'Graph Data'!AC$1,'PCO Log'!$E$7:$SJ$7,"Approved")</f>
        <v>0</v>
      </c>
      <c r="AD33" s="304">
        <f>SUMIFS('PCO Log'!$E43:$SJ43,'PCO Log'!$E$9:$SJ$9,'Graph Data'!AD$1,'PCO Log'!$E$7:$SJ$7,"Approved")</f>
        <v>0</v>
      </c>
      <c r="AE33" s="304">
        <f>SUMIFS('PCO Log'!$E43:$SJ43,'PCO Log'!$E$9:$SJ$9,'Graph Data'!AE$1,'PCO Log'!$E$7:$SJ$7,"Approved")</f>
        <v>0</v>
      </c>
      <c r="AF33" s="304">
        <f>SUMIFS('PCO Log'!$E43:$SJ43,'PCO Log'!$E$9:$SJ$9,'Graph Data'!AF$1,'PCO Log'!$E$7:$SJ$7,"Approved")</f>
        <v>0</v>
      </c>
      <c r="AG33" s="304">
        <f>SUMIFS('PCO Log'!$E43:$SJ43,'PCO Log'!$E$9:$SJ$9,'Graph Data'!AG$1,'PCO Log'!$E$7:$SJ$7,"Approved")</f>
        <v>0</v>
      </c>
      <c r="AH33" s="304">
        <f>SUMIFS('PCO Log'!$E43:$SJ43,'PCO Log'!$E$9:$SJ$9,'Graph Data'!AH$1,'PCO Log'!$E$7:$SJ$7,"Approved")</f>
        <v>0</v>
      </c>
      <c r="AI33" s="304">
        <f>SUMIFS('PCO Log'!$E43:$SJ43,'PCO Log'!$E$9:$SJ$9,'Graph Data'!AI$1,'PCO Log'!$E$7:$SJ$7,"Approved")</f>
        <v>0</v>
      </c>
      <c r="AJ33" s="304">
        <f>SUMIFS('PCO Log'!$E43:$SJ43,'PCO Log'!$E$9:$SJ$9,'Graph Data'!AJ$1,'PCO Log'!$E$7:$SJ$7,"Approved")</f>
        <v>0</v>
      </c>
      <c r="AK33" s="304">
        <f>SUMIFS('PCO Log'!$E43:$SJ43,'PCO Log'!$E$9:$SJ$9,'Graph Data'!AK$1,'PCO Log'!$E$7:$SJ$7,"Approved")</f>
        <v>0</v>
      </c>
      <c r="AL33" s="304">
        <f>SUMIFS('PCO Log'!$E43:$SJ43,'PCO Log'!$E$9:$SJ$9,'Graph Data'!AL$1,'PCO Log'!$E$7:$SJ$7,"Approved")</f>
        <v>0</v>
      </c>
      <c r="AM33" s="304">
        <f>SUMIFS('PCO Log'!$E43:$SJ43,'PCO Log'!$E$9:$SJ$9,'Graph Data'!AM$1,'PCO Log'!$E$7:$SJ$7,"Approved")</f>
        <v>0</v>
      </c>
      <c r="AN33" s="304">
        <f>SUMIFS('PCO Log'!$E43:$SJ43,'PCO Log'!$E$9:$SJ$9,'Graph Data'!AN$1,'PCO Log'!$E$7:$SJ$7,"Approved")</f>
        <v>0</v>
      </c>
      <c r="AO33" s="304">
        <f>SUMIFS('PCO Log'!$E43:$SJ43,'PCO Log'!$E$9:$SJ$9,'Graph Data'!AO$1,'PCO Log'!$E$7:$SJ$7,"Approved")</f>
        <v>0</v>
      </c>
      <c r="AP33" s="304">
        <f>SUMIFS('PCO Log'!$E43:$SJ43,'PCO Log'!$E$9:$SJ$9,'Graph Data'!AP$1,'PCO Log'!$E$7:$SJ$7,"Approved")</f>
        <v>0</v>
      </c>
      <c r="AQ33" s="304">
        <f>SUMIFS('PCO Log'!$E43:$SJ43,'PCO Log'!$E$9:$SJ$9,'Graph Data'!AQ$1,'PCO Log'!$E$7:$SJ$7,"Approved")</f>
        <v>0</v>
      </c>
      <c r="AR33" s="304">
        <f>SUMIFS('PCO Log'!$E43:$SJ43,'PCO Log'!$E$9:$SJ$9,'Graph Data'!AR$1,'PCO Log'!$E$7:$SJ$7,"Approved")</f>
        <v>0</v>
      </c>
      <c r="AS33" s="304">
        <f>SUMIFS('PCO Log'!$E43:$SJ43,'PCO Log'!$E$9:$SJ$9,'Graph Data'!AS$1,'PCO Log'!$E$7:$SJ$7,"Approved")</f>
        <v>0</v>
      </c>
      <c r="AT33" s="304">
        <f>SUMIFS('PCO Log'!$E43:$SJ43,'PCO Log'!$E$9:$SJ$9,'Graph Data'!AT$1,'PCO Log'!$E$7:$SJ$7,"Approved")</f>
        <v>0</v>
      </c>
      <c r="AU33" s="304">
        <f>SUMIFS('PCO Log'!$E43:$SJ43,'PCO Log'!$E$9:$SJ$9,'Graph Data'!AU$1,'PCO Log'!$E$7:$SJ$7,"Approved")</f>
        <v>0</v>
      </c>
      <c r="AV33" s="304">
        <f>SUMIFS('PCO Log'!$E43:$SJ43,'PCO Log'!$E$9:$SJ$9,'Graph Data'!AV$1,'PCO Log'!$E$7:$SJ$7,"Approved")</f>
        <v>0</v>
      </c>
      <c r="AW33" s="304">
        <f>SUMIFS('PCO Log'!$E43:$SJ43,'PCO Log'!$E$9:$SJ$9,'Graph Data'!AW$1,'PCO Log'!$E$7:$SJ$7,"Approved")</f>
        <v>0</v>
      </c>
      <c r="AX33" s="304">
        <f>SUMIFS('PCO Log'!$E43:$SJ43,'PCO Log'!$E$9:$SJ$9,'Graph Data'!AX$1,'PCO Log'!$E$7:$SJ$7,"Approved")</f>
        <v>0</v>
      </c>
      <c r="AY33" s="304">
        <f>SUMIFS('PCO Log'!$E43:$SJ43,'PCO Log'!$E$9:$SJ$9,'Graph Data'!AY$1,'PCO Log'!$E$7:$SJ$7,"Approved")</f>
        <v>0</v>
      </c>
      <c r="AZ33" s="304">
        <f>SUMIFS('PCO Log'!$E43:$SJ43,'PCO Log'!$E$9:$SJ$9,'Graph Data'!AZ$1,'PCO Log'!$E$7:$SJ$7,"Approved")</f>
        <v>0</v>
      </c>
      <c r="BA33" s="304">
        <f>SUMIFS('PCO Log'!$E43:$SJ43,'PCO Log'!$E$9:$SJ$9,'Graph Data'!BA$1,'PCO Log'!$E$7:$SJ$7,"Approved")</f>
        <v>0</v>
      </c>
      <c r="BB33" s="304">
        <f>SUMIFS('PCO Log'!$E43:$SJ43,'PCO Log'!$E$9:$SJ$9,'Graph Data'!BB$1,'PCO Log'!$E$7:$SJ$7,"Approved")</f>
        <v>0</v>
      </c>
      <c r="BC33" s="304">
        <f>SUMIFS('PCO Log'!$E43:$SJ43,'PCO Log'!$E$9:$SJ$9,'Graph Data'!BC$1,'PCO Log'!$E$7:$SJ$7,"Approved")</f>
        <v>0</v>
      </c>
      <c r="BD33" s="304">
        <f>SUMIFS('PCO Log'!$E43:$SJ43,'PCO Log'!$E$9:$SJ$9,'Graph Data'!BD$1,'PCO Log'!$E$7:$SJ$7,"Approved")</f>
        <v>0</v>
      </c>
      <c r="BE33" s="304">
        <f>SUMIFS('PCO Log'!$E43:$SJ43,'PCO Log'!$E$9:$SJ$9,'Graph Data'!BE$1,'PCO Log'!$E$7:$SJ$7,"Approved")</f>
        <v>0</v>
      </c>
      <c r="BF33" s="304">
        <f>SUMIFS('PCO Log'!$E43:$SJ43,'PCO Log'!$E$9:$SJ$9,'Graph Data'!BF$1,'PCO Log'!$E$7:$SJ$7,"Approved")</f>
        <v>0</v>
      </c>
      <c r="BG33" s="304">
        <f>SUMIFS('PCO Log'!$E43:$SJ43,'PCO Log'!$E$9:$SJ$9,'Graph Data'!BG$1,'PCO Log'!$E$7:$SJ$7,"Approved")</f>
        <v>0</v>
      </c>
      <c r="BH33" s="304">
        <f>SUMIFS('PCO Log'!$E43:$SJ43,'PCO Log'!$E$9:$SJ$9,'Graph Data'!BH$1,'PCO Log'!$E$7:$SJ$7,"Approved")</f>
        <v>0</v>
      </c>
      <c r="BI33" s="304">
        <f>SUMIFS('PCO Log'!$E43:$SJ43,'PCO Log'!$E$9:$SJ$9,'Graph Data'!BI$1,'PCO Log'!$E$7:$SJ$7,"Approved")</f>
        <v>0</v>
      </c>
      <c r="BJ33" s="304">
        <f>SUMIFS('PCO Log'!$E43:$SJ43,'PCO Log'!$E$9:$SJ$9,'Graph Data'!BJ$1,'PCO Log'!$E$7:$SJ$7,"Approved")</f>
        <v>0</v>
      </c>
      <c r="BK33" s="304">
        <f>SUMIFS('PCO Log'!$E43:$SJ43,'PCO Log'!$E$9:$SJ$9,'Graph Data'!BK$1,'PCO Log'!$E$7:$SJ$7,"Approved")</f>
        <v>0</v>
      </c>
      <c r="BL33" s="304">
        <f>SUMIFS('PCO Log'!$E43:$SJ43,'PCO Log'!$E$9:$SJ$9,'Graph Data'!BL$1,'PCO Log'!$E$7:$SJ$7,"Approved")</f>
        <v>0</v>
      </c>
      <c r="BM33" s="304">
        <f>SUMIFS('PCO Log'!$E43:$SJ43,'PCO Log'!$E$9:$SJ$9,'Graph Data'!BM$1,'PCO Log'!$E$7:$SJ$7,"Approved")</f>
        <v>0</v>
      </c>
      <c r="BN33" s="304">
        <f>SUMIFS('PCO Log'!$E43:$SJ43,'PCO Log'!$E$9:$SJ$9,'Graph Data'!BN$1,'PCO Log'!$E$7:$SJ$7,"Approved")</f>
        <v>0</v>
      </c>
      <c r="BO33" s="304">
        <f>SUMIFS('PCO Log'!$E43:$SJ43,'PCO Log'!$E$9:$SJ$9,'Graph Data'!BO$1,'PCO Log'!$E$7:$SJ$7,"Approved")</f>
        <v>0</v>
      </c>
      <c r="BP33" s="304">
        <f>SUMIFS('PCO Log'!$E43:$SJ43,'PCO Log'!$E$9:$SJ$9,'Graph Data'!BP$1,'PCO Log'!$E$7:$SJ$7,"Approved")</f>
        <v>0</v>
      </c>
      <c r="BQ33" s="304">
        <f>SUMIFS('PCO Log'!$E43:$SJ43,'PCO Log'!$E$9:$SJ$9,'Graph Data'!BQ$1,'PCO Log'!$E$7:$SJ$7,"Approved")</f>
        <v>0</v>
      </c>
      <c r="BR33" s="304">
        <f>SUMIFS('PCO Log'!$E43:$SJ43,'PCO Log'!$E$9:$SJ$9,'Graph Data'!BR$1,'PCO Log'!$E$7:$SJ$7,"Approved")</f>
        <v>0</v>
      </c>
      <c r="BS33" s="304">
        <f>SUMIFS('PCO Log'!$E43:$SJ43,'PCO Log'!$E$9:$SJ$9,'Graph Data'!BS$1,'PCO Log'!$E$7:$SJ$7,"Approved")</f>
        <v>0</v>
      </c>
      <c r="BT33" s="304">
        <f>SUMIFS('PCO Log'!$E43:$SJ43,'PCO Log'!$E$9:$SJ$9,'Graph Data'!BT$1,'PCO Log'!$E$7:$SJ$7,"Approved")</f>
        <v>0</v>
      </c>
      <c r="BU33" s="304">
        <f>SUMIFS('PCO Log'!$E43:$SJ43,'PCO Log'!$E$9:$SJ$9,'Graph Data'!BU$1,'PCO Log'!$E$7:$SJ$7,"Approved")</f>
        <v>0</v>
      </c>
      <c r="BV33" s="304">
        <f>SUMIFS('PCO Log'!$E43:$SJ43,'PCO Log'!$E$9:$SJ$9,'Graph Data'!BV$1,'PCO Log'!$E$7:$SJ$7,"Approved")</f>
        <v>0</v>
      </c>
      <c r="BW33" s="304">
        <f>SUMIFS('PCO Log'!$E43:$SJ43,'PCO Log'!$E$9:$SJ$9,'Graph Data'!BW$1,'PCO Log'!$E$7:$SJ$7,"Approved")</f>
        <v>0</v>
      </c>
      <c r="BX33" s="304">
        <f>SUMIFS('PCO Log'!$E43:$SJ43,'PCO Log'!$E$9:$SJ$9,'Graph Data'!BX$1,'PCO Log'!$E$7:$SJ$7,"Approved")</f>
        <v>0</v>
      </c>
    </row>
    <row r="34" spans="1:76" x14ac:dyDescent="0.25">
      <c r="A34" s="303" t="s">
        <v>374</v>
      </c>
      <c r="B34" s="303">
        <f>'PCO Log'!AK7</f>
        <v>0</v>
      </c>
      <c r="C34" s="303">
        <f>'PCO Log'!AK4</f>
        <v>0</v>
      </c>
      <c r="D34" s="303" cm="1">
        <f t="array" ref="D34">INDEX('PCO Log'!$E$5:$SJ$5, 1, ROWS('Graph Data'!$D$2:D34))</f>
        <v>0</v>
      </c>
      <c r="E34" s="303">
        <f>'PCO Log'!AK8</f>
        <v>0</v>
      </c>
      <c r="F34" s="303">
        <f>'PCO Log'!AK3</f>
        <v>0</v>
      </c>
      <c r="G34" s="304">
        <f>'PCO Log'!AK10</f>
        <v>0</v>
      </c>
      <c r="H34" s="305">
        <f>'PCO Log'!AK6</f>
        <v>0</v>
      </c>
      <c r="J34" s="303" t="s">
        <v>301</v>
      </c>
      <c r="K34" s="303">
        <f>'Pay App 33'!H33</f>
        <v>0</v>
      </c>
      <c r="L34" s="303">
        <f>IF(M34&gt;0,'Pay App 33'!$G$149,0)</f>
        <v>0</v>
      </c>
      <c r="M34" s="303">
        <f>'Pay App 33'!H149</f>
        <v>0</v>
      </c>
      <c r="O34" s="303" t="str">
        <f>'Pay App 1'!B89</f>
        <v>07 42 00</v>
      </c>
      <c r="P34" s="303" t="str">
        <f>'Pay App 1'!C89</f>
        <v>Metal Panels</v>
      </c>
      <c r="Q34" s="304">
        <f>SUMIFS('PCO Log'!$E44:$SJ44,'PCO Log'!$E$9:$SJ$9,'Graph Data'!Q$1,'PCO Log'!$E$7:$SJ$7,"Approved")</f>
        <v>0</v>
      </c>
      <c r="R34" s="304">
        <f>SUMIFS('PCO Log'!$E44:$SJ44,'PCO Log'!$E$9:$SJ$9,'Graph Data'!R$1,'PCO Log'!$E$7:$SJ$7,"Approved")</f>
        <v>0</v>
      </c>
      <c r="S34" s="304">
        <f>SUMIFS('PCO Log'!$E44:$SJ44,'PCO Log'!$E$9:$SJ$9,'Graph Data'!S$1,'PCO Log'!$E$7:$SJ$7,"Approved")</f>
        <v>0</v>
      </c>
      <c r="T34" s="304">
        <f>SUMIFS('PCO Log'!$E44:$SJ44,'PCO Log'!$E$9:$SJ$9,'Graph Data'!T$1,'PCO Log'!$E$7:$SJ$7,"Approved")</f>
        <v>0</v>
      </c>
      <c r="U34" s="304">
        <f>SUMIFS('PCO Log'!$E44:$SJ44,'PCO Log'!$E$9:$SJ$9,'Graph Data'!U$1,'PCO Log'!$E$7:$SJ$7,"Approved")</f>
        <v>0</v>
      </c>
      <c r="V34" s="304">
        <f>SUMIFS('PCO Log'!$E44:$SJ44,'PCO Log'!$E$9:$SJ$9,'Graph Data'!V$1,'PCO Log'!$E$7:$SJ$7,"Approved")</f>
        <v>0</v>
      </c>
      <c r="W34" s="304">
        <f>SUMIFS('PCO Log'!$E44:$SJ44,'PCO Log'!$E$9:$SJ$9,'Graph Data'!W$1,'PCO Log'!$E$7:$SJ$7,"Approved")</f>
        <v>0</v>
      </c>
      <c r="X34" s="304">
        <f>SUMIFS('PCO Log'!$E44:$SJ44,'PCO Log'!$E$9:$SJ$9,'Graph Data'!X$1,'PCO Log'!$E$7:$SJ$7,"Approved")</f>
        <v>0</v>
      </c>
      <c r="Y34" s="304">
        <f>SUMIFS('PCO Log'!$E44:$SJ44,'PCO Log'!$E$9:$SJ$9,'Graph Data'!Y$1,'PCO Log'!$E$7:$SJ$7,"Approved")</f>
        <v>0</v>
      </c>
      <c r="Z34" s="304">
        <f>SUMIFS('PCO Log'!$E44:$SJ44,'PCO Log'!$E$9:$SJ$9,'Graph Data'!Z$1,'PCO Log'!$E$7:$SJ$7,"Approved")</f>
        <v>0</v>
      </c>
      <c r="AA34" s="304">
        <f>SUMIFS('PCO Log'!$E44:$SJ44,'PCO Log'!$E$9:$SJ$9,'Graph Data'!AA$1,'PCO Log'!$E$7:$SJ$7,"Approved")</f>
        <v>0</v>
      </c>
      <c r="AB34" s="304">
        <f>SUMIFS('PCO Log'!$E44:$SJ44,'PCO Log'!$E$9:$SJ$9,'Graph Data'!AB$1,'PCO Log'!$E$7:$SJ$7,"Approved")</f>
        <v>0</v>
      </c>
      <c r="AC34" s="304">
        <f>SUMIFS('PCO Log'!$E44:$SJ44,'PCO Log'!$E$9:$SJ$9,'Graph Data'!AC$1,'PCO Log'!$E$7:$SJ$7,"Approved")</f>
        <v>0</v>
      </c>
      <c r="AD34" s="304">
        <f>SUMIFS('PCO Log'!$E44:$SJ44,'PCO Log'!$E$9:$SJ$9,'Graph Data'!AD$1,'PCO Log'!$E$7:$SJ$7,"Approved")</f>
        <v>0</v>
      </c>
      <c r="AE34" s="304">
        <f>SUMIFS('PCO Log'!$E44:$SJ44,'PCO Log'!$E$9:$SJ$9,'Graph Data'!AE$1,'PCO Log'!$E$7:$SJ$7,"Approved")</f>
        <v>0</v>
      </c>
      <c r="AF34" s="304">
        <f>SUMIFS('PCO Log'!$E44:$SJ44,'PCO Log'!$E$9:$SJ$9,'Graph Data'!AF$1,'PCO Log'!$E$7:$SJ$7,"Approved")</f>
        <v>0</v>
      </c>
      <c r="AG34" s="304">
        <f>SUMIFS('PCO Log'!$E44:$SJ44,'PCO Log'!$E$9:$SJ$9,'Graph Data'!AG$1,'PCO Log'!$E$7:$SJ$7,"Approved")</f>
        <v>0</v>
      </c>
      <c r="AH34" s="304">
        <f>SUMIFS('PCO Log'!$E44:$SJ44,'PCO Log'!$E$9:$SJ$9,'Graph Data'!AH$1,'PCO Log'!$E$7:$SJ$7,"Approved")</f>
        <v>0</v>
      </c>
      <c r="AI34" s="304">
        <f>SUMIFS('PCO Log'!$E44:$SJ44,'PCO Log'!$E$9:$SJ$9,'Graph Data'!AI$1,'PCO Log'!$E$7:$SJ$7,"Approved")</f>
        <v>0</v>
      </c>
      <c r="AJ34" s="304">
        <f>SUMIFS('PCO Log'!$E44:$SJ44,'PCO Log'!$E$9:$SJ$9,'Graph Data'!AJ$1,'PCO Log'!$E$7:$SJ$7,"Approved")</f>
        <v>0</v>
      </c>
      <c r="AK34" s="304">
        <f>SUMIFS('PCO Log'!$E44:$SJ44,'PCO Log'!$E$9:$SJ$9,'Graph Data'!AK$1,'PCO Log'!$E$7:$SJ$7,"Approved")</f>
        <v>0</v>
      </c>
      <c r="AL34" s="304">
        <f>SUMIFS('PCO Log'!$E44:$SJ44,'PCO Log'!$E$9:$SJ$9,'Graph Data'!AL$1,'PCO Log'!$E$7:$SJ$7,"Approved")</f>
        <v>0</v>
      </c>
      <c r="AM34" s="304">
        <f>SUMIFS('PCO Log'!$E44:$SJ44,'PCO Log'!$E$9:$SJ$9,'Graph Data'!AM$1,'PCO Log'!$E$7:$SJ$7,"Approved")</f>
        <v>0</v>
      </c>
      <c r="AN34" s="304">
        <f>SUMIFS('PCO Log'!$E44:$SJ44,'PCO Log'!$E$9:$SJ$9,'Graph Data'!AN$1,'PCO Log'!$E$7:$SJ$7,"Approved")</f>
        <v>0</v>
      </c>
      <c r="AO34" s="304">
        <f>SUMIFS('PCO Log'!$E44:$SJ44,'PCO Log'!$E$9:$SJ$9,'Graph Data'!AO$1,'PCO Log'!$E$7:$SJ$7,"Approved")</f>
        <v>0</v>
      </c>
      <c r="AP34" s="304">
        <f>SUMIFS('PCO Log'!$E44:$SJ44,'PCO Log'!$E$9:$SJ$9,'Graph Data'!AP$1,'PCO Log'!$E$7:$SJ$7,"Approved")</f>
        <v>0</v>
      </c>
      <c r="AQ34" s="304">
        <f>SUMIFS('PCO Log'!$E44:$SJ44,'PCO Log'!$E$9:$SJ$9,'Graph Data'!AQ$1,'PCO Log'!$E$7:$SJ$7,"Approved")</f>
        <v>0</v>
      </c>
      <c r="AR34" s="304">
        <f>SUMIFS('PCO Log'!$E44:$SJ44,'PCO Log'!$E$9:$SJ$9,'Graph Data'!AR$1,'PCO Log'!$E$7:$SJ$7,"Approved")</f>
        <v>0</v>
      </c>
      <c r="AS34" s="304">
        <f>SUMIFS('PCO Log'!$E44:$SJ44,'PCO Log'!$E$9:$SJ$9,'Graph Data'!AS$1,'PCO Log'!$E$7:$SJ$7,"Approved")</f>
        <v>0</v>
      </c>
      <c r="AT34" s="304">
        <f>SUMIFS('PCO Log'!$E44:$SJ44,'PCO Log'!$E$9:$SJ$9,'Graph Data'!AT$1,'PCO Log'!$E$7:$SJ$7,"Approved")</f>
        <v>0</v>
      </c>
      <c r="AU34" s="304">
        <f>SUMIFS('PCO Log'!$E44:$SJ44,'PCO Log'!$E$9:$SJ$9,'Graph Data'!AU$1,'PCO Log'!$E$7:$SJ$7,"Approved")</f>
        <v>0</v>
      </c>
      <c r="AV34" s="304">
        <f>SUMIFS('PCO Log'!$E44:$SJ44,'PCO Log'!$E$9:$SJ$9,'Graph Data'!AV$1,'PCO Log'!$E$7:$SJ$7,"Approved")</f>
        <v>0</v>
      </c>
      <c r="AW34" s="304">
        <f>SUMIFS('PCO Log'!$E44:$SJ44,'PCO Log'!$E$9:$SJ$9,'Graph Data'!AW$1,'PCO Log'!$E$7:$SJ$7,"Approved")</f>
        <v>0</v>
      </c>
      <c r="AX34" s="304">
        <f>SUMIFS('PCO Log'!$E44:$SJ44,'PCO Log'!$E$9:$SJ$9,'Graph Data'!AX$1,'PCO Log'!$E$7:$SJ$7,"Approved")</f>
        <v>0</v>
      </c>
      <c r="AY34" s="304">
        <f>SUMIFS('PCO Log'!$E44:$SJ44,'PCO Log'!$E$9:$SJ$9,'Graph Data'!AY$1,'PCO Log'!$E$7:$SJ$7,"Approved")</f>
        <v>0</v>
      </c>
      <c r="AZ34" s="304">
        <f>SUMIFS('PCO Log'!$E44:$SJ44,'PCO Log'!$E$9:$SJ$9,'Graph Data'!AZ$1,'PCO Log'!$E$7:$SJ$7,"Approved")</f>
        <v>0</v>
      </c>
      <c r="BA34" s="304">
        <f>SUMIFS('PCO Log'!$E44:$SJ44,'PCO Log'!$E$9:$SJ$9,'Graph Data'!BA$1,'PCO Log'!$E$7:$SJ$7,"Approved")</f>
        <v>0</v>
      </c>
      <c r="BB34" s="304">
        <f>SUMIFS('PCO Log'!$E44:$SJ44,'PCO Log'!$E$9:$SJ$9,'Graph Data'!BB$1,'PCO Log'!$E$7:$SJ$7,"Approved")</f>
        <v>0</v>
      </c>
      <c r="BC34" s="304">
        <f>SUMIFS('PCO Log'!$E44:$SJ44,'PCO Log'!$E$9:$SJ$9,'Graph Data'!BC$1,'PCO Log'!$E$7:$SJ$7,"Approved")</f>
        <v>0</v>
      </c>
      <c r="BD34" s="304">
        <f>SUMIFS('PCO Log'!$E44:$SJ44,'PCO Log'!$E$9:$SJ$9,'Graph Data'!BD$1,'PCO Log'!$E$7:$SJ$7,"Approved")</f>
        <v>0</v>
      </c>
      <c r="BE34" s="304">
        <f>SUMIFS('PCO Log'!$E44:$SJ44,'PCO Log'!$E$9:$SJ$9,'Graph Data'!BE$1,'PCO Log'!$E$7:$SJ$7,"Approved")</f>
        <v>0</v>
      </c>
      <c r="BF34" s="304">
        <f>SUMIFS('PCO Log'!$E44:$SJ44,'PCO Log'!$E$9:$SJ$9,'Graph Data'!BF$1,'PCO Log'!$E$7:$SJ$7,"Approved")</f>
        <v>0</v>
      </c>
      <c r="BG34" s="304">
        <f>SUMIFS('PCO Log'!$E44:$SJ44,'PCO Log'!$E$9:$SJ$9,'Graph Data'!BG$1,'PCO Log'!$E$7:$SJ$7,"Approved")</f>
        <v>0</v>
      </c>
      <c r="BH34" s="304">
        <f>SUMIFS('PCO Log'!$E44:$SJ44,'PCO Log'!$E$9:$SJ$9,'Graph Data'!BH$1,'PCO Log'!$E$7:$SJ$7,"Approved")</f>
        <v>0</v>
      </c>
      <c r="BI34" s="304">
        <f>SUMIFS('PCO Log'!$E44:$SJ44,'PCO Log'!$E$9:$SJ$9,'Graph Data'!BI$1,'PCO Log'!$E$7:$SJ$7,"Approved")</f>
        <v>0</v>
      </c>
      <c r="BJ34" s="304">
        <f>SUMIFS('PCO Log'!$E44:$SJ44,'PCO Log'!$E$9:$SJ$9,'Graph Data'!BJ$1,'PCO Log'!$E$7:$SJ$7,"Approved")</f>
        <v>0</v>
      </c>
      <c r="BK34" s="304">
        <f>SUMIFS('PCO Log'!$E44:$SJ44,'PCO Log'!$E$9:$SJ$9,'Graph Data'!BK$1,'PCO Log'!$E$7:$SJ$7,"Approved")</f>
        <v>0</v>
      </c>
      <c r="BL34" s="304">
        <f>SUMIFS('PCO Log'!$E44:$SJ44,'PCO Log'!$E$9:$SJ$9,'Graph Data'!BL$1,'PCO Log'!$E$7:$SJ$7,"Approved")</f>
        <v>0</v>
      </c>
      <c r="BM34" s="304">
        <f>SUMIFS('PCO Log'!$E44:$SJ44,'PCO Log'!$E$9:$SJ$9,'Graph Data'!BM$1,'PCO Log'!$E$7:$SJ$7,"Approved")</f>
        <v>0</v>
      </c>
      <c r="BN34" s="304">
        <f>SUMIFS('PCO Log'!$E44:$SJ44,'PCO Log'!$E$9:$SJ$9,'Graph Data'!BN$1,'PCO Log'!$E$7:$SJ$7,"Approved")</f>
        <v>0</v>
      </c>
      <c r="BO34" s="304">
        <f>SUMIFS('PCO Log'!$E44:$SJ44,'PCO Log'!$E$9:$SJ$9,'Graph Data'!BO$1,'PCO Log'!$E$7:$SJ$7,"Approved")</f>
        <v>0</v>
      </c>
      <c r="BP34" s="304">
        <f>SUMIFS('PCO Log'!$E44:$SJ44,'PCO Log'!$E$9:$SJ$9,'Graph Data'!BP$1,'PCO Log'!$E$7:$SJ$7,"Approved")</f>
        <v>0</v>
      </c>
      <c r="BQ34" s="304">
        <f>SUMIFS('PCO Log'!$E44:$SJ44,'PCO Log'!$E$9:$SJ$9,'Graph Data'!BQ$1,'PCO Log'!$E$7:$SJ$7,"Approved")</f>
        <v>0</v>
      </c>
      <c r="BR34" s="304">
        <f>SUMIFS('PCO Log'!$E44:$SJ44,'PCO Log'!$E$9:$SJ$9,'Graph Data'!BR$1,'PCO Log'!$E$7:$SJ$7,"Approved")</f>
        <v>0</v>
      </c>
      <c r="BS34" s="304">
        <f>SUMIFS('PCO Log'!$E44:$SJ44,'PCO Log'!$E$9:$SJ$9,'Graph Data'!BS$1,'PCO Log'!$E$7:$SJ$7,"Approved")</f>
        <v>0</v>
      </c>
      <c r="BT34" s="304">
        <f>SUMIFS('PCO Log'!$E44:$SJ44,'PCO Log'!$E$9:$SJ$9,'Graph Data'!BT$1,'PCO Log'!$E$7:$SJ$7,"Approved")</f>
        <v>0</v>
      </c>
      <c r="BU34" s="304">
        <f>SUMIFS('PCO Log'!$E44:$SJ44,'PCO Log'!$E$9:$SJ$9,'Graph Data'!BU$1,'PCO Log'!$E$7:$SJ$7,"Approved")</f>
        <v>0</v>
      </c>
      <c r="BV34" s="304">
        <f>SUMIFS('PCO Log'!$E44:$SJ44,'PCO Log'!$E$9:$SJ$9,'Graph Data'!BV$1,'PCO Log'!$E$7:$SJ$7,"Approved")</f>
        <v>0</v>
      </c>
      <c r="BW34" s="304">
        <f>SUMIFS('PCO Log'!$E44:$SJ44,'PCO Log'!$E$9:$SJ$9,'Graph Data'!BW$1,'PCO Log'!$E$7:$SJ$7,"Approved")</f>
        <v>0</v>
      </c>
      <c r="BX34" s="304">
        <f>SUMIFS('PCO Log'!$E44:$SJ44,'PCO Log'!$E$9:$SJ$9,'Graph Data'!BX$1,'PCO Log'!$E$7:$SJ$7,"Approved")</f>
        <v>0</v>
      </c>
    </row>
    <row r="35" spans="1:76" x14ac:dyDescent="0.25">
      <c r="A35" s="303" t="s">
        <v>375</v>
      </c>
      <c r="B35" s="303">
        <f>'PCO Log'!AL7</f>
        <v>0</v>
      </c>
      <c r="C35" s="303">
        <f>'PCO Log'!AL4</f>
        <v>0</v>
      </c>
      <c r="D35" s="303" cm="1">
        <f t="array" ref="D35">INDEX('PCO Log'!$E$5:$SJ$5, 1, ROWS('Graph Data'!$D$2:D35))</f>
        <v>0</v>
      </c>
      <c r="E35" s="303">
        <f>'PCO Log'!AL8</f>
        <v>0</v>
      </c>
      <c r="F35" s="303">
        <f>'PCO Log'!AL3</f>
        <v>0</v>
      </c>
      <c r="G35" s="304">
        <f>'PCO Log'!AL10</f>
        <v>0</v>
      </c>
      <c r="H35" s="305">
        <f>'PCO Log'!AL6</f>
        <v>0</v>
      </c>
      <c r="J35" s="303" t="s">
        <v>302</v>
      </c>
      <c r="K35" s="303">
        <f>'Pay App 34'!H33</f>
        <v>0</v>
      </c>
      <c r="L35" s="303">
        <f>IF(M35&gt;0,'Pay App 34'!$G$149,0)</f>
        <v>0</v>
      </c>
      <c r="M35" s="303">
        <f>'Pay App 34'!H149</f>
        <v>0</v>
      </c>
      <c r="O35" s="303" t="str">
        <f>'Pay App 1'!B90</f>
        <v>07 60 00</v>
      </c>
      <c r="P35" s="303" t="str">
        <f>'Pay App 1'!C90</f>
        <v>Sheet Metal Flashing &amp; Trim</v>
      </c>
      <c r="Q35" s="304">
        <f>SUMIFS('PCO Log'!$E45:$SJ45,'PCO Log'!$E$9:$SJ$9,'Graph Data'!Q$1,'PCO Log'!$E$7:$SJ$7,"Approved")</f>
        <v>0</v>
      </c>
      <c r="R35" s="304">
        <f>SUMIFS('PCO Log'!$E45:$SJ45,'PCO Log'!$E$9:$SJ$9,'Graph Data'!R$1,'PCO Log'!$E$7:$SJ$7,"Approved")</f>
        <v>0</v>
      </c>
      <c r="S35" s="304">
        <f>SUMIFS('PCO Log'!$E45:$SJ45,'PCO Log'!$E$9:$SJ$9,'Graph Data'!S$1,'PCO Log'!$E$7:$SJ$7,"Approved")</f>
        <v>0</v>
      </c>
      <c r="T35" s="304">
        <f>SUMIFS('PCO Log'!$E45:$SJ45,'PCO Log'!$E$9:$SJ$9,'Graph Data'!T$1,'PCO Log'!$E$7:$SJ$7,"Approved")</f>
        <v>0</v>
      </c>
      <c r="U35" s="304">
        <f>SUMIFS('PCO Log'!$E45:$SJ45,'PCO Log'!$E$9:$SJ$9,'Graph Data'!U$1,'PCO Log'!$E$7:$SJ$7,"Approved")</f>
        <v>0</v>
      </c>
      <c r="V35" s="304">
        <f>SUMIFS('PCO Log'!$E45:$SJ45,'PCO Log'!$E$9:$SJ$9,'Graph Data'!V$1,'PCO Log'!$E$7:$SJ$7,"Approved")</f>
        <v>0</v>
      </c>
      <c r="W35" s="304">
        <f>SUMIFS('PCO Log'!$E45:$SJ45,'PCO Log'!$E$9:$SJ$9,'Graph Data'!W$1,'PCO Log'!$E$7:$SJ$7,"Approved")</f>
        <v>0</v>
      </c>
      <c r="X35" s="304">
        <f>SUMIFS('PCO Log'!$E45:$SJ45,'PCO Log'!$E$9:$SJ$9,'Graph Data'!X$1,'PCO Log'!$E$7:$SJ$7,"Approved")</f>
        <v>0</v>
      </c>
      <c r="Y35" s="304">
        <f>SUMIFS('PCO Log'!$E45:$SJ45,'PCO Log'!$E$9:$SJ$9,'Graph Data'!Y$1,'PCO Log'!$E$7:$SJ$7,"Approved")</f>
        <v>0</v>
      </c>
      <c r="Z35" s="304">
        <f>SUMIFS('PCO Log'!$E45:$SJ45,'PCO Log'!$E$9:$SJ$9,'Graph Data'!Z$1,'PCO Log'!$E$7:$SJ$7,"Approved")</f>
        <v>0</v>
      </c>
      <c r="AA35" s="304">
        <f>SUMIFS('PCO Log'!$E45:$SJ45,'PCO Log'!$E$9:$SJ$9,'Graph Data'!AA$1,'PCO Log'!$E$7:$SJ$7,"Approved")</f>
        <v>0</v>
      </c>
      <c r="AB35" s="304">
        <f>SUMIFS('PCO Log'!$E45:$SJ45,'PCO Log'!$E$9:$SJ$9,'Graph Data'!AB$1,'PCO Log'!$E$7:$SJ$7,"Approved")</f>
        <v>0</v>
      </c>
      <c r="AC35" s="304">
        <f>SUMIFS('PCO Log'!$E45:$SJ45,'PCO Log'!$E$9:$SJ$9,'Graph Data'!AC$1,'PCO Log'!$E$7:$SJ$7,"Approved")</f>
        <v>0</v>
      </c>
      <c r="AD35" s="304">
        <f>SUMIFS('PCO Log'!$E45:$SJ45,'PCO Log'!$E$9:$SJ$9,'Graph Data'!AD$1,'PCO Log'!$E$7:$SJ$7,"Approved")</f>
        <v>0</v>
      </c>
      <c r="AE35" s="304">
        <f>SUMIFS('PCO Log'!$E45:$SJ45,'PCO Log'!$E$9:$SJ$9,'Graph Data'!AE$1,'PCO Log'!$E$7:$SJ$7,"Approved")</f>
        <v>0</v>
      </c>
      <c r="AF35" s="304">
        <f>SUMIFS('PCO Log'!$E45:$SJ45,'PCO Log'!$E$9:$SJ$9,'Graph Data'!AF$1,'PCO Log'!$E$7:$SJ$7,"Approved")</f>
        <v>0</v>
      </c>
      <c r="AG35" s="304">
        <f>SUMIFS('PCO Log'!$E45:$SJ45,'PCO Log'!$E$9:$SJ$9,'Graph Data'!AG$1,'PCO Log'!$E$7:$SJ$7,"Approved")</f>
        <v>0</v>
      </c>
      <c r="AH35" s="304">
        <f>SUMIFS('PCO Log'!$E45:$SJ45,'PCO Log'!$E$9:$SJ$9,'Graph Data'!AH$1,'PCO Log'!$E$7:$SJ$7,"Approved")</f>
        <v>0</v>
      </c>
      <c r="AI35" s="304">
        <f>SUMIFS('PCO Log'!$E45:$SJ45,'PCO Log'!$E$9:$SJ$9,'Graph Data'!AI$1,'PCO Log'!$E$7:$SJ$7,"Approved")</f>
        <v>0</v>
      </c>
      <c r="AJ35" s="304">
        <f>SUMIFS('PCO Log'!$E45:$SJ45,'PCO Log'!$E$9:$SJ$9,'Graph Data'!AJ$1,'PCO Log'!$E$7:$SJ$7,"Approved")</f>
        <v>0</v>
      </c>
      <c r="AK35" s="304">
        <f>SUMIFS('PCO Log'!$E45:$SJ45,'PCO Log'!$E$9:$SJ$9,'Graph Data'!AK$1,'PCO Log'!$E$7:$SJ$7,"Approved")</f>
        <v>0</v>
      </c>
      <c r="AL35" s="304">
        <f>SUMIFS('PCO Log'!$E45:$SJ45,'PCO Log'!$E$9:$SJ$9,'Graph Data'!AL$1,'PCO Log'!$E$7:$SJ$7,"Approved")</f>
        <v>0</v>
      </c>
      <c r="AM35" s="304">
        <f>SUMIFS('PCO Log'!$E45:$SJ45,'PCO Log'!$E$9:$SJ$9,'Graph Data'!AM$1,'PCO Log'!$E$7:$SJ$7,"Approved")</f>
        <v>0</v>
      </c>
      <c r="AN35" s="304">
        <f>SUMIFS('PCO Log'!$E45:$SJ45,'PCO Log'!$E$9:$SJ$9,'Graph Data'!AN$1,'PCO Log'!$E$7:$SJ$7,"Approved")</f>
        <v>0</v>
      </c>
      <c r="AO35" s="304">
        <f>SUMIFS('PCO Log'!$E45:$SJ45,'PCO Log'!$E$9:$SJ$9,'Graph Data'!AO$1,'PCO Log'!$E$7:$SJ$7,"Approved")</f>
        <v>0</v>
      </c>
      <c r="AP35" s="304">
        <f>SUMIFS('PCO Log'!$E45:$SJ45,'PCO Log'!$E$9:$SJ$9,'Graph Data'!AP$1,'PCO Log'!$E$7:$SJ$7,"Approved")</f>
        <v>0</v>
      </c>
      <c r="AQ35" s="304">
        <f>SUMIFS('PCO Log'!$E45:$SJ45,'PCO Log'!$E$9:$SJ$9,'Graph Data'!AQ$1,'PCO Log'!$E$7:$SJ$7,"Approved")</f>
        <v>0</v>
      </c>
      <c r="AR35" s="304">
        <f>SUMIFS('PCO Log'!$E45:$SJ45,'PCO Log'!$E$9:$SJ$9,'Graph Data'!AR$1,'PCO Log'!$E$7:$SJ$7,"Approved")</f>
        <v>0</v>
      </c>
      <c r="AS35" s="304">
        <f>SUMIFS('PCO Log'!$E45:$SJ45,'PCO Log'!$E$9:$SJ$9,'Graph Data'!AS$1,'PCO Log'!$E$7:$SJ$7,"Approved")</f>
        <v>0</v>
      </c>
      <c r="AT35" s="304">
        <f>SUMIFS('PCO Log'!$E45:$SJ45,'PCO Log'!$E$9:$SJ$9,'Graph Data'!AT$1,'PCO Log'!$E$7:$SJ$7,"Approved")</f>
        <v>0</v>
      </c>
      <c r="AU35" s="304">
        <f>SUMIFS('PCO Log'!$E45:$SJ45,'PCO Log'!$E$9:$SJ$9,'Graph Data'!AU$1,'PCO Log'!$E$7:$SJ$7,"Approved")</f>
        <v>0</v>
      </c>
      <c r="AV35" s="304">
        <f>SUMIFS('PCO Log'!$E45:$SJ45,'PCO Log'!$E$9:$SJ$9,'Graph Data'!AV$1,'PCO Log'!$E$7:$SJ$7,"Approved")</f>
        <v>0</v>
      </c>
      <c r="AW35" s="304">
        <f>SUMIFS('PCO Log'!$E45:$SJ45,'PCO Log'!$E$9:$SJ$9,'Graph Data'!AW$1,'PCO Log'!$E$7:$SJ$7,"Approved")</f>
        <v>0</v>
      </c>
      <c r="AX35" s="304">
        <f>SUMIFS('PCO Log'!$E45:$SJ45,'PCO Log'!$E$9:$SJ$9,'Graph Data'!AX$1,'PCO Log'!$E$7:$SJ$7,"Approved")</f>
        <v>0</v>
      </c>
      <c r="AY35" s="304">
        <f>SUMIFS('PCO Log'!$E45:$SJ45,'PCO Log'!$E$9:$SJ$9,'Graph Data'!AY$1,'PCO Log'!$E$7:$SJ$7,"Approved")</f>
        <v>0</v>
      </c>
      <c r="AZ35" s="304">
        <f>SUMIFS('PCO Log'!$E45:$SJ45,'PCO Log'!$E$9:$SJ$9,'Graph Data'!AZ$1,'PCO Log'!$E$7:$SJ$7,"Approved")</f>
        <v>0</v>
      </c>
      <c r="BA35" s="304">
        <f>SUMIFS('PCO Log'!$E45:$SJ45,'PCO Log'!$E$9:$SJ$9,'Graph Data'!BA$1,'PCO Log'!$E$7:$SJ$7,"Approved")</f>
        <v>0</v>
      </c>
      <c r="BB35" s="304">
        <f>SUMIFS('PCO Log'!$E45:$SJ45,'PCO Log'!$E$9:$SJ$9,'Graph Data'!BB$1,'PCO Log'!$E$7:$SJ$7,"Approved")</f>
        <v>0</v>
      </c>
      <c r="BC35" s="304">
        <f>SUMIFS('PCO Log'!$E45:$SJ45,'PCO Log'!$E$9:$SJ$9,'Graph Data'!BC$1,'PCO Log'!$E$7:$SJ$7,"Approved")</f>
        <v>0</v>
      </c>
      <c r="BD35" s="304">
        <f>SUMIFS('PCO Log'!$E45:$SJ45,'PCO Log'!$E$9:$SJ$9,'Graph Data'!BD$1,'PCO Log'!$E$7:$SJ$7,"Approved")</f>
        <v>0</v>
      </c>
      <c r="BE35" s="304">
        <f>SUMIFS('PCO Log'!$E45:$SJ45,'PCO Log'!$E$9:$SJ$9,'Graph Data'!BE$1,'PCO Log'!$E$7:$SJ$7,"Approved")</f>
        <v>0</v>
      </c>
      <c r="BF35" s="304">
        <f>SUMIFS('PCO Log'!$E45:$SJ45,'PCO Log'!$E$9:$SJ$9,'Graph Data'!BF$1,'PCO Log'!$E$7:$SJ$7,"Approved")</f>
        <v>0</v>
      </c>
      <c r="BG35" s="304">
        <f>SUMIFS('PCO Log'!$E45:$SJ45,'PCO Log'!$E$9:$SJ$9,'Graph Data'!BG$1,'PCO Log'!$E$7:$SJ$7,"Approved")</f>
        <v>0</v>
      </c>
      <c r="BH35" s="304">
        <f>SUMIFS('PCO Log'!$E45:$SJ45,'PCO Log'!$E$9:$SJ$9,'Graph Data'!BH$1,'PCO Log'!$E$7:$SJ$7,"Approved")</f>
        <v>0</v>
      </c>
      <c r="BI35" s="304">
        <f>SUMIFS('PCO Log'!$E45:$SJ45,'PCO Log'!$E$9:$SJ$9,'Graph Data'!BI$1,'PCO Log'!$E$7:$SJ$7,"Approved")</f>
        <v>0</v>
      </c>
      <c r="BJ35" s="304">
        <f>SUMIFS('PCO Log'!$E45:$SJ45,'PCO Log'!$E$9:$SJ$9,'Graph Data'!BJ$1,'PCO Log'!$E$7:$SJ$7,"Approved")</f>
        <v>0</v>
      </c>
      <c r="BK35" s="304">
        <f>SUMIFS('PCO Log'!$E45:$SJ45,'PCO Log'!$E$9:$SJ$9,'Graph Data'!BK$1,'PCO Log'!$E$7:$SJ$7,"Approved")</f>
        <v>0</v>
      </c>
      <c r="BL35" s="304">
        <f>SUMIFS('PCO Log'!$E45:$SJ45,'PCO Log'!$E$9:$SJ$9,'Graph Data'!BL$1,'PCO Log'!$E$7:$SJ$7,"Approved")</f>
        <v>0</v>
      </c>
      <c r="BM35" s="304">
        <f>SUMIFS('PCO Log'!$E45:$SJ45,'PCO Log'!$E$9:$SJ$9,'Graph Data'!BM$1,'PCO Log'!$E$7:$SJ$7,"Approved")</f>
        <v>0</v>
      </c>
      <c r="BN35" s="304">
        <f>SUMIFS('PCO Log'!$E45:$SJ45,'PCO Log'!$E$9:$SJ$9,'Graph Data'!BN$1,'PCO Log'!$E$7:$SJ$7,"Approved")</f>
        <v>0</v>
      </c>
      <c r="BO35" s="304">
        <f>SUMIFS('PCO Log'!$E45:$SJ45,'PCO Log'!$E$9:$SJ$9,'Graph Data'!BO$1,'PCO Log'!$E$7:$SJ$7,"Approved")</f>
        <v>0</v>
      </c>
      <c r="BP35" s="304">
        <f>SUMIFS('PCO Log'!$E45:$SJ45,'PCO Log'!$E$9:$SJ$9,'Graph Data'!BP$1,'PCO Log'!$E$7:$SJ$7,"Approved")</f>
        <v>0</v>
      </c>
      <c r="BQ35" s="304">
        <f>SUMIFS('PCO Log'!$E45:$SJ45,'PCO Log'!$E$9:$SJ$9,'Graph Data'!BQ$1,'PCO Log'!$E$7:$SJ$7,"Approved")</f>
        <v>0</v>
      </c>
      <c r="BR35" s="304">
        <f>SUMIFS('PCO Log'!$E45:$SJ45,'PCO Log'!$E$9:$SJ$9,'Graph Data'!BR$1,'PCO Log'!$E$7:$SJ$7,"Approved")</f>
        <v>0</v>
      </c>
      <c r="BS35" s="304">
        <f>SUMIFS('PCO Log'!$E45:$SJ45,'PCO Log'!$E$9:$SJ$9,'Graph Data'!BS$1,'PCO Log'!$E$7:$SJ$7,"Approved")</f>
        <v>0</v>
      </c>
      <c r="BT35" s="304">
        <f>SUMIFS('PCO Log'!$E45:$SJ45,'PCO Log'!$E$9:$SJ$9,'Graph Data'!BT$1,'PCO Log'!$E$7:$SJ$7,"Approved")</f>
        <v>0</v>
      </c>
      <c r="BU35" s="304">
        <f>SUMIFS('PCO Log'!$E45:$SJ45,'PCO Log'!$E$9:$SJ$9,'Graph Data'!BU$1,'PCO Log'!$E$7:$SJ$7,"Approved")</f>
        <v>0</v>
      </c>
      <c r="BV35" s="304">
        <f>SUMIFS('PCO Log'!$E45:$SJ45,'PCO Log'!$E$9:$SJ$9,'Graph Data'!BV$1,'PCO Log'!$E$7:$SJ$7,"Approved")</f>
        <v>0</v>
      </c>
      <c r="BW35" s="304">
        <f>SUMIFS('PCO Log'!$E45:$SJ45,'PCO Log'!$E$9:$SJ$9,'Graph Data'!BW$1,'PCO Log'!$E$7:$SJ$7,"Approved")</f>
        <v>0</v>
      </c>
      <c r="BX35" s="304">
        <f>SUMIFS('PCO Log'!$E45:$SJ45,'PCO Log'!$E$9:$SJ$9,'Graph Data'!BX$1,'PCO Log'!$E$7:$SJ$7,"Approved")</f>
        <v>0</v>
      </c>
    </row>
    <row r="36" spans="1:76" x14ac:dyDescent="0.25">
      <c r="A36" s="303" t="s">
        <v>376</v>
      </c>
      <c r="B36" s="303">
        <f>'PCO Log'!AM7</f>
        <v>0</v>
      </c>
      <c r="C36" s="303">
        <f>'PCO Log'!AM4</f>
        <v>0</v>
      </c>
      <c r="D36" s="303" cm="1">
        <f t="array" ref="D36">INDEX('PCO Log'!$E$5:$SJ$5, 1, ROWS('Graph Data'!$D$2:D36))</f>
        <v>0</v>
      </c>
      <c r="E36" s="303">
        <f>'PCO Log'!AM8</f>
        <v>0</v>
      </c>
      <c r="F36" s="303">
        <f>'PCO Log'!AM3</f>
        <v>0</v>
      </c>
      <c r="G36" s="304">
        <f>'PCO Log'!AM10</f>
        <v>0</v>
      </c>
      <c r="H36" s="305">
        <f>'PCO Log'!AM6</f>
        <v>0</v>
      </c>
      <c r="J36" s="303" t="s">
        <v>303</v>
      </c>
      <c r="K36" s="303">
        <f>'Pay App 35'!H33</f>
        <v>0</v>
      </c>
      <c r="L36" s="303">
        <f>IF(M36&gt;0,'Pay App 35'!$G$149,0)</f>
        <v>0</v>
      </c>
      <c r="M36" s="303">
        <f>'Pay App 35'!H149</f>
        <v>0</v>
      </c>
      <c r="O36" s="303" t="str">
        <f>'Pay App 1'!B91</f>
        <v>07 80 00</v>
      </c>
      <c r="P36" s="303" t="str">
        <f>'Pay App 1'!C91</f>
        <v>Fireproofing</v>
      </c>
      <c r="Q36" s="304">
        <f>SUMIFS('PCO Log'!$E46:$SJ46,'PCO Log'!$E$9:$SJ$9,'Graph Data'!Q$1,'PCO Log'!$E$7:$SJ$7,"Approved")</f>
        <v>0</v>
      </c>
      <c r="R36" s="304">
        <f>SUMIFS('PCO Log'!$E46:$SJ46,'PCO Log'!$E$9:$SJ$9,'Graph Data'!R$1,'PCO Log'!$E$7:$SJ$7,"Approved")</f>
        <v>0</v>
      </c>
      <c r="S36" s="304">
        <f>SUMIFS('PCO Log'!$E46:$SJ46,'PCO Log'!$E$9:$SJ$9,'Graph Data'!S$1,'PCO Log'!$E$7:$SJ$7,"Approved")</f>
        <v>0</v>
      </c>
      <c r="T36" s="304">
        <f>SUMIFS('PCO Log'!$E46:$SJ46,'PCO Log'!$E$9:$SJ$9,'Graph Data'!T$1,'PCO Log'!$E$7:$SJ$7,"Approved")</f>
        <v>0</v>
      </c>
      <c r="U36" s="304">
        <f>SUMIFS('PCO Log'!$E46:$SJ46,'PCO Log'!$E$9:$SJ$9,'Graph Data'!U$1,'PCO Log'!$E$7:$SJ$7,"Approved")</f>
        <v>0</v>
      </c>
      <c r="V36" s="304">
        <f>SUMIFS('PCO Log'!$E46:$SJ46,'PCO Log'!$E$9:$SJ$9,'Graph Data'!V$1,'PCO Log'!$E$7:$SJ$7,"Approved")</f>
        <v>0</v>
      </c>
      <c r="W36" s="304">
        <f>SUMIFS('PCO Log'!$E46:$SJ46,'PCO Log'!$E$9:$SJ$9,'Graph Data'!W$1,'PCO Log'!$E$7:$SJ$7,"Approved")</f>
        <v>0</v>
      </c>
      <c r="X36" s="304">
        <f>SUMIFS('PCO Log'!$E46:$SJ46,'PCO Log'!$E$9:$SJ$9,'Graph Data'!X$1,'PCO Log'!$E$7:$SJ$7,"Approved")</f>
        <v>0</v>
      </c>
      <c r="Y36" s="304">
        <f>SUMIFS('PCO Log'!$E46:$SJ46,'PCO Log'!$E$9:$SJ$9,'Graph Data'!Y$1,'PCO Log'!$E$7:$SJ$7,"Approved")</f>
        <v>0</v>
      </c>
      <c r="Z36" s="304">
        <f>SUMIFS('PCO Log'!$E46:$SJ46,'PCO Log'!$E$9:$SJ$9,'Graph Data'!Z$1,'PCO Log'!$E$7:$SJ$7,"Approved")</f>
        <v>0</v>
      </c>
      <c r="AA36" s="304">
        <f>SUMIFS('PCO Log'!$E46:$SJ46,'PCO Log'!$E$9:$SJ$9,'Graph Data'!AA$1,'PCO Log'!$E$7:$SJ$7,"Approved")</f>
        <v>0</v>
      </c>
      <c r="AB36" s="304">
        <f>SUMIFS('PCO Log'!$E46:$SJ46,'PCO Log'!$E$9:$SJ$9,'Graph Data'!AB$1,'PCO Log'!$E$7:$SJ$7,"Approved")</f>
        <v>0</v>
      </c>
      <c r="AC36" s="304">
        <f>SUMIFS('PCO Log'!$E46:$SJ46,'PCO Log'!$E$9:$SJ$9,'Graph Data'!AC$1,'PCO Log'!$E$7:$SJ$7,"Approved")</f>
        <v>0</v>
      </c>
      <c r="AD36" s="304">
        <f>SUMIFS('PCO Log'!$E46:$SJ46,'PCO Log'!$E$9:$SJ$9,'Graph Data'!AD$1,'PCO Log'!$E$7:$SJ$7,"Approved")</f>
        <v>0</v>
      </c>
      <c r="AE36" s="304">
        <f>SUMIFS('PCO Log'!$E46:$SJ46,'PCO Log'!$E$9:$SJ$9,'Graph Data'!AE$1,'PCO Log'!$E$7:$SJ$7,"Approved")</f>
        <v>0</v>
      </c>
      <c r="AF36" s="304">
        <f>SUMIFS('PCO Log'!$E46:$SJ46,'PCO Log'!$E$9:$SJ$9,'Graph Data'!AF$1,'PCO Log'!$E$7:$SJ$7,"Approved")</f>
        <v>0</v>
      </c>
      <c r="AG36" s="304">
        <f>SUMIFS('PCO Log'!$E46:$SJ46,'PCO Log'!$E$9:$SJ$9,'Graph Data'!AG$1,'PCO Log'!$E$7:$SJ$7,"Approved")</f>
        <v>0</v>
      </c>
      <c r="AH36" s="304">
        <f>SUMIFS('PCO Log'!$E46:$SJ46,'PCO Log'!$E$9:$SJ$9,'Graph Data'!AH$1,'PCO Log'!$E$7:$SJ$7,"Approved")</f>
        <v>0</v>
      </c>
      <c r="AI36" s="304">
        <f>SUMIFS('PCO Log'!$E46:$SJ46,'PCO Log'!$E$9:$SJ$9,'Graph Data'!AI$1,'PCO Log'!$E$7:$SJ$7,"Approved")</f>
        <v>0</v>
      </c>
      <c r="AJ36" s="304">
        <f>SUMIFS('PCO Log'!$E46:$SJ46,'PCO Log'!$E$9:$SJ$9,'Graph Data'!AJ$1,'PCO Log'!$E$7:$SJ$7,"Approved")</f>
        <v>0</v>
      </c>
      <c r="AK36" s="304">
        <f>SUMIFS('PCO Log'!$E46:$SJ46,'PCO Log'!$E$9:$SJ$9,'Graph Data'!AK$1,'PCO Log'!$E$7:$SJ$7,"Approved")</f>
        <v>0</v>
      </c>
      <c r="AL36" s="304">
        <f>SUMIFS('PCO Log'!$E46:$SJ46,'PCO Log'!$E$9:$SJ$9,'Graph Data'!AL$1,'PCO Log'!$E$7:$SJ$7,"Approved")</f>
        <v>0</v>
      </c>
      <c r="AM36" s="304">
        <f>SUMIFS('PCO Log'!$E46:$SJ46,'PCO Log'!$E$9:$SJ$9,'Graph Data'!AM$1,'PCO Log'!$E$7:$SJ$7,"Approved")</f>
        <v>0</v>
      </c>
      <c r="AN36" s="304">
        <f>SUMIFS('PCO Log'!$E46:$SJ46,'PCO Log'!$E$9:$SJ$9,'Graph Data'!AN$1,'PCO Log'!$E$7:$SJ$7,"Approved")</f>
        <v>0</v>
      </c>
      <c r="AO36" s="304">
        <f>SUMIFS('PCO Log'!$E46:$SJ46,'PCO Log'!$E$9:$SJ$9,'Graph Data'!AO$1,'PCO Log'!$E$7:$SJ$7,"Approved")</f>
        <v>0</v>
      </c>
      <c r="AP36" s="304">
        <f>SUMIFS('PCO Log'!$E46:$SJ46,'PCO Log'!$E$9:$SJ$9,'Graph Data'!AP$1,'PCO Log'!$E$7:$SJ$7,"Approved")</f>
        <v>0</v>
      </c>
      <c r="AQ36" s="304">
        <f>SUMIFS('PCO Log'!$E46:$SJ46,'PCO Log'!$E$9:$SJ$9,'Graph Data'!AQ$1,'PCO Log'!$E$7:$SJ$7,"Approved")</f>
        <v>0</v>
      </c>
      <c r="AR36" s="304">
        <f>SUMIFS('PCO Log'!$E46:$SJ46,'PCO Log'!$E$9:$SJ$9,'Graph Data'!AR$1,'PCO Log'!$E$7:$SJ$7,"Approved")</f>
        <v>0</v>
      </c>
      <c r="AS36" s="304">
        <f>SUMIFS('PCO Log'!$E46:$SJ46,'PCO Log'!$E$9:$SJ$9,'Graph Data'!AS$1,'PCO Log'!$E$7:$SJ$7,"Approved")</f>
        <v>0</v>
      </c>
      <c r="AT36" s="304">
        <f>SUMIFS('PCO Log'!$E46:$SJ46,'PCO Log'!$E$9:$SJ$9,'Graph Data'!AT$1,'PCO Log'!$E$7:$SJ$7,"Approved")</f>
        <v>0</v>
      </c>
      <c r="AU36" s="304">
        <f>SUMIFS('PCO Log'!$E46:$SJ46,'PCO Log'!$E$9:$SJ$9,'Graph Data'!AU$1,'PCO Log'!$E$7:$SJ$7,"Approved")</f>
        <v>0</v>
      </c>
      <c r="AV36" s="304">
        <f>SUMIFS('PCO Log'!$E46:$SJ46,'PCO Log'!$E$9:$SJ$9,'Graph Data'!AV$1,'PCO Log'!$E$7:$SJ$7,"Approved")</f>
        <v>0</v>
      </c>
      <c r="AW36" s="304">
        <f>SUMIFS('PCO Log'!$E46:$SJ46,'PCO Log'!$E$9:$SJ$9,'Graph Data'!AW$1,'PCO Log'!$E$7:$SJ$7,"Approved")</f>
        <v>0</v>
      </c>
      <c r="AX36" s="304">
        <f>SUMIFS('PCO Log'!$E46:$SJ46,'PCO Log'!$E$9:$SJ$9,'Graph Data'!AX$1,'PCO Log'!$E$7:$SJ$7,"Approved")</f>
        <v>0</v>
      </c>
      <c r="AY36" s="304">
        <f>SUMIFS('PCO Log'!$E46:$SJ46,'PCO Log'!$E$9:$SJ$9,'Graph Data'!AY$1,'PCO Log'!$E$7:$SJ$7,"Approved")</f>
        <v>0</v>
      </c>
      <c r="AZ36" s="304">
        <f>SUMIFS('PCO Log'!$E46:$SJ46,'PCO Log'!$E$9:$SJ$9,'Graph Data'!AZ$1,'PCO Log'!$E$7:$SJ$7,"Approved")</f>
        <v>0</v>
      </c>
      <c r="BA36" s="304">
        <f>SUMIFS('PCO Log'!$E46:$SJ46,'PCO Log'!$E$9:$SJ$9,'Graph Data'!BA$1,'PCO Log'!$E$7:$SJ$7,"Approved")</f>
        <v>0</v>
      </c>
      <c r="BB36" s="304">
        <f>SUMIFS('PCO Log'!$E46:$SJ46,'PCO Log'!$E$9:$SJ$9,'Graph Data'!BB$1,'PCO Log'!$E$7:$SJ$7,"Approved")</f>
        <v>0</v>
      </c>
      <c r="BC36" s="304">
        <f>SUMIFS('PCO Log'!$E46:$SJ46,'PCO Log'!$E$9:$SJ$9,'Graph Data'!BC$1,'PCO Log'!$E$7:$SJ$7,"Approved")</f>
        <v>0</v>
      </c>
      <c r="BD36" s="304">
        <f>SUMIFS('PCO Log'!$E46:$SJ46,'PCO Log'!$E$9:$SJ$9,'Graph Data'!BD$1,'PCO Log'!$E$7:$SJ$7,"Approved")</f>
        <v>0</v>
      </c>
      <c r="BE36" s="304">
        <f>SUMIFS('PCO Log'!$E46:$SJ46,'PCO Log'!$E$9:$SJ$9,'Graph Data'!BE$1,'PCO Log'!$E$7:$SJ$7,"Approved")</f>
        <v>0</v>
      </c>
      <c r="BF36" s="304">
        <f>SUMIFS('PCO Log'!$E46:$SJ46,'PCO Log'!$E$9:$SJ$9,'Graph Data'!BF$1,'PCO Log'!$E$7:$SJ$7,"Approved")</f>
        <v>0</v>
      </c>
      <c r="BG36" s="304">
        <f>SUMIFS('PCO Log'!$E46:$SJ46,'PCO Log'!$E$9:$SJ$9,'Graph Data'!BG$1,'PCO Log'!$E$7:$SJ$7,"Approved")</f>
        <v>0</v>
      </c>
      <c r="BH36" s="304">
        <f>SUMIFS('PCO Log'!$E46:$SJ46,'PCO Log'!$E$9:$SJ$9,'Graph Data'!BH$1,'PCO Log'!$E$7:$SJ$7,"Approved")</f>
        <v>0</v>
      </c>
      <c r="BI36" s="304">
        <f>SUMIFS('PCO Log'!$E46:$SJ46,'PCO Log'!$E$9:$SJ$9,'Graph Data'!BI$1,'PCO Log'!$E$7:$SJ$7,"Approved")</f>
        <v>0</v>
      </c>
      <c r="BJ36" s="304">
        <f>SUMIFS('PCO Log'!$E46:$SJ46,'PCO Log'!$E$9:$SJ$9,'Graph Data'!BJ$1,'PCO Log'!$E$7:$SJ$7,"Approved")</f>
        <v>0</v>
      </c>
      <c r="BK36" s="304">
        <f>SUMIFS('PCO Log'!$E46:$SJ46,'PCO Log'!$E$9:$SJ$9,'Graph Data'!BK$1,'PCO Log'!$E$7:$SJ$7,"Approved")</f>
        <v>0</v>
      </c>
      <c r="BL36" s="304">
        <f>SUMIFS('PCO Log'!$E46:$SJ46,'PCO Log'!$E$9:$SJ$9,'Graph Data'!BL$1,'PCO Log'!$E$7:$SJ$7,"Approved")</f>
        <v>0</v>
      </c>
      <c r="BM36" s="304">
        <f>SUMIFS('PCO Log'!$E46:$SJ46,'PCO Log'!$E$9:$SJ$9,'Graph Data'!BM$1,'PCO Log'!$E$7:$SJ$7,"Approved")</f>
        <v>0</v>
      </c>
      <c r="BN36" s="304">
        <f>SUMIFS('PCO Log'!$E46:$SJ46,'PCO Log'!$E$9:$SJ$9,'Graph Data'!BN$1,'PCO Log'!$E$7:$SJ$7,"Approved")</f>
        <v>0</v>
      </c>
      <c r="BO36" s="304">
        <f>SUMIFS('PCO Log'!$E46:$SJ46,'PCO Log'!$E$9:$SJ$9,'Graph Data'!BO$1,'PCO Log'!$E$7:$SJ$7,"Approved")</f>
        <v>0</v>
      </c>
      <c r="BP36" s="304">
        <f>SUMIFS('PCO Log'!$E46:$SJ46,'PCO Log'!$E$9:$SJ$9,'Graph Data'!BP$1,'PCO Log'!$E$7:$SJ$7,"Approved")</f>
        <v>0</v>
      </c>
      <c r="BQ36" s="304">
        <f>SUMIFS('PCO Log'!$E46:$SJ46,'PCO Log'!$E$9:$SJ$9,'Graph Data'!BQ$1,'PCO Log'!$E$7:$SJ$7,"Approved")</f>
        <v>0</v>
      </c>
      <c r="BR36" s="304">
        <f>SUMIFS('PCO Log'!$E46:$SJ46,'PCO Log'!$E$9:$SJ$9,'Graph Data'!BR$1,'PCO Log'!$E$7:$SJ$7,"Approved")</f>
        <v>0</v>
      </c>
      <c r="BS36" s="304">
        <f>SUMIFS('PCO Log'!$E46:$SJ46,'PCO Log'!$E$9:$SJ$9,'Graph Data'!BS$1,'PCO Log'!$E$7:$SJ$7,"Approved")</f>
        <v>0</v>
      </c>
      <c r="BT36" s="304">
        <f>SUMIFS('PCO Log'!$E46:$SJ46,'PCO Log'!$E$9:$SJ$9,'Graph Data'!BT$1,'PCO Log'!$E$7:$SJ$7,"Approved")</f>
        <v>0</v>
      </c>
      <c r="BU36" s="304">
        <f>SUMIFS('PCO Log'!$E46:$SJ46,'PCO Log'!$E$9:$SJ$9,'Graph Data'!BU$1,'PCO Log'!$E$7:$SJ$7,"Approved")</f>
        <v>0</v>
      </c>
      <c r="BV36" s="304">
        <f>SUMIFS('PCO Log'!$E46:$SJ46,'PCO Log'!$E$9:$SJ$9,'Graph Data'!BV$1,'PCO Log'!$E$7:$SJ$7,"Approved")</f>
        <v>0</v>
      </c>
      <c r="BW36" s="304">
        <f>SUMIFS('PCO Log'!$E46:$SJ46,'PCO Log'!$E$9:$SJ$9,'Graph Data'!BW$1,'PCO Log'!$E$7:$SJ$7,"Approved")</f>
        <v>0</v>
      </c>
      <c r="BX36" s="304">
        <f>SUMIFS('PCO Log'!$E46:$SJ46,'PCO Log'!$E$9:$SJ$9,'Graph Data'!BX$1,'PCO Log'!$E$7:$SJ$7,"Approved")</f>
        <v>0</v>
      </c>
    </row>
    <row r="37" spans="1:76" x14ac:dyDescent="0.25">
      <c r="A37" s="303" t="s">
        <v>377</v>
      </c>
      <c r="B37" s="303">
        <f>'PCO Log'!AN7</f>
        <v>0</v>
      </c>
      <c r="C37" s="303">
        <f>'PCO Log'!AN4</f>
        <v>0</v>
      </c>
      <c r="D37" s="303" cm="1">
        <f t="array" ref="D37">INDEX('PCO Log'!$E$5:$SJ$5, 1, ROWS('Graph Data'!$D$2:D37))</f>
        <v>0</v>
      </c>
      <c r="E37" s="303">
        <f>'PCO Log'!AN8</f>
        <v>0</v>
      </c>
      <c r="F37" s="303">
        <f>'PCO Log'!AN3</f>
        <v>0</v>
      </c>
      <c r="G37" s="304">
        <f>'PCO Log'!AN10</f>
        <v>0</v>
      </c>
      <c r="H37" s="305">
        <f>'PCO Log'!AN6</f>
        <v>0</v>
      </c>
      <c r="J37" s="303" t="s">
        <v>304</v>
      </c>
      <c r="K37" s="303">
        <f>'Pay App 36'!H33</f>
        <v>0</v>
      </c>
      <c r="L37" s="303">
        <f>IF(M37&gt;0,'Pay App 36'!$G$149,0)</f>
        <v>0</v>
      </c>
      <c r="M37" s="303">
        <f>'Pay App 36'!H149</f>
        <v>0</v>
      </c>
      <c r="O37" s="303" t="str">
        <f>'Pay App 1'!B92</f>
        <v>07 90 00</v>
      </c>
      <c r="P37" s="303" t="str">
        <f>'Pay App 1'!C92</f>
        <v>Joint Sealants</v>
      </c>
      <c r="Q37" s="304">
        <f>SUMIFS('PCO Log'!$E47:$SJ47,'PCO Log'!$E$9:$SJ$9,'Graph Data'!Q$1,'PCO Log'!$E$7:$SJ$7,"Approved")</f>
        <v>0</v>
      </c>
      <c r="R37" s="304">
        <f>SUMIFS('PCO Log'!$E47:$SJ47,'PCO Log'!$E$9:$SJ$9,'Graph Data'!R$1,'PCO Log'!$E$7:$SJ$7,"Approved")</f>
        <v>0</v>
      </c>
      <c r="S37" s="304">
        <f>SUMIFS('PCO Log'!$E47:$SJ47,'PCO Log'!$E$9:$SJ$9,'Graph Data'!S$1,'PCO Log'!$E$7:$SJ$7,"Approved")</f>
        <v>0</v>
      </c>
      <c r="T37" s="304">
        <f>SUMIFS('PCO Log'!$E47:$SJ47,'PCO Log'!$E$9:$SJ$9,'Graph Data'!T$1,'PCO Log'!$E$7:$SJ$7,"Approved")</f>
        <v>0</v>
      </c>
      <c r="U37" s="304">
        <f>SUMIFS('PCO Log'!$E47:$SJ47,'PCO Log'!$E$9:$SJ$9,'Graph Data'!U$1,'PCO Log'!$E$7:$SJ$7,"Approved")</f>
        <v>0</v>
      </c>
      <c r="V37" s="304">
        <f>SUMIFS('PCO Log'!$E47:$SJ47,'PCO Log'!$E$9:$SJ$9,'Graph Data'!V$1,'PCO Log'!$E$7:$SJ$7,"Approved")</f>
        <v>0</v>
      </c>
      <c r="W37" s="304">
        <f>SUMIFS('PCO Log'!$E47:$SJ47,'PCO Log'!$E$9:$SJ$9,'Graph Data'!W$1,'PCO Log'!$E$7:$SJ$7,"Approved")</f>
        <v>0</v>
      </c>
      <c r="X37" s="304">
        <f>SUMIFS('PCO Log'!$E47:$SJ47,'PCO Log'!$E$9:$SJ$9,'Graph Data'!X$1,'PCO Log'!$E$7:$SJ$7,"Approved")</f>
        <v>0</v>
      </c>
      <c r="Y37" s="304">
        <f>SUMIFS('PCO Log'!$E47:$SJ47,'PCO Log'!$E$9:$SJ$9,'Graph Data'!Y$1,'PCO Log'!$E$7:$SJ$7,"Approved")</f>
        <v>0</v>
      </c>
      <c r="Z37" s="304">
        <f>SUMIFS('PCO Log'!$E47:$SJ47,'PCO Log'!$E$9:$SJ$9,'Graph Data'!Z$1,'PCO Log'!$E$7:$SJ$7,"Approved")</f>
        <v>0</v>
      </c>
      <c r="AA37" s="304">
        <f>SUMIFS('PCO Log'!$E47:$SJ47,'PCO Log'!$E$9:$SJ$9,'Graph Data'!AA$1,'PCO Log'!$E$7:$SJ$7,"Approved")</f>
        <v>0</v>
      </c>
      <c r="AB37" s="304">
        <f>SUMIFS('PCO Log'!$E47:$SJ47,'PCO Log'!$E$9:$SJ$9,'Graph Data'!AB$1,'PCO Log'!$E$7:$SJ$7,"Approved")</f>
        <v>0</v>
      </c>
      <c r="AC37" s="304">
        <f>SUMIFS('PCO Log'!$E47:$SJ47,'PCO Log'!$E$9:$SJ$9,'Graph Data'!AC$1,'PCO Log'!$E$7:$SJ$7,"Approved")</f>
        <v>0</v>
      </c>
      <c r="AD37" s="304">
        <f>SUMIFS('PCO Log'!$E47:$SJ47,'PCO Log'!$E$9:$SJ$9,'Graph Data'!AD$1,'PCO Log'!$E$7:$SJ$7,"Approved")</f>
        <v>0</v>
      </c>
      <c r="AE37" s="304">
        <f>SUMIFS('PCO Log'!$E47:$SJ47,'PCO Log'!$E$9:$SJ$9,'Graph Data'!AE$1,'PCO Log'!$E$7:$SJ$7,"Approved")</f>
        <v>0</v>
      </c>
      <c r="AF37" s="304">
        <f>SUMIFS('PCO Log'!$E47:$SJ47,'PCO Log'!$E$9:$SJ$9,'Graph Data'!AF$1,'PCO Log'!$E$7:$SJ$7,"Approved")</f>
        <v>0</v>
      </c>
      <c r="AG37" s="304">
        <f>SUMIFS('PCO Log'!$E47:$SJ47,'PCO Log'!$E$9:$SJ$9,'Graph Data'!AG$1,'PCO Log'!$E$7:$SJ$7,"Approved")</f>
        <v>0</v>
      </c>
      <c r="AH37" s="304">
        <f>SUMIFS('PCO Log'!$E47:$SJ47,'PCO Log'!$E$9:$SJ$9,'Graph Data'!AH$1,'PCO Log'!$E$7:$SJ$7,"Approved")</f>
        <v>0</v>
      </c>
      <c r="AI37" s="304">
        <f>SUMIFS('PCO Log'!$E47:$SJ47,'PCO Log'!$E$9:$SJ$9,'Graph Data'!AI$1,'PCO Log'!$E$7:$SJ$7,"Approved")</f>
        <v>0</v>
      </c>
      <c r="AJ37" s="304">
        <f>SUMIFS('PCO Log'!$E47:$SJ47,'PCO Log'!$E$9:$SJ$9,'Graph Data'!AJ$1,'PCO Log'!$E$7:$SJ$7,"Approved")</f>
        <v>0</v>
      </c>
      <c r="AK37" s="304">
        <f>SUMIFS('PCO Log'!$E47:$SJ47,'PCO Log'!$E$9:$SJ$9,'Graph Data'!AK$1,'PCO Log'!$E$7:$SJ$7,"Approved")</f>
        <v>0</v>
      </c>
      <c r="AL37" s="304">
        <f>SUMIFS('PCO Log'!$E47:$SJ47,'PCO Log'!$E$9:$SJ$9,'Graph Data'!AL$1,'PCO Log'!$E$7:$SJ$7,"Approved")</f>
        <v>0</v>
      </c>
      <c r="AM37" s="304">
        <f>SUMIFS('PCO Log'!$E47:$SJ47,'PCO Log'!$E$9:$SJ$9,'Graph Data'!AM$1,'PCO Log'!$E$7:$SJ$7,"Approved")</f>
        <v>0</v>
      </c>
      <c r="AN37" s="304">
        <f>SUMIFS('PCO Log'!$E47:$SJ47,'PCO Log'!$E$9:$SJ$9,'Graph Data'!AN$1,'PCO Log'!$E$7:$SJ$7,"Approved")</f>
        <v>0</v>
      </c>
      <c r="AO37" s="304">
        <f>SUMIFS('PCO Log'!$E47:$SJ47,'PCO Log'!$E$9:$SJ$9,'Graph Data'!AO$1,'PCO Log'!$E$7:$SJ$7,"Approved")</f>
        <v>0</v>
      </c>
      <c r="AP37" s="304">
        <f>SUMIFS('PCO Log'!$E47:$SJ47,'PCO Log'!$E$9:$SJ$9,'Graph Data'!AP$1,'PCO Log'!$E$7:$SJ$7,"Approved")</f>
        <v>0</v>
      </c>
      <c r="AQ37" s="304">
        <f>SUMIFS('PCO Log'!$E47:$SJ47,'PCO Log'!$E$9:$SJ$9,'Graph Data'!AQ$1,'PCO Log'!$E$7:$SJ$7,"Approved")</f>
        <v>0</v>
      </c>
      <c r="AR37" s="304">
        <f>SUMIFS('PCO Log'!$E47:$SJ47,'PCO Log'!$E$9:$SJ$9,'Graph Data'!AR$1,'PCO Log'!$E$7:$SJ$7,"Approved")</f>
        <v>0</v>
      </c>
      <c r="AS37" s="304">
        <f>SUMIFS('PCO Log'!$E47:$SJ47,'PCO Log'!$E$9:$SJ$9,'Graph Data'!AS$1,'PCO Log'!$E$7:$SJ$7,"Approved")</f>
        <v>0</v>
      </c>
      <c r="AT37" s="304">
        <f>SUMIFS('PCO Log'!$E47:$SJ47,'PCO Log'!$E$9:$SJ$9,'Graph Data'!AT$1,'PCO Log'!$E$7:$SJ$7,"Approved")</f>
        <v>0</v>
      </c>
      <c r="AU37" s="304">
        <f>SUMIFS('PCO Log'!$E47:$SJ47,'PCO Log'!$E$9:$SJ$9,'Graph Data'!AU$1,'PCO Log'!$E$7:$SJ$7,"Approved")</f>
        <v>0</v>
      </c>
      <c r="AV37" s="304">
        <f>SUMIFS('PCO Log'!$E47:$SJ47,'PCO Log'!$E$9:$SJ$9,'Graph Data'!AV$1,'PCO Log'!$E$7:$SJ$7,"Approved")</f>
        <v>0</v>
      </c>
      <c r="AW37" s="304">
        <f>SUMIFS('PCO Log'!$E47:$SJ47,'PCO Log'!$E$9:$SJ$9,'Graph Data'!AW$1,'PCO Log'!$E$7:$SJ$7,"Approved")</f>
        <v>0</v>
      </c>
      <c r="AX37" s="304">
        <f>SUMIFS('PCO Log'!$E47:$SJ47,'PCO Log'!$E$9:$SJ$9,'Graph Data'!AX$1,'PCO Log'!$E$7:$SJ$7,"Approved")</f>
        <v>0</v>
      </c>
      <c r="AY37" s="304">
        <f>SUMIFS('PCO Log'!$E47:$SJ47,'PCO Log'!$E$9:$SJ$9,'Graph Data'!AY$1,'PCO Log'!$E$7:$SJ$7,"Approved")</f>
        <v>0</v>
      </c>
      <c r="AZ37" s="304">
        <f>SUMIFS('PCO Log'!$E47:$SJ47,'PCO Log'!$E$9:$SJ$9,'Graph Data'!AZ$1,'PCO Log'!$E$7:$SJ$7,"Approved")</f>
        <v>0</v>
      </c>
      <c r="BA37" s="304">
        <f>SUMIFS('PCO Log'!$E47:$SJ47,'PCO Log'!$E$9:$SJ$9,'Graph Data'!BA$1,'PCO Log'!$E$7:$SJ$7,"Approved")</f>
        <v>0</v>
      </c>
      <c r="BB37" s="304">
        <f>SUMIFS('PCO Log'!$E47:$SJ47,'PCO Log'!$E$9:$SJ$9,'Graph Data'!BB$1,'PCO Log'!$E$7:$SJ$7,"Approved")</f>
        <v>0</v>
      </c>
      <c r="BC37" s="304">
        <f>SUMIFS('PCO Log'!$E47:$SJ47,'PCO Log'!$E$9:$SJ$9,'Graph Data'!BC$1,'PCO Log'!$E$7:$SJ$7,"Approved")</f>
        <v>0</v>
      </c>
      <c r="BD37" s="304">
        <f>SUMIFS('PCO Log'!$E47:$SJ47,'PCO Log'!$E$9:$SJ$9,'Graph Data'!BD$1,'PCO Log'!$E$7:$SJ$7,"Approved")</f>
        <v>0</v>
      </c>
      <c r="BE37" s="304">
        <f>SUMIFS('PCO Log'!$E47:$SJ47,'PCO Log'!$E$9:$SJ$9,'Graph Data'!BE$1,'PCO Log'!$E$7:$SJ$7,"Approved")</f>
        <v>0</v>
      </c>
      <c r="BF37" s="304">
        <f>SUMIFS('PCO Log'!$E47:$SJ47,'PCO Log'!$E$9:$SJ$9,'Graph Data'!BF$1,'PCO Log'!$E$7:$SJ$7,"Approved")</f>
        <v>0</v>
      </c>
      <c r="BG37" s="304">
        <f>SUMIFS('PCO Log'!$E47:$SJ47,'PCO Log'!$E$9:$SJ$9,'Graph Data'!BG$1,'PCO Log'!$E$7:$SJ$7,"Approved")</f>
        <v>0</v>
      </c>
      <c r="BH37" s="304">
        <f>SUMIFS('PCO Log'!$E47:$SJ47,'PCO Log'!$E$9:$SJ$9,'Graph Data'!BH$1,'PCO Log'!$E$7:$SJ$7,"Approved")</f>
        <v>0</v>
      </c>
      <c r="BI37" s="304">
        <f>SUMIFS('PCO Log'!$E47:$SJ47,'PCO Log'!$E$9:$SJ$9,'Graph Data'!BI$1,'PCO Log'!$E$7:$SJ$7,"Approved")</f>
        <v>0</v>
      </c>
      <c r="BJ37" s="304">
        <f>SUMIFS('PCO Log'!$E47:$SJ47,'PCO Log'!$E$9:$SJ$9,'Graph Data'!BJ$1,'PCO Log'!$E$7:$SJ$7,"Approved")</f>
        <v>0</v>
      </c>
      <c r="BK37" s="304">
        <f>SUMIFS('PCO Log'!$E47:$SJ47,'PCO Log'!$E$9:$SJ$9,'Graph Data'!BK$1,'PCO Log'!$E$7:$SJ$7,"Approved")</f>
        <v>0</v>
      </c>
      <c r="BL37" s="304">
        <f>SUMIFS('PCO Log'!$E47:$SJ47,'PCO Log'!$E$9:$SJ$9,'Graph Data'!BL$1,'PCO Log'!$E$7:$SJ$7,"Approved")</f>
        <v>0</v>
      </c>
      <c r="BM37" s="304">
        <f>SUMIFS('PCO Log'!$E47:$SJ47,'PCO Log'!$E$9:$SJ$9,'Graph Data'!BM$1,'PCO Log'!$E$7:$SJ$7,"Approved")</f>
        <v>0</v>
      </c>
      <c r="BN37" s="304">
        <f>SUMIFS('PCO Log'!$E47:$SJ47,'PCO Log'!$E$9:$SJ$9,'Graph Data'!BN$1,'PCO Log'!$E$7:$SJ$7,"Approved")</f>
        <v>0</v>
      </c>
      <c r="BO37" s="304">
        <f>SUMIFS('PCO Log'!$E47:$SJ47,'PCO Log'!$E$9:$SJ$9,'Graph Data'!BO$1,'PCO Log'!$E$7:$SJ$7,"Approved")</f>
        <v>0</v>
      </c>
      <c r="BP37" s="304">
        <f>SUMIFS('PCO Log'!$E47:$SJ47,'PCO Log'!$E$9:$SJ$9,'Graph Data'!BP$1,'PCO Log'!$E$7:$SJ$7,"Approved")</f>
        <v>0</v>
      </c>
      <c r="BQ37" s="304">
        <f>SUMIFS('PCO Log'!$E47:$SJ47,'PCO Log'!$E$9:$SJ$9,'Graph Data'!BQ$1,'PCO Log'!$E$7:$SJ$7,"Approved")</f>
        <v>0</v>
      </c>
      <c r="BR37" s="304">
        <f>SUMIFS('PCO Log'!$E47:$SJ47,'PCO Log'!$E$9:$SJ$9,'Graph Data'!BR$1,'PCO Log'!$E$7:$SJ$7,"Approved")</f>
        <v>0</v>
      </c>
      <c r="BS37" s="304">
        <f>SUMIFS('PCO Log'!$E47:$SJ47,'PCO Log'!$E$9:$SJ$9,'Graph Data'!BS$1,'PCO Log'!$E$7:$SJ$7,"Approved")</f>
        <v>0</v>
      </c>
      <c r="BT37" s="304">
        <f>SUMIFS('PCO Log'!$E47:$SJ47,'PCO Log'!$E$9:$SJ$9,'Graph Data'!BT$1,'PCO Log'!$E$7:$SJ$7,"Approved")</f>
        <v>0</v>
      </c>
      <c r="BU37" s="304">
        <f>SUMIFS('PCO Log'!$E47:$SJ47,'PCO Log'!$E$9:$SJ$9,'Graph Data'!BU$1,'PCO Log'!$E$7:$SJ$7,"Approved")</f>
        <v>0</v>
      </c>
      <c r="BV37" s="304">
        <f>SUMIFS('PCO Log'!$E47:$SJ47,'PCO Log'!$E$9:$SJ$9,'Graph Data'!BV$1,'PCO Log'!$E$7:$SJ$7,"Approved")</f>
        <v>0</v>
      </c>
      <c r="BW37" s="304">
        <f>SUMIFS('PCO Log'!$E47:$SJ47,'PCO Log'!$E$9:$SJ$9,'Graph Data'!BW$1,'PCO Log'!$E$7:$SJ$7,"Approved")</f>
        <v>0</v>
      </c>
      <c r="BX37" s="304">
        <f>SUMIFS('PCO Log'!$E47:$SJ47,'PCO Log'!$E$9:$SJ$9,'Graph Data'!BX$1,'PCO Log'!$E$7:$SJ$7,"Approved")</f>
        <v>0</v>
      </c>
    </row>
    <row r="38" spans="1:76" x14ac:dyDescent="0.25">
      <c r="A38" s="303" t="s">
        <v>378</v>
      </c>
      <c r="B38" s="303">
        <f>'PCO Log'!AO7</f>
        <v>0</v>
      </c>
      <c r="C38" s="303">
        <f>'PCO Log'!AO4</f>
        <v>0</v>
      </c>
      <c r="D38" s="303" cm="1">
        <f t="array" ref="D38">INDEX('PCO Log'!$E$5:$SJ$5, 1, ROWS('Graph Data'!$D$2:D38))</f>
        <v>0</v>
      </c>
      <c r="E38" s="303">
        <f>'PCO Log'!AO8</f>
        <v>0</v>
      </c>
      <c r="F38" s="303">
        <f>'PCO Log'!AO3</f>
        <v>0</v>
      </c>
      <c r="G38" s="304">
        <f>'PCO Log'!AO10</f>
        <v>0</v>
      </c>
      <c r="H38" s="305">
        <f>'PCO Log'!AO6</f>
        <v>0</v>
      </c>
      <c r="J38" s="303" t="s">
        <v>305</v>
      </c>
      <c r="K38" s="303">
        <f>'Pay App 37'!H33</f>
        <v>0</v>
      </c>
      <c r="L38" s="303">
        <f>IF(M38&gt;0,'Pay App 37'!$G$149,0)</f>
        <v>0</v>
      </c>
      <c r="M38" s="303">
        <f>'Pay App 37'!H149</f>
        <v>0</v>
      </c>
      <c r="O38" s="303" t="str">
        <f>'Pay App 1'!B93</f>
        <v>07 95 00</v>
      </c>
      <c r="P38" s="303" t="str">
        <f>'Pay App 1'!C93</f>
        <v>Expansion Joints</v>
      </c>
      <c r="Q38" s="304">
        <f>SUMIFS('PCO Log'!$E48:$SJ48,'PCO Log'!$E$9:$SJ$9,'Graph Data'!Q$1,'PCO Log'!$E$7:$SJ$7,"Approved")</f>
        <v>0</v>
      </c>
      <c r="R38" s="304">
        <f>SUMIFS('PCO Log'!$E48:$SJ48,'PCO Log'!$E$9:$SJ$9,'Graph Data'!R$1,'PCO Log'!$E$7:$SJ$7,"Approved")</f>
        <v>0</v>
      </c>
      <c r="S38" s="304">
        <f>SUMIFS('PCO Log'!$E48:$SJ48,'PCO Log'!$E$9:$SJ$9,'Graph Data'!S$1,'PCO Log'!$E$7:$SJ$7,"Approved")</f>
        <v>0</v>
      </c>
      <c r="T38" s="304">
        <f>SUMIFS('PCO Log'!$E48:$SJ48,'PCO Log'!$E$9:$SJ$9,'Graph Data'!T$1,'PCO Log'!$E$7:$SJ$7,"Approved")</f>
        <v>0</v>
      </c>
      <c r="U38" s="304">
        <f>SUMIFS('PCO Log'!$E48:$SJ48,'PCO Log'!$E$9:$SJ$9,'Graph Data'!U$1,'PCO Log'!$E$7:$SJ$7,"Approved")</f>
        <v>0</v>
      </c>
      <c r="V38" s="304">
        <f>SUMIFS('PCO Log'!$E48:$SJ48,'PCO Log'!$E$9:$SJ$9,'Graph Data'!V$1,'PCO Log'!$E$7:$SJ$7,"Approved")</f>
        <v>0</v>
      </c>
      <c r="W38" s="304">
        <f>SUMIFS('PCO Log'!$E48:$SJ48,'PCO Log'!$E$9:$SJ$9,'Graph Data'!W$1,'PCO Log'!$E$7:$SJ$7,"Approved")</f>
        <v>0</v>
      </c>
      <c r="X38" s="304">
        <f>SUMIFS('PCO Log'!$E48:$SJ48,'PCO Log'!$E$9:$SJ$9,'Graph Data'!X$1,'PCO Log'!$E$7:$SJ$7,"Approved")</f>
        <v>0</v>
      </c>
      <c r="Y38" s="304">
        <f>SUMIFS('PCO Log'!$E48:$SJ48,'PCO Log'!$E$9:$SJ$9,'Graph Data'!Y$1,'PCO Log'!$E$7:$SJ$7,"Approved")</f>
        <v>0</v>
      </c>
      <c r="Z38" s="304">
        <f>SUMIFS('PCO Log'!$E48:$SJ48,'PCO Log'!$E$9:$SJ$9,'Graph Data'!Z$1,'PCO Log'!$E$7:$SJ$7,"Approved")</f>
        <v>0</v>
      </c>
      <c r="AA38" s="304">
        <f>SUMIFS('PCO Log'!$E48:$SJ48,'PCO Log'!$E$9:$SJ$9,'Graph Data'!AA$1,'PCO Log'!$E$7:$SJ$7,"Approved")</f>
        <v>0</v>
      </c>
      <c r="AB38" s="304">
        <f>SUMIFS('PCO Log'!$E48:$SJ48,'PCO Log'!$E$9:$SJ$9,'Graph Data'!AB$1,'PCO Log'!$E$7:$SJ$7,"Approved")</f>
        <v>0</v>
      </c>
      <c r="AC38" s="304">
        <f>SUMIFS('PCO Log'!$E48:$SJ48,'PCO Log'!$E$9:$SJ$9,'Graph Data'!AC$1,'PCO Log'!$E$7:$SJ$7,"Approved")</f>
        <v>0</v>
      </c>
      <c r="AD38" s="304">
        <f>SUMIFS('PCO Log'!$E48:$SJ48,'PCO Log'!$E$9:$SJ$9,'Graph Data'!AD$1,'PCO Log'!$E$7:$SJ$7,"Approved")</f>
        <v>0</v>
      </c>
      <c r="AE38" s="304">
        <f>SUMIFS('PCO Log'!$E48:$SJ48,'PCO Log'!$E$9:$SJ$9,'Graph Data'!AE$1,'PCO Log'!$E$7:$SJ$7,"Approved")</f>
        <v>0</v>
      </c>
      <c r="AF38" s="304">
        <f>SUMIFS('PCO Log'!$E48:$SJ48,'PCO Log'!$E$9:$SJ$9,'Graph Data'!AF$1,'PCO Log'!$E$7:$SJ$7,"Approved")</f>
        <v>0</v>
      </c>
      <c r="AG38" s="304">
        <f>SUMIFS('PCO Log'!$E48:$SJ48,'PCO Log'!$E$9:$SJ$9,'Graph Data'!AG$1,'PCO Log'!$E$7:$SJ$7,"Approved")</f>
        <v>0</v>
      </c>
      <c r="AH38" s="304">
        <f>SUMIFS('PCO Log'!$E48:$SJ48,'PCO Log'!$E$9:$SJ$9,'Graph Data'!AH$1,'PCO Log'!$E$7:$SJ$7,"Approved")</f>
        <v>0</v>
      </c>
      <c r="AI38" s="304">
        <f>SUMIFS('PCO Log'!$E48:$SJ48,'PCO Log'!$E$9:$SJ$9,'Graph Data'!AI$1,'PCO Log'!$E$7:$SJ$7,"Approved")</f>
        <v>0</v>
      </c>
      <c r="AJ38" s="304">
        <f>SUMIFS('PCO Log'!$E48:$SJ48,'PCO Log'!$E$9:$SJ$9,'Graph Data'!AJ$1,'PCO Log'!$E$7:$SJ$7,"Approved")</f>
        <v>0</v>
      </c>
      <c r="AK38" s="304">
        <f>SUMIFS('PCO Log'!$E48:$SJ48,'PCO Log'!$E$9:$SJ$9,'Graph Data'!AK$1,'PCO Log'!$E$7:$SJ$7,"Approved")</f>
        <v>0</v>
      </c>
      <c r="AL38" s="304">
        <f>SUMIFS('PCO Log'!$E48:$SJ48,'PCO Log'!$E$9:$SJ$9,'Graph Data'!AL$1,'PCO Log'!$E$7:$SJ$7,"Approved")</f>
        <v>0</v>
      </c>
      <c r="AM38" s="304">
        <f>SUMIFS('PCO Log'!$E48:$SJ48,'PCO Log'!$E$9:$SJ$9,'Graph Data'!AM$1,'PCO Log'!$E$7:$SJ$7,"Approved")</f>
        <v>0</v>
      </c>
      <c r="AN38" s="304">
        <f>SUMIFS('PCO Log'!$E48:$SJ48,'PCO Log'!$E$9:$SJ$9,'Graph Data'!AN$1,'PCO Log'!$E$7:$SJ$7,"Approved")</f>
        <v>0</v>
      </c>
      <c r="AO38" s="304">
        <f>SUMIFS('PCO Log'!$E48:$SJ48,'PCO Log'!$E$9:$SJ$9,'Graph Data'!AO$1,'PCO Log'!$E$7:$SJ$7,"Approved")</f>
        <v>0</v>
      </c>
      <c r="AP38" s="304">
        <f>SUMIFS('PCO Log'!$E48:$SJ48,'PCO Log'!$E$9:$SJ$9,'Graph Data'!AP$1,'PCO Log'!$E$7:$SJ$7,"Approved")</f>
        <v>0</v>
      </c>
      <c r="AQ38" s="304">
        <f>SUMIFS('PCO Log'!$E48:$SJ48,'PCO Log'!$E$9:$SJ$9,'Graph Data'!AQ$1,'PCO Log'!$E$7:$SJ$7,"Approved")</f>
        <v>0</v>
      </c>
      <c r="AR38" s="304">
        <f>SUMIFS('PCO Log'!$E48:$SJ48,'PCO Log'!$E$9:$SJ$9,'Graph Data'!AR$1,'PCO Log'!$E$7:$SJ$7,"Approved")</f>
        <v>0</v>
      </c>
      <c r="AS38" s="304">
        <f>SUMIFS('PCO Log'!$E48:$SJ48,'PCO Log'!$E$9:$SJ$9,'Graph Data'!AS$1,'PCO Log'!$E$7:$SJ$7,"Approved")</f>
        <v>0</v>
      </c>
      <c r="AT38" s="304">
        <f>SUMIFS('PCO Log'!$E48:$SJ48,'PCO Log'!$E$9:$SJ$9,'Graph Data'!AT$1,'PCO Log'!$E$7:$SJ$7,"Approved")</f>
        <v>0</v>
      </c>
      <c r="AU38" s="304">
        <f>SUMIFS('PCO Log'!$E48:$SJ48,'PCO Log'!$E$9:$SJ$9,'Graph Data'!AU$1,'PCO Log'!$E$7:$SJ$7,"Approved")</f>
        <v>0</v>
      </c>
      <c r="AV38" s="304">
        <f>SUMIFS('PCO Log'!$E48:$SJ48,'PCO Log'!$E$9:$SJ$9,'Graph Data'!AV$1,'PCO Log'!$E$7:$SJ$7,"Approved")</f>
        <v>0</v>
      </c>
      <c r="AW38" s="304">
        <f>SUMIFS('PCO Log'!$E48:$SJ48,'PCO Log'!$E$9:$SJ$9,'Graph Data'!AW$1,'PCO Log'!$E$7:$SJ$7,"Approved")</f>
        <v>0</v>
      </c>
      <c r="AX38" s="304">
        <f>SUMIFS('PCO Log'!$E48:$SJ48,'PCO Log'!$E$9:$SJ$9,'Graph Data'!AX$1,'PCO Log'!$E$7:$SJ$7,"Approved")</f>
        <v>0</v>
      </c>
      <c r="AY38" s="304">
        <f>SUMIFS('PCO Log'!$E48:$SJ48,'PCO Log'!$E$9:$SJ$9,'Graph Data'!AY$1,'PCO Log'!$E$7:$SJ$7,"Approved")</f>
        <v>0</v>
      </c>
      <c r="AZ38" s="304">
        <f>SUMIFS('PCO Log'!$E48:$SJ48,'PCO Log'!$E$9:$SJ$9,'Graph Data'!AZ$1,'PCO Log'!$E$7:$SJ$7,"Approved")</f>
        <v>0</v>
      </c>
      <c r="BA38" s="304">
        <f>SUMIFS('PCO Log'!$E48:$SJ48,'PCO Log'!$E$9:$SJ$9,'Graph Data'!BA$1,'PCO Log'!$E$7:$SJ$7,"Approved")</f>
        <v>0</v>
      </c>
      <c r="BB38" s="304">
        <f>SUMIFS('PCO Log'!$E48:$SJ48,'PCO Log'!$E$9:$SJ$9,'Graph Data'!BB$1,'PCO Log'!$E$7:$SJ$7,"Approved")</f>
        <v>0</v>
      </c>
      <c r="BC38" s="304">
        <f>SUMIFS('PCO Log'!$E48:$SJ48,'PCO Log'!$E$9:$SJ$9,'Graph Data'!BC$1,'PCO Log'!$E$7:$SJ$7,"Approved")</f>
        <v>0</v>
      </c>
      <c r="BD38" s="304">
        <f>SUMIFS('PCO Log'!$E48:$SJ48,'PCO Log'!$E$9:$SJ$9,'Graph Data'!BD$1,'PCO Log'!$E$7:$SJ$7,"Approved")</f>
        <v>0</v>
      </c>
      <c r="BE38" s="304">
        <f>SUMIFS('PCO Log'!$E48:$SJ48,'PCO Log'!$E$9:$SJ$9,'Graph Data'!BE$1,'PCO Log'!$E$7:$SJ$7,"Approved")</f>
        <v>0</v>
      </c>
      <c r="BF38" s="304">
        <f>SUMIFS('PCO Log'!$E48:$SJ48,'PCO Log'!$E$9:$SJ$9,'Graph Data'!BF$1,'PCO Log'!$E$7:$SJ$7,"Approved")</f>
        <v>0</v>
      </c>
      <c r="BG38" s="304">
        <f>SUMIFS('PCO Log'!$E48:$SJ48,'PCO Log'!$E$9:$SJ$9,'Graph Data'!BG$1,'PCO Log'!$E$7:$SJ$7,"Approved")</f>
        <v>0</v>
      </c>
      <c r="BH38" s="304">
        <f>SUMIFS('PCO Log'!$E48:$SJ48,'PCO Log'!$E$9:$SJ$9,'Graph Data'!BH$1,'PCO Log'!$E$7:$SJ$7,"Approved")</f>
        <v>0</v>
      </c>
      <c r="BI38" s="304">
        <f>SUMIFS('PCO Log'!$E48:$SJ48,'PCO Log'!$E$9:$SJ$9,'Graph Data'!BI$1,'PCO Log'!$E$7:$SJ$7,"Approved")</f>
        <v>0</v>
      </c>
      <c r="BJ38" s="304">
        <f>SUMIFS('PCO Log'!$E48:$SJ48,'PCO Log'!$E$9:$SJ$9,'Graph Data'!BJ$1,'PCO Log'!$E$7:$SJ$7,"Approved")</f>
        <v>0</v>
      </c>
      <c r="BK38" s="304">
        <f>SUMIFS('PCO Log'!$E48:$SJ48,'PCO Log'!$E$9:$SJ$9,'Graph Data'!BK$1,'PCO Log'!$E$7:$SJ$7,"Approved")</f>
        <v>0</v>
      </c>
      <c r="BL38" s="304">
        <f>SUMIFS('PCO Log'!$E48:$SJ48,'PCO Log'!$E$9:$SJ$9,'Graph Data'!BL$1,'PCO Log'!$E$7:$SJ$7,"Approved")</f>
        <v>0</v>
      </c>
      <c r="BM38" s="304">
        <f>SUMIFS('PCO Log'!$E48:$SJ48,'PCO Log'!$E$9:$SJ$9,'Graph Data'!BM$1,'PCO Log'!$E$7:$SJ$7,"Approved")</f>
        <v>0</v>
      </c>
      <c r="BN38" s="304">
        <f>SUMIFS('PCO Log'!$E48:$SJ48,'PCO Log'!$E$9:$SJ$9,'Graph Data'!BN$1,'PCO Log'!$E$7:$SJ$7,"Approved")</f>
        <v>0</v>
      </c>
      <c r="BO38" s="304">
        <f>SUMIFS('PCO Log'!$E48:$SJ48,'PCO Log'!$E$9:$SJ$9,'Graph Data'!BO$1,'PCO Log'!$E$7:$SJ$7,"Approved")</f>
        <v>0</v>
      </c>
      <c r="BP38" s="304">
        <f>SUMIFS('PCO Log'!$E48:$SJ48,'PCO Log'!$E$9:$SJ$9,'Graph Data'!BP$1,'PCO Log'!$E$7:$SJ$7,"Approved")</f>
        <v>0</v>
      </c>
      <c r="BQ38" s="304">
        <f>SUMIFS('PCO Log'!$E48:$SJ48,'PCO Log'!$E$9:$SJ$9,'Graph Data'!BQ$1,'PCO Log'!$E$7:$SJ$7,"Approved")</f>
        <v>0</v>
      </c>
      <c r="BR38" s="304">
        <f>SUMIFS('PCO Log'!$E48:$SJ48,'PCO Log'!$E$9:$SJ$9,'Graph Data'!BR$1,'PCO Log'!$E$7:$SJ$7,"Approved")</f>
        <v>0</v>
      </c>
      <c r="BS38" s="304">
        <f>SUMIFS('PCO Log'!$E48:$SJ48,'PCO Log'!$E$9:$SJ$9,'Graph Data'!BS$1,'PCO Log'!$E$7:$SJ$7,"Approved")</f>
        <v>0</v>
      </c>
      <c r="BT38" s="304">
        <f>SUMIFS('PCO Log'!$E48:$SJ48,'PCO Log'!$E$9:$SJ$9,'Graph Data'!BT$1,'PCO Log'!$E$7:$SJ$7,"Approved")</f>
        <v>0</v>
      </c>
      <c r="BU38" s="304">
        <f>SUMIFS('PCO Log'!$E48:$SJ48,'PCO Log'!$E$9:$SJ$9,'Graph Data'!BU$1,'PCO Log'!$E$7:$SJ$7,"Approved")</f>
        <v>0</v>
      </c>
      <c r="BV38" s="304">
        <f>SUMIFS('PCO Log'!$E48:$SJ48,'PCO Log'!$E$9:$SJ$9,'Graph Data'!BV$1,'PCO Log'!$E$7:$SJ$7,"Approved")</f>
        <v>0</v>
      </c>
      <c r="BW38" s="304">
        <f>SUMIFS('PCO Log'!$E48:$SJ48,'PCO Log'!$E$9:$SJ$9,'Graph Data'!BW$1,'PCO Log'!$E$7:$SJ$7,"Approved")</f>
        <v>0</v>
      </c>
      <c r="BX38" s="304">
        <f>SUMIFS('PCO Log'!$E48:$SJ48,'PCO Log'!$E$9:$SJ$9,'Graph Data'!BX$1,'PCO Log'!$E$7:$SJ$7,"Approved")</f>
        <v>0</v>
      </c>
    </row>
    <row r="39" spans="1:76" x14ac:dyDescent="0.25">
      <c r="A39" s="303" t="s">
        <v>379</v>
      </c>
      <c r="B39" s="303">
        <f>'PCO Log'!AP7</f>
        <v>0</v>
      </c>
      <c r="C39" s="303">
        <f>'PCO Log'!AP4</f>
        <v>0</v>
      </c>
      <c r="D39" s="303" cm="1">
        <f t="array" ref="D39">INDEX('PCO Log'!$E$5:$SJ$5, 1, ROWS('Graph Data'!$D$2:D39))</f>
        <v>0</v>
      </c>
      <c r="E39" s="303">
        <f>'PCO Log'!AP8</f>
        <v>0</v>
      </c>
      <c r="F39" s="303">
        <f>'PCO Log'!AP3</f>
        <v>0</v>
      </c>
      <c r="G39" s="304">
        <f>'PCO Log'!AP10</f>
        <v>0</v>
      </c>
      <c r="H39" s="305">
        <f>'PCO Log'!AP6</f>
        <v>0</v>
      </c>
      <c r="J39" s="303" t="s">
        <v>306</v>
      </c>
      <c r="K39" s="303">
        <f>'Pay App 38'!H33</f>
        <v>0</v>
      </c>
      <c r="L39" s="303">
        <f>IF(M39&gt;0,'Pay App 38'!$G$149,0)</f>
        <v>0</v>
      </c>
      <c r="M39" s="303">
        <f>'Pay App 38'!H149</f>
        <v>0</v>
      </c>
      <c r="O39" s="303" t="str">
        <f>'Pay App 1'!B94</f>
        <v>08 10 00</v>
      </c>
      <c r="P39" s="303" t="str">
        <f>'Pay App 1'!C94</f>
        <v>Doors, Frames &amp; Hardware</v>
      </c>
      <c r="Q39" s="304">
        <f>SUMIFS('PCO Log'!$E49:$SJ49,'PCO Log'!$E$9:$SJ$9,'Graph Data'!Q$1,'PCO Log'!$E$7:$SJ$7,"Approved")</f>
        <v>0</v>
      </c>
      <c r="R39" s="304">
        <f>SUMIFS('PCO Log'!$E49:$SJ49,'PCO Log'!$E$9:$SJ$9,'Graph Data'!R$1,'PCO Log'!$E$7:$SJ$7,"Approved")</f>
        <v>0</v>
      </c>
      <c r="S39" s="304">
        <f>SUMIFS('PCO Log'!$E49:$SJ49,'PCO Log'!$E$9:$SJ$9,'Graph Data'!S$1,'PCO Log'!$E$7:$SJ$7,"Approved")</f>
        <v>0</v>
      </c>
      <c r="T39" s="304">
        <f>SUMIFS('PCO Log'!$E49:$SJ49,'PCO Log'!$E$9:$SJ$9,'Graph Data'!T$1,'PCO Log'!$E$7:$SJ$7,"Approved")</f>
        <v>0</v>
      </c>
      <c r="U39" s="304">
        <f>SUMIFS('PCO Log'!$E49:$SJ49,'PCO Log'!$E$9:$SJ$9,'Graph Data'!U$1,'PCO Log'!$E$7:$SJ$7,"Approved")</f>
        <v>0</v>
      </c>
      <c r="V39" s="304">
        <f>SUMIFS('PCO Log'!$E49:$SJ49,'PCO Log'!$E$9:$SJ$9,'Graph Data'!V$1,'PCO Log'!$E$7:$SJ$7,"Approved")</f>
        <v>0</v>
      </c>
      <c r="W39" s="304">
        <f>SUMIFS('PCO Log'!$E49:$SJ49,'PCO Log'!$E$9:$SJ$9,'Graph Data'!W$1,'PCO Log'!$E$7:$SJ$7,"Approved")</f>
        <v>0</v>
      </c>
      <c r="X39" s="304">
        <f>SUMIFS('PCO Log'!$E49:$SJ49,'PCO Log'!$E$9:$SJ$9,'Graph Data'!X$1,'PCO Log'!$E$7:$SJ$7,"Approved")</f>
        <v>0</v>
      </c>
      <c r="Y39" s="304">
        <f>SUMIFS('PCO Log'!$E49:$SJ49,'PCO Log'!$E$9:$SJ$9,'Graph Data'!Y$1,'PCO Log'!$E$7:$SJ$7,"Approved")</f>
        <v>0</v>
      </c>
      <c r="Z39" s="304">
        <f>SUMIFS('PCO Log'!$E49:$SJ49,'PCO Log'!$E$9:$SJ$9,'Graph Data'!Z$1,'PCO Log'!$E$7:$SJ$7,"Approved")</f>
        <v>0</v>
      </c>
      <c r="AA39" s="304">
        <f>SUMIFS('PCO Log'!$E49:$SJ49,'PCO Log'!$E$9:$SJ$9,'Graph Data'!AA$1,'PCO Log'!$E$7:$SJ$7,"Approved")</f>
        <v>0</v>
      </c>
      <c r="AB39" s="304">
        <f>SUMIFS('PCO Log'!$E49:$SJ49,'PCO Log'!$E$9:$SJ$9,'Graph Data'!AB$1,'PCO Log'!$E$7:$SJ$7,"Approved")</f>
        <v>0</v>
      </c>
      <c r="AC39" s="304">
        <f>SUMIFS('PCO Log'!$E49:$SJ49,'PCO Log'!$E$9:$SJ$9,'Graph Data'!AC$1,'PCO Log'!$E$7:$SJ$7,"Approved")</f>
        <v>0</v>
      </c>
      <c r="AD39" s="304">
        <f>SUMIFS('PCO Log'!$E49:$SJ49,'PCO Log'!$E$9:$SJ$9,'Graph Data'!AD$1,'PCO Log'!$E$7:$SJ$7,"Approved")</f>
        <v>0</v>
      </c>
      <c r="AE39" s="304">
        <f>SUMIFS('PCO Log'!$E49:$SJ49,'PCO Log'!$E$9:$SJ$9,'Graph Data'!AE$1,'PCO Log'!$E$7:$SJ$7,"Approved")</f>
        <v>0</v>
      </c>
      <c r="AF39" s="304">
        <f>SUMIFS('PCO Log'!$E49:$SJ49,'PCO Log'!$E$9:$SJ$9,'Graph Data'!AF$1,'PCO Log'!$E$7:$SJ$7,"Approved")</f>
        <v>0</v>
      </c>
      <c r="AG39" s="304">
        <f>SUMIFS('PCO Log'!$E49:$SJ49,'PCO Log'!$E$9:$SJ$9,'Graph Data'!AG$1,'PCO Log'!$E$7:$SJ$7,"Approved")</f>
        <v>0</v>
      </c>
      <c r="AH39" s="304">
        <f>SUMIFS('PCO Log'!$E49:$SJ49,'PCO Log'!$E$9:$SJ$9,'Graph Data'!AH$1,'PCO Log'!$E$7:$SJ$7,"Approved")</f>
        <v>0</v>
      </c>
      <c r="AI39" s="304">
        <f>SUMIFS('PCO Log'!$E49:$SJ49,'PCO Log'!$E$9:$SJ$9,'Graph Data'!AI$1,'PCO Log'!$E$7:$SJ$7,"Approved")</f>
        <v>0</v>
      </c>
      <c r="AJ39" s="304">
        <f>SUMIFS('PCO Log'!$E49:$SJ49,'PCO Log'!$E$9:$SJ$9,'Graph Data'!AJ$1,'PCO Log'!$E$7:$SJ$7,"Approved")</f>
        <v>0</v>
      </c>
      <c r="AK39" s="304">
        <f>SUMIFS('PCO Log'!$E49:$SJ49,'PCO Log'!$E$9:$SJ$9,'Graph Data'!AK$1,'PCO Log'!$E$7:$SJ$7,"Approved")</f>
        <v>0</v>
      </c>
      <c r="AL39" s="304">
        <f>SUMIFS('PCO Log'!$E49:$SJ49,'PCO Log'!$E$9:$SJ$9,'Graph Data'!AL$1,'PCO Log'!$E$7:$SJ$7,"Approved")</f>
        <v>0</v>
      </c>
      <c r="AM39" s="304">
        <f>SUMIFS('PCO Log'!$E49:$SJ49,'PCO Log'!$E$9:$SJ$9,'Graph Data'!AM$1,'PCO Log'!$E$7:$SJ$7,"Approved")</f>
        <v>0</v>
      </c>
      <c r="AN39" s="304">
        <f>SUMIFS('PCO Log'!$E49:$SJ49,'PCO Log'!$E$9:$SJ$9,'Graph Data'!AN$1,'PCO Log'!$E$7:$SJ$7,"Approved")</f>
        <v>0</v>
      </c>
      <c r="AO39" s="304">
        <f>SUMIFS('PCO Log'!$E49:$SJ49,'PCO Log'!$E$9:$SJ$9,'Graph Data'!AO$1,'PCO Log'!$E$7:$SJ$7,"Approved")</f>
        <v>0</v>
      </c>
      <c r="AP39" s="304">
        <f>SUMIFS('PCO Log'!$E49:$SJ49,'PCO Log'!$E$9:$SJ$9,'Graph Data'!AP$1,'PCO Log'!$E$7:$SJ$7,"Approved")</f>
        <v>0</v>
      </c>
      <c r="AQ39" s="304">
        <f>SUMIFS('PCO Log'!$E49:$SJ49,'PCO Log'!$E$9:$SJ$9,'Graph Data'!AQ$1,'PCO Log'!$E$7:$SJ$7,"Approved")</f>
        <v>0</v>
      </c>
      <c r="AR39" s="304">
        <f>SUMIFS('PCO Log'!$E49:$SJ49,'PCO Log'!$E$9:$SJ$9,'Graph Data'!AR$1,'PCO Log'!$E$7:$SJ$7,"Approved")</f>
        <v>0</v>
      </c>
      <c r="AS39" s="304">
        <f>SUMIFS('PCO Log'!$E49:$SJ49,'PCO Log'!$E$9:$SJ$9,'Graph Data'!AS$1,'PCO Log'!$E$7:$SJ$7,"Approved")</f>
        <v>0</v>
      </c>
      <c r="AT39" s="304">
        <f>SUMIFS('PCO Log'!$E49:$SJ49,'PCO Log'!$E$9:$SJ$9,'Graph Data'!AT$1,'PCO Log'!$E$7:$SJ$7,"Approved")</f>
        <v>0</v>
      </c>
      <c r="AU39" s="304">
        <f>SUMIFS('PCO Log'!$E49:$SJ49,'PCO Log'!$E$9:$SJ$9,'Graph Data'!AU$1,'PCO Log'!$E$7:$SJ$7,"Approved")</f>
        <v>0</v>
      </c>
      <c r="AV39" s="304">
        <f>SUMIFS('PCO Log'!$E49:$SJ49,'PCO Log'!$E$9:$SJ$9,'Graph Data'!AV$1,'PCO Log'!$E$7:$SJ$7,"Approved")</f>
        <v>0</v>
      </c>
      <c r="AW39" s="304">
        <f>SUMIFS('PCO Log'!$E49:$SJ49,'PCO Log'!$E$9:$SJ$9,'Graph Data'!AW$1,'PCO Log'!$E$7:$SJ$7,"Approved")</f>
        <v>0</v>
      </c>
      <c r="AX39" s="304">
        <f>SUMIFS('PCO Log'!$E49:$SJ49,'PCO Log'!$E$9:$SJ$9,'Graph Data'!AX$1,'PCO Log'!$E$7:$SJ$7,"Approved")</f>
        <v>0</v>
      </c>
      <c r="AY39" s="304">
        <f>SUMIFS('PCO Log'!$E49:$SJ49,'PCO Log'!$E$9:$SJ$9,'Graph Data'!AY$1,'PCO Log'!$E$7:$SJ$7,"Approved")</f>
        <v>0</v>
      </c>
      <c r="AZ39" s="304">
        <f>SUMIFS('PCO Log'!$E49:$SJ49,'PCO Log'!$E$9:$SJ$9,'Graph Data'!AZ$1,'PCO Log'!$E$7:$SJ$7,"Approved")</f>
        <v>0</v>
      </c>
      <c r="BA39" s="304">
        <f>SUMIFS('PCO Log'!$E49:$SJ49,'PCO Log'!$E$9:$SJ$9,'Graph Data'!BA$1,'PCO Log'!$E$7:$SJ$7,"Approved")</f>
        <v>0</v>
      </c>
      <c r="BB39" s="304">
        <f>SUMIFS('PCO Log'!$E49:$SJ49,'PCO Log'!$E$9:$SJ$9,'Graph Data'!BB$1,'PCO Log'!$E$7:$SJ$7,"Approved")</f>
        <v>0</v>
      </c>
      <c r="BC39" s="304">
        <f>SUMIFS('PCO Log'!$E49:$SJ49,'PCO Log'!$E$9:$SJ$9,'Graph Data'!BC$1,'PCO Log'!$E$7:$SJ$7,"Approved")</f>
        <v>0</v>
      </c>
      <c r="BD39" s="304">
        <f>SUMIFS('PCO Log'!$E49:$SJ49,'PCO Log'!$E$9:$SJ$9,'Graph Data'!BD$1,'PCO Log'!$E$7:$SJ$7,"Approved")</f>
        <v>0</v>
      </c>
      <c r="BE39" s="304">
        <f>SUMIFS('PCO Log'!$E49:$SJ49,'PCO Log'!$E$9:$SJ$9,'Graph Data'!BE$1,'PCO Log'!$E$7:$SJ$7,"Approved")</f>
        <v>0</v>
      </c>
      <c r="BF39" s="304">
        <f>SUMIFS('PCO Log'!$E49:$SJ49,'PCO Log'!$E$9:$SJ$9,'Graph Data'!BF$1,'PCO Log'!$E$7:$SJ$7,"Approved")</f>
        <v>0</v>
      </c>
      <c r="BG39" s="304">
        <f>SUMIFS('PCO Log'!$E49:$SJ49,'PCO Log'!$E$9:$SJ$9,'Graph Data'!BG$1,'PCO Log'!$E$7:$SJ$7,"Approved")</f>
        <v>0</v>
      </c>
      <c r="BH39" s="304">
        <f>SUMIFS('PCO Log'!$E49:$SJ49,'PCO Log'!$E$9:$SJ$9,'Graph Data'!BH$1,'PCO Log'!$E$7:$SJ$7,"Approved")</f>
        <v>0</v>
      </c>
      <c r="BI39" s="304">
        <f>SUMIFS('PCO Log'!$E49:$SJ49,'PCO Log'!$E$9:$SJ$9,'Graph Data'!BI$1,'PCO Log'!$E$7:$SJ$7,"Approved")</f>
        <v>0</v>
      </c>
      <c r="BJ39" s="304">
        <f>SUMIFS('PCO Log'!$E49:$SJ49,'PCO Log'!$E$9:$SJ$9,'Graph Data'!BJ$1,'PCO Log'!$E$7:$SJ$7,"Approved")</f>
        <v>0</v>
      </c>
      <c r="BK39" s="304">
        <f>SUMIFS('PCO Log'!$E49:$SJ49,'PCO Log'!$E$9:$SJ$9,'Graph Data'!BK$1,'PCO Log'!$E$7:$SJ$7,"Approved")</f>
        <v>0</v>
      </c>
      <c r="BL39" s="304">
        <f>SUMIFS('PCO Log'!$E49:$SJ49,'PCO Log'!$E$9:$SJ$9,'Graph Data'!BL$1,'PCO Log'!$E$7:$SJ$7,"Approved")</f>
        <v>0</v>
      </c>
      <c r="BM39" s="304">
        <f>SUMIFS('PCO Log'!$E49:$SJ49,'PCO Log'!$E$9:$SJ$9,'Graph Data'!BM$1,'PCO Log'!$E$7:$SJ$7,"Approved")</f>
        <v>0</v>
      </c>
      <c r="BN39" s="304">
        <f>SUMIFS('PCO Log'!$E49:$SJ49,'PCO Log'!$E$9:$SJ$9,'Graph Data'!BN$1,'PCO Log'!$E$7:$SJ$7,"Approved")</f>
        <v>0</v>
      </c>
      <c r="BO39" s="304">
        <f>SUMIFS('PCO Log'!$E49:$SJ49,'PCO Log'!$E$9:$SJ$9,'Graph Data'!BO$1,'PCO Log'!$E$7:$SJ$7,"Approved")</f>
        <v>0</v>
      </c>
      <c r="BP39" s="304">
        <f>SUMIFS('PCO Log'!$E49:$SJ49,'PCO Log'!$E$9:$SJ$9,'Graph Data'!BP$1,'PCO Log'!$E$7:$SJ$7,"Approved")</f>
        <v>0</v>
      </c>
      <c r="BQ39" s="304">
        <f>SUMIFS('PCO Log'!$E49:$SJ49,'PCO Log'!$E$9:$SJ$9,'Graph Data'!BQ$1,'PCO Log'!$E$7:$SJ$7,"Approved")</f>
        <v>0</v>
      </c>
      <c r="BR39" s="304">
        <f>SUMIFS('PCO Log'!$E49:$SJ49,'PCO Log'!$E$9:$SJ$9,'Graph Data'!BR$1,'PCO Log'!$E$7:$SJ$7,"Approved")</f>
        <v>0</v>
      </c>
      <c r="BS39" s="304">
        <f>SUMIFS('PCO Log'!$E49:$SJ49,'PCO Log'!$E$9:$SJ$9,'Graph Data'!BS$1,'PCO Log'!$E$7:$SJ$7,"Approved")</f>
        <v>0</v>
      </c>
      <c r="BT39" s="304">
        <f>SUMIFS('PCO Log'!$E49:$SJ49,'PCO Log'!$E$9:$SJ$9,'Graph Data'!BT$1,'PCO Log'!$E$7:$SJ$7,"Approved")</f>
        <v>0</v>
      </c>
      <c r="BU39" s="304">
        <f>SUMIFS('PCO Log'!$E49:$SJ49,'PCO Log'!$E$9:$SJ$9,'Graph Data'!BU$1,'PCO Log'!$E$7:$SJ$7,"Approved")</f>
        <v>0</v>
      </c>
      <c r="BV39" s="304">
        <f>SUMIFS('PCO Log'!$E49:$SJ49,'PCO Log'!$E$9:$SJ$9,'Graph Data'!BV$1,'PCO Log'!$E$7:$SJ$7,"Approved")</f>
        <v>0</v>
      </c>
      <c r="BW39" s="304">
        <f>SUMIFS('PCO Log'!$E49:$SJ49,'PCO Log'!$E$9:$SJ$9,'Graph Data'!BW$1,'PCO Log'!$E$7:$SJ$7,"Approved")</f>
        <v>0</v>
      </c>
      <c r="BX39" s="304">
        <f>SUMIFS('PCO Log'!$E49:$SJ49,'PCO Log'!$E$9:$SJ$9,'Graph Data'!BX$1,'PCO Log'!$E$7:$SJ$7,"Approved")</f>
        <v>0</v>
      </c>
    </row>
    <row r="40" spans="1:76" x14ac:dyDescent="0.25">
      <c r="A40" s="303" t="s">
        <v>380</v>
      </c>
      <c r="B40" s="303">
        <f>'PCO Log'!AQ7</f>
        <v>0</v>
      </c>
      <c r="C40" s="303">
        <f>'PCO Log'!AQ4</f>
        <v>0</v>
      </c>
      <c r="D40" s="303" cm="1">
        <f t="array" ref="D40">INDEX('PCO Log'!$E$5:$SJ$5, 1, ROWS('Graph Data'!$D$2:D40))</f>
        <v>0</v>
      </c>
      <c r="E40" s="303">
        <f>'PCO Log'!AQ8</f>
        <v>0</v>
      </c>
      <c r="F40" s="303">
        <f>'PCO Log'!AQ3</f>
        <v>0</v>
      </c>
      <c r="G40" s="304">
        <f>'PCO Log'!AQ10</f>
        <v>0</v>
      </c>
      <c r="H40" s="305">
        <f>'PCO Log'!AQ6</f>
        <v>0</v>
      </c>
      <c r="J40" s="303" t="s">
        <v>307</v>
      </c>
      <c r="K40" s="303">
        <f>'Pay App 39'!H33</f>
        <v>0</v>
      </c>
      <c r="L40" s="303">
        <f>IF(M40&gt;0,'Pay App 39'!$G$149,0)</f>
        <v>0</v>
      </c>
      <c r="M40" s="303">
        <f>'Pay App 39'!H149</f>
        <v>0</v>
      </c>
      <c r="O40" s="303" t="str">
        <f>'Pay App 1'!B95</f>
        <v>08 30 00</v>
      </c>
      <c r="P40" s="303" t="str">
        <f>'Pay App 1'!C95</f>
        <v>Specialty Doors</v>
      </c>
      <c r="Q40" s="304">
        <f>SUMIFS('PCO Log'!$E50:$SJ50,'PCO Log'!$E$9:$SJ$9,'Graph Data'!Q$1,'PCO Log'!$E$7:$SJ$7,"Approved")</f>
        <v>0</v>
      </c>
      <c r="R40" s="304">
        <f>SUMIFS('PCO Log'!$E50:$SJ50,'PCO Log'!$E$9:$SJ$9,'Graph Data'!R$1,'PCO Log'!$E$7:$SJ$7,"Approved")</f>
        <v>0</v>
      </c>
      <c r="S40" s="304">
        <f>SUMIFS('PCO Log'!$E50:$SJ50,'PCO Log'!$E$9:$SJ$9,'Graph Data'!S$1,'PCO Log'!$E$7:$SJ$7,"Approved")</f>
        <v>0</v>
      </c>
      <c r="T40" s="304">
        <f>SUMIFS('PCO Log'!$E50:$SJ50,'PCO Log'!$E$9:$SJ$9,'Graph Data'!T$1,'PCO Log'!$E$7:$SJ$7,"Approved")</f>
        <v>0</v>
      </c>
      <c r="U40" s="304">
        <f>SUMIFS('PCO Log'!$E50:$SJ50,'PCO Log'!$E$9:$SJ$9,'Graph Data'!U$1,'PCO Log'!$E$7:$SJ$7,"Approved")</f>
        <v>0</v>
      </c>
      <c r="V40" s="304">
        <f>SUMIFS('PCO Log'!$E50:$SJ50,'PCO Log'!$E$9:$SJ$9,'Graph Data'!V$1,'PCO Log'!$E$7:$SJ$7,"Approved")</f>
        <v>0</v>
      </c>
      <c r="W40" s="304">
        <f>SUMIFS('PCO Log'!$E50:$SJ50,'PCO Log'!$E$9:$SJ$9,'Graph Data'!W$1,'PCO Log'!$E$7:$SJ$7,"Approved")</f>
        <v>0</v>
      </c>
      <c r="X40" s="304">
        <f>SUMIFS('PCO Log'!$E50:$SJ50,'PCO Log'!$E$9:$SJ$9,'Graph Data'!X$1,'PCO Log'!$E$7:$SJ$7,"Approved")</f>
        <v>0</v>
      </c>
      <c r="Y40" s="304">
        <f>SUMIFS('PCO Log'!$E50:$SJ50,'PCO Log'!$E$9:$SJ$9,'Graph Data'!Y$1,'PCO Log'!$E$7:$SJ$7,"Approved")</f>
        <v>0</v>
      </c>
      <c r="Z40" s="304">
        <f>SUMIFS('PCO Log'!$E50:$SJ50,'PCO Log'!$E$9:$SJ$9,'Graph Data'!Z$1,'PCO Log'!$E$7:$SJ$7,"Approved")</f>
        <v>0</v>
      </c>
      <c r="AA40" s="304">
        <f>SUMIFS('PCO Log'!$E50:$SJ50,'PCO Log'!$E$9:$SJ$9,'Graph Data'!AA$1,'PCO Log'!$E$7:$SJ$7,"Approved")</f>
        <v>0</v>
      </c>
      <c r="AB40" s="304">
        <f>SUMIFS('PCO Log'!$E50:$SJ50,'PCO Log'!$E$9:$SJ$9,'Graph Data'!AB$1,'PCO Log'!$E$7:$SJ$7,"Approved")</f>
        <v>0</v>
      </c>
      <c r="AC40" s="304">
        <f>SUMIFS('PCO Log'!$E50:$SJ50,'PCO Log'!$E$9:$SJ$9,'Graph Data'!AC$1,'PCO Log'!$E$7:$SJ$7,"Approved")</f>
        <v>0</v>
      </c>
      <c r="AD40" s="304">
        <f>SUMIFS('PCO Log'!$E50:$SJ50,'PCO Log'!$E$9:$SJ$9,'Graph Data'!AD$1,'PCO Log'!$E$7:$SJ$7,"Approved")</f>
        <v>0</v>
      </c>
      <c r="AE40" s="304">
        <f>SUMIFS('PCO Log'!$E50:$SJ50,'PCO Log'!$E$9:$SJ$9,'Graph Data'!AE$1,'PCO Log'!$E$7:$SJ$7,"Approved")</f>
        <v>0</v>
      </c>
      <c r="AF40" s="304">
        <f>SUMIFS('PCO Log'!$E50:$SJ50,'PCO Log'!$E$9:$SJ$9,'Graph Data'!AF$1,'PCO Log'!$E$7:$SJ$7,"Approved")</f>
        <v>0</v>
      </c>
      <c r="AG40" s="304">
        <f>SUMIFS('PCO Log'!$E50:$SJ50,'PCO Log'!$E$9:$SJ$9,'Graph Data'!AG$1,'PCO Log'!$E$7:$SJ$7,"Approved")</f>
        <v>0</v>
      </c>
      <c r="AH40" s="304">
        <f>SUMIFS('PCO Log'!$E50:$SJ50,'PCO Log'!$E$9:$SJ$9,'Graph Data'!AH$1,'PCO Log'!$E$7:$SJ$7,"Approved")</f>
        <v>0</v>
      </c>
      <c r="AI40" s="304">
        <f>SUMIFS('PCO Log'!$E50:$SJ50,'PCO Log'!$E$9:$SJ$9,'Graph Data'!AI$1,'PCO Log'!$E$7:$SJ$7,"Approved")</f>
        <v>0</v>
      </c>
      <c r="AJ40" s="304">
        <f>SUMIFS('PCO Log'!$E50:$SJ50,'PCO Log'!$E$9:$SJ$9,'Graph Data'!AJ$1,'PCO Log'!$E$7:$SJ$7,"Approved")</f>
        <v>0</v>
      </c>
      <c r="AK40" s="304">
        <f>SUMIFS('PCO Log'!$E50:$SJ50,'PCO Log'!$E$9:$SJ$9,'Graph Data'!AK$1,'PCO Log'!$E$7:$SJ$7,"Approved")</f>
        <v>0</v>
      </c>
      <c r="AL40" s="304">
        <f>SUMIFS('PCO Log'!$E50:$SJ50,'PCO Log'!$E$9:$SJ$9,'Graph Data'!AL$1,'PCO Log'!$E$7:$SJ$7,"Approved")</f>
        <v>0</v>
      </c>
      <c r="AM40" s="304">
        <f>SUMIFS('PCO Log'!$E50:$SJ50,'PCO Log'!$E$9:$SJ$9,'Graph Data'!AM$1,'PCO Log'!$E$7:$SJ$7,"Approved")</f>
        <v>0</v>
      </c>
      <c r="AN40" s="304">
        <f>SUMIFS('PCO Log'!$E50:$SJ50,'PCO Log'!$E$9:$SJ$9,'Graph Data'!AN$1,'PCO Log'!$E$7:$SJ$7,"Approved")</f>
        <v>0</v>
      </c>
      <c r="AO40" s="304">
        <f>SUMIFS('PCO Log'!$E50:$SJ50,'PCO Log'!$E$9:$SJ$9,'Graph Data'!AO$1,'PCO Log'!$E$7:$SJ$7,"Approved")</f>
        <v>0</v>
      </c>
      <c r="AP40" s="304">
        <f>SUMIFS('PCO Log'!$E50:$SJ50,'PCO Log'!$E$9:$SJ$9,'Graph Data'!AP$1,'PCO Log'!$E$7:$SJ$7,"Approved")</f>
        <v>0</v>
      </c>
      <c r="AQ40" s="304">
        <f>SUMIFS('PCO Log'!$E50:$SJ50,'PCO Log'!$E$9:$SJ$9,'Graph Data'!AQ$1,'PCO Log'!$E$7:$SJ$7,"Approved")</f>
        <v>0</v>
      </c>
      <c r="AR40" s="304">
        <f>SUMIFS('PCO Log'!$E50:$SJ50,'PCO Log'!$E$9:$SJ$9,'Graph Data'!AR$1,'PCO Log'!$E$7:$SJ$7,"Approved")</f>
        <v>0</v>
      </c>
      <c r="AS40" s="304">
        <f>SUMIFS('PCO Log'!$E50:$SJ50,'PCO Log'!$E$9:$SJ$9,'Graph Data'!AS$1,'PCO Log'!$E$7:$SJ$7,"Approved")</f>
        <v>0</v>
      </c>
      <c r="AT40" s="304">
        <f>SUMIFS('PCO Log'!$E50:$SJ50,'PCO Log'!$E$9:$SJ$9,'Graph Data'!AT$1,'PCO Log'!$E$7:$SJ$7,"Approved")</f>
        <v>0</v>
      </c>
      <c r="AU40" s="304">
        <f>SUMIFS('PCO Log'!$E50:$SJ50,'PCO Log'!$E$9:$SJ$9,'Graph Data'!AU$1,'PCO Log'!$E$7:$SJ$7,"Approved")</f>
        <v>0</v>
      </c>
      <c r="AV40" s="304">
        <f>SUMIFS('PCO Log'!$E50:$SJ50,'PCO Log'!$E$9:$SJ$9,'Graph Data'!AV$1,'PCO Log'!$E$7:$SJ$7,"Approved")</f>
        <v>0</v>
      </c>
      <c r="AW40" s="304">
        <f>SUMIFS('PCO Log'!$E50:$SJ50,'PCO Log'!$E$9:$SJ$9,'Graph Data'!AW$1,'PCO Log'!$E$7:$SJ$7,"Approved")</f>
        <v>0</v>
      </c>
      <c r="AX40" s="304">
        <f>SUMIFS('PCO Log'!$E50:$SJ50,'PCO Log'!$E$9:$SJ$9,'Graph Data'!AX$1,'PCO Log'!$E$7:$SJ$7,"Approved")</f>
        <v>0</v>
      </c>
      <c r="AY40" s="304">
        <f>SUMIFS('PCO Log'!$E50:$SJ50,'PCO Log'!$E$9:$SJ$9,'Graph Data'!AY$1,'PCO Log'!$E$7:$SJ$7,"Approved")</f>
        <v>0</v>
      </c>
      <c r="AZ40" s="304">
        <f>SUMIFS('PCO Log'!$E50:$SJ50,'PCO Log'!$E$9:$SJ$9,'Graph Data'!AZ$1,'PCO Log'!$E$7:$SJ$7,"Approved")</f>
        <v>0</v>
      </c>
      <c r="BA40" s="304">
        <f>SUMIFS('PCO Log'!$E50:$SJ50,'PCO Log'!$E$9:$SJ$9,'Graph Data'!BA$1,'PCO Log'!$E$7:$SJ$7,"Approved")</f>
        <v>0</v>
      </c>
      <c r="BB40" s="304">
        <f>SUMIFS('PCO Log'!$E50:$SJ50,'PCO Log'!$E$9:$SJ$9,'Graph Data'!BB$1,'PCO Log'!$E$7:$SJ$7,"Approved")</f>
        <v>0</v>
      </c>
      <c r="BC40" s="304">
        <f>SUMIFS('PCO Log'!$E50:$SJ50,'PCO Log'!$E$9:$SJ$9,'Graph Data'!BC$1,'PCO Log'!$E$7:$SJ$7,"Approved")</f>
        <v>0</v>
      </c>
      <c r="BD40" s="304">
        <f>SUMIFS('PCO Log'!$E50:$SJ50,'PCO Log'!$E$9:$SJ$9,'Graph Data'!BD$1,'PCO Log'!$E$7:$SJ$7,"Approved")</f>
        <v>0</v>
      </c>
      <c r="BE40" s="304">
        <f>SUMIFS('PCO Log'!$E50:$SJ50,'PCO Log'!$E$9:$SJ$9,'Graph Data'!BE$1,'PCO Log'!$E$7:$SJ$7,"Approved")</f>
        <v>0</v>
      </c>
      <c r="BF40" s="304">
        <f>SUMIFS('PCO Log'!$E50:$SJ50,'PCO Log'!$E$9:$SJ$9,'Graph Data'!BF$1,'PCO Log'!$E$7:$SJ$7,"Approved")</f>
        <v>0</v>
      </c>
      <c r="BG40" s="304">
        <f>SUMIFS('PCO Log'!$E50:$SJ50,'PCO Log'!$E$9:$SJ$9,'Graph Data'!BG$1,'PCO Log'!$E$7:$SJ$7,"Approved")</f>
        <v>0</v>
      </c>
      <c r="BH40" s="304">
        <f>SUMIFS('PCO Log'!$E50:$SJ50,'PCO Log'!$E$9:$SJ$9,'Graph Data'!BH$1,'PCO Log'!$E$7:$SJ$7,"Approved")</f>
        <v>0</v>
      </c>
      <c r="BI40" s="304">
        <f>SUMIFS('PCO Log'!$E50:$SJ50,'PCO Log'!$E$9:$SJ$9,'Graph Data'!BI$1,'PCO Log'!$E$7:$SJ$7,"Approved")</f>
        <v>0</v>
      </c>
      <c r="BJ40" s="304">
        <f>SUMIFS('PCO Log'!$E50:$SJ50,'PCO Log'!$E$9:$SJ$9,'Graph Data'!BJ$1,'PCO Log'!$E$7:$SJ$7,"Approved")</f>
        <v>0</v>
      </c>
      <c r="BK40" s="304">
        <f>SUMIFS('PCO Log'!$E50:$SJ50,'PCO Log'!$E$9:$SJ$9,'Graph Data'!BK$1,'PCO Log'!$E$7:$SJ$7,"Approved")</f>
        <v>0</v>
      </c>
      <c r="BL40" s="304">
        <f>SUMIFS('PCO Log'!$E50:$SJ50,'PCO Log'!$E$9:$SJ$9,'Graph Data'!BL$1,'PCO Log'!$E$7:$SJ$7,"Approved")</f>
        <v>0</v>
      </c>
      <c r="BM40" s="304">
        <f>SUMIFS('PCO Log'!$E50:$SJ50,'PCO Log'!$E$9:$SJ$9,'Graph Data'!BM$1,'PCO Log'!$E$7:$SJ$7,"Approved")</f>
        <v>0</v>
      </c>
      <c r="BN40" s="304">
        <f>SUMIFS('PCO Log'!$E50:$SJ50,'PCO Log'!$E$9:$SJ$9,'Graph Data'!BN$1,'PCO Log'!$E$7:$SJ$7,"Approved")</f>
        <v>0</v>
      </c>
      <c r="BO40" s="304">
        <f>SUMIFS('PCO Log'!$E50:$SJ50,'PCO Log'!$E$9:$SJ$9,'Graph Data'!BO$1,'PCO Log'!$E$7:$SJ$7,"Approved")</f>
        <v>0</v>
      </c>
      <c r="BP40" s="304">
        <f>SUMIFS('PCO Log'!$E50:$SJ50,'PCO Log'!$E$9:$SJ$9,'Graph Data'!BP$1,'PCO Log'!$E$7:$SJ$7,"Approved")</f>
        <v>0</v>
      </c>
      <c r="BQ40" s="304">
        <f>SUMIFS('PCO Log'!$E50:$SJ50,'PCO Log'!$E$9:$SJ$9,'Graph Data'!BQ$1,'PCO Log'!$E$7:$SJ$7,"Approved")</f>
        <v>0</v>
      </c>
      <c r="BR40" s="304">
        <f>SUMIFS('PCO Log'!$E50:$SJ50,'PCO Log'!$E$9:$SJ$9,'Graph Data'!BR$1,'PCO Log'!$E$7:$SJ$7,"Approved")</f>
        <v>0</v>
      </c>
      <c r="BS40" s="304">
        <f>SUMIFS('PCO Log'!$E50:$SJ50,'PCO Log'!$E$9:$SJ$9,'Graph Data'!BS$1,'PCO Log'!$E$7:$SJ$7,"Approved")</f>
        <v>0</v>
      </c>
      <c r="BT40" s="304">
        <f>SUMIFS('PCO Log'!$E50:$SJ50,'PCO Log'!$E$9:$SJ$9,'Graph Data'!BT$1,'PCO Log'!$E$7:$SJ$7,"Approved")</f>
        <v>0</v>
      </c>
      <c r="BU40" s="304">
        <f>SUMIFS('PCO Log'!$E50:$SJ50,'PCO Log'!$E$9:$SJ$9,'Graph Data'!BU$1,'PCO Log'!$E$7:$SJ$7,"Approved")</f>
        <v>0</v>
      </c>
      <c r="BV40" s="304">
        <f>SUMIFS('PCO Log'!$E50:$SJ50,'PCO Log'!$E$9:$SJ$9,'Graph Data'!BV$1,'PCO Log'!$E$7:$SJ$7,"Approved")</f>
        <v>0</v>
      </c>
      <c r="BW40" s="304">
        <f>SUMIFS('PCO Log'!$E50:$SJ50,'PCO Log'!$E$9:$SJ$9,'Graph Data'!BW$1,'PCO Log'!$E$7:$SJ$7,"Approved")</f>
        <v>0</v>
      </c>
      <c r="BX40" s="304">
        <f>SUMIFS('PCO Log'!$E50:$SJ50,'PCO Log'!$E$9:$SJ$9,'Graph Data'!BX$1,'PCO Log'!$E$7:$SJ$7,"Approved")</f>
        <v>0</v>
      </c>
    </row>
    <row r="41" spans="1:76" x14ac:dyDescent="0.25">
      <c r="A41" s="303" t="s">
        <v>381</v>
      </c>
      <c r="B41" s="303">
        <f>'PCO Log'!AR7</f>
        <v>0</v>
      </c>
      <c r="C41" s="303">
        <f>'PCO Log'!AR4</f>
        <v>0</v>
      </c>
      <c r="D41" s="303" cm="1">
        <f t="array" ref="D41">INDEX('PCO Log'!$E$5:$SJ$5, 1, ROWS('Graph Data'!$D$2:D41))</f>
        <v>0</v>
      </c>
      <c r="E41" s="303">
        <f>'PCO Log'!AR8</f>
        <v>0</v>
      </c>
      <c r="F41" s="303">
        <f>'PCO Log'!AR3</f>
        <v>0</v>
      </c>
      <c r="G41" s="304">
        <f>'PCO Log'!AR10</f>
        <v>0</v>
      </c>
      <c r="H41" s="305">
        <f>'PCO Log'!AR6</f>
        <v>0</v>
      </c>
      <c r="J41" s="303" t="s">
        <v>308</v>
      </c>
      <c r="K41" s="303">
        <f>'Pay App 40'!H33</f>
        <v>0</v>
      </c>
      <c r="L41" s="303">
        <f>IF(M41&gt;0,'Pay App 40'!$G$149,0)</f>
        <v>0</v>
      </c>
      <c r="M41" s="303">
        <f>'Pay App 40'!H149</f>
        <v>0</v>
      </c>
      <c r="O41" s="303" t="str">
        <f>'Pay App 1'!B96</f>
        <v>08 33 00</v>
      </c>
      <c r="P41" s="303" t="str">
        <f>'Pay App 1'!C96</f>
        <v>Overhead Doors/Coiling Doors</v>
      </c>
      <c r="Q41" s="304">
        <f>SUMIFS('PCO Log'!$E51:$SJ51,'PCO Log'!$E$9:$SJ$9,'Graph Data'!Q$1,'PCO Log'!$E$7:$SJ$7,"Approved")</f>
        <v>0</v>
      </c>
      <c r="R41" s="304">
        <f>SUMIFS('PCO Log'!$E51:$SJ51,'PCO Log'!$E$9:$SJ$9,'Graph Data'!R$1,'PCO Log'!$E$7:$SJ$7,"Approved")</f>
        <v>0</v>
      </c>
      <c r="S41" s="304">
        <f>SUMIFS('PCO Log'!$E51:$SJ51,'PCO Log'!$E$9:$SJ$9,'Graph Data'!S$1,'PCO Log'!$E$7:$SJ$7,"Approved")</f>
        <v>0</v>
      </c>
      <c r="T41" s="304">
        <f>SUMIFS('PCO Log'!$E51:$SJ51,'PCO Log'!$E$9:$SJ$9,'Graph Data'!T$1,'PCO Log'!$E$7:$SJ$7,"Approved")</f>
        <v>0</v>
      </c>
      <c r="U41" s="304">
        <f>SUMIFS('PCO Log'!$E51:$SJ51,'PCO Log'!$E$9:$SJ$9,'Graph Data'!U$1,'PCO Log'!$E$7:$SJ$7,"Approved")</f>
        <v>0</v>
      </c>
      <c r="V41" s="304">
        <f>SUMIFS('PCO Log'!$E51:$SJ51,'PCO Log'!$E$9:$SJ$9,'Graph Data'!V$1,'PCO Log'!$E$7:$SJ$7,"Approved")</f>
        <v>0</v>
      </c>
      <c r="W41" s="304">
        <f>SUMIFS('PCO Log'!$E51:$SJ51,'PCO Log'!$E$9:$SJ$9,'Graph Data'!W$1,'PCO Log'!$E$7:$SJ$7,"Approved")</f>
        <v>0</v>
      </c>
      <c r="X41" s="304">
        <f>SUMIFS('PCO Log'!$E51:$SJ51,'PCO Log'!$E$9:$SJ$9,'Graph Data'!X$1,'PCO Log'!$E$7:$SJ$7,"Approved")</f>
        <v>0</v>
      </c>
      <c r="Y41" s="304">
        <f>SUMIFS('PCO Log'!$E51:$SJ51,'PCO Log'!$E$9:$SJ$9,'Graph Data'!Y$1,'PCO Log'!$E$7:$SJ$7,"Approved")</f>
        <v>0</v>
      </c>
      <c r="Z41" s="304">
        <f>SUMIFS('PCO Log'!$E51:$SJ51,'PCO Log'!$E$9:$SJ$9,'Graph Data'!Z$1,'PCO Log'!$E$7:$SJ$7,"Approved")</f>
        <v>0</v>
      </c>
      <c r="AA41" s="304">
        <f>SUMIFS('PCO Log'!$E51:$SJ51,'PCO Log'!$E$9:$SJ$9,'Graph Data'!AA$1,'PCO Log'!$E$7:$SJ$7,"Approved")</f>
        <v>0</v>
      </c>
      <c r="AB41" s="304">
        <f>SUMIFS('PCO Log'!$E51:$SJ51,'PCO Log'!$E$9:$SJ$9,'Graph Data'!AB$1,'PCO Log'!$E$7:$SJ$7,"Approved")</f>
        <v>0</v>
      </c>
      <c r="AC41" s="304">
        <f>SUMIFS('PCO Log'!$E51:$SJ51,'PCO Log'!$E$9:$SJ$9,'Graph Data'!AC$1,'PCO Log'!$E$7:$SJ$7,"Approved")</f>
        <v>0</v>
      </c>
      <c r="AD41" s="304">
        <f>SUMIFS('PCO Log'!$E51:$SJ51,'PCO Log'!$E$9:$SJ$9,'Graph Data'!AD$1,'PCO Log'!$E$7:$SJ$7,"Approved")</f>
        <v>0</v>
      </c>
      <c r="AE41" s="304">
        <f>SUMIFS('PCO Log'!$E51:$SJ51,'PCO Log'!$E$9:$SJ$9,'Graph Data'!AE$1,'PCO Log'!$E$7:$SJ$7,"Approved")</f>
        <v>0</v>
      </c>
      <c r="AF41" s="304">
        <f>SUMIFS('PCO Log'!$E51:$SJ51,'PCO Log'!$E$9:$SJ$9,'Graph Data'!AF$1,'PCO Log'!$E$7:$SJ$7,"Approved")</f>
        <v>0</v>
      </c>
      <c r="AG41" s="304">
        <f>SUMIFS('PCO Log'!$E51:$SJ51,'PCO Log'!$E$9:$SJ$9,'Graph Data'!AG$1,'PCO Log'!$E$7:$SJ$7,"Approved")</f>
        <v>0</v>
      </c>
      <c r="AH41" s="304">
        <f>SUMIFS('PCO Log'!$E51:$SJ51,'PCO Log'!$E$9:$SJ$9,'Graph Data'!AH$1,'PCO Log'!$E$7:$SJ$7,"Approved")</f>
        <v>0</v>
      </c>
      <c r="AI41" s="304">
        <f>SUMIFS('PCO Log'!$E51:$SJ51,'PCO Log'!$E$9:$SJ$9,'Graph Data'!AI$1,'PCO Log'!$E$7:$SJ$7,"Approved")</f>
        <v>0</v>
      </c>
      <c r="AJ41" s="304">
        <f>SUMIFS('PCO Log'!$E51:$SJ51,'PCO Log'!$E$9:$SJ$9,'Graph Data'!AJ$1,'PCO Log'!$E$7:$SJ$7,"Approved")</f>
        <v>0</v>
      </c>
      <c r="AK41" s="304">
        <f>SUMIFS('PCO Log'!$E51:$SJ51,'PCO Log'!$E$9:$SJ$9,'Graph Data'!AK$1,'PCO Log'!$E$7:$SJ$7,"Approved")</f>
        <v>0</v>
      </c>
      <c r="AL41" s="304">
        <f>SUMIFS('PCO Log'!$E51:$SJ51,'PCO Log'!$E$9:$SJ$9,'Graph Data'!AL$1,'PCO Log'!$E$7:$SJ$7,"Approved")</f>
        <v>0</v>
      </c>
      <c r="AM41" s="304">
        <f>SUMIFS('PCO Log'!$E51:$SJ51,'PCO Log'!$E$9:$SJ$9,'Graph Data'!AM$1,'PCO Log'!$E$7:$SJ$7,"Approved")</f>
        <v>0</v>
      </c>
      <c r="AN41" s="304">
        <f>SUMIFS('PCO Log'!$E51:$SJ51,'PCO Log'!$E$9:$SJ$9,'Graph Data'!AN$1,'PCO Log'!$E$7:$SJ$7,"Approved")</f>
        <v>0</v>
      </c>
      <c r="AO41" s="304">
        <f>SUMIFS('PCO Log'!$E51:$SJ51,'PCO Log'!$E$9:$SJ$9,'Graph Data'!AO$1,'PCO Log'!$E$7:$SJ$7,"Approved")</f>
        <v>0</v>
      </c>
      <c r="AP41" s="304">
        <f>SUMIFS('PCO Log'!$E51:$SJ51,'PCO Log'!$E$9:$SJ$9,'Graph Data'!AP$1,'PCO Log'!$E$7:$SJ$7,"Approved")</f>
        <v>0</v>
      </c>
      <c r="AQ41" s="304">
        <f>SUMIFS('PCO Log'!$E51:$SJ51,'PCO Log'!$E$9:$SJ$9,'Graph Data'!AQ$1,'PCO Log'!$E$7:$SJ$7,"Approved")</f>
        <v>0</v>
      </c>
      <c r="AR41" s="304">
        <f>SUMIFS('PCO Log'!$E51:$SJ51,'PCO Log'!$E$9:$SJ$9,'Graph Data'!AR$1,'PCO Log'!$E$7:$SJ$7,"Approved")</f>
        <v>0</v>
      </c>
      <c r="AS41" s="304">
        <f>SUMIFS('PCO Log'!$E51:$SJ51,'PCO Log'!$E$9:$SJ$9,'Graph Data'!AS$1,'PCO Log'!$E$7:$SJ$7,"Approved")</f>
        <v>0</v>
      </c>
      <c r="AT41" s="304">
        <f>SUMIFS('PCO Log'!$E51:$SJ51,'PCO Log'!$E$9:$SJ$9,'Graph Data'!AT$1,'PCO Log'!$E$7:$SJ$7,"Approved")</f>
        <v>0</v>
      </c>
      <c r="AU41" s="304">
        <f>SUMIFS('PCO Log'!$E51:$SJ51,'PCO Log'!$E$9:$SJ$9,'Graph Data'!AU$1,'PCO Log'!$E$7:$SJ$7,"Approved")</f>
        <v>0</v>
      </c>
      <c r="AV41" s="304">
        <f>SUMIFS('PCO Log'!$E51:$SJ51,'PCO Log'!$E$9:$SJ$9,'Graph Data'!AV$1,'PCO Log'!$E$7:$SJ$7,"Approved")</f>
        <v>0</v>
      </c>
      <c r="AW41" s="304">
        <f>SUMIFS('PCO Log'!$E51:$SJ51,'PCO Log'!$E$9:$SJ$9,'Graph Data'!AW$1,'PCO Log'!$E$7:$SJ$7,"Approved")</f>
        <v>0</v>
      </c>
      <c r="AX41" s="304">
        <f>SUMIFS('PCO Log'!$E51:$SJ51,'PCO Log'!$E$9:$SJ$9,'Graph Data'!AX$1,'PCO Log'!$E$7:$SJ$7,"Approved")</f>
        <v>0</v>
      </c>
      <c r="AY41" s="304">
        <f>SUMIFS('PCO Log'!$E51:$SJ51,'PCO Log'!$E$9:$SJ$9,'Graph Data'!AY$1,'PCO Log'!$E$7:$SJ$7,"Approved")</f>
        <v>0</v>
      </c>
      <c r="AZ41" s="304">
        <f>SUMIFS('PCO Log'!$E51:$SJ51,'PCO Log'!$E$9:$SJ$9,'Graph Data'!AZ$1,'PCO Log'!$E$7:$SJ$7,"Approved")</f>
        <v>0</v>
      </c>
      <c r="BA41" s="304">
        <f>SUMIFS('PCO Log'!$E51:$SJ51,'PCO Log'!$E$9:$SJ$9,'Graph Data'!BA$1,'PCO Log'!$E$7:$SJ$7,"Approved")</f>
        <v>0</v>
      </c>
      <c r="BB41" s="304">
        <f>SUMIFS('PCO Log'!$E51:$SJ51,'PCO Log'!$E$9:$SJ$9,'Graph Data'!BB$1,'PCO Log'!$E$7:$SJ$7,"Approved")</f>
        <v>0</v>
      </c>
      <c r="BC41" s="304">
        <f>SUMIFS('PCO Log'!$E51:$SJ51,'PCO Log'!$E$9:$SJ$9,'Graph Data'!BC$1,'PCO Log'!$E$7:$SJ$7,"Approved")</f>
        <v>0</v>
      </c>
      <c r="BD41" s="304">
        <f>SUMIFS('PCO Log'!$E51:$SJ51,'PCO Log'!$E$9:$SJ$9,'Graph Data'!BD$1,'PCO Log'!$E$7:$SJ$7,"Approved")</f>
        <v>0</v>
      </c>
      <c r="BE41" s="304">
        <f>SUMIFS('PCO Log'!$E51:$SJ51,'PCO Log'!$E$9:$SJ$9,'Graph Data'!BE$1,'PCO Log'!$E$7:$SJ$7,"Approved")</f>
        <v>0</v>
      </c>
      <c r="BF41" s="304">
        <f>SUMIFS('PCO Log'!$E51:$SJ51,'PCO Log'!$E$9:$SJ$9,'Graph Data'!BF$1,'PCO Log'!$E$7:$SJ$7,"Approved")</f>
        <v>0</v>
      </c>
      <c r="BG41" s="304">
        <f>SUMIFS('PCO Log'!$E51:$SJ51,'PCO Log'!$E$9:$SJ$9,'Graph Data'!BG$1,'PCO Log'!$E$7:$SJ$7,"Approved")</f>
        <v>0</v>
      </c>
      <c r="BH41" s="304">
        <f>SUMIFS('PCO Log'!$E51:$SJ51,'PCO Log'!$E$9:$SJ$9,'Graph Data'!BH$1,'PCO Log'!$E$7:$SJ$7,"Approved")</f>
        <v>0</v>
      </c>
      <c r="BI41" s="304">
        <f>SUMIFS('PCO Log'!$E51:$SJ51,'PCO Log'!$E$9:$SJ$9,'Graph Data'!BI$1,'PCO Log'!$E$7:$SJ$7,"Approved")</f>
        <v>0</v>
      </c>
      <c r="BJ41" s="304">
        <f>SUMIFS('PCO Log'!$E51:$SJ51,'PCO Log'!$E$9:$SJ$9,'Graph Data'!BJ$1,'PCO Log'!$E$7:$SJ$7,"Approved")</f>
        <v>0</v>
      </c>
      <c r="BK41" s="304">
        <f>SUMIFS('PCO Log'!$E51:$SJ51,'PCO Log'!$E$9:$SJ$9,'Graph Data'!BK$1,'PCO Log'!$E$7:$SJ$7,"Approved")</f>
        <v>0</v>
      </c>
      <c r="BL41" s="304">
        <f>SUMIFS('PCO Log'!$E51:$SJ51,'PCO Log'!$E$9:$SJ$9,'Graph Data'!BL$1,'PCO Log'!$E$7:$SJ$7,"Approved")</f>
        <v>0</v>
      </c>
      <c r="BM41" s="304">
        <f>SUMIFS('PCO Log'!$E51:$SJ51,'PCO Log'!$E$9:$SJ$9,'Graph Data'!BM$1,'PCO Log'!$E$7:$SJ$7,"Approved")</f>
        <v>0</v>
      </c>
      <c r="BN41" s="304">
        <f>SUMIFS('PCO Log'!$E51:$SJ51,'PCO Log'!$E$9:$SJ$9,'Graph Data'!BN$1,'PCO Log'!$E$7:$SJ$7,"Approved")</f>
        <v>0</v>
      </c>
      <c r="BO41" s="304">
        <f>SUMIFS('PCO Log'!$E51:$SJ51,'PCO Log'!$E$9:$SJ$9,'Graph Data'!BO$1,'PCO Log'!$E$7:$SJ$7,"Approved")</f>
        <v>0</v>
      </c>
      <c r="BP41" s="304">
        <f>SUMIFS('PCO Log'!$E51:$SJ51,'PCO Log'!$E$9:$SJ$9,'Graph Data'!BP$1,'PCO Log'!$E$7:$SJ$7,"Approved")</f>
        <v>0</v>
      </c>
      <c r="BQ41" s="304">
        <f>SUMIFS('PCO Log'!$E51:$SJ51,'PCO Log'!$E$9:$SJ$9,'Graph Data'!BQ$1,'PCO Log'!$E$7:$SJ$7,"Approved")</f>
        <v>0</v>
      </c>
      <c r="BR41" s="304">
        <f>SUMIFS('PCO Log'!$E51:$SJ51,'PCO Log'!$E$9:$SJ$9,'Graph Data'!BR$1,'PCO Log'!$E$7:$SJ$7,"Approved")</f>
        <v>0</v>
      </c>
      <c r="BS41" s="304">
        <f>SUMIFS('PCO Log'!$E51:$SJ51,'PCO Log'!$E$9:$SJ$9,'Graph Data'!BS$1,'PCO Log'!$E$7:$SJ$7,"Approved")</f>
        <v>0</v>
      </c>
      <c r="BT41" s="304">
        <f>SUMIFS('PCO Log'!$E51:$SJ51,'PCO Log'!$E$9:$SJ$9,'Graph Data'!BT$1,'PCO Log'!$E$7:$SJ$7,"Approved")</f>
        <v>0</v>
      </c>
      <c r="BU41" s="304">
        <f>SUMIFS('PCO Log'!$E51:$SJ51,'PCO Log'!$E$9:$SJ$9,'Graph Data'!BU$1,'PCO Log'!$E$7:$SJ$7,"Approved")</f>
        <v>0</v>
      </c>
      <c r="BV41" s="304">
        <f>SUMIFS('PCO Log'!$E51:$SJ51,'PCO Log'!$E$9:$SJ$9,'Graph Data'!BV$1,'PCO Log'!$E$7:$SJ$7,"Approved")</f>
        <v>0</v>
      </c>
      <c r="BW41" s="304">
        <f>SUMIFS('PCO Log'!$E51:$SJ51,'PCO Log'!$E$9:$SJ$9,'Graph Data'!BW$1,'PCO Log'!$E$7:$SJ$7,"Approved")</f>
        <v>0</v>
      </c>
      <c r="BX41" s="304">
        <f>SUMIFS('PCO Log'!$E51:$SJ51,'PCO Log'!$E$9:$SJ$9,'Graph Data'!BX$1,'PCO Log'!$E$7:$SJ$7,"Approved")</f>
        <v>0</v>
      </c>
    </row>
    <row r="42" spans="1:76" x14ac:dyDescent="0.25">
      <c r="A42" s="303" t="s">
        <v>382</v>
      </c>
      <c r="B42" s="303">
        <f>'PCO Log'!AS7</f>
        <v>0</v>
      </c>
      <c r="C42" s="303">
        <f>'PCO Log'!AS4</f>
        <v>0</v>
      </c>
      <c r="D42" s="303" cm="1">
        <f t="array" ref="D42">INDEX('PCO Log'!$E$5:$SJ$5, 1, ROWS('Graph Data'!$D$2:D42))</f>
        <v>0</v>
      </c>
      <c r="E42" s="303">
        <f>'PCO Log'!AS8</f>
        <v>0</v>
      </c>
      <c r="F42" s="303">
        <f>'PCO Log'!AS3</f>
        <v>0</v>
      </c>
      <c r="G42" s="304">
        <f>'PCO Log'!AS10</f>
        <v>0</v>
      </c>
      <c r="H42" s="305">
        <f>'PCO Log'!AS6</f>
        <v>0</v>
      </c>
      <c r="J42" s="303" t="s">
        <v>309</v>
      </c>
      <c r="K42" s="303">
        <f>'Pay App 41'!H33</f>
        <v>0</v>
      </c>
      <c r="L42" s="303">
        <f>IF(M42&gt;0,'Pay App 41'!$G$149,0)</f>
        <v>0</v>
      </c>
      <c r="M42" s="303">
        <f>'Pay App 41'!H149</f>
        <v>0</v>
      </c>
      <c r="O42" s="303" t="str">
        <f>'Pay App 1'!B97</f>
        <v>08 40 00</v>
      </c>
      <c r="P42" s="303" t="str">
        <f>'Pay App 1'!C97</f>
        <v>Curtain Wall, Glass &amp; Glazing</v>
      </c>
      <c r="Q42" s="304">
        <f>SUMIFS('PCO Log'!$E52:$SJ52,'PCO Log'!$E$9:$SJ$9,'Graph Data'!Q$1,'PCO Log'!$E$7:$SJ$7,"Approved")</f>
        <v>0</v>
      </c>
      <c r="R42" s="304">
        <f>SUMIFS('PCO Log'!$E52:$SJ52,'PCO Log'!$E$9:$SJ$9,'Graph Data'!R$1,'PCO Log'!$E$7:$SJ$7,"Approved")</f>
        <v>0</v>
      </c>
      <c r="S42" s="304">
        <f>SUMIFS('PCO Log'!$E52:$SJ52,'PCO Log'!$E$9:$SJ$9,'Graph Data'!S$1,'PCO Log'!$E$7:$SJ$7,"Approved")</f>
        <v>0</v>
      </c>
      <c r="T42" s="304">
        <f>SUMIFS('PCO Log'!$E52:$SJ52,'PCO Log'!$E$9:$SJ$9,'Graph Data'!T$1,'PCO Log'!$E$7:$SJ$7,"Approved")</f>
        <v>0</v>
      </c>
      <c r="U42" s="304">
        <f>SUMIFS('PCO Log'!$E52:$SJ52,'PCO Log'!$E$9:$SJ$9,'Graph Data'!U$1,'PCO Log'!$E$7:$SJ$7,"Approved")</f>
        <v>0</v>
      </c>
      <c r="V42" s="304">
        <f>SUMIFS('PCO Log'!$E52:$SJ52,'PCO Log'!$E$9:$SJ$9,'Graph Data'!V$1,'PCO Log'!$E$7:$SJ$7,"Approved")</f>
        <v>0</v>
      </c>
      <c r="W42" s="304">
        <f>SUMIFS('PCO Log'!$E52:$SJ52,'PCO Log'!$E$9:$SJ$9,'Graph Data'!W$1,'PCO Log'!$E$7:$SJ$7,"Approved")</f>
        <v>0</v>
      </c>
      <c r="X42" s="304">
        <f>SUMIFS('PCO Log'!$E52:$SJ52,'PCO Log'!$E$9:$SJ$9,'Graph Data'!X$1,'PCO Log'!$E$7:$SJ$7,"Approved")</f>
        <v>0</v>
      </c>
      <c r="Y42" s="304">
        <f>SUMIFS('PCO Log'!$E52:$SJ52,'PCO Log'!$E$9:$SJ$9,'Graph Data'!Y$1,'PCO Log'!$E$7:$SJ$7,"Approved")</f>
        <v>0</v>
      </c>
      <c r="Z42" s="304">
        <f>SUMIFS('PCO Log'!$E52:$SJ52,'PCO Log'!$E$9:$SJ$9,'Graph Data'!Z$1,'PCO Log'!$E$7:$SJ$7,"Approved")</f>
        <v>0</v>
      </c>
      <c r="AA42" s="304">
        <f>SUMIFS('PCO Log'!$E52:$SJ52,'PCO Log'!$E$9:$SJ$9,'Graph Data'!AA$1,'PCO Log'!$E$7:$SJ$7,"Approved")</f>
        <v>0</v>
      </c>
      <c r="AB42" s="304">
        <f>SUMIFS('PCO Log'!$E52:$SJ52,'PCO Log'!$E$9:$SJ$9,'Graph Data'!AB$1,'PCO Log'!$E$7:$SJ$7,"Approved")</f>
        <v>0</v>
      </c>
      <c r="AC42" s="304">
        <f>SUMIFS('PCO Log'!$E52:$SJ52,'PCO Log'!$E$9:$SJ$9,'Graph Data'!AC$1,'PCO Log'!$E$7:$SJ$7,"Approved")</f>
        <v>0</v>
      </c>
      <c r="AD42" s="304">
        <f>SUMIFS('PCO Log'!$E52:$SJ52,'PCO Log'!$E$9:$SJ$9,'Graph Data'!AD$1,'PCO Log'!$E$7:$SJ$7,"Approved")</f>
        <v>0</v>
      </c>
      <c r="AE42" s="304">
        <f>SUMIFS('PCO Log'!$E52:$SJ52,'PCO Log'!$E$9:$SJ$9,'Graph Data'!AE$1,'PCO Log'!$E$7:$SJ$7,"Approved")</f>
        <v>0</v>
      </c>
      <c r="AF42" s="304">
        <f>SUMIFS('PCO Log'!$E52:$SJ52,'PCO Log'!$E$9:$SJ$9,'Graph Data'!AF$1,'PCO Log'!$E$7:$SJ$7,"Approved")</f>
        <v>0</v>
      </c>
      <c r="AG42" s="304">
        <f>SUMIFS('PCO Log'!$E52:$SJ52,'PCO Log'!$E$9:$SJ$9,'Graph Data'!AG$1,'PCO Log'!$E$7:$SJ$7,"Approved")</f>
        <v>0</v>
      </c>
      <c r="AH42" s="304">
        <f>SUMIFS('PCO Log'!$E52:$SJ52,'PCO Log'!$E$9:$SJ$9,'Graph Data'!AH$1,'PCO Log'!$E$7:$SJ$7,"Approved")</f>
        <v>0</v>
      </c>
      <c r="AI42" s="304">
        <f>SUMIFS('PCO Log'!$E52:$SJ52,'PCO Log'!$E$9:$SJ$9,'Graph Data'!AI$1,'PCO Log'!$E$7:$SJ$7,"Approved")</f>
        <v>0</v>
      </c>
      <c r="AJ42" s="304">
        <f>SUMIFS('PCO Log'!$E52:$SJ52,'PCO Log'!$E$9:$SJ$9,'Graph Data'!AJ$1,'PCO Log'!$E$7:$SJ$7,"Approved")</f>
        <v>0</v>
      </c>
      <c r="AK42" s="304">
        <f>SUMIFS('PCO Log'!$E52:$SJ52,'PCO Log'!$E$9:$SJ$9,'Graph Data'!AK$1,'PCO Log'!$E$7:$SJ$7,"Approved")</f>
        <v>0</v>
      </c>
      <c r="AL42" s="304">
        <f>SUMIFS('PCO Log'!$E52:$SJ52,'PCO Log'!$E$9:$SJ$9,'Graph Data'!AL$1,'PCO Log'!$E$7:$SJ$7,"Approved")</f>
        <v>0</v>
      </c>
      <c r="AM42" s="304">
        <f>SUMIFS('PCO Log'!$E52:$SJ52,'PCO Log'!$E$9:$SJ$9,'Graph Data'!AM$1,'PCO Log'!$E$7:$SJ$7,"Approved")</f>
        <v>0</v>
      </c>
      <c r="AN42" s="304">
        <f>SUMIFS('PCO Log'!$E52:$SJ52,'PCO Log'!$E$9:$SJ$9,'Graph Data'!AN$1,'PCO Log'!$E$7:$SJ$7,"Approved")</f>
        <v>0</v>
      </c>
      <c r="AO42" s="304">
        <f>SUMIFS('PCO Log'!$E52:$SJ52,'PCO Log'!$E$9:$SJ$9,'Graph Data'!AO$1,'PCO Log'!$E$7:$SJ$7,"Approved")</f>
        <v>0</v>
      </c>
      <c r="AP42" s="304">
        <f>SUMIFS('PCO Log'!$E52:$SJ52,'PCO Log'!$E$9:$SJ$9,'Graph Data'!AP$1,'PCO Log'!$E$7:$SJ$7,"Approved")</f>
        <v>0</v>
      </c>
      <c r="AQ42" s="304">
        <f>SUMIFS('PCO Log'!$E52:$SJ52,'PCO Log'!$E$9:$SJ$9,'Graph Data'!AQ$1,'PCO Log'!$E$7:$SJ$7,"Approved")</f>
        <v>0</v>
      </c>
      <c r="AR42" s="304">
        <f>SUMIFS('PCO Log'!$E52:$SJ52,'PCO Log'!$E$9:$SJ$9,'Graph Data'!AR$1,'PCO Log'!$E$7:$SJ$7,"Approved")</f>
        <v>0</v>
      </c>
      <c r="AS42" s="304">
        <f>SUMIFS('PCO Log'!$E52:$SJ52,'PCO Log'!$E$9:$SJ$9,'Graph Data'!AS$1,'PCO Log'!$E$7:$SJ$7,"Approved")</f>
        <v>0</v>
      </c>
      <c r="AT42" s="304">
        <f>SUMIFS('PCO Log'!$E52:$SJ52,'PCO Log'!$E$9:$SJ$9,'Graph Data'!AT$1,'PCO Log'!$E$7:$SJ$7,"Approved")</f>
        <v>0</v>
      </c>
      <c r="AU42" s="304">
        <f>SUMIFS('PCO Log'!$E52:$SJ52,'PCO Log'!$E$9:$SJ$9,'Graph Data'!AU$1,'PCO Log'!$E$7:$SJ$7,"Approved")</f>
        <v>0</v>
      </c>
      <c r="AV42" s="304">
        <f>SUMIFS('PCO Log'!$E52:$SJ52,'PCO Log'!$E$9:$SJ$9,'Graph Data'!AV$1,'PCO Log'!$E$7:$SJ$7,"Approved")</f>
        <v>0</v>
      </c>
      <c r="AW42" s="304">
        <f>SUMIFS('PCO Log'!$E52:$SJ52,'PCO Log'!$E$9:$SJ$9,'Graph Data'!AW$1,'PCO Log'!$E$7:$SJ$7,"Approved")</f>
        <v>0</v>
      </c>
      <c r="AX42" s="304">
        <f>SUMIFS('PCO Log'!$E52:$SJ52,'PCO Log'!$E$9:$SJ$9,'Graph Data'!AX$1,'PCO Log'!$E$7:$SJ$7,"Approved")</f>
        <v>0</v>
      </c>
      <c r="AY42" s="304">
        <f>SUMIFS('PCO Log'!$E52:$SJ52,'PCO Log'!$E$9:$SJ$9,'Graph Data'!AY$1,'PCO Log'!$E$7:$SJ$7,"Approved")</f>
        <v>0</v>
      </c>
      <c r="AZ42" s="304">
        <f>SUMIFS('PCO Log'!$E52:$SJ52,'PCO Log'!$E$9:$SJ$9,'Graph Data'!AZ$1,'PCO Log'!$E$7:$SJ$7,"Approved")</f>
        <v>0</v>
      </c>
      <c r="BA42" s="304">
        <f>SUMIFS('PCO Log'!$E52:$SJ52,'PCO Log'!$E$9:$SJ$9,'Graph Data'!BA$1,'PCO Log'!$E$7:$SJ$7,"Approved")</f>
        <v>0</v>
      </c>
      <c r="BB42" s="304">
        <f>SUMIFS('PCO Log'!$E52:$SJ52,'PCO Log'!$E$9:$SJ$9,'Graph Data'!BB$1,'PCO Log'!$E$7:$SJ$7,"Approved")</f>
        <v>0</v>
      </c>
      <c r="BC42" s="304">
        <f>SUMIFS('PCO Log'!$E52:$SJ52,'PCO Log'!$E$9:$SJ$9,'Graph Data'!BC$1,'PCO Log'!$E$7:$SJ$7,"Approved")</f>
        <v>0</v>
      </c>
      <c r="BD42" s="304">
        <f>SUMIFS('PCO Log'!$E52:$SJ52,'PCO Log'!$E$9:$SJ$9,'Graph Data'!BD$1,'PCO Log'!$E$7:$SJ$7,"Approved")</f>
        <v>0</v>
      </c>
      <c r="BE42" s="304">
        <f>SUMIFS('PCO Log'!$E52:$SJ52,'PCO Log'!$E$9:$SJ$9,'Graph Data'!BE$1,'PCO Log'!$E$7:$SJ$7,"Approved")</f>
        <v>0</v>
      </c>
      <c r="BF42" s="304">
        <f>SUMIFS('PCO Log'!$E52:$SJ52,'PCO Log'!$E$9:$SJ$9,'Graph Data'!BF$1,'PCO Log'!$E$7:$SJ$7,"Approved")</f>
        <v>0</v>
      </c>
      <c r="BG42" s="304">
        <f>SUMIFS('PCO Log'!$E52:$SJ52,'PCO Log'!$E$9:$SJ$9,'Graph Data'!BG$1,'PCO Log'!$E$7:$SJ$7,"Approved")</f>
        <v>0</v>
      </c>
      <c r="BH42" s="304">
        <f>SUMIFS('PCO Log'!$E52:$SJ52,'PCO Log'!$E$9:$SJ$9,'Graph Data'!BH$1,'PCO Log'!$E$7:$SJ$7,"Approved")</f>
        <v>0</v>
      </c>
      <c r="BI42" s="304">
        <f>SUMIFS('PCO Log'!$E52:$SJ52,'PCO Log'!$E$9:$SJ$9,'Graph Data'!BI$1,'PCO Log'!$E$7:$SJ$7,"Approved")</f>
        <v>0</v>
      </c>
      <c r="BJ42" s="304">
        <f>SUMIFS('PCO Log'!$E52:$SJ52,'PCO Log'!$E$9:$SJ$9,'Graph Data'!BJ$1,'PCO Log'!$E$7:$SJ$7,"Approved")</f>
        <v>0</v>
      </c>
      <c r="BK42" s="304">
        <f>SUMIFS('PCO Log'!$E52:$SJ52,'PCO Log'!$E$9:$SJ$9,'Graph Data'!BK$1,'PCO Log'!$E$7:$SJ$7,"Approved")</f>
        <v>0</v>
      </c>
      <c r="BL42" s="304">
        <f>SUMIFS('PCO Log'!$E52:$SJ52,'PCO Log'!$E$9:$SJ$9,'Graph Data'!BL$1,'PCO Log'!$E$7:$SJ$7,"Approved")</f>
        <v>0</v>
      </c>
      <c r="BM42" s="304">
        <f>SUMIFS('PCO Log'!$E52:$SJ52,'PCO Log'!$E$9:$SJ$9,'Graph Data'!BM$1,'PCO Log'!$E$7:$SJ$7,"Approved")</f>
        <v>0</v>
      </c>
      <c r="BN42" s="304">
        <f>SUMIFS('PCO Log'!$E52:$SJ52,'PCO Log'!$E$9:$SJ$9,'Graph Data'!BN$1,'PCO Log'!$E$7:$SJ$7,"Approved")</f>
        <v>0</v>
      </c>
      <c r="BO42" s="304">
        <f>SUMIFS('PCO Log'!$E52:$SJ52,'PCO Log'!$E$9:$SJ$9,'Graph Data'!BO$1,'PCO Log'!$E$7:$SJ$7,"Approved")</f>
        <v>0</v>
      </c>
      <c r="BP42" s="304">
        <f>SUMIFS('PCO Log'!$E52:$SJ52,'PCO Log'!$E$9:$SJ$9,'Graph Data'!BP$1,'PCO Log'!$E$7:$SJ$7,"Approved")</f>
        <v>0</v>
      </c>
      <c r="BQ42" s="304">
        <f>SUMIFS('PCO Log'!$E52:$SJ52,'PCO Log'!$E$9:$SJ$9,'Graph Data'!BQ$1,'PCO Log'!$E$7:$SJ$7,"Approved")</f>
        <v>0</v>
      </c>
      <c r="BR42" s="304">
        <f>SUMIFS('PCO Log'!$E52:$SJ52,'PCO Log'!$E$9:$SJ$9,'Graph Data'!BR$1,'PCO Log'!$E$7:$SJ$7,"Approved")</f>
        <v>0</v>
      </c>
      <c r="BS42" s="304">
        <f>SUMIFS('PCO Log'!$E52:$SJ52,'PCO Log'!$E$9:$SJ$9,'Graph Data'!BS$1,'PCO Log'!$E$7:$SJ$7,"Approved")</f>
        <v>0</v>
      </c>
      <c r="BT42" s="304">
        <f>SUMIFS('PCO Log'!$E52:$SJ52,'PCO Log'!$E$9:$SJ$9,'Graph Data'!BT$1,'PCO Log'!$E$7:$SJ$7,"Approved")</f>
        <v>0</v>
      </c>
      <c r="BU42" s="304">
        <f>SUMIFS('PCO Log'!$E52:$SJ52,'PCO Log'!$E$9:$SJ$9,'Graph Data'!BU$1,'PCO Log'!$E$7:$SJ$7,"Approved")</f>
        <v>0</v>
      </c>
      <c r="BV42" s="304">
        <f>SUMIFS('PCO Log'!$E52:$SJ52,'PCO Log'!$E$9:$SJ$9,'Graph Data'!BV$1,'PCO Log'!$E$7:$SJ$7,"Approved")</f>
        <v>0</v>
      </c>
      <c r="BW42" s="304">
        <f>SUMIFS('PCO Log'!$E52:$SJ52,'PCO Log'!$E$9:$SJ$9,'Graph Data'!BW$1,'PCO Log'!$E$7:$SJ$7,"Approved")</f>
        <v>0</v>
      </c>
      <c r="BX42" s="304">
        <f>SUMIFS('PCO Log'!$E52:$SJ52,'PCO Log'!$E$9:$SJ$9,'Graph Data'!BX$1,'PCO Log'!$E$7:$SJ$7,"Approved")</f>
        <v>0</v>
      </c>
    </row>
    <row r="43" spans="1:76" x14ac:dyDescent="0.25">
      <c r="A43" s="303" t="s">
        <v>383</v>
      </c>
      <c r="B43" s="303">
        <f>'PCO Log'!AT7</f>
        <v>0</v>
      </c>
      <c r="C43" s="303">
        <f>'PCO Log'!AT4</f>
        <v>0</v>
      </c>
      <c r="D43" s="303" cm="1">
        <f t="array" ref="D43">INDEX('PCO Log'!$E$5:$SJ$5, 1, ROWS('Graph Data'!$D$2:D43))</f>
        <v>0</v>
      </c>
      <c r="E43" s="303">
        <f>'PCO Log'!AT8</f>
        <v>0</v>
      </c>
      <c r="F43" s="303">
        <f>'PCO Log'!AT3</f>
        <v>0</v>
      </c>
      <c r="G43" s="304">
        <f>'PCO Log'!AT10</f>
        <v>0</v>
      </c>
      <c r="H43" s="305">
        <f>'PCO Log'!AT6</f>
        <v>0</v>
      </c>
      <c r="J43" s="303" t="s">
        <v>310</v>
      </c>
      <c r="K43" s="303">
        <f>'Pay App 42'!H33</f>
        <v>0</v>
      </c>
      <c r="L43" s="303">
        <f>IF(M43&gt;0,'Pay App 42'!$G$149,0)</f>
        <v>0</v>
      </c>
      <c r="M43" s="303">
        <f>'Pay App 42'!H149</f>
        <v>0</v>
      </c>
      <c r="O43" s="303" t="str">
        <f>'Pay App 1'!B98</f>
        <v>08 60 00</v>
      </c>
      <c r="P43" s="303" t="str">
        <f>'Pay App 1'!C98</f>
        <v>Skylights</v>
      </c>
      <c r="Q43" s="304">
        <f>SUMIFS('PCO Log'!$E53:$SJ53,'PCO Log'!$E$9:$SJ$9,'Graph Data'!Q$1,'PCO Log'!$E$7:$SJ$7,"Approved")</f>
        <v>0</v>
      </c>
      <c r="R43" s="304">
        <f>SUMIFS('PCO Log'!$E53:$SJ53,'PCO Log'!$E$9:$SJ$9,'Graph Data'!R$1,'PCO Log'!$E$7:$SJ$7,"Approved")</f>
        <v>0</v>
      </c>
      <c r="S43" s="304">
        <f>SUMIFS('PCO Log'!$E53:$SJ53,'PCO Log'!$E$9:$SJ$9,'Graph Data'!S$1,'PCO Log'!$E$7:$SJ$7,"Approved")</f>
        <v>0</v>
      </c>
      <c r="T43" s="304">
        <f>SUMIFS('PCO Log'!$E53:$SJ53,'PCO Log'!$E$9:$SJ$9,'Graph Data'!T$1,'PCO Log'!$E$7:$SJ$7,"Approved")</f>
        <v>0</v>
      </c>
      <c r="U43" s="304">
        <f>SUMIFS('PCO Log'!$E53:$SJ53,'PCO Log'!$E$9:$SJ$9,'Graph Data'!U$1,'PCO Log'!$E$7:$SJ$7,"Approved")</f>
        <v>0</v>
      </c>
      <c r="V43" s="304">
        <f>SUMIFS('PCO Log'!$E53:$SJ53,'PCO Log'!$E$9:$SJ$9,'Graph Data'!V$1,'PCO Log'!$E$7:$SJ$7,"Approved")</f>
        <v>0</v>
      </c>
      <c r="W43" s="304">
        <f>SUMIFS('PCO Log'!$E53:$SJ53,'PCO Log'!$E$9:$SJ$9,'Graph Data'!W$1,'PCO Log'!$E$7:$SJ$7,"Approved")</f>
        <v>0</v>
      </c>
      <c r="X43" s="304">
        <f>SUMIFS('PCO Log'!$E53:$SJ53,'PCO Log'!$E$9:$SJ$9,'Graph Data'!X$1,'PCO Log'!$E$7:$SJ$7,"Approved")</f>
        <v>0</v>
      </c>
      <c r="Y43" s="304">
        <f>SUMIFS('PCO Log'!$E53:$SJ53,'PCO Log'!$E$9:$SJ$9,'Graph Data'!Y$1,'PCO Log'!$E$7:$SJ$7,"Approved")</f>
        <v>0</v>
      </c>
      <c r="Z43" s="304">
        <f>SUMIFS('PCO Log'!$E53:$SJ53,'PCO Log'!$E$9:$SJ$9,'Graph Data'!Z$1,'PCO Log'!$E$7:$SJ$7,"Approved")</f>
        <v>0</v>
      </c>
      <c r="AA43" s="304">
        <f>SUMIFS('PCO Log'!$E53:$SJ53,'PCO Log'!$E$9:$SJ$9,'Graph Data'!AA$1,'PCO Log'!$E$7:$SJ$7,"Approved")</f>
        <v>0</v>
      </c>
      <c r="AB43" s="304">
        <f>SUMIFS('PCO Log'!$E53:$SJ53,'PCO Log'!$E$9:$SJ$9,'Graph Data'!AB$1,'PCO Log'!$E$7:$SJ$7,"Approved")</f>
        <v>0</v>
      </c>
      <c r="AC43" s="304">
        <f>SUMIFS('PCO Log'!$E53:$SJ53,'PCO Log'!$E$9:$SJ$9,'Graph Data'!AC$1,'PCO Log'!$E$7:$SJ$7,"Approved")</f>
        <v>0</v>
      </c>
      <c r="AD43" s="304">
        <f>SUMIFS('PCO Log'!$E53:$SJ53,'PCO Log'!$E$9:$SJ$9,'Graph Data'!AD$1,'PCO Log'!$E$7:$SJ$7,"Approved")</f>
        <v>0</v>
      </c>
      <c r="AE43" s="304">
        <f>SUMIFS('PCO Log'!$E53:$SJ53,'PCO Log'!$E$9:$SJ$9,'Graph Data'!AE$1,'PCO Log'!$E$7:$SJ$7,"Approved")</f>
        <v>0</v>
      </c>
      <c r="AF43" s="304">
        <f>SUMIFS('PCO Log'!$E53:$SJ53,'PCO Log'!$E$9:$SJ$9,'Graph Data'!AF$1,'PCO Log'!$E$7:$SJ$7,"Approved")</f>
        <v>0</v>
      </c>
      <c r="AG43" s="304">
        <f>SUMIFS('PCO Log'!$E53:$SJ53,'PCO Log'!$E$9:$SJ$9,'Graph Data'!AG$1,'PCO Log'!$E$7:$SJ$7,"Approved")</f>
        <v>0</v>
      </c>
      <c r="AH43" s="304">
        <f>SUMIFS('PCO Log'!$E53:$SJ53,'PCO Log'!$E$9:$SJ$9,'Graph Data'!AH$1,'PCO Log'!$E$7:$SJ$7,"Approved")</f>
        <v>0</v>
      </c>
      <c r="AI43" s="304">
        <f>SUMIFS('PCO Log'!$E53:$SJ53,'PCO Log'!$E$9:$SJ$9,'Graph Data'!AI$1,'PCO Log'!$E$7:$SJ$7,"Approved")</f>
        <v>0</v>
      </c>
      <c r="AJ43" s="304">
        <f>SUMIFS('PCO Log'!$E53:$SJ53,'PCO Log'!$E$9:$SJ$9,'Graph Data'!AJ$1,'PCO Log'!$E$7:$SJ$7,"Approved")</f>
        <v>0</v>
      </c>
      <c r="AK43" s="304">
        <f>SUMIFS('PCO Log'!$E53:$SJ53,'PCO Log'!$E$9:$SJ$9,'Graph Data'!AK$1,'PCO Log'!$E$7:$SJ$7,"Approved")</f>
        <v>0</v>
      </c>
      <c r="AL43" s="304">
        <f>SUMIFS('PCO Log'!$E53:$SJ53,'PCO Log'!$E$9:$SJ$9,'Graph Data'!AL$1,'PCO Log'!$E$7:$SJ$7,"Approved")</f>
        <v>0</v>
      </c>
      <c r="AM43" s="304">
        <f>SUMIFS('PCO Log'!$E53:$SJ53,'PCO Log'!$E$9:$SJ$9,'Graph Data'!AM$1,'PCO Log'!$E$7:$SJ$7,"Approved")</f>
        <v>0</v>
      </c>
      <c r="AN43" s="304">
        <f>SUMIFS('PCO Log'!$E53:$SJ53,'PCO Log'!$E$9:$SJ$9,'Graph Data'!AN$1,'PCO Log'!$E$7:$SJ$7,"Approved")</f>
        <v>0</v>
      </c>
      <c r="AO43" s="304">
        <f>SUMIFS('PCO Log'!$E53:$SJ53,'PCO Log'!$E$9:$SJ$9,'Graph Data'!AO$1,'PCO Log'!$E$7:$SJ$7,"Approved")</f>
        <v>0</v>
      </c>
      <c r="AP43" s="304">
        <f>SUMIFS('PCO Log'!$E53:$SJ53,'PCO Log'!$E$9:$SJ$9,'Graph Data'!AP$1,'PCO Log'!$E$7:$SJ$7,"Approved")</f>
        <v>0</v>
      </c>
      <c r="AQ43" s="304">
        <f>SUMIFS('PCO Log'!$E53:$SJ53,'PCO Log'!$E$9:$SJ$9,'Graph Data'!AQ$1,'PCO Log'!$E$7:$SJ$7,"Approved")</f>
        <v>0</v>
      </c>
      <c r="AR43" s="304">
        <f>SUMIFS('PCO Log'!$E53:$SJ53,'PCO Log'!$E$9:$SJ$9,'Graph Data'!AR$1,'PCO Log'!$E$7:$SJ$7,"Approved")</f>
        <v>0</v>
      </c>
      <c r="AS43" s="304">
        <f>SUMIFS('PCO Log'!$E53:$SJ53,'PCO Log'!$E$9:$SJ$9,'Graph Data'!AS$1,'PCO Log'!$E$7:$SJ$7,"Approved")</f>
        <v>0</v>
      </c>
      <c r="AT43" s="304">
        <f>SUMIFS('PCO Log'!$E53:$SJ53,'PCO Log'!$E$9:$SJ$9,'Graph Data'!AT$1,'PCO Log'!$E$7:$SJ$7,"Approved")</f>
        <v>0</v>
      </c>
      <c r="AU43" s="304">
        <f>SUMIFS('PCO Log'!$E53:$SJ53,'PCO Log'!$E$9:$SJ$9,'Graph Data'!AU$1,'PCO Log'!$E$7:$SJ$7,"Approved")</f>
        <v>0</v>
      </c>
      <c r="AV43" s="304">
        <f>SUMIFS('PCO Log'!$E53:$SJ53,'PCO Log'!$E$9:$SJ$9,'Graph Data'!AV$1,'PCO Log'!$E$7:$SJ$7,"Approved")</f>
        <v>0</v>
      </c>
      <c r="AW43" s="304">
        <f>SUMIFS('PCO Log'!$E53:$SJ53,'PCO Log'!$E$9:$SJ$9,'Graph Data'!AW$1,'PCO Log'!$E$7:$SJ$7,"Approved")</f>
        <v>0</v>
      </c>
      <c r="AX43" s="304">
        <f>SUMIFS('PCO Log'!$E53:$SJ53,'PCO Log'!$E$9:$SJ$9,'Graph Data'!AX$1,'PCO Log'!$E$7:$SJ$7,"Approved")</f>
        <v>0</v>
      </c>
      <c r="AY43" s="304">
        <f>SUMIFS('PCO Log'!$E53:$SJ53,'PCO Log'!$E$9:$SJ$9,'Graph Data'!AY$1,'PCO Log'!$E$7:$SJ$7,"Approved")</f>
        <v>0</v>
      </c>
      <c r="AZ43" s="304">
        <f>SUMIFS('PCO Log'!$E53:$SJ53,'PCO Log'!$E$9:$SJ$9,'Graph Data'!AZ$1,'PCO Log'!$E$7:$SJ$7,"Approved")</f>
        <v>0</v>
      </c>
      <c r="BA43" s="304">
        <f>SUMIFS('PCO Log'!$E53:$SJ53,'PCO Log'!$E$9:$SJ$9,'Graph Data'!BA$1,'PCO Log'!$E$7:$SJ$7,"Approved")</f>
        <v>0</v>
      </c>
      <c r="BB43" s="304">
        <f>SUMIFS('PCO Log'!$E53:$SJ53,'PCO Log'!$E$9:$SJ$9,'Graph Data'!BB$1,'PCO Log'!$E$7:$SJ$7,"Approved")</f>
        <v>0</v>
      </c>
      <c r="BC43" s="304">
        <f>SUMIFS('PCO Log'!$E53:$SJ53,'PCO Log'!$E$9:$SJ$9,'Graph Data'!BC$1,'PCO Log'!$E$7:$SJ$7,"Approved")</f>
        <v>0</v>
      </c>
      <c r="BD43" s="304">
        <f>SUMIFS('PCO Log'!$E53:$SJ53,'PCO Log'!$E$9:$SJ$9,'Graph Data'!BD$1,'PCO Log'!$E$7:$SJ$7,"Approved")</f>
        <v>0</v>
      </c>
      <c r="BE43" s="304">
        <f>SUMIFS('PCO Log'!$E53:$SJ53,'PCO Log'!$E$9:$SJ$9,'Graph Data'!BE$1,'PCO Log'!$E$7:$SJ$7,"Approved")</f>
        <v>0</v>
      </c>
      <c r="BF43" s="304">
        <f>SUMIFS('PCO Log'!$E53:$SJ53,'PCO Log'!$E$9:$SJ$9,'Graph Data'!BF$1,'PCO Log'!$E$7:$SJ$7,"Approved")</f>
        <v>0</v>
      </c>
      <c r="BG43" s="304">
        <f>SUMIFS('PCO Log'!$E53:$SJ53,'PCO Log'!$E$9:$SJ$9,'Graph Data'!BG$1,'PCO Log'!$E$7:$SJ$7,"Approved")</f>
        <v>0</v>
      </c>
      <c r="BH43" s="304">
        <f>SUMIFS('PCO Log'!$E53:$SJ53,'PCO Log'!$E$9:$SJ$9,'Graph Data'!BH$1,'PCO Log'!$E$7:$SJ$7,"Approved")</f>
        <v>0</v>
      </c>
      <c r="BI43" s="304">
        <f>SUMIFS('PCO Log'!$E53:$SJ53,'PCO Log'!$E$9:$SJ$9,'Graph Data'!BI$1,'PCO Log'!$E$7:$SJ$7,"Approved")</f>
        <v>0</v>
      </c>
      <c r="BJ43" s="304">
        <f>SUMIFS('PCO Log'!$E53:$SJ53,'PCO Log'!$E$9:$SJ$9,'Graph Data'!BJ$1,'PCO Log'!$E$7:$SJ$7,"Approved")</f>
        <v>0</v>
      </c>
      <c r="BK43" s="304">
        <f>SUMIFS('PCO Log'!$E53:$SJ53,'PCO Log'!$E$9:$SJ$9,'Graph Data'!BK$1,'PCO Log'!$E$7:$SJ$7,"Approved")</f>
        <v>0</v>
      </c>
      <c r="BL43" s="304">
        <f>SUMIFS('PCO Log'!$E53:$SJ53,'PCO Log'!$E$9:$SJ$9,'Graph Data'!BL$1,'PCO Log'!$E$7:$SJ$7,"Approved")</f>
        <v>0</v>
      </c>
      <c r="BM43" s="304">
        <f>SUMIFS('PCO Log'!$E53:$SJ53,'PCO Log'!$E$9:$SJ$9,'Graph Data'!BM$1,'PCO Log'!$E$7:$SJ$7,"Approved")</f>
        <v>0</v>
      </c>
      <c r="BN43" s="304">
        <f>SUMIFS('PCO Log'!$E53:$SJ53,'PCO Log'!$E$9:$SJ$9,'Graph Data'!BN$1,'PCO Log'!$E$7:$SJ$7,"Approved")</f>
        <v>0</v>
      </c>
      <c r="BO43" s="304">
        <f>SUMIFS('PCO Log'!$E53:$SJ53,'PCO Log'!$E$9:$SJ$9,'Graph Data'!BO$1,'PCO Log'!$E$7:$SJ$7,"Approved")</f>
        <v>0</v>
      </c>
      <c r="BP43" s="304">
        <f>SUMIFS('PCO Log'!$E53:$SJ53,'PCO Log'!$E$9:$SJ$9,'Graph Data'!BP$1,'PCO Log'!$E$7:$SJ$7,"Approved")</f>
        <v>0</v>
      </c>
      <c r="BQ43" s="304">
        <f>SUMIFS('PCO Log'!$E53:$SJ53,'PCO Log'!$E$9:$SJ$9,'Graph Data'!BQ$1,'PCO Log'!$E$7:$SJ$7,"Approved")</f>
        <v>0</v>
      </c>
      <c r="BR43" s="304">
        <f>SUMIFS('PCO Log'!$E53:$SJ53,'PCO Log'!$E$9:$SJ$9,'Graph Data'!BR$1,'PCO Log'!$E$7:$SJ$7,"Approved")</f>
        <v>0</v>
      </c>
      <c r="BS43" s="304">
        <f>SUMIFS('PCO Log'!$E53:$SJ53,'PCO Log'!$E$9:$SJ$9,'Graph Data'!BS$1,'PCO Log'!$E$7:$SJ$7,"Approved")</f>
        <v>0</v>
      </c>
      <c r="BT43" s="304">
        <f>SUMIFS('PCO Log'!$E53:$SJ53,'PCO Log'!$E$9:$SJ$9,'Graph Data'!BT$1,'PCO Log'!$E$7:$SJ$7,"Approved")</f>
        <v>0</v>
      </c>
      <c r="BU43" s="304">
        <f>SUMIFS('PCO Log'!$E53:$SJ53,'PCO Log'!$E$9:$SJ$9,'Graph Data'!BU$1,'PCO Log'!$E$7:$SJ$7,"Approved")</f>
        <v>0</v>
      </c>
      <c r="BV43" s="304">
        <f>SUMIFS('PCO Log'!$E53:$SJ53,'PCO Log'!$E$9:$SJ$9,'Graph Data'!BV$1,'PCO Log'!$E$7:$SJ$7,"Approved")</f>
        <v>0</v>
      </c>
      <c r="BW43" s="304">
        <f>SUMIFS('PCO Log'!$E53:$SJ53,'PCO Log'!$E$9:$SJ$9,'Graph Data'!BW$1,'PCO Log'!$E$7:$SJ$7,"Approved")</f>
        <v>0</v>
      </c>
      <c r="BX43" s="304">
        <f>SUMIFS('PCO Log'!$E53:$SJ53,'PCO Log'!$E$9:$SJ$9,'Graph Data'!BX$1,'PCO Log'!$E$7:$SJ$7,"Approved")</f>
        <v>0</v>
      </c>
    </row>
    <row r="44" spans="1:76" x14ac:dyDescent="0.25">
      <c r="A44" s="303" t="s">
        <v>384</v>
      </c>
      <c r="B44" s="303">
        <f>'PCO Log'!AU7</f>
        <v>0</v>
      </c>
      <c r="C44" s="303">
        <f>'PCO Log'!AU4</f>
        <v>0</v>
      </c>
      <c r="D44" s="303" cm="1">
        <f t="array" ref="D44">INDEX('PCO Log'!$E$5:$SJ$5, 1, ROWS('Graph Data'!$D$2:D44))</f>
        <v>0</v>
      </c>
      <c r="E44" s="303">
        <f>'PCO Log'!AU8</f>
        <v>0</v>
      </c>
      <c r="F44" s="303">
        <f>'PCO Log'!AU3</f>
        <v>0</v>
      </c>
      <c r="G44" s="304">
        <f>'PCO Log'!AU10</f>
        <v>0</v>
      </c>
      <c r="H44" s="305">
        <f>'PCO Log'!AU6</f>
        <v>0</v>
      </c>
      <c r="J44" s="303" t="s">
        <v>311</v>
      </c>
      <c r="K44" s="303">
        <f>'Pay App 43'!H33</f>
        <v>0</v>
      </c>
      <c r="L44" s="303">
        <f>IF(M44&gt;0,'Pay App 43'!$G$149,0)</f>
        <v>0</v>
      </c>
      <c r="M44" s="303">
        <f>'Pay App 43'!H149</f>
        <v>0</v>
      </c>
      <c r="O44" s="303" t="str">
        <f>'Pay App 1'!B99</f>
        <v>08 90 00</v>
      </c>
      <c r="P44" s="303" t="str">
        <f>'Pay App 1'!C99</f>
        <v>Louvers &amp; Vents</v>
      </c>
      <c r="Q44" s="304">
        <f>SUMIFS('PCO Log'!$E54:$SJ54,'PCO Log'!$E$9:$SJ$9,'Graph Data'!Q$1,'PCO Log'!$E$7:$SJ$7,"Approved")</f>
        <v>0</v>
      </c>
      <c r="R44" s="304">
        <f>SUMIFS('PCO Log'!$E54:$SJ54,'PCO Log'!$E$9:$SJ$9,'Graph Data'!R$1,'PCO Log'!$E$7:$SJ$7,"Approved")</f>
        <v>0</v>
      </c>
      <c r="S44" s="304">
        <f>SUMIFS('PCO Log'!$E54:$SJ54,'PCO Log'!$E$9:$SJ$9,'Graph Data'!S$1,'PCO Log'!$E$7:$SJ$7,"Approved")</f>
        <v>0</v>
      </c>
      <c r="T44" s="304">
        <f>SUMIFS('PCO Log'!$E54:$SJ54,'PCO Log'!$E$9:$SJ$9,'Graph Data'!T$1,'PCO Log'!$E$7:$SJ$7,"Approved")</f>
        <v>0</v>
      </c>
      <c r="U44" s="304">
        <f>SUMIFS('PCO Log'!$E54:$SJ54,'PCO Log'!$E$9:$SJ$9,'Graph Data'!U$1,'PCO Log'!$E$7:$SJ$7,"Approved")</f>
        <v>0</v>
      </c>
      <c r="V44" s="304">
        <f>SUMIFS('PCO Log'!$E54:$SJ54,'PCO Log'!$E$9:$SJ$9,'Graph Data'!V$1,'PCO Log'!$E$7:$SJ$7,"Approved")</f>
        <v>0</v>
      </c>
      <c r="W44" s="304">
        <f>SUMIFS('PCO Log'!$E54:$SJ54,'PCO Log'!$E$9:$SJ$9,'Graph Data'!W$1,'PCO Log'!$E$7:$SJ$7,"Approved")</f>
        <v>0</v>
      </c>
      <c r="X44" s="304">
        <f>SUMIFS('PCO Log'!$E54:$SJ54,'PCO Log'!$E$9:$SJ$9,'Graph Data'!X$1,'PCO Log'!$E$7:$SJ$7,"Approved")</f>
        <v>0</v>
      </c>
      <c r="Y44" s="304">
        <f>SUMIFS('PCO Log'!$E54:$SJ54,'PCO Log'!$E$9:$SJ$9,'Graph Data'!Y$1,'PCO Log'!$E$7:$SJ$7,"Approved")</f>
        <v>0</v>
      </c>
      <c r="Z44" s="304">
        <f>SUMIFS('PCO Log'!$E54:$SJ54,'PCO Log'!$E$9:$SJ$9,'Graph Data'!Z$1,'PCO Log'!$E$7:$SJ$7,"Approved")</f>
        <v>0</v>
      </c>
      <c r="AA44" s="304">
        <f>SUMIFS('PCO Log'!$E54:$SJ54,'PCO Log'!$E$9:$SJ$9,'Graph Data'!AA$1,'PCO Log'!$E$7:$SJ$7,"Approved")</f>
        <v>0</v>
      </c>
      <c r="AB44" s="304">
        <f>SUMIFS('PCO Log'!$E54:$SJ54,'PCO Log'!$E$9:$SJ$9,'Graph Data'!AB$1,'PCO Log'!$E$7:$SJ$7,"Approved")</f>
        <v>0</v>
      </c>
      <c r="AC44" s="304">
        <f>SUMIFS('PCO Log'!$E54:$SJ54,'PCO Log'!$E$9:$SJ$9,'Graph Data'!AC$1,'PCO Log'!$E$7:$SJ$7,"Approved")</f>
        <v>0</v>
      </c>
      <c r="AD44" s="304">
        <f>SUMIFS('PCO Log'!$E54:$SJ54,'PCO Log'!$E$9:$SJ$9,'Graph Data'!AD$1,'PCO Log'!$E$7:$SJ$7,"Approved")</f>
        <v>0</v>
      </c>
      <c r="AE44" s="304">
        <f>SUMIFS('PCO Log'!$E54:$SJ54,'PCO Log'!$E$9:$SJ$9,'Graph Data'!AE$1,'PCO Log'!$E$7:$SJ$7,"Approved")</f>
        <v>0</v>
      </c>
      <c r="AF44" s="304">
        <f>SUMIFS('PCO Log'!$E54:$SJ54,'PCO Log'!$E$9:$SJ$9,'Graph Data'!AF$1,'PCO Log'!$E$7:$SJ$7,"Approved")</f>
        <v>0</v>
      </c>
      <c r="AG44" s="304">
        <f>SUMIFS('PCO Log'!$E54:$SJ54,'PCO Log'!$E$9:$SJ$9,'Graph Data'!AG$1,'PCO Log'!$E$7:$SJ$7,"Approved")</f>
        <v>0</v>
      </c>
      <c r="AH44" s="304">
        <f>SUMIFS('PCO Log'!$E54:$SJ54,'PCO Log'!$E$9:$SJ$9,'Graph Data'!AH$1,'PCO Log'!$E$7:$SJ$7,"Approved")</f>
        <v>0</v>
      </c>
      <c r="AI44" s="304">
        <f>SUMIFS('PCO Log'!$E54:$SJ54,'PCO Log'!$E$9:$SJ$9,'Graph Data'!AI$1,'PCO Log'!$E$7:$SJ$7,"Approved")</f>
        <v>0</v>
      </c>
      <c r="AJ44" s="304">
        <f>SUMIFS('PCO Log'!$E54:$SJ54,'PCO Log'!$E$9:$SJ$9,'Graph Data'!AJ$1,'PCO Log'!$E$7:$SJ$7,"Approved")</f>
        <v>0</v>
      </c>
      <c r="AK44" s="304">
        <f>SUMIFS('PCO Log'!$E54:$SJ54,'PCO Log'!$E$9:$SJ$9,'Graph Data'!AK$1,'PCO Log'!$E$7:$SJ$7,"Approved")</f>
        <v>0</v>
      </c>
      <c r="AL44" s="304">
        <f>SUMIFS('PCO Log'!$E54:$SJ54,'PCO Log'!$E$9:$SJ$9,'Graph Data'!AL$1,'PCO Log'!$E$7:$SJ$7,"Approved")</f>
        <v>0</v>
      </c>
      <c r="AM44" s="304">
        <f>SUMIFS('PCO Log'!$E54:$SJ54,'PCO Log'!$E$9:$SJ$9,'Graph Data'!AM$1,'PCO Log'!$E$7:$SJ$7,"Approved")</f>
        <v>0</v>
      </c>
      <c r="AN44" s="304">
        <f>SUMIFS('PCO Log'!$E54:$SJ54,'PCO Log'!$E$9:$SJ$9,'Graph Data'!AN$1,'PCO Log'!$E$7:$SJ$7,"Approved")</f>
        <v>0</v>
      </c>
      <c r="AO44" s="304">
        <f>SUMIFS('PCO Log'!$E54:$SJ54,'PCO Log'!$E$9:$SJ$9,'Graph Data'!AO$1,'PCO Log'!$E$7:$SJ$7,"Approved")</f>
        <v>0</v>
      </c>
      <c r="AP44" s="304">
        <f>SUMIFS('PCO Log'!$E54:$SJ54,'PCO Log'!$E$9:$SJ$9,'Graph Data'!AP$1,'PCO Log'!$E$7:$SJ$7,"Approved")</f>
        <v>0</v>
      </c>
      <c r="AQ44" s="304">
        <f>SUMIFS('PCO Log'!$E54:$SJ54,'PCO Log'!$E$9:$SJ$9,'Graph Data'!AQ$1,'PCO Log'!$E$7:$SJ$7,"Approved")</f>
        <v>0</v>
      </c>
      <c r="AR44" s="304">
        <f>SUMIFS('PCO Log'!$E54:$SJ54,'PCO Log'!$E$9:$SJ$9,'Graph Data'!AR$1,'PCO Log'!$E$7:$SJ$7,"Approved")</f>
        <v>0</v>
      </c>
      <c r="AS44" s="304">
        <f>SUMIFS('PCO Log'!$E54:$SJ54,'PCO Log'!$E$9:$SJ$9,'Graph Data'!AS$1,'PCO Log'!$E$7:$SJ$7,"Approved")</f>
        <v>0</v>
      </c>
      <c r="AT44" s="304">
        <f>SUMIFS('PCO Log'!$E54:$SJ54,'PCO Log'!$E$9:$SJ$9,'Graph Data'!AT$1,'PCO Log'!$E$7:$SJ$7,"Approved")</f>
        <v>0</v>
      </c>
      <c r="AU44" s="304">
        <f>SUMIFS('PCO Log'!$E54:$SJ54,'PCO Log'!$E$9:$SJ$9,'Graph Data'!AU$1,'PCO Log'!$E$7:$SJ$7,"Approved")</f>
        <v>0</v>
      </c>
      <c r="AV44" s="304">
        <f>SUMIFS('PCO Log'!$E54:$SJ54,'PCO Log'!$E$9:$SJ$9,'Graph Data'!AV$1,'PCO Log'!$E$7:$SJ$7,"Approved")</f>
        <v>0</v>
      </c>
      <c r="AW44" s="304">
        <f>SUMIFS('PCO Log'!$E54:$SJ54,'PCO Log'!$E$9:$SJ$9,'Graph Data'!AW$1,'PCO Log'!$E$7:$SJ$7,"Approved")</f>
        <v>0</v>
      </c>
      <c r="AX44" s="304">
        <f>SUMIFS('PCO Log'!$E54:$SJ54,'PCO Log'!$E$9:$SJ$9,'Graph Data'!AX$1,'PCO Log'!$E$7:$SJ$7,"Approved")</f>
        <v>0</v>
      </c>
      <c r="AY44" s="304">
        <f>SUMIFS('PCO Log'!$E54:$SJ54,'PCO Log'!$E$9:$SJ$9,'Graph Data'!AY$1,'PCO Log'!$E$7:$SJ$7,"Approved")</f>
        <v>0</v>
      </c>
      <c r="AZ44" s="304">
        <f>SUMIFS('PCO Log'!$E54:$SJ54,'PCO Log'!$E$9:$SJ$9,'Graph Data'!AZ$1,'PCO Log'!$E$7:$SJ$7,"Approved")</f>
        <v>0</v>
      </c>
      <c r="BA44" s="304">
        <f>SUMIFS('PCO Log'!$E54:$SJ54,'PCO Log'!$E$9:$SJ$9,'Graph Data'!BA$1,'PCO Log'!$E$7:$SJ$7,"Approved")</f>
        <v>0</v>
      </c>
      <c r="BB44" s="304">
        <f>SUMIFS('PCO Log'!$E54:$SJ54,'PCO Log'!$E$9:$SJ$9,'Graph Data'!BB$1,'PCO Log'!$E$7:$SJ$7,"Approved")</f>
        <v>0</v>
      </c>
      <c r="BC44" s="304">
        <f>SUMIFS('PCO Log'!$E54:$SJ54,'PCO Log'!$E$9:$SJ$9,'Graph Data'!BC$1,'PCO Log'!$E$7:$SJ$7,"Approved")</f>
        <v>0</v>
      </c>
      <c r="BD44" s="304">
        <f>SUMIFS('PCO Log'!$E54:$SJ54,'PCO Log'!$E$9:$SJ$9,'Graph Data'!BD$1,'PCO Log'!$E$7:$SJ$7,"Approved")</f>
        <v>0</v>
      </c>
      <c r="BE44" s="304">
        <f>SUMIFS('PCO Log'!$E54:$SJ54,'PCO Log'!$E$9:$SJ$9,'Graph Data'!BE$1,'PCO Log'!$E$7:$SJ$7,"Approved")</f>
        <v>0</v>
      </c>
      <c r="BF44" s="304">
        <f>SUMIFS('PCO Log'!$E54:$SJ54,'PCO Log'!$E$9:$SJ$9,'Graph Data'!BF$1,'PCO Log'!$E$7:$SJ$7,"Approved")</f>
        <v>0</v>
      </c>
      <c r="BG44" s="304">
        <f>SUMIFS('PCO Log'!$E54:$SJ54,'PCO Log'!$E$9:$SJ$9,'Graph Data'!BG$1,'PCO Log'!$E$7:$SJ$7,"Approved")</f>
        <v>0</v>
      </c>
      <c r="BH44" s="304">
        <f>SUMIFS('PCO Log'!$E54:$SJ54,'PCO Log'!$E$9:$SJ$9,'Graph Data'!BH$1,'PCO Log'!$E$7:$SJ$7,"Approved")</f>
        <v>0</v>
      </c>
      <c r="BI44" s="304">
        <f>SUMIFS('PCO Log'!$E54:$SJ54,'PCO Log'!$E$9:$SJ$9,'Graph Data'!BI$1,'PCO Log'!$E$7:$SJ$7,"Approved")</f>
        <v>0</v>
      </c>
      <c r="BJ44" s="304">
        <f>SUMIFS('PCO Log'!$E54:$SJ54,'PCO Log'!$E$9:$SJ$9,'Graph Data'!BJ$1,'PCO Log'!$E$7:$SJ$7,"Approved")</f>
        <v>0</v>
      </c>
      <c r="BK44" s="304">
        <f>SUMIFS('PCO Log'!$E54:$SJ54,'PCO Log'!$E$9:$SJ$9,'Graph Data'!BK$1,'PCO Log'!$E$7:$SJ$7,"Approved")</f>
        <v>0</v>
      </c>
      <c r="BL44" s="304">
        <f>SUMIFS('PCO Log'!$E54:$SJ54,'PCO Log'!$E$9:$SJ$9,'Graph Data'!BL$1,'PCO Log'!$E$7:$SJ$7,"Approved")</f>
        <v>0</v>
      </c>
      <c r="BM44" s="304">
        <f>SUMIFS('PCO Log'!$E54:$SJ54,'PCO Log'!$E$9:$SJ$9,'Graph Data'!BM$1,'PCO Log'!$E$7:$SJ$7,"Approved")</f>
        <v>0</v>
      </c>
      <c r="BN44" s="304">
        <f>SUMIFS('PCO Log'!$E54:$SJ54,'PCO Log'!$E$9:$SJ$9,'Graph Data'!BN$1,'PCO Log'!$E$7:$SJ$7,"Approved")</f>
        <v>0</v>
      </c>
      <c r="BO44" s="304">
        <f>SUMIFS('PCO Log'!$E54:$SJ54,'PCO Log'!$E$9:$SJ$9,'Graph Data'!BO$1,'PCO Log'!$E$7:$SJ$7,"Approved")</f>
        <v>0</v>
      </c>
      <c r="BP44" s="304">
        <f>SUMIFS('PCO Log'!$E54:$SJ54,'PCO Log'!$E$9:$SJ$9,'Graph Data'!BP$1,'PCO Log'!$E$7:$SJ$7,"Approved")</f>
        <v>0</v>
      </c>
      <c r="BQ44" s="304">
        <f>SUMIFS('PCO Log'!$E54:$SJ54,'PCO Log'!$E$9:$SJ$9,'Graph Data'!BQ$1,'PCO Log'!$E$7:$SJ$7,"Approved")</f>
        <v>0</v>
      </c>
      <c r="BR44" s="304">
        <f>SUMIFS('PCO Log'!$E54:$SJ54,'PCO Log'!$E$9:$SJ$9,'Graph Data'!BR$1,'PCO Log'!$E$7:$SJ$7,"Approved")</f>
        <v>0</v>
      </c>
      <c r="BS44" s="304">
        <f>SUMIFS('PCO Log'!$E54:$SJ54,'PCO Log'!$E$9:$SJ$9,'Graph Data'!BS$1,'PCO Log'!$E$7:$SJ$7,"Approved")</f>
        <v>0</v>
      </c>
      <c r="BT44" s="304">
        <f>SUMIFS('PCO Log'!$E54:$SJ54,'PCO Log'!$E$9:$SJ$9,'Graph Data'!BT$1,'PCO Log'!$E$7:$SJ$7,"Approved")</f>
        <v>0</v>
      </c>
      <c r="BU44" s="304">
        <f>SUMIFS('PCO Log'!$E54:$SJ54,'PCO Log'!$E$9:$SJ$9,'Graph Data'!BU$1,'PCO Log'!$E$7:$SJ$7,"Approved")</f>
        <v>0</v>
      </c>
      <c r="BV44" s="304">
        <f>SUMIFS('PCO Log'!$E54:$SJ54,'PCO Log'!$E$9:$SJ$9,'Graph Data'!BV$1,'PCO Log'!$E$7:$SJ$7,"Approved")</f>
        <v>0</v>
      </c>
      <c r="BW44" s="304">
        <f>SUMIFS('PCO Log'!$E54:$SJ54,'PCO Log'!$E$9:$SJ$9,'Graph Data'!BW$1,'PCO Log'!$E$7:$SJ$7,"Approved")</f>
        <v>0</v>
      </c>
      <c r="BX44" s="304">
        <f>SUMIFS('PCO Log'!$E54:$SJ54,'PCO Log'!$E$9:$SJ$9,'Graph Data'!BX$1,'PCO Log'!$E$7:$SJ$7,"Approved")</f>
        <v>0</v>
      </c>
    </row>
    <row r="45" spans="1:76" x14ac:dyDescent="0.25">
      <c r="A45" s="303" t="s">
        <v>385</v>
      </c>
      <c r="B45" s="303">
        <f>'PCO Log'!AV7</f>
        <v>0</v>
      </c>
      <c r="C45" s="303">
        <f>'PCO Log'!AV4</f>
        <v>0</v>
      </c>
      <c r="D45" s="303" cm="1">
        <f t="array" ref="D45">INDEX('PCO Log'!$E$5:$SJ$5, 1, ROWS('Graph Data'!$D$2:D45))</f>
        <v>0</v>
      </c>
      <c r="E45" s="303">
        <f>'PCO Log'!AV8</f>
        <v>0</v>
      </c>
      <c r="F45" s="303">
        <f>'PCO Log'!AV3</f>
        <v>0</v>
      </c>
      <c r="G45" s="304">
        <f>'PCO Log'!AV10</f>
        <v>0</v>
      </c>
      <c r="H45" s="305">
        <f>'PCO Log'!AV6</f>
        <v>0</v>
      </c>
      <c r="J45" s="303" t="s">
        <v>312</v>
      </c>
      <c r="K45" s="303">
        <f>'Pay App 44'!H33</f>
        <v>0</v>
      </c>
      <c r="L45" s="303">
        <f>IF(M45&gt;0,'Pay App 44'!$G$149,0)</f>
        <v>0</v>
      </c>
      <c r="M45" s="303">
        <f>'Pay App 44'!H149</f>
        <v>0</v>
      </c>
      <c r="O45" s="303" t="str">
        <f>'Pay App 1'!B100</f>
        <v>09 20 00</v>
      </c>
      <c r="P45" s="303" t="str">
        <f>'Pay App 1'!C100</f>
        <v>Gypsum Board Systems</v>
      </c>
      <c r="Q45" s="304">
        <f>SUMIFS('PCO Log'!$E55:$SJ55,'PCO Log'!$E$9:$SJ$9,'Graph Data'!Q$1,'PCO Log'!$E$7:$SJ$7,"Approved")</f>
        <v>0</v>
      </c>
      <c r="R45" s="304">
        <f>SUMIFS('PCO Log'!$E55:$SJ55,'PCO Log'!$E$9:$SJ$9,'Graph Data'!R$1,'PCO Log'!$E$7:$SJ$7,"Approved")</f>
        <v>0</v>
      </c>
      <c r="S45" s="304">
        <f>SUMIFS('PCO Log'!$E55:$SJ55,'PCO Log'!$E$9:$SJ$9,'Graph Data'!S$1,'PCO Log'!$E$7:$SJ$7,"Approved")</f>
        <v>0</v>
      </c>
      <c r="T45" s="304">
        <f>SUMIFS('PCO Log'!$E55:$SJ55,'PCO Log'!$E$9:$SJ$9,'Graph Data'!T$1,'PCO Log'!$E$7:$SJ$7,"Approved")</f>
        <v>0</v>
      </c>
      <c r="U45" s="304">
        <f>SUMIFS('PCO Log'!$E55:$SJ55,'PCO Log'!$E$9:$SJ$9,'Graph Data'!U$1,'PCO Log'!$E$7:$SJ$7,"Approved")</f>
        <v>0</v>
      </c>
      <c r="V45" s="304">
        <f>SUMIFS('PCO Log'!$E55:$SJ55,'PCO Log'!$E$9:$SJ$9,'Graph Data'!V$1,'PCO Log'!$E$7:$SJ$7,"Approved")</f>
        <v>0</v>
      </c>
      <c r="W45" s="304">
        <f>SUMIFS('PCO Log'!$E55:$SJ55,'PCO Log'!$E$9:$SJ$9,'Graph Data'!W$1,'PCO Log'!$E$7:$SJ$7,"Approved")</f>
        <v>0</v>
      </c>
      <c r="X45" s="304">
        <f>SUMIFS('PCO Log'!$E55:$SJ55,'PCO Log'!$E$9:$SJ$9,'Graph Data'!X$1,'PCO Log'!$E$7:$SJ$7,"Approved")</f>
        <v>0</v>
      </c>
      <c r="Y45" s="304">
        <f>SUMIFS('PCO Log'!$E55:$SJ55,'PCO Log'!$E$9:$SJ$9,'Graph Data'!Y$1,'PCO Log'!$E$7:$SJ$7,"Approved")</f>
        <v>0</v>
      </c>
      <c r="Z45" s="304">
        <f>SUMIFS('PCO Log'!$E55:$SJ55,'PCO Log'!$E$9:$SJ$9,'Graph Data'!Z$1,'PCO Log'!$E$7:$SJ$7,"Approved")</f>
        <v>0</v>
      </c>
      <c r="AA45" s="304">
        <f>SUMIFS('PCO Log'!$E55:$SJ55,'PCO Log'!$E$9:$SJ$9,'Graph Data'!AA$1,'PCO Log'!$E$7:$SJ$7,"Approved")</f>
        <v>0</v>
      </c>
      <c r="AB45" s="304">
        <f>SUMIFS('PCO Log'!$E55:$SJ55,'PCO Log'!$E$9:$SJ$9,'Graph Data'!AB$1,'PCO Log'!$E$7:$SJ$7,"Approved")</f>
        <v>0</v>
      </c>
      <c r="AC45" s="304">
        <f>SUMIFS('PCO Log'!$E55:$SJ55,'PCO Log'!$E$9:$SJ$9,'Graph Data'!AC$1,'PCO Log'!$E$7:$SJ$7,"Approved")</f>
        <v>0</v>
      </c>
      <c r="AD45" s="304">
        <f>SUMIFS('PCO Log'!$E55:$SJ55,'PCO Log'!$E$9:$SJ$9,'Graph Data'!AD$1,'PCO Log'!$E$7:$SJ$7,"Approved")</f>
        <v>0</v>
      </c>
      <c r="AE45" s="304">
        <f>SUMIFS('PCO Log'!$E55:$SJ55,'PCO Log'!$E$9:$SJ$9,'Graph Data'!AE$1,'PCO Log'!$E$7:$SJ$7,"Approved")</f>
        <v>0</v>
      </c>
      <c r="AF45" s="304">
        <f>SUMIFS('PCO Log'!$E55:$SJ55,'PCO Log'!$E$9:$SJ$9,'Graph Data'!AF$1,'PCO Log'!$E$7:$SJ$7,"Approved")</f>
        <v>0</v>
      </c>
      <c r="AG45" s="304">
        <f>SUMIFS('PCO Log'!$E55:$SJ55,'PCO Log'!$E$9:$SJ$9,'Graph Data'!AG$1,'PCO Log'!$E$7:$SJ$7,"Approved")</f>
        <v>0</v>
      </c>
      <c r="AH45" s="304">
        <f>SUMIFS('PCO Log'!$E55:$SJ55,'PCO Log'!$E$9:$SJ$9,'Graph Data'!AH$1,'PCO Log'!$E$7:$SJ$7,"Approved")</f>
        <v>0</v>
      </c>
      <c r="AI45" s="304">
        <f>SUMIFS('PCO Log'!$E55:$SJ55,'PCO Log'!$E$9:$SJ$9,'Graph Data'!AI$1,'PCO Log'!$E$7:$SJ$7,"Approved")</f>
        <v>0</v>
      </c>
      <c r="AJ45" s="304">
        <f>SUMIFS('PCO Log'!$E55:$SJ55,'PCO Log'!$E$9:$SJ$9,'Graph Data'!AJ$1,'PCO Log'!$E$7:$SJ$7,"Approved")</f>
        <v>0</v>
      </c>
      <c r="AK45" s="304">
        <f>SUMIFS('PCO Log'!$E55:$SJ55,'PCO Log'!$E$9:$SJ$9,'Graph Data'!AK$1,'PCO Log'!$E$7:$SJ$7,"Approved")</f>
        <v>0</v>
      </c>
      <c r="AL45" s="304">
        <f>SUMIFS('PCO Log'!$E55:$SJ55,'PCO Log'!$E$9:$SJ$9,'Graph Data'!AL$1,'PCO Log'!$E$7:$SJ$7,"Approved")</f>
        <v>0</v>
      </c>
      <c r="AM45" s="304">
        <f>SUMIFS('PCO Log'!$E55:$SJ55,'PCO Log'!$E$9:$SJ$9,'Graph Data'!AM$1,'PCO Log'!$E$7:$SJ$7,"Approved")</f>
        <v>0</v>
      </c>
      <c r="AN45" s="304">
        <f>SUMIFS('PCO Log'!$E55:$SJ55,'PCO Log'!$E$9:$SJ$9,'Graph Data'!AN$1,'PCO Log'!$E$7:$SJ$7,"Approved")</f>
        <v>0</v>
      </c>
      <c r="AO45" s="304">
        <f>SUMIFS('PCO Log'!$E55:$SJ55,'PCO Log'!$E$9:$SJ$9,'Graph Data'!AO$1,'PCO Log'!$E$7:$SJ$7,"Approved")</f>
        <v>0</v>
      </c>
      <c r="AP45" s="304">
        <f>SUMIFS('PCO Log'!$E55:$SJ55,'PCO Log'!$E$9:$SJ$9,'Graph Data'!AP$1,'PCO Log'!$E$7:$SJ$7,"Approved")</f>
        <v>0</v>
      </c>
      <c r="AQ45" s="304">
        <f>SUMIFS('PCO Log'!$E55:$SJ55,'PCO Log'!$E$9:$SJ$9,'Graph Data'!AQ$1,'PCO Log'!$E$7:$SJ$7,"Approved")</f>
        <v>0</v>
      </c>
      <c r="AR45" s="304">
        <f>SUMIFS('PCO Log'!$E55:$SJ55,'PCO Log'!$E$9:$SJ$9,'Graph Data'!AR$1,'PCO Log'!$E$7:$SJ$7,"Approved")</f>
        <v>0</v>
      </c>
      <c r="AS45" s="304">
        <f>SUMIFS('PCO Log'!$E55:$SJ55,'PCO Log'!$E$9:$SJ$9,'Graph Data'!AS$1,'PCO Log'!$E$7:$SJ$7,"Approved")</f>
        <v>0</v>
      </c>
      <c r="AT45" s="304">
        <f>SUMIFS('PCO Log'!$E55:$SJ55,'PCO Log'!$E$9:$SJ$9,'Graph Data'!AT$1,'PCO Log'!$E$7:$SJ$7,"Approved")</f>
        <v>0</v>
      </c>
      <c r="AU45" s="304">
        <f>SUMIFS('PCO Log'!$E55:$SJ55,'PCO Log'!$E$9:$SJ$9,'Graph Data'!AU$1,'PCO Log'!$E$7:$SJ$7,"Approved")</f>
        <v>0</v>
      </c>
      <c r="AV45" s="304">
        <f>SUMIFS('PCO Log'!$E55:$SJ55,'PCO Log'!$E$9:$SJ$9,'Graph Data'!AV$1,'PCO Log'!$E$7:$SJ$7,"Approved")</f>
        <v>0</v>
      </c>
      <c r="AW45" s="304">
        <f>SUMIFS('PCO Log'!$E55:$SJ55,'PCO Log'!$E$9:$SJ$9,'Graph Data'!AW$1,'PCO Log'!$E$7:$SJ$7,"Approved")</f>
        <v>0</v>
      </c>
      <c r="AX45" s="304">
        <f>SUMIFS('PCO Log'!$E55:$SJ55,'PCO Log'!$E$9:$SJ$9,'Graph Data'!AX$1,'PCO Log'!$E$7:$SJ$7,"Approved")</f>
        <v>0</v>
      </c>
      <c r="AY45" s="304">
        <f>SUMIFS('PCO Log'!$E55:$SJ55,'PCO Log'!$E$9:$SJ$9,'Graph Data'!AY$1,'PCO Log'!$E$7:$SJ$7,"Approved")</f>
        <v>0</v>
      </c>
      <c r="AZ45" s="304">
        <f>SUMIFS('PCO Log'!$E55:$SJ55,'PCO Log'!$E$9:$SJ$9,'Graph Data'!AZ$1,'PCO Log'!$E$7:$SJ$7,"Approved")</f>
        <v>0</v>
      </c>
      <c r="BA45" s="304">
        <f>SUMIFS('PCO Log'!$E55:$SJ55,'PCO Log'!$E$9:$SJ$9,'Graph Data'!BA$1,'PCO Log'!$E$7:$SJ$7,"Approved")</f>
        <v>0</v>
      </c>
      <c r="BB45" s="304">
        <f>SUMIFS('PCO Log'!$E55:$SJ55,'PCO Log'!$E$9:$SJ$9,'Graph Data'!BB$1,'PCO Log'!$E$7:$SJ$7,"Approved")</f>
        <v>0</v>
      </c>
      <c r="BC45" s="304">
        <f>SUMIFS('PCO Log'!$E55:$SJ55,'PCO Log'!$E$9:$SJ$9,'Graph Data'!BC$1,'PCO Log'!$E$7:$SJ$7,"Approved")</f>
        <v>0</v>
      </c>
      <c r="BD45" s="304">
        <f>SUMIFS('PCO Log'!$E55:$SJ55,'PCO Log'!$E$9:$SJ$9,'Graph Data'!BD$1,'PCO Log'!$E$7:$SJ$7,"Approved")</f>
        <v>0</v>
      </c>
      <c r="BE45" s="304">
        <f>SUMIFS('PCO Log'!$E55:$SJ55,'PCO Log'!$E$9:$SJ$9,'Graph Data'!BE$1,'PCO Log'!$E$7:$SJ$7,"Approved")</f>
        <v>0</v>
      </c>
      <c r="BF45" s="304">
        <f>SUMIFS('PCO Log'!$E55:$SJ55,'PCO Log'!$E$9:$SJ$9,'Graph Data'!BF$1,'PCO Log'!$E$7:$SJ$7,"Approved")</f>
        <v>0</v>
      </c>
      <c r="BG45" s="304">
        <f>SUMIFS('PCO Log'!$E55:$SJ55,'PCO Log'!$E$9:$SJ$9,'Graph Data'!BG$1,'PCO Log'!$E$7:$SJ$7,"Approved")</f>
        <v>0</v>
      </c>
      <c r="BH45" s="304">
        <f>SUMIFS('PCO Log'!$E55:$SJ55,'PCO Log'!$E$9:$SJ$9,'Graph Data'!BH$1,'PCO Log'!$E$7:$SJ$7,"Approved")</f>
        <v>0</v>
      </c>
      <c r="BI45" s="304">
        <f>SUMIFS('PCO Log'!$E55:$SJ55,'PCO Log'!$E$9:$SJ$9,'Graph Data'!BI$1,'PCO Log'!$E$7:$SJ$7,"Approved")</f>
        <v>0</v>
      </c>
      <c r="BJ45" s="304">
        <f>SUMIFS('PCO Log'!$E55:$SJ55,'PCO Log'!$E$9:$SJ$9,'Graph Data'!BJ$1,'PCO Log'!$E$7:$SJ$7,"Approved")</f>
        <v>0</v>
      </c>
      <c r="BK45" s="304">
        <f>SUMIFS('PCO Log'!$E55:$SJ55,'PCO Log'!$E$9:$SJ$9,'Graph Data'!BK$1,'PCO Log'!$E$7:$SJ$7,"Approved")</f>
        <v>0</v>
      </c>
      <c r="BL45" s="304">
        <f>SUMIFS('PCO Log'!$E55:$SJ55,'PCO Log'!$E$9:$SJ$9,'Graph Data'!BL$1,'PCO Log'!$E$7:$SJ$7,"Approved")</f>
        <v>0</v>
      </c>
      <c r="BM45" s="304">
        <f>SUMIFS('PCO Log'!$E55:$SJ55,'PCO Log'!$E$9:$SJ$9,'Graph Data'!BM$1,'PCO Log'!$E$7:$SJ$7,"Approved")</f>
        <v>0</v>
      </c>
      <c r="BN45" s="304">
        <f>SUMIFS('PCO Log'!$E55:$SJ55,'PCO Log'!$E$9:$SJ$9,'Graph Data'!BN$1,'PCO Log'!$E$7:$SJ$7,"Approved")</f>
        <v>0</v>
      </c>
      <c r="BO45" s="304">
        <f>SUMIFS('PCO Log'!$E55:$SJ55,'PCO Log'!$E$9:$SJ$9,'Graph Data'!BO$1,'PCO Log'!$E$7:$SJ$7,"Approved")</f>
        <v>0</v>
      </c>
      <c r="BP45" s="304">
        <f>SUMIFS('PCO Log'!$E55:$SJ55,'PCO Log'!$E$9:$SJ$9,'Graph Data'!BP$1,'PCO Log'!$E$7:$SJ$7,"Approved")</f>
        <v>0</v>
      </c>
      <c r="BQ45" s="304">
        <f>SUMIFS('PCO Log'!$E55:$SJ55,'PCO Log'!$E$9:$SJ$9,'Graph Data'!BQ$1,'PCO Log'!$E$7:$SJ$7,"Approved")</f>
        <v>0</v>
      </c>
      <c r="BR45" s="304">
        <f>SUMIFS('PCO Log'!$E55:$SJ55,'PCO Log'!$E$9:$SJ$9,'Graph Data'!BR$1,'PCO Log'!$E$7:$SJ$7,"Approved")</f>
        <v>0</v>
      </c>
      <c r="BS45" s="304">
        <f>SUMIFS('PCO Log'!$E55:$SJ55,'PCO Log'!$E$9:$SJ$9,'Graph Data'!BS$1,'PCO Log'!$E$7:$SJ$7,"Approved")</f>
        <v>0</v>
      </c>
      <c r="BT45" s="304">
        <f>SUMIFS('PCO Log'!$E55:$SJ55,'PCO Log'!$E$9:$SJ$9,'Graph Data'!BT$1,'PCO Log'!$E$7:$SJ$7,"Approved")</f>
        <v>0</v>
      </c>
      <c r="BU45" s="304">
        <f>SUMIFS('PCO Log'!$E55:$SJ55,'PCO Log'!$E$9:$SJ$9,'Graph Data'!BU$1,'PCO Log'!$E$7:$SJ$7,"Approved")</f>
        <v>0</v>
      </c>
      <c r="BV45" s="304">
        <f>SUMIFS('PCO Log'!$E55:$SJ55,'PCO Log'!$E$9:$SJ$9,'Graph Data'!BV$1,'PCO Log'!$E$7:$SJ$7,"Approved")</f>
        <v>0</v>
      </c>
      <c r="BW45" s="304">
        <f>SUMIFS('PCO Log'!$E55:$SJ55,'PCO Log'!$E$9:$SJ$9,'Graph Data'!BW$1,'PCO Log'!$E$7:$SJ$7,"Approved")</f>
        <v>0</v>
      </c>
      <c r="BX45" s="304">
        <f>SUMIFS('PCO Log'!$E55:$SJ55,'PCO Log'!$E$9:$SJ$9,'Graph Data'!BX$1,'PCO Log'!$E$7:$SJ$7,"Approved")</f>
        <v>0</v>
      </c>
    </row>
    <row r="46" spans="1:76" x14ac:dyDescent="0.25">
      <c r="A46" s="303" t="s">
        <v>386</v>
      </c>
      <c r="B46" s="303">
        <f>'PCO Log'!AW7</f>
        <v>0</v>
      </c>
      <c r="C46" s="303">
        <f>'PCO Log'!AW4</f>
        <v>0</v>
      </c>
      <c r="D46" s="303" cm="1">
        <f t="array" ref="D46">INDEX('PCO Log'!$E$5:$SJ$5, 1, ROWS('Graph Data'!$D$2:D46))</f>
        <v>0</v>
      </c>
      <c r="E46" s="303">
        <f>'PCO Log'!AW8</f>
        <v>0</v>
      </c>
      <c r="F46" s="303">
        <f>'PCO Log'!AW3</f>
        <v>0</v>
      </c>
      <c r="G46" s="304">
        <f>'PCO Log'!AW10</f>
        <v>0</v>
      </c>
      <c r="H46" s="305">
        <f>'PCO Log'!AW6</f>
        <v>0</v>
      </c>
      <c r="J46" s="303" t="s">
        <v>313</v>
      </c>
      <c r="K46" s="303">
        <f>'Pay App 45'!H33</f>
        <v>0</v>
      </c>
      <c r="L46" s="303">
        <f>IF(M46&gt;0,'Pay App 45'!$G$149,0)</f>
        <v>0</v>
      </c>
      <c r="M46" s="303">
        <f>'Pay App 45'!H149</f>
        <v>0</v>
      </c>
      <c r="O46" s="303" t="str">
        <f>'Pay App 1'!B106</f>
        <v>09 30 00</v>
      </c>
      <c r="P46" s="303" t="str">
        <f>'Pay App 1'!C106</f>
        <v>Ceramic Tile</v>
      </c>
      <c r="Q46" s="304">
        <f>SUMIFS('PCO Log'!$E56:$SJ56,'PCO Log'!$E$9:$SJ$9,'Graph Data'!Q$1,'PCO Log'!$E$7:$SJ$7,"Approved")</f>
        <v>0</v>
      </c>
      <c r="R46" s="304">
        <f>SUMIFS('PCO Log'!$E56:$SJ56,'PCO Log'!$E$9:$SJ$9,'Graph Data'!R$1,'PCO Log'!$E$7:$SJ$7,"Approved")</f>
        <v>0</v>
      </c>
      <c r="S46" s="304">
        <f>SUMIFS('PCO Log'!$E56:$SJ56,'PCO Log'!$E$9:$SJ$9,'Graph Data'!S$1,'PCO Log'!$E$7:$SJ$7,"Approved")</f>
        <v>0</v>
      </c>
      <c r="T46" s="304">
        <f>SUMIFS('PCO Log'!$E56:$SJ56,'PCO Log'!$E$9:$SJ$9,'Graph Data'!T$1,'PCO Log'!$E$7:$SJ$7,"Approved")</f>
        <v>0</v>
      </c>
      <c r="U46" s="304">
        <f>SUMIFS('PCO Log'!$E56:$SJ56,'PCO Log'!$E$9:$SJ$9,'Graph Data'!U$1,'PCO Log'!$E$7:$SJ$7,"Approved")</f>
        <v>0</v>
      </c>
      <c r="V46" s="304">
        <f>SUMIFS('PCO Log'!$E56:$SJ56,'PCO Log'!$E$9:$SJ$9,'Graph Data'!V$1,'PCO Log'!$E$7:$SJ$7,"Approved")</f>
        <v>0</v>
      </c>
      <c r="W46" s="304">
        <f>SUMIFS('PCO Log'!$E56:$SJ56,'PCO Log'!$E$9:$SJ$9,'Graph Data'!W$1,'PCO Log'!$E$7:$SJ$7,"Approved")</f>
        <v>0</v>
      </c>
      <c r="X46" s="304">
        <f>SUMIFS('PCO Log'!$E56:$SJ56,'PCO Log'!$E$9:$SJ$9,'Graph Data'!X$1,'PCO Log'!$E$7:$SJ$7,"Approved")</f>
        <v>0</v>
      </c>
      <c r="Y46" s="304">
        <f>SUMIFS('PCO Log'!$E56:$SJ56,'PCO Log'!$E$9:$SJ$9,'Graph Data'!Y$1,'PCO Log'!$E$7:$SJ$7,"Approved")</f>
        <v>0</v>
      </c>
      <c r="Z46" s="304">
        <f>SUMIFS('PCO Log'!$E56:$SJ56,'PCO Log'!$E$9:$SJ$9,'Graph Data'!Z$1,'PCO Log'!$E$7:$SJ$7,"Approved")</f>
        <v>0</v>
      </c>
      <c r="AA46" s="304">
        <f>SUMIFS('PCO Log'!$E56:$SJ56,'PCO Log'!$E$9:$SJ$9,'Graph Data'!AA$1,'PCO Log'!$E$7:$SJ$7,"Approved")</f>
        <v>0</v>
      </c>
      <c r="AB46" s="304">
        <f>SUMIFS('PCO Log'!$E56:$SJ56,'PCO Log'!$E$9:$SJ$9,'Graph Data'!AB$1,'PCO Log'!$E$7:$SJ$7,"Approved")</f>
        <v>0</v>
      </c>
      <c r="AC46" s="304">
        <f>SUMIFS('PCO Log'!$E56:$SJ56,'PCO Log'!$E$9:$SJ$9,'Graph Data'!AC$1,'PCO Log'!$E$7:$SJ$7,"Approved")</f>
        <v>0</v>
      </c>
      <c r="AD46" s="304">
        <f>SUMIFS('PCO Log'!$E56:$SJ56,'PCO Log'!$E$9:$SJ$9,'Graph Data'!AD$1,'PCO Log'!$E$7:$SJ$7,"Approved")</f>
        <v>0</v>
      </c>
      <c r="AE46" s="304">
        <f>SUMIFS('PCO Log'!$E56:$SJ56,'PCO Log'!$E$9:$SJ$9,'Graph Data'!AE$1,'PCO Log'!$E$7:$SJ$7,"Approved")</f>
        <v>0</v>
      </c>
      <c r="AF46" s="304">
        <f>SUMIFS('PCO Log'!$E56:$SJ56,'PCO Log'!$E$9:$SJ$9,'Graph Data'!AF$1,'PCO Log'!$E$7:$SJ$7,"Approved")</f>
        <v>0</v>
      </c>
      <c r="AG46" s="304">
        <f>SUMIFS('PCO Log'!$E56:$SJ56,'PCO Log'!$E$9:$SJ$9,'Graph Data'!AG$1,'PCO Log'!$E$7:$SJ$7,"Approved")</f>
        <v>0</v>
      </c>
      <c r="AH46" s="304">
        <f>SUMIFS('PCO Log'!$E56:$SJ56,'PCO Log'!$E$9:$SJ$9,'Graph Data'!AH$1,'PCO Log'!$E$7:$SJ$7,"Approved")</f>
        <v>0</v>
      </c>
      <c r="AI46" s="304">
        <f>SUMIFS('PCO Log'!$E56:$SJ56,'PCO Log'!$E$9:$SJ$9,'Graph Data'!AI$1,'PCO Log'!$E$7:$SJ$7,"Approved")</f>
        <v>0</v>
      </c>
      <c r="AJ46" s="304">
        <f>SUMIFS('PCO Log'!$E56:$SJ56,'PCO Log'!$E$9:$SJ$9,'Graph Data'!AJ$1,'PCO Log'!$E$7:$SJ$7,"Approved")</f>
        <v>0</v>
      </c>
      <c r="AK46" s="304">
        <f>SUMIFS('PCO Log'!$E56:$SJ56,'PCO Log'!$E$9:$SJ$9,'Graph Data'!AK$1,'PCO Log'!$E$7:$SJ$7,"Approved")</f>
        <v>0</v>
      </c>
      <c r="AL46" s="304">
        <f>SUMIFS('PCO Log'!$E56:$SJ56,'PCO Log'!$E$9:$SJ$9,'Graph Data'!AL$1,'PCO Log'!$E$7:$SJ$7,"Approved")</f>
        <v>0</v>
      </c>
      <c r="AM46" s="304">
        <f>SUMIFS('PCO Log'!$E56:$SJ56,'PCO Log'!$E$9:$SJ$9,'Graph Data'!AM$1,'PCO Log'!$E$7:$SJ$7,"Approved")</f>
        <v>0</v>
      </c>
      <c r="AN46" s="304">
        <f>SUMIFS('PCO Log'!$E56:$SJ56,'PCO Log'!$E$9:$SJ$9,'Graph Data'!AN$1,'PCO Log'!$E$7:$SJ$7,"Approved")</f>
        <v>0</v>
      </c>
      <c r="AO46" s="304">
        <f>SUMIFS('PCO Log'!$E56:$SJ56,'PCO Log'!$E$9:$SJ$9,'Graph Data'!AO$1,'PCO Log'!$E$7:$SJ$7,"Approved")</f>
        <v>0</v>
      </c>
      <c r="AP46" s="304">
        <f>SUMIFS('PCO Log'!$E56:$SJ56,'PCO Log'!$E$9:$SJ$9,'Graph Data'!AP$1,'PCO Log'!$E$7:$SJ$7,"Approved")</f>
        <v>0</v>
      </c>
      <c r="AQ46" s="304">
        <f>SUMIFS('PCO Log'!$E56:$SJ56,'PCO Log'!$E$9:$SJ$9,'Graph Data'!AQ$1,'PCO Log'!$E$7:$SJ$7,"Approved")</f>
        <v>0</v>
      </c>
      <c r="AR46" s="304">
        <f>SUMIFS('PCO Log'!$E56:$SJ56,'PCO Log'!$E$9:$SJ$9,'Graph Data'!AR$1,'PCO Log'!$E$7:$SJ$7,"Approved")</f>
        <v>0</v>
      </c>
      <c r="AS46" s="304">
        <f>SUMIFS('PCO Log'!$E56:$SJ56,'PCO Log'!$E$9:$SJ$9,'Graph Data'!AS$1,'PCO Log'!$E$7:$SJ$7,"Approved")</f>
        <v>0</v>
      </c>
      <c r="AT46" s="304">
        <f>SUMIFS('PCO Log'!$E56:$SJ56,'PCO Log'!$E$9:$SJ$9,'Graph Data'!AT$1,'PCO Log'!$E$7:$SJ$7,"Approved")</f>
        <v>0</v>
      </c>
      <c r="AU46" s="304">
        <f>SUMIFS('PCO Log'!$E56:$SJ56,'PCO Log'!$E$9:$SJ$9,'Graph Data'!AU$1,'PCO Log'!$E$7:$SJ$7,"Approved")</f>
        <v>0</v>
      </c>
      <c r="AV46" s="304">
        <f>SUMIFS('PCO Log'!$E56:$SJ56,'PCO Log'!$E$9:$SJ$9,'Graph Data'!AV$1,'PCO Log'!$E$7:$SJ$7,"Approved")</f>
        <v>0</v>
      </c>
      <c r="AW46" s="304">
        <f>SUMIFS('PCO Log'!$E56:$SJ56,'PCO Log'!$E$9:$SJ$9,'Graph Data'!AW$1,'PCO Log'!$E$7:$SJ$7,"Approved")</f>
        <v>0</v>
      </c>
      <c r="AX46" s="304">
        <f>SUMIFS('PCO Log'!$E56:$SJ56,'PCO Log'!$E$9:$SJ$9,'Graph Data'!AX$1,'PCO Log'!$E$7:$SJ$7,"Approved")</f>
        <v>0</v>
      </c>
      <c r="AY46" s="304">
        <f>SUMIFS('PCO Log'!$E56:$SJ56,'PCO Log'!$E$9:$SJ$9,'Graph Data'!AY$1,'PCO Log'!$E$7:$SJ$7,"Approved")</f>
        <v>0</v>
      </c>
      <c r="AZ46" s="304">
        <f>SUMIFS('PCO Log'!$E56:$SJ56,'PCO Log'!$E$9:$SJ$9,'Graph Data'!AZ$1,'PCO Log'!$E$7:$SJ$7,"Approved")</f>
        <v>0</v>
      </c>
      <c r="BA46" s="304">
        <f>SUMIFS('PCO Log'!$E56:$SJ56,'PCO Log'!$E$9:$SJ$9,'Graph Data'!BA$1,'PCO Log'!$E$7:$SJ$7,"Approved")</f>
        <v>0</v>
      </c>
      <c r="BB46" s="304">
        <f>SUMIFS('PCO Log'!$E56:$SJ56,'PCO Log'!$E$9:$SJ$9,'Graph Data'!BB$1,'PCO Log'!$E$7:$SJ$7,"Approved")</f>
        <v>0</v>
      </c>
      <c r="BC46" s="304">
        <f>SUMIFS('PCO Log'!$E56:$SJ56,'PCO Log'!$E$9:$SJ$9,'Graph Data'!BC$1,'PCO Log'!$E$7:$SJ$7,"Approved")</f>
        <v>0</v>
      </c>
      <c r="BD46" s="304">
        <f>SUMIFS('PCO Log'!$E56:$SJ56,'PCO Log'!$E$9:$SJ$9,'Graph Data'!BD$1,'PCO Log'!$E$7:$SJ$7,"Approved")</f>
        <v>0</v>
      </c>
      <c r="BE46" s="304">
        <f>SUMIFS('PCO Log'!$E56:$SJ56,'PCO Log'!$E$9:$SJ$9,'Graph Data'!BE$1,'PCO Log'!$E$7:$SJ$7,"Approved")</f>
        <v>0</v>
      </c>
      <c r="BF46" s="304">
        <f>SUMIFS('PCO Log'!$E56:$SJ56,'PCO Log'!$E$9:$SJ$9,'Graph Data'!BF$1,'PCO Log'!$E$7:$SJ$7,"Approved")</f>
        <v>0</v>
      </c>
      <c r="BG46" s="304">
        <f>SUMIFS('PCO Log'!$E56:$SJ56,'PCO Log'!$E$9:$SJ$9,'Graph Data'!BG$1,'PCO Log'!$E$7:$SJ$7,"Approved")</f>
        <v>0</v>
      </c>
      <c r="BH46" s="304">
        <f>SUMIFS('PCO Log'!$E56:$SJ56,'PCO Log'!$E$9:$SJ$9,'Graph Data'!BH$1,'PCO Log'!$E$7:$SJ$7,"Approved")</f>
        <v>0</v>
      </c>
      <c r="BI46" s="304">
        <f>SUMIFS('PCO Log'!$E56:$SJ56,'PCO Log'!$E$9:$SJ$9,'Graph Data'!BI$1,'PCO Log'!$E$7:$SJ$7,"Approved")</f>
        <v>0</v>
      </c>
      <c r="BJ46" s="304">
        <f>SUMIFS('PCO Log'!$E56:$SJ56,'PCO Log'!$E$9:$SJ$9,'Graph Data'!BJ$1,'PCO Log'!$E$7:$SJ$7,"Approved")</f>
        <v>0</v>
      </c>
      <c r="BK46" s="304">
        <f>SUMIFS('PCO Log'!$E56:$SJ56,'PCO Log'!$E$9:$SJ$9,'Graph Data'!BK$1,'PCO Log'!$E$7:$SJ$7,"Approved")</f>
        <v>0</v>
      </c>
      <c r="BL46" s="304">
        <f>SUMIFS('PCO Log'!$E56:$SJ56,'PCO Log'!$E$9:$SJ$9,'Graph Data'!BL$1,'PCO Log'!$E$7:$SJ$7,"Approved")</f>
        <v>0</v>
      </c>
      <c r="BM46" s="304">
        <f>SUMIFS('PCO Log'!$E56:$SJ56,'PCO Log'!$E$9:$SJ$9,'Graph Data'!BM$1,'PCO Log'!$E$7:$SJ$7,"Approved")</f>
        <v>0</v>
      </c>
      <c r="BN46" s="304">
        <f>SUMIFS('PCO Log'!$E56:$SJ56,'PCO Log'!$E$9:$SJ$9,'Graph Data'!BN$1,'PCO Log'!$E$7:$SJ$7,"Approved")</f>
        <v>0</v>
      </c>
      <c r="BO46" s="304">
        <f>SUMIFS('PCO Log'!$E56:$SJ56,'PCO Log'!$E$9:$SJ$9,'Graph Data'!BO$1,'PCO Log'!$E$7:$SJ$7,"Approved")</f>
        <v>0</v>
      </c>
      <c r="BP46" s="304">
        <f>SUMIFS('PCO Log'!$E56:$SJ56,'PCO Log'!$E$9:$SJ$9,'Graph Data'!BP$1,'PCO Log'!$E$7:$SJ$7,"Approved")</f>
        <v>0</v>
      </c>
      <c r="BQ46" s="304">
        <f>SUMIFS('PCO Log'!$E56:$SJ56,'PCO Log'!$E$9:$SJ$9,'Graph Data'!BQ$1,'PCO Log'!$E$7:$SJ$7,"Approved")</f>
        <v>0</v>
      </c>
      <c r="BR46" s="304">
        <f>SUMIFS('PCO Log'!$E56:$SJ56,'PCO Log'!$E$9:$SJ$9,'Graph Data'!BR$1,'PCO Log'!$E$7:$SJ$7,"Approved")</f>
        <v>0</v>
      </c>
      <c r="BS46" s="304">
        <f>SUMIFS('PCO Log'!$E56:$SJ56,'PCO Log'!$E$9:$SJ$9,'Graph Data'!BS$1,'PCO Log'!$E$7:$SJ$7,"Approved")</f>
        <v>0</v>
      </c>
      <c r="BT46" s="304">
        <f>SUMIFS('PCO Log'!$E56:$SJ56,'PCO Log'!$E$9:$SJ$9,'Graph Data'!BT$1,'PCO Log'!$E$7:$SJ$7,"Approved")</f>
        <v>0</v>
      </c>
      <c r="BU46" s="304">
        <f>SUMIFS('PCO Log'!$E56:$SJ56,'PCO Log'!$E$9:$SJ$9,'Graph Data'!BU$1,'PCO Log'!$E$7:$SJ$7,"Approved")</f>
        <v>0</v>
      </c>
      <c r="BV46" s="304">
        <f>SUMIFS('PCO Log'!$E56:$SJ56,'PCO Log'!$E$9:$SJ$9,'Graph Data'!BV$1,'PCO Log'!$E$7:$SJ$7,"Approved")</f>
        <v>0</v>
      </c>
      <c r="BW46" s="304">
        <f>SUMIFS('PCO Log'!$E56:$SJ56,'PCO Log'!$E$9:$SJ$9,'Graph Data'!BW$1,'PCO Log'!$E$7:$SJ$7,"Approved")</f>
        <v>0</v>
      </c>
      <c r="BX46" s="304">
        <f>SUMIFS('PCO Log'!$E56:$SJ56,'PCO Log'!$E$9:$SJ$9,'Graph Data'!BX$1,'PCO Log'!$E$7:$SJ$7,"Approved")</f>
        <v>0</v>
      </c>
    </row>
    <row r="47" spans="1:76" x14ac:dyDescent="0.25">
      <c r="A47" s="303" t="s">
        <v>387</v>
      </c>
      <c r="B47" s="303">
        <f>'PCO Log'!AX7</f>
        <v>0</v>
      </c>
      <c r="C47" s="303">
        <f>'PCO Log'!AX4</f>
        <v>0</v>
      </c>
      <c r="D47" s="303" cm="1">
        <f t="array" ref="D47">INDEX('PCO Log'!$E$5:$SJ$5, 1, ROWS('Graph Data'!$D$2:D47))</f>
        <v>0</v>
      </c>
      <c r="E47" s="303">
        <f>'PCO Log'!AX8</f>
        <v>0</v>
      </c>
      <c r="F47" s="303">
        <f>'PCO Log'!AX3</f>
        <v>0</v>
      </c>
      <c r="G47" s="304">
        <f>'PCO Log'!AX10</f>
        <v>0</v>
      </c>
      <c r="H47" s="305">
        <f>'PCO Log'!AX6</f>
        <v>0</v>
      </c>
      <c r="J47" s="303" t="s">
        <v>314</v>
      </c>
      <c r="K47" s="303">
        <f>'Pay App 46'!H33</f>
        <v>0</v>
      </c>
      <c r="L47" s="303">
        <f>IF(M47&gt;0,'Pay App 46'!$G$149,0)</f>
        <v>0</v>
      </c>
      <c r="M47" s="303">
        <f>'Pay App 46'!H149</f>
        <v>0</v>
      </c>
      <c r="O47" s="303" t="str">
        <f>'Pay App 1'!B107</f>
        <v>09 51 00</v>
      </c>
      <c r="P47" s="303" t="str">
        <f>'Pay App 1'!C107</f>
        <v>Acoustical Ceilings</v>
      </c>
      <c r="Q47" s="304">
        <f>SUMIFS('PCO Log'!$E57:$SJ57,'PCO Log'!$E$9:$SJ$9,'Graph Data'!Q$1,'PCO Log'!$E$7:$SJ$7,"Approved")</f>
        <v>0</v>
      </c>
      <c r="R47" s="304">
        <f>SUMIFS('PCO Log'!$E57:$SJ57,'PCO Log'!$E$9:$SJ$9,'Graph Data'!R$1,'PCO Log'!$E$7:$SJ$7,"Approved")</f>
        <v>0</v>
      </c>
      <c r="S47" s="304">
        <f>SUMIFS('PCO Log'!$E57:$SJ57,'PCO Log'!$E$9:$SJ$9,'Graph Data'!S$1,'PCO Log'!$E$7:$SJ$7,"Approved")</f>
        <v>0</v>
      </c>
      <c r="T47" s="304">
        <f>SUMIFS('PCO Log'!$E57:$SJ57,'PCO Log'!$E$9:$SJ$9,'Graph Data'!T$1,'PCO Log'!$E$7:$SJ$7,"Approved")</f>
        <v>0</v>
      </c>
      <c r="U47" s="304">
        <f>SUMIFS('PCO Log'!$E57:$SJ57,'PCO Log'!$E$9:$SJ$9,'Graph Data'!U$1,'PCO Log'!$E$7:$SJ$7,"Approved")</f>
        <v>0</v>
      </c>
      <c r="V47" s="304">
        <f>SUMIFS('PCO Log'!$E57:$SJ57,'PCO Log'!$E$9:$SJ$9,'Graph Data'!V$1,'PCO Log'!$E$7:$SJ$7,"Approved")</f>
        <v>0</v>
      </c>
      <c r="W47" s="304">
        <f>SUMIFS('PCO Log'!$E57:$SJ57,'PCO Log'!$E$9:$SJ$9,'Graph Data'!W$1,'PCO Log'!$E$7:$SJ$7,"Approved")</f>
        <v>0</v>
      </c>
      <c r="X47" s="304">
        <f>SUMIFS('PCO Log'!$E57:$SJ57,'PCO Log'!$E$9:$SJ$9,'Graph Data'!X$1,'PCO Log'!$E$7:$SJ$7,"Approved")</f>
        <v>0</v>
      </c>
      <c r="Y47" s="304">
        <f>SUMIFS('PCO Log'!$E57:$SJ57,'PCO Log'!$E$9:$SJ$9,'Graph Data'!Y$1,'PCO Log'!$E$7:$SJ$7,"Approved")</f>
        <v>0</v>
      </c>
      <c r="Z47" s="304">
        <f>SUMIFS('PCO Log'!$E57:$SJ57,'PCO Log'!$E$9:$SJ$9,'Graph Data'!Z$1,'PCO Log'!$E$7:$SJ$7,"Approved")</f>
        <v>0</v>
      </c>
      <c r="AA47" s="304">
        <f>SUMIFS('PCO Log'!$E57:$SJ57,'PCO Log'!$E$9:$SJ$9,'Graph Data'!AA$1,'PCO Log'!$E$7:$SJ$7,"Approved")</f>
        <v>0</v>
      </c>
      <c r="AB47" s="304">
        <f>SUMIFS('PCO Log'!$E57:$SJ57,'PCO Log'!$E$9:$SJ$9,'Graph Data'!AB$1,'PCO Log'!$E$7:$SJ$7,"Approved")</f>
        <v>0</v>
      </c>
      <c r="AC47" s="304">
        <f>SUMIFS('PCO Log'!$E57:$SJ57,'PCO Log'!$E$9:$SJ$9,'Graph Data'!AC$1,'PCO Log'!$E$7:$SJ$7,"Approved")</f>
        <v>0</v>
      </c>
      <c r="AD47" s="304">
        <f>SUMIFS('PCO Log'!$E57:$SJ57,'PCO Log'!$E$9:$SJ$9,'Graph Data'!AD$1,'PCO Log'!$E$7:$SJ$7,"Approved")</f>
        <v>0</v>
      </c>
      <c r="AE47" s="304">
        <f>SUMIFS('PCO Log'!$E57:$SJ57,'PCO Log'!$E$9:$SJ$9,'Graph Data'!AE$1,'PCO Log'!$E$7:$SJ$7,"Approved")</f>
        <v>0</v>
      </c>
      <c r="AF47" s="304">
        <f>SUMIFS('PCO Log'!$E57:$SJ57,'PCO Log'!$E$9:$SJ$9,'Graph Data'!AF$1,'PCO Log'!$E$7:$SJ$7,"Approved")</f>
        <v>0</v>
      </c>
      <c r="AG47" s="304">
        <f>SUMIFS('PCO Log'!$E57:$SJ57,'PCO Log'!$E$9:$SJ$9,'Graph Data'!AG$1,'PCO Log'!$E$7:$SJ$7,"Approved")</f>
        <v>0</v>
      </c>
      <c r="AH47" s="304">
        <f>SUMIFS('PCO Log'!$E57:$SJ57,'PCO Log'!$E$9:$SJ$9,'Graph Data'!AH$1,'PCO Log'!$E$7:$SJ$7,"Approved")</f>
        <v>0</v>
      </c>
      <c r="AI47" s="304">
        <f>SUMIFS('PCO Log'!$E57:$SJ57,'PCO Log'!$E$9:$SJ$9,'Graph Data'!AI$1,'PCO Log'!$E$7:$SJ$7,"Approved")</f>
        <v>0</v>
      </c>
      <c r="AJ47" s="304">
        <f>SUMIFS('PCO Log'!$E57:$SJ57,'PCO Log'!$E$9:$SJ$9,'Graph Data'!AJ$1,'PCO Log'!$E$7:$SJ$7,"Approved")</f>
        <v>0</v>
      </c>
      <c r="AK47" s="304">
        <f>SUMIFS('PCO Log'!$E57:$SJ57,'PCO Log'!$E$9:$SJ$9,'Graph Data'!AK$1,'PCO Log'!$E$7:$SJ$7,"Approved")</f>
        <v>0</v>
      </c>
      <c r="AL47" s="304">
        <f>SUMIFS('PCO Log'!$E57:$SJ57,'PCO Log'!$E$9:$SJ$9,'Graph Data'!AL$1,'PCO Log'!$E$7:$SJ$7,"Approved")</f>
        <v>0</v>
      </c>
      <c r="AM47" s="304">
        <f>SUMIFS('PCO Log'!$E57:$SJ57,'PCO Log'!$E$9:$SJ$9,'Graph Data'!AM$1,'PCO Log'!$E$7:$SJ$7,"Approved")</f>
        <v>0</v>
      </c>
      <c r="AN47" s="304">
        <f>SUMIFS('PCO Log'!$E57:$SJ57,'PCO Log'!$E$9:$SJ$9,'Graph Data'!AN$1,'PCO Log'!$E$7:$SJ$7,"Approved")</f>
        <v>0</v>
      </c>
      <c r="AO47" s="304">
        <f>SUMIFS('PCO Log'!$E57:$SJ57,'PCO Log'!$E$9:$SJ$9,'Graph Data'!AO$1,'PCO Log'!$E$7:$SJ$7,"Approved")</f>
        <v>0</v>
      </c>
      <c r="AP47" s="304">
        <f>SUMIFS('PCO Log'!$E57:$SJ57,'PCO Log'!$E$9:$SJ$9,'Graph Data'!AP$1,'PCO Log'!$E$7:$SJ$7,"Approved")</f>
        <v>0</v>
      </c>
      <c r="AQ47" s="304">
        <f>SUMIFS('PCO Log'!$E57:$SJ57,'PCO Log'!$E$9:$SJ$9,'Graph Data'!AQ$1,'PCO Log'!$E$7:$SJ$7,"Approved")</f>
        <v>0</v>
      </c>
      <c r="AR47" s="304">
        <f>SUMIFS('PCO Log'!$E57:$SJ57,'PCO Log'!$E$9:$SJ$9,'Graph Data'!AR$1,'PCO Log'!$E$7:$SJ$7,"Approved")</f>
        <v>0</v>
      </c>
      <c r="AS47" s="304">
        <f>SUMIFS('PCO Log'!$E57:$SJ57,'PCO Log'!$E$9:$SJ$9,'Graph Data'!AS$1,'PCO Log'!$E$7:$SJ$7,"Approved")</f>
        <v>0</v>
      </c>
      <c r="AT47" s="304">
        <f>SUMIFS('PCO Log'!$E57:$SJ57,'PCO Log'!$E$9:$SJ$9,'Graph Data'!AT$1,'PCO Log'!$E$7:$SJ$7,"Approved")</f>
        <v>0</v>
      </c>
      <c r="AU47" s="304">
        <f>SUMIFS('PCO Log'!$E57:$SJ57,'PCO Log'!$E$9:$SJ$9,'Graph Data'!AU$1,'PCO Log'!$E$7:$SJ$7,"Approved")</f>
        <v>0</v>
      </c>
      <c r="AV47" s="304">
        <f>SUMIFS('PCO Log'!$E57:$SJ57,'PCO Log'!$E$9:$SJ$9,'Graph Data'!AV$1,'PCO Log'!$E$7:$SJ$7,"Approved")</f>
        <v>0</v>
      </c>
      <c r="AW47" s="304">
        <f>SUMIFS('PCO Log'!$E57:$SJ57,'PCO Log'!$E$9:$SJ$9,'Graph Data'!AW$1,'PCO Log'!$E$7:$SJ$7,"Approved")</f>
        <v>0</v>
      </c>
      <c r="AX47" s="304">
        <f>SUMIFS('PCO Log'!$E57:$SJ57,'PCO Log'!$E$9:$SJ$9,'Graph Data'!AX$1,'PCO Log'!$E$7:$SJ$7,"Approved")</f>
        <v>0</v>
      </c>
      <c r="AY47" s="304">
        <f>SUMIFS('PCO Log'!$E57:$SJ57,'PCO Log'!$E$9:$SJ$9,'Graph Data'!AY$1,'PCO Log'!$E$7:$SJ$7,"Approved")</f>
        <v>0</v>
      </c>
      <c r="AZ47" s="304">
        <f>SUMIFS('PCO Log'!$E57:$SJ57,'PCO Log'!$E$9:$SJ$9,'Graph Data'!AZ$1,'PCO Log'!$E$7:$SJ$7,"Approved")</f>
        <v>0</v>
      </c>
      <c r="BA47" s="304">
        <f>SUMIFS('PCO Log'!$E57:$SJ57,'PCO Log'!$E$9:$SJ$9,'Graph Data'!BA$1,'PCO Log'!$E$7:$SJ$7,"Approved")</f>
        <v>0</v>
      </c>
      <c r="BB47" s="304">
        <f>SUMIFS('PCO Log'!$E57:$SJ57,'PCO Log'!$E$9:$SJ$9,'Graph Data'!BB$1,'PCO Log'!$E$7:$SJ$7,"Approved")</f>
        <v>0</v>
      </c>
      <c r="BC47" s="304">
        <f>SUMIFS('PCO Log'!$E57:$SJ57,'PCO Log'!$E$9:$SJ$9,'Graph Data'!BC$1,'PCO Log'!$E$7:$SJ$7,"Approved")</f>
        <v>0</v>
      </c>
      <c r="BD47" s="304">
        <f>SUMIFS('PCO Log'!$E57:$SJ57,'PCO Log'!$E$9:$SJ$9,'Graph Data'!BD$1,'PCO Log'!$E$7:$SJ$7,"Approved")</f>
        <v>0</v>
      </c>
      <c r="BE47" s="304">
        <f>SUMIFS('PCO Log'!$E57:$SJ57,'PCO Log'!$E$9:$SJ$9,'Graph Data'!BE$1,'PCO Log'!$E$7:$SJ$7,"Approved")</f>
        <v>0</v>
      </c>
      <c r="BF47" s="304">
        <f>SUMIFS('PCO Log'!$E57:$SJ57,'PCO Log'!$E$9:$SJ$9,'Graph Data'!BF$1,'PCO Log'!$E$7:$SJ$7,"Approved")</f>
        <v>0</v>
      </c>
      <c r="BG47" s="304">
        <f>SUMIFS('PCO Log'!$E57:$SJ57,'PCO Log'!$E$9:$SJ$9,'Graph Data'!BG$1,'PCO Log'!$E$7:$SJ$7,"Approved")</f>
        <v>0</v>
      </c>
      <c r="BH47" s="304">
        <f>SUMIFS('PCO Log'!$E57:$SJ57,'PCO Log'!$E$9:$SJ$9,'Graph Data'!BH$1,'PCO Log'!$E$7:$SJ$7,"Approved")</f>
        <v>0</v>
      </c>
      <c r="BI47" s="304">
        <f>SUMIFS('PCO Log'!$E57:$SJ57,'PCO Log'!$E$9:$SJ$9,'Graph Data'!BI$1,'PCO Log'!$E$7:$SJ$7,"Approved")</f>
        <v>0</v>
      </c>
      <c r="BJ47" s="304">
        <f>SUMIFS('PCO Log'!$E57:$SJ57,'PCO Log'!$E$9:$SJ$9,'Graph Data'!BJ$1,'PCO Log'!$E$7:$SJ$7,"Approved")</f>
        <v>0</v>
      </c>
      <c r="BK47" s="304">
        <f>SUMIFS('PCO Log'!$E57:$SJ57,'PCO Log'!$E$9:$SJ$9,'Graph Data'!BK$1,'PCO Log'!$E$7:$SJ$7,"Approved")</f>
        <v>0</v>
      </c>
      <c r="BL47" s="304">
        <f>SUMIFS('PCO Log'!$E57:$SJ57,'PCO Log'!$E$9:$SJ$9,'Graph Data'!BL$1,'PCO Log'!$E$7:$SJ$7,"Approved")</f>
        <v>0</v>
      </c>
      <c r="BM47" s="304">
        <f>SUMIFS('PCO Log'!$E57:$SJ57,'PCO Log'!$E$9:$SJ$9,'Graph Data'!BM$1,'PCO Log'!$E$7:$SJ$7,"Approved")</f>
        <v>0</v>
      </c>
      <c r="BN47" s="304">
        <f>SUMIFS('PCO Log'!$E57:$SJ57,'PCO Log'!$E$9:$SJ$9,'Graph Data'!BN$1,'PCO Log'!$E$7:$SJ$7,"Approved")</f>
        <v>0</v>
      </c>
      <c r="BO47" s="304">
        <f>SUMIFS('PCO Log'!$E57:$SJ57,'PCO Log'!$E$9:$SJ$9,'Graph Data'!BO$1,'PCO Log'!$E$7:$SJ$7,"Approved")</f>
        <v>0</v>
      </c>
      <c r="BP47" s="304">
        <f>SUMIFS('PCO Log'!$E57:$SJ57,'PCO Log'!$E$9:$SJ$9,'Graph Data'!BP$1,'PCO Log'!$E$7:$SJ$7,"Approved")</f>
        <v>0</v>
      </c>
      <c r="BQ47" s="304">
        <f>SUMIFS('PCO Log'!$E57:$SJ57,'PCO Log'!$E$9:$SJ$9,'Graph Data'!BQ$1,'PCO Log'!$E$7:$SJ$7,"Approved")</f>
        <v>0</v>
      </c>
      <c r="BR47" s="304">
        <f>SUMIFS('PCO Log'!$E57:$SJ57,'PCO Log'!$E$9:$SJ$9,'Graph Data'!BR$1,'PCO Log'!$E$7:$SJ$7,"Approved")</f>
        <v>0</v>
      </c>
      <c r="BS47" s="304">
        <f>SUMIFS('PCO Log'!$E57:$SJ57,'PCO Log'!$E$9:$SJ$9,'Graph Data'!BS$1,'PCO Log'!$E$7:$SJ$7,"Approved")</f>
        <v>0</v>
      </c>
      <c r="BT47" s="304">
        <f>SUMIFS('PCO Log'!$E57:$SJ57,'PCO Log'!$E$9:$SJ$9,'Graph Data'!BT$1,'PCO Log'!$E$7:$SJ$7,"Approved")</f>
        <v>0</v>
      </c>
      <c r="BU47" s="304">
        <f>SUMIFS('PCO Log'!$E57:$SJ57,'PCO Log'!$E$9:$SJ$9,'Graph Data'!BU$1,'PCO Log'!$E$7:$SJ$7,"Approved")</f>
        <v>0</v>
      </c>
      <c r="BV47" s="304">
        <f>SUMIFS('PCO Log'!$E57:$SJ57,'PCO Log'!$E$9:$SJ$9,'Graph Data'!BV$1,'PCO Log'!$E$7:$SJ$7,"Approved")</f>
        <v>0</v>
      </c>
      <c r="BW47" s="304">
        <f>SUMIFS('PCO Log'!$E57:$SJ57,'PCO Log'!$E$9:$SJ$9,'Graph Data'!BW$1,'PCO Log'!$E$7:$SJ$7,"Approved")</f>
        <v>0</v>
      </c>
      <c r="BX47" s="304">
        <f>SUMIFS('PCO Log'!$E57:$SJ57,'PCO Log'!$E$9:$SJ$9,'Graph Data'!BX$1,'PCO Log'!$E$7:$SJ$7,"Approved")</f>
        <v>0</v>
      </c>
    </row>
    <row r="48" spans="1:76" x14ac:dyDescent="0.25">
      <c r="A48" s="303" t="s">
        <v>388</v>
      </c>
      <c r="B48" s="303">
        <f>'PCO Log'!AY7</f>
        <v>0</v>
      </c>
      <c r="C48" s="303">
        <f>'PCO Log'!AY4</f>
        <v>0</v>
      </c>
      <c r="D48" s="303" cm="1">
        <f t="array" ref="D48">INDEX('PCO Log'!$E$5:$SJ$5, 1, ROWS('Graph Data'!$D$2:D48))</f>
        <v>0</v>
      </c>
      <c r="E48" s="303">
        <f>'PCO Log'!AY8</f>
        <v>0</v>
      </c>
      <c r="F48" s="303">
        <f>'PCO Log'!AY3</f>
        <v>0</v>
      </c>
      <c r="G48" s="304">
        <f>'PCO Log'!AY10</f>
        <v>0</v>
      </c>
      <c r="H48" s="305">
        <f>'PCO Log'!AY6</f>
        <v>0</v>
      </c>
      <c r="J48" s="303" t="s">
        <v>315</v>
      </c>
      <c r="K48" s="303">
        <f>'Pay App 47'!H33</f>
        <v>0</v>
      </c>
      <c r="L48" s="303">
        <f>IF(M48&gt;0,'Pay App 47'!$G$149,0)</f>
        <v>0</v>
      </c>
      <c r="M48" s="303">
        <f>'Pay App 47'!H149</f>
        <v>0</v>
      </c>
      <c r="O48" s="303" t="str">
        <f>'Pay App 1'!B108</f>
        <v>09 54 00</v>
      </c>
      <c r="P48" s="303" t="str">
        <f>'Pay App 1'!C108</f>
        <v>Specialty Ceilings</v>
      </c>
      <c r="Q48" s="304">
        <f>SUMIFS('PCO Log'!$E58:$SJ58,'PCO Log'!$E$9:$SJ$9,'Graph Data'!Q$1,'PCO Log'!$E$7:$SJ$7,"Approved")</f>
        <v>0</v>
      </c>
      <c r="R48" s="304">
        <f>SUMIFS('PCO Log'!$E58:$SJ58,'PCO Log'!$E$9:$SJ$9,'Graph Data'!R$1,'PCO Log'!$E$7:$SJ$7,"Approved")</f>
        <v>0</v>
      </c>
      <c r="S48" s="304">
        <f>SUMIFS('PCO Log'!$E58:$SJ58,'PCO Log'!$E$9:$SJ$9,'Graph Data'!S$1,'PCO Log'!$E$7:$SJ$7,"Approved")</f>
        <v>0</v>
      </c>
      <c r="T48" s="304">
        <f>SUMIFS('PCO Log'!$E58:$SJ58,'PCO Log'!$E$9:$SJ$9,'Graph Data'!T$1,'PCO Log'!$E$7:$SJ$7,"Approved")</f>
        <v>0</v>
      </c>
      <c r="U48" s="304">
        <f>SUMIFS('PCO Log'!$E58:$SJ58,'PCO Log'!$E$9:$SJ$9,'Graph Data'!U$1,'PCO Log'!$E$7:$SJ$7,"Approved")</f>
        <v>0</v>
      </c>
      <c r="V48" s="304">
        <f>SUMIFS('PCO Log'!$E58:$SJ58,'PCO Log'!$E$9:$SJ$9,'Graph Data'!V$1,'PCO Log'!$E$7:$SJ$7,"Approved")</f>
        <v>0</v>
      </c>
      <c r="W48" s="304">
        <f>SUMIFS('PCO Log'!$E58:$SJ58,'PCO Log'!$E$9:$SJ$9,'Graph Data'!W$1,'PCO Log'!$E$7:$SJ$7,"Approved")</f>
        <v>0</v>
      </c>
      <c r="X48" s="304">
        <f>SUMIFS('PCO Log'!$E58:$SJ58,'PCO Log'!$E$9:$SJ$9,'Graph Data'!X$1,'PCO Log'!$E$7:$SJ$7,"Approved")</f>
        <v>0</v>
      </c>
      <c r="Y48" s="304">
        <f>SUMIFS('PCO Log'!$E58:$SJ58,'PCO Log'!$E$9:$SJ$9,'Graph Data'!Y$1,'PCO Log'!$E$7:$SJ$7,"Approved")</f>
        <v>0</v>
      </c>
      <c r="Z48" s="304">
        <f>SUMIFS('PCO Log'!$E58:$SJ58,'PCO Log'!$E$9:$SJ$9,'Graph Data'!Z$1,'PCO Log'!$E$7:$SJ$7,"Approved")</f>
        <v>0</v>
      </c>
      <c r="AA48" s="304">
        <f>SUMIFS('PCO Log'!$E58:$SJ58,'PCO Log'!$E$9:$SJ$9,'Graph Data'!AA$1,'PCO Log'!$E$7:$SJ$7,"Approved")</f>
        <v>0</v>
      </c>
      <c r="AB48" s="304">
        <f>SUMIFS('PCO Log'!$E58:$SJ58,'PCO Log'!$E$9:$SJ$9,'Graph Data'!AB$1,'PCO Log'!$E$7:$SJ$7,"Approved")</f>
        <v>0</v>
      </c>
      <c r="AC48" s="304">
        <f>SUMIFS('PCO Log'!$E58:$SJ58,'PCO Log'!$E$9:$SJ$9,'Graph Data'!AC$1,'PCO Log'!$E$7:$SJ$7,"Approved")</f>
        <v>0</v>
      </c>
      <c r="AD48" s="304">
        <f>SUMIFS('PCO Log'!$E58:$SJ58,'PCO Log'!$E$9:$SJ$9,'Graph Data'!AD$1,'PCO Log'!$E$7:$SJ$7,"Approved")</f>
        <v>0</v>
      </c>
      <c r="AE48" s="304">
        <f>SUMIFS('PCO Log'!$E58:$SJ58,'PCO Log'!$E$9:$SJ$9,'Graph Data'!AE$1,'PCO Log'!$E$7:$SJ$7,"Approved")</f>
        <v>0</v>
      </c>
      <c r="AF48" s="304">
        <f>SUMIFS('PCO Log'!$E58:$SJ58,'PCO Log'!$E$9:$SJ$9,'Graph Data'!AF$1,'PCO Log'!$E$7:$SJ$7,"Approved")</f>
        <v>0</v>
      </c>
      <c r="AG48" s="304">
        <f>SUMIFS('PCO Log'!$E58:$SJ58,'PCO Log'!$E$9:$SJ$9,'Graph Data'!AG$1,'PCO Log'!$E$7:$SJ$7,"Approved")</f>
        <v>0</v>
      </c>
      <c r="AH48" s="304">
        <f>SUMIFS('PCO Log'!$E58:$SJ58,'PCO Log'!$E$9:$SJ$9,'Graph Data'!AH$1,'PCO Log'!$E$7:$SJ$7,"Approved")</f>
        <v>0</v>
      </c>
      <c r="AI48" s="304">
        <f>SUMIFS('PCO Log'!$E58:$SJ58,'PCO Log'!$E$9:$SJ$9,'Graph Data'!AI$1,'PCO Log'!$E$7:$SJ$7,"Approved")</f>
        <v>0</v>
      </c>
      <c r="AJ48" s="304">
        <f>SUMIFS('PCO Log'!$E58:$SJ58,'PCO Log'!$E$9:$SJ$9,'Graph Data'!AJ$1,'PCO Log'!$E$7:$SJ$7,"Approved")</f>
        <v>0</v>
      </c>
      <c r="AK48" s="304">
        <f>SUMIFS('PCO Log'!$E58:$SJ58,'PCO Log'!$E$9:$SJ$9,'Graph Data'!AK$1,'PCO Log'!$E$7:$SJ$7,"Approved")</f>
        <v>0</v>
      </c>
      <c r="AL48" s="304">
        <f>SUMIFS('PCO Log'!$E58:$SJ58,'PCO Log'!$E$9:$SJ$9,'Graph Data'!AL$1,'PCO Log'!$E$7:$SJ$7,"Approved")</f>
        <v>0</v>
      </c>
      <c r="AM48" s="304">
        <f>SUMIFS('PCO Log'!$E58:$SJ58,'PCO Log'!$E$9:$SJ$9,'Graph Data'!AM$1,'PCO Log'!$E$7:$SJ$7,"Approved")</f>
        <v>0</v>
      </c>
      <c r="AN48" s="304">
        <f>SUMIFS('PCO Log'!$E58:$SJ58,'PCO Log'!$E$9:$SJ$9,'Graph Data'!AN$1,'PCO Log'!$E$7:$SJ$7,"Approved")</f>
        <v>0</v>
      </c>
      <c r="AO48" s="304">
        <f>SUMIFS('PCO Log'!$E58:$SJ58,'PCO Log'!$E$9:$SJ$9,'Graph Data'!AO$1,'PCO Log'!$E$7:$SJ$7,"Approved")</f>
        <v>0</v>
      </c>
      <c r="AP48" s="304">
        <f>SUMIFS('PCO Log'!$E58:$SJ58,'PCO Log'!$E$9:$SJ$9,'Graph Data'!AP$1,'PCO Log'!$E$7:$SJ$7,"Approved")</f>
        <v>0</v>
      </c>
      <c r="AQ48" s="304">
        <f>SUMIFS('PCO Log'!$E58:$SJ58,'PCO Log'!$E$9:$SJ$9,'Graph Data'!AQ$1,'PCO Log'!$E$7:$SJ$7,"Approved")</f>
        <v>0</v>
      </c>
      <c r="AR48" s="304">
        <f>SUMIFS('PCO Log'!$E58:$SJ58,'PCO Log'!$E$9:$SJ$9,'Graph Data'!AR$1,'PCO Log'!$E$7:$SJ$7,"Approved")</f>
        <v>0</v>
      </c>
      <c r="AS48" s="304">
        <f>SUMIFS('PCO Log'!$E58:$SJ58,'PCO Log'!$E$9:$SJ$9,'Graph Data'!AS$1,'PCO Log'!$E$7:$SJ$7,"Approved")</f>
        <v>0</v>
      </c>
      <c r="AT48" s="304">
        <f>SUMIFS('PCO Log'!$E58:$SJ58,'PCO Log'!$E$9:$SJ$9,'Graph Data'!AT$1,'PCO Log'!$E$7:$SJ$7,"Approved")</f>
        <v>0</v>
      </c>
      <c r="AU48" s="304">
        <f>SUMIFS('PCO Log'!$E58:$SJ58,'PCO Log'!$E$9:$SJ$9,'Graph Data'!AU$1,'PCO Log'!$E$7:$SJ$7,"Approved")</f>
        <v>0</v>
      </c>
      <c r="AV48" s="304">
        <f>SUMIFS('PCO Log'!$E58:$SJ58,'PCO Log'!$E$9:$SJ$9,'Graph Data'!AV$1,'PCO Log'!$E$7:$SJ$7,"Approved")</f>
        <v>0</v>
      </c>
      <c r="AW48" s="304">
        <f>SUMIFS('PCO Log'!$E58:$SJ58,'PCO Log'!$E$9:$SJ$9,'Graph Data'!AW$1,'PCO Log'!$E$7:$SJ$7,"Approved")</f>
        <v>0</v>
      </c>
      <c r="AX48" s="304">
        <f>SUMIFS('PCO Log'!$E58:$SJ58,'PCO Log'!$E$9:$SJ$9,'Graph Data'!AX$1,'PCO Log'!$E$7:$SJ$7,"Approved")</f>
        <v>0</v>
      </c>
      <c r="AY48" s="304">
        <f>SUMIFS('PCO Log'!$E58:$SJ58,'PCO Log'!$E$9:$SJ$9,'Graph Data'!AY$1,'PCO Log'!$E$7:$SJ$7,"Approved")</f>
        <v>0</v>
      </c>
      <c r="AZ48" s="304">
        <f>SUMIFS('PCO Log'!$E58:$SJ58,'PCO Log'!$E$9:$SJ$9,'Graph Data'!AZ$1,'PCO Log'!$E$7:$SJ$7,"Approved")</f>
        <v>0</v>
      </c>
      <c r="BA48" s="304">
        <f>SUMIFS('PCO Log'!$E58:$SJ58,'PCO Log'!$E$9:$SJ$9,'Graph Data'!BA$1,'PCO Log'!$E$7:$SJ$7,"Approved")</f>
        <v>0</v>
      </c>
      <c r="BB48" s="304">
        <f>SUMIFS('PCO Log'!$E58:$SJ58,'PCO Log'!$E$9:$SJ$9,'Graph Data'!BB$1,'PCO Log'!$E$7:$SJ$7,"Approved")</f>
        <v>0</v>
      </c>
      <c r="BC48" s="304">
        <f>SUMIFS('PCO Log'!$E58:$SJ58,'PCO Log'!$E$9:$SJ$9,'Graph Data'!BC$1,'PCO Log'!$E$7:$SJ$7,"Approved")</f>
        <v>0</v>
      </c>
      <c r="BD48" s="304">
        <f>SUMIFS('PCO Log'!$E58:$SJ58,'PCO Log'!$E$9:$SJ$9,'Graph Data'!BD$1,'PCO Log'!$E$7:$SJ$7,"Approved")</f>
        <v>0</v>
      </c>
      <c r="BE48" s="304">
        <f>SUMIFS('PCO Log'!$E58:$SJ58,'PCO Log'!$E$9:$SJ$9,'Graph Data'!BE$1,'PCO Log'!$E$7:$SJ$7,"Approved")</f>
        <v>0</v>
      </c>
      <c r="BF48" s="304">
        <f>SUMIFS('PCO Log'!$E58:$SJ58,'PCO Log'!$E$9:$SJ$9,'Graph Data'!BF$1,'PCO Log'!$E$7:$SJ$7,"Approved")</f>
        <v>0</v>
      </c>
      <c r="BG48" s="304">
        <f>SUMIFS('PCO Log'!$E58:$SJ58,'PCO Log'!$E$9:$SJ$9,'Graph Data'!BG$1,'PCO Log'!$E$7:$SJ$7,"Approved")</f>
        <v>0</v>
      </c>
      <c r="BH48" s="304">
        <f>SUMIFS('PCO Log'!$E58:$SJ58,'PCO Log'!$E$9:$SJ$9,'Graph Data'!BH$1,'PCO Log'!$E$7:$SJ$7,"Approved")</f>
        <v>0</v>
      </c>
      <c r="BI48" s="304">
        <f>SUMIFS('PCO Log'!$E58:$SJ58,'PCO Log'!$E$9:$SJ$9,'Graph Data'!BI$1,'PCO Log'!$E$7:$SJ$7,"Approved")</f>
        <v>0</v>
      </c>
      <c r="BJ48" s="304">
        <f>SUMIFS('PCO Log'!$E58:$SJ58,'PCO Log'!$E$9:$SJ$9,'Graph Data'!BJ$1,'PCO Log'!$E$7:$SJ$7,"Approved")</f>
        <v>0</v>
      </c>
      <c r="BK48" s="304">
        <f>SUMIFS('PCO Log'!$E58:$SJ58,'PCO Log'!$E$9:$SJ$9,'Graph Data'!BK$1,'PCO Log'!$E$7:$SJ$7,"Approved")</f>
        <v>0</v>
      </c>
      <c r="BL48" s="304">
        <f>SUMIFS('PCO Log'!$E58:$SJ58,'PCO Log'!$E$9:$SJ$9,'Graph Data'!BL$1,'PCO Log'!$E$7:$SJ$7,"Approved")</f>
        <v>0</v>
      </c>
      <c r="BM48" s="304">
        <f>SUMIFS('PCO Log'!$E58:$SJ58,'PCO Log'!$E$9:$SJ$9,'Graph Data'!BM$1,'PCO Log'!$E$7:$SJ$7,"Approved")</f>
        <v>0</v>
      </c>
      <c r="BN48" s="304">
        <f>SUMIFS('PCO Log'!$E58:$SJ58,'PCO Log'!$E$9:$SJ$9,'Graph Data'!BN$1,'PCO Log'!$E$7:$SJ$7,"Approved")</f>
        <v>0</v>
      </c>
      <c r="BO48" s="304">
        <f>SUMIFS('PCO Log'!$E58:$SJ58,'PCO Log'!$E$9:$SJ$9,'Graph Data'!BO$1,'PCO Log'!$E$7:$SJ$7,"Approved")</f>
        <v>0</v>
      </c>
      <c r="BP48" s="304">
        <f>SUMIFS('PCO Log'!$E58:$SJ58,'PCO Log'!$E$9:$SJ$9,'Graph Data'!BP$1,'PCO Log'!$E$7:$SJ$7,"Approved")</f>
        <v>0</v>
      </c>
      <c r="BQ48" s="304">
        <f>SUMIFS('PCO Log'!$E58:$SJ58,'PCO Log'!$E$9:$SJ$9,'Graph Data'!BQ$1,'PCO Log'!$E$7:$SJ$7,"Approved")</f>
        <v>0</v>
      </c>
      <c r="BR48" s="304">
        <f>SUMIFS('PCO Log'!$E58:$SJ58,'PCO Log'!$E$9:$SJ$9,'Graph Data'!BR$1,'PCO Log'!$E$7:$SJ$7,"Approved")</f>
        <v>0</v>
      </c>
      <c r="BS48" s="304">
        <f>SUMIFS('PCO Log'!$E58:$SJ58,'PCO Log'!$E$9:$SJ$9,'Graph Data'!BS$1,'PCO Log'!$E$7:$SJ$7,"Approved")</f>
        <v>0</v>
      </c>
      <c r="BT48" s="304">
        <f>SUMIFS('PCO Log'!$E58:$SJ58,'PCO Log'!$E$9:$SJ$9,'Graph Data'!BT$1,'PCO Log'!$E$7:$SJ$7,"Approved")</f>
        <v>0</v>
      </c>
      <c r="BU48" s="304">
        <f>SUMIFS('PCO Log'!$E58:$SJ58,'PCO Log'!$E$9:$SJ$9,'Graph Data'!BU$1,'PCO Log'!$E$7:$SJ$7,"Approved")</f>
        <v>0</v>
      </c>
      <c r="BV48" s="304">
        <f>SUMIFS('PCO Log'!$E58:$SJ58,'PCO Log'!$E$9:$SJ$9,'Graph Data'!BV$1,'PCO Log'!$E$7:$SJ$7,"Approved")</f>
        <v>0</v>
      </c>
      <c r="BW48" s="304">
        <f>SUMIFS('PCO Log'!$E58:$SJ58,'PCO Log'!$E$9:$SJ$9,'Graph Data'!BW$1,'PCO Log'!$E$7:$SJ$7,"Approved")</f>
        <v>0</v>
      </c>
      <c r="BX48" s="304">
        <f>SUMIFS('PCO Log'!$E58:$SJ58,'PCO Log'!$E$9:$SJ$9,'Graph Data'!BX$1,'PCO Log'!$E$7:$SJ$7,"Approved")</f>
        <v>0</v>
      </c>
    </row>
    <row r="49" spans="1:76" x14ac:dyDescent="0.25">
      <c r="A49" s="303" t="s">
        <v>389</v>
      </c>
      <c r="B49" s="303">
        <f>'PCO Log'!AZ7</f>
        <v>0</v>
      </c>
      <c r="C49" s="303">
        <f>'PCO Log'!AZ4</f>
        <v>0</v>
      </c>
      <c r="D49" s="303" cm="1">
        <f t="array" ref="D49">INDEX('PCO Log'!$E$5:$SJ$5, 1, ROWS('Graph Data'!$D$2:D49))</f>
        <v>0</v>
      </c>
      <c r="E49" s="303">
        <f>'PCO Log'!AZ8</f>
        <v>0</v>
      </c>
      <c r="F49" s="303">
        <f>'PCO Log'!AZ3</f>
        <v>0</v>
      </c>
      <c r="G49" s="304">
        <f>'PCO Log'!AZ10</f>
        <v>0</v>
      </c>
      <c r="H49" s="305">
        <f>'PCO Log'!AZ6</f>
        <v>0</v>
      </c>
      <c r="J49" s="303" t="s">
        <v>316</v>
      </c>
      <c r="K49" s="303">
        <f>'Pay App 48'!H33</f>
        <v>0</v>
      </c>
      <c r="L49" s="303">
        <f>IF(M49&gt;0,'Pay App 48'!$G$149,0)</f>
        <v>0</v>
      </c>
      <c r="M49" s="303">
        <f>'Pay App 48'!H149</f>
        <v>0</v>
      </c>
      <c r="O49" s="303" t="str">
        <f>'Pay App 1'!B109</f>
        <v>09 60 00</v>
      </c>
      <c r="P49" s="303" t="str">
        <f>'Pay App 1'!C109</f>
        <v>Floor Coverings</v>
      </c>
      <c r="Q49" s="304">
        <f>SUMIFS('PCO Log'!$E59:$SJ59,'PCO Log'!$E$9:$SJ$9,'Graph Data'!Q$1,'PCO Log'!$E$7:$SJ$7,"Approved")</f>
        <v>0</v>
      </c>
      <c r="R49" s="304">
        <f>SUMIFS('PCO Log'!$E59:$SJ59,'PCO Log'!$E$9:$SJ$9,'Graph Data'!R$1,'PCO Log'!$E$7:$SJ$7,"Approved")</f>
        <v>0</v>
      </c>
      <c r="S49" s="304">
        <f>SUMIFS('PCO Log'!$E59:$SJ59,'PCO Log'!$E$9:$SJ$9,'Graph Data'!S$1,'PCO Log'!$E$7:$SJ$7,"Approved")</f>
        <v>0</v>
      </c>
      <c r="T49" s="304">
        <f>SUMIFS('PCO Log'!$E59:$SJ59,'PCO Log'!$E$9:$SJ$9,'Graph Data'!T$1,'PCO Log'!$E$7:$SJ$7,"Approved")</f>
        <v>0</v>
      </c>
      <c r="U49" s="304">
        <f>SUMIFS('PCO Log'!$E59:$SJ59,'PCO Log'!$E$9:$SJ$9,'Graph Data'!U$1,'PCO Log'!$E$7:$SJ$7,"Approved")</f>
        <v>0</v>
      </c>
      <c r="V49" s="304">
        <f>SUMIFS('PCO Log'!$E59:$SJ59,'PCO Log'!$E$9:$SJ$9,'Graph Data'!V$1,'PCO Log'!$E$7:$SJ$7,"Approved")</f>
        <v>0</v>
      </c>
      <c r="W49" s="304">
        <f>SUMIFS('PCO Log'!$E59:$SJ59,'PCO Log'!$E$9:$SJ$9,'Graph Data'!W$1,'PCO Log'!$E$7:$SJ$7,"Approved")</f>
        <v>0</v>
      </c>
      <c r="X49" s="304">
        <f>SUMIFS('PCO Log'!$E59:$SJ59,'PCO Log'!$E$9:$SJ$9,'Graph Data'!X$1,'PCO Log'!$E$7:$SJ$7,"Approved")</f>
        <v>0</v>
      </c>
      <c r="Y49" s="304">
        <f>SUMIFS('PCO Log'!$E59:$SJ59,'PCO Log'!$E$9:$SJ$9,'Graph Data'!Y$1,'PCO Log'!$E$7:$SJ$7,"Approved")</f>
        <v>0</v>
      </c>
      <c r="Z49" s="304">
        <f>SUMIFS('PCO Log'!$E59:$SJ59,'PCO Log'!$E$9:$SJ$9,'Graph Data'!Z$1,'PCO Log'!$E$7:$SJ$7,"Approved")</f>
        <v>0</v>
      </c>
      <c r="AA49" s="304">
        <f>SUMIFS('PCO Log'!$E59:$SJ59,'PCO Log'!$E$9:$SJ$9,'Graph Data'!AA$1,'PCO Log'!$E$7:$SJ$7,"Approved")</f>
        <v>0</v>
      </c>
      <c r="AB49" s="304">
        <f>SUMIFS('PCO Log'!$E59:$SJ59,'PCO Log'!$E$9:$SJ$9,'Graph Data'!AB$1,'PCO Log'!$E$7:$SJ$7,"Approved")</f>
        <v>0</v>
      </c>
      <c r="AC49" s="304">
        <f>SUMIFS('PCO Log'!$E59:$SJ59,'PCO Log'!$E$9:$SJ$9,'Graph Data'!AC$1,'PCO Log'!$E$7:$SJ$7,"Approved")</f>
        <v>0</v>
      </c>
      <c r="AD49" s="304">
        <f>SUMIFS('PCO Log'!$E59:$SJ59,'PCO Log'!$E$9:$SJ$9,'Graph Data'!AD$1,'PCO Log'!$E$7:$SJ$7,"Approved")</f>
        <v>0</v>
      </c>
      <c r="AE49" s="304">
        <f>SUMIFS('PCO Log'!$E59:$SJ59,'PCO Log'!$E$9:$SJ$9,'Graph Data'!AE$1,'PCO Log'!$E$7:$SJ$7,"Approved")</f>
        <v>0</v>
      </c>
      <c r="AF49" s="304">
        <f>SUMIFS('PCO Log'!$E59:$SJ59,'PCO Log'!$E$9:$SJ$9,'Graph Data'!AF$1,'PCO Log'!$E$7:$SJ$7,"Approved")</f>
        <v>0</v>
      </c>
      <c r="AG49" s="304">
        <f>SUMIFS('PCO Log'!$E59:$SJ59,'PCO Log'!$E$9:$SJ$9,'Graph Data'!AG$1,'PCO Log'!$E$7:$SJ$7,"Approved")</f>
        <v>0</v>
      </c>
      <c r="AH49" s="304">
        <f>SUMIFS('PCO Log'!$E59:$SJ59,'PCO Log'!$E$9:$SJ$9,'Graph Data'!AH$1,'PCO Log'!$E$7:$SJ$7,"Approved")</f>
        <v>0</v>
      </c>
      <c r="AI49" s="304">
        <f>SUMIFS('PCO Log'!$E59:$SJ59,'PCO Log'!$E$9:$SJ$9,'Graph Data'!AI$1,'PCO Log'!$E$7:$SJ$7,"Approved")</f>
        <v>0</v>
      </c>
      <c r="AJ49" s="304">
        <f>SUMIFS('PCO Log'!$E59:$SJ59,'PCO Log'!$E$9:$SJ$9,'Graph Data'!AJ$1,'PCO Log'!$E$7:$SJ$7,"Approved")</f>
        <v>0</v>
      </c>
      <c r="AK49" s="304">
        <f>SUMIFS('PCO Log'!$E59:$SJ59,'PCO Log'!$E$9:$SJ$9,'Graph Data'!AK$1,'PCO Log'!$E$7:$SJ$7,"Approved")</f>
        <v>0</v>
      </c>
      <c r="AL49" s="304">
        <f>SUMIFS('PCO Log'!$E59:$SJ59,'PCO Log'!$E$9:$SJ$9,'Graph Data'!AL$1,'PCO Log'!$E$7:$SJ$7,"Approved")</f>
        <v>0</v>
      </c>
      <c r="AM49" s="304">
        <f>SUMIFS('PCO Log'!$E59:$SJ59,'PCO Log'!$E$9:$SJ$9,'Graph Data'!AM$1,'PCO Log'!$E$7:$SJ$7,"Approved")</f>
        <v>0</v>
      </c>
      <c r="AN49" s="304">
        <f>SUMIFS('PCO Log'!$E59:$SJ59,'PCO Log'!$E$9:$SJ$9,'Graph Data'!AN$1,'PCO Log'!$E$7:$SJ$7,"Approved")</f>
        <v>0</v>
      </c>
      <c r="AO49" s="304">
        <f>SUMIFS('PCO Log'!$E59:$SJ59,'PCO Log'!$E$9:$SJ$9,'Graph Data'!AO$1,'PCO Log'!$E$7:$SJ$7,"Approved")</f>
        <v>0</v>
      </c>
      <c r="AP49" s="304">
        <f>SUMIFS('PCO Log'!$E59:$SJ59,'PCO Log'!$E$9:$SJ$9,'Graph Data'!AP$1,'PCO Log'!$E$7:$SJ$7,"Approved")</f>
        <v>0</v>
      </c>
      <c r="AQ49" s="304">
        <f>SUMIFS('PCO Log'!$E59:$SJ59,'PCO Log'!$E$9:$SJ$9,'Graph Data'!AQ$1,'PCO Log'!$E$7:$SJ$7,"Approved")</f>
        <v>0</v>
      </c>
      <c r="AR49" s="304">
        <f>SUMIFS('PCO Log'!$E59:$SJ59,'PCO Log'!$E$9:$SJ$9,'Graph Data'!AR$1,'PCO Log'!$E$7:$SJ$7,"Approved")</f>
        <v>0</v>
      </c>
      <c r="AS49" s="304">
        <f>SUMIFS('PCO Log'!$E59:$SJ59,'PCO Log'!$E$9:$SJ$9,'Graph Data'!AS$1,'PCO Log'!$E$7:$SJ$7,"Approved")</f>
        <v>0</v>
      </c>
      <c r="AT49" s="304">
        <f>SUMIFS('PCO Log'!$E59:$SJ59,'PCO Log'!$E$9:$SJ$9,'Graph Data'!AT$1,'PCO Log'!$E$7:$SJ$7,"Approved")</f>
        <v>0</v>
      </c>
      <c r="AU49" s="304">
        <f>SUMIFS('PCO Log'!$E59:$SJ59,'PCO Log'!$E$9:$SJ$9,'Graph Data'!AU$1,'PCO Log'!$E$7:$SJ$7,"Approved")</f>
        <v>0</v>
      </c>
      <c r="AV49" s="304">
        <f>SUMIFS('PCO Log'!$E59:$SJ59,'PCO Log'!$E$9:$SJ$9,'Graph Data'!AV$1,'PCO Log'!$E$7:$SJ$7,"Approved")</f>
        <v>0</v>
      </c>
      <c r="AW49" s="304">
        <f>SUMIFS('PCO Log'!$E59:$SJ59,'PCO Log'!$E$9:$SJ$9,'Graph Data'!AW$1,'PCO Log'!$E$7:$SJ$7,"Approved")</f>
        <v>0</v>
      </c>
      <c r="AX49" s="304">
        <f>SUMIFS('PCO Log'!$E59:$SJ59,'PCO Log'!$E$9:$SJ$9,'Graph Data'!AX$1,'PCO Log'!$E$7:$SJ$7,"Approved")</f>
        <v>0</v>
      </c>
      <c r="AY49" s="304">
        <f>SUMIFS('PCO Log'!$E59:$SJ59,'PCO Log'!$E$9:$SJ$9,'Graph Data'!AY$1,'PCO Log'!$E$7:$SJ$7,"Approved")</f>
        <v>0</v>
      </c>
      <c r="AZ49" s="304">
        <f>SUMIFS('PCO Log'!$E59:$SJ59,'PCO Log'!$E$9:$SJ$9,'Graph Data'!AZ$1,'PCO Log'!$E$7:$SJ$7,"Approved")</f>
        <v>0</v>
      </c>
      <c r="BA49" s="304">
        <f>SUMIFS('PCO Log'!$E59:$SJ59,'PCO Log'!$E$9:$SJ$9,'Graph Data'!BA$1,'PCO Log'!$E$7:$SJ$7,"Approved")</f>
        <v>0</v>
      </c>
      <c r="BB49" s="304">
        <f>SUMIFS('PCO Log'!$E59:$SJ59,'PCO Log'!$E$9:$SJ$9,'Graph Data'!BB$1,'PCO Log'!$E$7:$SJ$7,"Approved")</f>
        <v>0</v>
      </c>
      <c r="BC49" s="304">
        <f>SUMIFS('PCO Log'!$E59:$SJ59,'PCO Log'!$E$9:$SJ$9,'Graph Data'!BC$1,'PCO Log'!$E$7:$SJ$7,"Approved")</f>
        <v>0</v>
      </c>
      <c r="BD49" s="304">
        <f>SUMIFS('PCO Log'!$E59:$SJ59,'PCO Log'!$E$9:$SJ$9,'Graph Data'!BD$1,'PCO Log'!$E$7:$SJ$7,"Approved")</f>
        <v>0</v>
      </c>
      <c r="BE49" s="304">
        <f>SUMIFS('PCO Log'!$E59:$SJ59,'PCO Log'!$E$9:$SJ$9,'Graph Data'!BE$1,'PCO Log'!$E$7:$SJ$7,"Approved")</f>
        <v>0</v>
      </c>
      <c r="BF49" s="304">
        <f>SUMIFS('PCO Log'!$E59:$SJ59,'PCO Log'!$E$9:$SJ$9,'Graph Data'!BF$1,'PCO Log'!$E$7:$SJ$7,"Approved")</f>
        <v>0</v>
      </c>
      <c r="BG49" s="304">
        <f>SUMIFS('PCO Log'!$E59:$SJ59,'PCO Log'!$E$9:$SJ$9,'Graph Data'!BG$1,'PCO Log'!$E$7:$SJ$7,"Approved")</f>
        <v>0</v>
      </c>
      <c r="BH49" s="304">
        <f>SUMIFS('PCO Log'!$E59:$SJ59,'PCO Log'!$E$9:$SJ$9,'Graph Data'!BH$1,'PCO Log'!$E$7:$SJ$7,"Approved")</f>
        <v>0</v>
      </c>
      <c r="BI49" s="304">
        <f>SUMIFS('PCO Log'!$E59:$SJ59,'PCO Log'!$E$9:$SJ$9,'Graph Data'!BI$1,'PCO Log'!$E$7:$SJ$7,"Approved")</f>
        <v>0</v>
      </c>
      <c r="BJ49" s="304">
        <f>SUMIFS('PCO Log'!$E59:$SJ59,'PCO Log'!$E$9:$SJ$9,'Graph Data'!BJ$1,'PCO Log'!$E$7:$SJ$7,"Approved")</f>
        <v>0</v>
      </c>
      <c r="BK49" s="304">
        <f>SUMIFS('PCO Log'!$E59:$SJ59,'PCO Log'!$E$9:$SJ$9,'Graph Data'!BK$1,'PCO Log'!$E$7:$SJ$7,"Approved")</f>
        <v>0</v>
      </c>
      <c r="BL49" s="304">
        <f>SUMIFS('PCO Log'!$E59:$SJ59,'PCO Log'!$E$9:$SJ$9,'Graph Data'!BL$1,'PCO Log'!$E$7:$SJ$7,"Approved")</f>
        <v>0</v>
      </c>
      <c r="BM49" s="304">
        <f>SUMIFS('PCO Log'!$E59:$SJ59,'PCO Log'!$E$9:$SJ$9,'Graph Data'!BM$1,'PCO Log'!$E$7:$SJ$7,"Approved")</f>
        <v>0</v>
      </c>
      <c r="BN49" s="304">
        <f>SUMIFS('PCO Log'!$E59:$SJ59,'PCO Log'!$E$9:$SJ$9,'Graph Data'!BN$1,'PCO Log'!$E$7:$SJ$7,"Approved")</f>
        <v>0</v>
      </c>
      <c r="BO49" s="304">
        <f>SUMIFS('PCO Log'!$E59:$SJ59,'PCO Log'!$E$9:$SJ$9,'Graph Data'!BO$1,'PCO Log'!$E$7:$SJ$7,"Approved")</f>
        <v>0</v>
      </c>
      <c r="BP49" s="304">
        <f>SUMIFS('PCO Log'!$E59:$SJ59,'PCO Log'!$E$9:$SJ$9,'Graph Data'!BP$1,'PCO Log'!$E$7:$SJ$7,"Approved")</f>
        <v>0</v>
      </c>
      <c r="BQ49" s="304">
        <f>SUMIFS('PCO Log'!$E59:$SJ59,'PCO Log'!$E$9:$SJ$9,'Graph Data'!BQ$1,'PCO Log'!$E$7:$SJ$7,"Approved")</f>
        <v>0</v>
      </c>
      <c r="BR49" s="304">
        <f>SUMIFS('PCO Log'!$E59:$SJ59,'PCO Log'!$E$9:$SJ$9,'Graph Data'!BR$1,'PCO Log'!$E$7:$SJ$7,"Approved")</f>
        <v>0</v>
      </c>
      <c r="BS49" s="304">
        <f>SUMIFS('PCO Log'!$E59:$SJ59,'PCO Log'!$E$9:$SJ$9,'Graph Data'!BS$1,'PCO Log'!$E$7:$SJ$7,"Approved")</f>
        <v>0</v>
      </c>
      <c r="BT49" s="304">
        <f>SUMIFS('PCO Log'!$E59:$SJ59,'PCO Log'!$E$9:$SJ$9,'Graph Data'!BT$1,'PCO Log'!$E$7:$SJ$7,"Approved")</f>
        <v>0</v>
      </c>
      <c r="BU49" s="304">
        <f>SUMIFS('PCO Log'!$E59:$SJ59,'PCO Log'!$E$9:$SJ$9,'Graph Data'!BU$1,'PCO Log'!$E$7:$SJ$7,"Approved")</f>
        <v>0</v>
      </c>
      <c r="BV49" s="304">
        <f>SUMIFS('PCO Log'!$E59:$SJ59,'PCO Log'!$E$9:$SJ$9,'Graph Data'!BV$1,'PCO Log'!$E$7:$SJ$7,"Approved")</f>
        <v>0</v>
      </c>
      <c r="BW49" s="304">
        <f>SUMIFS('PCO Log'!$E59:$SJ59,'PCO Log'!$E$9:$SJ$9,'Graph Data'!BW$1,'PCO Log'!$E$7:$SJ$7,"Approved")</f>
        <v>0</v>
      </c>
      <c r="BX49" s="304">
        <f>SUMIFS('PCO Log'!$E59:$SJ59,'PCO Log'!$E$9:$SJ$9,'Graph Data'!BX$1,'PCO Log'!$E$7:$SJ$7,"Approved")</f>
        <v>0</v>
      </c>
    </row>
    <row r="50" spans="1:76" x14ac:dyDescent="0.25">
      <c r="A50" s="303" t="s">
        <v>390</v>
      </c>
      <c r="B50" s="303">
        <f>'PCO Log'!BA7</f>
        <v>0</v>
      </c>
      <c r="C50" s="303">
        <f>'PCO Log'!BA4</f>
        <v>0</v>
      </c>
      <c r="D50" s="303" cm="1">
        <f t="array" ref="D50">INDEX('PCO Log'!$E$5:$SJ$5, 1, ROWS('Graph Data'!$D$2:D50))</f>
        <v>0</v>
      </c>
      <c r="E50" s="303">
        <f>'PCO Log'!BA8</f>
        <v>0</v>
      </c>
      <c r="F50" s="303">
        <f>'PCO Log'!BA3</f>
        <v>0</v>
      </c>
      <c r="G50" s="304">
        <f>'PCO Log'!BA10</f>
        <v>0</v>
      </c>
      <c r="H50" s="305">
        <f>'PCO Log'!BA6</f>
        <v>0</v>
      </c>
      <c r="J50" s="303" t="s">
        <v>317</v>
      </c>
      <c r="K50" s="303">
        <f>'Pay App 49'!H33</f>
        <v>0</v>
      </c>
      <c r="L50" s="303">
        <f>IF(M50&gt;0,'Pay App 49'!$G$149,0)</f>
        <v>0</v>
      </c>
      <c r="M50" s="303">
        <f>'Pay App 49'!H149</f>
        <v>0</v>
      </c>
      <c r="O50" s="303" t="str">
        <f>'Pay App 1'!B110</f>
        <v>09 62 00</v>
      </c>
      <c r="P50" s="303" t="str">
        <f>'Pay App 1'!C110</f>
        <v>Specialty Flooring</v>
      </c>
      <c r="Q50" s="304">
        <f>SUMIFS('PCO Log'!$E60:$SJ60,'PCO Log'!$E$9:$SJ$9,'Graph Data'!Q$1,'PCO Log'!$E$7:$SJ$7,"Approved")</f>
        <v>0</v>
      </c>
      <c r="R50" s="304">
        <f>SUMIFS('PCO Log'!$E60:$SJ60,'PCO Log'!$E$9:$SJ$9,'Graph Data'!R$1,'PCO Log'!$E$7:$SJ$7,"Approved")</f>
        <v>0</v>
      </c>
      <c r="S50" s="304">
        <f>SUMIFS('PCO Log'!$E60:$SJ60,'PCO Log'!$E$9:$SJ$9,'Graph Data'!S$1,'PCO Log'!$E$7:$SJ$7,"Approved")</f>
        <v>0</v>
      </c>
      <c r="T50" s="304">
        <f>SUMIFS('PCO Log'!$E60:$SJ60,'PCO Log'!$E$9:$SJ$9,'Graph Data'!T$1,'PCO Log'!$E$7:$SJ$7,"Approved")</f>
        <v>0</v>
      </c>
      <c r="U50" s="304">
        <f>SUMIFS('PCO Log'!$E60:$SJ60,'PCO Log'!$E$9:$SJ$9,'Graph Data'!U$1,'PCO Log'!$E$7:$SJ$7,"Approved")</f>
        <v>0</v>
      </c>
      <c r="V50" s="304">
        <f>SUMIFS('PCO Log'!$E60:$SJ60,'PCO Log'!$E$9:$SJ$9,'Graph Data'!V$1,'PCO Log'!$E$7:$SJ$7,"Approved")</f>
        <v>0</v>
      </c>
      <c r="W50" s="304">
        <f>SUMIFS('PCO Log'!$E60:$SJ60,'PCO Log'!$E$9:$SJ$9,'Graph Data'!W$1,'PCO Log'!$E$7:$SJ$7,"Approved")</f>
        <v>0</v>
      </c>
      <c r="X50" s="304">
        <f>SUMIFS('PCO Log'!$E60:$SJ60,'PCO Log'!$E$9:$SJ$9,'Graph Data'!X$1,'PCO Log'!$E$7:$SJ$7,"Approved")</f>
        <v>0</v>
      </c>
      <c r="Y50" s="304">
        <f>SUMIFS('PCO Log'!$E60:$SJ60,'PCO Log'!$E$9:$SJ$9,'Graph Data'!Y$1,'PCO Log'!$E$7:$SJ$7,"Approved")</f>
        <v>0</v>
      </c>
      <c r="Z50" s="304">
        <f>SUMIFS('PCO Log'!$E60:$SJ60,'PCO Log'!$E$9:$SJ$9,'Graph Data'!Z$1,'PCO Log'!$E$7:$SJ$7,"Approved")</f>
        <v>0</v>
      </c>
      <c r="AA50" s="304">
        <f>SUMIFS('PCO Log'!$E60:$SJ60,'PCO Log'!$E$9:$SJ$9,'Graph Data'!AA$1,'PCO Log'!$E$7:$SJ$7,"Approved")</f>
        <v>0</v>
      </c>
      <c r="AB50" s="304">
        <f>SUMIFS('PCO Log'!$E60:$SJ60,'PCO Log'!$E$9:$SJ$9,'Graph Data'!AB$1,'PCO Log'!$E$7:$SJ$7,"Approved")</f>
        <v>0</v>
      </c>
      <c r="AC50" s="304">
        <f>SUMIFS('PCO Log'!$E60:$SJ60,'PCO Log'!$E$9:$SJ$9,'Graph Data'!AC$1,'PCO Log'!$E$7:$SJ$7,"Approved")</f>
        <v>0</v>
      </c>
      <c r="AD50" s="304">
        <f>SUMIFS('PCO Log'!$E60:$SJ60,'PCO Log'!$E$9:$SJ$9,'Graph Data'!AD$1,'PCO Log'!$E$7:$SJ$7,"Approved")</f>
        <v>0</v>
      </c>
      <c r="AE50" s="304">
        <f>SUMIFS('PCO Log'!$E60:$SJ60,'PCO Log'!$E$9:$SJ$9,'Graph Data'!AE$1,'PCO Log'!$E$7:$SJ$7,"Approved")</f>
        <v>0</v>
      </c>
      <c r="AF50" s="304">
        <f>SUMIFS('PCO Log'!$E60:$SJ60,'PCO Log'!$E$9:$SJ$9,'Graph Data'!AF$1,'PCO Log'!$E$7:$SJ$7,"Approved")</f>
        <v>0</v>
      </c>
      <c r="AG50" s="304">
        <f>SUMIFS('PCO Log'!$E60:$SJ60,'PCO Log'!$E$9:$SJ$9,'Graph Data'!AG$1,'PCO Log'!$E$7:$SJ$7,"Approved")</f>
        <v>0</v>
      </c>
      <c r="AH50" s="304">
        <f>SUMIFS('PCO Log'!$E60:$SJ60,'PCO Log'!$E$9:$SJ$9,'Graph Data'!AH$1,'PCO Log'!$E$7:$SJ$7,"Approved")</f>
        <v>0</v>
      </c>
      <c r="AI50" s="304">
        <f>SUMIFS('PCO Log'!$E60:$SJ60,'PCO Log'!$E$9:$SJ$9,'Graph Data'!AI$1,'PCO Log'!$E$7:$SJ$7,"Approved")</f>
        <v>0</v>
      </c>
      <c r="AJ50" s="304">
        <f>SUMIFS('PCO Log'!$E60:$SJ60,'PCO Log'!$E$9:$SJ$9,'Graph Data'!AJ$1,'PCO Log'!$E$7:$SJ$7,"Approved")</f>
        <v>0</v>
      </c>
      <c r="AK50" s="304">
        <f>SUMIFS('PCO Log'!$E60:$SJ60,'PCO Log'!$E$9:$SJ$9,'Graph Data'!AK$1,'PCO Log'!$E$7:$SJ$7,"Approved")</f>
        <v>0</v>
      </c>
      <c r="AL50" s="304">
        <f>SUMIFS('PCO Log'!$E60:$SJ60,'PCO Log'!$E$9:$SJ$9,'Graph Data'!AL$1,'PCO Log'!$E$7:$SJ$7,"Approved")</f>
        <v>0</v>
      </c>
      <c r="AM50" s="304">
        <f>SUMIFS('PCO Log'!$E60:$SJ60,'PCO Log'!$E$9:$SJ$9,'Graph Data'!AM$1,'PCO Log'!$E$7:$SJ$7,"Approved")</f>
        <v>0</v>
      </c>
      <c r="AN50" s="304">
        <f>SUMIFS('PCO Log'!$E60:$SJ60,'PCO Log'!$E$9:$SJ$9,'Graph Data'!AN$1,'PCO Log'!$E$7:$SJ$7,"Approved")</f>
        <v>0</v>
      </c>
      <c r="AO50" s="304">
        <f>SUMIFS('PCO Log'!$E60:$SJ60,'PCO Log'!$E$9:$SJ$9,'Graph Data'!AO$1,'PCO Log'!$E$7:$SJ$7,"Approved")</f>
        <v>0</v>
      </c>
      <c r="AP50" s="304">
        <f>SUMIFS('PCO Log'!$E60:$SJ60,'PCO Log'!$E$9:$SJ$9,'Graph Data'!AP$1,'PCO Log'!$E$7:$SJ$7,"Approved")</f>
        <v>0</v>
      </c>
      <c r="AQ50" s="304">
        <f>SUMIFS('PCO Log'!$E60:$SJ60,'PCO Log'!$E$9:$SJ$9,'Graph Data'!AQ$1,'PCO Log'!$E$7:$SJ$7,"Approved")</f>
        <v>0</v>
      </c>
      <c r="AR50" s="304">
        <f>SUMIFS('PCO Log'!$E60:$SJ60,'PCO Log'!$E$9:$SJ$9,'Graph Data'!AR$1,'PCO Log'!$E$7:$SJ$7,"Approved")</f>
        <v>0</v>
      </c>
      <c r="AS50" s="304">
        <f>SUMIFS('PCO Log'!$E60:$SJ60,'PCO Log'!$E$9:$SJ$9,'Graph Data'!AS$1,'PCO Log'!$E$7:$SJ$7,"Approved")</f>
        <v>0</v>
      </c>
      <c r="AT50" s="304">
        <f>SUMIFS('PCO Log'!$E60:$SJ60,'PCO Log'!$E$9:$SJ$9,'Graph Data'!AT$1,'PCO Log'!$E$7:$SJ$7,"Approved")</f>
        <v>0</v>
      </c>
      <c r="AU50" s="304">
        <f>SUMIFS('PCO Log'!$E60:$SJ60,'PCO Log'!$E$9:$SJ$9,'Graph Data'!AU$1,'PCO Log'!$E$7:$SJ$7,"Approved")</f>
        <v>0</v>
      </c>
      <c r="AV50" s="304">
        <f>SUMIFS('PCO Log'!$E60:$SJ60,'PCO Log'!$E$9:$SJ$9,'Graph Data'!AV$1,'PCO Log'!$E$7:$SJ$7,"Approved")</f>
        <v>0</v>
      </c>
      <c r="AW50" s="304">
        <f>SUMIFS('PCO Log'!$E60:$SJ60,'PCO Log'!$E$9:$SJ$9,'Graph Data'!AW$1,'PCO Log'!$E$7:$SJ$7,"Approved")</f>
        <v>0</v>
      </c>
      <c r="AX50" s="304">
        <f>SUMIFS('PCO Log'!$E60:$SJ60,'PCO Log'!$E$9:$SJ$9,'Graph Data'!AX$1,'PCO Log'!$E$7:$SJ$7,"Approved")</f>
        <v>0</v>
      </c>
      <c r="AY50" s="304">
        <f>SUMIFS('PCO Log'!$E60:$SJ60,'PCO Log'!$E$9:$SJ$9,'Graph Data'!AY$1,'PCO Log'!$E$7:$SJ$7,"Approved")</f>
        <v>0</v>
      </c>
      <c r="AZ50" s="304">
        <f>SUMIFS('PCO Log'!$E60:$SJ60,'PCO Log'!$E$9:$SJ$9,'Graph Data'!AZ$1,'PCO Log'!$E$7:$SJ$7,"Approved")</f>
        <v>0</v>
      </c>
      <c r="BA50" s="304">
        <f>SUMIFS('PCO Log'!$E60:$SJ60,'PCO Log'!$E$9:$SJ$9,'Graph Data'!BA$1,'PCO Log'!$E$7:$SJ$7,"Approved")</f>
        <v>0</v>
      </c>
      <c r="BB50" s="304">
        <f>SUMIFS('PCO Log'!$E60:$SJ60,'PCO Log'!$E$9:$SJ$9,'Graph Data'!BB$1,'PCO Log'!$E$7:$SJ$7,"Approved")</f>
        <v>0</v>
      </c>
      <c r="BC50" s="304">
        <f>SUMIFS('PCO Log'!$E60:$SJ60,'PCO Log'!$E$9:$SJ$9,'Graph Data'!BC$1,'PCO Log'!$E$7:$SJ$7,"Approved")</f>
        <v>0</v>
      </c>
      <c r="BD50" s="304">
        <f>SUMIFS('PCO Log'!$E60:$SJ60,'PCO Log'!$E$9:$SJ$9,'Graph Data'!BD$1,'PCO Log'!$E$7:$SJ$7,"Approved")</f>
        <v>0</v>
      </c>
      <c r="BE50" s="304">
        <f>SUMIFS('PCO Log'!$E60:$SJ60,'PCO Log'!$E$9:$SJ$9,'Graph Data'!BE$1,'PCO Log'!$E$7:$SJ$7,"Approved")</f>
        <v>0</v>
      </c>
      <c r="BF50" s="304">
        <f>SUMIFS('PCO Log'!$E60:$SJ60,'PCO Log'!$E$9:$SJ$9,'Graph Data'!BF$1,'PCO Log'!$E$7:$SJ$7,"Approved")</f>
        <v>0</v>
      </c>
      <c r="BG50" s="304">
        <f>SUMIFS('PCO Log'!$E60:$SJ60,'PCO Log'!$E$9:$SJ$9,'Graph Data'!BG$1,'PCO Log'!$E$7:$SJ$7,"Approved")</f>
        <v>0</v>
      </c>
      <c r="BH50" s="304">
        <f>SUMIFS('PCO Log'!$E60:$SJ60,'PCO Log'!$E$9:$SJ$9,'Graph Data'!BH$1,'PCO Log'!$E$7:$SJ$7,"Approved")</f>
        <v>0</v>
      </c>
      <c r="BI50" s="304">
        <f>SUMIFS('PCO Log'!$E60:$SJ60,'PCO Log'!$E$9:$SJ$9,'Graph Data'!BI$1,'PCO Log'!$E$7:$SJ$7,"Approved")</f>
        <v>0</v>
      </c>
      <c r="BJ50" s="304">
        <f>SUMIFS('PCO Log'!$E60:$SJ60,'PCO Log'!$E$9:$SJ$9,'Graph Data'!BJ$1,'PCO Log'!$E$7:$SJ$7,"Approved")</f>
        <v>0</v>
      </c>
      <c r="BK50" s="304">
        <f>SUMIFS('PCO Log'!$E60:$SJ60,'PCO Log'!$E$9:$SJ$9,'Graph Data'!BK$1,'PCO Log'!$E$7:$SJ$7,"Approved")</f>
        <v>0</v>
      </c>
      <c r="BL50" s="304">
        <f>SUMIFS('PCO Log'!$E60:$SJ60,'PCO Log'!$E$9:$SJ$9,'Graph Data'!BL$1,'PCO Log'!$E$7:$SJ$7,"Approved")</f>
        <v>0</v>
      </c>
      <c r="BM50" s="304">
        <f>SUMIFS('PCO Log'!$E60:$SJ60,'PCO Log'!$E$9:$SJ$9,'Graph Data'!BM$1,'PCO Log'!$E$7:$SJ$7,"Approved")</f>
        <v>0</v>
      </c>
      <c r="BN50" s="304">
        <f>SUMIFS('PCO Log'!$E60:$SJ60,'PCO Log'!$E$9:$SJ$9,'Graph Data'!BN$1,'PCO Log'!$E$7:$SJ$7,"Approved")</f>
        <v>0</v>
      </c>
      <c r="BO50" s="304">
        <f>SUMIFS('PCO Log'!$E60:$SJ60,'PCO Log'!$E$9:$SJ$9,'Graph Data'!BO$1,'PCO Log'!$E$7:$SJ$7,"Approved")</f>
        <v>0</v>
      </c>
      <c r="BP50" s="304">
        <f>SUMIFS('PCO Log'!$E60:$SJ60,'PCO Log'!$E$9:$SJ$9,'Graph Data'!BP$1,'PCO Log'!$E$7:$SJ$7,"Approved")</f>
        <v>0</v>
      </c>
      <c r="BQ50" s="304">
        <f>SUMIFS('PCO Log'!$E60:$SJ60,'PCO Log'!$E$9:$SJ$9,'Graph Data'!BQ$1,'PCO Log'!$E$7:$SJ$7,"Approved")</f>
        <v>0</v>
      </c>
      <c r="BR50" s="304">
        <f>SUMIFS('PCO Log'!$E60:$SJ60,'PCO Log'!$E$9:$SJ$9,'Graph Data'!BR$1,'PCO Log'!$E$7:$SJ$7,"Approved")</f>
        <v>0</v>
      </c>
      <c r="BS50" s="304">
        <f>SUMIFS('PCO Log'!$E60:$SJ60,'PCO Log'!$E$9:$SJ$9,'Graph Data'!BS$1,'PCO Log'!$E$7:$SJ$7,"Approved")</f>
        <v>0</v>
      </c>
      <c r="BT50" s="304">
        <f>SUMIFS('PCO Log'!$E60:$SJ60,'PCO Log'!$E$9:$SJ$9,'Graph Data'!BT$1,'PCO Log'!$E$7:$SJ$7,"Approved")</f>
        <v>0</v>
      </c>
      <c r="BU50" s="304">
        <f>SUMIFS('PCO Log'!$E60:$SJ60,'PCO Log'!$E$9:$SJ$9,'Graph Data'!BU$1,'PCO Log'!$E$7:$SJ$7,"Approved")</f>
        <v>0</v>
      </c>
      <c r="BV50" s="304">
        <f>SUMIFS('PCO Log'!$E60:$SJ60,'PCO Log'!$E$9:$SJ$9,'Graph Data'!BV$1,'PCO Log'!$E$7:$SJ$7,"Approved")</f>
        <v>0</v>
      </c>
      <c r="BW50" s="304">
        <f>SUMIFS('PCO Log'!$E60:$SJ60,'PCO Log'!$E$9:$SJ$9,'Graph Data'!BW$1,'PCO Log'!$E$7:$SJ$7,"Approved")</f>
        <v>0</v>
      </c>
      <c r="BX50" s="304">
        <f>SUMIFS('PCO Log'!$E60:$SJ60,'PCO Log'!$E$9:$SJ$9,'Graph Data'!BX$1,'PCO Log'!$E$7:$SJ$7,"Approved")</f>
        <v>0</v>
      </c>
    </row>
    <row r="51" spans="1:76" x14ac:dyDescent="0.25">
      <c r="A51" s="303" t="s">
        <v>391</v>
      </c>
      <c r="B51" s="303">
        <f>'PCO Log'!BB7</f>
        <v>0</v>
      </c>
      <c r="C51" s="303">
        <f>'PCO Log'!BB4</f>
        <v>0</v>
      </c>
      <c r="D51" s="303" cm="1">
        <f t="array" ref="D51">INDEX('PCO Log'!$E$5:$SJ$5, 1, ROWS('Graph Data'!$D$2:D51))</f>
        <v>0</v>
      </c>
      <c r="E51" s="303">
        <f>'PCO Log'!BB8</f>
        <v>0</v>
      </c>
      <c r="F51" s="303">
        <f>'PCO Log'!BB3</f>
        <v>0</v>
      </c>
      <c r="G51" s="304">
        <f>'PCO Log'!BB10</f>
        <v>0</v>
      </c>
      <c r="H51" s="305">
        <f>'PCO Log'!BB6</f>
        <v>0</v>
      </c>
      <c r="J51" s="303" t="s">
        <v>318</v>
      </c>
      <c r="K51" s="303">
        <f>'Pay App 50'!H33</f>
        <v>0</v>
      </c>
      <c r="L51" s="303">
        <f>IF(M51&gt;0,'Pay App 50'!$G$149,0)</f>
        <v>0</v>
      </c>
      <c r="M51" s="303">
        <f>'Pay App 50'!H149</f>
        <v>0</v>
      </c>
      <c r="O51" s="303" t="str">
        <f>'Pay App 1'!B111</f>
        <v>09 70 00</v>
      </c>
      <c r="P51" s="303" t="str">
        <f>'Pay App 1'!C111</f>
        <v>Wall Coverings</v>
      </c>
      <c r="Q51" s="304">
        <f>SUMIFS('PCO Log'!$E61:$SJ61,'PCO Log'!$E$9:$SJ$9,'Graph Data'!Q$1,'PCO Log'!$E$7:$SJ$7,"Approved")</f>
        <v>0</v>
      </c>
      <c r="R51" s="304">
        <f>SUMIFS('PCO Log'!$E61:$SJ61,'PCO Log'!$E$9:$SJ$9,'Graph Data'!R$1,'PCO Log'!$E$7:$SJ$7,"Approved")</f>
        <v>0</v>
      </c>
      <c r="S51" s="304">
        <f>SUMIFS('PCO Log'!$E61:$SJ61,'PCO Log'!$E$9:$SJ$9,'Graph Data'!S$1,'PCO Log'!$E$7:$SJ$7,"Approved")</f>
        <v>0</v>
      </c>
      <c r="T51" s="304">
        <f>SUMIFS('PCO Log'!$E61:$SJ61,'PCO Log'!$E$9:$SJ$9,'Graph Data'!T$1,'PCO Log'!$E$7:$SJ$7,"Approved")</f>
        <v>0</v>
      </c>
      <c r="U51" s="304">
        <f>SUMIFS('PCO Log'!$E61:$SJ61,'PCO Log'!$E$9:$SJ$9,'Graph Data'!U$1,'PCO Log'!$E$7:$SJ$7,"Approved")</f>
        <v>0</v>
      </c>
      <c r="V51" s="304">
        <f>SUMIFS('PCO Log'!$E61:$SJ61,'PCO Log'!$E$9:$SJ$9,'Graph Data'!V$1,'PCO Log'!$E$7:$SJ$7,"Approved")</f>
        <v>0</v>
      </c>
      <c r="W51" s="304">
        <f>SUMIFS('PCO Log'!$E61:$SJ61,'PCO Log'!$E$9:$SJ$9,'Graph Data'!W$1,'PCO Log'!$E$7:$SJ$7,"Approved")</f>
        <v>0</v>
      </c>
      <c r="X51" s="304">
        <f>SUMIFS('PCO Log'!$E61:$SJ61,'PCO Log'!$E$9:$SJ$9,'Graph Data'!X$1,'PCO Log'!$E$7:$SJ$7,"Approved")</f>
        <v>0</v>
      </c>
      <c r="Y51" s="304">
        <f>SUMIFS('PCO Log'!$E61:$SJ61,'PCO Log'!$E$9:$SJ$9,'Graph Data'!Y$1,'PCO Log'!$E$7:$SJ$7,"Approved")</f>
        <v>0</v>
      </c>
      <c r="Z51" s="304">
        <f>SUMIFS('PCO Log'!$E61:$SJ61,'PCO Log'!$E$9:$SJ$9,'Graph Data'!Z$1,'PCO Log'!$E$7:$SJ$7,"Approved")</f>
        <v>0</v>
      </c>
      <c r="AA51" s="304">
        <f>SUMIFS('PCO Log'!$E61:$SJ61,'PCO Log'!$E$9:$SJ$9,'Graph Data'!AA$1,'PCO Log'!$E$7:$SJ$7,"Approved")</f>
        <v>0</v>
      </c>
      <c r="AB51" s="304">
        <f>SUMIFS('PCO Log'!$E61:$SJ61,'PCO Log'!$E$9:$SJ$9,'Graph Data'!AB$1,'PCO Log'!$E$7:$SJ$7,"Approved")</f>
        <v>0</v>
      </c>
      <c r="AC51" s="304">
        <f>SUMIFS('PCO Log'!$E61:$SJ61,'PCO Log'!$E$9:$SJ$9,'Graph Data'!AC$1,'PCO Log'!$E$7:$SJ$7,"Approved")</f>
        <v>0</v>
      </c>
      <c r="AD51" s="304">
        <f>SUMIFS('PCO Log'!$E61:$SJ61,'PCO Log'!$E$9:$SJ$9,'Graph Data'!AD$1,'PCO Log'!$E$7:$SJ$7,"Approved")</f>
        <v>0</v>
      </c>
      <c r="AE51" s="304">
        <f>SUMIFS('PCO Log'!$E61:$SJ61,'PCO Log'!$E$9:$SJ$9,'Graph Data'!AE$1,'PCO Log'!$E$7:$SJ$7,"Approved")</f>
        <v>0</v>
      </c>
      <c r="AF51" s="304">
        <f>SUMIFS('PCO Log'!$E61:$SJ61,'PCO Log'!$E$9:$SJ$9,'Graph Data'!AF$1,'PCO Log'!$E$7:$SJ$7,"Approved")</f>
        <v>0</v>
      </c>
      <c r="AG51" s="304">
        <f>SUMIFS('PCO Log'!$E61:$SJ61,'PCO Log'!$E$9:$SJ$9,'Graph Data'!AG$1,'PCO Log'!$E$7:$SJ$7,"Approved")</f>
        <v>0</v>
      </c>
      <c r="AH51" s="304">
        <f>SUMIFS('PCO Log'!$E61:$SJ61,'PCO Log'!$E$9:$SJ$9,'Graph Data'!AH$1,'PCO Log'!$E$7:$SJ$7,"Approved")</f>
        <v>0</v>
      </c>
      <c r="AI51" s="304">
        <f>SUMIFS('PCO Log'!$E61:$SJ61,'PCO Log'!$E$9:$SJ$9,'Graph Data'!AI$1,'PCO Log'!$E$7:$SJ$7,"Approved")</f>
        <v>0</v>
      </c>
      <c r="AJ51" s="304">
        <f>SUMIFS('PCO Log'!$E61:$SJ61,'PCO Log'!$E$9:$SJ$9,'Graph Data'!AJ$1,'PCO Log'!$E$7:$SJ$7,"Approved")</f>
        <v>0</v>
      </c>
      <c r="AK51" s="304">
        <f>SUMIFS('PCO Log'!$E61:$SJ61,'PCO Log'!$E$9:$SJ$9,'Graph Data'!AK$1,'PCO Log'!$E$7:$SJ$7,"Approved")</f>
        <v>0</v>
      </c>
      <c r="AL51" s="304">
        <f>SUMIFS('PCO Log'!$E61:$SJ61,'PCO Log'!$E$9:$SJ$9,'Graph Data'!AL$1,'PCO Log'!$E$7:$SJ$7,"Approved")</f>
        <v>0</v>
      </c>
      <c r="AM51" s="304">
        <f>SUMIFS('PCO Log'!$E61:$SJ61,'PCO Log'!$E$9:$SJ$9,'Graph Data'!AM$1,'PCO Log'!$E$7:$SJ$7,"Approved")</f>
        <v>0</v>
      </c>
      <c r="AN51" s="304">
        <f>SUMIFS('PCO Log'!$E61:$SJ61,'PCO Log'!$E$9:$SJ$9,'Graph Data'!AN$1,'PCO Log'!$E$7:$SJ$7,"Approved")</f>
        <v>0</v>
      </c>
      <c r="AO51" s="304">
        <f>SUMIFS('PCO Log'!$E61:$SJ61,'PCO Log'!$E$9:$SJ$9,'Graph Data'!AO$1,'PCO Log'!$E$7:$SJ$7,"Approved")</f>
        <v>0</v>
      </c>
      <c r="AP51" s="304">
        <f>SUMIFS('PCO Log'!$E61:$SJ61,'PCO Log'!$E$9:$SJ$9,'Graph Data'!AP$1,'PCO Log'!$E$7:$SJ$7,"Approved")</f>
        <v>0</v>
      </c>
      <c r="AQ51" s="304">
        <f>SUMIFS('PCO Log'!$E61:$SJ61,'PCO Log'!$E$9:$SJ$9,'Graph Data'!AQ$1,'PCO Log'!$E$7:$SJ$7,"Approved")</f>
        <v>0</v>
      </c>
      <c r="AR51" s="304">
        <f>SUMIFS('PCO Log'!$E61:$SJ61,'PCO Log'!$E$9:$SJ$9,'Graph Data'!AR$1,'PCO Log'!$E$7:$SJ$7,"Approved")</f>
        <v>0</v>
      </c>
      <c r="AS51" s="304">
        <f>SUMIFS('PCO Log'!$E61:$SJ61,'PCO Log'!$E$9:$SJ$9,'Graph Data'!AS$1,'PCO Log'!$E$7:$SJ$7,"Approved")</f>
        <v>0</v>
      </c>
      <c r="AT51" s="304">
        <f>SUMIFS('PCO Log'!$E61:$SJ61,'PCO Log'!$E$9:$SJ$9,'Graph Data'!AT$1,'PCO Log'!$E$7:$SJ$7,"Approved")</f>
        <v>0</v>
      </c>
      <c r="AU51" s="304">
        <f>SUMIFS('PCO Log'!$E61:$SJ61,'PCO Log'!$E$9:$SJ$9,'Graph Data'!AU$1,'PCO Log'!$E$7:$SJ$7,"Approved")</f>
        <v>0</v>
      </c>
      <c r="AV51" s="304">
        <f>SUMIFS('PCO Log'!$E61:$SJ61,'PCO Log'!$E$9:$SJ$9,'Graph Data'!AV$1,'PCO Log'!$E$7:$SJ$7,"Approved")</f>
        <v>0</v>
      </c>
      <c r="AW51" s="304">
        <f>SUMIFS('PCO Log'!$E61:$SJ61,'PCO Log'!$E$9:$SJ$9,'Graph Data'!AW$1,'PCO Log'!$E$7:$SJ$7,"Approved")</f>
        <v>0</v>
      </c>
      <c r="AX51" s="304">
        <f>SUMIFS('PCO Log'!$E61:$SJ61,'PCO Log'!$E$9:$SJ$9,'Graph Data'!AX$1,'PCO Log'!$E$7:$SJ$7,"Approved")</f>
        <v>0</v>
      </c>
      <c r="AY51" s="304">
        <f>SUMIFS('PCO Log'!$E61:$SJ61,'PCO Log'!$E$9:$SJ$9,'Graph Data'!AY$1,'PCO Log'!$E$7:$SJ$7,"Approved")</f>
        <v>0</v>
      </c>
      <c r="AZ51" s="304">
        <f>SUMIFS('PCO Log'!$E61:$SJ61,'PCO Log'!$E$9:$SJ$9,'Graph Data'!AZ$1,'PCO Log'!$E$7:$SJ$7,"Approved")</f>
        <v>0</v>
      </c>
      <c r="BA51" s="304">
        <f>SUMIFS('PCO Log'!$E61:$SJ61,'PCO Log'!$E$9:$SJ$9,'Graph Data'!BA$1,'PCO Log'!$E$7:$SJ$7,"Approved")</f>
        <v>0</v>
      </c>
      <c r="BB51" s="304">
        <f>SUMIFS('PCO Log'!$E61:$SJ61,'PCO Log'!$E$9:$SJ$9,'Graph Data'!BB$1,'PCO Log'!$E$7:$SJ$7,"Approved")</f>
        <v>0</v>
      </c>
      <c r="BC51" s="304">
        <f>SUMIFS('PCO Log'!$E61:$SJ61,'PCO Log'!$E$9:$SJ$9,'Graph Data'!BC$1,'PCO Log'!$E$7:$SJ$7,"Approved")</f>
        <v>0</v>
      </c>
      <c r="BD51" s="304">
        <f>SUMIFS('PCO Log'!$E61:$SJ61,'PCO Log'!$E$9:$SJ$9,'Graph Data'!BD$1,'PCO Log'!$E$7:$SJ$7,"Approved")</f>
        <v>0</v>
      </c>
      <c r="BE51" s="304">
        <f>SUMIFS('PCO Log'!$E61:$SJ61,'PCO Log'!$E$9:$SJ$9,'Graph Data'!BE$1,'PCO Log'!$E$7:$SJ$7,"Approved")</f>
        <v>0</v>
      </c>
      <c r="BF51" s="304">
        <f>SUMIFS('PCO Log'!$E61:$SJ61,'PCO Log'!$E$9:$SJ$9,'Graph Data'!BF$1,'PCO Log'!$E$7:$SJ$7,"Approved")</f>
        <v>0</v>
      </c>
      <c r="BG51" s="304">
        <f>SUMIFS('PCO Log'!$E61:$SJ61,'PCO Log'!$E$9:$SJ$9,'Graph Data'!BG$1,'PCO Log'!$E$7:$SJ$7,"Approved")</f>
        <v>0</v>
      </c>
      <c r="BH51" s="304">
        <f>SUMIFS('PCO Log'!$E61:$SJ61,'PCO Log'!$E$9:$SJ$9,'Graph Data'!BH$1,'PCO Log'!$E$7:$SJ$7,"Approved")</f>
        <v>0</v>
      </c>
      <c r="BI51" s="304">
        <f>SUMIFS('PCO Log'!$E61:$SJ61,'PCO Log'!$E$9:$SJ$9,'Graph Data'!BI$1,'PCO Log'!$E$7:$SJ$7,"Approved")</f>
        <v>0</v>
      </c>
      <c r="BJ51" s="304">
        <f>SUMIFS('PCO Log'!$E61:$SJ61,'PCO Log'!$E$9:$SJ$9,'Graph Data'!BJ$1,'PCO Log'!$E$7:$SJ$7,"Approved")</f>
        <v>0</v>
      </c>
      <c r="BK51" s="304">
        <f>SUMIFS('PCO Log'!$E61:$SJ61,'PCO Log'!$E$9:$SJ$9,'Graph Data'!BK$1,'PCO Log'!$E$7:$SJ$7,"Approved")</f>
        <v>0</v>
      </c>
      <c r="BL51" s="304">
        <f>SUMIFS('PCO Log'!$E61:$SJ61,'PCO Log'!$E$9:$SJ$9,'Graph Data'!BL$1,'PCO Log'!$E$7:$SJ$7,"Approved")</f>
        <v>0</v>
      </c>
      <c r="BM51" s="304">
        <f>SUMIFS('PCO Log'!$E61:$SJ61,'PCO Log'!$E$9:$SJ$9,'Graph Data'!BM$1,'PCO Log'!$E$7:$SJ$7,"Approved")</f>
        <v>0</v>
      </c>
      <c r="BN51" s="304">
        <f>SUMIFS('PCO Log'!$E61:$SJ61,'PCO Log'!$E$9:$SJ$9,'Graph Data'!BN$1,'PCO Log'!$E$7:$SJ$7,"Approved")</f>
        <v>0</v>
      </c>
      <c r="BO51" s="304">
        <f>SUMIFS('PCO Log'!$E61:$SJ61,'PCO Log'!$E$9:$SJ$9,'Graph Data'!BO$1,'PCO Log'!$E$7:$SJ$7,"Approved")</f>
        <v>0</v>
      </c>
      <c r="BP51" s="304">
        <f>SUMIFS('PCO Log'!$E61:$SJ61,'PCO Log'!$E$9:$SJ$9,'Graph Data'!BP$1,'PCO Log'!$E$7:$SJ$7,"Approved")</f>
        <v>0</v>
      </c>
      <c r="BQ51" s="304">
        <f>SUMIFS('PCO Log'!$E61:$SJ61,'PCO Log'!$E$9:$SJ$9,'Graph Data'!BQ$1,'PCO Log'!$E$7:$SJ$7,"Approved")</f>
        <v>0</v>
      </c>
      <c r="BR51" s="304">
        <f>SUMIFS('PCO Log'!$E61:$SJ61,'PCO Log'!$E$9:$SJ$9,'Graph Data'!BR$1,'PCO Log'!$E$7:$SJ$7,"Approved")</f>
        <v>0</v>
      </c>
      <c r="BS51" s="304">
        <f>SUMIFS('PCO Log'!$E61:$SJ61,'PCO Log'!$E$9:$SJ$9,'Graph Data'!BS$1,'PCO Log'!$E$7:$SJ$7,"Approved")</f>
        <v>0</v>
      </c>
      <c r="BT51" s="304">
        <f>SUMIFS('PCO Log'!$E61:$SJ61,'PCO Log'!$E$9:$SJ$9,'Graph Data'!BT$1,'PCO Log'!$E$7:$SJ$7,"Approved")</f>
        <v>0</v>
      </c>
      <c r="BU51" s="304">
        <f>SUMIFS('PCO Log'!$E61:$SJ61,'PCO Log'!$E$9:$SJ$9,'Graph Data'!BU$1,'PCO Log'!$E$7:$SJ$7,"Approved")</f>
        <v>0</v>
      </c>
      <c r="BV51" s="304">
        <f>SUMIFS('PCO Log'!$E61:$SJ61,'PCO Log'!$E$9:$SJ$9,'Graph Data'!BV$1,'PCO Log'!$E$7:$SJ$7,"Approved")</f>
        <v>0</v>
      </c>
      <c r="BW51" s="304">
        <f>SUMIFS('PCO Log'!$E61:$SJ61,'PCO Log'!$E$9:$SJ$9,'Graph Data'!BW$1,'PCO Log'!$E$7:$SJ$7,"Approved")</f>
        <v>0</v>
      </c>
      <c r="BX51" s="304">
        <f>SUMIFS('PCO Log'!$E61:$SJ61,'PCO Log'!$E$9:$SJ$9,'Graph Data'!BX$1,'PCO Log'!$E$7:$SJ$7,"Approved")</f>
        <v>0</v>
      </c>
    </row>
    <row r="52" spans="1:76" x14ac:dyDescent="0.25">
      <c r="A52" s="303" t="s">
        <v>392</v>
      </c>
      <c r="B52" s="303">
        <f>'PCO Log'!BC7</f>
        <v>0</v>
      </c>
      <c r="C52" s="303">
        <f>'PCO Log'!BC4</f>
        <v>0</v>
      </c>
      <c r="D52" s="303" cm="1">
        <f t="array" ref="D52">INDEX('PCO Log'!$E$5:$SJ$5, 1, ROWS('Graph Data'!$D$2:D52))</f>
        <v>0</v>
      </c>
      <c r="E52" s="303">
        <f>'PCO Log'!BC8</f>
        <v>0</v>
      </c>
      <c r="F52" s="303">
        <f>'PCO Log'!BC3</f>
        <v>0</v>
      </c>
      <c r="G52" s="304">
        <f>'PCO Log'!BC10</f>
        <v>0</v>
      </c>
      <c r="H52" s="305">
        <f>'PCO Log'!BC6</f>
        <v>0</v>
      </c>
      <c r="J52" s="303" t="s">
        <v>319</v>
      </c>
      <c r="K52" s="303">
        <f>'Pay App 51'!H33</f>
        <v>0</v>
      </c>
      <c r="L52" s="303">
        <f>IF(M52&gt;0,'Pay App 51'!$G$149,0)</f>
        <v>0</v>
      </c>
      <c r="M52" s="303">
        <f>'Pay App 51'!H149</f>
        <v>0</v>
      </c>
      <c r="O52" s="303" t="str">
        <f>'Pay App 1'!B112</f>
        <v>09 90 00</v>
      </c>
      <c r="P52" s="303" t="str">
        <f>'Pay App 1'!C112</f>
        <v>Painting</v>
      </c>
      <c r="Q52" s="304">
        <f>SUMIFS('PCO Log'!$E62:$SJ62,'PCO Log'!$E$9:$SJ$9,'Graph Data'!Q$1,'PCO Log'!$E$7:$SJ$7,"Approved")</f>
        <v>0</v>
      </c>
      <c r="R52" s="304">
        <f>SUMIFS('PCO Log'!$E62:$SJ62,'PCO Log'!$E$9:$SJ$9,'Graph Data'!R$1,'PCO Log'!$E$7:$SJ$7,"Approved")</f>
        <v>0</v>
      </c>
      <c r="S52" s="304">
        <f>SUMIFS('PCO Log'!$E62:$SJ62,'PCO Log'!$E$9:$SJ$9,'Graph Data'!S$1,'PCO Log'!$E$7:$SJ$7,"Approved")</f>
        <v>0</v>
      </c>
      <c r="T52" s="304">
        <f>SUMIFS('PCO Log'!$E62:$SJ62,'PCO Log'!$E$9:$SJ$9,'Graph Data'!T$1,'PCO Log'!$E$7:$SJ$7,"Approved")</f>
        <v>0</v>
      </c>
      <c r="U52" s="304">
        <f>SUMIFS('PCO Log'!$E62:$SJ62,'PCO Log'!$E$9:$SJ$9,'Graph Data'!U$1,'PCO Log'!$E$7:$SJ$7,"Approved")</f>
        <v>0</v>
      </c>
      <c r="V52" s="304">
        <f>SUMIFS('PCO Log'!$E62:$SJ62,'PCO Log'!$E$9:$SJ$9,'Graph Data'!V$1,'PCO Log'!$E$7:$SJ$7,"Approved")</f>
        <v>0</v>
      </c>
      <c r="W52" s="304">
        <f>SUMIFS('PCO Log'!$E62:$SJ62,'PCO Log'!$E$9:$SJ$9,'Graph Data'!W$1,'PCO Log'!$E$7:$SJ$7,"Approved")</f>
        <v>0</v>
      </c>
      <c r="X52" s="304">
        <f>SUMIFS('PCO Log'!$E62:$SJ62,'PCO Log'!$E$9:$SJ$9,'Graph Data'!X$1,'PCO Log'!$E$7:$SJ$7,"Approved")</f>
        <v>0</v>
      </c>
      <c r="Y52" s="304">
        <f>SUMIFS('PCO Log'!$E62:$SJ62,'PCO Log'!$E$9:$SJ$9,'Graph Data'!Y$1,'PCO Log'!$E$7:$SJ$7,"Approved")</f>
        <v>0</v>
      </c>
      <c r="Z52" s="304">
        <f>SUMIFS('PCO Log'!$E62:$SJ62,'PCO Log'!$E$9:$SJ$9,'Graph Data'!Z$1,'PCO Log'!$E$7:$SJ$7,"Approved")</f>
        <v>0</v>
      </c>
      <c r="AA52" s="304">
        <f>SUMIFS('PCO Log'!$E62:$SJ62,'PCO Log'!$E$9:$SJ$9,'Graph Data'!AA$1,'PCO Log'!$E$7:$SJ$7,"Approved")</f>
        <v>0</v>
      </c>
      <c r="AB52" s="304">
        <f>SUMIFS('PCO Log'!$E62:$SJ62,'PCO Log'!$E$9:$SJ$9,'Graph Data'!AB$1,'PCO Log'!$E$7:$SJ$7,"Approved")</f>
        <v>0</v>
      </c>
      <c r="AC52" s="304">
        <f>SUMIFS('PCO Log'!$E62:$SJ62,'PCO Log'!$E$9:$SJ$9,'Graph Data'!AC$1,'PCO Log'!$E$7:$SJ$7,"Approved")</f>
        <v>0</v>
      </c>
      <c r="AD52" s="304">
        <f>SUMIFS('PCO Log'!$E62:$SJ62,'PCO Log'!$E$9:$SJ$9,'Graph Data'!AD$1,'PCO Log'!$E$7:$SJ$7,"Approved")</f>
        <v>0</v>
      </c>
      <c r="AE52" s="304">
        <f>SUMIFS('PCO Log'!$E62:$SJ62,'PCO Log'!$E$9:$SJ$9,'Graph Data'!AE$1,'PCO Log'!$E$7:$SJ$7,"Approved")</f>
        <v>0</v>
      </c>
      <c r="AF52" s="304">
        <f>SUMIFS('PCO Log'!$E62:$SJ62,'PCO Log'!$E$9:$SJ$9,'Graph Data'!AF$1,'PCO Log'!$E$7:$SJ$7,"Approved")</f>
        <v>0</v>
      </c>
      <c r="AG52" s="304">
        <f>SUMIFS('PCO Log'!$E62:$SJ62,'PCO Log'!$E$9:$SJ$9,'Graph Data'!AG$1,'PCO Log'!$E$7:$SJ$7,"Approved")</f>
        <v>0</v>
      </c>
      <c r="AH52" s="304">
        <f>SUMIFS('PCO Log'!$E62:$SJ62,'PCO Log'!$E$9:$SJ$9,'Graph Data'!AH$1,'PCO Log'!$E$7:$SJ$7,"Approved")</f>
        <v>0</v>
      </c>
      <c r="AI52" s="304">
        <f>SUMIFS('PCO Log'!$E62:$SJ62,'PCO Log'!$E$9:$SJ$9,'Graph Data'!AI$1,'PCO Log'!$E$7:$SJ$7,"Approved")</f>
        <v>0</v>
      </c>
      <c r="AJ52" s="304">
        <f>SUMIFS('PCO Log'!$E62:$SJ62,'PCO Log'!$E$9:$SJ$9,'Graph Data'!AJ$1,'PCO Log'!$E$7:$SJ$7,"Approved")</f>
        <v>0</v>
      </c>
      <c r="AK52" s="304">
        <f>SUMIFS('PCO Log'!$E62:$SJ62,'PCO Log'!$E$9:$SJ$9,'Graph Data'!AK$1,'PCO Log'!$E$7:$SJ$7,"Approved")</f>
        <v>0</v>
      </c>
      <c r="AL52" s="304">
        <f>SUMIFS('PCO Log'!$E62:$SJ62,'PCO Log'!$E$9:$SJ$9,'Graph Data'!AL$1,'PCO Log'!$E$7:$SJ$7,"Approved")</f>
        <v>0</v>
      </c>
      <c r="AM52" s="304">
        <f>SUMIFS('PCO Log'!$E62:$SJ62,'PCO Log'!$E$9:$SJ$9,'Graph Data'!AM$1,'PCO Log'!$E$7:$SJ$7,"Approved")</f>
        <v>0</v>
      </c>
      <c r="AN52" s="304">
        <f>SUMIFS('PCO Log'!$E62:$SJ62,'PCO Log'!$E$9:$SJ$9,'Graph Data'!AN$1,'PCO Log'!$E$7:$SJ$7,"Approved")</f>
        <v>0</v>
      </c>
      <c r="AO52" s="304">
        <f>SUMIFS('PCO Log'!$E62:$SJ62,'PCO Log'!$E$9:$SJ$9,'Graph Data'!AO$1,'PCO Log'!$E$7:$SJ$7,"Approved")</f>
        <v>0</v>
      </c>
      <c r="AP52" s="304">
        <f>SUMIFS('PCO Log'!$E62:$SJ62,'PCO Log'!$E$9:$SJ$9,'Graph Data'!AP$1,'PCO Log'!$E$7:$SJ$7,"Approved")</f>
        <v>0</v>
      </c>
      <c r="AQ52" s="304">
        <f>SUMIFS('PCO Log'!$E62:$SJ62,'PCO Log'!$E$9:$SJ$9,'Graph Data'!AQ$1,'PCO Log'!$E$7:$SJ$7,"Approved")</f>
        <v>0</v>
      </c>
      <c r="AR52" s="304">
        <f>SUMIFS('PCO Log'!$E62:$SJ62,'PCO Log'!$E$9:$SJ$9,'Graph Data'!AR$1,'PCO Log'!$E$7:$SJ$7,"Approved")</f>
        <v>0</v>
      </c>
      <c r="AS52" s="304">
        <f>SUMIFS('PCO Log'!$E62:$SJ62,'PCO Log'!$E$9:$SJ$9,'Graph Data'!AS$1,'PCO Log'!$E$7:$SJ$7,"Approved")</f>
        <v>0</v>
      </c>
      <c r="AT52" s="304">
        <f>SUMIFS('PCO Log'!$E62:$SJ62,'PCO Log'!$E$9:$SJ$9,'Graph Data'!AT$1,'PCO Log'!$E$7:$SJ$7,"Approved")</f>
        <v>0</v>
      </c>
      <c r="AU52" s="304">
        <f>SUMIFS('PCO Log'!$E62:$SJ62,'PCO Log'!$E$9:$SJ$9,'Graph Data'!AU$1,'PCO Log'!$E$7:$SJ$7,"Approved")</f>
        <v>0</v>
      </c>
      <c r="AV52" s="304">
        <f>SUMIFS('PCO Log'!$E62:$SJ62,'PCO Log'!$E$9:$SJ$9,'Graph Data'!AV$1,'PCO Log'!$E$7:$SJ$7,"Approved")</f>
        <v>0</v>
      </c>
      <c r="AW52" s="304">
        <f>SUMIFS('PCO Log'!$E62:$SJ62,'PCO Log'!$E$9:$SJ$9,'Graph Data'!AW$1,'PCO Log'!$E$7:$SJ$7,"Approved")</f>
        <v>0</v>
      </c>
      <c r="AX52" s="304">
        <f>SUMIFS('PCO Log'!$E62:$SJ62,'PCO Log'!$E$9:$SJ$9,'Graph Data'!AX$1,'PCO Log'!$E$7:$SJ$7,"Approved")</f>
        <v>0</v>
      </c>
      <c r="AY52" s="304">
        <f>SUMIFS('PCO Log'!$E62:$SJ62,'PCO Log'!$E$9:$SJ$9,'Graph Data'!AY$1,'PCO Log'!$E$7:$SJ$7,"Approved")</f>
        <v>0</v>
      </c>
      <c r="AZ52" s="304">
        <f>SUMIFS('PCO Log'!$E62:$SJ62,'PCO Log'!$E$9:$SJ$9,'Graph Data'!AZ$1,'PCO Log'!$E$7:$SJ$7,"Approved")</f>
        <v>0</v>
      </c>
      <c r="BA52" s="304">
        <f>SUMIFS('PCO Log'!$E62:$SJ62,'PCO Log'!$E$9:$SJ$9,'Graph Data'!BA$1,'PCO Log'!$E$7:$SJ$7,"Approved")</f>
        <v>0</v>
      </c>
      <c r="BB52" s="304">
        <f>SUMIFS('PCO Log'!$E62:$SJ62,'PCO Log'!$E$9:$SJ$9,'Graph Data'!BB$1,'PCO Log'!$E$7:$SJ$7,"Approved")</f>
        <v>0</v>
      </c>
      <c r="BC52" s="304">
        <f>SUMIFS('PCO Log'!$E62:$SJ62,'PCO Log'!$E$9:$SJ$9,'Graph Data'!BC$1,'PCO Log'!$E$7:$SJ$7,"Approved")</f>
        <v>0</v>
      </c>
      <c r="BD52" s="304">
        <f>SUMIFS('PCO Log'!$E62:$SJ62,'PCO Log'!$E$9:$SJ$9,'Graph Data'!BD$1,'PCO Log'!$E$7:$SJ$7,"Approved")</f>
        <v>0</v>
      </c>
      <c r="BE52" s="304">
        <f>SUMIFS('PCO Log'!$E62:$SJ62,'PCO Log'!$E$9:$SJ$9,'Graph Data'!BE$1,'PCO Log'!$E$7:$SJ$7,"Approved")</f>
        <v>0</v>
      </c>
      <c r="BF52" s="304">
        <f>SUMIFS('PCO Log'!$E62:$SJ62,'PCO Log'!$E$9:$SJ$9,'Graph Data'!BF$1,'PCO Log'!$E$7:$SJ$7,"Approved")</f>
        <v>0</v>
      </c>
      <c r="BG52" s="304">
        <f>SUMIFS('PCO Log'!$E62:$SJ62,'PCO Log'!$E$9:$SJ$9,'Graph Data'!BG$1,'PCO Log'!$E$7:$SJ$7,"Approved")</f>
        <v>0</v>
      </c>
      <c r="BH52" s="304">
        <f>SUMIFS('PCO Log'!$E62:$SJ62,'PCO Log'!$E$9:$SJ$9,'Graph Data'!BH$1,'PCO Log'!$E$7:$SJ$7,"Approved")</f>
        <v>0</v>
      </c>
      <c r="BI52" s="304">
        <f>SUMIFS('PCO Log'!$E62:$SJ62,'PCO Log'!$E$9:$SJ$9,'Graph Data'!BI$1,'PCO Log'!$E$7:$SJ$7,"Approved")</f>
        <v>0</v>
      </c>
      <c r="BJ52" s="304">
        <f>SUMIFS('PCO Log'!$E62:$SJ62,'PCO Log'!$E$9:$SJ$9,'Graph Data'!BJ$1,'PCO Log'!$E$7:$SJ$7,"Approved")</f>
        <v>0</v>
      </c>
      <c r="BK52" s="304">
        <f>SUMIFS('PCO Log'!$E62:$SJ62,'PCO Log'!$E$9:$SJ$9,'Graph Data'!BK$1,'PCO Log'!$E$7:$SJ$7,"Approved")</f>
        <v>0</v>
      </c>
      <c r="BL52" s="304">
        <f>SUMIFS('PCO Log'!$E62:$SJ62,'PCO Log'!$E$9:$SJ$9,'Graph Data'!BL$1,'PCO Log'!$E$7:$SJ$7,"Approved")</f>
        <v>0</v>
      </c>
      <c r="BM52" s="304">
        <f>SUMIFS('PCO Log'!$E62:$SJ62,'PCO Log'!$E$9:$SJ$9,'Graph Data'!BM$1,'PCO Log'!$E$7:$SJ$7,"Approved")</f>
        <v>0</v>
      </c>
      <c r="BN52" s="304">
        <f>SUMIFS('PCO Log'!$E62:$SJ62,'PCO Log'!$E$9:$SJ$9,'Graph Data'!BN$1,'PCO Log'!$E$7:$SJ$7,"Approved")</f>
        <v>0</v>
      </c>
      <c r="BO52" s="304">
        <f>SUMIFS('PCO Log'!$E62:$SJ62,'PCO Log'!$E$9:$SJ$9,'Graph Data'!BO$1,'PCO Log'!$E$7:$SJ$7,"Approved")</f>
        <v>0</v>
      </c>
      <c r="BP52" s="304">
        <f>SUMIFS('PCO Log'!$E62:$SJ62,'PCO Log'!$E$9:$SJ$9,'Graph Data'!BP$1,'PCO Log'!$E$7:$SJ$7,"Approved")</f>
        <v>0</v>
      </c>
      <c r="BQ52" s="304">
        <f>SUMIFS('PCO Log'!$E62:$SJ62,'PCO Log'!$E$9:$SJ$9,'Graph Data'!BQ$1,'PCO Log'!$E$7:$SJ$7,"Approved")</f>
        <v>0</v>
      </c>
      <c r="BR52" s="304">
        <f>SUMIFS('PCO Log'!$E62:$SJ62,'PCO Log'!$E$9:$SJ$9,'Graph Data'!BR$1,'PCO Log'!$E$7:$SJ$7,"Approved")</f>
        <v>0</v>
      </c>
      <c r="BS52" s="304">
        <f>SUMIFS('PCO Log'!$E62:$SJ62,'PCO Log'!$E$9:$SJ$9,'Graph Data'!BS$1,'PCO Log'!$E$7:$SJ$7,"Approved")</f>
        <v>0</v>
      </c>
      <c r="BT52" s="304">
        <f>SUMIFS('PCO Log'!$E62:$SJ62,'PCO Log'!$E$9:$SJ$9,'Graph Data'!BT$1,'PCO Log'!$E$7:$SJ$7,"Approved")</f>
        <v>0</v>
      </c>
      <c r="BU52" s="304">
        <f>SUMIFS('PCO Log'!$E62:$SJ62,'PCO Log'!$E$9:$SJ$9,'Graph Data'!BU$1,'PCO Log'!$E$7:$SJ$7,"Approved")</f>
        <v>0</v>
      </c>
      <c r="BV52" s="304">
        <f>SUMIFS('PCO Log'!$E62:$SJ62,'PCO Log'!$E$9:$SJ$9,'Graph Data'!BV$1,'PCO Log'!$E$7:$SJ$7,"Approved")</f>
        <v>0</v>
      </c>
      <c r="BW52" s="304">
        <f>SUMIFS('PCO Log'!$E62:$SJ62,'PCO Log'!$E$9:$SJ$9,'Graph Data'!BW$1,'PCO Log'!$E$7:$SJ$7,"Approved")</f>
        <v>0</v>
      </c>
      <c r="BX52" s="304">
        <f>SUMIFS('PCO Log'!$E62:$SJ62,'PCO Log'!$E$9:$SJ$9,'Graph Data'!BX$1,'PCO Log'!$E$7:$SJ$7,"Approved")</f>
        <v>0</v>
      </c>
    </row>
    <row r="53" spans="1:76" x14ac:dyDescent="0.25">
      <c r="A53" s="303" t="s">
        <v>393</v>
      </c>
      <c r="B53" s="303">
        <f>'PCO Log'!BD7</f>
        <v>0</v>
      </c>
      <c r="C53" s="303">
        <f>'PCO Log'!BD4</f>
        <v>0</v>
      </c>
      <c r="D53" s="303" cm="1">
        <f t="array" ref="D53">INDEX('PCO Log'!$E$5:$SJ$5, 1, ROWS('Graph Data'!$D$2:D53))</f>
        <v>0</v>
      </c>
      <c r="E53" s="303">
        <f>'PCO Log'!BD8</f>
        <v>0</v>
      </c>
      <c r="F53" s="303">
        <f>'PCO Log'!BD3</f>
        <v>0</v>
      </c>
      <c r="G53" s="304">
        <f>'PCO Log'!BD10</f>
        <v>0</v>
      </c>
      <c r="H53" s="305">
        <f>'PCO Log'!BD6</f>
        <v>0</v>
      </c>
      <c r="J53" s="303" t="s">
        <v>320</v>
      </c>
      <c r="K53" s="303">
        <f>'Pay App 52'!H33</f>
        <v>0</v>
      </c>
      <c r="L53" s="303">
        <f>IF(M53&gt;0,'Pay App 52'!$G$149,0)</f>
        <v>0</v>
      </c>
      <c r="M53" s="303">
        <f>'Pay App 52'!H149</f>
        <v>0</v>
      </c>
      <c r="O53" s="303" t="str">
        <f>'Pay App 1'!B113</f>
        <v>10 00 00</v>
      </c>
      <c r="P53" s="303" t="str">
        <f>'Pay App 1'!C113</f>
        <v>Specialties</v>
      </c>
      <c r="Q53" s="304">
        <f>SUMIFS('PCO Log'!$E63:$SJ63,'PCO Log'!$E$9:$SJ$9,'Graph Data'!Q$1,'PCO Log'!$E$7:$SJ$7,"Approved")</f>
        <v>0</v>
      </c>
      <c r="R53" s="304">
        <f>SUMIFS('PCO Log'!$E63:$SJ63,'PCO Log'!$E$9:$SJ$9,'Graph Data'!R$1,'PCO Log'!$E$7:$SJ$7,"Approved")</f>
        <v>0</v>
      </c>
      <c r="S53" s="304">
        <f>SUMIFS('PCO Log'!$E63:$SJ63,'PCO Log'!$E$9:$SJ$9,'Graph Data'!S$1,'PCO Log'!$E$7:$SJ$7,"Approved")</f>
        <v>0</v>
      </c>
      <c r="T53" s="304">
        <f>SUMIFS('PCO Log'!$E63:$SJ63,'PCO Log'!$E$9:$SJ$9,'Graph Data'!T$1,'PCO Log'!$E$7:$SJ$7,"Approved")</f>
        <v>0</v>
      </c>
      <c r="U53" s="304">
        <f>SUMIFS('PCO Log'!$E63:$SJ63,'PCO Log'!$E$9:$SJ$9,'Graph Data'!U$1,'PCO Log'!$E$7:$SJ$7,"Approved")</f>
        <v>0</v>
      </c>
      <c r="V53" s="304">
        <f>SUMIFS('PCO Log'!$E63:$SJ63,'PCO Log'!$E$9:$SJ$9,'Graph Data'!V$1,'PCO Log'!$E$7:$SJ$7,"Approved")</f>
        <v>0</v>
      </c>
      <c r="W53" s="304">
        <f>SUMIFS('PCO Log'!$E63:$SJ63,'PCO Log'!$E$9:$SJ$9,'Graph Data'!W$1,'PCO Log'!$E$7:$SJ$7,"Approved")</f>
        <v>0</v>
      </c>
      <c r="X53" s="304">
        <f>SUMIFS('PCO Log'!$E63:$SJ63,'PCO Log'!$E$9:$SJ$9,'Graph Data'!X$1,'PCO Log'!$E$7:$SJ$7,"Approved")</f>
        <v>0</v>
      </c>
      <c r="Y53" s="304">
        <f>SUMIFS('PCO Log'!$E63:$SJ63,'PCO Log'!$E$9:$SJ$9,'Graph Data'!Y$1,'PCO Log'!$E$7:$SJ$7,"Approved")</f>
        <v>0</v>
      </c>
      <c r="Z53" s="304">
        <f>SUMIFS('PCO Log'!$E63:$SJ63,'PCO Log'!$E$9:$SJ$9,'Graph Data'!Z$1,'PCO Log'!$E$7:$SJ$7,"Approved")</f>
        <v>0</v>
      </c>
      <c r="AA53" s="304">
        <f>SUMIFS('PCO Log'!$E63:$SJ63,'PCO Log'!$E$9:$SJ$9,'Graph Data'!AA$1,'PCO Log'!$E$7:$SJ$7,"Approved")</f>
        <v>0</v>
      </c>
      <c r="AB53" s="304">
        <f>SUMIFS('PCO Log'!$E63:$SJ63,'PCO Log'!$E$9:$SJ$9,'Graph Data'!AB$1,'PCO Log'!$E$7:$SJ$7,"Approved")</f>
        <v>0</v>
      </c>
      <c r="AC53" s="304">
        <f>SUMIFS('PCO Log'!$E63:$SJ63,'PCO Log'!$E$9:$SJ$9,'Graph Data'!AC$1,'PCO Log'!$E$7:$SJ$7,"Approved")</f>
        <v>0</v>
      </c>
      <c r="AD53" s="304">
        <f>SUMIFS('PCO Log'!$E63:$SJ63,'PCO Log'!$E$9:$SJ$9,'Graph Data'!AD$1,'PCO Log'!$E$7:$SJ$7,"Approved")</f>
        <v>0</v>
      </c>
      <c r="AE53" s="304">
        <f>SUMIFS('PCO Log'!$E63:$SJ63,'PCO Log'!$E$9:$SJ$9,'Graph Data'!AE$1,'PCO Log'!$E$7:$SJ$7,"Approved")</f>
        <v>0</v>
      </c>
      <c r="AF53" s="304">
        <f>SUMIFS('PCO Log'!$E63:$SJ63,'PCO Log'!$E$9:$SJ$9,'Graph Data'!AF$1,'PCO Log'!$E$7:$SJ$7,"Approved")</f>
        <v>0</v>
      </c>
      <c r="AG53" s="304">
        <f>SUMIFS('PCO Log'!$E63:$SJ63,'PCO Log'!$E$9:$SJ$9,'Graph Data'!AG$1,'PCO Log'!$E$7:$SJ$7,"Approved")</f>
        <v>0</v>
      </c>
      <c r="AH53" s="304">
        <f>SUMIFS('PCO Log'!$E63:$SJ63,'PCO Log'!$E$9:$SJ$9,'Graph Data'!AH$1,'PCO Log'!$E$7:$SJ$7,"Approved")</f>
        <v>0</v>
      </c>
      <c r="AI53" s="304">
        <f>SUMIFS('PCO Log'!$E63:$SJ63,'PCO Log'!$E$9:$SJ$9,'Graph Data'!AI$1,'PCO Log'!$E$7:$SJ$7,"Approved")</f>
        <v>0</v>
      </c>
      <c r="AJ53" s="304">
        <f>SUMIFS('PCO Log'!$E63:$SJ63,'PCO Log'!$E$9:$SJ$9,'Graph Data'!AJ$1,'PCO Log'!$E$7:$SJ$7,"Approved")</f>
        <v>0</v>
      </c>
      <c r="AK53" s="304">
        <f>SUMIFS('PCO Log'!$E63:$SJ63,'PCO Log'!$E$9:$SJ$9,'Graph Data'!AK$1,'PCO Log'!$E$7:$SJ$7,"Approved")</f>
        <v>0</v>
      </c>
      <c r="AL53" s="304">
        <f>SUMIFS('PCO Log'!$E63:$SJ63,'PCO Log'!$E$9:$SJ$9,'Graph Data'!AL$1,'PCO Log'!$E$7:$SJ$7,"Approved")</f>
        <v>0</v>
      </c>
      <c r="AM53" s="304">
        <f>SUMIFS('PCO Log'!$E63:$SJ63,'PCO Log'!$E$9:$SJ$9,'Graph Data'!AM$1,'PCO Log'!$E$7:$SJ$7,"Approved")</f>
        <v>0</v>
      </c>
      <c r="AN53" s="304">
        <f>SUMIFS('PCO Log'!$E63:$SJ63,'PCO Log'!$E$9:$SJ$9,'Graph Data'!AN$1,'PCO Log'!$E$7:$SJ$7,"Approved")</f>
        <v>0</v>
      </c>
      <c r="AO53" s="304">
        <f>SUMIFS('PCO Log'!$E63:$SJ63,'PCO Log'!$E$9:$SJ$9,'Graph Data'!AO$1,'PCO Log'!$E$7:$SJ$7,"Approved")</f>
        <v>0</v>
      </c>
      <c r="AP53" s="304">
        <f>SUMIFS('PCO Log'!$E63:$SJ63,'PCO Log'!$E$9:$SJ$9,'Graph Data'!AP$1,'PCO Log'!$E$7:$SJ$7,"Approved")</f>
        <v>0</v>
      </c>
      <c r="AQ53" s="304">
        <f>SUMIFS('PCO Log'!$E63:$SJ63,'PCO Log'!$E$9:$SJ$9,'Graph Data'!AQ$1,'PCO Log'!$E$7:$SJ$7,"Approved")</f>
        <v>0</v>
      </c>
      <c r="AR53" s="304">
        <f>SUMIFS('PCO Log'!$E63:$SJ63,'PCO Log'!$E$9:$SJ$9,'Graph Data'!AR$1,'PCO Log'!$E$7:$SJ$7,"Approved")</f>
        <v>0</v>
      </c>
      <c r="AS53" s="304">
        <f>SUMIFS('PCO Log'!$E63:$SJ63,'PCO Log'!$E$9:$SJ$9,'Graph Data'!AS$1,'PCO Log'!$E$7:$SJ$7,"Approved")</f>
        <v>0</v>
      </c>
      <c r="AT53" s="304">
        <f>SUMIFS('PCO Log'!$E63:$SJ63,'PCO Log'!$E$9:$SJ$9,'Graph Data'!AT$1,'PCO Log'!$E$7:$SJ$7,"Approved")</f>
        <v>0</v>
      </c>
      <c r="AU53" s="304">
        <f>SUMIFS('PCO Log'!$E63:$SJ63,'PCO Log'!$E$9:$SJ$9,'Graph Data'!AU$1,'PCO Log'!$E$7:$SJ$7,"Approved")</f>
        <v>0</v>
      </c>
      <c r="AV53" s="304">
        <f>SUMIFS('PCO Log'!$E63:$SJ63,'PCO Log'!$E$9:$SJ$9,'Graph Data'!AV$1,'PCO Log'!$E$7:$SJ$7,"Approved")</f>
        <v>0</v>
      </c>
      <c r="AW53" s="304">
        <f>SUMIFS('PCO Log'!$E63:$SJ63,'PCO Log'!$E$9:$SJ$9,'Graph Data'!AW$1,'PCO Log'!$E$7:$SJ$7,"Approved")</f>
        <v>0</v>
      </c>
      <c r="AX53" s="304">
        <f>SUMIFS('PCO Log'!$E63:$SJ63,'PCO Log'!$E$9:$SJ$9,'Graph Data'!AX$1,'PCO Log'!$E$7:$SJ$7,"Approved")</f>
        <v>0</v>
      </c>
      <c r="AY53" s="304">
        <f>SUMIFS('PCO Log'!$E63:$SJ63,'PCO Log'!$E$9:$SJ$9,'Graph Data'!AY$1,'PCO Log'!$E$7:$SJ$7,"Approved")</f>
        <v>0</v>
      </c>
      <c r="AZ53" s="304">
        <f>SUMIFS('PCO Log'!$E63:$SJ63,'PCO Log'!$E$9:$SJ$9,'Graph Data'!AZ$1,'PCO Log'!$E$7:$SJ$7,"Approved")</f>
        <v>0</v>
      </c>
      <c r="BA53" s="304">
        <f>SUMIFS('PCO Log'!$E63:$SJ63,'PCO Log'!$E$9:$SJ$9,'Graph Data'!BA$1,'PCO Log'!$E$7:$SJ$7,"Approved")</f>
        <v>0</v>
      </c>
      <c r="BB53" s="304">
        <f>SUMIFS('PCO Log'!$E63:$SJ63,'PCO Log'!$E$9:$SJ$9,'Graph Data'!BB$1,'PCO Log'!$E$7:$SJ$7,"Approved")</f>
        <v>0</v>
      </c>
      <c r="BC53" s="304">
        <f>SUMIFS('PCO Log'!$E63:$SJ63,'PCO Log'!$E$9:$SJ$9,'Graph Data'!BC$1,'PCO Log'!$E$7:$SJ$7,"Approved")</f>
        <v>0</v>
      </c>
      <c r="BD53" s="304">
        <f>SUMIFS('PCO Log'!$E63:$SJ63,'PCO Log'!$E$9:$SJ$9,'Graph Data'!BD$1,'PCO Log'!$E$7:$SJ$7,"Approved")</f>
        <v>0</v>
      </c>
      <c r="BE53" s="304">
        <f>SUMIFS('PCO Log'!$E63:$SJ63,'PCO Log'!$E$9:$SJ$9,'Graph Data'!BE$1,'PCO Log'!$E$7:$SJ$7,"Approved")</f>
        <v>0</v>
      </c>
      <c r="BF53" s="304">
        <f>SUMIFS('PCO Log'!$E63:$SJ63,'PCO Log'!$E$9:$SJ$9,'Graph Data'!BF$1,'PCO Log'!$E$7:$SJ$7,"Approved")</f>
        <v>0</v>
      </c>
      <c r="BG53" s="304">
        <f>SUMIFS('PCO Log'!$E63:$SJ63,'PCO Log'!$E$9:$SJ$9,'Graph Data'!BG$1,'PCO Log'!$E$7:$SJ$7,"Approved")</f>
        <v>0</v>
      </c>
      <c r="BH53" s="304">
        <f>SUMIFS('PCO Log'!$E63:$SJ63,'PCO Log'!$E$9:$SJ$9,'Graph Data'!BH$1,'PCO Log'!$E$7:$SJ$7,"Approved")</f>
        <v>0</v>
      </c>
      <c r="BI53" s="304">
        <f>SUMIFS('PCO Log'!$E63:$SJ63,'PCO Log'!$E$9:$SJ$9,'Graph Data'!BI$1,'PCO Log'!$E$7:$SJ$7,"Approved")</f>
        <v>0</v>
      </c>
      <c r="BJ53" s="304">
        <f>SUMIFS('PCO Log'!$E63:$SJ63,'PCO Log'!$E$9:$SJ$9,'Graph Data'!BJ$1,'PCO Log'!$E$7:$SJ$7,"Approved")</f>
        <v>0</v>
      </c>
      <c r="BK53" s="304">
        <f>SUMIFS('PCO Log'!$E63:$SJ63,'PCO Log'!$E$9:$SJ$9,'Graph Data'!BK$1,'PCO Log'!$E$7:$SJ$7,"Approved")</f>
        <v>0</v>
      </c>
      <c r="BL53" s="304">
        <f>SUMIFS('PCO Log'!$E63:$SJ63,'PCO Log'!$E$9:$SJ$9,'Graph Data'!BL$1,'PCO Log'!$E$7:$SJ$7,"Approved")</f>
        <v>0</v>
      </c>
      <c r="BM53" s="304">
        <f>SUMIFS('PCO Log'!$E63:$SJ63,'PCO Log'!$E$9:$SJ$9,'Graph Data'!BM$1,'PCO Log'!$E$7:$SJ$7,"Approved")</f>
        <v>0</v>
      </c>
      <c r="BN53" s="304">
        <f>SUMIFS('PCO Log'!$E63:$SJ63,'PCO Log'!$E$9:$SJ$9,'Graph Data'!BN$1,'PCO Log'!$E$7:$SJ$7,"Approved")</f>
        <v>0</v>
      </c>
      <c r="BO53" s="304">
        <f>SUMIFS('PCO Log'!$E63:$SJ63,'PCO Log'!$E$9:$SJ$9,'Graph Data'!BO$1,'PCO Log'!$E$7:$SJ$7,"Approved")</f>
        <v>0</v>
      </c>
      <c r="BP53" s="304">
        <f>SUMIFS('PCO Log'!$E63:$SJ63,'PCO Log'!$E$9:$SJ$9,'Graph Data'!BP$1,'PCO Log'!$E$7:$SJ$7,"Approved")</f>
        <v>0</v>
      </c>
      <c r="BQ53" s="304">
        <f>SUMIFS('PCO Log'!$E63:$SJ63,'PCO Log'!$E$9:$SJ$9,'Graph Data'!BQ$1,'PCO Log'!$E$7:$SJ$7,"Approved")</f>
        <v>0</v>
      </c>
      <c r="BR53" s="304">
        <f>SUMIFS('PCO Log'!$E63:$SJ63,'PCO Log'!$E$9:$SJ$9,'Graph Data'!BR$1,'PCO Log'!$E$7:$SJ$7,"Approved")</f>
        <v>0</v>
      </c>
      <c r="BS53" s="304">
        <f>SUMIFS('PCO Log'!$E63:$SJ63,'PCO Log'!$E$9:$SJ$9,'Graph Data'!BS$1,'PCO Log'!$E$7:$SJ$7,"Approved")</f>
        <v>0</v>
      </c>
      <c r="BT53" s="304">
        <f>SUMIFS('PCO Log'!$E63:$SJ63,'PCO Log'!$E$9:$SJ$9,'Graph Data'!BT$1,'PCO Log'!$E$7:$SJ$7,"Approved")</f>
        <v>0</v>
      </c>
      <c r="BU53" s="304">
        <f>SUMIFS('PCO Log'!$E63:$SJ63,'PCO Log'!$E$9:$SJ$9,'Graph Data'!BU$1,'PCO Log'!$E$7:$SJ$7,"Approved")</f>
        <v>0</v>
      </c>
      <c r="BV53" s="304">
        <f>SUMIFS('PCO Log'!$E63:$SJ63,'PCO Log'!$E$9:$SJ$9,'Graph Data'!BV$1,'PCO Log'!$E$7:$SJ$7,"Approved")</f>
        <v>0</v>
      </c>
      <c r="BW53" s="304">
        <f>SUMIFS('PCO Log'!$E63:$SJ63,'PCO Log'!$E$9:$SJ$9,'Graph Data'!BW$1,'PCO Log'!$E$7:$SJ$7,"Approved")</f>
        <v>0</v>
      </c>
      <c r="BX53" s="304">
        <f>SUMIFS('PCO Log'!$E63:$SJ63,'PCO Log'!$E$9:$SJ$9,'Graph Data'!BX$1,'PCO Log'!$E$7:$SJ$7,"Approved")</f>
        <v>0</v>
      </c>
    </row>
    <row r="54" spans="1:76" x14ac:dyDescent="0.25">
      <c r="A54" s="303" t="s">
        <v>394</v>
      </c>
      <c r="B54" s="303">
        <f>'PCO Log'!BE7</f>
        <v>0</v>
      </c>
      <c r="C54" s="303">
        <f>'PCO Log'!BE4</f>
        <v>0</v>
      </c>
      <c r="D54" s="303" cm="1">
        <f t="array" ref="D54">INDEX('PCO Log'!$E$5:$SJ$5, 1, ROWS('Graph Data'!$D$2:D54))</f>
        <v>0</v>
      </c>
      <c r="E54" s="303">
        <f>'PCO Log'!BE8</f>
        <v>0</v>
      </c>
      <c r="F54" s="303">
        <f>'PCO Log'!BE3</f>
        <v>0</v>
      </c>
      <c r="G54" s="304">
        <f>'PCO Log'!BE10</f>
        <v>0</v>
      </c>
      <c r="H54" s="305">
        <f>'PCO Log'!BE6</f>
        <v>0</v>
      </c>
      <c r="J54" s="303" t="s">
        <v>321</v>
      </c>
      <c r="K54" s="303">
        <f>'Pay App 53'!H33</f>
        <v>0</v>
      </c>
      <c r="L54" s="303">
        <f>IF(M54&gt;0,'Pay App 53'!$G$149,0)</f>
        <v>0</v>
      </c>
      <c r="M54" s="303">
        <f>'Pay App 53'!H149</f>
        <v>0</v>
      </c>
      <c r="O54" s="303" t="str">
        <f>'Pay App 1'!B114</f>
        <v>10 14 14</v>
      </c>
      <c r="P54" s="303" t="str">
        <f>'Pay App 1'!C114</f>
        <v>Exterior Signage</v>
      </c>
      <c r="Q54" s="304">
        <f>SUMIFS('PCO Log'!$E64:$SJ64,'PCO Log'!$E$9:$SJ$9,'Graph Data'!Q$1,'PCO Log'!$E$7:$SJ$7,"Approved")</f>
        <v>0</v>
      </c>
      <c r="R54" s="304">
        <f>SUMIFS('PCO Log'!$E64:$SJ64,'PCO Log'!$E$9:$SJ$9,'Graph Data'!R$1,'PCO Log'!$E$7:$SJ$7,"Approved")</f>
        <v>0</v>
      </c>
      <c r="S54" s="304">
        <f>SUMIFS('PCO Log'!$E64:$SJ64,'PCO Log'!$E$9:$SJ$9,'Graph Data'!S$1,'PCO Log'!$E$7:$SJ$7,"Approved")</f>
        <v>0</v>
      </c>
      <c r="T54" s="304">
        <f>SUMIFS('PCO Log'!$E64:$SJ64,'PCO Log'!$E$9:$SJ$9,'Graph Data'!T$1,'PCO Log'!$E$7:$SJ$7,"Approved")</f>
        <v>0</v>
      </c>
      <c r="U54" s="304">
        <f>SUMIFS('PCO Log'!$E64:$SJ64,'PCO Log'!$E$9:$SJ$9,'Graph Data'!U$1,'PCO Log'!$E$7:$SJ$7,"Approved")</f>
        <v>0</v>
      </c>
      <c r="V54" s="304">
        <f>SUMIFS('PCO Log'!$E64:$SJ64,'PCO Log'!$E$9:$SJ$9,'Graph Data'!V$1,'PCO Log'!$E$7:$SJ$7,"Approved")</f>
        <v>0</v>
      </c>
      <c r="W54" s="304">
        <f>SUMIFS('PCO Log'!$E64:$SJ64,'PCO Log'!$E$9:$SJ$9,'Graph Data'!W$1,'PCO Log'!$E$7:$SJ$7,"Approved")</f>
        <v>0</v>
      </c>
      <c r="X54" s="304">
        <f>SUMIFS('PCO Log'!$E64:$SJ64,'PCO Log'!$E$9:$SJ$9,'Graph Data'!X$1,'PCO Log'!$E$7:$SJ$7,"Approved")</f>
        <v>0</v>
      </c>
      <c r="Y54" s="304">
        <f>SUMIFS('PCO Log'!$E64:$SJ64,'PCO Log'!$E$9:$SJ$9,'Graph Data'!Y$1,'PCO Log'!$E$7:$SJ$7,"Approved")</f>
        <v>0</v>
      </c>
      <c r="Z54" s="304">
        <f>SUMIFS('PCO Log'!$E64:$SJ64,'PCO Log'!$E$9:$SJ$9,'Graph Data'!Z$1,'PCO Log'!$E$7:$SJ$7,"Approved")</f>
        <v>0</v>
      </c>
      <c r="AA54" s="304">
        <f>SUMIFS('PCO Log'!$E64:$SJ64,'PCO Log'!$E$9:$SJ$9,'Graph Data'!AA$1,'PCO Log'!$E$7:$SJ$7,"Approved")</f>
        <v>0</v>
      </c>
      <c r="AB54" s="304">
        <f>SUMIFS('PCO Log'!$E64:$SJ64,'PCO Log'!$E$9:$SJ$9,'Graph Data'!AB$1,'PCO Log'!$E$7:$SJ$7,"Approved")</f>
        <v>0</v>
      </c>
      <c r="AC54" s="304">
        <f>SUMIFS('PCO Log'!$E64:$SJ64,'PCO Log'!$E$9:$SJ$9,'Graph Data'!AC$1,'PCO Log'!$E$7:$SJ$7,"Approved")</f>
        <v>0</v>
      </c>
      <c r="AD54" s="304">
        <f>SUMIFS('PCO Log'!$E64:$SJ64,'PCO Log'!$E$9:$SJ$9,'Graph Data'!AD$1,'PCO Log'!$E$7:$SJ$7,"Approved")</f>
        <v>0</v>
      </c>
      <c r="AE54" s="304">
        <f>SUMIFS('PCO Log'!$E64:$SJ64,'PCO Log'!$E$9:$SJ$9,'Graph Data'!AE$1,'PCO Log'!$E$7:$SJ$7,"Approved")</f>
        <v>0</v>
      </c>
      <c r="AF54" s="304">
        <f>SUMIFS('PCO Log'!$E64:$SJ64,'PCO Log'!$E$9:$SJ$9,'Graph Data'!AF$1,'PCO Log'!$E$7:$SJ$7,"Approved")</f>
        <v>0</v>
      </c>
      <c r="AG54" s="304">
        <f>SUMIFS('PCO Log'!$E64:$SJ64,'PCO Log'!$E$9:$SJ$9,'Graph Data'!AG$1,'PCO Log'!$E$7:$SJ$7,"Approved")</f>
        <v>0</v>
      </c>
      <c r="AH54" s="304">
        <f>SUMIFS('PCO Log'!$E64:$SJ64,'PCO Log'!$E$9:$SJ$9,'Graph Data'!AH$1,'PCO Log'!$E$7:$SJ$7,"Approved")</f>
        <v>0</v>
      </c>
      <c r="AI54" s="304">
        <f>SUMIFS('PCO Log'!$E64:$SJ64,'PCO Log'!$E$9:$SJ$9,'Graph Data'!AI$1,'PCO Log'!$E$7:$SJ$7,"Approved")</f>
        <v>0</v>
      </c>
      <c r="AJ54" s="304">
        <f>SUMIFS('PCO Log'!$E64:$SJ64,'PCO Log'!$E$9:$SJ$9,'Graph Data'!AJ$1,'PCO Log'!$E$7:$SJ$7,"Approved")</f>
        <v>0</v>
      </c>
      <c r="AK54" s="304">
        <f>SUMIFS('PCO Log'!$E64:$SJ64,'PCO Log'!$E$9:$SJ$9,'Graph Data'!AK$1,'PCO Log'!$E$7:$SJ$7,"Approved")</f>
        <v>0</v>
      </c>
      <c r="AL54" s="304">
        <f>SUMIFS('PCO Log'!$E64:$SJ64,'PCO Log'!$E$9:$SJ$9,'Graph Data'!AL$1,'PCO Log'!$E$7:$SJ$7,"Approved")</f>
        <v>0</v>
      </c>
      <c r="AM54" s="304">
        <f>SUMIFS('PCO Log'!$E64:$SJ64,'PCO Log'!$E$9:$SJ$9,'Graph Data'!AM$1,'PCO Log'!$E$7:$SJ$7,"Approved")</f>
        <v>0</v>
      </c>
      <c r="AN54" s="304">
        <f>SUMIFS('PCO Log'!$E64:$SJ64,'PCO Log'!$E$9:$SJ$9,'Graph Data'!AN$1,'PCO Log'!$E$7:$SJ$7,"Approved")</f>
        <v>0</v>
      </c>
      <c r="AO54" s="304">
        <f>SUMIFS('PCO Log'!$E64:$SJ64,'PCO Log'!$E$9:$SJ$9,'Graph Data'!AO$1,'PCO Log'!$E$7:$SJ$7,"Approved")</f>
        <v>0</v>
      </c>
      <c r="AP54" s="304">
        <f>SUMIFS('PCO Log'!$E64:$SJ64,'PCO Log'!$E$9:$SJ$9,'Graph Data'!AP$1,'PCO Log'!$E$7:$SJ$7,"Approved")</f>
        <v>0</v>
      </c>
      <c r="AQ54" s="304">
        <f>SUMIFS('PCO Log'!$E64:$SJ64,'PCO Log'!$E$9:$SJ$9,'Graph Data'!AQ$1,'PCO Log'!$E$7:$SJ$7,"Approved")</f>
        <v>0</v>
      </c>
      <c r="AR54" s="304">
        <f>SUMIFS('PCO Log'!$E64:$SJ64,'PCO Log'!$E$9:$SJ$9,'Graph Data'!AR$1,'PCO Log'!$E$7:$SJ$7,"Approved")</f>
        <v>0</v>
      </c>
      <c r="AS54" s="304">
        <f>SUMIFS('PCO Log'!$E64:$SJ64,'PCO Log'!$E$9:$SJ$9,'Graph Data'!AS$1,'PCO Log'!$E$7:$SJ$7,"Approved")</f>
        <v>0</v>
      </c>
      <c r="AT54" s="304">
        <f>SUMIFS('PCO Log'!$E64:$SJ64,'PCO Log'!$E$9:$SJ$9,'Graph Data'!AT$1,'PCO Log'!$E$7:$SJ$7,"Approved")</f>
        <v>0</v>
      </c>
      <c r="AU54" s="304">
        <f>SUMIFS('PCO Log'!$E64:$SJ64,'PCO Log'!$E$9:$SJ$9,'Graph Data'!AU$1,'PCO Log'!$E$7:$SJ$7,"Approved")</f>
        <v>0</v>
      </c>
      <c r="AV54" s="304">
        <f>SUMIFS('PCO Log'!$E64:$SJ64,'PCO Log'!$E$9:$SJ$9,'Graph Data'!AV$1,'PCO Log'!$E$7:$SJ$7,"Approved")</f>
        <v>0</v>
      </c>
      <c r="AW54" s="304">
        <f>SUMIFS('PCO Log'!$E64:$SJ64,'PCO Log'!$E$9:$SJ$9,'Graph Data'!AW$1,'PCO Log'!$E$7:$SJ$7,"Approved")</f>
        <v>0</v>
      </c>
      <c r="AX54" s="304">
        <f>SUMIFS('PCO Log'!$E64:$SJ64,'PCO Log'!$E$9:$SJ$9,'Graph Data'!AX$1,'PCO Log'!$E$7:$SJ$7,"Approved")</f>
        <v>0</v>
      </c>
      <c r="AY54" s="304">
        <f>SUMIFS('PCO Log'!$E64:$SJ64,'PCO Log'!$E$9:$SJ$9,'Graph Data'!AY$1,'PCO Log'!$E$7:$SJ$7,"Approved")</f>
        <v>0</v>
      </c>
      <c r="AZ54" s="304">
        <f>SUMIFS('PCO Log'!$E64:$SJ64,'PCO Log'!$E$9:$SJ$9,'Graph Data'!AZ$1,'PCO Log'!$E$7:$SJ$7,"Approved")</f>
        <v>0</v>
      </c>
      <c r="BA54" s="304">
        <f>SUMIFS('PCO Log'!$E64:$SJ64,'PCO Log'!$E$9:$SJ$9,'Graph Data'!BA$1,'PCO Log'!$E$7:$SJ$7,"Approved")</f>
        <v>0</v>
      </c>
      <c r="BB54" s="304">
        <f>SUMIFS('PCO Log'!$E64:$SJ64,'PCO Log'!$E$9:$SJ$9,'Graph Data'!BB$1,'PCO Log'!$E$7:$SJ$7,"Approved")</f>
        <v>0</v>
      </c>
      <c r="BC54" s="304">
        <f>SUMIFS('PCO Log'!$E64:$SJ64,'PCO Log'!$E$9:$SJ$9,'Graph Data'!BC$1,'PCO Log'!$E$7:$SJ$7,"Approved")</f>
        <v>0</v>
      </c>
      <c r="BD54" s="304">
        <f>SUMIFS('PCO Log'!$E64:$SJ64,'PCO Log'!$E$9:$SJ$9,'Graph Data'!BD$1,'PCO Log'!$E$7:$SJ$7,"Approved")</f>
        <v>0</v>
      </c>
      <c r="BE54" s="304">
        <f>SUMIFS('PCO Log'!$E64:$SJ64,'PCO Log'!$E$9:$SJ$9,'Graph Data'!BE$1,'PCO Log'!$E$7:$SJ$7,"Approved")</f>
        <v>0</v>
      </c>
      <c r="BF54" s="304">
        <f>SUMIFS('PCO Log'!$E64:$SJ64,'PCO Log'!$E$9:$SJ$9,'Graph Data'!BF$1,'PCO Log'!$E$7:$SJ$7,"Approved")</f>
        <v>0</v>
      </c>
      <c r="BG54" s="304">
        <f>SUMIFS('PCO Log'!$E64:$SJ64,'PCO Log'!$E$9:$SJ$9,'Graph Data'!BG$1,'PCO Log'!$E$7:$SJ$7,"Approved")</f>
        <v>0</v>
      </c>
      <c r="BH54" s="304">
        <f>SUMIFS('PCO Log'!$E64:$SJ64,'PCO Log'!$E$9:$SJ$9,'Graph Data'!BH$1,'PCO Log'!$E$7:$SJ$7,"Approved")</f>
        <v>0</v>
      </c>
      <c r="BI54" s="304">
        <f>SUMIFS('PCO Log'!$E64:$SJ64,'PCO Log'!$E$9:$SJ$9,'Graph Data'!BI$1,'PCO Log'!$E$7:$SJ$7,"Approved")</f>
        <v>0</v>
      </c>
      <c r="BJ54" s="304">
        <f>SUMIFS('PCO Log'!$E64:$SJ64,'PCO Log'!$E$9:$SJ$9,'Graph Data'!BJ$1,'PCO Log'!$E$7:$SJ$7,"Approved")</f>
        <v>0</v>
      </c>
      <c r="BK54" s="304">
        <f>SUMIFS('PCO Log'!$E64:$SJ64,'PCO Log'!$E$9:$SJ$9,'Graph Data'!BK$1,'PCO Log'!$E$7:$SJ$7,"Approved")</f>
        <v>0</v>
      </c>
      <c r="BL54" s="304">
        <f>SUMIFS('PCO Log'!$E64:$SJ64,'PCO Log'!$E$9:$SJ$9,'Graph Data'!BL$1,'PCO Log'!$E$7:$SJ$7,"Approved")</f>
        <v>0</v>
      </c>
      <c r="BM54" s="304">
        <f>SUMIFS('PCO Log'!$E64:$SJ64,'PCO Log'!$E$9:$SJ$9,'Graph Data'!BM$1,'PCO Log'!$E$7:$SJ$7,"Approved")</f>
        <v>0</v>
      </c>
      <c r="BN54" s="304">
        <f>SUMIFS('PCO Log'!$E64:$SJ64,'PCO Log'!$E$9:$SJ$9,'Graph Data'!BN$1,'PCO Log'!$E$7:$SJ$7,"Approved")</f>
        <v>0</v>
      </c>
      <c r="BO54" s="304">
        <f>SUMIFS('PCO Log'!$E64:$SJ64,'PCO Log'!$E$9:$SJ$9,'Graph Data'!BO$1,'PCO Log'!$E$7:$SJ$7,"Approved")</f>
        <v>0</v>
      </c>
      <c r="BP54" s="304">
        <f>SUMIFS('PCO Log'!$E64:$SJ64,'PCO Log'!$E$9:$SJ$9,'Graph Data'!BP$1,'PCO Log'!$E$7:$SJ$7,"Approved")</f>
        <v>0</v>
      </c>
      <c r="BQ54" s="304">
        <f>SUMIFS('PCO Log'!$E64:$SJ64,'PCO Log'!$E$9:$SJ$9,'Graph Data'!BQ$1,'PCO Log'!$E$7:$SJ$7,"Approved")</f>
        <v>0</v>
      </c>
      <c r="BR54" s="304">
        <f>SUMIFS('PCO Log'!$E64:$SJ64,'PCO Log'!$E$9:$SJ$9,'Graph Data'!BR$1,'PCO Log'!$E$7:$SJ$7,"Approved")</f>
        <v>0</v>
      </c>
      <c r="BS54" s="304">
        <f>SUMIFS('PCO Log'!$E64:$SJ64,'PCO Log'!$E$9:$SJ$9,'Graph Data'!BS$1,'PCO Log'!$E$7:$SJ$7,"Approved")</f>
        <v>0</v>
      </c>
      <c r="BT54" s="304">
        <f>SUMIFS('PCO Log'!$E64:$SJ64,'PCO Log'!$E$9:$SJ$9,'Graph Data'!BT$1,'PCO Log'!$E$7:$SJ$7,"Approved")</f>
        <v>0</v>
      </c>
      <c r="BU54" s="304">
        <f>SUMIFS('PCO Log'!$E64:$SJ64,'PCO Log'!$E$9:$SJ$9,'Graph Data'!BU$1,'PCO Log'!$E$7:$SJ$7,"Approved")</f>
        <v>0</v>
      </c>
      <c r="BV54" s="304">
        <f>SUMIFS('PCO Log'!$E64:$SJ64,'PCO Log'!$E$9:$SJ$9,'Graph Data'!BV$1,'PCO Log'!$E$7:$SJ$7,"Approved")</f>
        <v>0</v>
      </c>
      <c r="BW54" s="304">
        <f>SUMIFS('PCO Log'!$E64:$SJ64,'PCO Log'!$E$9:$SJ$9,'Graph Data'!BW$1,'PCO Log'!$E$7:$SJ$7,"Approved")</f>
        <v>0</v>
      </c>
      <c r="BX54" s="304">
        <f>SUMIFS('PCO Log'!$E64:$SJ64,'PCO Log'!$E$9:$SJ$9,'Graph Data'!BX$1,'PCO Log'!$E$7:$SJ$7,"Approved")</f>
        <v>0</v>
      </c>
    </row>
    <row r="55" spans="1:76" x14ac:dyDescent="0.25">
      <c r="A55" s="303" t="s">
        <v>395</v>
      </c>
      <c r="B55" s="303">
        <f>'PCO Log'!BF7</f>
        <v>0</v>
      </c>
      <c r="C55" s="303">
        <f>'PCO Log'!BF4</f>
        <v>0</v>
      </c>
      <c r="D55" s="303" cm="1">
        <f t="array" ref="D55">INDEX('PCO Log'!$E$5:$SJ$5, 1, ROWS('Graph Data'!$D$2:D55))</f>
        <v>0</v>
      </c>
      <c r="E55" s="303">
        <f>'PCO Log'!BF8</f>
        <v>0</v>
      </c>
      <c r="F55" s="303">
        <f>'PCO Log'!BF3</f>
        <v>0</v>
      </c>
      <c r="G55" s="304">
        <f>'PCO Log'!BF10</f>
        <v>0</v>
      </c>
      <c r="H55" s="305">
        <f>'PCO Log'!BF6</f>
        <v>0</v>
      </c>
      <c r="J55" s="303" t="s">
        <v>322</v>
      </c>
      <c r="K55" s="303">
        <f>'Pay App 54'!H33</f>
        <v>0</v>
      </c>
      <c r="L55" s="303">
        <f>IF(M55&gt;0,'Pay App 54'!$G$149,0)</f>
        <v>0</v>
      </c>
      <c r="M55" s="303">
        <f>'Pay App 54'!H149</f>
        <v>0</v>
      </c>
      <c r="O55" s="303" t="str">
        <f>'Pay App 1'!B115</f>
        <v>10 14 15</v>
      </c>
      <c r="P55" s="303" t="str">
        <f>'Pay App 1'!C115</f>
        <v>Interior Signage</v>
      </c>
      <c r="Q55" s="304">
        <f>SUMIFS('PCO Log'!$E65:$SJ65,'PCO Log'!$E$9:$SJ$9,'Graph Data'!Q$1,'PCO Log'!$E$7:$SJ$7,"Approved")</f>
        <v>0</v>
      </c>
      <c r="R55" s="304">
        <f>SUMIFS('PCO Log'!$E65:$SJ65,'PCO Log'!$E$9:$SJ$9,'Graph Data'!R$1,'PCO Log'!$E$7:$SJ$7,"Approved")</f>
        <v>0</v>
      </c>
      <c r="S55" s="304">
        <f>SUMIFS('PCO Log'!$E65:$SJ65,'PCO Log'!$E$9:$SJ$9,'Graph Data'!S$1,'PCO Log'!$E$7:$SJ$7,"Approved")</f>
        <v>0</v>
      </c>
      <c r="T55" s="304">
        <f>SUMIFS('PCO Log'!$E65:$SJ65,'PCO Log'!$E$9:$SJ$9,'Graph Data'!T$1,'PCO Log'!$E$7:$SJ$7,"Approved")</f>
        <v>0</v>
      </c>
      <c r="U55" s="304">
        <f>SUMIFS('PCO Log'!$E65:$SJ65,'PCO Log'!$E$9:$SJ$9,'Graph Data'!U$1,'PCO Log'!$E$7:$SJ$7,"Approved")</f>
        <v>0</v>
      </c>
      <c r="V55" s="304">
        <f>SUMIFS('PCO Log'!$E65:$SJ65,'PCO Log'!$E$9:$SJ$9,'Graph Data'!V$1,'PCO Log'!$E$7:$SJ$7,"Approved")</f>
        <v>0</v>
      </c>
      <c r="W55" s="304">
        <f>SUMIFS('PCO Log'!$E65:$SJ65,'PCO Log'!$E$9:$SJ$9,'Graph Data'!W$1,'PCO Log'!$E$7:$SJ$7,"Approved")</f>
        <v>0</v>
      </c>
      <c r="X55" s="304">
        <f>SUMIFS('PCO Log'!$E65:$SJ65,'PCO Log'!$E$9:$SJ$9,'Graph Data'!X$1,'PCO Log'!$E$7:$SJ$7,"Approved")</f>
        <v>0</v>
      </c>
      <c r="Y55" s="304">
        <f>SUMIFS('PCO Log'!$E65:$SJ65,'PCO Log'!$E$9:$SJ$9,'Graph Data'!Y$1,'PCO Log'!$E$7:$SJ$7,"Approved")</f>
        <v>0</v>
      </c>
      <c r="Z55" s="304">
        <f>SUMIFS('PCO Log'!$E65:$SJ65,'PCO Log'!$E$9:$SJ$9,'Graph Data'!Z$1,'PCO Log'!$E$7:$SJ$7,"Approved")</f>
        <v>0</v>
      </c>
      <c r="AA55" s="304">
        <f>SUMIFS('PCO Log'!$E65:$SJ65,'PCO Log'!$E$9:$SJ$9,'Graph Data'!AA$1,'PCO Log'!$E$7:$SJ$7,"Approved")</f>
        <v>0</v>
      </c>
      <c r="AB55" s="304">
        <f>SUMIFS('PCO Log'!$E65:$SJ65,'PCO Log'!$E$9:$SJ$9,'Graph Data'!AB$1,'PCO Log'!$E$7:$SJ$7,"Approved")</f>
        <v>0</v>
      </c>
      <c r="AC55" s="304">
        <f>SUMIFS('PCO Log'!$E65:$SJ65,'PCO Log'!$E$9:$SJ$9,'Graph Data'!AC$1,'PCO Log'!$E$7:$SJ$7,"Approved")</f>
        <v>0</v>
      </c>
      <c r="AD55" s="304">
        <f>SUMIFS('PCO Log'!$E65:$SJ65,'PCO Log'!$E$9:$SJ$9,'Graph Data'!AD$1,'PCO Log'!$E$7:$SJ$7,"Approved")</f>
        <v>0</v>
      </c>
      <c r="AE55" s="304">
        <f>SUMIFS('PCO Log'!$E65:$SJ65,'PCO Log'!$E$9:$SJ$9,'Graph Data'!AE$1,'PCO Log'!$E$7:$SJ$7,"Approved")</f>
        <v>0</v>
      </c>
      <c r="AF55" s="304">
        <f>SUMIFS('PCO Log'!$E65:$SJ65,'PCO Log'!$E$9:$SJ$9,'Graph Data'!AF$1,'PCO Log'!$E$7:$SJ$7,"Approved")</f>
        <v>0</v>
      </c>
      <c r="AG55" s="304">
        <f>SUMIFS('PCO Log'!$E65:$SJ65,'PCO Log'!$E$9:$SJ$9,'Graph Data'!AG$1,'PCO Log'!$E$7:$SJ$7,"Approved")</f>
        <v>0</v>
      </c>
      <c r="AH55" s="304">
        <f>SUMIFS('PCO Log'!$E65:$SJ65,'PCO Log'!$E$9:$SJ$9,'Graph Data'!AH$1,'PCO Log'!$E$7:$SJ$7,"Approved")</f>
        <v>0</v>
      </c>
      <c r="AI55" s="304">
        <f>SUMIFS('PCO Log'!$E65:$SJ65,'PCO Log'!$E$9:$SJ$9,'Graph Data'!AI$1,'PCO Log'!$E$7:$SJ$7,"Approved")</f>
        <v>0</v>
      </c>
      <c r="AJ55" s="304">
        <f>SUMIFS('PCO Log'!$E65:$SJ65,'PCO Log'!$E$9:$SJ$9,'Graph Data'!AJ$1,'PCO Log'!$E$7:$SJ$7,"Approved")</f>
        <v>0</v>
      </c>
      <c r="AK55" s="304">
        <f>SUMIFS('PCO Log'!$E65:$SJ65,'PCO Log'!$E$9:$SJ$9,'Graph Data'!AK$1,'PCO Log'!$E$7:$SJ$7,"Approved")</f>
        <v>0</v>
      </c>
      <c r="AL55" s="304">
        <f>SUMIFS('PCO Log'!$E65:$SJ65,'PCO Log'!$E$9:$SJ$9,'Graph Data'!AL$1,'PCO Log'!$E$7:$SJ$7,"Approved")</f>
        <v>0</v>
      </c>
      <c r="AM55" s="304">
        <f>SUMIFS('PCO Log'!$E65:$SJ65,'PCO Log'!$E$9:$SJ$9,'Graph Data'!AM$1,'PCO Log'!$E$7:$SJ$7,"Approved")</f>
        <v>0</v>
      </c>
      <c r="AN55" s="304">
        <f>SUMIFS('PCO Log'!$E65:$SJ65,'PCO Log'!$E$9:$SJ$9,'Graph Data'!AN$1,'PCO Log'!$E$7:$SJ$7,"Approved")</f>
        <v>0</v>
      </c>
      <c r="AO55" s="304">
        <f>SUMIFS('PCO Log'!$E65:$SJ65,'PCO Log'!$E$9:$SJ$9,'Graph Data'!AO$1,'PCO Log'!$E$7:$SJ$7,"Approved")</f>
        <v>0</v>
      </c>
      <c r="AP55" s="304">
        <f>SUMIFS('PCO Log'!$E65:$SJ65,'PCO Log'!$E$9:$SJ$9,'Graph Data'!AP$1,'PCO Log'!$E$7:$SJ$7,"Approved")</f>
        <v>0</v>
      </c>
      <c r="AQ55" s="304">
        <f>SUMIFS('PCO Log'!$E65:$SJ65,'PCO Log'!$E$9:$SJ$9,'Graph Data'!AQ$1,'PCO Log'!$E$7:$SJ$7,"Approved")</f>
        <v>0</v>
      </c>
      <c r="AR55" s="304">
        <f>SUMIFS('PCO Log'!$E65:$SJ65,'PCO Log'!$E$9:$SJ$9,'Graph Data'!AR$1,'PCO Log'!$E$7:$SJ$7,"Approved")</f>
        <v>0</v>
      </c>
      <c r="AS55" s="304">
        <f>SUMIFS('PCO Log'!$E65:$SJ65,'PCO Log'!$E$9:$SJ$9,'Graph Data'!AS$1,'PCO Log'!$E$7:$SJ$7,"Approved")</f>
        <v>0</v>
      </c>
      <c r="AT55" s="304">
        <f>SUMIFS('PCO Log'!$E65:$SJ65,'PCO Log'!$E$9:$SJ$9,'Graph Data'!AT$1,'PCO Log'!$E$7:$SJ$7,"Approved")</f>
        <v>0</v>
      </c>
      <c r="AU55" s="304">
        <f>SUMIFS('PCO Log'!$E65:$SJ65,'PCO Log'!$E$9:$SJ$9,'Graph Data'!AU$1,'PCO Log'!$E$7:$SJ$7,"Approved")</f>
        <v>0</v>
      </c>
      <c r="AV55" s="304">
        <f>SUMIFS('PCO Log'!$E65:$SJ65,'PCO Log'!$E$9:$SJ$9,'Graph Data'!AV$1,'PCO Log'!$E$7:$SJ$7,"Approved")</f>
        <v>0</v>
      </c>
      <c r="AW55" s="304">
        <f>SUMIFS('PCO Log'!$E65:$SJ65,'PCO Log'!$E$9:$SJ$9,'Graph Data'!AW$1,'PCO Log'!$E$7:$SJ$7,"Approved")</f>
        <v>0</v>
      </c>
      <c r="AX55" s="304">
        <f>SUMIFS('PCO Log'!$E65:$SJ65,'PCO Log'!$E$9:$SJ$9,'Graph Data'!AX$1,'PCO Log'!$E$7:$SJ$7,"Approved")</f>
        <v>0</v>
      </c>
      <c r="AY55" s="304">
        <f>SUMIFS('PCO Log'!$E65:$SJ65,'PCO Log'!$E$9:$SJ$9,'Graph Data'!AY$1,'PCO Log'!$E$7:$SJ$7,"Approved")</f>
        <v>0</v>
      </c>
      <c r="AZ55" s="304">
        <f>SUMIFS('PCO Log'!$E65:$SJ65,'PCO Log'!$E$9:$SJ$9,'Graph Data'!AZ$1,'PCO Log'!$E$7:$SJ$7,"Approved")</f>
        <v>0</v>
      </c>
      <c r="BA55" s="304">
        <f>SUMIFS('PCO Log'!$E65:$SJ65,'PCO Log'!$E$9:$SJ$9,'Graph Data'!BA$1,'PCO Log'!$E$7:$SJ$7,"Approved")</f>
        <v>0</v>
      </c>
      <c r="BB55" s="304">
        <f>SUMIFS('PCO Log'!$E65:$SJ65,'PCO Log'!$E$9:$SJ$9,'Graph Data'!BB$1,'PCO Log'!$E$7:$SJ$7,"Approved")</f>
        <v>0</v>
      </c>
      <c r="BC55" s="304">
        <f>SUMIFS('PCO Log'!$E65:$SJ65,'PCO Log'!$E$9:$SJ$9,'Graph Data'!BC$1,'PCO Log'!$E$7:$SJ$7,"Approved")</f>
        <v>0</v>
      </c>
      <c r="BD55" s="304">
        <f>SUMIFS('PCO Log'!$E65:$SJ65,'PCO Log'!$E$9:$SJ$9,'Graph Data'!BD$1,'PCO Log'!$E$7:$SJ$7,"Approved")</f>
        <v>0</v>
      </c>
      <c r="BE55" s="304">
        <f>SUMIFS('PCO Log'!$E65:$SJ65,'PCO Log'!$E$9:$SJ$9,'Graph Data'!BE$1,'PCO Log'!$E$7:$SJ$7,"Approved")</f>
        <v>0</v>
      </c>
      <c r="BF55" s="304">
        <f>SUMIFS('PCO Log'!$E65:$SJ65,'PCO Log'!$E$9:$SJ$9,'Graph Data'!BF$1,'PCO Log'!$E$7:$SJ$7,"Approved")</f>
        <v>0</v>
      </c>
      <c r="BG55" s="304">
        <f>SUMIFS('PCO Log'!$E65:$SJ65,'PCO Log'!$E$9:$SJ$9,'Graph Data'!BG$1,'PCO Log'!$E$7:$SJ$7,"Approved")</f>
        <v>0</v>
      </c>
      <c r="BH55" s="304">
        <f>SUMIFS('PCO Log'!$E65:$SJ65,'PCO Log'!$E$9:$SJ$9,'Graph Data'!BH$1,'PCO Log'!$E$7:$SJ$7,"Approved")</f>
        <v>0</v>
      </c>
      <c r="BI55" s="304">
        <f>SUMIFS('PCO Log'!$E65:$SJ65,'PCO Log'!$E$9:$SJ$9,'Graph Data'!BI$1,'PCO Log'!$E$7:$SJ$7,"Approved")</f>
        <v>0</v>
      </c>
      <c r="BJ55" s="304">
        <f>SUMIFS('PCO Log'!$E65:$SJ65,'PCO Log'!$E$9:$SJ$9,'Graph Data'!BJ$1,'PCO Log'!$E$7:$SJ$7,"Approved")</f>
        <v>0</v>
      </c>
      <c r="BK55" s="304">
        <f>SUMIFS('PCO Log'!$E65:$SJ65,'PCO Log'!$E$9:$SJ$9,'Graph Data'!BK$1,'PCO Log'!$E$7:$SJ$7,"Approved")</f>
        <v>0</v>
      </c>
      <c r="BL55" s="304">
        <f>SUMIFS('PCO Log'!$E65:$SJ65,'PCO Log'!$E$9:$SJ$9,'Graph Data'!BL$1,'PCO Log'!$E$7:$SJ$7,"Approved")</f>
        <v>0</v>
      </c>
      <c r="BM55" s="304">
        <f>SUMIFS('PCO Log'!$E65:$SJ65,'PCO Log'!$E$9:$SJ$9,'Graph Data'!BM$1,'PCO Log'!$E$7:$SJ$7,"Approved")</f>
        <v>0</v>
      </c>
      <c r="BN55" s="304">
        <f>SUMIFS('PCO Log'!$E65:$SJ65,'PCO Log'!$E$9:$SJ$9,'Graph Data'!BN$1,'PCO Log'!$E$7:$SJ$7,"Approved")</f>
        <v>0</v>
      </c>
      <c r="BO55" s="304">
        <f>SUMIFS('PCO Log'!$E65:$SJ65,'PCO Log'!$E$9:$SJ$9,'Graph Data'!BO$1,'PCO Log'!$E$7:$SJ$7,"Approved")</f>
        <v>0</v>
      </c>
      <c r="BP55" s="304">
        <f>SUMIFS('PCO Log'!$E65:$SJ65,'PCO Log'!$E$9:$SJ$9,'Graph Data'!BP$1,'PCO Log'!$E$7:$SJ$7,"Approved")</f>
        <v>0</v>
      </c>
      <c r="BQ55" s="304">
        <f>SUMIFS('PCO Log'!$E65:$SJ65,'PCO Log'!$E$9:$SJ$9,'Graph Data'!BQ$1,'PCO Log'!$E$7:$SJ$7,"Approved")</f>
        <v>0</v>
      </c>
      <c r="BR55" s="304">
        <f>SUMIFS('PCO Log'!$E65:$SJ65,'PCO Log'!$E$9:$SJ$9,'Graph Data'!BR$1,'PCO Log'!$E$7:$SJ$7,"Approved")</f>
        <v>0</v>
      </c>
      <c r="BS55" s="304">
        <f>SUMIFS('PCO Log'!$E65:$SJ65,'PCO Log'!$E$9:$SJ$9,'Graph Data'!BS$1,'PCO Log'!$E$7:$SJ$7,"Approved")</f>
        <v>0</v>
      </c>
      <c r="BT55" s="304">
        <f>SUMIFS('PCO Log'!$E65:$SJ65,'PCO Log'!$E$9:$SJ$9,'Graph Data'!BT$1,'PCO Log'!$E$7:$SJ$7,"Approved")</f>
        <v>0</v>
      </c>
      <c r="BU55" s="304">
        <f>SUMIFS('PCO Log'!$E65:$SJ65,'PCO Log'!$E$9:$SJ$9,'Graph Data'!BU$1,'PCO Log'!$E$7:$SJ$7,"Approved")</f>
        <v>0</v>
      </c>
      <c r="BV55" s="304">
        <f>SUMIFS('PCO Log'!$E65:$SJ65,'PCO Log'!$E$9:$SJ$9,'Graph Data'!BV$1,'PCO Log'!$E$7:$SJ$7,"Approved")</f>
        <v>0</v>
      </c>
      <c r="BW55" s="304">
        <f>SUMIFS('PCO Log'!$E65:$SJ65,'PCO Log'!$E$9:$SJ$9,'Graph Data'!BW$1,'PCO Log'!$E$7:$SJ$7,"Approved")</f>
        <v>0</v>
      </c>
      <c r="BX55" s="304">
        <f>SUMIFS('PCO Log'!$E65:$SJ65,'PCO Log'!$E$9:$SJ$9,'Graph Data'!BX$1,'PCO Log'!$E$7:$SJ$7,"Approved")</f>
        <v>0</v>
      </c>
    </row>
    <row r="56" spans="1:76" x14ac:dyDescent="0.25">
      <c r="A56" s="303" t="s">
        <v>396</v>
      </c>
      <c r="B56" s="303">
        <f>'PCO Log'!BG7</f>
        <v>0</v>
      </c>
      <c r="C56" s="303">
        <f>'PCO Log'!BG4</f>
        <v>0</v>
      </c>
      <c r="D56" s="303" cm="1">
        <f t="array" ref="D56">INDEX('PCO Log'!$E$5:$SJ$5, 1, ROWS('Graph Data'!$D$2:D56))</f>
        <v>0</v>
      </c>
      <c r="E56" s="303">
        <f>'PCO Log'!BG8</f>
        <v>0</v>
      </c>
      <c r="F56" s="303">
        <f>'PCO Log'!BG3</f>
        <v>0</v>
      </c>
      <c r="G56" s="304">
        <f>'PCO Log'!BG10</f>
        <v>0</v>
      </c>
      <c r="H56" s="305">
        <f>'PCO Log'!BG6</f>
        <v>0</v>
      </c>
      <c r="J56" s="303" t="s">
        <v>323</v>
      </c>
      <c r="K56" s="303">
        <f>'Pay App 55'!H33</f>
        <v>0</v>
      </c>
      <c r="L56" s="303">
        <f>IF(M56&gt;0,'Pay App 55'!$G$149,0)</f>
        <v>0</v>
      </c>
      <c r="M56" s="303">
        <f>'Pay App 55'!H149</f>
        <v>0</v>
      </c>
      <c r="O56" s="303" t="str">
        <f>'Pay App 1'!B116</f>
        <v>11 13 00</v>
      </c>
      <c r="P56" s="303" t="str">
        <f>'Pay App 1'!C116</f>
        <v>Dock Equipment</v>
      </c>
      <c r="Q56" s="304">
        <f>SUMIFS('PCO Log'!$E66:$SJ66,'PCO Log'!$E$9:$SJ$9,'Graph Data'!Q$1,'PCO Log'!$E$7:$SJ$7,"Approved")</f>
        <v>0</v>
      </c>
      <c r="R56" s="304">
        <f>SUMIFS('PCO Log'!$E66:$SJ66,'PCO Log'!$E$9:$SJ$9,'Graph Data'!R$1,'PCO Log'!$E$7:$SJ$7,"Approved")</f>
        <v>0</v>
      </c>
      <c r="S56" s="304">
        <f>SUMIFS('PCO Log'!$E66:$SJ66,'PCO Log'!$E$9:$SJ$9,'Graph Data'!S$1,'PCO Log'!$E$7:$SJ$7,"Approved")</f>
        <v>0</v>
      </c>
      <c r="T56" s="304">
        <f>SUMIFS('PCO Log'!$E66:$SJ66,'PCO Log'!$E$9:$SJ$9,'Graph Data'!T$1,'PCO Log'!$E$7:$SJ$7,"Approved")</f>
        <v>0</v>
      </c>
      <c r="U56" s="304">
        <f>SUMIFS('PCO Log'!$E66:$SJ66,'PCO Log'!$E$9:$SJ$9,'Graph Data'!U$1,'PCO Log'!$E$7:$SJ$7,"Approved")</f>
        <v>0</v>
      </c>
      <c r="V56" s="304">
        <f>SUMIFS('PCO Log'!$E66:$SJ66,'PCO Log'!$E$9:$SJ$9,'Graph Data'!V$1,'PCO Log'!$E$7:$SJ$7,"Approved")</f>
        <v>0</v>
      </c>
      <c r="W56" s="304">
        <f>SUMIFS('PCO Log'!$E66:$SJ66,'PCO Log'!$E$9:$SJ$9,'Graph Data'!W$1,'PCO Log'!$E$7:$SJ$7,"Approved")</f>
        <v>0</v>
      </c>
      <c r="X56" s="304">
        <f>SUMIFS('PCO Log'!$E66:$SJ66,'PCO Log'!$E$9:$SJ$9,'Graph Data'!X$1,'PCO Log'!$E$7:$SJ$7,"Approved")</f>
        <v>0</v>
      </c>
      <c r="Y56" s="304">
        <f>SUMIFS('PCO Log'!$E66:$SJ66,'PCO Log'!$E$9:$SJ$9,'Graph Data'!Y$1,'PCO Log'!$E$7:$SJ$7,"Approved")</f>
        <v>0</v>
      </c>
      <c r="Z56" s="304">
        <f>SUMIFS('PCO Log'!$E66:$SJ66,'PCO Log'!$E$9:$SJ$9,'Graph Data'!Z$1,'PCO Log'!$E$7:$SJ$7,"Approved")</f>
        <v>0</v>
      </c>
      <c r="AA56" s="304">
        <f>SUMIFS('PCO Log'!$E66:$SJ66,'PCO Log'!$E$9:$SJ$9,'Graph Data'!AA$1,'PCO Log'!$E$7:$SJ$7,"Approved")</f>
        <v>0</v>
      </c>
      <c r="AB56" s="304">
        <f>SUMIFS('PCO Log'!$E66:$SJ66,'PCO Log'!$E$9:$SJ$9,'Graph Data'!AB$1,'PCO Log'!$E$7:$SJ$7,"Approved")</f>
        <v>0</v>
      </c>
      <c r="AC56" s="304">
        <f>SUMIFS('PCO Log'!$E66:$SJ66,'PCO Log'!$E$9:$SJ$9,'Graph Data'!AC$1,'PCO Log'!$E$7:$SJ$7,"Approved")</f>
        <v>0</v>
      </c>
      <c r="AD56" s="304">
        <f>SUMIFS('PCO Log'!$E66:$SJ66,'PCO Log'!$E$9:$SJ$9,'Graph Data'!AD$1,'PCO Log'!$E$7:$SJ$7,"Approved")</f>
        <v>0</v>
      </c>
      <c r="AE56" s="304">
        <f>SUMIFS('PCO Log'!$E66:$SJ66,'PCO Log'!$E$9:$SJ$9,'Graph Data'!AE$1,'PCO Log'!$E$7:$SJ$7,"Approved")</f>
        <v>0</v>
      </c>
      <c r="AF56" s="304">
        <f>SUMIFS('PCO Log'!$E66:$SJ66,'PCO Log'!$E$9:$SJ$9,'Graph Data'!AF$1,'PCO Log'!$E$7:$SJ$7,"Approved")</f>
        <v>0</v>
      </c>
      <c r="AG56" s="304">
        <f>SUMIFS('PCO Log'!$E66:$SJ66,'PCO Log'!$E$9:$SJ$9,'Graph Data'!AG$1,'PCO Log'!$E$7:$SJ$7,"Approved")</f>
        <v>0</v>
      </c>
      <c r="AH56" s="304">
        <f>SUMIFS('PCO Log'!$E66:$SJ66,'PCO Log'!$E$9:$SJ$9,'Graph Data'!AH$1,'PCO Log'!$E$7:$SJ$7,"Approved")</f>
        <v>0</v>
      </c>
      <c r="AI56" s="304">
        <f>SUMIFS('PCO Log'!$E66:$SJ66,'PCO Log'!$E$9:$SJ$9,'Graph Data'!AI$1,'PCO Log'!$E$7:$SJ$7,"Approved")</f>
        <v>0</v>
      </c>
      <c r="AJ56" s="304">
        <f>SUMIFS('PCO Log'!$E66:$SJ66,'PCO Log'!$E$9:$SJ$9,'Graph Data'!AJ$1,'PCO Log'!$E$7:$SJ$7,"Approved")</f>
        <v>0</v>
      </c>
      <c r="AK56" s="304">
        <f>SUMIFS('PCO Log'!$E66:$SJ66,'PCO Log'!$E$9:$SJ$9,'Graph Data'!AK$1,'PCO Log'!$E$7:$SJ$7,"Approved")</f>
        <v>0</v>
      </c>
      <c r="AL56" s="304">
        <f>SUMIFS('PCO Log'!$E66:$SJ66,'PCO Log'!$E$9:$SJ$9,'Graph Data'!AL$1,'PCO Log'!$E$7:$SJ$7,"Approved")</f>
        <v>0</v>
      </c>
      <c r="AM56" s="304">
        <f>SUMIFS('PCO Log'!$E66:$SJ66,'PCO Log'!$E$9:$SJ$9,'Graph Data'!AM$1,'PCO Log'!$E$7:$SJ$7,"Approved")</f>
        <v>0</v>
      </c>
      <c r="AN56" s="304">
        <f>SUMIFS('PCO Log'!$E66:$SJ66,'PCO Log'!$E$9:$SJ$9,'Graph Data'!AN$1,'PCO Log'!$E$7:$SJ$7,"Approved")</f>
        <v>0</v>
      </c>
      <c r="AO56" s="304">
        <f>SUMIFS('PCO Log'!$E66:$SJ66,'PCO Log'!$E$9:$SJ$9,'Graph Data'!AO$1,'PCO Log'!$E$7:$SJ$7,"Approved")</f>
        <v>0</v>
      </c>
      <c r="AP56" s="304">
        <f>SUMIFS('PCO Log'!$E66:$SJ66,'PCO Log'!$E$9:$SJ$9,'Graph Data'!AP$1,'PCO Log'!$E$7:$SJ$7,"Approved")</f>
        <v>0</v>
      </c>
      <c r="AQ56" s="304">
        <f>SUMIFS('PCO Log'!$E66:$SJ66,'PCO Log'!$E$9:$SJ$9,'Graph Data'!AQ$1,'PCO Log'!$E$7:$SJ$7,"Approved")</f>
        <v>0</v>
      </c>
      <c r="AR56" s="304">
        <f>SUMIFS('PCO Log'!$E66:$SJ66,'PCO Log'!$E$9:$SJ$9,'Graph Data'!AR$1,'PCO Log'!$E$7:$SJ$7,"Approved")</f>
        <v>0</v>
      </c>
      <c r="AS56" s="304">
        <f>SUMIFS('PCO Log'!$E66:$SJ66,'PCO Log'!$E$9:$SJ$9,'Graph Data'!AS$1,'PCO Log'!$E$7:$SJ$7,"Approved")</f>
        <v>0</v>
      </c>
      <c r="AT56" s="304">
        <f>SUMIFS('PCO Log'!$E66:$SJ66,'PCO Log'!$E$9:$SJ$9,'Graph Data'!AT$1,'PCO Log'!$E$7:$SJ$7,"Approved")</f>
        <v>0</v>
      </c>
      <c r="AU56" s="304">
        <f>SUMIFS('PCO Log'!$E66:$SJ66,'PCO Log'!$E$9:$SJ$9,'Graph Data'!AU$1,'PCO Log'!$E$7:$SJ$7,"Approved")</f>
        <v>0</v>
      </c>
      <c r="AV56" s="304">
        <f>SUMIFS('PCO Log'!$E66:$SJ66,'PCO Log'!$E$9:$SJ$9,'Graph Data'!AV$1,'PCO Log'!$E$7:$SJ$7,"Approved")</f>
        <v>0</v>
      </c>
      <c r="AW56" s="304">
        <f>SUMIFS('PCO Log'!$E66:$SJ66,'PCO Log'!$E$9:$SJ$9,'Graph Data'!AW$1,'PCO Log'!$E$7:$SJ$7,"Approved")</f>
        <v>0</v>
      </c>
      <c r="AX56" s="304">
        <f>SUMIFS('PCO Log'!$E66:$SJ66,'PCO Log'!$E$9:$SJ$9,'Graph Data'!AX$1,'PCO Log'!$E$7:$SJ$7,"Approved")</f>
        <v>0</v>
      </c>
      <c r="AY56" s="304">
        <f>SUMIFS('PCO Log'!$E66:$SJ66,'PCO Log'!$E$9:$SJ$9,'Graph Data'!AY$1,'PCO Log'!$E$7:$SJ$7,"Approved")</f>
        <v>0</v>
      </c>
      <c r="AZ56" s="304">
        <f>SUMIFS('PCO Log'!$E66:$SJ66,'PCO Log'!$E$9:$SJ$9,'Graph Data'!AZ$1,'PCO Log'!$E$7:$SJ$7,"Approved")</f>
        <v>0</v>
      </c>
      <c r="BA56" s="304">
        <f>SUMIFS('PCO Log'!$E66:$SJ66,'PCO Log'!$E$9:$SJ$9,'Graph Data'!BA$1,'PCO Log'!$E$7:$SJ$7,"Approved")</f>
        <v>0</v>
      </c>
      <c r="BB56" s="304">
        <f>SUMIFS('PCO Log'!$E66:$SJ66,'PCO Log'!$E$9:$SJ$9,'Graph Data'!BB$1,'PCO Log'!$E$7:$SJ$7,"Approved")</f>
        <v>0</v>
      </c>
      <c r="BC56" s="304">
        <f>SUMIFS('PCO Log'!$E66:$SJ66,'PCO Log'!$E$9:$SJ$9,'Graph Data'!BC$1,'PCO Log'!$E$7:$SJ$7,"Approved")</f>
        <v>0</v>
      </c>
      <c r="BD56" s="304">
        <f>SUMIFS('PCO Log'!$E66:$SJ66,'PCO Log'!$E$9:$SJ$9,'Graph Data'!BD$1,'PCO Log'!$E$7:$SJ$7,"Approved")</f>
        <v>0</v>
      </c>
      <c r="BE56" s="304">
        <f>SUMIFS('PCO Log'!$E66:$SJ66,'PCO Log'!$E$9:$SJ$9,'Graph Data'!BE$1,'PCO Log'!$E$7:$SJ$7,"Approved")</f>
        <v>0</v>
      </c>
      <c r="BF56" s="304">
        <f>SUMIFS('PCO Log'!$E66:$SJ66,'PCO Log'!$E$9:$SJ$9,'Graph Data'!BF$1,'PCO Log'!$E$7:$SJ$7,"Approved")</f>
        <v>0</v>
      </c>
      <c r="BG56" s="304">
        <f>SUMIFS('PCO Log'!$E66:$SJ66,'PCO Log'!$E$9:$SJ$9,'Graph Data'!BG$1,'PCO Log'!$E$7:$SJ$7,"Approved")</f>
        <v>0</v>
      </c>
      <c r="BH56" s="304">
        <f>SUMIFS('PCO Log'!$E66:$SJ66,'PCO Log'!$E$9:$SJ$9,'Graph Data'!BH$1,'PCO Log'!$E$7:$SJ$7,"Approved")</f>
        <v>0</v>
      </c>
      <c r="BI56" s="304">
        <f>SUMIFS('PCO Log'!$E66:$SJ66,'PCO Log'!$E$9:$SJ$9,'Graph Data'!BI$1,'PCO Log'!$E$7:$SJ$7,"Approved")</f>
        <v>0</v>
      </c>
      <c r="BJ56" s="304">
        <f>SUMIFS('PCO Log'!$E66:$SJ66,'PCO Log'!$E$9:$SJ$9,'Graph Data'!BJ$1,'PCO Log'!$E$7:$SJ$7,"Approved")</f>
        <v>0</v>
      </c>
      <c r="BK56" s="304">
        <f>SUMIFS('PCO Log'!$E66:$SJ66,'PCO Log'!$E$9:$SJ$9,'Graph Data'!BK$1,'PCO Log'!$E$7:$SJ$7,"Approved")</f>
        <v>0</v>
      </c>
      <c r="BL56" s="304">
        <f>SUMIFS('PCO Log'!$E66:$SJ66,'PCO Log'!$E$9:$SJ$9,'Graph Data'!BL$1,'PCO Log'!$E$7:$SJ$7,"Approved")</f>
        <v>0</v>
      </c>
      <c r="BM56" s="304">
        <f>SUMIFS('PCO Log'!$E66:$SJ66,'PCO Log'!$E$9:$SJ$9,'Graph Data'!BM$1,'PCO Log'!$E$7:$SJ$7,"Approved")</f>
        <v>0</v>
      </c>
      <c r="BN56" s="304">
        <f>SUMIFS('PCO Log'!$E66:$SJ66,'PCO Log'!$E$9:$SJ$9,'Graph Data'!BN$1,'PCO Log'!$E$7:$SJ$7,"Approved")</f>
        <v>0</v>
      </c>
      <c r="BO56" s="304">
        <f>SUMIFS('PCO Log'!$E66:$SJ66,'PCO Log'!$E$9:$SJ$9,'Graph Data'!BO$1,'PCO Log'!$E$7:$SJ$7,"Approved")</f>
        <v>0</v>
      </c>
      <c r="BP56" s="304">
        <f>SUMIFS('PCO Log'!$E66:$SJ66,'PCO Log'!$E$9:$SJ$9,'Graph Data'!BP$1,'PCO Log'!$E$7:$SJ$7,"Approved")</f>
        <v>0</v>
      </c>
      <c r="BQ56" s="304">
        <f>SUMIFS('PCO Log'!$E66:$SJ66,'PCO Log'!$E$9:$SJ$9,'Graph Data'!BQ$1,'PCO Log'!$E$7:$SJ$7,"Approved")</f>
        <v>0</v>
      </c>
      <c r="BR56" s="304">
        <f>SUMIFS('PCO Log'!$E66:$SJ66,'PCO Log'!$E$9:$SJ$9,'Graph Data'!BR$1,'PCO Log'!$E$7:$SJ$7,"Approved")</f>
        <v>0</v>
      </c>
      <c r="BS56" s="304">
        <f>SUMIFS('PCO Log'!$E66:$SJ66,'PCO Log'!$E$9:$SJ$9,'Graph Data'!BS$1,'PCO Log'!$E$7:$SJ$7,"Approved")</f>
        <v>0</v>
      </c>
      <c r="BT56" s="304">
        <f>SUMIFS('PCO Log'!$E66:$SJ66,'PCO Log'!$E$9:$SJ$9,'Graph Data'!BT$1,'PCO Log'!$E$7:$SJ$7,"Approved")</f>
        <v>0</v>
      </c>
      <c r="BU56" s="304">
        <f>SUMIFS('PCO Log'!$E66:$SJ66,'PCO Log'!$E$9:$SJ$9,'Graph Data'!BU$1,'PCO Log'!$E$7:$SJ$7,"Approved")</f>
        <v>0</v>
      </c>
      <c r="BV56" s="304">
        <f>SUMIFS('PCO Log'!$E66:$SJ66,'PCO Log'!$E$9:$SJ$9,'Graph Data'!BV$1,'PCO Log'!$E$7:$SJ$7,"Approved")</f>
        <v>0</v>
      </c>
      <c r="BW56" s="304">
        <f>SUMIFS('PCO Log'!$E66:$SJ66,'PCO Log'!$E$9:$SJ$9,'Graph Data'!BW$1,'PCO Log'!$E$7:$SJ$7,"Approved")</f>
        <v>0</v>
      </c>
      <c r="BX56" s="304">
        <f>SUMIFS('PCO Log'!$E66:$SJ66,'PCO Log'!$E$9:$SJ$9,'Graph Data'!BX$1,'PCO Log'!$E$7:$SJ$7,"Approved")</f>
        <v>0</v>
      </c>
    </row>
    <row r="57" spans="1:76" x14ac:dyDescent="0.25">
      <c r="A57" s="303" t="s">
        <v>397</v>
      </c>
      <c r="B57" s="303">
        <f>'PCO Log'!BH7</f>
        <v>0</v>
      </c>
      <c r="C57" s="303">
        <f>'PCO Log'!BH4</f>
        <v>0</v>
      </c>
      <c r="D57" s="303" cm="1">
        <f t="array" ref="D57">INDEX('PCO Log'!$E$5:$SJ$5, 1, ROWS('Graph Data'!$D$2:D57))</f>
        <v>0</v>
      </c>
      <c r="E57" s="303">
        <f>'PCO Log'!BH8</f>
        <v>0</v>
      </c>
      <c r="F57" s="303">
        <f>'PCO Log'!BH3</f>
        <v>0</v>
      </c>
      <c r="G57" s="304">
        <f>'PCO Log'!BH10</f>
        <v>0</v>
      </c>
      <c r="H57" s="305">
        <f>'PCO Log'!BH6</f>
        <v>0</v>
      </c>
      <c r="J57" s="303" t="s">
        <v>324</v>
      </c>
      <c r="K57" s="303">
        <f>'Pay App 56'!H33</f>
        <v>0</v>
      </c>
      <c r="L57" s="303">
        <f>IF(M57&gt;0,'Pay App 56'!$G$149,0)</f>
        <v>0</v>
      </c>
      <c r="M57" s="303">
        <f>'Pay App 56'!H149</f>
        <v>0</v>
      </c>
      <c r="O57" s="303" t="str">
        <f>'Pay App 1'!B117</f>
        <v>11 40 00</v>
      </c>
      <c r="P57" s="303" t="str">
        <f>'Pay App 1'!C117</f>
        <v>Food Service Equipment</v>
      </c>
      <c r="Q57" s="304">
        <f>SUMIFS('PCO Log'!$E67:$SJ67,'PCO Log'!$E$9:$SJ$9,'Graph Data'!Q$1,'PCO Log'!$E$7:$SJ$7,"Approved")</f>
        <v>0</v>
      </c>
      <c r="R57" s="304">
        <f>SUMIFS('PCO Log'!$E67:$SJ67,'PCO Log'!$E$9:$SJ$9,'Graph Data'!R$1,'PCO Log'!$E$7:$SJ$7,"Approved")</f>
        <v>0</v>
      </c>
      <c r="S57" s="304">
        <f>SUMIFS('PCO Log'!$E67:$SJ67,'PCO Log'!$E$9:$SJ$9,'Graph Data'!S$1,'PCO Log'!$E$7:$SJ$7,"Approved")</f>
        <v>0</v>
      </c>
      <c r="T57" s="304">
        <f>SUMIFS('PCO Log'!$E67:$SJ67,'PCO Log'!$E$9:$SJ$9,'Graph Data'!T$1,'PCO Log'!$E$7:$SJ$7,"Approved")</f>
        <v>0</v>
      </c>
      <c r="U57" s="304">
        <f>SUMIFS('PCO Log'!$E67:$SJ67,'PCO Log'!$E$9:$SJ$9,'Graph Data'!U$1,'PCO Log'!$E$7:$SJ$7,"Approved")</f>
        <v>0</v>
      </c>
      <c r="V57" s="304">
        <f>SUMIFS('PCO Log'!$E67:$SJ67,'PCO Log'!$E$9:$SJ$9,'Graph Data'!V$1,'PCO Log'!$E$7:$SJ$7,"Approved")</f>
        <v>0</v>
      </c>
      <c r="W57" s="304">
        <f>SUMIFS('PCO Log'!$E67:$SJ67,'PCO Log'!$E$9:$SJ$9,'Graph Data'!W$1,'PCO Log'!$E$7:$SJ$7,"Approved")</f>
        <v>0</v>
      </c>
      <c r="X57" s="304">
        <f>SUMIFS('PCO Log'!$E67:$SJ67,'PCO Log'!$E$9:$SJ$9,'Graph Data'!X$1,'PCO Log'!$E$7:$SJ$7,"Approved")</f>
        <v>0</v>
      </c>
      <c r="Y57" s="304">
        <f>SUMIFS('PCO Log'!$E67:$SJ67,'PCO Log'!$E$9:$SJ$9,'Graph Data'!Y$1,'PCO Log'!$E$7:$SJ$7,"Approved")</f>
        <v>0</v>
      </c>
      <c r="Z57" s="304">
        <f>SUMIFS('PCO Log'!$E67:$SJ67,'PCO Log'!$E$9:$SJ$9,'Graph Data'!Z$1,'PCO Log'!$E$7:$SJ$7,"Approved")</f>
        <v>0</v>
      </c>
      <c r="AA57" s="304">
        <f>SUMIFS('PCO Log'!$E67:$SJ67,'PCO Log'!$E$9:$SJ$9,'Graph Data'!AA$1,'PCO Log'!$E$7:$SJ$7,"Approved")</f>
        <v>0</v>
      </c>
      <c r="AB57" s="304">
        <f>SUMIFS('PCO Log'!$E67:$SJ67,'PCO Log'!$E$9:$SJ$9,'Graph Data'!AB$1,'PCO Log'!$E$7:$SJ$7,"Approved")</f>
        <v>0</v>
      </c>
      <c r="AC57" s="304">
        <f>SUMIFS('PCO Log'!$E67:$SJ67,'PCO Log'!$E$9:$SJ$9,'Graph Data'!AC$1,'PCO Log'!$E$7:$SJ$7,"Approved")</f>
        <v>0</v>
      </c>
      <c r="AD57" s="304">
        <f>SUMIFS('PCO Log'!$E67:$SJ67,'PCO Log'!$E$9:$SJ$9,'Graph Data'!AD$1,'PCO Log'!$E$7:$SJ$7,"Approved")</f>
        <v>0</v>
      </c>
      <c r="AE57" s="304">
        <f>SUMIFS('PCO Log'!$E67:$SJ67,'PCO Log'!$E$9:$SJ$9,'Graph Data'!AE$1,'PCO Log'!$E$7:$SJ$7,"Approved")</f>
        <v>0</v>
      </c>
      <c r="AF57" s="304">
        <f>SUMIFS('PCO Log'!$E67:$SJ67,'PCO Log'!$E$9:$SJ$9,'Graph Data'!AF$1,'PCO Log'!$E$7:$SJ$7,"Approved")</f>
        <v>0</v>
      </c>
      <c r="AG57" s="304">
        <f>SUMIFS('PCO Log'!$E67:$SJ67,'PCO Log'!$E$9:$SJ$9,'Graph Data'!AG$1,'PCO Log'!$E$7:$SJ$7,"Approved")</f>
        <v>0</v>
      </c>
      <c r="AH57" s="304">
        <f>SUMIFS('PCO Log'!$E67:$SJ67,'PCO Log'!$E$9:$SJ$9,'Graph Data'!AH$1,'PCO Log'!$E$7:$SJ$7,"Approved")</f>
        <v>0</v>
      </c>
      <c r="AI57" s="304">
        <f>SUMIFS('PCO Log'!$E67:$SJ67,'PCO Log'!$E$9:$SJ$9,'Graph Data'!AI$1,'PCO Log'!$E$7:$SJ$7,"Approved")</f>
        <v>0</v>
      </c>
      <c r="AJ57" s="304">
        <f>SUMIFS('PCO Log'!$E67:$SJ67,'PCO Log'!$E$9:$SJ$9,'Graph Data'!AJ$1,'PCO Log'!$E$7:$SJ$7,"Approved")</f>
        <v>0</v>
      </c>
      <c r="AK57" s="304">
        <f>SUMIFS('PCO Log'!$E67:$SJ67,'PCO Log'!$E$9:$SJ$9,'Graph Data'!AK$1,'PCO Log'!$E$7:$SJ$7,"Approved")</f>
        <v>0</v>
      </c>
      <c r="AL57" s="304">
        <f>SUMIFS('PCO Log'!$E67:$SJ67,'PCO Log'!$E$9:$SJ$9,'Graph Data'!AL$1,'PCO Log'!$E$7:$SJ$7,"Approved")</f>
        <v>0</v>
      </c>
      <c r="AM57" s="304">
        <f>SUMIFS('PCO Log'!$E67:$SJ67,'PCO Log'!$E$9:$SJ$9,'Graph Data'!AM$1,'PCO Log'!$E$7:$SJ$7,"Approved")</f>
        <v>0</v>
      </c>
      <c r="AN57" s="304">
        <f>SUMIFS('PCO Log'!$E67:$SJ67,'PCO Log'!$E$9:$SJ$9,'Graph Data'!AN$1,'PCO Log'!$E$7:$SJ$7,"Approved")</f>
        <v>0</v>
      </c>
      <c r="AO57" s="304">
        <f>SUMIFS('PCO Log'!$E67:$SJ67,'PCO Log'!$E$9:$SJ$9,'Graph Data'!AO$1,'PCO Log'!$E$7:$SJ$7,"Approved")</f>
        <v>0</v>
      </c>
      <c r="AP57" s="304">
        <f>SUMIFS('PCO Log'!$E67:$SJ67,'PCO Log'!$E$9:$SJ$9,'Graph Data'!AP$1,'PCO Log'!$E$7:$SJ$7,"Approved")</f>
        <v>0</v>
      </c>
      <c r="AQ57" s="304">
        <f>SUMIFS('PCO Log'!$E67:$SJ67,'PCO Log'!$E$9:$SJ$9,'Graph Data'!AQ$1,'PCO Log'!$E$7:$SJ$7,"Approved")</f>
        <v>0</v>
      </c>
      <c r="AR57" s="304">
        <f>SUMIFS('PCO Log'!$E67:$SJ67,'PCO Log'!$E$9:$SJ$9,'Graph Data'!AR$1,'PCO Log'!$E$7:$SJ$7,"Approved")</f>
        <v>0</v>
      </c>
      <c r="AS57" s="304">
        <f>SUMIFS('PCO Log'!$E67:$SJ67,'PCO Log'!$E$9:$SJ$9,'Graph Data'!AS$1,'PCO Log'!$E$7:$SJ$7,"Approved")</f>
        <v>0</v>
      </c>
      <c r="AT57" s="304">
        <f>SUMIFS('PCO Log'!$E67:$SJ67,'PCO Log'!$E$9:$SJ$9,'Graph Data'!AT$1,'PCO Log'!$E$7:$SJ$7,"Approved")</f>
        <v>0</v>
      </c>
      <c r="AU57" s="304">
        <f>SUMIFS('PCO Log'!$E67:$SJ67,'PCO Log'!$E$9:$SJ$9,'Graph Data'!AU$1,'PCO Log'!$E$7:$SJ$7,"Approved")</f>
        <v>0</v>
      </c>
      <c r="AV57" s="304">
        <f>SUMIFS('PCO Log'!$E67:$SJ67,'PCO Log'!$E$9:$SJ$9,'Graph Data'!AV$1,'PCO Log'!$E$7:$SJ$7,"Approved")</f>
        <v>0</v>
      </c>
      <c r="AW57" s="304">
        <f>SUMIFS('PCO Log'!$E67:$SJ67,'PCO Log'!$E$9:$SJ$9,'Graph Data'!AW$1,'PCO Log'!$E$7:$SJ$7,"Approved")</f>
        <v>0</v>
      </c>
      <c r="AX57" s="304">
        <f>SUMIFS('PCO Log'!$E67:$SJ67,'PCO Log'!$E$9:$SJ$9,'Graph Data'!AX$1,'PCO Log'!$E$7:$SJ$7,"Approved")</f>
        <v>0</v>
      </c>
      <c r="AY57" s="304">
        <f>SUMIFS('PCO Log'!$E67:$SJ67,'PCO Log'!$E$9:$SJ$9,'Graph Data'!AY$1,'PCO Log'!$E$7:$SJ$7,"Approved")</f>
        <v>0</v>
      </c>
      <c r="AZ57" s="304">
        <f>SUMIFS('PCO Log'!$E67:$SJ67,'PCO Log'!$E$9:$SJ$9,'Graph Data'!AZ$1,'PCO Log'!$E$7:$SJ$7,"Approved")</f>
        <v>0</v>
      </c>
      <c r="BA57" s="304">
        <f>SUMIFS('PCO Log'!$E67:$SJ67,'PCO Log'!$E$9:$SJ$9,'Graph Data'!BA$1,'PCO Log'!$E$7:$SJ$7,"Approved")</f>
        <v>0</v>
      </c>
      <c r="BB57" s="304">
        <f>SUMIFS('PCO Log'!$E67:$SJ67,'PCO Log'!$E$9:$SJ$9,'Graph Data'!BB$1,'PCO Log'!$E$7:$SJ$7,"Approved")</f>
        <v>0</v>
      </c>
      <c r="BC57" s="304">
        <f>SUMIFS('PCO Log'!$E67:$SJ67,'PCO Log'!$E$9:$SJ$9,'Graph Data'!BC$1,'PCO Log'!$E$7:$SJ$7,"Approved")</f>
        <v>0</v>
      </c>
      <c r="BD57" s="304">
        <f>SUMIFS('PCO Log'!$E67:$SJ67,'PCO Log'!$E$9:$SJ$9,'Graph Data'!BD$1,'PCO Log'!$E$7:$SJ$7,"Approved")</f>
        <v>0</v>
      </c>
      <c r="BE57" s="304">
        <f>SUMIFS('PCO Log'!$E67:$SJ67,'PCO Log'!$E$9:$SJ$9,'Graph Data'!BE$1,'PCO Log'!$E$7:$SJ$7,"Approved")</f>
        <v>0</v>
      </c>
      <c r="BF57" s="304">
        <f>SUMIFS('PCO Log'!$E67:$SJ67,'PCO Log'!$E$9:$SJ$9,'Graph Data'!BF$1,'PCO Log'!$E$7:$SJ$7,"Approved")</f>
        <v>0</v>
      </c>
      <c r="BG57" s="304">
        <f>SUMIFS('PCO Log'!$E67:$SJ67,'PCO Log'!$E$9:$SJ$9,'Graph Data'!BG$1,'PCO Log'!$E$7:$SJ$7,"Approved")</f>
        <v>0</v>
      </c>
      <c r="BH57" s="304">
        <f>SUMIFS('PCO Log'!$E67:$SJ67,'PCO Log'!$E$9:$SJ$9,'Graph Data'!BH$1,'PCO Log'!$E$7:$SJ$7,"Approved")</f>
        <v>0</v>
      </c>
      <c r="BI57" s="304">
        <f>SUMIFS('PCO Log'!$E67:$SJ67,'PCO Log'!$E$9:$SJ$9,'Graph Data'!BI$1,'PCO Log'!$E$7:$SJ$7,"Approved")</f>
        <v>0</v>
      </c>
      <c r="BJ57" s="304">
        <f>SUMIFS('PCO Log'!$E67:$SJ67,'PCO Log'!$E$9:$SJ$9,'Graph Data'!BJ$1,'PCO Log'!$E$7:$SJ$7,"Approved")</f>
        <v>0</v>
      </c>
      <c r="BK57" s="304">
        <f>SUMIFS('PCO Log'!$E67:$SJ67,'PCO Log'!$E$9:$SJ$9,'Graph Data'!BK$1,'PCO Log'!$E$7:$SJ$7,"Approved")</f>
        <v>0</v>
      </c>
      <c r="BL57" s="304">
        <f>SUMIFS('PCO Log'!$E67:$SJ67,'PCO Log'!$E$9:$SJ$9,'Graph Data'!BL$1,'PCO Log'!$E$7:$SJ$7,"Approved")</f>
        <v>0</v>
      </c>
      <c r="BM57" s="304">
        <f>SUMIFS('PCO Log'!$E67:$SJ67,'PCO Log'!$E$9:$SJ$9,'Graph Data'!BM$1,'PCO Log'!$E$7:$SJ$7,"Approved")</f>
        <v>0</v>
      </c>
      <c r="BN57" s="304">
        <f>SUMIFS('PCO Log'!$E67:$SJ67,'PCO Log'!$E$9:$SJ$9,'Graph Data'!BN$1,'PCO Log'!$E$7:$SJ$7,"Approved")</f>
        <v>0</v>
      </c>
      <c r="BO57" s="304">
        <f>SUMIFS('PCO Log'!$E67:$SJ67,'PCO Log'!$E$9:$SJ$9,'Graph Data'!BO$1,'PCO Log'!$E$7:$SJ$7,"Approved")</f>
        <v>0</v>
      </c>
      <c r="BP57" s="304">
        <f>SUMIFS('PCO Log'!$E67:$SJ67,'PCO Log'!$E$9:$SJ$9,'Graph Data'!BP$1,'PCO Log'!$E$7:$SJ$7,"Approved")</f>
        <v>0</v>
      </c>
      <c r="BQ57" s="304">
        <f>SUMIFS('PCO Log'!$E67:$SJ67,'PCO Log'!$E$9:$SJ$9,'Graph Data'!BQ$1,'PCO Log'!$E$7:$SJ$7,"Approved")</f>
        <v>0</v>
      </c>
      <c r="BR57" s="304">
        <f>SUMIFS('PCO Log'!$E67:$SJ67,'PCO Log'!$E$9:$SJ$9,'Graph Data'!BR$1,'PCO Log'!$E$7:$SJ$7,"Approved")</f>
        <v>0</v>
      </c>
      <c r="BS57" s="304">
        <f>SUMIFS('PCO Log'!$E67:$SJ67,'PCO Log'!$E$9:$SJ$9,'Graph Data'!BS$1,'PCO Log'!$E$7:$SJ$7,"Approved")</f>
        <v>0</v>
      </c>
      <c r="BT57" s="304">
        <f>SUMIFS('PCO Log'!$E67:$SJ67,'PCO Log'!$E$9:$SJ$9,'Graph Data'!BT$1,'PCO Log'!$E$7:$SJ$7,"Approved")</f>
        <v>0</v>
      </c>
      <c r="BU57" s="304">
        <f>SUMIFS('PCO Log'!$E67:$SJ67,'PCO Log'!$E$9:$SJ$9,'Graph Data'!BU$1,'PCO Log'!$E$7:$SJ$7,"Approved")</f>
        <v>0</v>
      </c>
      <c r="BV57" s="304">
        <f>SUMIFS('PCO Log'!$E67:$SJ67,'PCO Log'!$E$9:$SJ$9,'Graph Data'!BV$1,'PCO Log'!$E$7:$SJ$7,"Approved")</f>
        <v>0</v>
      </c>
      <c r="BW57" s="304">
        <f>SUMIFS('PCO Log'!$E67:$SJ67,'PCO Log'!$E$9:$SJ$9,'Graph Data'!BW$1,'PCO Log'!$E$7:$SJ$7,"Approved")</f>
        <v>0</v>
      </c>
      <c r="BX57" s="304">
        <f>SUMIFS('PCO Log'!$E67:$SJ67,'PCO Log'!$E$9:$SJ$9,'Graph Data'!BX$1,'PCO Log'!$E$7:$SJ$7,"Approved")</f>
        <v>0</v>
      </c>
    </row>
    <row r="58" spans="1:76" x14ac:dyDescent="0.25">
      <c r="A58" s="303" t="s">
        <v>398</v>
      </c>
      <c r="B58" s="303">
        <f>'PCO Log'!BI7</f>
        <v>0</v>
      </c>
      <c r="C58" s="303">
        <f>'PCO Log'!BI4</f>
        <v>0</v>
      </c>
      <c r="D58" s="303" cm="1">
        <f t="array" ref="D58">INDEX('PCO Log'!$E$5:$SJ$5, 1, ROWS('Graph Data'!$D$2:D58))</f>
        <v>0</v>
      </c>
      <c r="E58" s="303">
        <f>'PCO Log'!BI8</f>
        <v>0</v>
      </c>
      <c r="F58" s="303">
        <f>'PCO Log'!BI3</f>
        <v>0</v>
      </c>
      <c r="G58" s="304">
        <f>'PCO Log'!BI10</f>
        <v>0</v>
      </c>
      <c r="H58" s="305">
        <f>'PCO Log'!BI6</f>
        <v>0</v>
      </c>
      <c r="J58" s="303" t="s">
        <v>325</v>
      </c>
      <c r="K58" s="303">
        <f>'Pay App 57'!H33</f>
        <v>0</v>
      </c>
      <c r="L58" s="303">
        <f>IF(M58&gt;0,'Pay App 57'!$G$149,0)</f>
        <v>0</v>
      </c>
      <c r="M58" s="303">
        <f>'Pay App 57'!H149</f>
        <v>0</v>
      </c>
      <c r="O58" s="303" t="str">
        <f>'Pay App 1'!B118</f>
        <v>11 53 00</v>
      </c>
      <c r="P58" s="303" t="str">
        <f>'Pay App 1'!C118</f>
        <v>Lab/Mechanical Equipment</v>
      </c>
      <c r="Q58" s="304">
        <f>SUMIFS('PCO Log'!$E68:$SJ68,'PCO Log'!$E$9:$SJ$9,'Graph Data'!Q$1,'PCO Log'!$E$7:$SJ$7,"Approved")</f>
        <v>0</v>
      </c>
      <c r="R58" s="304">
        <f>SUMIFS('PCO Log'!$E68:$SJ68,'PCO Log'!$E$9:$SJ$9,'Graph Data'!R$1,'PCO Log'!$E$7:$SJ$7,"Approved")</f>
        <v>0</v>
      </c>
      <c r="S58" s="304">
        <f>SUMIFS('PCO Log'!$E68:$SJ68,'PCO Log'!$E$9:$SJ$9,'Graph Data'!S$1,'PCO Log'!$E$7:$SJ$7,"Approved")</f>
        <v>0</v>
      </c>
      <c r="T58" s="304">
        <f>SUMIFS('PCO Log'!$E68:$SJ68,'PCO Log'!$E$9:$SJ$9,'Graph Data'!T$1,'PCO Log'!$E$7:$SJ$7,"Approved")</f>
        <v>0</v>
      </c>
      <c r="U58" s="304">
        <f>SUMIFS('PCO Log'!$E68:$SJ68,'PCO Log'!$E$9:$SJ$9,'Graph Data'!U$1,'PCO Log'!$E$7:$SJ$7,"Approved")</f>
        <v>0</v>
      </c>
      <c r="V58" s="304">
        <f>SUMIFS('PCO Log'!$E68:$SJ68,'PCO Log'!$E$9:$SJ$9,'Graph Data'!V$1,'PCO Log'!$E$7:$SJ$7,"Approved")</f>
        <v>0</v>
      </c>
      <c r="W58" s="304">
        <f>SUMIFS('PCO Log'!$E68:$SJ68,'PCO Log'!$E$9:$SJ$9,'Graph Data'!W$1,'PCO Log'!$E$7:$SJ$7,"Approved")</f>
        <v>0</v>
      </c>
      <c r="X58" s="304">
        <f>SUMIFS('PCO Log'!$E68:$SJ68,'PCO Log'!$E$9:$SJ$9,'Graph Data'!X$1,'PCO Log'!$E$7:$SJ$7,"Approved")</f>
        <v>0</v>
      </c>
      <c r="Y58" s="304">
        <f>SUMIFS('PCO Log'!$E68:$SJ68,'PCO Log'!$E$9:$SJ$9,'Graph Data'!Y$1,'PCO Log'!$E$7:$SJ$7,"Approved")</f>
        <v>0</v>
      </c>
      <c r="Z58" s="304">
        <f>SUMIFS('PCO Log'!$E68:$SJ68,'PCO Log'!$E$9:$SJ$9,'Graph Data'!Z$1,'PCO Log'!$E$7:$SJ$7,"Approved")</f>
        <v>0</v>
      </c>
      <c r="AA58" s="304">
        <f>SUMIFS('PCO Log'!$E68:$SJ68,'PCO Log'!$E$9:$SJ$9,'Graph Data'!AA$1,'PCO Log'!$E$7:$SJ$7,"Approved")</f>
        <v>0</v>
      </c>
      <c r="AB58" s="304">
        <f>SUMIFS('PCO Log'!$E68:$SJ68,'PCO Log'!$E$9:$SJ$9,'Graph Data'!AB$1,'PCO Log'!$E$7:$SJ$7,"Approved")</f>
        <v>0</v>
      </c>
      <c r="AC58" s="304">
        <f>SUMIFS('PCO Log'!$E68:$SJ68,'PCO Log'!$E$9:$SJ$9,'Graph Data'!AC$1,'PCO Log'!$E$7:$SJ$7,"Approved")</f>
        <v>0</v>
      </c>
      <c r="AD58" s="304">
        <f>SUMIFS('PCO Log'!$E68:$SJ68,'PCO Log'!$E$9:$SJ$9,'Graph Data'!AD$1,'PCO Log'!$E$7:$SJ$7,"Approved")</f>
        <v>0</v>
      </c>
      <c r="AE58" s="304">
        <f>SUMIFS('PCO Log'!$E68:$SJ68,'PCO Log'!$E$9:$SJ$9,'Graph Data'!AE$1,'PCO Log'!$E$7:$SJ$7,"Approved")</f>
        <v>0</v>
      </c>
      <c r="AF58" s="304">
        <f>SUMIFS('PCO Log'!$E68:$SJ68,'PCO Log'!$E$9:$SJ$9,'Graph Data'!AF$1,'PCO Log'!$E$7:$SJ$7,"Approved")</f>
        <v>0</v>
      </c>
      <c r="AG58" s="304">
        <f>SUMIFS('PCO Log'!$E68:$SJ68,'PCO Log'!$E$9:$SJ$9,'Graph Data'!AG$1,'PCO Log'!$E$7:$SJ$7,"Approved")</f>
        <v>0</v>
      </c>
      <c r="AH58" s="304">
        <f>SUMIFS('PCO Log'!$E68:$SJ68,'PCO Log'!$E$9:$SJ$9,'Graph Data'!AH$1,'PCO Log'!$E$7:$SJ$7,"Approved")</f>
        <v>0</v>
      </c>
      <c r="AI58" s="304">
        <f>SUMIFS('PCO Log'!$E68:$SJ68,'PCO Log'!$E$9:$SJ$9,'Graph Data'!AI$1,'PCO Log'!$E$7:$SJ$7,"Approved")</f>
        <v>0</v>
      </c>
      <c r="AJ58" s="304">
        <f>SUMIFS('PCO Log'!$E68:$SJ68,'PCO Log'!$E$9:$SJ$9,'Graph Data'!AJ$1,'PCO Log'!$E$7:$SJ$7,"Approved")</f>
        <v>0</v>
      </c>
      <c r="AK58" s="304">
        <f>SUMIFS('PCO Log'!$E68:$SJ68,'PCO Log'!$E$9:$SJ$9,'Graph Data'!AK$1,'PCO Log'!$E$7:$SJ$7,"Approved")</f>
        <v>0</v>
      </c>
      <c r="AL58" s="304">
        <f>SUMIFS('PCO Log'!$E68:$SJ68,'PCO Log'!$E$9:$SJ$9,'Graph Data'!AL$1,'PCO Log'!$E$7:$SJ$7,"Approved")</f>
        <v>0</v>
      </c>
      <c r="AM58" s="304">
        <f>SUMIFS('PCO Log'!$E68:$SJ68,'PCO Log'!$E$9:$SJ$9,'Graph Data'!AM$1,'PCO Log'!$E$7:$SJ$7,"Approved")</f>
        <v>0</v>
      </c>
      <c r="AN58" s="304">
        <f>SUMIFS('PCO Log'!$E68:$SJ68,'PCO Log'!$E$9:$SJ$9,'Graph Data'!AN$1,'PCO Log'!$E$7:$SJ$7,"Approved")</f>
        <v>0</v>
      </c>
      <c r="AO58" s="304">
        <f>SUMIFS('PCO Log'!$E68:$SJ68,'PCO Log'!$E$9:$SJ$9,'Graph Data'!AO$1,'PCO Log'!$E$7:$SJ$7,"Approved")</f>
        <v>0</v>
      </c>
      <c r="AP58" s="304">
        <f>SUMIFS('PCO Log'!$E68:$SJ68,'PCO Log'!$E$9:$SJ$9,'Graph Data'!AP$1,'PCO Log'!$E$7:$SJ$7,"Approved")</f>
        <v>0</v>
      </c>
      <c r="AQ58" s="304">
        <f>SUMIFS('PCO Log'!$E68:$SJ68,'PCO Log'!$E$9:$SJ$9,'Graph Data'!AQ$1,'PCO Log'!$E$7:$SJ$7,"Approved")</f>
        <v>0</v>
      </c>
      <c r="AR58" s="304">
        <f>SUMIFS('PCO Log'!$E68:$SJ68,'PCO Log'!$E$9:$SJ$9,'Graph Data'!AR$1,'PCO Log'!$E$7:$SJ$7,"Approved")</f>
        <v>0</v>
      </c>
      <c r="AS58" s="304">
        <f>SUMIFS('PCO Log'!$E68:$SJ68,'PCO Log'!$E$9:$SJ$9,'Graph Data'!AS$1,'PCO Log'!$E$7:$SJ$7,"Approved")</f>
        <v>0</v>
      </c>
      <c r="AT58" s="304">
        <f>SUMIFS('PCO Log'!$E68:$SJ68,'PCO Log'!$E$9:$SJ$9,'Graph Data'!AT$1,'PCO Log'!$E$7:$SJ$7,"Approved")</f>
        <v>0</v>
      </c>
      <c r="AU58" s="304">
        <f>SUMIFS('PCO Log'!$E68:$SJ68,'PCO Log'!$E$9:$SJ$9,'Graph Data'!AU$1,'PCO Log'!$E$7:$SJ$7,"Approved")</f>
        <v>0</v>
      </c>
      <c r="AV58" s="304">
        <f>SUMIFS('PCO Log'!$E68:$SJ68,'PCO Log'!$E$9:$SJ$9,'Graph Data'!AV$1,'PCO Log'!$E$7:$SJ$7,"Approved")</f>
        <v>0</v>
      </c>
      <c r="AW58" s="304">
        <f>SUMIFS('PCO Log'!$E68:$SJ68,'PCO Log'!$E$9:$SJ$9,'Graph Data'!AW$1,'PCO Log'!$E$7:$SJ$7,"Approved")</f>
        <v>0</v>
      </c>
      <c r="AX58" s="304">
        <f>SUMIFS('PCO Log'!$E68:$SJ68,'PCO Log'!$E$9:$SJ$9,'Graph Data'!AX$1,'PCO Log'!$E$7:$SJ$7,"Approved")</f>
        <v>0</v>
      </c>
      <c r="AY58" s="304">
        <f>SUMIFS('PCO Log'!$E68:$SJ68,'PCO Log'!$E$9:$SJ$9,'Graph Data'!AY$1,'PCO Log'!$E$7:$SJ$7,"Approved")</f>
        <v>0</v>
      </c>
      <c r="AZ58" s="304">
        <f>SUMIFS('PCO Log'!$E68:$SJ68,'PCO Log'!$E$9:$SJ$9,'Graph Data'!AZ$1,'PCO Log'!$E$7:$SJ$7,"Approved")</f>
        <v>0</v>
      </c>
      <c r="BA58" s="304">
        <f>SUMIFS('PCO Log'!$E68:$SJ68,'PCO Log'!$E$9:$SJ$9,'Graph Data'!BA$1,'PCO Log'!$E$7:$SJ$7,"Approved")</f>
        <v>0</v>
      </c>
      <c r="BB58" s="304">
        <f>SUMIFS('PCO Log'!$E68:$SJ68,'PCO Log'!$E$9:$SJ$9,'Graph Data'!BB$1,'PCO Log'!$E$7:$SJ$7,"Approved")</f>
        <v>0</v>
      </c>
      <c r="BC58" s="304">
        <f>SUMIFS('PCO Log'!$E68:$SJ68,'PCO Log'!$E$9:$SJ$9,'Graph Data'!BC$1,'PCO Log'!$E$7:$SJ$7,"Approved")</f>
        <v>0</v>
      </c>
      <c r="BD58" s="304">
        <f>SUMIFS('PCO Log'!$E68:$SJ68,'PCO Log'!$E$9:$SJ$9,'Graph Data'!BD$1,'PCO Log'!$E$7:$SJ$7,"Approved")</f>
        <v>0</v>
      </c>
      <c r="BE58" s="304">
        <f>SUMIFS('PCO Log'!$E68:$SJ68,'PCO Log'!$E$9:$SJ$9,'Graph Data'!BE$1,'PCO Log'!$E$7:$SJ$7,"Approved")</f>
        <v>0</v>
      </c>
      <c r="BF58" s="304">
        <f>SUMIFS('PCO Log'!$E68:$SJ68,'PCO Log'!$E$9:$SJ$9,'Graph Data'!BF$1,'PCO Log'!$E$7:$SJ$7,"Approved")</f>
        <v>0</v>
      </c>
      <c r="BG58" s="304">
        <f>SUMIFS('PCO Log'!$E68:$SJ68,'PCO Log'!$E$9:$SJ$9,'Graph Data'!BG$1,'PCO Log'!$E$7:$SJ$7,"Approved")</f>
        <v>0</v>
      </c>
      <c r="BH58" s="304">
        <f>SUMIFS('PCO Log'!$E68:$SJ68,'PCO Log'!$E$9:$SJ$9,'Graph Data'!BH$1,'PCO Log'!$E$7:$SJ$7,"Approved")</f>
        <v>0</v>
      </c>
      <c r="BI58" s="304">
        <f>SUMIFS('PCO Log'!$E68:$SJ68,'PCO Log'!$E$9:$SJ$9,'Graph Data'!BI$1,'PCO Log'!$E$7:$SJ$7,"Approved")</f>
        <v>0</v>
      </c>
      <c r="BJ58" s="304">
        <f>SUMIFS('PCO Log'!$E68:$SJ68,'PCO Log'!$E$9:$SJ$9,'Graph Data'!BJ$1,'PCO Log'!$E$7:$SJ$7,"Approved")</f>
        <v>0</v>
      </c>
      <c r="BK58" s="304">
        <f>SUMIFS('PCO Log'!$E68:$SJ68,'PCO Log'!$E$9:$SJ$9,'Graph Data'!BK$1,'PCO Log'!$E$7:$SJ$7,"Approved")</f>
        <v>0</v>
      </c>
      <c r="BL58" s="304">
        <f>SUMIFS('PCO Log'!$E68:$SJ68,'PCO Log'!$E$9:$SJ$9,'Graph Data'!BL$1,'PCO Log'!$E$7:$SJ$7,"Approved")</f>
        <v>0</v>
      </c>
      <c r="BM58" s="304">
        <f>SUMIFS('PCO Log'!$E68:$SJ68,'PCO Log'!$E$9:$SJ$9,'Graph Data'!BM$1,'PCO Log'!$E$7:$SJ$7,"Approved")</f>
        <v>0</v>
      </c>
      <c r="BN58" s="304">
        <f>SUMIFS('PCO Log'!$E68:$SJ68,'PCO Log'!$E$9:$SJ$9,'Graph Data'!BN$1,'PCO Log'!$E$7:$SJ$7,"Approved")</f>
        <v>0</v>
      </c>
      <c r="BO58" s="304">
        <f>SUMIFS('PCO Log'!$E68:$SJ68,'PCO Log'!$E$9:$SJ$9,'Graph Data'!BO$1,'PCO Log'!$E$7:$SJ$7,"Approved")</f>
        <v>0</v>
      </c>
      <c r="BP58" s="304">
        <f>SUMIFS('PCO Log'!$E68:$SJ68,'PCO Log'!$E$9:$SJ$9,'Graph Data'!BP$1,'PCO Log'!$E$7:$SJ$7,"Approved")</f>
        <v>0</v>
      </c>
      <c r="BQ58" s="304">
        <f>SUMIFS('PCO Log'!$E68:$SJ68,'PCO Log'!$E$9:$SJ$9,'Graph Data'!BQ$1,'PCO Log'!$E$7:$SJ$7,"Approved")</f>
        <v>0</v>
      </c>
      <c r="BR58" s="304">
        <f>SUMIFS('PCO Log'!$E68:$SJ68,'PCO Log'!$E$9:$SJ$9,'Graph Data'!BR$1,'PCO Log'!$E$7:$SJ$7,"Approved")</f>
        <v>0</v>
      </c>
      <c r="BS58" s="304">
        <f>SUMIFS('PCO Log'!$E68:$SJ68,'PCO Log'!$E$9:$SJ$9,'Graph Data'!BS$1,'PCO Log'!$E$7:$SJ$7,"Approved")</f>
        <v>0</v>
      </c>
      <c r="BT58" s="304">
        <f>SUMIFS('PCO Log'!$E68:$SJ68,'PCO Log'!$E$9:$SJ$9,'Graph Data'!BT$1,'PCO Log'!$E$7:$SJ$7,"Approved")</f>
        <v>0</v>
      </c>
      <c r="BU58" s="304">
        <f>SUMIFS('PCO Log'!$E68:$SJ68,'PCO Log'!$E$9:$SJ$9,'Graph Data'!BU$1,'PCO Log'!$E$7:$SJ$7,"Approved")</f>
        <v>0</v>
      </c>
      <c r="BV58" s="304">
        <f>SUMIFS('PCO Log'!$E68:$SJ68,'PCO Log'!$E$9:$SJ$9,'Graph Data'!BV$1,'PCO Log'!$E$7:$SJ$7,"Approved")</f>
        <v>0</v>
      </c>
      <c r="BW58" s="304">
        <f>SUMIFS('PCO Log'!$E68:$SJ68,'PCO Log'!$E$9:$SJ$9,'Graph Data'!BW$1,'PCO Log'!$E$7:$SJ$7,"Approved")</f>
        <v>0</v>
      </c>
      <c r="BX58" s="304">
        <f>SUMIFS('PCO Log'!$E68:$SJ68,'PCO Log'!$E$9:$SJ$9,'Graph Data'!BX$1,'PCO Log'!$E$7:$SJ$7,"Approved")</f>
        <v>0</v>
      </c>
    </row>
    <row r="59" spans="1:76" x14ac:dyDescent="0.25">
      <c r="A59" s="303" t="s">
        <v>399</v>
      </c>
      <c r="B59" s="303">
        <f>'PCO Log'!BJ7</f>
        <v>0</v>
      </c>
      <c r="C59" s="303">
        <f>'PCO Log'!BJ4</f>
        <v>0</v>
      </c>
      <c r="D59" s="303" cm="1">
        <f t="array" ref="D59">INDEX('PCO Log'!$E$5:$SJ$5, 1, ROWS('Graph Data'!$D$2:D59))</f>
        <v>0</v>
      </c>
      <c r="E59" s="303">
        <f>'PCO Log'!BJ8</f>
        <v>0</v>
      </c>
      <c r="F59" s="303">
        <f>'PCO Log'!BJ3</f>
        <v>0</v>
      </c>
      <c r="G59" s="304">
        <f>'PCO Log'!BJ10</f>
        <v>0</v>
      </c>
      <c r="H59" s="305">
        <f>'PCO Log'!BJ6</f>
        <v>0</v>
      </c>
      <c r="J59" s="303" t="s">
        <v>326</v>
      </c>
      <c r="K59" s="303">
        <f>'Pay App 58'!H33</f>
        <v>0</v>
      </c>
      <c r="L59" s="303">
        <f>IF(M59&gt;0,'Pay App 58'!$G$149,0)</f>
        <v>0</v>
      </c>
      <c r="M59" s="303">
        <f>'Pay App 58'!H149</f>
        <v>0</v>
      </c>
      <c r="O59" s="303" t="str">
        <f>'Pay App 1'!B119</f>
        <v>11 66 00</v>
      </c>
      <c r="P59" s="303" t="str">
        <f>'Pay App 1'!C119</f>
        <v>Athletic Equipment</v>
      </c>
      <c r="Q59" s="304">
        <f>SUMIFS('PCO Log'!$E69:$SJ69,'PCO Log'!$E$9:$SJ$9,'Graph Data'!Q$1,'PCO Log'!$E$7:$SJ$7,"Approved")</f>
        <v>0</v>
      </c>
      <c r="R59" s="304">
        <f>SUMIFS('PCO Log'!$E69:$SJ69,'PCO Log'!$E$9:$SJ$9,'Graph Data'!R$1,'PCO Log'!$E$7:$SJ$7,"Approved")</f>
        <v>0</v>
      </c>
      <c r="S59" s="304">
        <f>SUMIFS('PCO Log'!$E69:$SJ69,'PCO Log'!$E$9:$SJ$9,'Graph Data'!S$1,'PCO Log'!$E$7:$SJ$7,"Approved")</f>
        <v>0</v>
      </c>
      <c r="T59" s="304">
        <f>SUMIFS('PCO Log'!$E69:$SJ69,'PCO Log'!$E$9:$SJ$9,'Graph Data'!T$1,'PCO Log'!$E$7:$SJ$7,"Approved")</f>
        <v>0</v>
      </c>
      <c r="U59" s="304">
        <f>SUMIFS('PCO Log'!$E69:$SJ69,'PCO Log'!$E$9:$SJ$9,'Graph Data'!U$1,'PCO Log'!$E$7:$SJ$7,"Approved")</f>
        <v>0</v>
      </c>
      <c r="V59" s="304">
        <f>SUMIFS('PCO Log'!$E69:$SJ69,'PCO Log'!$E$9:$SJ$9,'Graph Data'!V$1,'PCO Log'!$E$7:$SJ$7,"Approved")</f>
        <v>0</v>
      </c>
      <c r="W59" s="304">
        <f>SUMIFS('PCO Log'!$E69:$SJ69,'PCO Log'!$E$9:$SJ$9,'Graph Data'!W$1,'PCO Log'!$E$7:$SJ$7,"Approved")</f>
        <v>0</v>
      </c>
      <c r="X59" s="304">
        <f>SUMIFS('PCO Log'!$E69:$SJ69,'PCO Log'!$E$9:$SJ$9,'Graph Data'!X$1,'PCO Log'!$E$7:$SJ$7,"Approved")</f>
        <v>0</v>
      </c>
      <c r="Y59" s="304">
        <f>SUMIFS('PCO Log'!$E69:$SJ69,'PCO Log'!$E$9:$SJ$9,'Graph Data'!Y$1,'PCO Log'!$E$7:$SJ$7,"Approved")</f>
        <v>0</v>
      </c>
      <c r="Z59" s="304">
        <f>SUMIFS('PCO Log'!$E69:$SJ69,'PCO Log'!$E$9:$SJ$9,'Graph Data'!Z$1,'PCO Log'!$E$7:$SJ$7,"Approved")</f>
        <v>0</v>
      </c>
      <c r="AA59" s="304">
        <f>SUMIFS('PCO Log'!$E69:$SJ69,'PCO Log'!$E$9:$SJ$9,'Graph Data'!AA$1,'PCO Log'!$E$7:$SJ$7,"Approved")</f>
        <v>0</v>
      </c>
      <c r="AB59" s="304">
        <f>SUMIFS('PCO Log'!$E69:$SJ69,'PCO Log'!$E$9:$SJ$9,'Graph Data'!AB$1,'PCO Log'!$E$7:$SJ$7,"Approved")</f>
        <v>0</v>
      </c>
      <c r="AC59" s="304">
        <f>SUMIFS('PCO Log'!$E69:$SJ69,'PCO Log'!$E$9:$SJ$9,'Graph Data'!AC$1,'PCO Log'!$E$7:$SJ$7,"Approved")</f>
        <v>0</v>
      </c>
      <c r="AD59" s="304">
        <f>SUMIFS('PCO Log'!$E69:$SJ69,'PCO Log'!$E$9:$SJ$9,'Graph Data'!AD$1,'PCO Log'!$E$7:$SJ$7,"Approved")</f>
        <v>0</v>
      </c>
      <c r="AE59" s="304">
        <f>SUMIFS('PCO Log'!$E69:$SJ69,'PCO Log'!$E$9:$SJ$9,'Graph Data'!AE$1,'PCO Log'!$E$7:$SJ$7,"Approved")</f>
        <v>0</v>
      </c>
      <c r="AF59" s="304">
        <f>SUMIFS('PCO Log'!$E69:$SJ69,'PCO Log'!$E$9:$SJ$9,'Graph Data'!AF$1,'PCO Log'!$E$7:$SJ$7,"Approved")</f>
        <v>0</v>
      </c>
      <c r="AG59" s="304">
        <f>SUMIFS('PCO Log'!$E69:$SJ69,'PCO Log'!$E$9:$SJ$9,'Graph Data'!AG$1,'PCO Log'!$E$7:$SJ$7,"Approved")</f>
        <v>0</v>
      </c>
      <c r="AH59" s="304">
        <f>SUMIFS('PCO Log'!$E69:$SJ69,'PCO Log'!$E$9:$SJ$9,'Graph Data'!AH$1,'PCO Log'!$E$7:$SJ$7,"Approved")</f>
        <v>0</v>
      </c>
      <c r="AI59" s="304">
        <f>SUMIFS('PCO Log'!$E69:$SJ69,'PCO Log'!$E$9:$SJ$9,'Graph Data'!AI$1,'PCO Log'!$E$7:$SJ$7,"Approved")</f>
        <v>0</v>
      </c>
      <c r="AJ59" s="304">
        <f>SUMIFS('PCO Log'!$E69:$SJ69,'PCO Log'!$E$9:$SJ$9,'Graph Data'!AJ$1,'PCO Log'!$E$7:$SJ$7,"Approved")</f>
        <v>0</v>
      </c>
      <c r="AK59" s="304">
        <f>SUMIFS('PCO Log'!$E69:$SJ69,'PCO Log'!$E$9:$SJ$9,'Graph Data'!AK$1,'PCO Log'!$E$7:$SJ$7,"Approved")</f>
        <v>0</v>
      </c>
      <c r="AL59" s="304">
        <f>SUMIFS('PCO Log'!$E69:$SJ69,'PCO Log'!$E$9:$SJ$9,'Graph Data'!AL$1,'PCO Log'!$E$7:$SJ$7,"Approved")</f>
        <v>0</v>
      </c>
      <c r="AM59" s="304">
        <f>SUMIFS('PCO Log'!$E69:$SJ69,'PCO Log'!$E$9:$SJ$9,'Graph Data'!AM$1,'PCO Log'!$E$7:$SJ$7,"Approved")</f>
        <v>0</v>
      </c>
      <c r="AN59" s="304">
        <f>SUMIFS('PCO Log'!$E69:$SJ69,'PCO Log'!$E$9:$SJ$9,'Graph Data'!AN$1,'PCO Log'!$E$7:$SJ$7,"Approved")</f>
        <v>0</v>
      </c>
      <c r="AO59" s="304">
        <f>SUMIFS('PCO Log'!$E69:$SJ69,'PCO Log'!$E$9:$SJ$9,'Graph Data'!AO$1,'PCO Log'!$E$7:$SJ$7,"Approved")</f>
        <v>0</v>
      </c>
      <c r="AP59" s="304">
        <f>SUMIFS('PCO Log'!$E69:$SJ69,'PCO Log'!$E$9:$SJ$9,'Graph Data'!AP$1,'PCO Log'!$E$7:$SJ$7,"Approved")</f>
        <v>0</v>
      </c>
      <c r="AQ59" s="304">
        <f>SUMIFS('PCO Log'!$E69:$SJ69,'PCO Log'!$E$9:$SJ$9,'Graph Data'!AQ$1,'PCO Log'!$E$7:$SJ$7,"Approved")</f>
        <v>0</v>
      </c>
      <c r="AR59" s="304">
        <f>SUMIFS('PCO Log'!$E69:$SJ69,'PCO Log'!$E$9:$SJ$9,'Graph Data'!AR$1,'PCO Log'!$E$7:$SJ$7,"Approved")</f>
        <v>0</v>
      </c>
      <c r="AS59" s="304">
        <f>SUMIFS('PCO Log'!$E69:$SJ69,'PCO Log'!$E$9:$SJ$9,'Graph Data'!AS$1,'PCO Log'!$E$7:$SJ$7,"Approved")</f>
        <v>0</v>
      </c>
      <c r="AT59" s="304">
        <f>SUMIFS('PCO Log'!$E69:$SJ69,'PCO Log'!$E$9:$SJ$9,'Graph Data'!AT$1,'PCO Log'!$E$7:$SJ$7,"Approved")</f>
        <v>0</v>
      </c>
      <c r="AU59" s="304">
        <f>SUMIFS('PCO Log'!$E69:$SJ69,'PCO Log'!$E$9:$SJ$9,'Graph Data'!AU$1,'PCO Log'!$E$7:$SJ$7,"Approved")</f>
        <v>0</v>
      </c>
      <c r="AV59" s="304">
        <f>SUMIFS('PCO Log'!$E69:$SJ69,'PCO Log'!$E$9:$SJ$9,'Graph Data'!AV$1,'PCO Log'!$E$7:$SJ$7,"Approved")</f>
        <v>0</v>
      </c>
      <c r="AW59" s="304">
        <f>SUMIFS('PCO Log'!$E69:$SJ69,'PCO Log'!$E$9:$SJ$9,'Graph Data'!AW$1,'PCO Log'!$E$7:$SJ$7,"Approved")</f>
        <v>0</v>
      </c>
      <c r="AX59" s="304">
        <f>SUMIFS('PCO Log'!$E69:$SJ69,'PCO Log'!$E$9:$SJ$9,'Graph Data'!AX$1,'PCO Log'!$E$7:$SJ$7,"Approved")</f>
        <v>0</v>
      </c>
      <c r="AY59" s="304">
        <f>SUMIFS('PCO Log'!$E69:$SJ69,'PCO Log'!$E$9:$SJ$9,'Graph Data'!AY$1,'PCO Log'!$E$7:$SJ$7,"Approved")</f>
        <v>0</v>
      </c>
      <c r="AZ59" s="304">
        <f>SUMIFS('PCO Log'!$E69:$SJ69,'PCO Log'!$E$9:$SJ$9,'Graph Data'!AZ$1,'PCO Log'!$E$7:$SJ$7,"Approved")</f>
        <v>0</v>
      </c>
      <c r="BA59" s="304">
        <f>SUMIFS('PCO Log'!$E69:$SJ69,'PCO Log'!$E$9:$SJ$9,'Graph Data'!BA$1,'PCO Log'!$E$7:$SJ$7,"Approved")</f>
        <v>0</v>
      </c>
      <c r="BB59" s="304">
        <f>SUMIFS('PCO Log'!$E69:$SJ69,'PCO Log'!$E$9:$SJ$9,'Graph Data'!BB$1,'PCO Log'!$E$7:$SJ$7,"Approved")</f>
        <v>0</v>
      </c>
      <c r="BC59" s="304">
        <f>SUMIFS('PCO Log'!$E69:$SJ69,'PCO Log'!$E$9:$SJ$9,'Graph Data'!BC$1,'PCO Log'!$E$7:$SJ$7,"Approved")</f>
        <v>0</v>
      </c>
      <c r="BD59" s="304">
        <f>SUMIFS('PCO Log'!$E69:$SJ69,'PCO Log'!$E$9:$SJ$9,'Graph Data'!BD$1,'PCO Log'!$E$7:$SJ$7,"Approved")</f>
        <v>0</v>
      </c>
      <c r="BE59" s="304">
        <f>SUMIFS('PCO Log'!$E69:$SJ69,'PCO Log'!$E$9:$SJ$9,'Graph Data'!BE$1,'PCO Log'!$E$7:$SJ$7,"Approved")</f>
        <v>0</v>
      </c>
      <c r="BF59" s="304">
        <f>SUMIFS('PCO Log'!$E69:$SJ69,'PCO Log'!$E$9:$SJ$9,'Graph Data'!BF$1,'PCO Log'!$E$7:$SJ$7,"Approved")</f>
        <v>0</v>
      </c>
      <c r="BG59" s="304">
        <f>SUMIFS('PCO Log'!$E69:$SJ69,'PCO Log'!$E$9:$SJ$9,'Graph Data'!BG$1,'PCO Log'!$E$7:$SJ$7,"Approved")</f>
        <v>0</v>
      </c>
      <c r="BH59" s="304">
        <f>SUMIFS('PCO Log'!$E69:$SJ69,'PCO Log'!$E$9:$SJ$9,'Graph Data'!BH$1,'PCO Log'!$E$7:$SJ$7,"Approved")</f>
        <v>0</v>
      </c>
      <c r="BI59" s="304">
        <f>SUMIFS('PCO Log'!$E69:$SJ69,'PCO Log'!$E$9:$SJ$9,'Graph Data'!BI$1,'PCO Log'!$E$7:$SJ$7,"Approved")</f>
        <v>0</v>
      </c>
      <c r="BJ59" s="304">
        <f>SUMIFS('PCO Log'!$E69:$SJ69,'PCO Log'!$E$9:$SJ$9,'Graph Data'!BJ$1,'PCO Log'!$E$7:$SJ$7,"Approved")</f>
        <v>0</v>
      </c>
      <c r="BK59" s="304">
        <f>SUMIFS('PCO Log'!$E69:$SJ69,'PCO Log'!$E$9:$SJ$9,'Graph Data'!BK$1,'PCO Log'!$E$7:$SJ$7,"Approved")</f>
        <v>0</v>
      </c>
      <c r="BL59" s="304">
        <f>SUMIFS('PCO Log'!$E69:$SJ69,'PCO Log'!$E$9:$SJ$9,'Graph Data'!BL$1,'PCO Log'!$E$7:$SJ$7,"Approved")</f>
        <v>0</v>
      </c>
      <c r="BM59" s="304">
        <f>SUMIFS('PCO Log'!$E69:$SJ69,'PCO Log'!$E$9:$SJ$9,'Graph Data'!BM$1,'PCO Log'!$E$7:$SJ$7,"Approved")</f>
        <v>0</v>
      </c>
      <c r="BN59" s="304">
        <f>SUMIFS('PCO Log'!$E69:$SJ69,'PCO Log'!$E$9:$SJ$9,'Graph Data'!BN$1,'PCO Log'!$E$7:$SJ$7,"Approved")</f>
        <v>0</v>
      </c>
      <c r="BO59" s="304">
        <f>SUMIFS('PCO Log'!$E69:$SJ69,'PCO Log'!$E$9:$SJ$9,'Graph Data'!BO$1,'PCO Log'!$E$7:$SJ$7,"Approved")</f>
        <v>0</v>
      </c>
      <c r="BP59" s="304">
        <f>SUMIFS('PCO Log'!$E69:$SJ69,'PCO Log'!$E$9:$SJ$9,'Graph Data'!BP$1,'PCO Log'!$E$7:$SJ$7,"Approved")</f>
        <v>0</v>
      </c>
      <c r="BQ59" s="304">
        <f>SUMIFS('PCO Log'!$E69:$SJ69,'PCO Log'!$E$9:$SJ$9,'Graph Data'!BQ$1,'PCO Log'!$E$7:$SJ$7,"Approved")</f>
        <v>0</v>
      </c>
      <c r="BR59" s="304">
        <f>SUMIFS('PCO Log'!$E69:$SJ69,'PCO Log'!$E$9:$SJ$9,'Graph Data'!BR$1,'PCO Log'!$E$7:$SJ$7,"Approved")</f>
        <v>0</v>
      </c>
      <c r="BS59" s="304">
        <f>SUMIFS('PCO Log'!$E69:$SJ69,'PCO Log'!$E$9:$SJ$9,'Graph Data'!BS$1,'PCO Log'!$E$7:$SJ$7,"Approved")</f>
        <v>0</v>
      </c>
      <c r="BT59" s="304">
        <f>SUMIFS('PCO Log'!$E69:$SJ69,'PCO Log'!$E$9:$SJ$9,'Graph Data'!BT$1,'PCO Log'!$E$7:$SJ$7,"Approved")</f>
        <v>0</v>
      </c>
      <c r="BU59" s="304">
        <f>SUMIFS('PCO Log'!$E69:$SJ69,'PCO Log'!$E$9:$SJ$9,'Graph Data'!BU$1,'PCO Log'!$E$7:$SJ$7,"Approved")</f>
        <v>0</v>
      </c>
      <c r="BV59" s="304">
        <f>SUMIFS('PCO Log'!$E69:$SJ69,'PCO Log'!$E$9:$SJ$9,'Graph Data'!BV$1,'PCO Log'!$E$7:$SJ$7,"Approved")</f>
        <v>0</v>
      </c>
      <c r="BW59" s="304">
        <f>SUMIFS('PCO Log'!$E69:$SJ69,'PCO Log'!$E$9:$SJ$9,'Graph Data'!BW$1,'PCO Log'!$E$7:$SJ$7,"Approved")</f>
        <v>0</v>
      </c>
      <c r="BX59" s="304">
        <f>SUMIFS('PCO Log'!$E69:$SJ69,'PCO Log'!$E$9:$SJ$9,'Graph Data'!BX$1,'PCO Log'!$E$7:$SJ$7,"Approved")</f>
        <v>0</v>
      </c>
    </row>
    <row r="60" spans="1:76" x14ac:dyDescent="0.25">
      <c r="A60" s="303" t="s">
        <v>400</v>
      </c>
      <c r="B60" s="303">
        <f>'PCO Log'!BK7</f>
        <v>0</v>
      </c>
      <c r="C60" s="303">
        <f>'PCO Log'!BK4</f>
        <v>0</v>
      </c>
      <c r="D60" s="303" cm="1">
        <f t="array" ref="D60">INDEX('PCO Log'!$E$5:$SJ$5, 1, ROWS('Graph Data'!$D$2:D60))</f>
        <v>0</v>
      </c>
      <c r="E60" s="303">
        <f>'PCO Log'!BK8</f>
        <v>0</v>
      </c>
      <c r="F60" s="303">
        <f>'PCO Log'!BK3</f>
        <v>0</v>
      </c>
      <c r="G60" s="304">
        <f>'PCO Log'!BK10</f>
        <v>0</v>
      </c>
      <c r="H60" s="305">
        <f>'PCO Log'!BK6</f>
        <v>0</v>
      </c>
      <c r="J60" s="303" t="s">
        <v>327</v>
      </c>
      <c r="K60" s="303">
        <f>'Pay App 59'!H33</f>
        <v>0</v>
      </c>
      <c r="L60" s="303">
        <f>IF(M60&gt;0,'Pay App 59'!$G$149,0)</f>
        <v>0</v>
      </c>
      <c r="M60" s="303">
        <f>'Pay App 59'!H149</f>
        <v>0</v>
      </c>
      <c r="O60" s="303" t="str">
        <f>'Pay App 1'!B120</f>
        <v>11 90 00</v>
      </c>
      <c r="P60" s="303" t="str">
        <f>'Pay App 1'!C120</f>
        <v>Equipment (other)</v>
      </c>
      <c r="Q60" s="304">
        <f>SUMIFS('PCO Log'!$E70:$SJ70,'PCO Log'!$E$9:$SJ$9,'Graph Data'!Q$1,'PCO Log'!$E$7:$SJ$7,"Approved")</f>
        <v>0</v>
      </c>
      <c r="R60" s="304">
        <f>SUMIFS('PCO Log'!$E70:$SJ70,'PCO Log'!$E$9:$SJ$9,'Graph Data'!R$1,'PCO Log'!$E$7:$SJ$7,"Approved")</f>
        <v>0</v>
      </c>
      <c r="S60" s="304">
        <f>SUMIFS('PCO Log'!$E70:$SJ70,'PCO Log'!$E$9:$SJ$9,'Graph Data'!S$1,'PCO Log'!$E$7:$SJ$7,"Approved")</f>
        <v>0</v>
      </c>
      <c r="T60" s="304">
        <f>SUMIFS('PCO Log'!$E70:$SJ70,'PCO Log'!$E$9:$SJ$9,'Graph Data'!T$1,'PCO Log'!$E$7:$SJ$7,"Approved")</f>
        <v>0</v>
      </c>
      <c r="U60" s="304">
        <f>SUMIFS('PCO Log'!$E70:$SJ70,'PCO Log'!$E$9:$SJ$9,'Graph Data'!U$1,'PCO Log'!$E$7:$SJ$7,"Approved")</f>
        <v>0</v>
      </c>
      <c r="V60" s="304">
        <f>SUMIFS('PCO Log'!$E70:$SJ70,'PCO Log'!$E$9:$SJ$9,'Graph Data'!V$1,'PCO Log'!$E$7:$SJ$7,"Approved")</f>
        <v>0</v>
      </c>
      <c r="W60" s="304">
        <f>SUMIFS('PCO Log'!$E70:$SJ70,'PCO Log'!$E$9:$SJ$9,'Graph Data'!W$1,'PCO Log'!$E$7:$SJ$7,"Approved")</f>
        <v>0</v>
      </c>
      <c r="X60" s="304">
        <f>SUMIFS('PCO Log'!$E70:$SJ70,'PCO Log'!$E$9:$SJ$9,'Graph Data'!X$1,'PCO Log'!$E$7:$SJ$7,"Approved")</f>
        <v>0</v>
      </c>
      <c r="Y60" s="304">
        <f>SUMIFS('PCO Log'!$E70:$SJ70,'PCO Log'!$E$9:$SJ$9,'Graph Data'!Y$1,'PCO Log'!$E$7:$SJ$7,"Approved")</f>
        <v>0</v>
      </c>
      <c r="Z60" s="304">
        <f>SUMIFS('PCO Log'!$E70:$SJ70,'PCO Log'!$E$9:$SJ$9,'Graph Data'!Z$1,'PCO Log'!$E$7:$SJ$7,"Approved")</f>
        <v>0</v>
      </c>
      <c r="AA60" s="304">
        <f>SUMIFS('PCO Log'!$E70:$SJ70,'PCO Log'!$E$9:$SJ$9,'Graph Data'!AA$1,'PCO Log'!$E$7:$SJ$7,"Approved")</f>
        <v>0</v>
      </c>
      <c r="AB60" s="304">
        <f>SUMIFS('PCO Log'!$E70:$SJ70,'PCO Log'!$E$9:$SJ$9,'Graph Data'!AB$1,'PCO Log'!$E$7:$SJ$7,"Approved")</f>
        <v>0</v>
      </c>
      <c r="AC60" s="304">
        <f>SUMIFS('PCO Log'!$E70:$SJ70,'PCO Log'!$E$9:$SJ$9,'Graph Data'!AC$1,'PCO Log'!$E$7:$SJ$7,"Approved")</f>
        <v>0</v>
      </c>
      <c r="AD60" s="304">
        <f>SUMIFS('PCO Log'!$E70:$SJ70,'PCO Log'!$E$9:$SJ$9,'Graph Data'!AD$1,'PCO Log'!$E$7:$SJ$7,"Approved")</f>
        <v>0</v>
      </c>
      <c r="AE60" s="304">
        <f>SUMIFS('PCO Log'!$E70:$SJ70,'PCO Log'!$E$9:$SJ$9,'Graph Data'!AE$1,'PCO Log'!$E$7:$SJ$7,"Approved")</f>
        <v>0</v>
      </c>
      <c r="AF60" s="304">
        <f>SUMIFS('PCO Log'!$E70:$SJ70,'PCO Log'!$E$9:$SJ$9,'Graph Data'!AF$1,'PCO Log'!$E$7:$SJ$7,"Approved")</f>
        <v>0</v>
      </c>
      <c r="AG60" s="304">
        <f>SUMIFS('PCO Log'!$E70:$SJ70,'PCO Log'!$E$9:$SJ$9,'Graph Data'!AG$1,'PCO Log'!$E$7:$SJ$7,"Approved")</f>
        <v>0</v>
      </c>
      <c r="AH60" s="304">
        <f>SUMIFS('PCO Log'!$E70:$SJ70,'PCO Log'!$E$9:$SJ$9,'Graph Data'!AH$1,'PCO Log'!$E$7:$SJ$7,"Approved")</f>
        <v>0</v>
      </c>
      <c r="AI60" s="304">
        <f>SUMIFS('PCO Log'!$E70:$SJ70,'PCO Log'!$E$9:$SJ$9,'Graph Data'!AI$1,'PCO Log'!$E$7:$SJ$7,"Approved")</f>
        <v>0</v>
      </c>
      <c r="AJ60" s="304">
        <f>SUMIFS('PCO Log'!$E70:$SJ70,'PCO Log'!$E$9:$SJ$9,'Graph Data'!AJ$1,'PCO Log'!$E$7:$SJ$7,"Approved")</f>
        <v>0</v>
      </c>
      <c r="AK60" s="304">
        <f>SUMIFS('PCO Log'!$E70:$SJ70,'PCO Log'!$E$9:$SJ$9,'Graph Data'!AK$1,'PCO Log'!$E$7:$SJ$7,"Approved")</f>
        <v>0</v>
      </c>
      <c r="AL60" s="304">
        <f>SUMIFS('PCO Log'!$E70:$SJ70,'PCO Log'!$E$9:$SJ$9,'Graph Data'!AL$1,'PCO Log'!$E$7:$SJ$7,"Approved")</f>
        <v>0</v>
      </c>
      <c r="AM60" s="304">
        <f>SUMIFS('PCO Log'!$E70:$SJ70,'PCO Log'!$E$9:$SJ$9,'Graph Data'!AM$1,'PCO Log'!$E$7:$SJ$7,"Approved")</f>
        <v>0</v>
      </c>
      <c r="AN60" s="304">
        <f>SUMIFS('PCO Log'!$E70:$SJ70,'PCO Log'!$E$9:$SJ$9,'Graph Data'!AN$1,'PCO Log'!$E$7:$SJ$7,"Approved")</f>
        <v>0</v>
      </c>
      <c r="AO60" s="304">
        <f>SUMIFS('PCO Log'!$E70:$SJ70,'PCO Log'!$E$9:$SJ$9,'Graph Data'!AO$1,'PCO Log'!$E$7:$SJ$7,"Approved")</f>
        <v>0</v>
      </c>
      <c r="AP60" s="304">
        <f>SUMIFS('PCO Log'!$E70:$SJ70,'PCO Log'!$E$9:$SJ$9,'Graph Data'!AP$1,'PCO Log'!$E$7:$SJ$7,"Approved")</f>
        <v>0</v>
      </c>
      <c r="AQ60" s="304">
        <f>SUMIFS('PCO Log'!$E70:$SJ70,'PCO Log'!$E$9:$SJ$9,'Graph Data'!AQ$1,'PCO Log'!$E$7:$SJ$7,"Approved")</f>
        <v>0</v>
      </c>
      <c r="AR60" s="304">
        <f>SUMIFS('PCO Log'!$E70:$SJ70,'PCO Log'!$E$9:$SJ$9,'Graph Data'!AR$1,'PCO Log'!$E$7:$SJ$7,"Approved")</f>
        <v>0</v>
      </c>
      <c r="AS60" s="304">
        <f>SUMIFS('PCO Log'!$E70:$SJ70,'PCO Log'!$E$9:$SJ$9,'Graph Data'!AS$1,'PCO Log'!$E$7:$SJ$7,"Approved")</f>
        <v>0</v>
      </c>
      <c r="AT60" s="304">
        <f>SUMIFS('PCO Log'!$E70:$SJ70,'PCO Log'!$E$9:$SJ$9,'Graph Data'!AT$1,'PCO Log'!$E$7:$SJ$7,"Approved")</f>
        <v>0</v>
      </c>
      <c r="AU60" s="304">
        <f>SUMIFS('PCO Log'!$E70:$SJ70,'PCO Log'!$E$9:$SJ$9,'Graph Data'!AU$1,'PCO Log'!$E$7:$SJ$7,"Approved")</f>
        <v>0</v>
      </c>
      <c r="AV60" s="304">
        <f>SUMIFS('PCO Log'!$E70:$SJ70,'PCO Log'!$E$9:$SJ$9,'Graph Data'!AV$1,'PCO Log'!$E$7:$SJ$7,"Approved")</f>
        <v>0</v>
      </c>
      <c r="AW60" s="304">
        <f>SUMIFS('PCO Log'!$E70:$SJ70,'PCO Log'!$E$9:$SJ$9,'Graph Data'!AW$1,'PCO Log'!$E$7:$SJ$7,"Approved")</f>
        <v>0</v>
      </c>
      <c r="AX60" s="304">
        <f>SUMIFS('PCO Log'!$E70:$SJ70,'PCO Log'!$E$9:$SJ$9,'Graph Data'!AX$1,'PCO Log'!$E$7:$SJ$7,"Approved")</f>
        <v>0</v>
      </c>
      <c r="AY60" s="304">
        <f>SUMIFS('PCO Log'!$E70:$SJ70,'PCO Log'!$E$9:$SJ$9,'Graph Data'!AY$1,'PCO Log'!$E$7:$SJ$7,"Approved")</f>
        <v>0</v>
      </c>
      <c r="AZ60" s="304">
        <f>SUMIFS('PCO Log'!$E70:$SJ70,'PCO Log'!$E$9:$SJ$9,'Graph Data'!AZ$1,'PCO Log'!$E$7:$SJ$7,"Approved")</f>
        <v>0</v>
      </c>
      <c r="BA60" s="304">
        <f>SUMIFS('PCO Log'!$E70:$SJ70,'PCO Log'!$E$9:$SJ$9,'Graph Data'!BA$1,'PCO Log'!$E$7:$SJ$7,"Approved")</f>
        <v>0</v>
      </c>
      <c r="BB60" s="304">
        <f>SUMIFS('PCO Log'!$E70:$SJ70,'PCO Log'!$E$9:$SJ$9,'Graph Data'!BB$1,'PCO Log'!$E$7:$SJ$7,"Approved")</f>
        <v>0</v>
      </c>
      <c r="BC60" s="304">
        <f>SUMIFS('PCO Log'!$E70:$SJ70,'PCO Log'!$E$9:$SJ$9,'Graph Data'!BC$1,'PCO Log'!$E$7:$SJ$7,"Approved")</f>
        <v>0</v>
      </c>
      <c r="BD60" s="304">
        <f>SUMIFS('PCO Log'!$E70:$SJ70,'PCO Log'!$E$9:$SJ$9,'Graph Data'!BD$1,'PCO Log'!$E$7:$SJ$7,"Approved")</f>
        <v>0</v>
      </c>
      <c r="BE60" s="304">
        <f>SUMIFS('PCO Log'!$E70:$SJ70,'PCO Log'!$E$9:$SJ$9,'Graph Data'!BE$1,'PCO Log'!$E$7:$SJ$7,"Approved")</f>
        <v>0</v>
      </c>
      <c r="BF60" s="304">
        <f>SUMIFS('PCO Log'!$E70:$SJ70,'PCO Log'!$E$9:$SJ$9,'Graph Data'!BF$1,'PCO Log'!$E$7:$SJ$7,"Approved")</f>
        <v>0</v>
      </c>
      <c r="BG60" s="304">
        <f>SUMIFS('PCO Log'!$E70:$SJ70,'PCO Log'!$E$9:$SJ$9,'Graph Data'!BG$1,'PCO Log'!$E$7:$SJ$7,"Approved")</f>
        <v>0</v>
      </c>
      <c r="BH60" s="304">
        <f>SUMIFS('PCO Log'!$E70:$SJ70,'PCO Log'!$E$9:$SJ$9,'Graph Data'!BH$1,'PCO Log'!$E$7:$SJ$7,"Approved")</f>
        <v>0</v>
      </c>
      <c r="BI60" s="304">
        <f>SUMIFS('PCO Log'!$E70:$SJ70,'PCO Log'!$E$9:$SJ$9,'Graph Data'!BI$1,'PCO Log'!$E$7:$SJ$7,"Approved")</f>
        <v>0</v>
      </c>
      <c r="BJ60" s="304">
        <f>SUMIFS('PCO Log'!$E70:$SJ70,'PCO Log'!$E$9:$SJ$9,'Graph Data'!BJ$1,'PCO Log'!$E$7:$SJ$7,"Approved")</f>
        <v>0</v>
      </c>
      <c r="BK60" s="304">
        <f>SUMIFS('PCO Log'!$E70:$SJ70,'PCO Log'!$E$9:$SJ$9,'Graph Data'!BK$1,'PCO Log'!$E$7:$SJ$7,"Approved")</f>
        <v>0</v>
      </c>
      <c r="BL60" s="304">
        <f>SUMIFS('PCO Log'!$E70:$SJ70,'PCO Log'!$E$9:$SJ$9,'Graph Data'!BL$1,'PCO Log'!$E$7:$SJ$7,"Approved")</f>
        <v>0</v>
      </c>
      <c r="BM60" s="304">
        <f>SUMIFS('PCO Log'!$E70:$SJ70,'PCO Log'!$E$9:$SJ$9,'Graph Data'!BM$1,'PCO Log'!$E$7:$SJ$7,"Approved")</f>
        <v>0</v>
      </c>
      <c r="BN60" s="304">
        <f>SUMIFS('PCO Log'!$E70:$SJ70,'PCO Log'!$E$9:$SJ$9,'Graph Data'!BN$1,'PCO Log'!$E$7:$SJ$7,"Approved")</f>
        <v>0</v>
      </c>
      <c r="BO60" s="304">
        <f>SUMIFS('PCO Log'!$E70:$SJ70,'PCO Log'!$E$9:$SJ$9,'Graph Data'!BO$1,'PCO Log'!$E$7:$SJ$7,"Approved")</f>
        <v>0</v>
      </c>
      <c r="BP60" s="304">
        <f>SUMIFS('PCO Log'!$E70:$SJ70,'PCO Log'!$E$9:$SJ$9,'Graph Data'!BP$1,'PCO Log'!$E$7:$SJ$7,"Approved")</f>
        <v>0</v>
      </c>
      <c r="BQ60" s="304">
        <f>SUMIFS('PCO Log'!$E70:$SJ70,'PCO Log'!$E$9:$SJ$9,'Graph Data'!BQ$1,'PCO Log'!$E$7:$SJ$7,"Approved")</f>
        <v>0</v>
      </c>
      <c r="BR60" s="304">
        <f>SUMIFS('PCO Log'!$E70:$SJ70,'PCO Log'!$E$9:$SJ$9,'Graph Data'!BR$1,'PCO Log'!$E$7:$SJ$7,"Approved")</f>
        <v>0</v>
      </c>
      <c r="BS60" s="304">
        <f>SUMIFS('PCO Log'!$E70:$SJ70,'PCO Log'!$E$9:$SJ$9,'Graph Data'!BS$1,'PCO Log'!$E$7:$SJ$7,"Approved")</f>
        <v>0</v>
      </c>
      <c r="BT60" s="304">
        <f>SUMIFS('PCO Log'!$E70:$SJ70,'PCO Log'!$E$9:$SJ$9,'Graph Data'!BT$1,'PCO Log'!$E$7:$SJ$7,"Approved")</f>
        <v>0</v>
      </c>
      <c r="BU60" s="304">
        <f>SUMIFS('PCO Log'!$E70:$SJ70,'PCO Log'!$E$9:$SJ$9,'Graph Data'!BU$1,'PCO Log'!$E$7:$SJ$7,"Approved")</f>
        <v>0</v>
      </c>
      <c r="BV60" s="304">
        <f>SUMIFS('PCO Log'!$E70:$SJ70,'PCO Log'!$E$9:$SJ$9,'Graph Data'!BV$1,'PCO Log'!$E$7:$SJ$7,"Approved")</f>
        <v>0</v>
      </c>
      <c r="BW60" s="304">
        <f>SUMIFS('PCO Log'!$E70:$SJ70,'PCO Log'!$E$9:$SJ$9,'Graph Data'!BW$1,'PCO Log'!$E$7:$SJ$7,"Approved")</f>
        <v>0</v>
      </c>
      <c r="BX60" s="304">
        <f>SUMIFS('PCO Log'!$E70:$SJ70,'PCO Log'!$E$9:$SJ$9,'Graph Data'!BX$1,'PCO Log'!$E$7:$SJ$7,"Approved")</f>
        <v>0</v>
      </c>
    </row>
    <row r="61" spans="1:76" x14ac:dyDescent="0.25">
      <c r="A61" s="303" t="s">
        <v>401</v>
      </c>
      <c r="B61" s="303">
        <f>'PCO Log'!BL7</f>
        <v>0</v>
      </c>
      <c r="C61" s="303">
        <f>'PCO Log'!BL4</f>
        <v>0</v>
      </c>
      <c r="D61" s="303" cm="1">
        <f t="array" ref="D61">INDEX('PCO Log'!$E$5:$SJ$5, 1, ROWS('Graph Data'!$D$2:D61))</f>
        <v>0</v>
      </c>
      <c r="E61" s="303">
        <f>'PCO Log'!BL8</f>
        <v>0</v>
      </c>
      <c r="F61" s="303">
        <f>'PCO Log'!BL3</f>
        <v>0</v>
      </c>
      <c r="G61" s="304">
        <f>'PCO Log'!BL10</f>
        <v>0</v>
      </c>
      <c r="H61" s="305">
        <f>'PCO Log'!BL6</f>
        <v>0</v>
      </c>
      <c r="J61" s="303" t="s">
        <v>328</v>
      </c>
      <c r="K61" s="303">
        <f>'Pay App 60'!H33</f>
        <v>0</v>
      </c>
      <c r="L61" s="303">
        <f>IF(M61&gt;0,'Pay App 60'!$G$149,0)</f>
        <v>0</v>
      </c>
      <c r="M61" s="303">
        <f>'Pay App 60'!H149</f>
        <v>0</v>
      </c>
      <c r="O61" s="303" t="str">
        <f>'Pay App 1'!B121</f>
        <v>12 00 00</v>
      </c>
      <c r="P61" s="303" t="str">
        <f>'Pay App 1'!C121</f>
        <v xml:space="preserve">Furnishings </v>
      </c>
      <c r="Q61" s="304">
        <f>SUMIFS('PCO Log'!$E71:$SJ71,'PCO Log'!$E$9:$SJ$9,'Graph Data'!Q$1,'PCO Log'!$E$7:$SJ$7,"Approved")</f>
        <v>0</v>
      </c>
      <c r="R61" s="304">
        <f>SUMIFS('PCO Log'!$E71:$SJ71,'PCO Log'!$E$9:$SJ$9,'Graph Data'!R$1,'PCO Log'!$E$7:$SJ$7,"Approved")</f>
        <v>0</v>
      </c>
      <c r="S61" s="304">
        <f>SUMIFS('PCO Log'!$E71:$SJ71,'PCO Log'!$E$9:$SJ$9,'Graph Data'!S$1,'PCO Log'!$E$7:$SJ$7,"Approved")</f>
        <v>0</v>
      </c>
      <c r="T61" s="304">
        <f>SUMIFS('PCO Log'!$E71:$SJ71,'PCO Log'!$E$9:$SJ$9,'Graph Data'!T$1,'PCO Log'!$E$7:$SJ$7,"Approved")</f>
        <v>0</v>
      </c>
      <c r="U61" s="304">
        <f>SUMIFS('PCO Log'!$E71:$SJ71,'PCO Log'!$E$9:$SJ$9,'Graph Data'!U$1,'PCO Log'!$E$7:$SJ$7,"Approved")</f>
        <v>0</v>
      </c>
      <c r="V61" s="304">
        <f>SUMIFS('PCO Log'!$E71:$SJ71,'PCO Log'!$E$9:$SJ$9,'Graph Data'!V$1,'PCO Log'!$E$7:$SJ$7,"Approved")</f>
        <v>0</v>
      </c>
      <c r="W61" s="304">
        <f>SUMIFS('PCO Log'!$E71:$SJ71,'PCO Log'!$E$9:$SJ$9,'Graph Data'!W$1,'PCO Log'!$E$7:$SJ$7,"Approved")</f>
        <v>0</v>
      </c>
      <c r="X61" s="304">
        <f>SUMIFS('PCO Log'!$E71:$SJ71,'PCO Log'!$E$9:$SJ$9,'Graph Data'!X$1,'PCO Log'!$E$7:$SJ$7,"Approved")</f>
        <v>0</v>
      </c>
      <c r="Y61" s="304">
        <f>SUMIFS('PCO Log'!$E71:$SJ71,'PCO Log'!$E$9:$SJ$9,'Graph Data'!Y$1,'PCO Log'!$E$7:$SJ$7,"Approved")</f>
        <v>0</v>
      </c>
      <c r="Z61" s="304">
        <f>SUMIFS('PCO Log'!$E71:$SJ71,'PCO Log'!$E$9:$SJ$9,'Graph Data'!Z$1,'PCO Log'!$E$7:$SJ$7,"Approved")</f>
        <v>0</v>
      </c>
      <c r="AA61" s="304">
        <f>SUMIFS('PCO Log'!$E71:$SJ71,'PCO Log'!$E$9:$SJ$9,'Graph Data'!AA$1,'PCO Log'!$E$7:$SJ$7,"Approved")</f>
        <v>0</v>
      </c>
      <c r="AB61" s="304">
        <f>SUMIFS('PCO Log'!$E71:$SJ71,'PCO Log'!$E$9:$SJ$9,'Graph Data'!AB$1,'PCO Log'!$E$7:$SJ$7,"Approved")</f>
        <v>0</v>
      </c>
      <c r="AC61" s="304">
        <f>SUMIFS('PCO Log'!$E71:$SJ71,'PCO Log'!$E$9:$SJ$9,'Graph Data'!AC$1,'PCO Log'!$E$7:$SJ$7,"Approved")</f>
        <v>0</v>
      </c>
      <c r="AD61" s="304">
        <f>SUMIFS('PCO Log'!$E71:$SJ71,'PCO Log'!$E$9:$SJ$9,'Graph Data'!AD$1,'PCO Log'!$E$7:$SJ$7,"Approved")</f>
        <v>0</v>
      </c>
      <c r="AE61" s="304">
        <f>SUMIFS('PCO Log'!$E71:$SJ71,'PCO Log'!$E$9:$SJ$9,'Graph Data'!AE$1,'PCO Log'!$E$7:$SJ$7,"Approved")</f>
        <v>0</v>
      </c>
      <c r="AF61" s="304">
        <f>SUMIFS('PCO Log'!$E71:$SJ71,'PCO Log'!$E$9:$SJ$9,'Graph Data'!AF$1,'PCO Log'!$E$7:$SJ$7,"Approved")</f>
        <v>0</v>
      </c>
      <c r="AG61" s="304">
        <f>SUMIFS('PCO Log'!$E71:$SJ71,'PCO Log'!$E$9:$SJ$9,'Graph Data'!AG$1,'PCO Log'!$E$7:$SJ$7,"Approved")</f>
        <v>0</v>
      </c>
      <c r="AH61" s="304">
        <f>SUMIFS('PCO Log'!$E71:$SJ71,'PCO Log'!$E$9:$SJ$9,'Graph Data'!AH$1,'PCO Log'!$E$7:$SJ$7,"Approved")</f>
        <v>0</v>
      </c>
      <c r="AI61" s="304">
        <f>SUMIFS('PCO Log'!$E71:$SJ71,'PCO Log'!$E$9:$SJ$9,'Graph Data'!AI$1,'PCO Log'!$E$7:$SJ$7,"Approved")</f>
        <v>0</v>
      </c>
      <c r="AJ61" s="304">
        <f>SUMIFS('PCO Log'!$E71:$SJ71,'PCO Log'!$E$9:$SJ$9,'Graph Data'!AJ$1,'PCO Log'!$E$7:$SJ$7,"Approved")</f>
        <v>0</v>
      </c>
      <c r="AK61" s="304">
        <f>SUMIFS('PCO Log'!$E71:$SJ71,'PCO Log'!$E$9:$SJ$9,'Graph Data'!AK$1,'PCO Log'!$E$7:$SJ$7,"Approved")</f>
        <v>0</v>
      </c>
      <c r="AL61" s="304">
        <f>SUMIFS('PCO Log'!$E71:$SJ71,'PCO Log'!$E$9:$SJ$9,'Graph Data'!AL$1,'PCO Log'!$E$7:$SJ$7,"Approved")</f>
        <v>0</v>
      </c>
      <c r="AM61" s="304">
        <f>SUMIFS('PCO Log'!$E71:$SJ71,'PCO Log'!$E$9:$SJ$9,'Graph Data'!AM$1,'PCO Log'!$E$7:$SJ$7,"Approved")</f>
        <v>0</v>
      </c>
      <c r="AN61" s="304">
        <f>SUMIFS('PCO Log'!$E71:$SJ71,'PCO Log'!$E$9:$SJ$9,'Graph Data'!AN$1,'PCO Log'!$E$7:$SJ$7,"Approved")</f>
        <v>0</v>
      </c>
      <c r="AO61" s="304">
        <f>SUMIFS('PCO Log'!$E71:$SJ71,'PCO Log'!$E$9:$SJ$9,'Graph Data'!AO$1,'PCO Log'!$E$7:$SJ$7,"Approved")</f>
        <v>0</v>
      </c>
      <c r="AP61" s="304">
        <f>SUMIFS('PCO Log'!$E71:$SJ71,'PCO Log'!$E$9:$SJ$9,'Graph Data'!AP$1,'PCO Log'!$E$7:$SJ$7,"Approved")</f>
        <v>0</v>
      </c>
      <c r="AQ61" s="304">
        <f>SUMIFS('PCO Log'!$E71:$SJ71,'PCO Log'!$E$9:$SJ$9,'Graph Data'!AQ$1,'PCO Log'!$E$7:$SJ$7,"Approved")</f>
        <v>0</v>
      </c>
      <c r="AR61" s="304">
        <f>SUMIFS('PCO Log'!$E71:$SJ71,'PCO Log'!$E$9:$SJ$9,'Graph Data'!AR$1,'PCO Log'!$E$7:$SJ$7,"Approved")</f>
        <v>0</v>
      </c>
      <c r="AS61" s="304">
        <f>SUMIFS('PCO Log'!$E71:$SJ71,'PCO Log'!$E$9:$SJ$9,'Graph Data'!AS$1,'PCO Log'!$E$7:$SJ$7,"Approved")</f>
        <v>0</v>
      </c>
      <c r="AT61" s="304">
        <f>SUMIFS('PCO Log'!$E71:$SJ71,'PCO Log'!$E$9:$SJ$9,'Graph Data'!AT$1,'PCO Log'!$E$7:$SJ$7,"Approved")</f>
        <v>0</v>
      </c>
      <c r="AU61" s="304">
        <f>SUMIFS('PCO Log'!$E71:$SJ71,'PCO Log'!$E$9:$SJ$9,'Graph Data'!AU$1,'PCO Log'!$E$7:$SJ$7,"Approved")</f>
        <v>0</v>
      </c>
      <c r="AV61" s="304">
        <f>SUMIFS('PCO Log'!$E71:$SJ71,'PCO Log'!$E$9:$SJ$9,'Graph Data'!AV$1,'PCO Log'!$E$7:$SJ$7,"Approved")</f>
        <v>0</v>
      </c>
      <c r="AW61" s="304">
        <f>SUMIFS('PCO Log'!$E71:$SJ71,'PCO Log'!$E$9:$SJ$9,'Graph Data'!AW$1,'PCO Log'!$E$7:$SJ$7,"Approved")</f>
        <v>0</v>
      </c>
      <c r="AX61" s="304">
        <f>SUMIFS('PCO Log'!$E71:$SJ71,'PCO Log'!$E$9:$SJ$9,'Graph Data'!AX$1,'PCO Log'!$E$7:$SJ$7,"Approved")</f>
        <v>0</v>
      </c>
      <c r="AY61" s="304">
        <f>SUMIFS('PCO Log'!$E71:$SJ71,'PCO Log'!$E$9:$SJ$9,'Graph Data'!AY$1,'PCO Log'!$E$7:$SJ$7,"Approved")</f>
        <v>0</v>
      </c>
      <c r="AZ61" s="304">
        <f>SUMIFS('PCO Log'!$E71:$SJ71,'PCO Log'!$E$9:$SJ$9,'Graph Data'!AZ$1,'PCO Log'!$E$7:$SJ$7,"Approved")</f>
        <v>0</v>
      </c>
      <c r="BA61" s="304">
        <f>SUMIFS('PCO Log'!$E71:$SJ71,'PCO Log'!$E$9:$SJ$9,'Graph Data'!BA$1,'PCO Log'!$E$7:$SJ$7,"Approved")</f>
        <v>0</v>
      </c>
      <c r="BB61" s="304">
        <f>SUMIFS('PCO Log'!$E71:$SJ71,'PCO Log'!$E$9:$SJ$9,'Graph Data'!BB$1,'PCO Log'!$E$7:$SJ$7,"Approved")</f>
        <v>0</v>
      </c>
      <c r="BC61" s="304">
        <f>SUMIFS('PCO Log'!$E71:$SJ71,'PCO Log'!$E$9:$SJ$9,'Graph Data'!BC$1,'PCO Log'!$E$7:$SJ$7,"Approved")</f>
        <v>0</v>
      </c>
      <c r="BD61" s="304">
        <f>SUMIFS('PCO Log'!$E71:$SJ71,'PCO Log'!$E$9:$SJ$9,'Graph Data'!BD$1,'PCO Log'!$E$7:$SJ$7,"Approved")</f>
        <v>0</v>
      </c>
      <c r="BE61" s="304">
        <f>SUMIFS('PCO Log'!$E71:$SJ71,'PCO Log'!$E$9:$SJ$9,'Graph Data'!BE$1,'PCO Log'!$E$7:$SJ$7,"Approved")</f>
        <v>0</v>
      </c>
      <c r="BF61" s="304">
        <f>SUMIFS('PCO Log'!$E71:$SJ71,'PCO Log'!$E$9:$SJ$9,'Graph Data'!BF$1,'PCO Log'!$E$7:$SJ$7,"Approved")</f>
        <v>0</v>
      </c>
      <c r="BG61" s="304">
        <f>SUMIFS('PCO Log'!$E71:$SJ71,'PCO Log'!$E$9:$SJ$9,'Graph Data'!BG$1,'PCO Log'!$E$7:$SJ$7,"Approved")</f>
        <v>0</v>
      </c>
      <c r="BH61" s="304">
        <f>SUMIFS('PCO Log'!$E71:$SJ71,'PCO Log'!$E$9:$SJ$9,'Graph Data'!BH$1,'PCO Log'!$E$7:$SJ$7,"Approved")</f>
        <v>0</v>
      </c>
      <c r="BI61" s="304">
        <f>SUMIFS('PCO Log'!$E71:$SJ71,'PCO Log'!$E$9:$SJ$9,'Graph Data'!BI$1,'PCO Log'!$E$7:$SJ$7,"Approved")</f>
        <v>0</v>
      </c>
      <c r="BJ61" s="304">
        <f>SUMIFS('PCO Log'!$E71:$SJ71,'PCO Log'!$E$9:$SJ$9,'Graph Data'!BJ$1,'PCO Log'!$E$7:$SJ$7,"Approved")</f>
        <v>0</v>
      </c>
      <c r="BK61" s="304">
        <f>SUMIFS('PCO Log'!$E71:$SJ71,'PCO Log'!$E$9:$SJ$9,'Graph Data'!BK$1,'PCO Log'!$E$7:$SJ$7,"Approved")</f>
        <v>0</v>
      </c>
      <c r="BL61" s="304">
        <f>SUMIFS('PCO Log'!$E71:$SJ71,'PCO Log'!$E$9:$SJ$9,'Graph Data'!BL$1,'PCO Log'!$E$7:$SJ$7,"Approved")</f>
        <v>0</v>
      </c>
      <c r="BM61" s="304">
        <f>SUMIFS('PCO Log'!$E71:$SJ71,'PCO Log'!$E$9:$SJ$9,'Graph Data'!BM$1,'PCO Log'!$E$7:$SJ$7,"Approved")</f>
        <v>0</v>
      </c>
      <c r="BN61" s="304">
        <f>SUMIFS('PCO Log'!$E71:$SJ71,'PCO Log'!$E$9:$SJ$9,'Graph Data'!BN$1,'PCO Log'!$E$7:$SJ$7,"Approved")</f>
        <v>0</v>
      </c>
      <c r="BO61" s="304">
        <f>SUMIFS('PCO Log'!$E71:$SJ71,'PCO Log'!$E$9:$SJ$9,'Graph Data'!BO$1,'PCO Log'!$E$7:$SJ$7,"Approved")</f>
        <v>0</v>
      </c>
      <c r="BP61" s="304">
        <f>SUMIFS('PCO Log'!$E71:$SJ71,'PCO Log'!$E$9:$SJ$9,'Graph Data'!BP$1,'PCO Log'!$E$7:$SJ$7,"Approved")</f>
        <v>0</v>
      </c>
      <c r="BQ61" s="304">
        <f>SUMIFS('PCO Log'!$E71:$SJ71,'PCO Log'!$E$9:$SJ$9,'Graph Data'!BQ$1,'PCO Log'!$E$7:$SJ$7,"Approved")</f>
        <v>0</v>
      </c>
      <c r="BR61" s="304">
        <f>SUMIFS('PCO Log'!$E71:$SJ71,'PCO Log'!$E$9:$SJ$9,'Graph Data'!BR$1,'PCO Log'!$E$7:$SJ$7,"Approved")</f>
        <v>0</v>
      </c>
      <c r="BS61" s="304">
        <f>SUMIFS('PCO Log'!$E71:$SJ71,'PCO Log'!$E$9:$SJ$9,'Graph Data'!BS$1,'PCO Log'!$E$7:$SJ$7,"Approved")</f>
        <v>0</v>
      </c>
      <c r="BT61" s="304">
        <f>SUMIFS('PCO Log'!$E71:$SJ71,'PCO Log'!$E$9:$SJ$9,'Graph Data'!BT$1,'PCO Log'!$E$7:$SJ$7,"Approved")</f>
        <v>0</v>
      </c>
      <c r="BU61" s="304">
        <f>SUMIFS('PCO Log'!$E71:$SJ71,'PCO Log'!$E$9:$SJ$9,'Graph Data'!BU$1,'PCO Log'!$E$7:$SJ$7,"Approved")</f>
        <v>0</v>
      </c>
      <c r="BV61" s="304">
        <f>SUMIFS('PCO Log'!$E71:$SJ71,'PCO Log'!$E$9:$SJ$9,'Graph Data'!BV$1,'PCO Log'!$E$7:$SJ$7,"Approved")</f>
        <v>0</v>
      </c>
      <c r="BW61" s="304">
        <f>SUMIFS('PCO Log'!$E71:$SJ71,'PCO Log'!$E$9:$SJ$9,'Graph Data'!BW$1,'PCO Log'!$E$7:$SJ$7,"Approved")</f>
        <v>0</v>
      </c>
      <c r="BX61" s="304">
        <f>SUMIFS('PCO Log'!$E71:$SJ71,'PCO Log'!$E$9:$SJ$9,'Graph Data'!BX$1,'PCO Log'!$E$7:$SJ$7,"Approved")</f>
        <v>0</v>
      </c>
    </row>
    <row r="62" spans="1:76" x14ac:dyDescent="0.25">
      <c r="A62" s="303" t="s">
        <v>402</v>
      </c>
      <c r="B62" s="303">
        <f>'PCO Log'!BM7</f>
        <v>0</v>
      </c>
      <c r="C62" s="303">
        <f>'PCO Log'!BM4</f>
        <v>0</v>
      </c>
      <c r="D62" s="303" cm="1">
        <f t="array" ref="D62">INDEX('PCO Log'!$E$5:$SJ$5, 1, ROWS('Graph Data'!$D$2:D62))</f>
        <v>0</v>
      </c>
      <c r="E62" s="303">
        <f>'PCO Log'!BM8</f>
        <v>0</v>
      </c>
      <c r="F62" s="303">
        <f>'PCO Log'!BM3</f>
        <v>0</v>
      </c>
      <c r="G62" s="304">
        <f>'PCO Log'!BM10</f>
        <v>0</v>
      </c>
      <c r="H62" s="305">
        <f>'PCO Log'!BM6</f>
        <v>0</v>
      </c>
      <c r="O62" s="303" t="str">
        <f>'Pay App 1'!B122</f>
        <v>12 20 00</v>
      </c>
      <c r="P62" s="303" t="str">
        <f>'Pay App 1'!C122</f>
        <v>Window Coverings</v>
      </c>
      <c r="Q62" s="304">
        <f>SUMIFS('PCO Log'!$E72:$SJ72,'PCO Log'!$E$9:$SJ$9,'Graph Data'!Q$1,'PCO Log'!$E$7:$SJ$7,"Approved")</f>
        <v>0</v>
      </c>
      <c r="R62" s="304">
        <f>SUMIFS('PCO Log'!$E72:$SJ72,'PCO Log'!$E$9:$SJ$9,'Graph Data'!R$1,'PCO Log'!$E$7:$SJ$7,"Approved")</f>
        <v>0</v>
      </c>
      <c r="S62" s="304">
        <f>SUMIFS('PCO Log'!$E72:$SJ72,'PCO Log'!$E$9:$SJ$9,'Graph Data'!S$1,'PCO Log'!$E$7:$SJ$7,"Approved")</f>
        <v>0</v>
      </c>
      <c r="T62" s="304">
        <f>SUMIFS('PCO Log'!$E72:$SJ72,'PCO Log'!$E$9:$SJ$9,'Graph Data'!T$1,'PCO Log'!$E$7:$SJ$7,"Approved")</f>
        <v>0</v>
      </c>
      <c r="U62" s="304">
        <f>SUMIFS('PCO Log'!$E72:$SJ72,'PCO Log'!$E$9:$SJ$9,'Graph Data'!U$1,'PCO Log'!$E$7:$SJ$7,"Approved")</f>
        <v>0</v>
      </c>
      <c r="V62" s="304">
        <f>SUMIFS('PCO Log'!$E72:$SJ72,'PCO Log'!$E$9:$SJ$9,'Graph Data'!V$1,'PCO Log'!$E$7:$SJ$7,"Approved")</f>
        <v>0</v>
      </c>
      <c r="W62" s="304">
        <f>SUMIFS('PCO Log'!$E72:$SJ72,'PCO Log'!$E$9:$SJ$9,'Graph Data'!W$1,'PCO Log'!$E$7:$SJ$7,"Approved")</f>
        <v>0</v>
      </c>
      <c r="X62" s="304">
        <f>SUMIFS('PCO Log'!$E72:$SJ72,'PCO Log'!$E$9:$SJ$9,'Graph Data'!X$1,'PCO Log'!$E$7:$SJ$7,"Approved")</f>
        <v>0</v>
      </c>
      <c r="Y62" s="304">
        <f>SUMIFS('PCO Log'!$E72:$SJ72,'PCO Log'!$E$9:$SJ$9,'Graph Data'!Y$1,'PCO Log'!$E$7:$SJ$7,"Approved")</f>
        <v>0</v>
      </c>
      <c r="Z62" s="304">
        <f>SUMIFS('PCO Log'!$E72:$SJ72,'PCO Log'!$E$9:$SJ$9,'Graph Data'!Z$1,'PCO Log'!$E$7:$SJ$7,"Approved")</f>
        <v>0</v>
      </c>
      <c r="AA62" s="304">
        <f>SUMIFS('PCO Log'!$E72:$SJ72,'PCO Log'!$E$9:$SJ$9,'Graph Data'!AA$1,'PCO Log'!$E$7:$SJ$7,"Approved")</f>
        <v>0</v>
      </c>
      <c r="AB62" s="304">
        <f>SUMIFS('PCO Log'!$E72:$SJ72,'PCO Log'!$E$9:$SJ$9,'Graph Data'!AB$1,'PCO Log'!$E$7:$SJ$7,"Approved")</f>
        <v>0</v>
      </c>
      <c r="AC62" s="304">
        <f>SUMIFS('PCO Log'!$E72:$SJ72,'PCO Log'!$E$9:$SJ$9,'Graph Data'!AC$1,'PCO Log'!$E$7:$SJ$7,"Approved")</f>
        <v>0</v>
      </c>
      <c r="AD62" s="304">
        <f>SUMIFS('PCO Log'!$E72:$SJ72,'PCO Log'!$E$9:$SJ$9,'Graph Data'!AD$1,'PCO Log'!$E$7:$SJ$7,"Approved")</f>
        <v>0</v>
      </c>
      <c r="AE62" s="304">
        <f>SUMIFS('PCO Log'!$E72:$SJ72,'PCO Log'!$E$9:$SJ$9,'Graph Data'!AE$1,'PCO Log'!$E$7:$SJ$7,"Approved")</f>
        <v>0</v>
      </c>
      <c r="AF62" s="304">
        <f>SUMIFS('PCO Log'!$E72:$SJ72,'PCO Log'!$E$9:$SJ$9,'Graph Data'!AF$1,'PCO Log'!$E$7:$SJ$7,"Approved")</f>
        <v>0</v>
      </c>
      <c r="AG62" s="304">
        <f>SUMIFS('PCO Log'!$E72:$SJ72,'PCO Log'!$E$9:$SJ$9,'Graph Data'!AG$1,'PCO Log'!$E$7:$SJ$7,"Approved")</f>
        <v>0</v>
      </c>
      <c r="AH62" s="304">
        <f>SUMIFS('PCO Log'!$E72:$SJ72,'PCO Log'!$E$9:$SJ$9,'Graph Data'!AH$1,'PCO Log'!$E$7:$SJ$7,"Approved")</f>
        <v>0</v>
      </c>
      <c r="AI62" s="304">
        <f>SUMIFS('PCO Log'!$E72:$SJ72,'PCO Log'!$E$9:$SJ$9,'Graph Data'!AI$1,'PCO Log'!$E$7:$SJ$7,"Approved")</f>
        <v>0</v>
      </c>
      <c r="AJ62" s="304">
        <f>SUMIFS('PCO Log'!$E72:$SJ72,'PCO Log'!$E$9:$SJ$9,'Graph Data'!AJ$1,'PCO Log'!$E$7:$SJ$7,"Approved")</f>
        <v>0</v>
      </c>
      <c r="AK62" s="304">
        <f>SUMIFS('PCO Log'!$E72:$SJ72,'PCO Log'!$E$9:$SJ$9,'Graph Data'!AK$1,'PCO Log'!$E$7:$SJ$7,"Approved")</f>
        <v>0</v>
      </c>
      <c r="AL62" s="304">
        <f>SUMIFS('PCO Log'!$E72:$SJ72,'PCO Log'!$E$9:$SJ$9,'Graph Data'!AL$1,'PCO Log'!$E$7:$SJ$7,"Approved")</f>
        <v>0</v>
      </c>
      <c r="AM62" s="304">
        <f>SUMIFS('PCO Log'!$E72:$SJ72,'PCO Log'!$E$9:$SJ$9,'Graph Data'!AM$1,'PCO Log'!$E$7:$SJ$7,"Approved")</f>
        <v>0</v>
      </c>
      <c r="AN62" s="304">
        <f>SUMIFS('PCO Log'!$E72:$SJ72,'PCO Log'!$E$9:$SJ$9,'Graph Data'!AN$1,'PCO Log'!$E$7:$SJ$7,"Approved")</f>
        <v>0</v>
      </c>
      <c r="AO62" s="304">
        <f>SUMIFS('PCO Log'!$E72:$SJ72,'PCO Log'!$E$9:$SJ$9,'Graph Data'!AO$1,'PCO Log'!$E$7:$SJ$7,"Approved")</f>
        <v>0</v>
      </c>
      <c r="AP62" s="304">
        <f>SUMIFS('PCO Log'!$E72:$SJ72,'PCO Log'!$E$9:$SJ$9,'Graph Data'!AP$1,'PCO Log'!$E$7:$SJ$7,"Approved")</f>
        <v>0</v>
      </c>
      <c r="AQ62" s="304">
        <f>SUMIFS('PCO Log'!$E72:$SJ72,'PCO Log'!$E$9:$SJ$9,'Graph Data'!AQ$1,'PCO Log'!$E$7:$SJ$7,"Approved")</f>
        <v>0</v>
      </c>
      <c r="AR62" s="304">
        <f>SUMIFS('PCO Log'!$E72:$SJ72,'PCO Log'!$E$9:$SJ$9,'Graph Data'!AR$1,'PCO Log'!$E$7:$SJ$7,"Approved")</f>
        <v>0</v>
      </c>
      <c r="AS62" s="304">
        <f>SUMIFS('PCO Log'!$E72:$SJ72,'PCO Log'!$E$9:$SJ$9,'Graph Data'!AS$1,'PCO Log'!$E$7:$SJ$7,"Approved")</f>
        <v>0</v>
      </c>
      <c r="AT62" s="304">
        <f>SUMIFS('PCO Log'!$E72:$SJ72,'PCO Log'!$E$9:$SJ$9,'Graph Data'!AT$1,'PCO Log'!$E$7:$SJ$7,"Approved")</f>
        <v>0</v>
      </c>
      <c r="AU62" s="304">
        <f>SUMIFS('PCO Log'!$E72:$SJ72,'PCO Log'!$E$9:$SJ$9,'Graph Data'!AU$1,'PCO Log'!$E$7:$SJ$7,"Approved")</f>
        <v>0</v>
      </c>
      <c r="AV62" s="304">
        <f>SUMIFS('PCO Log'!$E72:$SJ72,'PCO Log'!$E$9:$SJ$9,'Graph Data'!AV$1,'PCO Log'!$E$7:$SJ$7,"Approved")</f>
        <v>0</v>
      </c>
      <c r="AW62" s="304">
        <f>SUMIFS('PCO Log'!$E72:$SJ72,'PCO Log'!$E$9:$SJ$9,'Graph Data'!AW$1,'PCO Log'!$E$7:$SJ$7,"Approved")</f>
        <v>0</v>
      </c>
      <c r="AX62" s="304">
        <f>SUMIFS('PCO Log'!$E72:$SJ72,'PCO Log'!$E$9:$SJ$9,'Graph Data'!AX$1,'PCO Log'!$E$7:$SJ$7,"Approved")</f>
        <v>0</v>
      </c>
      <c r="AY62" s="304">
        <f>SUMIFS('PCO Log'!$E72:$SJ72,'PCO Log'!$E$9:$SJ$9,'Graph Data'!AY$1,'PCO Log'!$E$7:$SJ$7,"Approved")</f>
        <v>0</v>
      </c>
      <c r="AZ62" s="304">
        <f>SUMIFS('PCO Log'!$E72:$SJ72,'PCO Log'!$E$9:$SJ$9,'Graph Data'!AZ$1,'PCO Log'!$E$7:$SJ$7,"Approved")</f>
        <v>0</v>
      </c>
      <c r="BA62" s="304">
        <f>SUMIFS('PCO Log'!$E72:$SJ72,'PCO Log'!$E$9:$SJ$9,'Graph Data'!BA$1,'PCO Log'!$E$7:$SJ$7,"Approved")</f>
        <v>0</v>
      </c>
      <c r="BB62" s="304">
        <f>SUMIFS('PCO Log'!$E72:$SJ72,'PCO Log'!$E$9:$SJ$9,'Graph Data'!BB$1,'PCO Log'!$E$7:$SJ$7,"Approved")</f>
        <v>0</v>
      </c>
      <c r="BC62" s="304">
        <f>SUMIFS('PCO Log'!$E72:$SJ72,'PCO Log'!$E$9:$SJ$9,'Graph Data'!BC$1,'PCO Log'!$E$7:$SJ$7,"Approved")</f>
        <v>0</v>
      </c>
      <c r="BD62" s="304">
        <f>SUMIFS('PCO Log'!$E72:$SJ72,'PCO Log'!$E$9:$SJ$9,'Graph Data'!BD$1,'PCO Log'!$E$7:$SJ$7,"Approved")</f>
        <v>0</v>
      </c>
      <c r="BE62" s="304">
        <f>SUMIFS('PCO Log'!$E72:$SJ72,'PCO Log'!$E$9:$SJ$9,'Graph Data'!BE$1,'PCO Log'!$E$7:$SJ$7,"Approved")</f>
        <v>0</v>
      </c>
      <c r="BF62" s="304">
        <f>SUMIFS('PCO Log'!$E72:$SJ72,'PCO Log'!$E$9:$SJ$9,'Graph Data'!BF$1,'PCO Log'!$E$7:$SJ$7,"Approved")</f>
        <v>0</v>
      </c>
      <c r="BG62" s="304">
        <f>SUMIFS('PCO Log'!$E72:$SJ72,'PCO Log'!$E$9:$SJ$9,'Graph Data'!BG$1,'PCO Log'!$E$7:$SJ$7,"Approved")</f>
        <v>0</v>
      </c>
      <c r="BH62" s="304">
        <f>SUMIFS('PCO Log'!$E72:$SJ72,'PCO Log'!$E$9:$SJ$9,'Graph Data'!BH$1,'PCO Log'!$E$7:$SJ$7,"Approved")</f>
        <v>0</v>
      </c>
      <c r="BI62" s="304">
        <f>SUMIFS('PCO Log'!$E72:$SJ72,'PCO Log'!$E$9:$SJ$9,'Graph Data'!BI$1,'PCO Log'!$E$7:$SJ$7,"Approved")</f>
        <v>0</v>
      </c>
      <c r="BJ62" s="304">
        <f>SUMIFS('PCO Log'!$E72:$SJ72,'PCO Log'!$E$9:$SJ$9,'Graph Data'!BJ$1,'PCO Log'!$E$7:$SJ$7,"Approved")</f>
        <v>0</v>
      </c>
      <c r="BK62" s="304">
        <f>SUMIFS('PCO Log'!$E72:$SJ72,'PCO Log'!$E$9:$SJ$9,'Graph Data'!BK$1,'PCO Log'!$E$7:$SJ$7,"Approved")</f>
        <v>0</v>
      </c>
      <c r="BL62" s="304">
        <f>SUMIFS('PCO Log'!$E72:$SJ72,'PCO Log'!$E$9:$SJ$9,'Graph Data'!BL$1,'PCO Log'!$E$7:$SJ$7,"Approved")</f>
        <v>0</v>
      </c>
      <c r="BM62" s="304">
        <f>SUMIFS('PCO Log'!$E72:$SJ72,'PCO Log'!$E$9:$SJ$9,'Graph Data'!BM$1,'PCO Log'!$E$7:$SJ$7,"Approved")</f>
        <v>0</v>
      </c>
      <c r="BN62" s="304">
        <f>SUMIFS('PCO Log'!$E72:$SJ72,'PCO Log'!$E$9:$SJ$9,'Graph Data'!BN$1,'PCO Log'!$E$7:$SJ$7,"Approved")</f>
        <v>0</v>
      </c>
      <c r="BO62" s="304">
        <f>SUMIFS('PCO Log'!$E72:$SJ72,'PCO Log'!$E$9:$SJ$9,'Graph Data'!BO$1,'PCO Log'!$E$7:$SJ$7,"Approved")</f>
        <v>0</v>
      </c>
      <c r="BP62" s="304">
        <f>SUMIFS('PCO Log'!$E72:$SJ72,'PCO Log'!$E$9:$SJ$9,'Graph Data'!BP$1,'PCO Log'!$E$7:$SJ$7,"Approved")</f>
        <v>0</v>
      </c>
      <c r="BQ62" s="304">
        <f>SUMIFS('PCO Log'!$E72:$SJ72,'PCO Log'!$E$9:$SJ$9,'Graph Data'!BQ$1,'PCO Log'!$E$7:$SJ$7,"Approved")</f>
        <v>0</v>
      </c>
      <c r="BR62" s="304">
        <f>SUMIFS('PCO Log'!$E72:$SJ72,'PCO Log'!$E$9:$SJ$9,'Graph Data'!BR$1,'PCO Log'!$E$7:$SJ$7,"Approved")</f>
        <v>0</v>
      </c>
      <c r="BS62" s="304">
        <f>SUMIFS('PCO Log'!$E72:$SJ72,'PCO Log'!$E$9:$SJ$9,'Graph Data'!BS$1,'PCO Log'!$E$7:$SJ$7,"Approved")</f>
        <v>0</v>
      </c>
      <c r="BT62" s="304">
        <f>SUMIFS('PCO Log'!$E72:$SJ72,'PCO Log'!$E$9:$SJ$9,'Graph Data'!BT$1,'PCO Log'!$E$7:$SJ$7,"Approved")</f>
        <v>0</v>
      </c>
      <c r="BU62" s="304">
        <f>SUMIFS('PCO Log'!$E72:$SJ72,'PCO Log'!$E$9:$SJ$9,'Graph Data'!BU$1,'PCO Log'!$E$7:$SJ$7,"Approved")</f>
        <v>0</v>
      </c>
      <c r="BV62" s="304">
        <f>SUMIFS('PCO Log'!$E72:$SJ72,'PCO Log'!$E$9:$SJ$9,'Graph Data'!BV$1,'PCO Log'!$E$7:$SJ$7,"Approved")</f>
        <v>0</v>
      </c>
      <c r="BW62" s="304">
        <f>SUMIFS('PCO Log'!$E72:$SJ72,'PCO Log'!$E$9:$SJ$9,'Graph Data'!BW$1,'PCO Log'!$E$7:$SJ$7,"Approved")</f>
        <v>0</v>
      </c>
      <c r="BX62" s="304">
        <f>SUMIFS('PCO Log'!$E72:$SJ72,'PCO Log'!$E$9:$SJ$9,'Graph Data'!BX$1,'PCO Log'!$E$7:$SJ$7,"Approved")</f>
        <v>0</v>
      </c>
    </row>
    <row r="63" spans="1:76" x14ac:dyDescent="0.25">
      <c r="A63" s="303" t="s">
        <v>403</v>
      </c>
      <c r="B63" s="303">
        <f>'PCO Log'!BN7</f>
        <v>0</v>
      </c>
      <c r="C63" s="303">
        <f>'PCO Log'!BN4</f>
        <v>0</v>
      </c>
      <c r="D63" s="303" cm="1">
        <f t="array" ref="D63">INDEX('PCO Log'!$E$5:$SJ$5, 1, ROWS('Graph Data'!$D$2:D63))</f>
        <v>0</v>
      </c>
      <c r="E63" s="303">
        <f>'PCO Log'!BN8</f>
        <v>0</v>
      </c>
      <c r="F63" s="303">
        <f>'PCO Log'!BN3</f>
        <v>0</v>
      </c>
      <c r="G63" s="304">
        <f>'PCO Log'!BN10</f>
        <v>0</v>
      </c>
      <c r="H63" s="305">
        <f>'PCO Log'!BN6</f>
        <v>0</v>
      </c>
      <c r="K63" s="301"/>
      <c r="O63" s="303" t="str">
        <f>'Pay App 1'!B123</f>
        <v>12 61 00</v>
      </c>
      <c r="P63" s="303" t="str">
        <f>'Pay App 1'!C123</f>
        <v>Fixed Seating</v>
      </c>
      <c r="Q63" s="304">
        <f>SUMIFS('PCO Log'!$E73:$SJ73,'PCO Log'!$E$9:$SJ$9,'Graph Data'!Q$1,'PCO Log'!$E$7:$SJ$7,"Approved")</f>
        <v>0</v>
      </c>
      <c r="R63" s="304">
        <f>SUMIFS('PCO Log'!$E73:$SJ73,'PCO Log'!$E$9:$SJ$9,'Graph Data'!R$1,'PCO Log'!$E$7:$SJ$7,"Approved")</f>
        <v>0</v>
      </c>
      <c r="S63" s="304">
        <f>SUMIFS('PCO Log'!$E73:$SJ73,'PCO Log'!$E$9:$SJ$9,'Graph Data'!S$1,'PCO Log'!$E$7:$SJ$7,"Approved")</f>
        <v>0</v>
      </c>
      <c r="T63" s="304">
        <f>SUMIFS('PCO Log'!$E73:$SJ73,'PCO Log'!$E$9:$SJ$9,'Graph Data'!T$1,'PCO Log'!$E$7:$SJ$7,"Approved")</f>
        <v>0</v>
      </c>
      <c r="U63" s="304">
        <f>SUMIFS('PCO Log'!$E73:$SJ73,'PCO Log'!$E$9:$SJ$9,'Graph Data'!U$1,'PCO Log'!$E$7:$SJ$7,"Approved")</f>
        <v>0</v>
      </c>
      <c r="V63" s="304">
        <f>SUMIFS('PCO Log'!$E73:$SJ73,'PCO Log'!$E$9:$SJ$9,'Graph Data'!V$1,'PCO Log'!$E$7:$SJ$7,"Approved")</f>
        <v>0</v>
      </c>
      <c r="W63" s="304">
        <f>SUMIFS('PCO Log'!$E73:$SJ73,'PCO Log'!$E$9:$SJ$9,'Graph Data'!W$1,'PCO Log'!$E$7:$SJ$7,"Approved")</f>
        <v>0</v>
      </c>
      <c r="X63" s="304">
        <f>SUMIFS('PCO Log'!$E73:$SJ73,'PCO Log'!$E$9:$SJ$9,'Graph Data'!X$1,'PCO Log'!$E$7:$SJ$7,"Approved")</f>
        <v>0</v>
      </c>
      <c r="Y63" s="304">
        <f>SUMIFS('PCO Log'!$E73:$SJ73,'PCO Log'!$E$9:$SJ$9,'Graph Data'!Y$1,'PCO Log'!$E$7:$SJ$7,"Approved")</f>
        <v>0</v>
      </c>
      <c r="Z63" s="304">
        <f>SUMIFS('PCO Log'!$E73:$SJ73,'PCO Log'!$E$9:$SJ$9,'Graph Data'!Z$1,'PCO Log'!$E$7:$SJ$7,"Approved")</f>
        <v>0</v>
      </c>
      <c r="AA63" s="304">
        <f>SUMIFS('PCO Log'!$E73:$SJ73,'PCO Log'!$E$9:$SJ$9,'Graph Data'!AA$1,'PCO Log'!$E$7:$SJ$7,"Approved")</f>
        <v>0</v>
      </c>
      <c r="AB63" s="304">
        <f>SUMIFS('PCO Log'!$E73:$SJ73,'PCO Log'!$E$9:$SJ$9,'Graph Data'!AB$1,'PCO Log'!$E$7:$SJ$7,"Approved")</f>
        <v>0</v>
      </c>
      <c r="AC63" s="304">
        <f>SUMIFS('PCO Log'!$E73:$SJ73,'PCO Log'!$E$9:$SJ$9,'Graph Data'!AC$1,'PCO Log'!$E$7:$SJ$7,"Approved")</f>
        <v>0</v>
      </c>
      <c r="AD63" s="304">
        <f>SUMIFS('PCO Log'!$E73:$SJ73,'PCO Log'!$E$9:$SJ$9,'Graph Data'!AD$1,'PCO Log'!$E$7:$SJ$7,"Approved")</f>
        <v>0</v>
      </c>
      <c r="AE63" s="304">
        <f>SUMIFS('PCO Log'!$E73:$SJ73,'PCO Log'!$E$9:$SJ$9,'Graph Data'!AE$1,'PCO Log'!$E$7:$SJ$7,"Approved")</f>
        <v>0</v>
      </c>
      <c r="AF63" s="304">
        <f>SUMIFS('PCO Log'!$E73:$SJ73,'PCO Log'!$E$9:$SJ$9,'Graph Data'!AF$1,'PCO Log'!$E$7:$SJ$7,"Approved")</f>
        <v>0</v>
      </c>
      <c r="AG63" s="304">
        <f>SUMIFS('PCO Log'!$E73:$SJ73,'PCO Log'!$E$9:$SJ$9,'Graph Data'!AG$1,'PCO Log'!$E$7:$SJ$7,"Approved")</f>
        <v>0</v>
      </c>
      <c r="AH63" s="304">
        <f>SUMIFS('PCO Log'!$E73:$SJ73,'PCO Log'!$E$9:$SJ$9,'Graph Data'!AH$1,'PCO Log'!$E$7:$SJ$7,"Approved")</f>
        <v>0</v>
      </c>
      <c r="AI63" s="304">
        <f>SUMIFS('PCO Log'!$E73:$SJ73,'PCO Log'!$E$9:$SJ$9,'Graph Data'!AI$1,'PCO Log'!$E$7:$SJ$7,"Approved")</f>
        <v>0</v>
      </c>
      <c r="AJ63" s="304">
        <f>SUMIFS('PCO Log'!$E73:$SJ73,'PCO Log'!$E$9:$SJ$9,'Graph Data'!AJ$1,'PCO Log'!$E$7:$SJ$7,"Approved")</f>
        <v>0</v>
      </c>
      <c r="AK63" s="304">
        <f>SUMIFS('PCO Log'!$E73:$SJ73,'PCO Log'!$E$9:$SJ$9,'Graph Data'!AK$1,'PCO Log'!$E$7:$SJ$7,"Approved")</f>
        <v>0</v>
      </c>
      <c r="AL63" s="304">
        <f>SUMIFS('PCO Log'!$E73:$SJ73,'PCO Log'!$E$9:$SJ$9,'Graph Data'!AL$1,'PCO Log'!$E$7:$SJ$7,"Approved")</f>
        <v>0</v>
      </c>
      <c r="AM63" s="304">
        <f>SUMIFS('PCO Log'!$E73:$SJ73,'PCO Log'!$E$9:$SJ$9,'Graph Data'!AM$1,'PCO Log'!$E$7:$SJ$7,"Approved")</f>
        <v>0</v>
      </c>
      <c r="AN63" s="304">
        <f>SUMIFS('PCO Log'!$E73:$SJ73,'PCO Log'!$E$9:$SJ$9,'Graph Data'!AN$1,'PCO Log'!$E$7:$SJ$7,"Approved")</f>
        <v>0</v>
      </c>
      <c r="AO63" s="304">
        <f>SUMIFS('PCO Log'!$E73:$SJ73,'PCO Log'!$E$9:$SJ$9,'Graph Data'!AO$1,'PCO Log'!$E$7:$SJ$7,"Approved")</f>
        <v>0</v>
      </c>
      <c r="AP63" s="304">
        <f>SUMIFS('PCO Log'!$E73:$SJ73,'PCO Log'!$E$9:$SJ$9,'Graph Data'!AP$1,'PCO Log'!$E$7:$SJ$7,"Approved")</f>
        <v>0</v>
      </c>
      <c r="AQ63" s="304">
        <f>SUMIFS('PCO Log'!$E73:$SJ73,'PCO Log'!$E$9:$SJ$9,'Graph Data'!AQ$1,'PCO Log'!$E$7:$SJ$7,"Approved")</f>
        <v>0</v>
      </c>
      <c r="AR63" s="304">
        <f>SUMIFS('PCO Log'!$E73:$SJ73,'PCO Log'!$E$9:$SJ$9,'Graph Data'!AR$1,'PCO Log'!$E$7:$SJ$7,"Approved")</f>
        <v>0</v>
      </c>
      <c r="AS63" s="304">
        <f>SUMIFS('PCO Log'!$E73:$SJ73,'PCO Log'!$E$9:$SJ$9,'Graph Data'!AS$1,'PCO Log'!$E$7:$SJ$7,"Approved")</f>
        <v>0</v>
      </c>
      <c r="AT63" s="304">
        <f>SUMIFS('PCO Log'!$E73:$SJ73,'PCO Log'!$E$9:$SJ$9,'Graph Data'!AT$1,'PCO Log'!$E$7:$SJ$7,"Approved")</f>
        <v>0</v>
      </c>
      <c r="AU63" s="304">
        <f>SUMIFS('PCO Log'!$E73:$SJ73,'PCO Log'!$E$9:$SJ$9,'Graph Data'!AU$1,'PCO Log'!$E$7:$SJ$7,"Approved")</f>
        <v>0</v>
      </c>
      <c r="AV63" s="304">
        <f>SUMIFS('PCO Log'!$E73:$SJ73,'PCO Log'!$E$9:$SJ$9,'Graph Data'!AV$1,'PCO Log'!$E$7:$SJ$7,"Approved")</f>
        <v>0</v>
      </c>
      <c r="AW63" s="304">
        <f>SUMIFS('PCO Log'!$E73:$SJ73,'PCO Log'!$E$9:$SJ$9,'Graph Data'!AW$1,'PCO Log'!$E$7:$SJ$7,"Approved")</f>
        <v>0</v>
      </c>
      <c r="AX63" s="304">
        <f>SUMIFS('PCO Log'!$E73:$SJ73,'PCO Log'!$E$9:$SJ$9,'Graph Data'!AX$1,'PCO Log'!$E$7:$SJ$7,"Approved")</f>
        <v>0</v>
      </c>
      <c r="AY63" s="304">
        <f>SUMIFS('PCO Log'!$E73:$SJ73,'PCO Log'!$E$9:$SJ$9,'Graph Data'!AY$1,'PCO Log'!$E$7:$SJ$7,"Approved")</f>
        <v>0</v>
      </c>
      <c r="AZ63" s="304">
        <f>SUMIFS('PCO Log'!$E73:$SJ73,'PCO Log'!$E$9:$SJ$9,'Graph Data'!AZ$1,'PCO Log'!$E$7:$SJ$7,"Approved")</f>
        <v>0</v>
      </c>
      <c r="BA63" s="304">
        <f>SUMIFS('PCO Log'!$E73:$SJ73,'PCO Log'!$E$9:$SJ$9,'Graph Data'!BA$1,'PCO Log'!$E$7:$SJ$7,"Approved")</f>
        <v>0</v>
      </c>
      <c r="BB63" s="304">
        <f>SUMIFS('PCO Log'!$E73:$SJ73,'PCO Log'!$E$9:$SJ$9,'Graph Data'!BB$1,'PCO Log'!$E$7:$SJ$7,"Approved")</f>
        <v>0</v>
      </c>
      <c r="BC63" s="304">
        <f>SUMIFS('PCO Log'!$E73:$SJ73,'PCO Log'!$E$9:$SJ$9,'Graph Data'!BC$1,'PCO Log'!$E$7:$SJ$7,"Approved")</f>
        <v>0</v>
      </c>
      <c r="BD63" s="304">
        <f>SUMIFS('PCO Log'!$E73:$SJ73,'PCO Log'!$E$9:$SJ$9,'Graph Data'!BD$1,'PCO Log'!$E$7:$SJ$7,"Approved")</f>
        <v>0</v>
      </c>
      <c r="BE63" s="304">
        <f>SUMIFS('PCO Log'!$E73:$SJ73,'PCO Log'!$E$9:$SJ$9,'Graph Data'!BE$1,'PCO Log'!$E$7:$SJ$7,"Approved")</f>
        <v>0</v>
      </c>
      <c r="BF63" s="304">
        <f>SUMIFS('PCO Log'!$E73:$SJ73,'PCO Log'!$E$9:$SJ$9,'Graph Data'!BF$1,'PCO Log'!$E$7:$SJ$7,"Approved")</f>
        <v>0</v>
      </c>
      <c r="BG63" s="304">
        <f>SUMIFS('PCO Log'!$E73:$SJ73,'PCO Log'!$E$9:$SJ$9,'Graph Data'!BG$1,'PCO Log'!$E$7:$SJ$7,"Approved")</f>
        <v>0</v>
      </c>
      <c r="BH63" s="304">
        <f>SUMIFS('PCO Log'!$E73:$SJ73,'PCO Log'!$E$9:$SJ$9,'Graph Data'!BH$1,'PCO Log'!$E$7:$SJ$7,"Approved")</f>
        <v>0</v>
      </c>
      <c r="BI63" s="304">
        <f>SUMIFS('PCO Log'!$E73:$SJ73,'PCO Log'!$E$9:$SJ$9,'Graph Data'!BI$1,'PCO Log'!$E$7:$SJ$7,"Approved")</f>
        <v>0</v>
      </c>
      <c r="BJ63" s="304">
        <f>SUMIFS('PCO Log'!$E73:$SJ73,'PCO Log'!$E$9:$SJ$9,'Graph Data'!BJ$1,'PCO Log'!$E$7:$SJ$7,"Approved")</f>
        <v>0</v>
      </c>
      <c r="BK63" s="304">
        <f>SUMIFS('PCO Log'!$E73:$SJ73,'PCO Log'!$E$9:$SJ$9,'Graph Data'!BK$1,'PCO Log'!$E$7:$SJ$7,"Approved")</f>
        <v>0</v>
      </c>
      <c r="BL63" s="304">
        <f>SUMIFS('PCO Log'!$E73:$SJ73,'PCO Log'!$E$9:$SJ$9,'Graph Data'!BL$1,'PCO Log'!$E$7:$SJ$7,"Approved")</f>
        <v>0</v>
      </c>
      <c r="BM63" s="304">
        <f>SUMIFS('PCO Log'!$E73:$SJ73,'PCO Log'!$E$9:$SJ$9,'Graph Data'!BM$1,'PCO Log'!$E$7:$SJ$7,"Approved")</f>
        <v>0</v>
      </c>
      <c r="BN63" s="304">
        <f>SUMIFS('PCO Log'!$E73:$SJ73,'PCO Log'!$E$9:$SJ$9,'Graph Data'!BN$1,'PCO Log'!$E$7:$SJ$7,"Approved")</f>
        <v>0</v>
      </c>
      <c r="BO63" s="304">
        <f>SUMIFS('PCO Log'!$E73:$SJ73,'PCO Log'!$E$9:$SJ$9,'Graph Data'!BO$1,'PCO Log'!$E$7:$SJ$7,"Approved")</f>
        <v>0</v>
      </c>
      <c r="BP63" s="304">
        <f>SUMIFS('PCO Log'!$E73:$SJ73,'PCO Log'!$E$9:$SJ$9,'Graph Data'!BP$1,'PCO Log'!$E$7:$SJ$7,"Approved")</f>
        <v>0</v>
      </c>
      <c r="BQ63" s="304">
        <f>SUMIFS('PCO Log'!$E73:$SJ73,'PCO Log'!$E$9:$SJ$9,'Graph Data'!BQ$1,'PCO Log'!$E$7:$SJ$7,"Approved")</f>
        <v>0</v>
      </c>
      <c r="BR63" s="304">
        <f>SUMIFS('PCO Log'!$E73:$SJ73,'PCO Log'!$E$9:$SJ$9,'Graph Data'!BR$1,'PCO Log'!$E$7:$SJ$7,"Approved")</f>
        <v>0</v>
      </c>
      <c r="BS63" s="304">
        <f>SUMIFS('PCO Log'!$E73:$SJ73,'PCO Log'!$E$9:$SJ$9,'Graph Data'!BS$1,'PCO Log'!$E$7:$SJ$7,"Approved")</f>
        <v>0</v>
      </c>
      <c r="BT63" s="304">
        <f>SUMIFS('PCO Log'!$E73:$SJ73,'PCO Log'!$E$9:$SJ$9,'Graph Data'!BT$1,'PCO Log'!$E$7:$SJ$7,"Approved")</f>
        <v>0</v>
      </c>
      <c r="BU63" s="304">
        <f>SUMIFS('PCO Log'!$E73:$SJ73,'PCO Log'!$E$9:$SJ$9,'Graph Data'!BU$1,'PCO Log'!$E$7:$SJ$7,"Approved")</f>
        <v>0</v>
      </c>
      <c r="BV63" s="304">
        <f>SUMIFS('PCO Log'!$E73:$SJ73,'PCO Log'!$E$9:$SJ$9,'Graph Data'!BV$1,'PCO Log'!$E$7:$SJ$7,"Approved")</f>
        <v>0</v>
      </c>
      <c r="BW63" s="304">
        <f>SUMIFS('PCO Log'!$E73:$SJ73,'PCO Log'!$E$9:$SJ$9,'Graph Data'!BW$1,'PCO Log'!$E$7:$SJ$7,"Approved")</f>
        <v>0</v>
      </c>
      <c r="BX63" s="304">
        <f>SUMIFS('PCO Log'!$E73:$SJ73,'PCO Log'!$E$9:$SJ$9,'Graph Data'!BX$1,'PCO Log'!$E$7:$SJ$7,"Approved")</f>
        <v>0</v>
      </c>
    </row>
    <row r="64" spans="1:76" x14ac:dyDescent="0.25">
      <c r="A64" s="303" t="s">
        <v>404</v>
      </c>
      <c r="B64" s="303">
        <f>'PCO Log'!BO7</f>
        <v>0</v>
      </c>
      <c r="C64" s="303">
        <f>'PCO Log'!BO4</f>
        <v>0</v>
      </c>
      <c r="D64" s="303" cm="1">
        <f t="array" ref="D64">INDEX('PCO Log'!$E$5:$SJ$5, 1, ROWS('Graph Data'!$D$2:D64))</f>
        <v>0</v>
      </c>
      <c r="E64" s="303">
        <f>'PCO Log'!BO8</f>
        <v>0</v>
      </c>
      <c r="F64" s="303">
        <f>'PCO Log'!BO3</f>
        <v>0</v>
      </c>
      <c r="G64" s="304">
        <f>'PCO Log'!BO10</f>
        <v>0</v>
      </c>
      <c r="H64" s="305">
        <f>'PCO Log'!BO6</f>
        <v>0</v>
      </c>
      <c r="K64" s="301" t="s">
        <v>331</v>
      </c>
      <c r="L64" s="301" t="s">
        <v>448</v>
      </c>
      <c r="M64" s="301" t="s">
        <v>271</v>
      </c>
      <c r="O64" s="303" t="str">
        <f>'Pay App 1'!B124</f>
        <v>13 00 00</v>
      </c>
      <c r="P64" s="303" t="str">
        <f>'Pay App 1'!C124</f>
        <v>Special Construction (Other)</v>
      </c>
      <c r="Q64" s="304">
        <f>SUMIFS('PCO Log'!$E74:$SJ74,'PCO Log'!$E$9:$SJ$9,'Graph Data'!Q$1,'PCO Log'!$E$7:$SJ$7,"Approved")</f>
        <v>0</v>
      </c>
      <c r="R64" s="304">
        <f>SUMIFS('PCO Log'!$E74:$SJ74,'PCO Log'!$E$9:$SJ$9,'Graph Data'!R$1,'PCO Log'!$E$7:$SJ$7,"Approved")</f>
        <v>0</v>
      </c>
      <c r="S64" s="304">
        <f>SUMIFS('PCO Log'!$E74:$SJ74,'PCO Log'!$E$9:$SJ$9,'Graph Data'!S$1,'PCO Log'!$E$7:$SJ$7,"Approved")</f>
        <v>0</v>
      </c>
      <c r="T64" s="304">
        <f>SUMIFS('PCO Log'!$E74:$SJ74,'PCO Log'!$E$9:$SJ$9,'Graph Data'!T$1,'PCO Log'!$E$7:$SJ$7,"Approved")</f>
        <v>0</v>
      </c>
      <c r="U64" s="304">
        <f>SUMIFS('PCO Log'!$E74:$SJ74,'PCO Log'!$E$9:$SJ$9,'Graph Data'!U$1,'PCO Log'!$E$7:$SJ$7,"Approved")</f>
        <v>0</v>
      </c>
      <c r="V64" s="304">
        <f>SUMIFS('PCO Log'!$E74:$SJ74,'PCO Log'!$E$9:$SJ$9,'Graph Data'!V$1,'PCO Log'!$E$7:$SJ$7,"Approved")</f>
        <v>0</v>
      </c>
      <c r="W64" s="304">
        <f>SUMIFS('PCO Log'!$E74:$SJ74,'PCO Log'!$E$9:$SJ$9,'Graph Data'!W$1,'PCO Log'!$E$7:$SJ$7,"Approved")</f>
        <v>0</v>
      </c>
      <c r="X64" s="304">
        <f>SUMIFS('PCO Log'!$E74:$SJ74,'PCO Log'!$E$9:$SJ$9,'Graph Data'!X$1,'PCO Log'!$E$7:$SJ$7,"Approved")</f>
        <v>0</v>
      </c>
      <c r="Y64" s="304">
        <f>SUMIFS('PCO Log'!$E74:$SJ74,'PCO Log'!$E$9:$SJ$9,'Graph Data'!Y$1,'PCO Log'!$E$7:$SJ$7,"Approved")</f>
        <v>0</v>
      </c>
      <c r="Z64" s="304">
        <f>SUMIFS('PCO Log'!$E74:$SJ74,'PCO Log'!$E$9:$SJ$9,'Graph Data'!Z$1,'PCO Log'!$E$7:$SJ$7,"Approved")</f>
        <v>0</v>
      </c>
      <c r="AA64" s="304">
        <f>SUMIFS('PCO Log'!$E74:$SJ74,'PCO Log'!$E$9:$SJ$9,'Graph Data'!AA$1,'PCO Log'!$E$7:$SJ$7,"Approved")</f>
        <v>0</v>
      </c>
      <c r="AB64" s="304">
        <f>SUMIFS('PCO Log'!$E74:$SJ74,'PCO Log'!$E$9:$SJ$9,'Graph Data'!AB$1,'PCO Log'!$E$7:$SJ$7,"Approved")</f>
        <v>0</v>
      </c>
      <c r="AC64" s="304">
        <f>SUMIFS('PCO Log'!$E74:$SJ74,'PCO Log'!$E$9:$SJ$9,'Graph Data'!AC$1,'PCO Log'!$E$7:$SJ$7,"Approved")</f>
        <v>0</v>
      </c>
      <c r="AD64" s="304">
        <f>SUMIFS('PCO Log'!$E74:$SJ74,'PCO Log'!$E$9:$SJ$9,'Graph Data'!AD$1,'PCO Log'!$E$7:$SJ$7,"Approved")</f>
        <v>0</v>
      </c>
      <c r="AE64" s="304">
        <f>SUMIFS('PCO Log'!$E74:$SJ74,'PCO Log'!$E$9:$SJ$9,'Graph Data'!AE$1,'PCO Log'!$E$7:$SJ$7,"Approved")</f>
        <v>0</v>
      </c>
      <c r="AF64" s="304">
        <f>SUMIFS('PCO Log'!$E74:$SJ74,'PCO Log'!$E$9:$SJ$9,'Graph Data'!AF$1,'PCO Log'!$E$7:$SJ$7,"Approved")</f>
        <v>0</v>
      </c>
      <c r="AG64" s="304">
        <f>SUMIFS('PCO Log'!$E74:$SJ74,'PCO Log'!$E$9:$SJ$9,'Graph Data'!AG$1,'PCO Log'!$E$7:$SJ$7,"Approved")</f>
        <v>0</v>
      </c>
      <c r="AH64" s="304">
        <f>SUMIFS('PCO Log'!$E74:$SJ74,'PCO Log'!$E$9:$SJ$9,'Graph Data'!AH$1,'PCO Log'!$E$7:$SJ$7,"Approved")</f>
        <v>0</v>
      </c>
      <c r="AI64" s="304">
        <f>SUMIFS('PCO Log'!$E74:$SJ74,'PCO Log'!$E$9:$SJ$9,'Graph Data'!AI$1,'PCO Log'!$E$7:$SJ$7,"Approved")</f>
        <v>0</v>
      </c>
      <c r="AJ64" s="304">
        <f>SUMIFS('PCO Log'!$E74:$SJ74,'PCO Log'!$E$9:$SJ$9,'Graph Data'!AJ$1,'PCO Log'!$E$7:$SJ$7,"Approved")</f>
        <v>0</v>
      </c>
      <c r="AK64" s="304">
        <f>SUMIFS('PCO Log'!$E74:$SJ74,'PCO Log'!$E$9:$SJ$9,'Graph Data'!AK$1,'PCO Log'!$E$7:$SJ$7,"Approved")</f>
        <v>0</v>
      </c>
      <c r="AL64" s="304">
        <f>SUMIFS('PCO Log'!$E74:$SJ74,'PCO Log'!$E$9:$SJ$9,'Graph Data'!AL$1,'PCO Log'!$E$7:$SJ$7,"Approved")</f>
        <v>0</v>
      </c>
      <c r="AM64" s="304">
        <f>SUMIFS('PCO Log'!$E74:$SJ74,'PCO Log'!$E$9:$SJ$9,'Graph Data'!AM$1,'PCO Log'!$E$7:$SJ$7,"Approved")</f>
        <v>0</v>
      </c>
      <c r="AN64" s="304">
        <f>SUMIFS('PCO Log'!$E74:$SJ74,'PCO Log'!$E$9:$SJ$9,'Graph Data'!AN$1,'PCO Log'!$E$7:$SJ$7,"Approved")</f>
        <v>0</v>
      </c>
      <c r="AO64" s="304">
        <f>SUMIFS('PCO Log'!$E74:$SJ74,'PCO Log'!$E$9:$SJ$9,'Graph Data'!AO$1,'PCO Log'!$E$7:$SJ$7,"Approved")</f>
        <v>0</v>
      </c>
      <c r="AP64" s="304">
        <f>SUMIFS('PCO Log'!$E74:$SJ74,'PCO Log'!$E$9:$SJ$9,'Graph Data'!AP$1,'PCO Log'!$E$7:$SJ$7,"Approved")</f>
        <v>0</v>
      </c>
      <c r="AQ64" s="304">
        <f>SUMIFS('PCO Log'!$E74:$SJ74,'PCO Log'!$E$9:$SJ$9,'Graph Data'!AQ$1,'PCO Log'!$E$7:$SJ$7,"Approved")</f>
        <v>0</v>
      </c>
      <c r="AR64" s="304">
        <f>SUMIFS('PCO Log'!$E74:$SJ74,'PCO Log'!$E$9:$SJ$9,'Graph Data'!AR$1,'PCO Log'!$E$7:$SJ$7,"Approved")</f>
        <v>0</v>
      </c>
      <c r="AS64" s="304">
        <f>SUMIFS('PCO Log'!$E74:$SJ74,'PCO Log'!$E$9:$SJ$9,'Graph Data'!AS$1,'PCO Log'!$E$7:$SJ$7,"Approved")</f>
        <v>0</v>
      </c>
      <c r="AT64" s="304">
        <f>SUMIFS('PCO Log'!$E74:$SJ74,'PCO Log'!$E$9:$SJ$9,'Graph Data'!AT$1,'PCO Log'!$E$7:$SJ$7,"Approved")</f>
        <v>0</v>
      </c>
      <c r="AU64" s="304">
        <f>SUMIFS('PCO Log'!$E74:$SJ74,'PCO Log'!$E$9:$SJ$9,'Graph Data'!AU$1,'PCO Log'!$E$7:$SJ$7,"Approved")</f>
        <v>0</v>
      </c>
      <c r="AV64" s="304">
        <f>SUMIFS('PCO Log'!$E74:$SJ74,'PCO Log'!$E$9:$SJ$9,'Graph Data'!AV$1,'PCO Log'!$E$7:$SJ$7,"Approved")</f>
        <v>0</v>
      </c>
      <c r="AW64" s="304">
        <f>SUMIFS('PCO Log'!$E74:$SJ74,'PCO Log'!$E$9:$SJ$9,'Graph Data'!AW$1,'PCO Log'!$E$7:$SJ$7,"Approved")</f>
        <v>0</v>
      </c>
      <c r="AX64" s="304">
        <f>SUMIFS('PCO Log'!$E74:$SJ74,'PCO Log'!$E$9:$SJ$9,'Graph Data'!AX$1,'PCO Log'!$E$7:$SJ$7,"Approved")</f>
        <v>0</v>
      </c>
      <c r="AY64" s="304">
        <f>SUMIFS('PCO Log'!$E74:$SJ74,'PCO Log'!$E$9:$SJ$9,'Graph Data'!AY$1,'PCO Log'!$E$7:$SJ$7,"Approved")</f>
        <v>0</v>
      </c>
      <c r="AZ64" s="304">
        <f>SUMIFS('PCO Log'!$E74:$SJ74,'PCO Log'!$E$9:$SJ$9,'Graph Data'!AZ$1,'PCO Log'!$E$7:$SJ$7,"Approved")</f>
        <v>0</v>
      </c>
      <c r="BA64" s="304">
        <f>SUMIFS('PCO Log'!$E74:$SJ74,'PCO Log'!$E$9:$SJ$9,'Graph Data'!BA$1,'PCO Log'!$E$7:$SJ$7,"Approved")</f>
        <v>0</v>
      </c>
      <c r="BB64" s="304">
        <f>SUMIFS('PCO Log'!$E74:$SJ74,'PCO Log'!$E$9:$SJ$9,'Graph Data'!BB$1,'PCO Log'!$E$7:$SJ$7,"Approved")</f>
        <v>0</v>
      </c>
      <c r="BC64" s="304">
        <f>SUMIFS('PCO Log'!$E74:$SJ74,'PCO Log'!$E$9:$SJ$9,'Graph Data'!BC$1,'PCO Log'!$E$7:$SJ$7,"Approved")</f>
        <v>0</v>
      </c>
      <c r="BD64" s="304">
        <f>SUMIFS('PCO Log'!$E74:$SJ74,'PCO Log'!$E$9:$SJ$9,'Graph Data'!BD$1,'PCO Log'!$E$7:$SJ$7,"Approved")</f>
        <v>0</v>
      </c>
      <c r="BE64" s="304">
        <f>SUMIFS('PCO Log'!$E74:$SJ74,'PCO Log'!$E$9:$SJ$9,'Graph Data'!BE$1,'PCO Log'!$E$7:$SJ$7,"Approved")</f>
        <v>0</v>
      </c>
      <c r="BF64" s="304">
        <f>SUMIFS('PCO Log'!$E74:$SJ74,'PCO Log'!$E$9:$SJ$9,'Graph Data'!BF$1,'PCO Log'!$E$7:$SJ$7,"Approved")</f>
        <v>0</v>
      </c>
      <c r="BG64" s="304">
        <f>SUMIFS('PCO Log'!$E74:$SJ74,'PCO Log'!$E$9:$SJ$9,'Graph Data'!BG$1,'PCO Log'!$E$7:$SJ$7,"Approved")</f>
        <v>0</v>
      </c>
      <c r="BH64" s="304">
        <f>SUMIFS('PCO Log'!$E74:$SJ74,'PCO Log'!$E$9:$SJ$9,'Graph Data'!BH$1,'PCO Log'!$E$7:$SJ$7,"Approved")</f>
        <v>0</v>
      </c>
      <c r="BI64" s="304">
        <f>SUMIFS('PCO Log'!$E74:$SJ74,'PCO Log'!$E$9:$SJ$9,'Graph Data'!BI$1,'PCO Log'!$E$7:$SJ$7,"Approved")</f>
        <v>0</v>
      </c>
      <c r="BJ64" s="304">
        <f>SUMIFS('PCO Log'!$E74:$SJ74,'PCO Log'!$E$9:$SJ$9,'Graph Data'!BJ$1,'PCO Log'!$E$7:$SJ$7,"Approved")</f>
        <v>0</v>
      </c>
      <c r="BK64" s="304">
        <f>SUMIFS('PCO Log'!$E74:$SJ74,'PCO Log'!$E$9:$SJ$9,'Graph Data'!BK$1,'PCO Log'!$E$7:$SJ$7,"Approved")</f>
        <v>0</v>
      </c>
      <c r="BL64" s="304">
        <f>SUMIFS('PCO Log'!$E74:$SJ74,'PCO Log'!$E$9:$SJ$9,'Graph Data'!BL$1,'PCO Log'!$E$7:$SJ$7,"Approved")</f>
        <v>0</v>
      </c>
      <c r="BM64" s="304">
        <f>SUMIFS('PCO Log'!$E74:$SJ74,'PCO Log'!$E$9:$SJ$9,'Graph Data'!BM$1,'PCO Log'!$E$7:$SJ$7,"Approved")</f>
        <v>0</v>
      </c>
      <c r="BN64" s="304">
        <f>SUMIFS('PCO Log'!$E74:$SJ74,'PCO Log'!$E$9:$SJ$9,'Graph Data'!BN$1,'PCO Log'!$E$7:$SJ$7,"Approved")</f>
        <v>0</v>
      </c>
      <c r="BO64" s="304">
        <f>SUMIFS('PCO Log'!$E74:$SJ74,'PCO Log'!$E$9:$SJ$9,'Graph Data'!BO$1,'PCO Log'!$E$7:$SJ$7,"Approved")</f>
        <v>0</v>
      </c>
      <c r="BP64" s="304">
        <f>SUMIFS('PCO Log'!$E74:$SJ74,'PCO Log'!$E$9:$SJ$9,'Graph Data'!BP$1,'PCO Log'!$E$7:$SJ$7,"Approved")</f>
        <v>0</v>
      </c>
      <c r="BQ64" s="304">
        <f>SUMIFS('PCO Log'!$E74:$SJ74,'PCO Log'!$E$9:$SJ$9,'Graph Data'!BQ$1,'PCO Log'!$E$7:$SJ$7,"Approved")</f>
        <v>0</v>
      </c>
      <c r="BR64" s="304">
        <f>SUMIFS('PCO Log'!$E74:$SJ74,'PCO Log'!$E$9:$SJ$9,'Graph Data'!BR$1,'PCO Log'!$E$7:$SJ$7,"Approved")</f>
        <v>0</v>
      </c>
      <c r="BS64" s="304">
        <f>SUMIFS('PCO Log'!$E74:$SJ74,'PCO Log'!$E$9:$SJ$9,'Graph Data'!BS$1,'PCO Log'!$E$7:$SJ$7,"Approved")</f>
        <v>0</v>
      </c>
      <c r="BT64" s="304">
        <f>SUMIFS('PCO Log'!$E74:$SJ74,'PCO Log'!$E$9:$SJ$9,'Graph Data'!BT$1,'PCO Log'!$E$7:$SJ$7,"Approved")</f>
        <v>0</v>
      </c>
      <c r="BU64" s="304">
        <f>SUMIFS('PCO Log'!$E74:$SJ74,'PCO Log'!$E$9:$SJ$9,'Graph Data'!BU$1,'PCO Log'!$E$7:$SJ$7,"Approved")</f>
        <v>0</v>
      </c>
      <c r="BV64" s="304">
        <f>SUMIFS('PCO Log'!$E74:$SJ74,'PCO Log'!$E$9:$SJ$9,'Graph Data'!BV$1,'PCO Log'!$E$7:$SJ$7,"Approved")</f>
        <v>0</v>
      </c>
      <c r="BW64" s="304">
        <f>SUMIFS('PCO Log'!$E74:$SJ74,'PCO Log'!$E$9:$SJ$9,'Graph Data'!BW$1,'PCO Log'!$E$7:$SJ$7,"Approved")</f>
        <v>0</v>
      </c>
      <c r="BX64" s="304">
        <f>SUMIFS('PCO Log'!$E74:$SJ74,'PCO Log'!$E$9:$SJ$9,'Graph Data'!BX$1,'PCO Log'!$E$7:$SJ$7,"Approved")</f>
        <v>0</v>
      </c>
    </row>
    <row r="65" spans="1:76" x14ac:dyDescent="0.25">
      <c r="A65" s="303" t="s">
        <v>405</v>
      </c>
      <c r="B65" s="303">
        <f>'PCO Log'!BP7</f>
        <v>0</v>
      </c>
      <c r="C65" s="303">
        <f>'PCO Log'!BP4</f>
        <v>0</v>
      </c>
      <c r="D65" s="303" cm="1">
        <f t="array" ref="D65">INDEX('PCO Log'!$E$5:$SJ$5, 1, ROWS('Graph Data'!$D$2:D65))</f>
        <v>0</v>
      </c>
      <c r="E65" s="303">
        <f>'PCO Log'!BP8</f>
        <v>0</v>
      </c>
      <c r="F65" s="303">
        <f>'PCO Log'!BP3</f>
        <v>0</v>
      </c>
      <c r="G65" s="304">
        <f>'PCO Log'!BP10</f>
        <v>0</v>
      </c>
      <c r="H65" s="305">
        <f>'PCO Log'!BP6</f>
        <v>0</v>
      </c>
      <c r="K65" s="303" t="s">
        <v>266</v>
      </c>
      <c r="L65" s="306">
        <v>1</v>
      </c>
      <c r="M65" s="303" t="s">
        <v>329</v>
      </c>
      <c r="O65" s="303" t="str">
        <f>'Pay App 1'!B125</f>
        <v>13 48 00</v>
      </c>
      <c r="P65" s="303" t="str">
        <f>'Pay App 1'!C125</f>
        <v>Sound &amp; Vibration Control</v>
      </c>
      <c r="Q65" s="304">
        <f>SUMIFS('PCO Log'!$E75:$SJ75,'PCO Log'!$E$9:$SJ$9,'Graph Data'!Q$1,'PCO Log'!$E$7:$SJ$7,"Approved")</f>
        <v>0</v>
      </c>
      <c r="R65" s="304">
        <f>SUMIFS('PCO Log'!$E75:$SJ75,'PCO Log'!$E$9:$SJ$9,'Graph Data'!R$1,'PCO Log'!$E$7:$SJ$7,"Approved")</f>
        <v>0</v>
      </c>
      <c r="S65" s="304">
        <f>SUMIFS('PCO Log'!$E75:$SJ75,'PCO Log'!$E$9:$SJ$9,'Graph Data'!S$1,'PCO Log'!$E$7:$SJ$7,"Approved")</f>
        <v>0</v>
      </c>
      <c r="T65" s="304">
        <f>SUMIFS('PCO Log'!$E75:$SJ75,'PCO Log'!$E$9:$SJ$9,'Graph Data'!T$1,'PCO Log'!$E$7:$SJ$7,"Approved")</f>
        <v>0</v>
      </c>
      <c r="U65" s="304">
        <f>SUMIFS('PCO Log'!$E75:$SJ75,'PCO Log'!$E$9:$SJ$9,'Graph Data'!U$1,'PCO Log'!$E$7:$SJ$7,"Approved")</f>
        <v>0</v>
      </c>
      <c r="V65" s="304">
        <f>SUMIFS('PCO Log'!$E75:$SJ75,'PCO Log'!$E$9:$SJ$9,'Graph Data'!V$1,'PCO Log'!$E$7:$SJ$7,"Approved")</f>
        <v>0</v>
      </c>
      <c r="W65" s="304">
        <f>SUMIFS('PCO Log'!$E75:$SJ75,'PCO Log'!$E$9:$SJ$9,'Graph Data'!W$1,'PCO Log'!$E$7:$SJ$7,"Approved")</f>
        <v>0</v>
      </c>
      <c r="X65" s="304">
        <f>SUMIFS('PCO Log'!$E75:$SJ75,'PCO Log'!$E$9:$SJ$9,'Graph Data'!X$1,'PCO Log'!$E$7:$SJ$7,"Approved")</f>
        <v>0</v>
      </c>
      <c r="Y65" s="304">
        <f>SUMIFS('PCO Log'!$E75:$SJ75,'PCO Log'!$E$9:$SJ$9,'Graph Data'!Y$1,'PCO Log'!$E$7:$SJ$7,"Approved")</f>
        <v>0</v>
      </c>
      <c r="Z65" s="304">
        <f>SUMIFS('PCO Log'!$E75:$SJ75,'PCO Log'!$E$9:$SJ$9,'Graph Data'!Z$1,'PCO Log'!$E$7:$SJ$7,"Approved")</f>
        <v>0</v>
      </c>
      <c r="AA65" s="304">
        <f>SUMIFS('PCO Log'!$E75:$SJ75,'PCO Log'!$E$9:$SJ$9,'Graph Data'!AA$1,'PCO Log'!$E$7:$SJ$7,"Approved")</f>
        <v>0</v>
      </c>
      <c r="AB65" s="304">
        <f>SUMIFS('PCO Log'!$E75:$SJ75,'PCO Log'!$E$9:$SJ$9,'Graph Data'!AB$1,'PCO Log'!$E$7:$SJ$7,"Approved")</f>
        <v>0</v>
      </c>
      <c r="AC65" s="304">
        <f>SUMIFS('PCO Log'!$E75:$SJ75,'PCO Log'!$E$9:$SJ$9,'Graph Data'!AC$1,'PCO Log'!$E$7:$SJ$7,"Approved")</f>
        <v>0</v>
      </c>
      <c r="AD65" s="304">
        <f>SUMIFS('PCO Log'!$E75:$SJ75,'PCO Log'!$E$9:$SJ$9,'Graph Data'!AD$1,'PCO Log'!$E$7:$SJ$7,"Approved")</f>
        <v>0</v>
      </c>
      <c r="AE65" s="304">
        <f>SUMIFS('PCO Log'!$E75:$SJ75,'PCO Log'!$E$9:$SJ$9,'Graph Data'!AE$1,'PCO Log'!$E$7:$SJ$7,"Approved")</f>
        <v>0</v>
      </c>
      <c r="AF65" s="304">
        <f>SUMIFS('PCO Log'!$E75:$SJ75,'PCO Log'!$E$9:$SJ$9,'Graph Data'!AF$1,'PCO Log'!$E$7:$SJ$7,"Approved")</f>
        <v>0</v>
      </c>
      <c r="AG65" s="304">
        <f>SUMIFS('PCO Log'!$E75:$SJ75,'PCO Log'!$E$9:$SJ$9,'Graph Data'!AG$1,'PCO Log'!$E$7:$SJ$7,"Approved")</f>
        <v>0</v>
      </c>
      <c r="AH65" s="304">
        <f>SUMIFS('PCO Log'!$E75:$SJ75,'PCO Log'!$E$9:$SJ$9,'Graph Data'!AH$1,'PCO Log'!$E$7:$SJ$7,"Approved")</f>
        <v>0</v>
      </c>
      <c r="AI65" s="304">
        <f>SUMIFS('PCO Log'!$E75:$SJ75,'PCO Log'!$E$9:$SJ$9,'Graph Data'!AI$1,'PCO Log'!$E$7:$SJ$7,"Approved")</f>
        <v>0</v>
      </c>
      <c r="AJ65" s="304">
        <f>SUMIFS('PCO Log'!$E75:$SJ75,'PCO Log'!$E$9:$SJ$9,'Graph Data'!AJ$1,'PCO Log'!$E$7:$SJ$7,"Approved")</f>
        <v>0</v>
      </c>
      <c r="AK65" s="304">
        <f>SUMIFS('PCO Log'!$E75:$SJ75,'PCO Log'!$E$9:$SJ$9,'Graph Data'!AK$1,'PCO Log'!$E$7:$SJ$7,"Approved")</f>
        <v>0</v>
      </c>
      <c r="AL65" s="304">
        <f>SUMIFS('PCO Log'!$E75:$SJ75,'PCO Log'!$E$9:$SJ$9,'Graph Data'!AL$1,'PCO Log'!$E$7:$SJ$7,"Approved")</f>
        <v>0</v>
      </c>
      <c r="AM65" s="304">
        <f>SUMIFS('PCO Log'!$E75:$SJ75,'PCO Log'!$E$9:$SJ$9,'Graph Data'!AM$1,'PCO Log'!$E$7:$SJ$7,"Approved")</f>
        <v>0</v>
      </c>
      <c r="AN65" s="304">
        <f>SUMIFS('PCO Log'!$E75:$SJ75,'PCO Log'!$E$9:$SJ$9,'Graph Data'!AN$1,'PCO Log'!$E$7:$SJ$7,"Approved")</f>
        <v>0</v>
      </c>
      <c r="AO65" s="304">
        <f>SUMIFS('PCO Log'!$E75:$SJ75,'PCO Log'!$E$9:$SJ$9,'Graph Data'!AO$1,'PCO Log'!$E$7:$SJ$7,"Approved")</f>
        <v>0</v>
      </c>
      <c r="AP65" s="304">
        <f>SUMIFS('PCO Log'!$E75:$SJ75,'PCO Log'!$E$9:$SJ$9,'Graph Data'!AP$1,'PCO Log'!$E$7:$SJ$7,"Approved")</f>
        <v>0</v>
      </c>
      <c r="AQ65" s="304">
        <f>SUMIFS('PCO Log'!$E75:$SJ75,'PCO Log'!$E$9:$SJ$9,'Graph Data'!AQ$1,'PCO Log'!$E$7:$SJ$7,"Approved")</f>
        <v>0</v>
      </c>
      <c r="AR65" s="304">
        <f>SUMIFS('PCO Log'!$E75:$SJ75,'PCO Log'!$E$9:$SJ$9,'Graph Data'!AR$1,'PCO Log'!$E$7:$SJ$7,"Approved")</f>
        <v>0</v>
      </c>
      <c r="AS65" s="304">
        <f>SUMIFS('PCO Log'!$E75:$SJ75,'PCO Log'!$E$9:$SJ$9,'Graph Data'!AS$1,'PCO Log'!$E$7:$SJ$7,"Approved")</f>
        <v>0</v>
      </c>
      <c r="AT65" s="304">
        <f>SUMIFS('PCO Log'!$E75:$SJ75,'PCO Log'!$E$9:$SJ$9,'Graph Data'!AT$1,'PCO Log'!$E$7:$SJ$7,"Approved")</f>
        <v>0</v>
      </c>
      <c r="AU65" s="304">
        <f>SUMIFS('PCO Log'!$E75:$SJ75,'PCO Log'!$E$9:$SJ$9,'Graph Data'!AU$1,'PCO Log'!$E$7:$SJ$7,"Approved")</f>
        <v>0</v>
      </c>
      <c r="AV65" s="304">
        <f>SUMIFS('PCO Log'!$E75:$SJ75,'PCO Log'!$E$9:$SJ$9,'Graph Data'!AV$1,'PCO Log'!$E$7:$SJ$7,"Approved")</f>
        <v>0</v>
      </c>
      <c r="AW65" s="304">
        <f>SUMIFS('PCO Log'!$E75:$SJ75,'PCO Log'!$E$9:$SJ$9,'Graph Data'!AW$1,'PCO Log'!$E$7:$SJ$7,"Approved")</f>
        <v>0</v>
      </c>
      <c r="AX65" s="304">
        <f>SUMIFS('PCO Log'!$E75:$SJ75,'PCO Log'!$E$9:$SJ$9,'Graph Data'!AX$1,'PCO Log'!$E$7:$SJ$7,"Approved")</f>
        <v>0</v>
      </c>
      <c r="AY65" s="304">
        <f>SUMIFS('PCO Log'!$E75:$SJ75,'PCO Log'!$E$9:$SJ$9,'Graph Data'!AY$1,'PCO Log'!$E$7:$SJ$7,"Approved")</f>
        <v>0</v>
      </c>
      <c r="AZ65" s="304">
        <f>SUMIFS('PCO Log'!$E75:$SJ75,'PCO Log'!$E$9:$SJ$9,'Graph Data'!AZ$1,'PCO Log'!$E$7:$SJ$7,"Approved")</f>
        <v>0</v>
      </c>
      <c r="BA65" s="304">
        <f>SUMIFS('PCO Log'!$E75:$SJ75,'PCO Log'!$E$9:$SJ$9,'Graph Data'!BA$1,'PCO Log'!$E$7:$SJ$7,"Approved")</f>
        <v>0</v>
      </c>
      <c r="BB65" s="304">
        <f>SUMIFS('PCO Log'!$E75:$SJ75,'PCO Log'!$E$9:$SJ$9,'Graph Data'!BB$1,'PCO Log'!$E$7:$SJ$7,"Approved")</f>
        <v>0</v>
      </c>
      <c r="BC65" s="304">
        <f>SUMIFS('PCO Log'!$E75:$SJ75,'PCO Log'!$E$9:$SJ$9,'Graph Data'!BC$1,'PCO Log'!$E$7:$SJ$7,"Approved")</f>
        <v>0</v>
      </c>
      <c r="BD65" s="304">
        <f>SUMIFS('PCO Log'!$E75:$SJ75,'PCO Log'!$E$9:$SJ$9,'Graph Data'!BD$1,'PCO Log'!$E$7:$SJ$7,"Approved")</f>
        <v>0</v>
      </c>
      <c r="BE65" s="304">
        <f>SUMIFS('PCO Log'!$E75:$SJ75,'PCO Log'!$E$9:$SJ$9,'Graph Data'!BE$1,'PCO Log'!$E$7:$SJ$7,"Approved")</f>
        <v>0</v>
      </c>
      <c r="BF65" s="304">
        <f>SUMIFS('PCO Log'!$E75:$SJ75,'PCO Log'!$E$9:$SJ$9,'Graph Data'!BF$1,'PCO Log'!$E$7:$SJ$7,"Approved")</f>
        <v>0</v>
      </c>
      <c r="BG65" s="304">
        <f>SUMIFS('PCO Log'!$E75:$SJ75,'PCO Log'!$E$9:$SJ$9,'Graph Data'!BG$1,'PCO Log'!$E$7:$SJ$7,"Approved")</f>
        <v>0</v>
      </c>
      <c r="BH65" s="304">
        <f>SUMIFS('PCO Log'!$E75:$SJ75,'PCO Log'!$E$9:$SJ$9,'Graph Data'!BH$1,'PCO Log'!$E$7:$SJ$7,"Approved")</f>
        <v>0</v>
      </c>
      <c r="BI65" s="304">
        <f>SUMIFS('PCO Log'!$E75:$SJ75,'PCO Log'!$E$9:$SJ$9,'Graph Data'!BI$1,'PCO Log'!$E$7:$SJ$7,"Approved")</f>
        <v>0</v>
      </c>
      <c r="BJ65" s="304">
        <f>SUMIFS('PCO Log'!$E75:$SJ75,'PCO Log'!$E$9:$SJ$9,'Graph Data'!BJ$1,'PCO Log'!$E$7:$SJ$7,"Approved")</f>
        <v>0</v>
      </c>
      <c r="BK65" s="304">
        <f>SUMIFS('PCO Log'!$E75:$SJ75,'PCO Log'!$E$9:$SJ$9,'Graph Data'!BK$1,'PCO Log'!$E$7:$SJ$7,"Approved")</f>
        <v>0</v>
      </c>
      <c r="BL65" s="304">
        <f>SUMIFS('PCO Log'!$E75:$SJ75,'PCO Log'!$E$9:$SJ$9,'Graph Data'!BL$1,'PCO Log'!$E$7:$SJ$7,"Approved")</f>
        <v>0</v>
      </c>
      <c r="BM65" s="304">
        <f>SUMIFS('PCO Log'!$E75:$SJ75,'PCO Log'!$E$9:$SJ$9,'Graph Data'!BM$1,'PCO Log'!$E$7:$SJ$7,"Approved")</f>
        <v>0</v>
      </c>
      <c r="BN65" s="304">
        <f>SUMIFS('PCO Log'!$E75:$SJ75,'PCO Log'!$E$9:$SJ$9,'Graph Data'!BN$1,'PCO Log'!$E$7:$SJ$7,"Approved")</f>
        <v>0</v>
      </c>
      <c r="BO65" s="304">
        <f>SUMIFS('PCO Log'!$E75:$SJ75,'PCO Log'!$E$9:$SJ$9,'Graph Data'!BO$1,'PCO Log'!$E$7:$SJ$7,"Approved")</f>
        <v>0</v>
      </c>
      <c r="BP65" s="304">
        <f>SUMIFS('PCO Log'!$E75:$SJ75,'PCO Log'!$E$9:$SJ$9,'Graph Data'!BP$1,'PCO Log'!$E$7:$SJ$7,"Approved")</f>
        <v>0</v>
      </c>
      <c r="BQ65" s="304">
        <f>SUMIFS('PCO Log'!$E75:$SJ75,'PCO Log'!$E$9:$SJ$9,'Graph Data'!BQ$1,'PCO Log'!$E$7:$SJ$7,"Approved")</f>
        <v>0</v>
      </c>
      <c r="BR65" s="304">
        <f>SUMIFS('PCO Log'!$E75:$SJ75,'PCO Log'!$E$9:$SJ$9,'Graph Data'!BR$1,'PCO Log'!$E$7:$SJ$7,"Approved")</f>
        <v>0</v>
      </c>
      <c r="BS65" s="304">
        <f>SUMIFS('PCO Log'!$E75:$SJ75,'PCO Log'!$E$9:$SJ$9,'Graph Data'!BS$1,'PCO Log'!$E$7:$SJ$7,"Approved")</f>
        <v>0</v>
      </c>
      <c r="BT65" s="304">
        <f>SUMIFS('PCO Log'!$E75:$SJ75,'PCO Log'!$E$9:$SJ$9,'Graph Data'!BT$1,'PCO Log'!$E$7:$SJ$7,"Approved")</f>
        <v>0</v>
      </c>
      <c r="BU65" s="304">
        <f>SUMIFS('PCO Log'!$E75:$SJ75,'PCO Log'!$E$9:$SJ$9,'Graph Data'!BU$1,'PCO Log'!$E$7:$SJ$7,"Approved")</f>
        <v>0</v>
      </c>
      <c r="BV65" s="304">
        <f>SUMIFS('PCO Log'!$E75:$SJ75,'PCO Log'!$E$9:$SJ$9,'Graph Data'!BV$1,'PCO Log'!$E$7:$SJ$7,"Approved")</f>
        <v>0</v>
      </c>
      <c r="BW65" s="304">
        <f>SUMIFS('PCO Log'!$E75:$SJ75,'PCO Log'!$E$9:$SJ$9,'Graph Data'!BW$1,'PCO Log'!$E$7:$SJ$7,"Approved")</f>
        <v>0</v>
      </c>
      <c r="BX65" s="304">
        <f>SUMIFS('PCO Log'!$E75:$SJ75,'PCO Log'!$E$9:$SJ$9,'Graph Data'!BX$1,'PCO Log'!$E$7:$SJ$7,"Approved")</f>
        <v>0</v>
      </c>
    </row>
    <row r="66" spans="1:76" x14ac:dyDescent="0.25">
      <c r="A66" s="303" t="s">
        <v>406</v>
      </c>
      <c r="B66" s="303">
        <f>'PCO Log'!BQ7</f>
        <v>0</v>
      </c>
      <c r="C66" s="303">
        <f>'PCO Log'!BQ4</f>
        <v>0</v>
      </c>
      <c r="D66" s="303" cm="1">
        <f t="array" ref="D66">INDEX('PCO Log'!$E$5:$SJ$5, 1, ROWS('Graph Data'!$D$2:D66))</f>
        <v>0</v>
      </c>
      <c r="E66" s="303">
        <f>'PCO Log'!BQ8</f>
        <v>0</v>
      </c>
      <c r="F66" s="303">
        <f>'PCO Log'!BQ3</f>
        <v>0</v>
      </c>
      <c r="G66" s="304">
        <f>'PCO Log'!BQ10</f>
        <v>0</v>
      </c>
      <c r="H66" s="305">
        <f>'PCO Log'!BQ6</f>
        <v>0</v>
      </c>
      <c r="K66" s="303" t="s">
        <v>267</v>
      </c>
      <c r="L66" s="306">
        <v>2</v>
      </c>
      <c r="M66" s="303" t="s">
        <v>330</v>
      </c>
      <c r="O66" s="303" t="str">
        <f>'Pay App 1'!B126</f>
        <v>14 20 00</v>
      </c>
      <c r="P66" s="303" t="str">
        <f>'Pay App 1'!C126</f>
        <v>Elevator</v>
      </c>
      <c r="Q66" s="304">
        <f>SUMIFS('PCO Log'!$E76:$SJ76,'PCO Log'!$E$9:$SJ$9,'Graph Data'!Q$1,'PCO Log'!$E$7:$SJ$7,"Approved")</f>
        <v>0</v>
      </c>
      <c r="R66" s="304">
        <f>SUMIFS('PCO Log'!$E76:$SJ76,'PCO Log'!$E$9:$SJ$9,'Graph Data'!R$1,'PCO Log'!$E$7:$SJ$7,"Approved")</f>
        <v>0</v>
      </c>
      <c r="S66" s="304">
        <f>SUMIFS('PCO Log'!$E76:$SJ76,'PCO Log'!$E$9:$SJ$9,'Graph Data'!S$1,'PCO Log'!$E$7:$SJ$7,"Approved")</f>
        <v>0</v>
      </c>
      <c r="T66" s="304">
        <f>SUMIFS('PCO Log'!$E76:$SJ76,'PCO Log'!$E$9:$SJ$9,'Graph Data'!T$1,'PCO Log'!$E$7:$SJ$7,"Approved")</f>
        <v>0</v>
      </c>
      <c r="U66" s="304">
        <f>SUMIFS('PCO Log'!$E76:$SJ76,'PCO Log'!$E$9:$SJ$9,'Graph Data'!U$1,'PCO Log'!$E$7:$SJ$7,"Approved")</f>
        <v>0</v>
      </c>
      <c r="V66" s="304">
        <f>SUMIFS('PCO Log'!$E76:$SJ76,'PCO Log'!$E$9:$SJ$9,'Graph Data'!V$1,'PCO Log'!$E$7:$SJ$7,"Approved")</f>
        <v>0</v>
      </c>
      <c r="W66" s="304">
        <f>SUMIFS('PCO Log'!$E76:$SJ76,'PCO Log'!$E$9:$SJ$9,'Graph Data'!W$1,'PCO Log'!$E$7:$SJ$7,"Approved")</f>
        <v>0</v>
      </c>
      <c r="X66" s="304">
        <f>SUMIFS('PCO Log'!$E76:$SJ76,'PCO Log'!$E$9:$SJ$9,'Graph Data'!X$1,'PCO Log'!$E$7:$SJ$7,"Approved")</f>
        <v>0</v>
      </c>
      <c r="Y66" s="304">
        <f>SUMIFS('PCO Log'!$E76:$SJ76,'PCO Log'!$E$9:$SJ$9,'Graph Data'!Y$1,'PCO Log'!$E$7:$SJ$7,"Approved")</f>
        <v>0</v>
      </c>
      <c r="Z66" s="304">
        <f>SUMIFS('PCO Log'!$E76:$SJ76,'PCO Log'!$E$9:$SJ$9,'Graph Data'!Z$1,'PCO Log'!$E$7:$SJ$7,"Approved")</f>
        <v>0</v>
      </c>
      <c r="AA66" s="304">
        <f>SUMIFS('PCO Log'!$E76:$SJ76,'PCO Log'!$E$9:$SJ$9,'Graph Data'!AA$1,'PCO Log'!$E$7:$SJ$7,"Approved")</f>
        <v>0</v>
      </c>
      <c r="AB66" s="304">
        <f>SUMIFS('PCO Log'!$E76:$SJ76,'PCO Log'!$E$9:$SJ$9,'Graph Data'!AB$1,'PCO Log'!$E$7:$SJ$7,"Approved")</f>
        <v>0</v>
      </c>
      <c r="AC66" s="304">
        <f>SUMIFS('PCO Log'!$E76:$SJ76,'PCO Log'!$E$9:$SJ$9,'Graph Data'!AC$1,'PCO Log'!$E$7:$SJ$7,"Approved")</f>
        <v>0</v>
      </c>
      <c r="AD66" s="304">
        <f>SUMIFS('PCO Log'!$E76:$SJ76,'PCO Log'!$E$9:$SJ$9,'Graph Data'!AD$1,'PCO Log'!$E$7:$SJ$7,"Approved")</f>
        <v>0</v>
      </c>
      <c r="AE66" s="304">
        <f>SUMIFS('PCO Log'!$E76:$SJ76,'PCO Log'!$E$9:$SJ$9,'Graph Data'!AE$1,'PCO Log'!$E$7:$SJ$7,"Approved")</f>
        <v>0</v>
      </c>
      <c r="AF66" s="304">
        <f>SUMIFS('PCO Log'!$E76:$SJ76,'PCO Log'!$E$9:$SJ$9,'Graph Data'!AF$1,'PCO Log'!$E$7:$SJ$7,"Approved")</f>
        <v>0</v>
      </c>
      <c r="AG66" s="304">
        <f>SUMIFS('PCO Log'!$E76:$SJ76,'PCO Log'!$E$9:$SJ$9,'Graph Data'!AG$1,'PCO Log'!$E$7:$SJ$7,"Approved")</f>
        <v>0</v>
      </c>
      <c r="AH66" s="304">
        <f>SUMIFS('PCO Log'!$E76:$SJ76,'PCO Log'!$E$9:$SJ$9,'Graph Data'!AH$1,'PCO Log'!$E$7:$SJ$7,"Approved")</f>
        <v>0</v>
      </c>
      <c r="AI66" s="304">
        <f>SUMIFS('PCO Log'!$E76:$SJ76,'PCO Log'!$E$9:$SJ$9,'Graph Data'!AI$1,'PCO Log'!$E$7:$SJ$7,"Approved")</f>
        <v>0</v>
      </c>
      <c r="AJ66" s="304">
        <f>SUMIFS('PCO Log'!$E76:$SJ76,'PCO Log'!$E$9:$SJ$9,'Graph Data'!AJ$1,'PCO Log'!$E$7:$SJ$7,"Approved")</f>
        <v>0</v>
      </c>
      <c r="AK66" s="304">
        <f>SUMIFS('PCO Log'!$E76:$SJ76,'PCO Log'!$E$9:$SJ$9,'Graph Data'!AK$1,'PCO Log'!$E$7:$SJ$7,"Approved")</f>
        <v>0</v>
      </c>
      <c r="AL66" s="304">
        <f>SUMIFS('PCO Log'!$E76:$SJ76,'PCO Log'!$E$9:$SJ$9,'Graph Data'!AL$1,'PCO Log'!$E$7:$SJ$7,"Approved")</f>
        <v>0</v>
      </c>
      <c r="AM66" s="304">
        <f>SUMIFS('PCO Log'!$E76:$SJ76,'PCO Log'!$E$9:$SJ$9,'Graph Data'!AM$1,'PCO Log'!$E$7:$SJ$7,"Approved")</f>
        <v>0</v>
      </c>
      <c r="AN66" s="304">
        <f>SUMIFS('PCO Log'!$E76:$SJ76,'PCO Log'!$E$9:$SJ$9,'Graph Data'!AN$1,'PCO Log'!$E$7:$SJ$7,"Approved")</f>
        <v>0</v>
      </c>
      <c r="AO66" s="304">
        <f>SUMIFS('PCO Log'!$E76:$SJ76,'PCO Log'!$E$9:$SJ$9,'Graph Data'!AO$1,'PCO Log'!$E$7:$SJ$7,"Approved")</f>
        <v>0</v>
      </c>
      <c r="AP66" s="304">
        <f>SUMIFS('PCO Log'!$E76:$SJ76,'PCO Log'!$E$9:$SJ$9,'Graph Data'!AP$1,'PCO Log'!$E$7:$SJ$7,"Approved")</f>
        <v>0</v>
      </c>
      <c r="AQ66" s="304">
        <f>SUMIFS('PCO Log'!$E76:$SJ76,'PCO Log'!$E$9:$SJ$9,'Graph Data'!AQ$1,'PCO Log'!$E$7:$SJ$7,"Approved")</f>
        <v>0</v>
      </c>
      <c r="AR66" s="304">
        <f>SUMIFS('PCO Log'!$E76:$SJ76,'PCO Log'!$E$9:$SJ$9,'Graph Data'!AR$1,'PCO Log'!$E$7:$SJ$7,"Approved")</f>
        <v>0</v>
      </c>
      <c r="AS66" s="304">
        <f>SUMIFS('PCO Log'!$E76:$SJ76,'PCO Log'!$E$9:$SJ$9,'Graph Data'!AS$1,'PCO Log'!$E$7:$SJ$7,"Approved")</f>
        <v>0</v>
      </c>
      <c r="AT66" s="304">
        <f>SUMIFS('PCO Log'!$E76:$SJ76,'PCO Log'!$E$9:$SJ$9,'Graph Data'!AT$1,'PCO Log'!$E$7:$SJ$7,"Approved")</f>
        <v>0</v>
      </c>
      <c r="AU66" s="304">
        <f>SUMIFS('PCO Log'!$E76:$SJ76,'PCO Log'!$E$9:$SJ$9,'Graph Data'!AU$1,'PCO Log'!$E$7:$SJ$7,"Approved")</f>
        <v>0</v>
      </c>
      <c r="AV66" s="304">
        <f>SUMIFS('PCO Log'!$E76:$SJ76,'PCO Log'!$E$9:$SJ$9,'Graph Data'!AV$1,'PCO Log'!$E$7:$SJ$7,"Approved")</f>
        <v>0</v>
      </c>
      <c r="AW66" s="304">
        <f>SUMIFS('PCO Log'!$E76:$SJ76,'PCO Log'!$E$9:$SJ$9,'Graph Data'!AW$1,'PCO Log'!$E$7:$SJ$7,"Approved")</f>
        <v>0</v>
      </c>
      <c r="AX66" s="304">
        <f>SUMIFS('PCO Log'!$E76:$SJ76,'PCO Log'!$E$9:$SJ$9,'Graph Data'!AX$1,'PCO Log'!$E$7:$SJ$7,"Approved")</f>
        <v>0</v>
      </c>
      <c r="AY66" s="304">
        <f>SUMIFS('PCO Log'!$E76:$SJ76,'PCO Log'!$E$9:$SJ$9,'Graph Data'!AY$1,'PCO Log'!$E$7:$SJ$7,"Approved")</f>
        <v>0</v>
      </c>
      <c r="AZ66" s="304">
        <f>SUMIFS('PCO Log'!$E76:$SJ76,'PCO Log'!$E$9:$SJ$9,'Graph Data'!AZ$1,'PCO Log'!$E$7:$SJ$7,"Approved")</f>
        <v>0</v>
      </c>
      <c r="BA66" s="304">
        <f>SUMIFS('PCO Log'!$E76:$SJ76,'PCO Log'!$E$9:$SJ$9,'Graph Data'!BA$1,'PCO Log'!$E$7:$SJ$7,"Approved")</f>
        <v>0</v>
      </c>
      <c r="BB66" s="304">
        <f>SUMIFS('PCO Log'!$E76:$SJ76,'PCO Log'!$E$9:$SJ$9,'Graph Data'!BB$1,'PCO Log'!$E$7:$SJ$7,"Approved")</f>
        <v>0</v>
      </c>
      <c r="BC66" s="304">
        <f>SUMIFS('PCO Log'!$E76:$SJ76,'PCO Log'!$E$9:$SJ$9,'Graph Data'!BC$1,'PCO Log'!$E$7:$SJ$7,"Approved")</f>
        <v>0</v>
      </c>
      <c r="BD66" s="304">
        <f>SUMIFS('PCO Log'!$E76:$SJ76,'PCO Log'!$E$9:$SJ$9,'Graph Data'!BD$1,'PCO Log'!$E$7:$SJ$7,"Approved")</f>
        <v>0</v>
      </c>
      <c r="BE66" s="304">
        <f>SUMIFS('PCO Log'!$E76:$SJ76,'PCO Log'!$E$9:$SJ$9,'Graph Data'!BE$1,'PCO Log'!$E$7:$SJ$7,"Approved")</f>
        <v>0</v>
      </c>
      <c r="BF66" s="304">
        <f>SUMIFS('PCO Log'!$E76:$SJ76,'PCO Log'!$E$9:$SJ$9,'Graph Data'!BF$1,'PCO Log'!$E$7:$SJ$7,"Approved")</f>
        <v>0</v>
      </c>
      <c r="BG66" s="304">
        <f>SUMIFS('PCO Log'!$E76:$SJ76,'PCO Log'!$E$9:$SJ$9,'Graph Data'!BG$1,'PCO Log'!$E$7:$SJ$7,"Approved")</f>
        <v>0</v>
      </c>
      <c r="BH66" s="304">
        <f>SUMIFS('PCO Log'!$E76:$SJ76,'PCO Log'!$E$9:$SJ$9,'Graph Data'!BH$1,'PCO Log'!$E$7:$SJ$7,"Approved")</f>
        <v>0</v>
      </c>
      <c r="BI66" s="304">
        <f>SUMIFS('PCO Log'!$E76:$SJ76,'PCO Log'!$E$9:$SJ$9,'Graph Data'!BI$1,'PCO Log'!$E$7:$SJ$7,"Approved")</f>
        <v>0</v>
      </c>
      <c r="BJ66" s="304">
        <f>SUMIFS('PCO Log'!$E76:$SJ76,'PCO Log'!$E$9:$SJ$9,'Graph Data'!BJ$1,'PCO Log'!$E$7:$SJ$7,"Approved")</f>
        <v>0</v>
      </c>
      <c r="BK66" s="304">
        <f>SUMIFS('PCO Log'!$E76:$SJ76,'PCO Log'!$E$9:$SJ$9,'Graph Data'!BK$1,'PCO Log'!$E$7:$SJ$7,"Approved")</f>
        <v>0</v>
      </c>
      <c r="BL66" s="304">
        <f>SUMIFS('PCO Log'!$E76:$SJ76,'PCO Log'!$E$9:$SJ$9,'Graph Data'!BL$1,'PCO Log'!$E$7:$SJ$7,"Approved")</f>
        <v>0</v>
      </c>
      <c r="BM66" s="304">
        <f>SUMIFS('PCO Log'!$E76:$SJ76,'PCO Log'!$E$9:$SJ$9,'Graph Data'!BM$1,'PCO Log'!$E$7:$SJ$7,"Approved")</f>
        <v>0</v>
      </c>
      <c r="BN66" s="304">
        <f>SUMIFS('PCO Log'!$E76:$SJ76,'PCO Log'!$E$9:$SJ$9,'Graph Data'!BN$1,'PCO Log'!$E$7:$SJ$7,"Approved")</f>
        <v>0</v>
      </c>
      <c r="BO66" s="304">
        <f>SUMIFS('PCO Log'!$E76:$SJ76,'PCO Log'!$E$9:$SJ$9,'Graph Data'!BO$1,'PCO Log'!$E$7:$SJ$7,"Approved")</f>
        <v>0</v>
      </c>
      <c r="BP66" s="304">
        <f>SUMIFS('PCO Log'!$E76:$SJ76,'PCO Log'!$E$9:$SJ$9,'Graph Data'!BP$1,'PCO Log'!$E$7:$SJ$7,"Approved")</f>
        <v>0</v>
      </c>
      <c r="BQ66" s="304">
        <f>SUMIFS('PCO Log'!$E76:$SJ76,'PCO Log'!$E$9:$SJ$9,'Graph Data'!BQ$1,'PCO Log'!$E$7:$SJ$7,"Approved")</f>
        <v>0</v>
      </c>
      <c r="BR66" s="304">
        <f>SUMIFS('PCO Log'!$E76:$SJ76,'PCO Log'!$E$9:$SJ$9,'Graph Data'!BR$1,'PCO Log'!$E$7:$SJ$7,"Approved")</f>
        <v>0</v>
      </c>
      <c r="BS66" s="304">
        <f>SUMIFS('PCO Log'!$E76:$SJ76,'PCO Log'!$E$9:$SJ$9,'Graph Data'!BS$1,'PCO Log'!$E$7:$SJ$7,"Approved")</f>
        <v>0</v>
      </c>
      <c r="BT66" s="304">
        <f>SUMIFS('PCO Log'!$E76:$SJ76,'PCO Log'!$E$9:$SJ$9,'Graph Data'!BT$1,'PCO Log'!$E$7:$SJ$7,"Approved")</f>
        <v>0</v>
      </c>
      <c r="BU66" s="304">
        <f>SUMIFS('PCO Log'!$E76:$SJ76,'PCO Log'!$E$9:$SJ$9,'Graph Data'!BU$1,'PCO Log'!$E$7:$SJ$7,"Approved")</f>
        <v>0</v>
      </c>
      <c r="BV66" s="304">
        <f>SUMIFS('PCO Log'!$E76:$SJ76,'PCO Log'!$E$9:$SJ$9,'Graph Data'!BV$1,'PCO Log'!$E$7:$SJ$7,"Approved")</f>
        <v>0</v>
      </c>
      <c r="BW66" s="304">
        <f>SUMIFS('PCO Log'!$E76:$SJ76,'PCO Log'!$E$9:$SJ$9,'Graph Data'!BW$1,'PCO Log'!$E$7:$SJ$7,"Approved")</f>
        <v>0</v>
      </c>
      <c r="BX66" s="304">
        <f>SUMIFS('PCO Log'!$E76:$SJ76,'PCO Log'!$E$9:$SJ$9,'Graph Data'!BX$1,'PCO Log'!$E$7:$SJ$7,"Approved")</f>
        <v>0</v>
      </c>
    </row>
    <row r="67" spans="1:76" x14ac:dyDescent="0.25">
      <c r="A67" s="303" t="s">
        <v>407</v>
      </c>
      <c r="B67" s="303">
        <f>'PCO Log'!BR7</f>
        <v>0</v>
      </c>
      <c r="C67" s="303">
        <f>'PCO Log'!BR4</f>
        <v>0</v>
      </c>
      <c r="D67" s="303" cm="1">
        <f t="array" ref="D67">INDEX('PCO Log'!$E$5:$SJ$5, 1, ROWS('Graph Data'!$D$2:D67))</f>
        <v>0</v>
      </c>
      <c r="E67" s="303">
        <f>'PCO Log'!BR8</f>
        <v>0</v>
      </c>
      <c r="F67" s="303">
        <f>'PCO Log'!BR3</f>
        <v>0</v>
      </c>
      <c r="G67" s="304">
        <f>'PCO Log'!BR10</f>
        <v>0</v>
      </c>
      <c r="H67" s="305">
        <f>'PCO Log'!BR6</f>
        <v>0</v>
      </c>
      <c r="K67" s="303" t="s">
        <v>268</v>
      </c>
      <c r="L67" s="306">
        <v>3</v>
      </c>
      <c r="M67" s="303" t="s">
        <v>272</v>
      </c>
      <c r="O67" s="303" t="str">
        <f>'Pay App 1'!B127</f>
        <v>14 40 00</v>
      </c>
      <c r="P67" s="303" t="str">
        <f>'Pay App 1'!C127</f>
        <v>Lifts</v>
      </c>
      <c r="Q67" s="304">
        <f>SUMIFS('PCO Log'!$E77:$SJ77,'PCO Log'!$E$9:$SJ$9,'Graph Data'!Q$1,'PCO Log'!$E$7:$SJ$7,"Approved")</f>
        <v>0</v>
      </c>
      <c r="R67" s="304">
        <f>SUMIFS('PCO Log'!$E77:$SJ77,'PCO Log'!$E$9:$SJ$9,'Graph Data'!R$1,'PCO Log'!$E$7:$SJ$7,"Approved")</f>
        <v>0</v>
      </c>
      <c r="S67" s="304">
        <f>SUMIFS('PCO Log'!$E77:$SJ77,'PCO Log'!$E$9:$SJ$9,'Graph Data'!S$1,'PCO Log'!$E$7:$SJ$7,"Approved")</f>
        <v>0</v>
      </c>
      <c r="T67" s="304">
        <f>SUMIFS('PCO Log'!$E77:$SJ77,'PCO Log'!$E$9:$SJ$9,'Graph Data'!T$1,'PCO Log'!$E$7:$SJ$7,"Approved")</f>
        <v>0</v>
      </c>
      <c r="U67" s="304">
        <f>SUMIFS('PCO Log'!$E77:$SJ77,'PCO Log'!$E$9:$SJ$9,'Graph Data'!U$1,'PCO Log'!$E$7:$SJ$7,"Approved")</f>
        <v>0</v>
      </c>
      <c r="V67" s="304">
        <f>SUMIFS('PCO Log'!$E77:$SJ77,'PCO Log'!$E$9:$SJ$9,'Graph Data'!V$1,'PCO Log'!$E$7:$SJ$7,"Approved")</f>
        <v>0</v>
      </c>
      <c r="W67" s="304">
        <f>SUMIFS('PCO Log'!$E77:$SJ77,'PCO Log'!$E$9:$SJ$9,'Graph Data'!W$1,'PCO Log'!$E$7:$SJ$7,"Approved")</f>
        <v>0</v>
      </c>
      <c r="X67" s="304">
        <f>SUMIFS('PCO Log'!$E77:$SJ77,'PCO Log'!$E$9:$SJ$9,'Graph Data'!X$1,'PCO Log'!$E$7:$SJ$7,"Approved")</f>
        <v>0</v>
      </c>
      <c r="Y67" s="304">
        <f>SUMIFS('PCO Log'!$E77:$SJ77,'PCO Log'!$E$9:$SJ$9,'Graph Data'!Y$1,'PCO Log'!$E$7:$SJ$7,"Approved")</f>
        <v>0</v>
      </c>
      <c r="Z67" s="304">
        <f>SUMIFS('PCO Log'!$E77:$SJ77,'PCO Log'!$E$9:$SJ$9,'Graph Data'!Z$1,'PCO Log'!$E$7:$SJ$7,"Approved")</f>
        <v>0</v>
      </c>
      <c r="AA67" s="304">
        <f>SUMIFS('PCO Log'!$E77:$SJ77,'PCO Log'!$E$9:$SJ$9,'Graph Data'!AA$1,'PCO Log'!$E$7:$SJ$7,"Approved")</f>
        <v>0</v>
      </c>
      <c r="AB67" s="304">
        <f>SUMIFS('PCO Log'!$E77:$SJ77,'PCO Log'!$E$9:$SJ$9,'Graph Data'!AB$1,'PCO Log'!$E$7:$SJ$7,"Approved")</f>
        <v>0</v>
      </c>
      <c r="AC67" s="304">
        <f>SUMIFS('PCO Log'!$E77:$SJ77,'PCO Log'!$E$9:$SJ$9,'Graph Data'!AC$1,'PCO Log'!$E$7:$SJ$7,"Approved")</f>
        <v>0</v>
      </c>
      <c r="AD67" s="304">
        <f>SUMIFS('PCO Log'!$E77:$SJ77,'PCO Log'!$E$9:$SJ$9,'Graph Data'!AD$1,'PCO Log'!$E$7:$SJ$7,"Approved")</f>
        <v>0</v>
      </c>
      <c r="AE67" s="304">
        <f>SUMIFS('PCO Log'!$E77:$SJ77,'PCO Log'!$E$9:$SJ$9,'Graph Data'!AE$1,'PCO Log'!$E$7:$SJ$7,"Approved")</f>
        <v>0</v>
      </c>
      <c r="AF67" s="304">
        <f>SUMIFS('PCO Log'!$E77:$SJ77,'PCO Log'!$E$9:$SJ$9,'Graph Data'!AF$1,'PCO Log'!$E$7:$SJ$7,"Approved")</f>
        <v>0</v>
      </c>
      <c r="AG67" s="304">
        <f>SUMIFS('PCO Log'!$E77:$SJ77,'PCO Log'!$E$9:$SJ$9,'Graph Data'!AG$1,'PCO Log'!$E$7:$SJ$7,"Approved")</f>
        <v>0</v>
      </c>
      <c r="AH67" s="304">
        <f>SUMIFS('PCO Log'!$E77:$SJ77,'PCO Log'!$E$9:$SJ$9,'Graph Data'!AH$1,'PCO Log'!$E$7:$SJ$7,"Approved")</f>
        <v>0</v>
      </c>
      <c r="AI67" s="304">
        <f>SUMIFS('PCO Log'!$E77:$SJ77,'PCO Log'!$E$9:$SJ$9,'Graph Data'!AI$1,'PCO Log'!$E$7:$SJ$7,"Approved")</f>
        <v>0</v>
      </c>
      <c r="AJ67" s="304">
        <f>SUMIFS('PCO Log'!$E77:$SJ77,'PCO Log'!$E$9:$SJ$9,'Graph Data'!AJ$1,'PCO Log'!$E$7:$SJ$7,"Approved")</f>
        <v>0</v>
      </c>
      <c r="AK67" s="304">
        <f>SUMIFS('PCO Log'!$E77:$SJ77,'PCO Log'!$E$9:$SJ$9,'Graph Data'!AK$1,'PCO Log'!$E$7:$SJ$7,"Approved")</f>
        <v>0</v>
      </c>
      <c r="AL67" s="304">
        <f>SUMIFS('PCO Log'!$E77:$SJ77,'PCO Log'!$E$9:$SJ$9,'Graph Data'!AL$1,'PCO Log'!$E$7:$SJ$7,"Approved")</f>
        <v>0</v>
      </c>
      <c r="AM67" s="304">
        <f>SUMIFS('PCO Log'!$E77:$SJ77,'PCO Log'!$E$9:$SJ$9,'Graph Data'!AM$1,'PCO Log'!$E$7:$SJ$7,"Approved")</f>
        <v>0</v>
      </c>
      <c r="AN67" s="304">
        <f>SUMIFS('PCO Log'!$E77:$SJ77,'PCO Log'!$E$9:$SJ$9,'Graph Data'!AN$1,'PCO Log'!$E$7:$SJ$7,"Approved")</f>
        <v>0</v>
      </c>
      <c r="AO67" s="304">
        <f>SUMIFS('PCO Log'!$E77:$SJ77,'PCO Log'!$E$9:$SJ$9,'Graph Data'!AO$1,'PCO Log'!$E$7:$SJ$7,"Approved")</f>
        <v>0</v>
      </c>
      <c r="AP67" s="304">
        <f>SUMIFS('PCO Log'!$E77:$SJ77,'PCO Log'!$E$9:$SJ$9,'Graph Data'!AP$1,'PCO Log'!$E$7:$SJ$7,"Approved")</f>
        <v>0</v>
      </c>
      <c r="AQ67" s="304">
        <f>SUMIFS('PCO Log'!$E77:$SJ77,'PCO Log'!$E$9:$SJ$9,'Graph Data'!AQ$1,'PCO Log'!$E$7:$SJ$7,"Approved")</f>
        <v>0</v>
      </c>
      <c r="AR67" s="304">
        <f>SUMIFS('PCO Log'!$E77:$SJ77,'PCO Log'!$E$9:$SJ$9,'Graph Data'!AR$1,'PCO Log'!$E$7:$SJ$7,"Approved")</f>
        <v>0</v>
      </c>
      <c r="AS67" s="304">
        <f>SUMIFS('PCO Log'!$E77:$SJ77,'PCO Log'!$E$9:$SJ$9,'Graph Data'!AS$1,'PCO Log'!$E$7:$SJ$7,"Approved")</f>
        <v>0</v>
      </c>
      <c r="AT67" s="304">
        <f>SUMIFS('PCO Log'!$E77:$SJ77,'PCO Log'!$E$9:$SJ$9,'Graph Data'!AT$1,'PCO Log'!$E$7:$SJ$7,"Approved")</f>
        <v>0</v>
      </c>
      <c r="AU67" s="304">
        <f>SUMIFS('PCO Log'!$E77:$SJ77,'PCO Log'!$E$9:$SJ$9,'Graph Data'!AU$1,'PCO Log'!$E$7:$SJ$7,"Approved")</f>
        <v>0</v>
      </c>
      <c r="AV67" s="304">
        <f>SUMIFS('PCO Log'!$E77:$SJ77,'PCO Log'!$E$9:$SJ$9,'Graph Data'!AV$1,'PCO Log'!$E$7:$SJ$7,"Approved")</f>
        <v>0</v>
      </c>
      <c r="AW67" s="304">
        <f>SUMIFS('PCO Log'!$E77:$SJ77,'PCO Log'!$E$9:$SJ$9,'Graph Data'!AW$1,'PCO Log'!$E$7:$SJ$7,"Approved")</f>
        <v>0</v>
      </c>
      <c r="AX67" s="304">
        <f>SUMIFS('PCO Log'!$E77:$SJ77,'PCO Log'!$E$9:$SJ$9,'Graph Data'!AX$1,'PCO Log'!$E$7:$SJ$7,"Approved")</f>
        <v>0</v>
      </c>
      <c r="AY67" s="304">
        <f>SUMIFS('PCO Log'!$E77:$SJ77,'PCO Log'!$E$9:$SJ$9,'Graph Data'!AY$1,'PCO Log'!$E$7:$SJ$7,"Approved")</f>
        <v>0</v>
      </c>
      <c r="AZ67" s="304">
        <f>SUMIFS('PCO Log'!$E77:$SJ77,'PCO Log'!$E$9:$SJ$9,'Graph Data'!AZ$1,'PCO Log'!$E$7:$SJ$7,"Approved")</f>
        <v>0</v>
      </c>
      <c r="BA67" s="304">
        <f>SUMIFS('PCO Log'!$E77:$SJ77,'PCO Log'!$E$9:$SJ$9,'Graph Data'!BA$1,'PCO Log'!$E$7:$SJ$7,"Approved")</f>
        <v>0</v>
      </c>
      <c r="BB67" s="304">
        <f>SUMIFS('PCO Log'!$E77:$SJ77,'PCO Log'!$E$9:$SJ$9,'Graph Data'!BB$1,'PCO Log'!$E$7:$SJ$7,"Approved")</f>
        <v>0</v>
      </c>
      <c r="BC67" s="304">
        <f>SUMIFS('PCO Log'!$E77:$SJ77,'PCO Log'!$E$9:$SJ$9,'Graph Data'!BC$1,'PCO Log'!$E$7:$SJ$7,"Approved")</f>
        <v>0</v>
      </c>
      <c r="BD67" s="304">
        <f>SUMIFS('PCO Log'!$E77:$SJ77,'PCO Log'!$E$9:$SJ$9,'Graph Data'!BD$1,'PCO Log'!$E$7:$SJ$7,"Approved")</f>
        <v>0</v>
      </c>
      <c r="BE67" s="304">
        <f>SUMIFS('PCO Log'!$E77:$SJ77,'PCO Log'!$E$9:$SJ$9,'Graph Data'!BE$1,'PCO Log'!$E$7:$SJ$7,"Approved")</f>
        <v>0</v>
      </c>
      <c r="BF67" s="304">
        <f>SUMIFS('PCO Log'!$E77:$SJ77,'PCO Log'!$E$9:$SJ$9,'Graph Data'!BF$1,'PCO Log'!$E$7:$SJ$7,"Approved")</f>
        <v>0</v>
      </c>
      <c r="BG67" s="304">
        <f>SUMIFS('PCO Log'!$E77:$SJ77,'PCO Log'!$E$9:$SJ$9,'Graph Data'!BG$1,'PCO Log'!$E$7:$SJ$7,"Approved")</f>
        <v>0</v>
      </c>
      <c r="BH67" s="304">
        <f>SUMIFS('PCO Log'!$E77:$SJ77,'PCO Log'!$E$9:$SJ$9,'Graph Data'!BH$1,'PCO Log'!$E$7:$SJ$7,"Approved")</f>
        <v>0</v>
      </c>
      <c r="BI67" s="304">
        <f>SUMIFS('PCO Log'!$E77:$SJ77,'PCO Log'!$E$9:$SJ$9,'Graph Data'!BI$1,'PCO Log'!$E$7:$SJ$7,"Approved")</f>
        <v>0</v>
      </c>
      <c r="BJ67" s="304">
        <f>SUMIFS('PCO Log'!$E77:$SJ77,'PCO Log'!$E$9:$SJ$9,'Graph Data'!BJ$1,'PCO Log'!$E$7:$SJ$7,"Approved")</f>
        <v>0</v>
      </c>
      <c r="BK67" s="304">
        <f>SUMIFS('PCO Log'!$E77:$SJ77,'PCO Log'!$E$9:$SJ$9,'Graph Data'!BK$1,'PCO Log'!$E$7:$SJ$7,"Approved")</f>
        <v>0</v>
      </c>
      <c r="BL67" s="304">
        <f>SUMIFS('PCO Log'!$E77:$SJ77,'PCO Log'!$E$9:$SJ$9,'Graph Data'!BL$1,'PCO Log'!$E$7:$SJ$7,"Approved")</f>
        <v>0</v>
      </c>
      <c r="BM67" s="304">
        <f>SUMIFS('PCO Log'!$E77:$SJ77,'PCO Log'!$E$9:$SJ$9,'Graph Data'!BM$1,'PCO Log'!$E$7:$SJ$7,"Approved")</f>
        <v>0</v>
      </c>
      <c r="BN67" s="304">
        <f>SUMIFS('PCO Log'!$E77:$SJ77,'PCO Log'!$E$9:$SJ$9,'Graph Data'!BN$1,'PCO Log'!$E$7:$SJ$7,"Approved")</f>
        <v>0</v>
      </c>
      <c r="BO67" s="304">
        <f>SUMIFS('PCO Log'!$E77:$SJ77,'PCO Log'!$E$9:$SJ$9,'Graph Data'!BO$1,'PCO Log'!$E$7:$SJ$7,"Approved")</f>
        <v>0</v>
      </c>
      <c r="BP67" s="304">
        <f>SUMIFS('PCO Log'!$E77:$SJ77,'PCO Log'!$E$9:$SJ$9,'Graph Data'!BP$1,'PCO Log'!$E$7:$SJ$7,"Approved")</f>
        <v>0</v>
      </c>
      <c r="BQ67" s="304">
        <f>SUMIFS('PCO Log'!$E77:$SJ77,'PCO Log'!$E$9:$SJ$9,'Graph Data'!BQ$1,'PCO Log'!$E$7:$SJ$7,"Approved")</f>
        <v>0</v>
      </c>
      <c r="BR67" s="304">
        <f>SUMIFS('PCO Log'!$E77:$SJ77,'PCO Log'!$E$9:$SJ$9,'Graph Data'!BR$1,'PCO Log'!$E$7:$SJ$7,"Approved")</f>
        <v>0</v>
      </c>
      <c r="BS67" s="304">
        <f>SUMIFS('PCO Log'!$E77:$SJ77,'PCO Log'!$E$9:$SJ$9,'Graph Data'!BS$1,'PCO Log'!$E$7:$SJ$7,"Approved")</f>
        <v>0</v>
      </c>
      <c r="BT67" s="304">
        <f>SUMIFS('PCO Log'!$E77:$SJ77,'PCO Log'!$E$9:$SJ$9,'Graph Data'!BT$1,'PCO Log'!$E$7:$SJ$7,"Approved")</f>
        <v>0</v>
      </c>
      <c r="BU67" s="304">
        <f>SUMIFS('PCO Log'!$E77:$SJ77,'PCO Log'!$E$9:$SJ$9,'Graph Data'!BU$1,'PCO Log'!$E$7:$SJ$7,"Approved")</f>
        <v>0</v>
      </c>
      <c r="BV67" s="304">
        <f>SUMIFS('PCO Log'!$E77:$SJ77,'PCO Log'!$E$9:$SJ$9,'Graph Data'!BV$1,'PCO Log'!$E$7:$SJ$7,"Approved")</f>
        <v>0</v>
      </c>
      <c r="BW67" s="304">
        <f>SUMIFS('PCO Log'!$E77:$SJ77,'PCO Log'!$E$9:$SJ$9,'Graph Data'!BW$1,'PCO Log'!$E$7:$SJ$7,"Approved")</f>
        <v>0</v>
      </c>
      <c r="BX67" s="304">
        <f>SUMIFS('PCO Log'!$E77:$SJ77,'PCO Log'!$E$9:$SJ$9,'Graph Data'!BX$1,'PCO Log'!$E$7:$SJ$7,"Approved")</f>
        <v>0</v>
      </c>
    </row>
    <row r="68" spans="1:76" x14ac:dyDescent="0.25">
      <c r="A68" s="303" t="s">
        <v>408</v>
      </c>
      <c r="B68" s="303">
        <f>'PCO Log'!BS7</f>
        <v>0</v>
      </c>
      <c r="C68" s="303">
        <f>'PCO Log'!BS4</f>
        <v>0</v>
      </c>
      <c r="D68" s="303" cm="1">
        <f t="array" ref="D68">INDEX('PCO Log'!$E$5:$SJ$5, 1, ROWS('Graph Data'!$D$2:D68))</f>
        <v>0</v>
      </c>
      <c r="E68" s="303">
        <f>'PCO Log'!BS8</f>
        <v>0</v>
      </c>
      <c r="F68" s="303">
        <f>'PCO Log'!BS3</f>
        <v>0</v>
      </c>
      <c r="G68" s="304">
        <f>'PCO Log'!BS10</f>
        <v>0</v>
      </c>
      <c r="H68" s="305">
        <f>'PCO Log'!BS6</f>
        <v>0</v>
      </c>
      <c r="K68" s="303" t="s">
        <v>269</v>
      </c>
      <c r="L68" s="306">
        <v>4</v>
      </c>
      <c r="M68" s="303" t="s">
        <v>336</v>
      </c>
      <c r="O68" s="303" t="str">
        <f>'Pay App 1'!B128</f>
        <v>20 00 00</v>
      </c>
      <c r="P68" s="303" t="str">
        <f>'Pay App 1'!C128</f>
        <v>Mechanical/Plumbing</v>
      </c>
      <c r="Q68" s="304">
        <f>SUMIFS('PCO Log'!$E78:$SJ78,'PCO Log'!$E$9:$SJ$9,'Graph Data'!Q$1,'PCO Log'!$E$7:$SJ$7,"Approved")</f>
        <v>0</v>
      </c>
      <c r="R68" s="304">
        <f>SUMIFS('PCO Log'!$E78:$SJ78,'PCO Log'!$E$9:$SJ$9,'Graph Data'!R$1,'PCO Log'!$E$7:$SJ$7,"Approved")</f>
        <v>0</v>
      </c>
      <c r="S68" s="304">
        <f>SUMIFS('PCO Log'!$E78:$SJ78,'PCO Log'!$E$9:$SJ$9,'Graph Data'!S$1,'PCO Log'!$E$7:$SJ$7,"Approved")</f>
        <v>0</v>
      </c>
      <c r="T68" s="304">
        <f>SUMIFS('PCO Log'!$E78:$SJ78,'PCO Log'!$E$9:$SJ$9,'Graph Data'!T$1,'PCO Log'!$E$7:$SJ$7,"Approved")</f>
        <v>0</v>
      </c>
      <c r="U68" s="304">
        <f>SUMIFS('PCO Log'!$E78:$SJ78,'PCO Log'!$E$9:$SJ$9,'Graph Data'!U$1,'PCO Log'!$E$7:$SJ$7,"Approved")</f>
        <v>0</v>
      </c>
      <c r="V68" s="304">
        <f>SUMIFS('PCO Log'!$E78:$SJ78,'PCO Log'!$E$9:$SJ$9,'Graph Data'!V$1,'PCO Log'!$E$7:$SJ$7,"Approved")</f>
        <v>0</v>
      </c>
      <c r="W68" s="304">
        <f>SUMIFS('PCO Log'!$E78:$SJ78,'PCO Log'!$E$9:$SJ$9,'Graph Data'!W$1,'PCO Log'!$E$7:$SJ$7,"Approved")</f>
        <v>0</v>
      </c>
      <c r="X68" s="304">
        <f>SUMIFS('PCO Log'!$E78:$SJ78,'PCO Log'!$E$9:$SJ$9,'Graph Data'!X$1,'PCO Log'!$E$7:$SJ$7,"Approved")</f>
        <v>0</v>
      </c>
      <c r="Y68" s="304">
        <f>SUMIFS('PCO Log'!$E78:$SJ78,'PCO Log'!$E$9:$SJ$9,'Graph Data'!Y$1,'PCO Log'!$E$7:$SJ$7,"Approved")</f>
        <v>0</v>
      </c>
      <c r="Z68" s="304">
        <f>SUMIFS('PCO Log'!$E78:$SJ78,'PCO Log'!$E$9:$SJ$9,'Graph Data'!Z$1,'PCO Log'!$E$7:$SJ$7,"Approved")</f>
        <v>0</v>
      </c>
      <c r="AA68" s="304">
        <f>SUMIFS('PCO Log'!$E78:$SJ78,'PCO Log'!$E$9:$SJ$9,'Graph Data'!AA$1,'PCO Log'!$E$7:$SJ$7,"Approved")</f>
        <v>0</v>
      </c>
      <c r="AB68" s="304">
        <f>SUMIFS('PCO Log'!$E78:$SJ78,'PCO Log'!$E$9:$SJ$9,'Graph Data'!AB$1,'PCO Log'!$E$7:$SJ$7,"Approved")</f>
        <v>0</v>
      </c>
      <c r="AC68" s="304">
        <f>SUMIFS('PCO Log'!$E78:$SJ78,'PCO Log'!$E$9:$SJ$9,'Graph Data'!AC$1,'PCO Log'!$E$7:$SJ$7,"Approved")</f>
        <v>0</v>
      </c>
      <c r="AD68" s="304">
        <f>SUMIFS('PCO Log'!$E78:$SJ78,'PCO Log'!$E$9:$SJ$9,'Graph Data'!AD$1,'PCO Log'!$E$7:$SJ$7,"Approved")</f>
        <v>0</v>
      </c>
      <c r="AE68" s="304">
        <f>SUMIFS('PCO Log'!$E78:$SJ78,'PCO Log'!$E$9:$SJ$9,'Graph Data'!AE$1,'PCO Log'!$E$7:$SJ$7,"Approved")</f>
        <v>0</v>
      </c>
      <c r="AF68" s="304">
        <f>SUMIFS('PCO Log'!$E78:$SJ78,'PCO Log'!$E$9:$SJ$9,'Graph Data'!AF$1,'PCO Log'!$E$7:$SJ$7,"Approved")</f>
        <v>0</v>
      </c>
      <c r="AG68" s="304">
        <f>SUMIFS('PCO Log'!$E78:$SJ78,'PCO Log'!$E$9:$SJ$9,'Graph Data'!AG$1,'PCO Log'!$E$7:$SJ$7,"Approved")</f>
        <v>0</v>
      </c>
      <c r="AH68" s="304">
        <f>SUMIFS('PCO Log'!$E78:$SJ78,'PCO Log'!$E$9:$SJ$9,'Graph Data'!AH$1,'PCO Log'!$E$7:$SJ$7,"Approved")</f>
        <v>0</v>
      </c>
      <c r="AI68" s="304">
        <f>SUMIFS('PCO Log'!$E78:$SJ78,'PCO Log'!$E$9:$SJ$9,'Graph Data'!AI$1,'PCO Log'!$E$7:$SJ$7,"Approved")</f>
        <v>0</v>
      </c>
      <c r="AJ68" s="304">
        <f>SUMIFS('PCO Log'!$E78:$SJ78,'PCO Log'!$E$9:$SJ$9,'Graph Data'!AJ$1,'PCO Log'!$E$7:$SJ$7,"Approved")</f>
        <v>0</v>
      </c>
      <c r="AK68" s="304">
        <f>SUMIFS('PCO Log'!$E78:$SJ78,'PCO Log'!$E$9:$SJ$9,'Graph Data'!AK$1,'PCO Log'!$E$7:$SJ$7,"Approved")</f>
        <v>0</v>
      </c>
      <c r="AL68" s="304">
        <f>SUMIFS('PCO Log'!$E78:$SJ78,'PCO Log'!$E$9:$SJ$9,'Graph Data'!AL$1,'PCO Log'!$E$7:$SJ$7,"Approved")</f>
        <v>0</v>
      </c>
      <c r="AM68" s="304">
        <f>SUMIFS('PCO Log'!$E78:$SJ78,'PCO Log'!$E$9:$SJ$9,'Graph Data'!AM$1,'PCO Log'!$E$7:$SJ$7,"Approved")</f>
        <v>0</v>
      </c>
      <c r="AN68" s="304">
        <f>SUMIFS('PCO Log'!$E78:$SJ78,'PCO Log'!$E$9:$SJ$9,'Graph Data'!AN$1,'PCO Log'!$E$7:$SJ$7,"Approved")</f>
        <v>0</v>
      </c>
      <c r="AO68" s="304">
        <f>SUMIFS('PCO Log'!$E78:$SJ78,'PCO Log'!$E$9:$SJ$9,'Graph Data'!AO$1,'PCO Log'!$E$7:$SJ$7,"Approved")</f>
        <v>0</v>
      </c>
      <c r="AP68" s="304">
        <f>SUMIFS('PCO Log'!$E78:$SJ78,'PCO Log'!$E$9:$SJ$9,'Graph Data'!AP$1,'PCO Log'!$E$7:$SJ$7,"Approved")</f>
        <v>0</v>
      </c>
      <c r="AQ68" s="304">
        <f>SUMIFS('PCO Log'!$E78:$SJ78,'PCO Log'!$E$9:$SJ$9,'Graph Data'!AQ$1,'PCO Log'!$E$7:$SJ$7,"Approved")</f>
        <v>0</v>
      </c>
      <c r="AR68" s="304">
        <f>SUMIFS('PCO Log'!$E78:$SJ78,'PCO Log'!$E$9:$SJ$9,'Graph Data'!AR$1,'PCO Log'!$E$7:$SJ$7,"Approved")</f>
        <v>0</v>
      </c>
      <c r="AS68" s="304">
        <f>SUMIFS('PCO Log'!$E78:$SJ78,'PCO Log'!$E$9:$SJ$9,'Graph Data'!AS$1,'PCO Log'!$E$7:$SJ$7,"Approved")</f>
        <v>0</v>
      </c>
      <c r="AT68" s="304">
        <f>SUMIFS('PCO Log'!$E78:$SJ78,'PCO Log'!$E$9:$SJ$9,'Graph Data'!AT$1,'PCO Log'!$E$7:$SJ$7,"Approved")</f>
        <v>0</v>
      </c>
      <c r="AU68" s="304">
        <f>SUMIFS('PCO Log'!$E78:$SJ78,'PCO Log'!$E$9:$SJ$9,'Graph Data'!AU$1,'PCO Log'!$E$7:$SJ$7,"Approved")</f>
        <v>0</v>
      </c>
      <c r="AV68" s="304">
        <f>SUMIFS('PCO Log'!$E78:$SJ78,'PCO Log'!$E$9:$SJ$9,'Graph Data'!AV$1,'PCO Log'!$E$7:$SJ$7,"Approved")</f>
        <v>0</v>
      </c>
      <c r="AW68" s="304">
        <f>SUMIFS('PCO Log'!$E78:$SJ78,'PCO Log'!$E$9:$SJ$9,'Graph Data'!AW$1,'PCO Log'!$E$7:$SJ$7,"Approved")</f>
        <v>0</v>
      </c>
      <c r="AX68" s="304">
        <f>SUMIFS('PCO Log'!$E78:$SJ78,'PCO Log'!$E$9:$SJ$9,'Graph Data'!AX$1,'PCO Log'!$E$7:$SJ$7,"Approved")</f>
        <v>0</v>
      </c>
      <c r="AY68" s="304">
        <f>SUMIFS('PCO Log'!$E78:$SJ78,'PCO Log'!$E$9:$SJ$9,'Graph Data'!AY$1,'PCO Log'!$E$7:$SJ$7,"Approved")</f>
        <v>0</v>
      </c>
      <c r="AZ68" s="304">
        <f>SUMIFS('PCO Log'!$E78:$SJ78,'PCO Log'!$E$9:$SJ$9,'Graph Data'!AZ$1,'PCO Log'!$E$7:$SJ$7,"Approved")</f>
        <v>0</v>
      </c>
      <c r="BA68" s="304">
        <f>SUMIFS('PCO Log'!$E78:$SJ78,'PCO Log'!$E$9:$SJ$9,'Graph Data'!BA$1,'PCO Log'!$E$7:$SJ$7,"Approved")</f>
        <v>0</v>
      </c>
      <c r="BB68" s="304">
        <f>SUMIFS('PCO Log'!$E78:$SJ78,'PCO Log'!$E$9:$SJ$9,'Graph Data'!BB$1,'PCO Log'!$E$7:$SJ$7,"Approved")</f>
        <v>0</v>
      </c>
      <c r="BC68" s="304">
        <f>SUMIFS('PCO Log'!$E78:$SJ78,'PCO Log'!$E$9:$SJ$9,'Graph Data'!BC$1,'PCO Log'!$E$7:$SJ$7,"Approved")</f>
        <v>0</v>
      </c>
      <c r="BD68" s="304">
        <f>SUMIFS('PCO Log'!$E78:$SJ78,'PCO Log'!$E$9:$SJ$9,'Graph Data'!BD$1,'PCO Log'!$E$7:$SJ$7,"Approved")</f>
        <v>0</v>
      </c>
      <c r="BE68" s="304">
        <f>SUMIFS('PCO Log'!$E78:$SJ78,'PCO Log'!$E$9:$SJ$9,'Graph Data'!BE$1,'PCO Log'!$E$7:$SJ$7,"Approved")</f>
        <v>0</v>
      </c>
      <c r="BF68" s="304">
        <f>SUMIFS('PCO Log'!$E78:$SJ78,'PCO Log'!$E$9:$SJ$9,'Graph Data'!BF$1,'PCO Log'!$E$7:$SJ$7,"Approved")</f>
        <v>0</v>
      </c>
      <c r="BG68" s="304">
        <f>SUMIFS('PCO Log'!$E78:$SJ78,'PCO Log'!$E$9:$SJ$9,'Graph Data'!BG$1,'PCO Log'!$E$7:$SJ$7,"Approved")</f>
        <v>0</v>
      </c>
      <c r="BH68" s="304">
        <f>SUMIFS('PCO Log'!$E78:$SJ78,'PCO Log'!$E$9:$SJ$9,'Graph Data'!BH$1,'PCO Log'!$E$7:$SJ$7,"Approved")</f>
        <v>0</v>
      </c>
      <c r="BI68" s="304">
        <f>SUMIFS('PCO Log'!$E78:$SJ78,'PCO Log'!$E$9:$SJ$9,'Graph Data'!BI$1,'PCO Log'!$E$7:$SJ$7,"Approved")</f>
        <v>0</v>
      </c>
      <c r="BJ68" s="304">
        <f>SUMIFS('PCO Log'!$E78:$SJ78,'PCO Log'!$E$9:$SJ$9,'Graph Data'!BJ$1,'PCO Log'!$E$7:$SJ$7,"Approved")</f>
        <v>0</v>
      </c>
      <c r="BK68" s="304">
        <f>SUMIFS('PCO Log'!$E78:$SJ78,'PCO Log'!$E$9:$SJ$9,'Graph Data'!BK$1,'PCO Log'!$E$7:$SJ$7,"Approved")</f>
        <v>0</v>
      </c>
      <c r="BL68" s="304">
        <f>SUMIFS('PCO Log'!$E78:$SJ78,'PCO Log'!$E$9:$SJ$9,'Graph Data'!BL$1,'PCO Log'!$E$7:$SJ$7,"Approved")</f>
        <v>0</v>
      </c>
      <c r="BM68" s="304">
        <f>SUMIFS('PCO Log'!$E78:$SJ78,'PCO Log'!$E$9:$SJ$9,'Graph Data'!BM$1,'PCO Log'!$E$7:$SJ$7,"Approved")</f>
        <v>0</v>
      </c>
      <c r="BN68" s="304">
        <f>SUMIFS('PCO Log'!$E78:$SJ78,'PCO Log'!$E$9:$SJ$9,'Graph Data'!BN$1,'PCO Log'!$E$7:$SJ$7,"Approved")</f>
        <v>0</v>
      </c>
      <c r="BO68" s="304">
        <f>SUMIFS('PCO Log'!$E78:$SJ78,'PCO Log'!$E$9:$SJ$9,'Graph Data'!BO$1,'PCO Log'!$E$7:$SJ$7,"Approved")</f>
        <v>0</v>
      </c>
      <c r="BP68" s="304">
        <f>SUMIFS('PCO Log'!$E78:$SJ78,'PCO Log'!$E$9:$SJ$9,'Graph Data'!BP$1,'PCO Log'!$E$7:$SJ$7,"Approved")</f>
        <v>0</v>
      </c>
      <c r="BQ68" s="304">
        <f>SUMIFS('PCO Log'!$E78:$SJ78,'PCO Log'!$E$9:$SJ$9,'Graph Data'!BQ$1,'PCO Log'!$E$7:$SJ$7,"Approved")</f>
        <v>0</v>
      </c>
      <c r="BR68" s="304">
        <f>SUMIFS('PCO Log'!$E78:$SJ78,'PCO Log'!$E$9:$SJ$9,'Graph Data'!BR$1,'PCO Log'!$E$7:$SJ$7,"Approved")</f>
        <v>0</v>
      </c>
      <c r="BS68" s="304">
        <f>SUMIFS('PCO Log'!$E78:$SJ78,'PCO Log'!$E$9:$SJ$9,'Graph Data'!BS$1,'PCO Log'!$E$7:$SJ$7,"Approved")</f>
        <v>0</v>
      </c>
      <c r="BT68" s="304">
        <f>SUMIFS('PCO Log'!$E78:$SJ78,'PCO Log'!$E$9:$SJ$9,'Graph Data'!BT$1,'PCO Log'!$E$7:$SJ$7,"Approved")</f>
        <v>0</v>
      </c>
      <c r="BU68" s="304">
        <f>SUMIFS('PCO Log'!$E78:$SJ78,'PCO Log'!$E$9:$SJ$9,'Graph Data'!BU$1,'PCO Log'!$E$7:$SJ$7,"Approved")</f>
        <v>0</v>
      </c>
      <c r="BV68" s="304">
        <f>SUMIFS('PCO Log'!$E78:$SJ78,'PCO Log'!$E$9:$SJ$9,'Graph Data'!BV$1,'PCO Log'!$E$7:$SJ$7,"Approved")</f>
        <v>0</v>
      </c>
      <c r="BW68" s="304">
        <f>SUMIFS('PCO Log'!$E78:$SJ78,'PCO Log'!$E$9:$SJ$9,'Graph Data'!BW$1,'PCO Log'!$E$7:$SJ$7,"Approved")</f>
        <v>0</v>
      </c>
      <c r="BX68" s="304">
        <f>SUMIFS('PCO Log'!$E78:$SJ78,'PCO Log'!$E$9:$SJ$9,'Graph Data'!BX$1,'PCO Log'!$E$7:$SJ$7,"Approved")</f>
        <v>0</v>
      </c>
    </row>
    <row r="69" spans="1:76" x14ac:dyDescent="0.25">
      <c r="A69" s="303" t="s">
        <v>409</v>
      </c>
      <c r="B69" s="303">
        <f>'PCO Log'!BT7</f>
        <v>0</v>
      </c>
      <c r="C69" s="303">
        <f>'PCO Log'!BT4</f>
        <v>0</v>
      </c>
      <c r="D69" s="303" cm="1">
        <f t="array" ref="D69">INDEX('PCO Log'!$E$5:$SJ$5, 1, ROWS('Graph Data'!$D$2:D69))</f>
        <v>0</v>
      </c>
      <c r="E69" s="303">
        <f>'PCO Log'!BT8</f>
        <v>0</v>
      </c>
      <c r="F69" s="303">
        <f>'PCO Log'!BT3</f>
        <v>0</v>
      </c>
      <c r="G69" s="304">
        <f>'PCO Log'!BT10</f>
        <v>0</v>
      </c>
      <c r="H69" s="305">
        <f>'PCO Log'!BT6</f>
        <v>0</v>
      </c>
      <c r="K69" s="303" t="s">
        <v>270</v>
      </c>
      <c r="L69" s="306">
        <v>5</v>
      </c>
      <c r="O69" s="303" t="str">
        <f>'Pay App 1'!B129</f>
        <v>21 00 00</v>
      </c>
      <c r="P69" s="303" t="str">
        <f>'Pay App 1'!C129</f>
        <v>Fire Sprinklers/Pumps</v>
      </c>
      <c r="Q69" s="304">
        <f>SUMIFS('PCO Log'!$E79:$SJ79,'PCO Log'!$E$9:$SJ$9,'Graph Data'!Q$1,'PCO Log'!$E$7:$SJ$7,"Approved")</f>
        <v>0</v>
      </c>
      <c r="R69" s="304">
        <f>SUMIFS('PCO Log'!$E79:$SJ79,'PCO Log'!$E$9:$SJ$9,'Graph Data'!R$1,'PCO Log'!$E$7:$SJ$7,"Approved")</f>
        <v>0</v>
      </c>
      <c r="S69" s="304">
        <f>SUMIFS('PCO Log'!$E79:$SJ79,'PCO Log'!$E$9:$SJ$9,'Graph Data'!S$1,'PCO Log'!$E$7:$SJ$7,"Approved")</f>
        <v>0</v>
      </c>
      <c r="T69" s="304">
        <f>SUMIFS('PCO Log'!$E79:$SJ79,'PCO Log'!$E$9:$SJ$9,'Graph Data'!T$1,'PCO Log'!$E$7:$SJ$7,"Approved")</f>
        <v>0</v>
      </c>
      <c r="U69" s="304">
        <f>SUMIFS('PCO Log'!$E79:$SJ79,'PCO Log'!$E$9:$SJ$9,'Graph Data'!U$1,'PCO Log'!$E$7:$SJ$7,"Approved")</f>
        <v>0</v>
      </c>
      <c r="V69" s="304">
        <f>SUMIFS('PCO Log'!$E79:$SJ79,'PCO Log'!$E$9:$SJ$9,'Graph Data'!V$1,'PCO Log'!$E$7:$SJ$7,"Approved")</f>
        <v>0</v>
      </c>
      <c r="W69" s="304">
        <f>SUMIFS('PCO Log'!$E79:$SJ79,'PCO Log'!$E$9:$SJ$9,'Graph Data'!W$1,'PCO Log'!$E$7:$SJ$7,"Approved")</f>
        <v>0</v>
      </c>
      <c r="X69" s="304">
        <f>SUMIFS('PCO Log'!$E79:$SJ79,'PCO Log'!$E$9:$SJ$9,'Graph Data'!X$1,'PCO Log'!$E$7:$SJ$7,"Approved")</f>
        <v>0</v>
      </c>
      <c r="Y69" s="304">
        <f>SUMIFS('PCO Log'!$E79:$SJ79,'PCO Log'!$E$9:$SJ$9,'Graph Data'!Y$1,'PCO Log'!$E$7:$SJ$7,"Approved")</f>
        <v>0</v>
      </c>
      <c r="Z69" s="304">
        <f>SUMIFS('PCO Log'!$E79:$SJ79,'PCO Log'!$E$9:$SJ$9,'Graph Data'!Z$1,'PCO Log'!$E$7:$SJ$7,"Approved")</f>
        <v>0</v>
      </c>
      <c r="AA69" s="304">
        <f>SUMIFS('PCO Log'!$E79:$SJ79,'PCO Log'!$E$9:$SJ$9,'Graph Data'!AA$1,'PCO Log'!$E$7:$SJ$7,"Approved")</f>
        <v>0</v>
      </c>
      <c r="AB69" s="304">
        <f>SUMIFS('PCO Log'!$E79:$SJ79,'PCO Log'!$E$9:$SJ$9,'Graph Data'!AB$1,'PCO Log'!$E$7:$SJ$7,"Approved")</f>
        <v>0</v>
      </c>
      <c r="AC69" s="304">
        <f>SUMIFS('PCO Log'!$E79:$SJ79,'PCO Log'!$E$9:$SJ$9,'Graph Data'!AC$1,'PCO Log'!$E$7:$SJ$7,"Approved")</f>
        <v>0</v>
      </c>
      <c r="AD69" s="304">
        <f>SUMIFS('PCO Log'!$E79:$SJ79,'PCO Log'!$E$9:$SJ$9,'Graph Data'!AD$1,'PCO Log'!$E$7:$SJ$7,"Approved")</f>
        <v>0</v>
      </c>
      <c r="AE69" s="304">
        <f>SUMIFS('PCO Log'!$E79:$SJ79,'PCO Log'!$E$9:$SJ$9,'Graph Data'!AE$1,'PCO Log'!$E$7:$SJ$7,"Approved")</f>
        <v>0</v>
      </c>
      <c r="AF69" s="304">
        <f>SUMIFS('PCO Log'!$E79:$SJ79,'PCO Log'!$E$9:$SJ$9,'Graph Data'!AF$1,'PCO Log'!$E$7:$SJ$7,"Approved")</f>
        <v>0</v>
      </c>
      <c r="AG69" s="304">
        <f>SUMIFS('PCO Log'!$E79:$SJ79,'PCO Log'!$E$9:$SJ$9,'Graph Data'!AG$1,'PCO Log'!$E$7:$SJ$7,"Approved")</f>
        <v>0</v>
      </c>
      <c r="AH69" s="304">
        <f>SUMIFS('PCO Log'!$E79:$SJ79,'PCO Log'!$E$9:$SJ$9,'Graph Data'!AH$1,'PCO Log'!$E$7:$SJ$7,"Approved")</f>
        <v>0</v>
      </c>
      <c r="AI69" s="304">
        <f>SUMIFS('PCO Log'!$E79:$SJ79,'PCO Log'!$E$9:$SJ$9,'Graph Data'!AI$1,'PCO Log'!$E$7:$SJ$7,"Approved")</f>
        <v>0</v>
      </c>
      <c r="AJ69" s="304">
        <f>SUMIFS('PCO Log'!$E79:$SJ79,'PCO Log'!$E$9:$SJ$9,'Graph Data'!AJ$1,'PCO Log'!$E$7:$SJ$7,"Approved")</f>
        <v>0</v>
      </c>
      <c r="AK69" s="304">
        <f>SUMIFS('PCO Log'!$E79:$SJ79,'PCO Log'!$E$9:$SJ$9,'Graph Data'!AK$1,'PCO Log'!$E$7:$SJ$7,"Approved")</f>
        <v>0</v>
      </c>
      <c r="AL69" s="304">
        <f>SUMIFS('PCO Log'!$E79:$SJ79,'PCO Log'!$E$9:$SJ$9,'Graph Data'!AL$1,'PCO Log'!$E$7:$SJ$7,"Approved")</f>
        <v>0</v>
      </c>
      <c r="AM69" s="304">
        <f>SUMIFS('PCO Log'!$E79:$SJ79,'PCO Log'!$E$9:$SJ$9,'Graph Data'!AM$1,'PCO Log'!$E$7:$SJ$7,"Approved")</f>
        <v>0</v>
      </c>
      <c r="AN69" s="304">
        <f>SUMIFS('PCO Log'!$E79:$SJ79,'PCO Log'!$E$9:$SJ$9,'Graph Data'!AN$1,'PCO Log'!$E$7:$SJ$7,"Approved")</f>
        <v>0</v>
      </c>
      <c r="AO69" s="304">
        <f>SUMIFS('PCO Log'!$E79:$SJ79,'PCO Log'!$E$9:$SJ$9,'Graph Data'!AO$1,'PCO Log'!$E$7:$SJ$7,"Approved")</f>
        <v>0</v>
      </c>
      <c r="AP69" s="304">
        <f>SUMIFS('PCO Log'!$E79:$SJ79,'PCO Log'!$E$9:$SJ$9,'Graph Data'!AP$1,'PCO Log'!$E$7:$SJ$7,"Approved")</f>
        <v>0</v>
      </c>
      <c r="AQ69" s="304">
        <f>SUMIFS('PCO Log'!$E79:$SJ79,'PCO Log'!$E$9:$SJ$9,'Graph Data'!AQ$1,'PCO Log'!$E$7:$SJ$7,"Approved")</f>
        <v>0</v>
      </c>
      <c r="AR69" s="304">
        <f>SUMIFS('PCO Log'!$E79:$SJ79,'PCO Log'!$E$9:$SJ$9,'Graph Data'!AR$1,'PCO Log'!$E$7:$SJ$7,"Approved")</f>
        <v>0</v>
      </c>
      <c r="AS69" s="304">
        <f>SUMIFS('PCO Log'!$E79:$SJ79,'PCO Log'!$E$9:$SJ$9,'Graph Data'!AS$1,'PCO Log'!$E$7:$SJ$7,"Approved")</f>
        <v>0</v>
      </c>
      <c r="AT69" s="304">
        <f>SUMIFS('PCO Log'!$E79:$SJ79,'PCO Log'!$E$9:$SJ$9,'Graph Data'!AT$1,'PCO Log'!$E$7:$SJ$7,"Approved")</f>
        <v>0</v>
      </c>
      <c r="AU69" s="304">
        <f>SUMIFS('PCO Log'!$E79:$SJ79,'PCO Log'!$E$9:$SJ$9,'Graph Data'!AU$1,'PCO Log'!$E$7:$SJ$7,"Approved")</f>
        <v>0</v>
      </c>
      <c r="AV69" s="304">
        <f>SUMIFS('PCO Log'!$E79:$SJ79,'PCO Log'!$E$9:$SJ$9,'Graph Data'!AV$1,'PCO Log'!$E$7:$SJ$7,"Approved")</f>
        <v>0</v>
      </c>
      <c r="AW69" s="304">
        <f>SUMIFS('PCO Log'!$E79:$SJ79,'PCO Log'!$E$9:$SJ$9,'Graph Data'!AW$1,'PCO Log'!$E$7:$SJ$7,"Approved")</f>
        <v>0</v>
      </c>
      <c r="AX69" s="304">
        <f>SUMIFS('PCO Log'!$E79:$SJ79,'PCO Log'!$E$9:$SJ$9,'Graph Data'!AX$1,'PCO Log'!$E$7:$SJ$7,"Approved")</f>
        <v>0</v>
      </c>
      <c r="AY69" s="304">
        <f>SUMIFS('PCO Log'!$E79:$SJ79,'PCO Log'!$E$9:$SJ$9,'Graph Data'!AY$1,'PCO Log'!$E$7:$SJ$7,"Approved")</f>
        <v>0</v>
      </c>
      <c r="AZ69" s="304">
        <f>SUMIFS('PCO Log'!$E79:$SJ79,'PCO Log'!$E$9:$SJ$9,'Graph Data'!AZ$1,'PCO Log'!$E$7:$SJ$7,"Approved")</f>
        <v>0</v>
      </c>
      <c r="BA69" s="304">
        <f>SUMIFS('PCO Log'!$E79:$SJ79,'PCO Log'!$E$9:$SJ$9,'Graph Data'!BA$1,'PCO Log'!$E$7:$SJ$7,"Approved")</f>
        <v>0</v>
      </c>
      <c r="BB69" s="304">
        <f>SUMIFS('PCO Log'!$E79:$SJ79,'PCO Log'!$E$9:$SJ$9,'Graph Data'!BB$1,'PCO Log'!$E$7:$SJ$7,"Approved")</f>
        <v>0</v>
      </c>
      <c r="BC69" s="304">
        <f>SUMIFS('PCO Log'!$E79:$SJ79,'PCO Log'!$E$9:$SJ$9,'Graph Data'!BC$1,'PCO Log'!$E$7:$SJ$7,"Approved")</f>
        <v>0</v>
      </c>
      <c r="BD69" s="304">
        <f>SUMIFS('PCO Log'!$E79:$SJ79,'PCO Log'!$E$9:$SJ$9,'Graph Data'!BD$1,'PCO Log'!$E$7:$SJ$7,"Approved")</f>
        <v>0</v>
      </c>
      <c r="BE69" s="304">
        <f>SUMIFS('PCO Log'!$E79:$SJ79,'PCO Log'!$E$9:$SJ$9,'Graph Data'!BE$1,'PCO Log'!$E$7:$SJ$7,"Approved")</f>
        <v>0</v>
      </c>
      <c r="BF69" s="304">
        <f>SUMIFS('PCO Log'!$E79:$SJ79,'PCO Log'!$E$9:$SJ$9,'Graph Data'!BF$1,'PCO Log'!$E$7:$SJ$7,"Approved")</f>
        <v>0</v>
      </c>
      <c r="BG69" s="304">
        <f>SUMIFS('PCO Log'!$E79:$SJ79,'PCO Log'!$E$9:$SJ$9,'Graph Data'!BG$1,'PCO Log'!$E$7:$SJ$7,"Approved")</f>
        <v>0</v>
      </c>
      <c r="BH69" s="304">
        <f>SUMIFS('PCO Log'!$E79:$SJ79,'PCO Log'!$E$9:$SJ$9,'Graph Data'!BH$1,'PCO Log'!$E$7:$SJ$7,"Approved")</f>
        <v>0</v>
      </c>
      <c r="BI69" s="304">
        <f>SUMIFS('PCO Log'!$E79:$SJ79,'PCO Log'!$E$9:$SJ$9,'Graph Data'!BI$1,'PCO Log'!$E$7:$SJ$7,"Approved")</f>
        <v>0</v>
      </c>
      <c r="BJ69" s="304">
        <f>SUMIFS('PCO Log'!$E79:$SJ79,'PCO Log'!$E$9:$SJ$9,'Graph Data'!BJ$1,'PCO Log'!$E$7:$SJ$7,"Approved")</f>
        <v>0</v>
      </c>
      <c r="BK69" s="304">
        <f>SUMIFS('PCO Log'!$E79:$SJ79,'PCO Log'!$E$9:$SJ$9,'Graph Data'!BK$1,'PCO Log'!$E$7:$SJ$7,"Approved")</f>
        <v>0</v>
      </c>
      <c r="BL69" s="304">
        <f>SUMIFS('PCO Log'!$E79:$SJ79,'PCO Log'!$E$9:$SJ$9,'Graph Data'!BL$1,'PCO Log'!$E$7:$SJ$7,"Approved")</f>
        <v>0</v>
      </c>
      <c r="BM69" s="304">
        <f>SUMIFS('PCO Log'!$E79:$SJ79,'PCO Log'!$E$9:$SJ$9,'Graph Data'!BM$1,'PCO Log'!$E$7:$SJ$7,"Approved")</f>
        <v>0</v>
      </c>
      <c r="BN69" s="304">
        <f>SUMIFS('PCO Log'!$E79:$SJ79,'PCO Log'!$E$9:$SJ$9,'Graph Data'!BN$1,'PCO Log'!$E$7:$SJ$7,"Approved")</f>
        <v>0</v>
      </c>
      <c r="BO69" s="304">
        <f>SUMIFS('PCO Log'!$E79:$SJ79,'PCO Log'!$E$9:$SJ$9,'Graph Data'!BO$1,'PCO Log'!$E$7:$SJ$7,"Approved")</f>
        <v>0</v>
      </c>
      <c r="BP69" s="304">
        <f>SUMIFS('PCO Log'!$E79:$SJ79,'PCO Log'!$E$9:$SJ$9,'Graph Data'!BP$1,'PCO Log'!$E$7:$SJ$7,"Approved")</f>
        <v>0</v>
      </c>
      <c r="BQ69" s="304">
        <f>SUMIFS('PCO Log'!$E79:$SJ79,'PCO Log'!$E$9:$SJ$9,'Graph Data'!BQ$1,'PCO Log'!$E$7:$SJ$7,"Approved")</f>
        <v>0</v>
      </c>
      <c r="BR69" s="304">
        <f>SUMIFS('PCO Log'!$E79:$SJ79,'PCO Log'!$E$9:$SJ$9,'Graph Data'!BR$1,'PCO Log'!$E$7:$SJ$7,"Approved")</f>
        <v>0</v>
      </c>
      <c r="BS69" s="304">
        <f>SUMIFS('PCO Log'!$E79:$SJ79,'PCO Log'!$E$9:$SJ$9,'Graph Data'!BS$1,'PCO Log'!$E$7:$SJ$7,"Approved")</f>
        <v>0</v>
      </c>
      <c r="BT69" s="304">
        <f>SUMIFS('PCO Log'!$E79:$SJ79,'PCO Log'!$E$9:$SJ$9,'Graph Data'!BT$1,'PCO Log'!$E$7:$SJ$7,"Approved")</f>
        <v>0</v>
      </c>
      <c r="BU69" s="304">
        <f>SUMIFS('PCO Log'!$E79:$SJ79,'PCO Log'!$E$9:$SJ$9,'Graph Data'!BU$1,'PCO Log'!$E$7:$SJ$7,"Approved")</f>
        <v>0</v>
      </c>
      <c r="BV69" s="304">
        <f>SUMIFS('PCO Log'!$E79:$SJ79,'PCO Log'!$E$9:$SJ$9,'Graph Data'!BV$1,'PCO Log'!$E$7:$SJ$7,"Approved")</f>
        <v>0</v>
      </c>
      <c r="BW69" s="304">
        <f>SUMIFS('PCO Log'!$E79:$SJ79,'PCO Log'!$E$9:$SJ$9,'Graph Data'!BW$1,'PCO Log'!$E$7:$SJ$7,"Approved")</f>
        <v>0</v>
      </c>
      <c r="BX69" s="304">
        <f>SUMIFS('PCO Log'!$E79:$SJ79,'PCO Log'!$E$9:$SJ$9,'Graph Data'!BX$1,'PCO Log'!$E$7:$SJ$7,"Approved")</f>
        <v>0</v>
      </c>
    </row>
    <row r="70" spans="1:76" x14ac:dyDescent="0.25">
      <c r="A70" s="303" t="s">
        <v>410</v>
      </c>
      <c r="B70" s="303">
        <f>'PCO Log'!BU7</f>
        <v>0</v>
      </c>
      <c r="C70" s="303">
        <f>'PCO Log'!BU4</f>
        <v>0</v>
      </c>
      <c r="D70" s="303" cm="1">
        <f t="array" ref="D70">INDEX('PCO Log'!$E$5:$SJ$5, 1, ROWS('Graph Data'!$D$2:D70))</f>
        <v>0</v>
      </c>
      <c r="E70" s="303">
        <f>'PCO Log'!BU8</f>
        <v>0</v>
      </c>
      <c r="F70" s="303">
        <f>'PCO Log'!BU3</f>
        <v>0</v>
      </c>
      <c r="G70" s="304">
        <f>'PCO Log'!BU10</f>
        <v>0</v>
      </c>
      <c r="H70" s="305">
        <f>'PCO Log'!BU6</f>
        <v>0</v>
      </c>
      <c r="K70" s="303" t="s">
        <v>274</v>
      </c>
      <c r="L70" s="306">
        <v>6</v>
      </c>
      <c r="O70" s="303" t="str">
        <f>'Pay App 1'!B130</f>
        <v>22 00 00</v>
      </c>
      <c r="P70" s="303" t="str">
        <f>'Pay App 1'!C130</f>
        <v>Plumbing</v>
      </c>
      <c r="Q70" s="304">
        <f>SUMIFS('PCO Log'!$E80:$SJ80,'PCO Log'!$E$9:$SJ$9,'Graph Data'!Q$1,'PCO Log'!$E$7:$SJ$7,"Approved")</f>
        <v>0</v>
      </c>
      <c r="R70" s="304">
        <f>SUMIFS('PCO Log'!$E80:$SJ80,'PCO Log'!$E$9:$SJ$9,'Graph Data'!R$1,'PCO Log'!$E$7:$SJ$7,"Approved")</f>
        <v>0</v>
      </c>
      <c r="S70" s="304">
        <f>SUMIFS('PCO Log'!$E80:$SJ80,'PCO Log'!$E$9:$SJ$9,'Graph Data'!S$1,'PCO Log'!$E$7:$SJ$7,"Approved")</f>
        <v>0</v>
      </c>
      <c r="T70" s="304">
        <f>SUMIFS('PCO Log'!$E80:$SJ80,'PCO Log'!$E$9:$SJ$9,'Graph Data'!T$1,'PCO Log'!$E$7:$SJ$7,"Approved")</f>
        <v>0</v>
      </c>
      <c r="U70" s="304">
        <f>SUMIFS('PCO Log'!$E80:$SJ80,'PCO Log'!$E$9:$SJ$9,'Graph Data'!U$1,'PCO Log'!$E$7:$SJ$7,"Approved")</f>
        <v>0</v>
      </c>
      <c r="V70" s="304">
        <f>SUMIFS('PCO Log'!$E80:$SJ80,'PCO Log'!$E$9:$SJ$9,'Graph Data'!V$1,'PCO Log'!$E$7:$SJ$7,"Approved")</f>
        <v>0</v>
      </c>
      <c r="W70" s="304">
        <f>SUMIFS('PCO Log'!$E80:$SJ80,'PCO Log'!$E$9:$SJ$9,'Graph Data'!W$1,'PCO Log'!$E$7:$SJ$7,"Approved")</f>
        <v>0</v>
      </c>
      <c r="X70" s="304">
        <f>SUMIFS('PCO Log'!$E80:$SJ80,'PCO Log'!$E$9:$SJ$9,'Graph Data'!X$1,'PCO Log'!$E$7:$SJ$7,"Approved")</f>
        <v>0</v>
      </c>
      <c r="Y70" s="304">
        <f>SUMIFS('PCO Log'!$E80:$SJ80,'PCO Log'!$E$9:$SJ$9,'Graph Data'!Y$1,'PCO Log'!$E$7:$SJ$7,"Approved")</f>
        <v>0</v>
      </c>
      <c r="Z70" s="304">
        <f>SUMIFS('PCO Log'!$E80:$SJ80,'PCO Log'!$E$9:$SJ$9,'Graph Data'!Z$1,'PCO Log'!$E$7:$SJ$7,"Approved")</f>
        <v>0</v>
      </c>
      <c r="AA70" s="304">
        <f>SUMIFS('PCO Log'!$E80:$SJ80,'PCO Log'!$E$9:$SJ$9,'Graph Data'!AA$1,'PCO Log'!$E$7:$SJ$7,"Approved")</f>
        <v>0</v>
      </c>
      <c r="AB70" s="304">
        <f>SUMIFS('PCO Log'!$E80:$SJ80,'PCO Log'!$E$9:$SJ$9,'Graph Data'!AB$1,'PCO Log'!$E$7:$SJ$7,"Approved")</f>
        <v>0</v>
      </c>
      <c r="AC70" s="304">
        <f>SUMIFS('PCO Log'!$E80:$SJ80,'PCO Log'!$E$9:$SJ$9,'Graph Data'!AC$1,'PCO Log'!$E$7:$SJ$7,"Approved")</f>
        <v>0</v>
      </c>
      <c r="AD70" s="304">
        <f>SUMIFS('PCO Log'!$E80:$SJ80,'PCO Log'!$E$9:$SJ$9,'Graph Data'!AD$1,'PCO Log'!$E$7:$SJ$7,"Approved")</f>
        <v>0</v>
      </c>
      <c r="AE70" s="304">
        <f>SUMIFS('PCO Log'!$E80:$SJ80,'PCO Log'!$E$9:$SJ$9,'Graph Data'!AE$1,'PCO Log'!$E$7:$SJ$7,"Approved")</f>
        <v>0</v>
      </c>
      <c r="AF70" s="304">
        <f>SUMIFS('PCO Log'!$E80:$SJ80,'PCO Log'!$E$9:$SJ$9,'Graph Data'!AF$1,'PCO Log'!$E$7:$SJ$7,"Approved")</f>
        <v>0</v>
      </c>
      <c r="AG70" s="304">
        <f>SUMIFS('PCO Log'!$E80:$SJ80,'PCO Log'!$E$9:$SJ$9,'Graph Data'!AG$1,'PCO Log'!$E$7:$SJ$7,"Approved")</f>
        <v>0</v>
      </c>
      <c r="AH70" s="304">
        <f>SUMIFS('PCO Log'!$E80:$SJ80,'PCO Log'!$E$9:$SJ$9,'Graph Data'!AH$1,'PCO Log'!$E$7:$SJ$7,"Approved")</f>
        <v>0</v>
      </c>
      <c r="AI70" s="304">
        <f>SUMIFS('PCO Log'!$E80:$SJ80,'PCO Log'!$E$9:$SJ$9,'Graph Data'!AI$1,'PCO Log'!$E$7:$SJ$7,"Approved")</f>
        <v>0</v>
      </c>
      <c r="AJ70" s="304">
        <f>SUMIFS('PCO Log'!$E80:$SJ80,'PCO Log'!$E$9:$SJ$9,'Graph Data'!AJ$1,'PCO Log'!$E$7:$SJ$7,"Approved")</f>
        <v>0</v>
      </c>
      <c r="AK70" s="304">
        <f>SUMIFS('PCO Log'!$E80:$SJ80,'PCO Log'!$E$9:$SJ$9,'Graph Data'!AK$1,'PCO Log'!$E$7:$SJ$7,"Approved")</f>
        <v>0</v>
      </c>
      <c r="AL70" s="304">
        <f>SUMIFS('PCO Log'!$E80:$SJ80,'PCO Log'!$E$9:$SJ$9,'Graph Data'!AL$1,'PCO Log'!$E$7:$SJ$7,"Approved")</f>
        <v>0</v>
      </c>
      <c r="AM70" s="304">
        <f>SUMIFS('PCO Log'!$E80:$SJ80,'PCO Log'!$E$9:$SJ$9,'Graph Data'!AM$1,'PCO Log'!$E$7:$SJ$7,"Approved")</f>
        <v>0</v>
      </c>
      <c r="AN70" s="304">
        <f>SUMIFS('PCO Log'!$E80:$SJ80,'PCO Log'!$E$9:$SJ$9,'Graph Data'!AN$1,'PCO Log'!$E$7:$SJ$7,"Approved")</f>
        <v>0</v>
      </c>
      <c r="AO70" s="304">
        <f>SUMIFS('PCO Log'!$E80:$SJ80,'PCO Log'!$E$9:$SJ$9,'Graph Data'!AO$1,'PCO Log'!$E$7:$SJ$7,"Approved")</f>
        <v>0</v>
      </c>
      <c r="AP70" s="304">
        <f>SUMIFS('PCO Log'!$E80:$SJ80,'PCO Log'!$E$9:$SJ$9,'Graph Data'!AP$1,'PCO Log'!$E$7:$SJ$7,"Approved")</f>
        <v>0</v>
      </c>
      <c r="AQ70" s="304">
        <f>SUMIFS('PCO Log'!$E80:$SJ80,'PCO Log'!$E$9:$SJ$9,'Graph Data'!AQ$1,'PCO Log'!$E$7:$SJ$7,"Approved")</f>
        <v>0</v>
      </c>
      <c r="AR70" s="304">
        <f>SUMIFS('PCO Log'!$E80:$SJ80,'PCO Log'!$E$9:$SJ$9,'Graph Data'!AR$1,'PCO Log'!$E$7:$SJ$7,"Approved")</f>
        <v>0</v>
      </c>
      <c r="AS70" s="304">
        <f>SUMIFS('PCO Log'!$E80:$SJ80,'PCO Log'!$E$9:$SJ$9,'Graph Data'!AS$1,'PCO Log'!$E$7:$SJ$7,"Approved")</f>
        <v>0</v>
      </c>
      <c r="AT70" s="304">
        <f>SUMIFS('PCO Log'!$E80:$SJ80,'PCO Log'!$E$9:$SJ$9,'Graph Data'!AT$1,'PCO Log'!$E$7:$SJ$7,"Approved")</f>
        <v>0</v>
      </c>
      <c r="AU70" s="304">
        <f>SUMIFS('PCO Log'!$E80:$SJ80,'PCO Log'!$E$9:$SJ$9,'Graph Data'!AU$1,'PCO Log'!$E$7:$SJ$7,"Approved")</f>
        <v>0</v>
      </c>
      <c r="AV70" s="304">
        <f>SUMIFS('PCO Log'!$E80:$SJ80,'PCO Log'!$E$9:$SJ$9,'Graph Data'!AV$1,'PCO Log'!$E$7:$SJ$7,"Approved")</f>
        <v>0</v>
      </c>
      <c r="AW70" s="304">
        <f>SUMIFS('PCO Log'!$E80:$SJ80,'PCO Log'!$E$9:$SJ$9,'Graph Data'!AW$1,'PCO Log'!$E$7:$SJ$7,"Approved")</f>
        <v>0</v>
      </c>
      <c r="AX70" s="304">
        <f>SUMIFS('PCO Log'!$E80:$SJ80,'PCO Log'!$E$9:$SJ$9,'Graph Data'!AX$1,'PCO Log'!$E$7:$SJ$7,"Approved")</f>
        <v>0</v>
      </c>
      <c r="AY70" s="304">
        <f>SUMIFS('PCO Log'!$E80:$SJ80,'PCO Log'!$E$9:$SJ$9,'Graph Data'!AY$1,'PCO Log'!$E$7:$SJ$7,"Approved")</f>
        <v>0</v>
      </c>
      <c r="AZ70" s="304">
        <f>SUMIFS('PCO Log'!$E80:$SJ80,'PCO Log'!$E$9:$SJ$9,'Graph Data'!AZ$1,'PCO Log'!$E$7:$SJ$7,"Approved")</f>
        <v>0</v>
      </c>
      <c r="BA70" s="304">
        <f>SUMIFS('PCO Log'!$E80:$SJ80,'PCO Log'!$E$9:$SJ$9,'Graph Data'!BA$1,'PCO Log'!$E$7:$SJ$7,"Approved")</f>
        <v>0</v>
      </c>
      <c r="BB70" s="304">
        <f>SUMIFS('PCO Log'!$E80:$SJ80,'PCO Log'!$E$9:$SJ$9,'Graph Data'!BB$1,'PCO Log'!$E$7:$SJ$7,"Approved")</f>
        <v>0</v>
      </c>
      <c r="BC70" s="304">
        <f>SUMIFS('PCO Log'!$E80:$SJ80,'PCO Log'!$E$9:$SJ$9,'Graph Data'!BC$1,'PCO Log'!$E$7:$SJ$7,"Approved")</f>
        <v>0</v>
      </c>
      <c r="BD70" s="304">
        <f>SUMIFS('PCO Log'!$E80:$SJ80,'PCO Log'!$E$9:$SJ$9,'Graph Data'!BD$1,'PCO Log'!$E$7:$SJ$7,"Approved")</f>
        <v>0</v>
      </c>
      <c r="BE70" s="304">
        <f>SUMIFS('PCO Log'!$E80:$SJ80,'PCO Log'!$E$9:$SJ$9,'Graph Data'!BE$1,'PCO Log'!$E$7:$SJ$7,"Approved")</f>
        <v>0</v>
      </c>
      <c r="BF70" s="304">
        <f>SUMIFS('PCO Log'!$E80:$SJ80,'PCO Log'!$E$9:$SJ$9,'Graph Data'!BF$1,'PCO Log'!$E$7:$SJ$7,"Approved")</f>
        <v>0</v>
      </c>
      <c r="BG70" s="304">
        <f>SUMIFS('PCO Log'!$E80:$SJ80,'PCO Log'!$E$9:$SJ$9,'Graph Data'!BG$1,'PCO Log'!$E$7:$SJ$7,"Approved")</f>
        <v>0</v>
      </c>
      <c r="BH70" s="304">
        <f>SUMIFS('PCO Log'!$E80:$SJ80,'PCO Log'!$E$9:$SJ$9,'Graph Data'!BH$1,'PCO Log'!$E$7:$SJ$7,"Approved")</f>
        <v>0</v>
      </c>
      <c r="BI70" s="304">
        <f>SUMIFS('PCO Log'!$E80:$SJ80,'PCO Log'!$E$9:$SJ$9,'Graph Data'!BI$1,'PCO Log'!$E$7:$SJ$7,"Approved")</f>
        <v>0</v>
      </c>
      <c r="BJ70" s="304">
        <f>SUMIFS('PCO Log'!$E80:$SJ80,'PCO Log'!$E$9:$SJ$9,'Graph Data'!BJ$1,'PCO Log'!$E$7:$SJ$7,"Approved")</f>
        <v>0</v>
      </c>
      <c r="BK70" s="304">
        <f>SUMIFS('PCO Log'!$E80:$SJ80,'PCO Log'!$E$9:$SJ$9,'Graph Data'!BK$1,'PCO Log'!$E$7:$SJ$7,"Approved")</f>
        <v>0</v>
      </c>
      <c r="BL70" s="304">
        <f>SUMIFS('PCO Log'!$E80:$SJ80,'PCO Log'!$E$9:$SJ$9,'Graph Data'!BL$1,'PCO Log'!$E$7:$SJ$7,"Approved")</f>
        <v>0</v>
      </c>
      <c r="BM70" s="304">
        <f>SUMIFS('PCO Log'!$E80:$SJ80,'PCO Log'!$E$9:$SJ$9,'Graph Data'!BM$1,'PCO Log'!$E$7:$SJ$7,"Approved")</f>
        <v>0</v>
      </c>
      <c r="BN70" s="304">
        <f>SUMIFS('PCO Log'!$E80:$SJ80,'PCO Log'!$E$9:$SJ$9,'Graph Data'!BN$1,'PCO Log'!$E$7:$SJ$7,"Approved")</f>
        <v>0</v>
      </c>
      <c r="BO70" s="304">
        <f>SUMIFS('PCO Log'!$E80:$SJ80,'PCO Log'!$E$9:$SJ$9,'Graph Data'!BO$1,'PCO Log'!$E$7:$SJ$7,"Approved")</f>
        <v>0</v>
      </c>
      <c r="BP70" s="304">
        <f>SUMIFS('PCO Log'!$E80:$SJ80,'PCO Log'!$E$9:$SJ$9,'Graph Data'!BP$1,'PCO Log'!$E$7:$SJ$7,"Approved")</f>
        <v>0</v>
      </c>
      <c r="BQ70" s="304">
        <f>SUMIFS('PCO Log'!$E80:$SJ80,'PCO Log'!$E$9:$SJ$9,'Graph Data'!BQ$1,'PCO Log'!$E$7:$SJ$7,"Approved")</f>
        <v>0</v>
      </c>
      <c r="BR70" s="304">
        <f>SUMIFS('PCO Log'!$E80:$SJ80,'PCO Log'!$E$9:$SJ$9,'Graph Data'!BR$1,'PCO Log'!$E$7:$SJ$7,"Approved")</f>
        <v>0</v>
      </c>
      <c r="BS70" s="304">
        <f>SUMIFS('PCO Log'!$E80:$SJ80,'PCO Log'!$E$9:$SJ$9,'Graph Data'!BS$1,'PCO Log'!$E$7:$SJ$7,"Approved")</f>
        <v>0</v>
      </c>
      <c r="BT70" s="304">
        <f>SUMIFS('PCO Log'!$E80:$SJ80,'PCO Log'!$E$9:$SJ$9,'Graph Data'!BT$1,'PCO Log'!$E$7:$SJ$7,"Approved")</f>
        <v>0</v>
      </c>
      <c r="BU70" s="304">
        <f>SUMIFS('PCO Log'!$E80:$SJ80,'PCO Log'!$E$9:$SJ$9,'Graph Data'!BU$1,'PCO Log'!$E$7:$SJ$7,"Approved")</f>
        <v>0</v>
      </c>
      <c r="BV70" s="304">
        <f>SUMIFS('PCO Log'!$E80:$SJ80,'PCO Log'!$E$9:$SJ$9,'Graph Data'!BV$1,'PCO Log'!$E$7:$SJ$7,"Approved")</f>
        <v>0</v>
      </c>
      <c r="BW70" s="304">
        <f>SUMIFS('PCO Log'!$E80:$SJ80,'PCO Log'!$E$9:$SJ$9,'Graph Data'!BW$1,'PCO Log'!$E$7:$SJ$7,"Approved")</f>
        <v>0</v>
      </c>
      <c r="BX70" s="304">
        <f>SUMIFS('PCO Log'!$E80:$SJ80,'PCO Log'!$E$9:$SJ$9,'Graph Data'!BX$1,'PCO Log'!$E$7:$SJ$7,"Approved")</f>
        <v>0</v>
      </c>
    </row>
    <row r="71" spans="1:76" x14ac:dyDescent="0.25">
      <c r="A71" s="303" t="s">
        <v>411</v>
      </c>
      <c r="B71" s="303">
        <f>'PCO Log'!BV7</f>
        <v>0</v>
      </c>
      <c r="C71" s="303">
        <f>'PCO Log'!BV4</f>
        <v>0</v>
      </c>
      <c r="D71" s="303" cm="1">
        <f t="array" ref="D71">INDEX('PCO Log'!$E$5:$SJ$5, 1, ROWS('Graph Data'!$D$2:D71))</f>
        <v>0</v>
      </c>
      <c r="E71" s="303">
        <f>'PCO Log'!BV8</f>
        <v>0</v>
      </c>
      <c r="F71" s="303">
        <f>'PCO Log'!BV3</f>
        <v>0</v>
      </c>
      <c r="G71" s="304">
        <f>'PCO Log'!BV10</f>
        <v>0</v>
      </c>
      <c r="H71" s="305">
        <f>'PCO Log'!BV6</f>
        <v>0</v>
      </c>
      <c r="K71" s="303" t="s">
        <v>275</v>
      </c>
      <c r="L71" s="306">
        <v>7</v>
      </c>
      <c r="O71" s="303" t="str">
        <f>'Pay App 1'!B131</f>
        <v>23 00 00</v>
      </c>
      <c r="P71" s="303" t="str">
        <f>'Pay App 1'!C131</f>
        <v>HVAC</v>
      </c>
      <c r="Q71" s="304">
        <f>SUMIFS('PCO Log'!$E81:$SJ81,'PCO Log'!$E$9:$SJ$9,'Graph Data'!Q$1,'PCO Log'!$E$7:$SJ$7,"Approved")</f>
        <v>0</v>
      </c>
      <c r="R71" s="304">
        <f>SUMIFS('PCO Log'!$E81:$SJ81,'PCO Log'!$E$9:$SJ$9,'Graph Data'!R$1,'PCO Log'!$E$7:$SJ$7,"Approved")</f>
        <v>0</v>
      </c>
      <c r="S71" s="304">
        <f>SUMIFS('PCO Log'!$E81:$SJ81,'PCO Log'!$E$9:$SJ$9,'Graph Data'!S$1,'PCO Log'!$E$7:$SJ$7,"Approved")</f>
        <v>0</v>
      </c>
      <c r="T71" s="304">
        <f>SUMIFS('PCO Log'!$E81:$SJ81,'PCO Log'!$E$9:$SJ$9,'Graph Data'!T$1,'PCO Log'!$E$7:$SJ$7,"Approved")</f>
        <v>0</v>
      </c>
      <c r="U71" s="304">
        <f>SUMIFS('PCO Log'!$E81:$SJ81,'PCO Log'!$E$9:$SJ$9,'Graph Data'!U$1,'PCO Log'!$E$7:$SJ$7,"Approved")</f>
        <v>0</v>
      </c>
      <c r="V71" s="304">
        <f>SUMIFS('PCO Log'!$E81:$SJ81,'PCO Log'!$E$9:$SJ$9,'Graph Data'!V$1,'PCO Log'!$E$7:$SJ$7,"Approved")</f>
        <v>0</v>
      </c>
      <c r="W71" s="304">
        <f>SUMIFS('PCO Log'!$E81:$SJ81,'PCO Log'!$E$9:$SJ$9,'Graph Data'!W$1,'PCO Log'!$E$7:$SJ$7,"Approved")</f>
        <v>0</v>
      </c>
      <c r="X71" s="304">
        <f>SUMIFS('PCO Log'!$E81:$SJ81,'PCO Log'!$E$9:$SJ$9,'Graph Data'!X$1,'PCO Log'!$E$7:$SJ$7,"Approved")</f>
        <v>0</v>
      </c>
      <c r="Y71" s="304">
        <f>SUMIFS('PCO Log'!$E81:$SJ81,'PCO Log'!$E$9:$SJ$9,'Graph Data'!Y$1,'PCO Log'!$E$7:$SJ$7,"Approved")</f>
        <v>0</v>
      </c>
      <c r="Z71" s="304">
        <f>SUMIFS('PCO Log'!$E81:$SJ81,'PCO Log'!$E$9:$SJ$9,'Graph Data'!Z$1,'PCO Log'!$E$7:$SJ$7,"Approved")</f>
        <v>0</v>
      </c>
      <c r="AA71" s="304">
        <f>SUMIFS('PCO Log'!$E81:$SJ81,'PCO Log'!$E$9:$SJ$9,'Graph Data'!AA$1,'PCO Log'!$E$7:$SJ$7,"Approved")</f>
        <v>0</v>
      </c>
      <c r="AB71" s="304">
        <f>SUMIFS('PCO Log'!$E81:$SJ81,'PCO Log'!$E$9:$SJ$9,'Graph Data'!AB$1,'PCO Log'!$E$7:$SJ$7,"Approved")</f>
        <v>0</v>
      </c>
      <c r="AC71" s="304">
        <f>SUMIFS('PCO Log'!$E81:$SJ81,'PCO Log'!$E$9:$SJ$9,'Graph Data'!AC$1,'PCO Log'!$E$7:$SJ$7,"Approved")</f>
        <v>0</v>
      </c>
      <c r="AD71" s="304">
        <f>SUMIFS('PCO Log'!$E81:$SJ81,'PCO Log'!$E$9:$SJ$9,'Graph Data'!AD$1,'PCO Log'!$E$7:$SJ$7,"Approved")</f>
        <v>0</v>
      </c>
      <c r="AE71" s="304">
        <f>SUMIFS('PCO Log'!$E81:$SJ81,'PCO Log'!$E$9:$SJ$9,'Graph Data'!AE$1,'PCO Log'!$E$7:$SJ$7,"Approved")</f>
        <v>0</v>
      </c>
      <c r="AF71" s="304">
        <f>SUMIFS('PCO Log'!$E81:$SJ81,'PCO Log'!$E$9:$SJ$9,'Graph Data'!AF$1,'PCO Log'!$E$7:$SJ$7,"Approved")</f>
        <v>0</v>
      </c>
      <c r="AG71" s="304">
        <f>SUMIFS('PCO Log'!$E81:$SJ81,'PCO Log'!$E$9:$SJ$9,'Graph Data'!AG$1,'PCO Log'!$E$7:$SJ$7,"Approved")</f>
        <v>0</v>
      </c>
      <c r="AH71" s="304">
        <f>SUMIFS('PCO Log'!$E81:$SJ81,'PCO Log'!$E$9:$SJ$9,'Graph Data'!AH$1,'PCO Log'!$E$7:$SJ$7,"Approved")</f>
        <v>0</v>
      </c>
      <c r="AI71" s="304">
        <f>SUMIFS('PCO Log'!$E81:$SJ81,'PCO Log'!$E$9:$SJ$9,'Graph Data'!AI$1,'PCO Log'!$E$7:$SJ$7,"Approved")</f>
        <v>0</v>
      </c>
      <c r="AJ71" s="304">
        <f>SUMIFS('PCO Log'!$E81:$SJ81,'PCO Log'!$E$9:$SJ$9,'Graph Data'!AJ$1,'PCO Log'!$E$7:$SJ$7,"Approved")</f>
        <v>0</v>
      </c>
      <c r="AK71" s="304">
        <f>SUMIFS('PCO Log'!$E81:$SJ81,'PCO Log'!$E$9:$SJ$9,'Graph Data'!AK$1,'PCO Log'!$E$7:$SJ$7,"Approved")</f>
        <v>0</v>
      </c>
      <c r="AL71" s="304">
        <f>SUMIFS('PCO Log'!$E81:$SJ81,'PCO Log'!$E$9:$SJ$9,'Graph Data'!AL$1,'PCO Log'!$E$7:$SJ$7,"Approved")</f>
        <v>0</v>
      </c>
      <c r="AM71" s="304">
        <f>SUMIFS('PCO Log'!$E81:$SJ81,'PCO Log'!$E$9:$SJ$9,'Graph Data'!AM$1,'PCO Log'!$E$7:$SJ$7,"Approved")</f>
        <v>0</v>
      </c>
      <c r="AN71" s="304">
        <f>SUMIFS('PCO Log'!$E81:$SJ81,'PCO Log'!$E$9:$SJ$9,'Graph Data'!AN$1,'PCO Log'!$E$7:$SJ$7,"Approved")</f>
        <v>0</v>
      </c>
      <c r="AO71" s="304">
        <f>SUMIFS('PCO Log'!$E81:$SJ81,'PCO Log'!$E$9:$SJ$9,'Graph Data'!AO$1,'PCO Log'!$E$7:$SJ$7,"Approved")</f>
        <v>0</v>
      </c>
      <c r="AP71" s="304">
        <f>SUMIFS('PCO Log'!$E81:$SJ81,'PCO Log'!$E$9:$SJ$9,'Graph Data'!AP$1,'PCO Log'!$E$7:$SJ$7,"Approved")</f>
        <v>0</v>
      </c>
      <c r="AQ71" s="304">
        <f>SUMIFS('PCO Log'!$E81:$SJ81,'PCO Log'!$E$9:$SJ$9,'Graph Data'!AQ$1,'PCO Log'!$E$7:$SJ$7,"Approved")</f>
        <v>0</v>
      </c>
      <c r="AR71" s="304">
        <f>SUMIFS('PCO Log'!$E81:$SJ81,'PCO Log'!$E$9:$SJ$9,'Graph Data'!AR$1,'PCO Log'!$E$7:$SJ$7,"Approved")</f>
        <v>0</v>
      </c>
      <c r="AS71" s="304">
        <f>SUMIFS('PCO Log'!$E81:$SJ81,'PCO Log'!$E$9:$SJ$9,'Graph Data'!AS$1,'PCO Log'!$E$7:$SJ$7,"Approved")</f>
        <v>0</v>
      </c>
      <c r="AT71" s="304">
        <f>SUMIFS('PCO Log'!$E81:$SJ81,'PCO Log'!$E$9:$SJ$9,'Graph Data'!AT$1,'PCO Log'!$E$7:$SJ$7,"Approved")</f>
        <v>0</v>
      </c>
      <c r="AU71" s="304">
        <f>SUMIFS('PCO Log'!$E81:$SJ81,'PCO Log'!$E$9:$SJ$9,'Graph Data'!AU$1,'PCO Log'!$E$7:$SJ$7,"Approved")</f>
        <v>0</v>
      </c>
      <c r="AV71" s="304">
        <f>SUMIFS('PCO Log'!$E81:$SJ81,'PCO Log'!$E$9:$SJ$9,'Graph Data'!AV$1,'PCO Log'!$E$7:$SJ$7,"Approved")</f>
        <v>0</v>
      </c>
      <c r="AW71" s="304">
        <f>SUMIFS('PCO Log'!$E81:$SJ81,'PCO Log'!$E$9:$SJ$9,'Graph Data'!AW$1,'PCO Log'!$E$7:$SJ$7,"Approved")</f>
        <v>0</v>
      </c>
      <c r="AX71" s="304">
        <f>SUMIFS('PCO Log'!$E81:$SJ81,'PCO Log'!$E$9:$SJ$9,'Graph Data'!AX$1,'PCO Log'!$E$7:$SJ$7,"Approved")</f>
        <v>0</v>
      </c>
      <c r="AY71" s="304">
        <f>SUMIFS('PCO Log'!$E81:$SJ81,'PCO Log'!$E$9:$SJ$9,'Graph Data'!AY$1,'PCO Log'!$E$7:$SJ$7,"Approved")</f>
        <v>0</v>
      </c>
      <c r="AZ71" s="304">
        <f>SUMIFS('PCO Log'!$E81:$SJ81,'PCO Log'!$E$9:$SJ$9,'Graph Data'!AZ$1,'PCO Log'!$E$7:$SJ$7,"Approved")</f>
        <v>0</v>
      </c>
      <c r="BA71" s="304">
        <f>SUMIFS('PCO Log'!$E81:$SJ81,'PCO Log'!$E$9:$SJ$9,'Graph Data'!BA$1,'PCO Log'!$E$7:$SJ$7,"Approved")</f>
        <v>0</v>
      </c>
      <c r="BB71" s="304">
        <f>SUMIFS('PCO Log'!$E81:$SJ81,'PCO Log'!$E$9:$SJ$9,'Graph Data'!BB$1,'PCO Log'!$E$7:$SJ$7,"Approved")</f>
        <v>0</v>
      </c>
      <c r="BC71" s="304">
        <f>SUMIFS('PCO Log'!$E81:$SJ81,'PCO Log'!$E$9:$SJ$9,'Graph Data'!BC$1,'PCO Log'!$E$7:$SJ$7,"Approved")</f>
        <v>0</v>
      </c>
      <c r="BD71" s="304">
        <f>SUMIFS('PCO Log'!$E81:$SJ81,'PCO Log'!$E$9:$SJ$9,'Graph Data'!BD$1,'PCO Log'!$E$7:$SJ$7,"Approved")</f>
        <v>0</v>
      </c>
      <c r="BE71" s="304">
        <f>SUMIFS('PCO Log'!$E81:$SJ81,'PCO Log'!$E$9:$SJ$9,'Graph Data'!BE$1,'PCO Log'!$E$7:$SJ$7,"Approved")</f>
        <v>0</v>
      </c>
      <c r="BF71" s="304">
        <f>SUMIFS('PCO Log'!$E81:$SJ81,'PCO Log'!$E$9:$SJ$9,'Graph Data'!BF$1,'PCO Log'!$E$7:$SJ$7,"Approved")</f>
        <v>0</v>
      </c>
      <c r="BG71" s="304">
        <f>SUMIFS('PCO Log'!$E81:$SJ81,'PCO Log'!$E$9:$SJ$9,'Graph Data'!BG$1,'PCO Log'!$E$7:$SJ$7,"Approved")</f>
        <v>0</v>
      </c>
      <c r="BH71" s="304">
        <f>SUMIFS('PCO Log'!$E81:$SJ81,'PCO Log'!$E$9:$SJ$9,'Graph Data'!BH$1,'PCO Log'!$E$7:$SJ$7,"Approved")</f>
        <v>0</v>
      </c>
      <c r="BI71" s="304">
        <f>SUMIFS('PCO Log'!$E81:$SJ81,'PCO Log'!$E$9:$SJ$9,'Graph Data'!BI$1,'PCO Log'!$E$7:$SJ$7,"Approved")</f>
        <v>0</v>
      </c>
      <c r="BJ71" s="304">
        <f>SUMIFS('PCO Log'!$E81:$SJ81,'PCO Log'!$E$9:$SJ$9,'Graph Data'!BJ$1,'PCO Log'!$E$7:$SJ$7,"Approved")</f>
        <v>0</v>
      </c>
      <c r="BK71" s="304">
        <f>SUMIFS('PCO Log'!$E81:$SJ81,'PCO Log'!$E$9:$SJ$9,'Graph Data'!BK$1,'PCO Log'!$E$7:$SJ$7,"Approved")</f>
        <v>0</v>
      </c>
      <c r="BL71" s="304">
        <f>SUMIFS('PCO Log'!$E81:$SJ81,'PCO Log'!$E$9:$SJ$9,'Graph Data'!BL$1,'PCO Log'!$E$7:$SJ$7,"Approved")</f>
        <v>0</v>
      </c>
      <c r="BM71" s="304">
        <f>SUMIFS('PCO Log'!$E81:$SJ81,'PCO Log'!$E$9:$SJ$9,'Graph Data'!BM$1,'PCO Log'!$E$7:$SJ$7,"Approved")</f>
        <v>0</v>
      </c>
      <c r="BN71" s="304">
        <f>SUMIFS('PCO Log'!$E81:$SJ81,'PCO Log'!$E$9:$SJ$9,'Graph Data'!BN$1,'PCO Log'!$E$7:$SJ$7,"Approved")</f>
        <v>0</v>
      </c>
      <c r="BO71" s="304">
        <f>SUMIFS('PCO Log'!$E81:$SJ81,'PCO Log'!$E$9:$SJ$9,'Graph Data'!BO$1,'PCO Log'!$E$7:$SJ$7,"Approved")</f>
        <v>0</v>
      </c>
      <c r="BP71" s="304">
        <f>SUMIFS('PCO Log'!$E81:$SJ81,'PCO Log'!$E$9:$SJ$9,'Graph Data'!BP$1,'PCO Log'!$E$7:$SJ$7,"Approved")</f>
        <v>0</v>
      </c>
      <c r="BQ71" s="304">
        <f>SUMIFS('PCO Log'!$E81:$SJ81,'PCO Log'!$E$9:$SJ$9,'Graph Data'!BQ$1,'PCO Log'!$E$7:$SJ$7,"Approved")</f>
        <v>0</v>
      </c>
      <c r="BR71" s="304">
        <f>SUMIFS('PCO Log'!$E81:$SJ81,'PCO Log'!$E$9:$SJ$9,'Graph Data'!BR$1,'PCO Log'!$E$7:$SJ$7,"Approved")</f>
        <v>0</v>
      </c>
      <c r="BS71" s="304">
        <f>SUMIFS('PCO Log'!$E81:$SJ81,'PCO Log'!$E$9:$SJ$9,'Graph Data'!BS$1,'PCO Log'!$E$7:$SJ$7,"Approved")</f>
        <v>0</v>
      </c>
      <c r="BT71" s="304">
        <f>SUMIFS('PCO Log'!$E81:$SJ81,'PCO Log'!$E$9:$SJ$9,'Graph Data'!BT$1,'PCO Log'!$E$7:$SJ$7,"Approved")</f>
        <v>0</v>
      </c>
      <c r="BU71" s="304">
        <f>SUMIFS('PCO Log'!$E81:$SJ81,'PCO Log'!$E$9:$SJ$9,'Graph Data'!BU$1,'PCO Log'!$E$7:$SJ$7,"Approved")</f>
        <v>0</v>
      </c>
      <c r="BV71" s="304">
        <f>SUMIFS('PCO Log'!$E81:$SJ81,'PCO Log'!$E$9:$SJ$9,'Graph Data'!BV$1,'PCO Log'!$E$7:$SJ$7,"Approved")</f>
        <v>0</v>
      </c>
      <c r="BW71" s="304">
        <f>SUMIFS('PCO Log'!$E81:$SJ81,'PCO Log'!$E$9:$SJ$9,'Graph Data'!BW$1,'PCO Log'!$E$7:$SJ$7,"Approved")</f>
        <v>0</v>
      </c>
      <c r="BX71" s="304">
        <f>SUMIFS('PCO Log'!$E81:$SJ81,'PCO Log'!$E$9:$SJ$9,'Graph Data'!BX$1,'PCO Log'!$E$7:$SJ$7,"Approved")</f>
        <v>0</v>
      </c>
    </row>
    <row r="72" spans="1:76" x14ac:dyDescent="0.25">
      <c r="A72" s="303" t="s">
        <v>412</v>
      </c>
      <c r="B72" s="303">
        <f>'PCO Log'!BW7</f>
        <v>0</v>
      </c>
      <c r="C72" s="303">
        <f>'PCO Log'!BW4</f>
        <v>0</v>
      </c>
      <c r="D72" s="303" cm="1">
        <f t="array" ref="D72">INDEX('PCO Log'!$E$5:$SJ$5, 1, ROWS('Graph Data'!$D$2:D72))</f>
        <v>0</v>
      </c>
      <c r="E72" s="303">
        <f>'PCO Log'!BW8</f>
        <v>0</v>
      </c>
      <c r="F72" s="303">
        <f>'PCO Log'!BW3</f>
        <v>0</v>
      </c>
      <c r="G72" s="304">
        <f>'PCO Log'!BW10</f>
        <v>0</v>
      </c>
      <c r="H72" s="305">
        <f>'PCO Log'!BW6</f>
        <v>0</v>
      </c>
      <c r="K72" s="303" t="s">
        <v>276</v>
      </c>
      <c r="L72" s="306">
        <v>8</v>
      </c>
      <c r="O72" s="303" t="str">
        <f>'Pay App 1'!B132</f>
        <v>26 00 00</v>
      </c>
      <c r="P72" s="303" t="str">
        <f>'Pay App 1'!C132</f>
        <v>Electrical</v>
      </c>
      <c r="Q72" s="304">
        <f>SUMIFS('PCO Log'!$E82:$SJ82,'PCO Log'!$E$9:$SJ$9,'Graph Data'!Q$1,'PCO Log'!$E$7:$SJ$7,"Approved")</f>
        <v>0</v>
      </c>
      <c r="R72" s="304">
        <f>SUMIFS('PCO Log'!$E82:$SJ82,'PCO Log'!$E$9:$SJ$9,'Graph Data'!R$1,'PCO Log'!$E$7:$SJ$7,"Approved")</f>
        <v>0</v>
      </c>
      <c r="S72" s="304">
        <f>SUMIFS('PCO Log'!$E82:$SJ82,'PCO Log'!$E$9:$SJ$9,'Graph Data'!S$1,'PCO Log'!$E$7:$SJ$7,"Approved")</f>
        <v>0</v>
      </c>
      <c r="T72" s="304">
        <f>SUMIFS('PCO Log'!$E82:$SJ82,'PCO Log'!$E$9:$SJ$9,'Graph Data'!T$1,'PCO Log'!$E$7:$SJ$7,"Approved")</f>
        <v>0</v>
      </c>
      <c r="U72" s="304">
        <f>SUMIFS('PCO Log'!$E82:$SJ82,'PCO Log'!$E$9:$SJ$9,'Graph Data'!U$1,'PCO Log'!$E$7:$SJ$7,"Approved")</f>
        <v>0</v>
      </c>
      <c r="V72" s="304">
        <f>SUMIFS('PCO Log'!$E82:$SJ82,'PCO Log'!$E$9:$SJ$9,'Graph Data'!V$1,'PCO Log'!$E$7:$SJ$7,"Approved")</f>
        <v>0</v>
      </c>
      <c r="W72" s="304">
        <f>SUMIFS('PCO Log'!$E82:$SJ82,'PCO Log'!$E$9:$SJ$9,'Graph Data'!W$1,'PCO Log'!$E$7:$SJ$7,"Approved")</f>
        <v>0</v>
      </c>
      <c r="X72" s="304">
        <f>SUMIFS('PCO Log'!$E82:$SJ82,'PCO Log'!$E$9:$SJ$9,'Graph Data'!X$1,'PCO Log'!$E$7:$SJ$7,"Approved")</f>
        <v>0</v>
      </c>
      <c r="Y72" s="304">
        <f>SUMIFS('PCO Log'!$E82:$SJ82,'PCO Log'!$E$9:$SJ$9,'Graph Data'!Y$1,'PCO Log'!$E$7:$SJ$7,"Approved")</f>
        <v>0</v>
      </c>
      <c r="Z72" s="304">
        <f>SUMIFS('PCO Log'!$E82:$SJ82,'PCO Log'!$E$9:$SJ$9,'Graph Data'!Z$1,'PCO Log'!$E$7:$SJ$7,"Approved")</f>
        <v>0</v>
      </c>
      <c r="AA72" s="304">
        <f>SUMIFS('PCO Log'!$E82:$SJ82,'PCO Log'!$E$9:$SJ$9,'Graph Data'!AA$1,'PCO Log'!$E$7:$SJ$7,"Approved")</f>
        <v>0</v>
      </c>
      <c r="AB72" s="304">
        <f>SUMIFS('PCO Log'!$E82:$SJ82,'PCO Log'!$E$9:$SJ$9,'Graph Data'!AB$1,'PCO Log'!$E$7:$SJ$7,"Approved")</f>
        <v>0</v>
      </c>
      <c r="AC72" s="304">
        <f>SUMIFS('PCO Log'!$E82:$SJ82,'PCO Log'!$E$9:$SJ$9,'Graph Data'!AC$1,'PCO Log'!$E$7:$SJ$7,"Approved")</f>
        <v>0</v>
      </c>
      <c r="AD72" s="304">
        <f>SUMIFS('PCO Log'!$E82:$SJ82,'PCO Log'!$E$9:$SJ$9,'Graph Data'!AD$1,'PCO Log'!$E$7:$SJ$7,"Approved")</f>
        <v>0</v>
      </c>
      <c r="AE72" s="304">
        <f>SUMIFS('PCO Log'!$E82:$SJ82,'PCO Log'!$E$9:$SJ$9,'Graph Data'!AE$1,'PCO Log'!$E$7:$SJ$7,"Approved")</f>
        <v>0</v>
      </c>
      <c r="AF72" s="304">
        <f>SUMIFS('PCO Log'!$E82:$SJ82,'PCO Log'!$E$9:$SJ$9,'Graph Data'!AF$1,'PCO Log'!$E$7:$SJ$7,"Approved")</f>
        <v>0</v>
      </c>
      <c r="AG72" s="304">
        <f>SUMIFS('PCO Log'!$E82:$SJ82,'PCO Log'!$E$9:$SJ$9,'Graph Data'!AG$1,'PCO Log'!$E$7:$SJ$7,"Approved")</f>
        <v>0</v>
      </c>
      <c r="AH72" s="304">
        <f>SUMIFS('PCO Log'!$E82:$SJ82,'PCO Log'!$E$9:$SJ$9,'Graph Data'!AH$1,'PCO Log'!$E$7:$SJ$7,"Approved")</f>
        <v>0</v>
      </c>
      <c r="AI72" s="304">
        <f>SUMIFS('PCO Log'!$E82:$SJ82,'PCO Log'!$E$9:$SJ$9,'Graph Data'!AI$1,'PCO Log'!$E$7:$SJ$7,"Approved")</f>
        <v>0</v>
      </c>
      <c r="AJ72" s="304">
        <f>SUMIFS('PCO Log'!$E82:$SJ82,'PCO Log'!$E$9:$SJ$9,'Graph Data'!AJ$1,'PCO Log'!$E$7:$SJ$7,"Approved")</f>
        <v>0</v>
      </c>
      <c r="AK72" s="304">
        <f>SUMIFS('PCO Log'!$E82:$SJ82,'PCO Log'!$E$9:$SJ$9,'Graph Data'!AK$1,'PCO Log'!$E$7:$SJ$7,"Approved")</f>
        <v>0</v>
      </c>
      <c r="AL72" s="304">
        <f>SUMIFS('PCO Log'!$E82:$SJ82,'PCO Log'!$E$9:$SJ$9,'Graph Data'!AL$1,'PCO Log'!$E$7:$SJ$7,"Approved")</f>
        <v>0</v>
      </c>
      <c r="AM72" s="304">
        <f>SUMIFS('PCO Log'!$E82:$SJ82,'PCO Log'!$E$9:$SJ$9,'Graph Data'!AM$1,'PCO Log'!$E$7:$SJ$7,"Approved")</f>
        <v>0</v>
      </c>
      <c r="AN72" s="304">
        <f>SUMIFS('PCO Log'!$E82:$SJ82,'PCO Log'!$E$9:$SJ$9,'Graph Data'!AN$1,'PCO Log'!$E$7:$SJ$7,"Approved")</f>
        <v>0</v>
      </c>
      <c r="AO72" s="304">
        <f>SUMIFS('PCO Log'!$E82:$SJ82,'PCO Log'!$E$9:$SJ$9,'Graph Data'!AO$1,'PCO Log'!$E$7:$SJ$7,"Approved")</f>
        <v>0</v>
      </c>
      <c r="AP72" s="304">
        <f>SUMIFS('PCO Log'!$E82:$SJ82,'PCO Log'!$E$9:$SJ$9,'Graph Data'!AP$1,'PCO Log'!$E$7:$SJ$7,"Approved")</f>
        <v>0</v>
      </c>
      <c r="AQ72" s="304">
        <f>SUMIFS('PCO Log'!$E82:$SJ82,'PCO Log'!$E$9:$SJ$9,'Graph Data'!AQ$1,'PCO Log'!$E$7:$SJ$7,"Approved")</f>
        <v>0</v>
      </c>
      <c r="AR72" s="304">
        <f>SUMIFS('PCO Log'!$E82:$SJ82,'PCO Log'!$E$9:$SJ$9,'Graph Data'!AR$1,'PCO Log'!$E$7:$SJ$7,"Approved")</f>
        <v>0</v>
      </c>
      <c r="AS72" s="304">
        <f>SUMIFS('PCO Log'!$E82:$SJ82,'PCO Log'!$E$9:$SJ$9,'Graph Data'!AS$1,'PCO Log'!$E$7:$SJ$7,"Approved")</f>
        <v>0</v>
      </c>
      <c r="AT72" s="304">
        <f>SUMIFS('PCO Log'!$E82:$SJ82,'PCO Log'!$E$9:$SJ$9,'Graph Data'!AT$1,'PCO Log'!$E$7:$SJ$7,"Approved")</f>
        <v>0</v>
      </c>
      <c r="AU72" s="304">
        <f>SUMIFS('PCO Log'!$E82:$SJ82,'PCO Log'!$E$9:$SJ$9,'Graph Data'!AU$1,'PCO Log'!$E$7:$SJ$7,"Approved")</f>
        <v>0</v>
      </c>
      <c r="AV72" s="304">
        <f>SUMIFS('PCO Log'!$E82:$SJ82,'PCO Log'!$E$9:$SJ$9,'Graph Data'!AV$1,'PCO Log'!$E$7:$SJ$7,"Approved")</f>
        <v>0</v>
      </c>
      <c r="AW72" s="304">
        <f>SUMIFS('PCO Log'!$E82:$SJ82,'PCO Log'!$E$9:$SJ$9,'Graph Data'!AW$1,'PCO Log'!$E$7:$SJ$7,"Approved")</f>
        <v>0</v>
      </c>
      <c r="AX72" s="304">
        <f>SUMIFS('PCO Log'!$E82:$SJ82,'PCO Log'!$E$9:$SJ$9,'Graph Data'!AX$1,'PCO Log'!$E$7:$SJ$7,"Approved")</f>
        <v>0</v>
      </c>
      <c r="AY72" s="304">
        <f>SUMIFS('PCO Log'!$E82:$SJ82,'PCO Log'!$E$9:$SJ$9,'Graph Data'!AY$1,'PCO Log'!$E$7:$SJ$7,"Approved")</f>
        <v>0</v>
      </c>
      <c r="AZ72" s="304">
        <f>SUMIFS('PCO Log'!$E82:$SJ82,'PCO Log'!$E$9:$SJ$9,'Graph Data'!AZ$1,'PCO Log'!$E$7:$SJ$7,"Approved")</f>
        <v>0</v>
      </c>
      <c r="BA72" s="304">
        <f>SUMIFS('PCO Log'!$E82:$SJ82,'PCO Log'!$E$9:$SJ$9,'Graph Data'!BA$1,'PCO Log'!$E$7:$SJ$7,"Approved")</f>
        <v>0</v>
      </c>
      <c r="BB72" s="304">
        <f>SUMIFS('PCO Log'!$E82:$SJ82,'PCO Log'!$E$9:$SJ$9,'Graph Data'!BB$1,'PCO Log'!$E$7:$SJ$7,"Approved")</f>
        <v>0</v>
      </c>
      <c r="BC72" s="304">
        <f>SUMIFS('PCO Log'!$E82:$SJ82,'PCO Log'!$E$9:$SJ$9,'Graph Data'!BC$1,'PCO Log'!$E$7:$SJ$7,"Approved")</f>
        <v>0</v>
      </c>
      <c r="BD72" s="304">
        <f>SUMIFS('PCO Log'!$E82:$SJ82,'PCO Log'!$E$9:$SJ$9,'Graph Data'!BD$1,'PCO Log'!$E$7:$SJ$7,"Approved")</f>
        <v>0</v>
      </c>
      <c r="BE72" s="304">
        <f>SUMIFS('PCO Log'!$E82:$SJ82,'PCO Log'!$E$9:$SJ$9,'Graph Data'!BE$1,'PCO Log'!$E$7:$SJ$7,"Approved")</f>
        <v>0</v>
      </c>
      <c r="BF72" s="304">
        <f>SUMIFS('PCO Log'!$E82:$SJ82,'PCO Log'!$E$9:$SJ$9,'Graph Data'!BF$1,'PCO Log'!$E$7:$SJ$7,"Approved")</f>
        <v>0</v>
      </c>
      <c r="BG72" s="304">
        <f>SUMIFS('PCO Log'!$E82:$SJ82,'PCO Log'!$E$9:$SJ$9,'Graph Data'!BG$1,'PCO Log'!$E$7:$SJ$7,"Approved")</f>
        <v>0</v>
      </c>
      <c r="BH72" s="304">
        <f>SUMIFS('PCO Log'!$E82:$SJ82,'PCO Log'!$E$9:$SJ$9,'Graph Data'!BH$1,'PCO Log'!$E$7:$SJ$7,"Approved")</f>
        <v>0</v>
      </c>
      <c r="BI72" s="304">
        <f>SUMIFS('PCO Log'!$E82:$SJ82,'PCO Log'!$E$9:$SJ$9,'Graph Data'!BI$1,'PCO Log'!$E$7:$SJ$7,"Approved")</f>
        <v>0</v>
      </c>
      <c r="BJ72" s="304">
        <f>SUMIFS('PCO Log'!$E82:$SJ82,'PCO Log'!$E$9:$SJ$9,'Graph Data'!BJ$1,'PCO Log'!$E$7:$SJ$7,"Approved")</f>
        <v>0</v>
      </c>
      <c r="BK72" s="304">
        <f>SUMIFS('PCO Log'!$E82:$SJ82,'PCO Log'!$E$9:$SJ$9,'Graph Data'!BK$1,'PCO Log'!$E$7:$SJ$7,"Approved")</f>
        <v>0</v>
      </c>
      <c r="BL72" s="304">
        <f>SUMIFS('PCO Log'!$E82:$SJ82,'PCO Log'!$E$9:$SJ$9,'Graph Data'!BL$1,'PCO Log'!$E$7:$SJ$7,"Approved")</f>
        <v>0</v>
      </c>
      <c r="BM72" s="304">
        <f>SUMIFS('PCO Log'!$E82:$SJ82,'PCO Log'!$E$9:$SJ$9,'Graph Data'!BM$1,'PCO Log'!$E$7:$SJ$7,"Approved")</f>
        <v>0</v>
      </c>
      <c r="BN72" s="304">
        <f>SUMIFS('PCO Log'!$E82:$SJ82,'PCO Log'!$E$9:$SJ$9,'Graph Data'!BN$1,'PCO Log'!$E$7:$SJ$7,"Approved")</f>
        <v>0</v>
      </c>
      <c r="BO72" s="304">
        <f>SUMIFS('PCO Log'!$E82:$SJ82,'PCO Log'!$E$9:$SJ$9,'Graph Data'!BO$1,'PCO Log'!$E$7:$SJ$7,"Approved")</f>
        <v>0</v>
      </c>
      <c r="BP72" s="304">
        <f>SUMIFS('PCO Log'!$E82:$SJ82,'PCO Log'!$E$9:$SJ$9,'Graph Data'!BP$1,'PCO Log'!$E$7:$SJ$7,"Approved")</f>
        <v>0</v>
      </c>
      <c r="BQ72" s="304">
        <f>SUMIFS('PCO Log'!$E82:$SJ82,'PCO Log'!$E$9:$SJ$9,'Graph Data'!BQ$1,'PCO Log'!$E$7:$SJ$7,"Approved")</f>
        <v>0</v>
      </c>
      <c r="BR72" s="304">
        <f>SUMIFS('PCO Log'!$E82:$SJ82,'PCO Log'!$E$9:$SJ$9,'Graph Data'!BR$1,'PCO Log'!$E$7:$SJ$7,"Approved")</f>
        <v>0</v>
      </c>
      <c r="BS72" s="304">
        <f>SUMIFS('PCO Log'!$E82:$SJ82,'PCO Log'!$E$9:$SJ$9,'Graph Data'!BS$1,'PCO Log'!$E$7:$SJ$7,"Approved")</f>
        <v>0</v>
      </c>
      <c r="BT72" s="304">
        <f>SUMIFS('PCO Log'!$E82:$SJ82,'PCO Log'!$E$9:$SJ$9,'Graph Data'!BT$1,'PCO Log'!$E$7:$SJ$7,"Approved")</f>
        <v>0</v>
      </c>
      <c r="BU72" s="304">
        <f>SUMIFS('PCO Log'!$E82:$SJ82,'PCO Log'!$E$9:$SJ$9,'Graph Data'!BU$1,'PCO Log'!$E$7:$SJ$7,"Approved")</f>
        <v>0</v>
      </c>
      <c r="BV72" s="304">
        <f>SUMIFS('PCO Log'!$E82:$SJ82,'PCO Log'!$E$9:$SJ$9,'Graph Data'!BV$1,'PCO Log'!$E$7:$SJ$7,"Approved")</f>
        <v>0</v>
      </c>
      <c r="BW72" s="304">
        <f>SUMIFS('PCO Log'!$E82:$SJ82,'PCO Log'!$E$9:$SJ$9,'Graph Data'!BW$1,'PCO Log'!$E$7:$SJ$7,"Approved")</f>
        <v>0</v>
      </c>
      <c r="BX72" s="304">
        <f>SUMIFS('PCO Log'!$E82:$SJ82,'PCO Log'!$E$9:$SJ$9,'Graph Data'!BX$1,'PCO Log'!$E$7:$SJ$7,"Approved")</f>
        <v>0</v>
      </c>
    </row>
    <row r="73" spans="1:76" x14ac:dyDescent="0.25">
      <c r="A73" s="303" t="s">
        <v>413</v>
      </c>
      <c r="B73" s="303">
        <f>'PCO Log'!BX7</f>
        <v>0</v>
      </c>
      <c r="C73" s="303">
        <f>'PCO Log'!BX4</f>
        <v>0</v>
      </c>
      <c r="D73" s="303" cm="1">
        <f t="array" ref="D73">INDEX('PCO Log'!$E$5:$SJ$5, 1, ROWS('Graph Data'!$D$2:D73))</f>
        <v>0</v>
      </c>
      <c r="E73" s="303">
        <f>'PCO Log'!BX8</f>
        <v>0</v>
      </c>
      <c r="F73" s="303">
        <f>'PCO Log'!BX3</f>
        <v>0</v>
      </c>
      <c r="G73" s="304">
        <f>'PCO Log'!BX10</f>
        <v>0</v>
      </c>
      <c r="H73" s="305">
        <f>'PCO Log'!BX6</f>
        <v>0</v>
      </c>
      <c r="K73" s="303" t="s">
        <v>277</v>
      </c>
      <c r="L73" s="306">
        <v>9</v>
      </c>
      <c r="M73" s="301" t="s">
        <v>332</v>
      </c>
      <c r="O73" s="303" t="str">
        <f>'Pay App 1'!B133</f>
        <v>27 00 00</v>
      </c>
      <c r="P73" s="303" t="str">
        <f>'Pay App 1'!C133</f>
        <v>AV/IT/Cabling</v>
      </c>
      <c r="Q73" s="304">
        <f>SUMIFS('PCO Log'!$E83:$SJ83,'PCO Log'!$E$9:$SJ$9,'Graph Data'!Q$1,'PCO Log'!$E$7:$SJ$7,"Approved")</f>
        <v>0</v>
      </c>
      <c r="R73" s="304">
        <f>SUMIFS('PCO Log'!$E83:$SJ83,'PCO Log'!$E$9:$SJ$9,'Graph Data'!R$1,'PCO Log'!$E$7:$SJ$7,"Approved")</f>
        <v>0</v>
      </c>
      <c r="S73" s="304">
        <f>SUMIFS('PCO Log'!$E83:$SJ83,'PCO Log'!$E$9:$SJ$9,'Graph Data'!S$1,'PCO Log'!$E$7:$SJ$7,"Approved")</f>
        <v>0</v>
      </c>
      <c r="T73" s="304">
        <f>SUMIFS('PCO Log'!$E83:$SJ83,'PCO Log'!$E$9:$SJ$9,'Graph Data'!T$1,'PCO Log'!$E$7:$SJ$7,"Approved")</f>
        <v>0</v>
      </c>
      <c r="U73" s="304">
        <f>SUMIFS('PCO Log'!$E83:$SJ83,'PCO Log'!$E$9:$SJ$9,'Graph Data'!U$1,'PCO Log'!$E$7:$SJ$7,"Approved")</f>
        <v>0</v>
      </c>
      <c r="V73" s="304">
        <f>SUMIFS('PCO Log'!$E83:$SJ83,'PCO Log'!$E$9:$SJ$9,'Graph Data'!V$1,'PCO Log'!$E$7:$SJ$7,"Approved")</f>
        <v>0</v>
      </c>
      <c r="W73" s="304">
        <f>SUMIFS('PCO Log'!$E83:$SJ83,'PCO Log'!$E$9:$SJ$9,'Graph Data'!W$1,'PCO Log'!$E$7:$SJ$7,"Approved")</f>
        <v>0</v>
      </c>
      <c r="X73" s="304">
        <f>SUMIFS('PCO Log'!$E83:$SJ83,'PCO Log'!$E$9:$SJ$9,'Graph Data'!X$1,'PCO Log'!$E$7:$SJ$7,"Approved")</f>
        <v>0</v>
      </c>
      <c r="Y73" s="304">
        <f>SUMIFS('PCO Log'!$E83:$SJ83,'PCO Log'!$E$9:$SJ$9,'Graph Data'!Y$1,'PCO Log'!$E$7:$SJ$7,"Approved")</f>
        <v>0</v>
      </c>
      <c r="Z73" s="304">
        <f>SUMIFS('PCO Log'!$E83:$SJ83,'PCO Log'!$E$9:$SJ$9,'Graph Data'!Z$1,'PCO Log'!$E$7:$SJ$7,"Approved")</f>
        <v>0</v>
      </c>
      <c r="AA73" s="304">
        <f>SUMIFS('PCO Log'!$E83:$SJ83,'PCO Log'!$E$9:$SJ$9,'Graph Data'!AA$1,'PCO Log'!$E$7:$SJ$7,"Approved")</f>
        <v>0</v>
      </c>
      <c r="AB73" s="304">
        <f>SUMIFS('PCO Log'!$E83:$SJ83,'PCO Log'!$E$9:$SJ$9,'Graph Data'!AB$1,'PCO Log'!$E$7:$SJ$7,"Approved")</f>
        <v>0</v>
      </c>
      <c r="AC73" s="304">
        <f>SUMIFS('PCO Log'!$E83:$SJ83,'PCO Log'!$E$9:$SJ$9,'Graph Data'!AC$1,'PCO Log'!$E$7:$SJ$7,"Approved")</f>
        <v>0</v>
      </c>
      <c r="AD73" s="304">
        <f>SUMIFS('PCO Log'!$E83:$SJ83,'PCO Log'!$E$9:$SJ$9,'Graph Data'!AD$1,'PCO Log'!$E$7:$SJ$7,"Approved")</f>
        <v>0</v>
      </c>
      <c r="AE73" s="304">
        <f>SUMIFS('PCO Log'!$E83:$SJ83,'PCO Log'!$E$9:$SJ$9,'Graph Data'!AE$1,'PCO Log'!$E$7:$SJ$7,"Approved")</f>
        <v>0</v>
      </c>
      <c r="AF73" s="304">
        <f>SUMIFS('PCO Log'!$E83:$SJ83,'PCO Log'!$E$9:$SJ$9,'Graph Data'!AF$1,'PCO Log'!$E$7:$SJ$7,"Approved")</f>
        <v>0</v>
      </c>
      <c r="AG73" s="304">
        <f>SUMIFS('PCO Log'!$E83:$SJ83,'PCO Log'!$E$9:$SJ$9,'Graph Data'!AG$1,'PCO Log'!$E$7:$SJ$7,"Approved")</f>
        <v>0</v>
      </c>
      <c r="AH73" s="304">
        <f>SUMIFS('PCO Log'!$E83:$SJ83,'PCO Log'!$E$9:$SJ$9,'Graph Data'!AH$1,'PCO Log'!$E$7:$SJ$7,"Approved")</f>
        <v>0</v>
      </c>
      <c r="AI73" s="304">
        <f>SUMIFS('PCO Log'!$E83:$SJ83,'PCO Log'!$E$9:$SJ$9,'Graph Data'!AI$1,'PCO Log'!$E$7:$SJ$7,"Approved")</f>
        <v>0</v>
      </c>
      <c r="AJ73" s="304">
        <f>SUMIFS('PCO Log'!$E83:$SJ83,'PCO Log'!$E$9:$SJ$9,'Graph Data'!AJ$1,'PCO Log'!$E$7:$SJ$7,"Approved")</f>
        <v>0</v>
      </c>
      <c r="AK73" s="304">
        <f>SUMIFS('PCO Log'!$E83:$SJ83,'PCO Log'!$E$9:$SJ$9,'Graph Data'!AK$1,'PCO Log'!$E$7:$SJ$7,"Approved")</f>
        <v>0</v>
      </c>
      <c r="AL73" s="304">
        <f>SUMIFS('PCO Log'!$E83:$SJ83,'PCO Log'!$E$9:$SJ$9,'Graph Data'!AL$1,'PCO Log'!$E$7:$SJ$7,"Approved")</f>
        <v>0</v>
      </c>
      <c r="AM73" s="304">
        <f>SUMIFS('PCO Log'!$E83:$SJ83,'PCO Log'!$E$9:$SJ$9,'Graph Data'!AM$1,'PCO Log'!$E$7:$SJ$7,"Approved")</f>
        <v>0</v>
      </c>
      <c r="AN73" s="304">
        <f>SUMIFS('PCO Log'!$E83:$SJ83,'PCO Log'!$E$9:$SJ$9,'Graph Data'!AN$1,'PCO Log'!$E$7:$SJ$7,"Approved")</f>
        <v>0</v>
      </c>
      <c r="AO73" s="304">
        <f>SUMIFS('PCO Log'!$E83:$SJ83,'PCO Log'!$E$9:$SJ$9,'Graph Data'!AO$1,'PCO Log'!$E$7:$SJ$7,"Approved")</f>
        <v>0</v>
      </c>
      <c r="AP73" s="304">
        <f>SUMIFS('PCO Log'!$E83:$SJ83,'PCO Log'!$E$9:$SJ$9,'Graph Data'!AP$1,'PCO Log'!$E$7:$SJ$7,"Approved")</f>
        <v>0</v>
      </c>
      <c r="AQ73" s="304">
        <f>SUMIFS('PCO Log'!$E83:$SJ83,'PCO Log'!$E$9:$SJ$9,'Graph Data'!AQ$1,'PCO Log'!$E$7:$SJ$7,"Approved")</f>
        <v>0</v>
      </c>
      <c r="AR73" s="304">
        <f>SUMIFS('PCO Log'!$E83:$SJ83,'PCO Log'!$E$9:$SJ$9,'Graph Data'!AR$1,'PCO Log'!$E$7:$SJ$7,"Approved")</f>
        <v>0</v>
      </c>
      <c r="AS73" s="304">
        <f>SUMIFS('PCO Log'!$E83:$SJ83,'PCO Log'!$E$9:$SJ$9,'Graph Data'!AS$1,'PCO Log'!$E$7:$SJ$7,"Approved")</f>
        <v>0</v>
      </c>
      <c r="AT73" s="304">
        <f>SUMIFS('PCO Log'!$E83:$SJ83,'PCO Log'!$E$9:$SJ$9,'Graph Data'!AT$1,'PCO Log'!$E$7:$SJ$7,"Approved")</f>
        <v>0</v>
      </c>
      <c r="AU73" s="304">
        <f>SUMIFS('PCO Log'!$E83:$SJ83,'PCO Log'!$E$9:$SJ$9,'Graph Data'!AU$1,'PCO Log'!$E$7:$SJ$7,"Approved")</f>
        <v>0</v>
      </c>
      <c r="AV73" s="304">
        <f>SUMIFS('PCO Log'!$E83:$SJ83,'PCO Log'!$E$9:$SJ$9,'Graph Data'!AV$1,'PCO Log'!$E$7:$SJ$7,"Approved")</f>
        <v>0</v>
      </c>
      <c r="AW73" s="304">
        <f>SUMIFS('PCO Log'!$E83:$SJ83,'PCO Log'!$E$9:$SJ$9,'Graph Data'!AW$1,'PCO Log'!$E$7:$SJ$7,"Approved")</f>
        <v>0</v>
      </c>
      <c r="AX73" s="304">
        <f>SUMIFS('PCO Log'!$E83:$SJ83,'PCO Log'!$E$9:$SJ$9,'Graph Data'!AX$1,'PCO Log'!$E$7:$SJ$7,"Approved")</f>
        <v>0</v>
      </c>
      <c r="AY73" s="304">
        <f>SUMIFS('PCO Log'!$E83:$SJ83,'PCO Log'!$E$9:$SJ$9,'Graph Data'!AY$1,'PCO Log'!$E$7:$SJ$7,"Approved")</f>
        <v>0</v>
      </c>
      <c r="AZ73" s="304">
        <f>SUMIFS('PCO Log'!$E83:$SJ83,'PCO Log'!$E$9:$SJ$9,'Graph Data'!AZ$1,'PCO Log'!$E$7:$SJ$7,"Approved")</f>
        <v>0</v>
      </c>
      <c r="BA73" s="304">
        <f>SUMIFS('PCO Log'!$E83:$SJ83,'PCO Log'!$E$9:$SJ$9,'Graph Data'!BA$1,'PCO Log'!$E$7:$SJ$7,"Approved")</f>
        <v>0</v>
      </c>
      <c r="BB73" s="304">
        <f>SUMIFS('PCO Log'!$E83:$SJ83,'PCO Log'!$E$9:$SJ$9,'Graph Data'!BB$1,'PCO Log'!$E$7:$SJ$7,"Approved")</f>
        <v>0</v>
      </c>
      <c r="BC73" s="304">
        <f>SUMIFS('PCO Log'!$E83:$SJ83,'PCO Log'!$E$9:$SJ$9,'Graph Data'!BC$1,'PCO Log'!$E$7:$SJ$7,"Approved")</f>
        <v>0</v>
      </c>
      <c r="BD73" s="304">
        <f>SUMIFS('PCO Log'!$E83:$SJ83,'PCO Log'!$E$9:$SJ$9,'Graph Data'!BD$1,'PCO Log'!$E$7:$SJ$7,"Approved")</f>
        <v>0</v>
      </c>
      <c r="BE73" s="304">
        <f>SUMIFS('PCO Log'!$E83:$SJ83,'PCO Log'!$E$9:$SJ$9,'Graph Data'!BE$1,'PCO Log'!$E$7:$SJ$7,"Approved")</f>
        <v>0</v>
      </c>
      <c r="BF73" s="304">
        <f>SUMIFS('PCO Log'!$E83:$SJ83,'PCO Log'!$E$9:$SJ$9,'Graph Data'!BF$1,'PCO Log'!$E$7:$SJ$7,"Approved")</f>
        <v>0</v>
      </c>
      <c r="BG73" s="304">
        <f>SUMIFS('PCO Log'!$E83:$SJ83,'PCO Log'!$E$9:$SJ$9,'Graph Data'!BG$1,'PCO Log'!$E$7:$SJ$7,"Approved")</f>
        <v>0</v>
      </c>
      <c r="BH73" s="304">
        <f>SUMIFS('PCO Log'!$E83:$SJ83,'PCO Log'!$E$9:$SJ$9,'Graph Data'!BH$1,'PCO Log'!$E$7:$SJ$7,"Approved")</f>
        <v>0</v>
      </c>
      <c r="BI73" s="304">
        <f>SUMIFS('PCO Log'!$E83:$SJ83,'PCO Log'!$E$9:$SJ$9,'Graph Data'!BI$1,'PCO Log'!$E$7:$SJ$7,"Approved")</f>
        <v>0</v>
      </c>
      <c r="BJ73" s="304">
        <f>SUMIFS('PCO Log'!$E83:$SJ83,'PCO Log'!$E$9:$SJ$9,'Graph Data'!BJ$1,'PCO Log'!$E$7:$SJ$7,"Approved")</f>
        <v>0</v>
      </c>
      <c r="BK73" s="304">
        <f>SUMIFS('PCO Log'!$E83:$SJ83,'PCO Log'!$E$9:$SJ$9,'Graph Data'!BK$1,'PCO Log'!$E$7:$SJ$7,"Approved")</f>
        <v>0</v>
      </c>
      <c r="BL73" s="304">
        <f>SUMIFS('PCO Log'!$E83:$SJ83,'PCO Log'!$E$9:$SJ$9,'Graph Data'!BL$1,'PCO Log'!$E$7:$SJ$7,"Approved")</f>
        <v>0</v>
      </c>
      <c r="BM73" s="304">
        <f>SUMIFS('PCO Log'!$E83:$SJ83,'PCO Log'!$E$9:$SJ$9,'Graph Data'!BM$1,'PCO Log'!$E$7:$SJ$7,"Approved")</f>
        <v>0</v>
      </c>
      <c r="BN73" s="304">
        <f>SUMIFS('PCO Log'!$E83:$SJ83,'PCO Log'!$E$9:$SJ$9,'Graph Data'!BN$1,'PCO Log'!$E$7:$SJ$7,"Approved")</f>
        <v>0</v>
      </c>
      <c r="BO73" s="304">
        <f>SUMIFS('PCO Log'!$E83:$SJ83,'PCO Log'!$E$9:$SJ$9,'Graph Data'!BO$1,'PCO Log'!$E$7:$SJ$7,"Approved")</f>
        <v>0</v>
      </c>
      <c r="BP73" s="304">
        <f>SUMIFS('PCO Log'!$E83:$SJ83,'PCO Log'!$E$9:$SJ$9,'Graph Data'!BP$1,'PCO Log'!$E$7:$SJ$7,"Approved")</f>
        <v>0</v>
      </c>
      <c r="BQ73" s="304">
        <f>SUMIFS('PCO Log'!$E83:$SJ83,'PCO Log'!$E$9:$SJ$9,'Graph Data'!BQ$1,'PCO Log'!$E$7:$SJ$7,"Approved")</f>
        <v>0</v>
      </c>
      <c r="BR73" s="304">
        <f>SUMIFS('PCO Log'!$E83:$SJ83,'PCO Log'!$E$9:$SJ$9,'Graph Data'!BR$1,'PCO Log'!$E$7:$SJ$7,"Approved")</f>
        <v>0</v>
      </c>
      <c r="BS73" s="304">
        <f>SUMIFS('PCO Log'!$E83:$SJ83,'PCO Log'!$E$9:$SJ$9,'Graph Data'!BS$1,'PCO Log'!$E$7:$SJ$7,"Approved")</f>
        <v>0</v>
      </c>
      <c r="BT73" s="304">
        <f>SUMIFS('PCO Log'!$E83:$SJ83,'PCO Log'!$E$9:$SJ$9,'Graph Data'!BT$1,'PCO Log'!$E$7:$SJ$7,"Approved")</f>
        <v>0</v>
      </c>
      <c r="BU73" s="304">
        <f>SUMIFS('PCO Log'!$E83:$SJ83,'PCO Log'!$E$9:$SJ$9,'Graph Data'!BU$1,'PCO Log'!$E$7:$SJ$7,"Approved")</f>
        <v>0</v>
      </c>
      <c r="BV73" s="304">
        <f>SUMIFS('PCO Log'!$E83:$SJ83,'PCO Log'!$E$9:$SJ$9,'Graph Data'!BV$1,'PCO Log'!$E$7:$SJ$7,"Approved")</f>
        <v>0</v>
      </c>
      <c r="BW73" s="304">
        <f>SUMIFS('PCO Log'!$E83:$SJ83,'PCO Log'!$E$9:$SJ$9,'Graph Data'!BW$1,'PCO Log'!$E$7:$SJ$7,"Approved")</f>
        <v>0</v>
      </c>
      <c r="BX73" s="304">
        <f>SUMIFS('PCO Log'!$E83:$SJ83,'PCO Log'!$E$9:$SJ$9,'Graph Data'!BX$1,'PCO Log'!$E$7:$SJ$7,"Approved")</f>
        <v>0</v>
      </c>
    </row>
    <row r="74" spans="1:76" x14ac:dyDescent="0.25">
      <c r="A74" s="303" t="s">
        <v>414</v>
      </c>
      <c r="B74" s="303">
        <f>'PCO Log'!BY7</f>
        <v>0</v>
      </c>
      <c r="C74" s="303">
        <f>'PCO Log'!BY4</f>
        <v>0</v>
      </c>
      <c r="D74" s="303" cm="1">
        <f t="array" ref="D74">INDEX('PCO Log'!$E$5:$SJ$5, 1, ROWS('Graph Data'!$D$2:D74))</f>
        <v>0</v>
      </c>
      <c r="E74" s="303">
        <f>'PCO Log'!BY8</f>
        <v>0</v>
      </c>
      <c r="F74" s="303">
        <f>'PCO Log'!BY3</f>
        <v>0</v>
      </c>
      <c r="G74" s="304">
        <f>'PCO Log'!BY10</f>
        <v>0</v>
      </c>
      <c r="H74" s="305">
        <f>'PCO Log'!BY6</f>
        <v>0</v>
      </c>
      <c r="K74" s="303" t="s">
        <v>278</v>
      </c>
      <c r="L74" s="306">
        <v>10</v>
      </c>
      <c r="M74" s="303" t="s">
        <v>333</v>
      </c>
      <c r="O74" s="303" t="str">
        <f>'Pay App 1'!B134</f>
        <v>28 80 00</v>
      </c>
      <c r="P74" s="303" t="str">
        <f>'Pay App 1'!C134</f>
        <v>Security/Access Control</v>
      </c>
      <c r="Q74" s="304">
        <f>SUMIFS('PCO Log'!$E84:$SJ84,'PCO Log'!$E$9:$SJ$9,'Graph Data'!Q$1,'PCO Log'!$E$7:$SJ$7,"Approved")</f>
        <v>0</v>
      </c>
      <c r="R74" s="304">
        <f>SUMIFS('PCO Log'!$E84:$SJ84,'PCO Log'!$E$9:$SJ$9,'Graph Data'!R$1,'PCO Log'!$E$7:$SJ$7,"Approved")</f>
        <v>0</v>
      </c>
      <c r="S74" s="304">
        <f>SUMIFS('PCO Log'!$E84:$SJ84,'PCO Log'!$E$9:$SJ$9,'Graph Data'!S$1,'PCO Log'!$E$7:$SJ$7,"Approved")</f>
        <v>0</v>
      </c>
      <c r="T74" s="304">
        <f>SUMIFS('PCO Log'!$E84:$SJ84,'PCO Log'!$E$9:$SJ$9,'Graph Data'!T$1,'PCO Log'!$E$7:$SJ$7,"Approved")</f>
        <v>0</v>
      </c>
      <c r="U74" s="304">
        <f>SUMIFS('PCO Log'!$E84:$SJ84,'PCO Log'!$E$9:$SJ$9,'Graph Data'!U$1,'PCO Log'!$E$7:$SJ$7,"Approved")</f>
        <v>0</v>
      </c>
      <c r="V74" s="304">
        <f>SUMIFS('PCO Log'!$E84:$SJ84,'PCO Log'!$E$9:$SJ$9,'Graph Data'!V$1,'PCO Log'!$E$7:$SJ$7,"Approved")</f>
        <v>0</v>
      </c>
      <c r="W74" s="304">
        <f>SUMIFS('PCO Log'!$E84:$SJ84,'PCO Log'!$E$9:$SJ$9,'Graph Data'!W$1,'PCO Log'!$E$7:$SJ$7,"Approved")</f>
        <v>0</v>
      </c>
      <c r="X74" s="304">
        <f>SUMIFS('PCO Log'!$E84:$SJ84,'PCO Log'!$E$9:$SJ$9,'Graph Data'!X$1,'PCO Log'!$E$7:$SJ$7,"Approved")</f>
        <v>0</v>
      </c>
      <c r="Y74" s="304">
        <f>SUMIFS('PCO Log'!$E84:$SJ84,'PCO Log'!$E$9:$SJ$9,'Graph Data'!Y$1,'PCO Log'!$E$7:$SJ$7,"Approved")</f>
        <v>0</v>
      </c>
      <c r="Z74" s="304">
        <f>SUMIFS('PCO Log'!$E84:$SJ84,'PCO Log'!$E$9:$SJ$9,'Graph Data'!Z$1,'PCO Log'!$E$7:$SJ$7,"Approved")</f>
        <v>0</v>
      </c>
      <c r="AA74" s="304">
        <f>SUMIFS('PCO Log'!$E84:$SJ84,'PCO Log'!$E$9:$SJ$9,'Graph Data'!AA$1,'PCO Log'!$E$7:$SJ$7,"Approved")</f>
        <v>0</v>
      </c>
      <c r="AB74" s="304">
        <f>SUMIFS('PCO Log'!$E84:$SJ84,'PCO Log'!$E$9:$SJ$9,'Graph Data'!AB$1,'PCO Log'!$E$7:$SJ$7,"Approved")</f>
        <v>0</v>
      </c>
      <c r="AC74" s="304">
        <f>SUMIFS('PCO Log'!$E84:$SJ84,'PCO Log'!$E$9:$SJ$9,'Graph Data'!AC$1,'PCO Log'!$E$7:$SJ$7,"Approved")</f>
        <v>0</v>
      </c>
      <c r="AD74" s="304">
        <f>SUMIFS('PCO Log'!$E84:$SJ84,'PCO Log'!$E$9:$SJ$9,'Graph Data'!AD$1,'PCO Log'!$E$7:$SJ$7,"Approved")</f>
        <v>0</v>
      </c>
      <c r="AE74" s="304">
        <f>SUMIFS('PCO Log'!$E84:$SJ84,'PCO Log'!$E$9:$SJ$9,'Graph Data'!AE$1,'PCO Log'!$E$7:$SJ$7,"Approved")</f>
        <v>0</v>
      </c>
      <c r="AF74" s="304">
        <f>SUMIFS('PCO Log'!$E84:$SJ84,'PCO Log'!$E$9:$SJ$9,'Graph Data'!AF$1,'PCO Log'!$E$7:$SJ$7,"Approved")</f>
        <v>0</v>
      </c>
      <c r="AG74" s="304">
        <f>SUMIFS('PCO Log'!$E84:$SJ84,'PCO Log'!$E$9:$SJ$9,'Graph Data'!AG$1,'PCO Log'!$E$7:$SJ$7,"Approved")</f>
        <v>0</v>
      </c>
      <c r="AH74" s="304">
        <f>SUMIFS('PCO Log'!$E84:$SJ84,'PCO Log'!$E$9:$SJ$9,'Graph Data'!AH$1,'PCO Log'!$E$7:$SJ$7,"Approved")</f>
        <v>0</v>
      </c>
      <c r="AI74" s="304">
        <f>SUMIFS('PCO Log'!$E84:$SJ84,'PCO Log'!$E$9:$SJ$9,'Graph Data'!AI$1,'PCO Log'!$E$7:$SJ$7,"Approved")</f>
        <v>0</v>
      </c>
      <c r="AJ74" s="304">
        <f>SUMIFS('PCO Log'!$E84:$SJ84,'PCO Log'!$E$9:$SJ$9,'Graph Data'!AJ$1,'PCO Log'!$E$7:$SJ$7,"Approved")</f>
        <v>0</v>
      </c>
      <c r="AK74" s="304">
        <f>SUMIFS('PCO Log'!$E84:$SJ84,'PCO Log'!$E$9:$SJ$9,'Graph Data'!AK$1,'PCO Log'!$E$7:$SJ$7,"Approved")</f>
        <v>0</v>
      </c>
      <c r="AL74" s="304">
        <f>SUMIFS('PCO Log'!$E84:$SJ84,'PCO Log'!$E$9:$SJ$9,'Graph Data'!AL$1,'PCO Log'!$E$7:$SJ$7,"Approved")</f>
        <v>0</v>
      </c>
      <c r="AM74" s="304">
        <f>SUMIFS('PCO Log'!$E84:$SJ84,'PCO Log'!$E$9:$SJ$9,'Graph Data'!AM$1,'PCO Log'!$E$7:$SJ$7,"Approved")</f>
        <v>0</v>
      </c>
      <c r="AN74" s="304">
        <f>SUMIFS('PCO Log'!$E84:$SJ84,'PCO Log'!$E$9:$SJ$9,'Graph Data'!AN$1,'PCO Log'!$E$7:$SJ$7,"Approved")</f>
        <v>0</v>
      </c>
      <c r="AO74" s="304">
        <f>SUMIFS('PCO Log'!$E84:$SJ84,'PCO Log'!$E$9:$SJ$9,'Graph Data'!AO$1,'PCO Log'!$E$7:$SJ$7,"Approved")</f>
        <v>0</v>
      </c>
      <c r="AP74" s="304">
        <f>SUMIFS('PCO Log'!$E84:$SJ84,'PCO Log'!$E$9:$SJ$9,'Graph Data'!AP$1,'PCO Log'!$E$7:$SJ$7,"Approved")</f>
        <v>0</v>
      </c>
      <c r="AQ74" s="304">
        <f>SUMIFS('PCO Log'!$E84:$SJ84,'PCO Log'!$E$9:$SJ$9,'Graph Data'!AQ$1,'PCO Log'!$E$7:$SJ$7,"Approved")</f>
        <v>0</v>
      </c>
      <c r="AR74" s="304">
        <f>SUMIFS('PCO Log'!$E84:$SJ84,'PCO Log'!$E$9:$SJ$9,'Graph Data'!AR$1,'PCO Log'!$E$7:$SJ$7,"Approved")</f>
        <v>0</v>
      </c>
      <c r="AS74" s="304">
        <f>SUMIFS('PCO Log'!$E84:$SJ84,'PCO Log'!$E$9:$SJ$9,'Graph Data'!AS$1,'PCO Log'!$E$7:$SJ$7,"Approved")</f>
        <v>0</v>
      </c>
      <c r="AT74" s="304">
        <f>SUMIFS('PCO Log'!$E84:$SJ84,'PCO Log'!$E$9:$SJ$9,'Graph Data'!AT$1,'PCO Log'!$E$7:$SJ$7,"Approved")</f>
        <v>0</v>
      </c>
      <c r="AU74" s="304">
        <f>SUMIFS('PCO Log'!$E84:$SJ84,'PCO Log'!$E$9:$SJ$9,'Graph Data'!AU$1,'PCO Log'!$E$7:$SJ$7,"Approved")</f>
        <v>0</v>
      </c>
      <c r="AV74" s="304">
        <f>SUMIFS('PCO Log'!$E84:$SJ84,'PCO Log'!$E$9:$SJ$9,'Graph Data'!AV$1,'PCO Log'!$E$7:$SJ$7,"Approved")</f>
        <v>0</v>
      </c>
      <c r="AW74" s="304">
        <f>SUMIFS('PCO Log'!$E84:$SJ84,'PCO Log'!$E$9:$SJ$9,'Graph Data'!AW$1,'PCO Log'!$E$7:$SJ$7,"Approved")</f>
        <v>0</v>
      </c>
      <c r="AX74" s="304">
        <f>SUMIFS('PCO Log'!$E84:$SJ84,'PCO Log'!$E$9:$SJ$9,'Graph Data'!AX$1,'PCO Log'!$E$7:$SJ$7,"Approved")</f>
        <v>0</v>
      </c>
      <c r="AY74" s="304">
        <f>SUMIFS('PCO Log'!$E84:$SJ84,'PCO Log'!$E$9:$SJ$9,'Graph Data'!AY$1,'PCO Log'!$E$7:$SJ$7,"Approved")</f>
        <v>0</v>
      </c>
      <c r="AZ74" s="304">
        <f>SUMIFS('PCO Log'!$E84:$SJ84,'PCO Log'!$E$9:$SJ$9,'Graph Data'!AZ$1,'PCO Log'!$E$7:$SJ$7,"Approved")</f>
        <v>0</v>
      </c>
      <c r="BA74" s="304">
        <f>SUMIFS('PCO Log'!$E84:$SJ84,'PCO Log'!$E$9:$SJ$9,'Graph Data'!BA$1,'PCO Log'!$E$7:$SJ$7,"Approved")</f>
        <v>0</v>
      </c>
      <c r="BB74" s="304">
        <f>SUMIFS('PCO Log'!$E84:$SJ84,'PCO Log'!$E$9:$SJ$9,'Graph Data'!BB$1,'PCO Log'!$E$7:$SJ$7,"Approved")</f>
        <v>0</v>
      </c>
      <c r="BC74" s="304">
        <f>SUMIFS('PCO Log'!$E84:$SJ84,'PCO Log'!$E$9:$SJ$9,'Graph Data'!BC$1,'PCO Log'!$E$7:$SJ$7,"Approved")</f>
        <v>0</v>
      </c>
      <c r="BD74" s="304">
        <f>SUMIFS('PCO Log'!$E84:$SJ84,'PCO Log'!$E$9:$SJ$9,'Graph Data'!BD$1,'PCO Log'!$E$7:$SJ$7,"Approved")</f>
        <v>0</v>
      </c>
      <c r="BE74" s="304">
        <f>SUMIFS('PCO Log'!$E84:$SJ84,'PCO Log'!$E$9:$SJ$9,'Graph Data'!BE$1,'PCO Log'!$E$7:$SJ$7,"Approved")</f>
        <v>0</v>
      </c>
      <c r="BF74" s="304">
        <f>SUMIFS('PCO Log'!$E84:$SJ84,'PCO Log'!$E$9:$SJ$9,'Graph Data'!BF$1,'PCO Log'!$E$7:$SJ$7,"Approved")</f>
        <v>0</v>
      </c>
      <c r="BG74" s="304">
        <f>SUMIFS('PCO Log'!$E84:$SJ84,'PCO Log'!$E$9:$SJ$9,'Graph Data'!BG$1,'PCO Log'!$E$7:$SJ$7,"Approved")</f>
        <v>0</v>
      </c>
      <c r="BH74" s="304">
        <f>SUMIFS('PCO Log'!$E84:$SJ84,'PCO Log'!$E$9:$SJ$9,'Graph Data'!BH$1,'PCO Log'!$E$7:$SJ$7,"Approved")</f>
        <v>0</v>
      </c>
      <c r="BI74" s="304">
        <f>SUMIFS('PCO Log'!$E84:$SJ84,'PCO Log'!$E$9:$SJ$9,'Graph Data'!BI$1,'PCO Log'!$E$7:$SJ$7,"Approved")</f>
        <v>0</v>
      </c>
      <c r="BJ74" s="304">
        <f>SUMIFS('PCO Log'!$E84:$SJ84,'PCO Log'!$E$9:$SJ$9,'Graph Data'!BJ$1,'PCO Log'!$E$7:$SJ$7,"Approved")</f>
        <v>0</v>
      </c>
      <c r="BK74" s="304">
        <f>SUMIFS('PCO Log'!$E84:$SJ84,'PCO Log'!$E$9:$SJ$9,'Graph Data'!BK$1,'PCO Log'!$E$7:$SJ$7,"Approved")</f>
        <v>0</v>
      </c>
      <c r="BL74" s="304">
        <f>SUMIFS('PCO Log'!$E84:$SJ84,'PCO Log'!$E$9:$SJ$9,'Graph Data'!BL$1,'PCO Log'!$E$7:$SJ$7,"Approved")</f>
        <v>0</v>
      </c>
      <c r="BM74" s="304">
        <f>SUMIFS('PCO Log'!$E84:$SJ84,'PCO Log'!$E$9:$SJ$9,'Graph Data'!BM$1,'PCO Log'!$E$7:$SJ$7,"Approved")</f>
        <v>0</v>
      </c>
      <c r="BN74" s="304">
        <f>SUMIFS('PCO Log'!$E84:$SJ84,'PCO Log'!$E$9:$SJ$9,'Graph Data'!BN$1,'PCO Log'!$E$7:$SJ$7,"Approved")</f>
        <v>0</v>
      </c>
      <c r="BO74" s="304">
        <f>SUMIFS('PCO Log'!$E84:$SJ84,'PCO Log'!$E$9:$SJ$9,'Graph Data'!BO$1,'PCO Log'!$E$7:$SJ$7,"Approved")</f>
        <v>0</v>
      </c>
      <c r="BP74" s="304">
        <f>SUMIFS('PCO Log'!$E84:$SJ84,'PCO Log'!$E$9:$SJ$9,'Graph Data'!BP$1,'PCO Log'!$E$7:$SJ$7,"Approved")</f>
        <v>0</v>
      </c>
      <c r="BQ74" s="304">
        <f>SUMIFS('PCO Log'!$E84:$SJ84,'PCO Log'!$E$9:$SJ$9,'Graph Data'!BQ$1,'PCO Log'!$E$7:$SJ$7,"Approved")</f>
        <v>0</v>
      </c>
      <c r="BR74" s="304">
        <f>SUMIFS('PCO Log'!$E84:$SJ84,'PCO Log'!$E$9:$SJ$9,'Graph Data'!BR$1,'PCO Log'!$E$7:$SJ$7,"Approved")</f>
        <v>0</v>
      </c>
      <c r="BS74" s="304">
        <f>SUMIFS('PCO Log'!$E84:$SJ84,'PCO Log'!$E$9:$SJ$9,'Graph Data'!BS$1,'PCO Log'!$E$7:$SJ$7,"Approved")</f>
        <v>0</v>
      </c>
      <c r="BT74" s="304">
        <f>SUMIFS('PCO Log'!$E84:$SJ84,'PCO Log'!$E$9:$SJ$9,'Graph Data'!BT$1,'PCO Log'!$E$7:$SJ$7,"Approved")</f>
        <v>0</v>
      </c>
      <c r="BU74" s="304">
        <f>SUMIFS('PCO Log'!$E84:$SJ84,'PCO Log'!$E$9:$SJ$9,'Graph Data'!BU$1,'PCO Log'!$E$7:$SJ$7,"Approved")</f>
        <v>0</v>
      </c>
      <c r="BV74" s="304">
        <f>SUMIFS('PCO Log'!$E84:$SJ84,'PCO Log'!$E$9:$SJ$9,'Graph Data'!BV$1,'PCO Log'!$E$7:$SJ$7,"Approved")</f>
        <v>0</v>
      </c>
      <c r="BW74" s="304">
        <f>SUMIFS('PCO Log'!$E84:$SJ84,'PCO Log'!$E$9:$SJ$9,'Graph Data'!BW$1,'PCO Log'!$E$7:$SJ$7,"Approved")</f>
        <v>0</v>
      </c>
      <c r="BX74" s="304">
        <f>SUMIFS('PCO Log'!$E84:$SJ84,'PCO Log'!$E$9:$SJ$9,'Graph Data'!BX$1,'PCO Log'!$E$7:$SJ$7,"Approved")</f>
        <v>0</v>
      </c>
    </row>
    <row r="75" spans="1:76" x14ac:dyDescent="0.25">
      <c r="A75" s="303" t="s">
        <v>415</v>
      </c>
      <c r="B75" s="303">
        <f>'PCO Log'!BZ7</f>
        <v>0</v>
      </c>
      <c r="C75" s="303">
        <f>'PCO Log'!BZ4</f>
        <v>0</v>
      </c>
      <c r="D75" s="303" cm="1">
        <f t="array" ref="D75">INDEX('PCO Log'!$E$5:$SJ$5, 1, ROWS('Graph Data'!$D$2:D75))</f>
        <v>0</v>
      </c>
      <c r="E75" s="303">
        <f>'PCO Log'!BZ8</f>
        <v>0</v>
      </c>
      <c r="F75" s="303">
        <f>'PCO Log'!BZ3</f>
        <v>0</v>
      </c>
      <c r="G75" s="304">
        <f>'PCO Log'!BZ10</f>
        <v>0</v>
      </c>
      <c r="H75" s="305">
        <f>'PCO Log'!BZ6</f>
        <v>0</v>
      </c>
      <c r="K75" s="303" t="s">
        <v>279</v>
      </c>
      <c r="L75" s="306">
        <v>11</v>
      </c>
      <c r="M75" s="303" t="s">
        <v>334</v>
      </c>
      <c r="O75" s="303" t="str">
        <f>'Pay App 1'!B135</f>
        <v>29 00 00</v>
      </c>
      <c r="P75" s="303" t="str">
        <f>'Pay App 1'!C135</f>
        <v>Electrical (other)</v>
      </c>
      <c r="Q75" s="304">
        <f>SUMIFS('PCO Log'!$E85:$SJ85,'PCO Log'!$E$9:$SJ$9,'Graph Data'!Q$1,'PCO Log'!$E$7:$SJ$7,"Approved")</f>
        <v>0</v>
      </c>
      <c r="R75" s="304">
        <f>SUMIFS('PCO Log'!$E85:$SJ85,'PCO Log'!$E$9:$SJ$9,'Graph Data'!R$1,'PCO Log'!$E$7:$SJ$7,"Approved")</f>
        <v>0</v>
      </c>
      <c r="S75" s="304">
        <f>SUMIFS('PCO Log'!$E85:$SJ85,'PCO Log'!$E$9:$SJ$9,'Graph Data'!S$1,'PCO Log'!$E$7:$SJ$7,"Approved")</f>
        <v>0</v>
      </c>
      <c r="T75" s="304">
        <f>SUMIFS('PCO Log'!$E85:$SJ85,'PCO Log'!$E$9:$SJ$9,'Graph Data'!T$1,'PCO Log'!$E$7:$SJ$7,"Approved")</f>
        <v>0</v>
      </c>
      <c r="U75" s="304">
        <f>SUMIFS('PCO Log'!$E85:$SJ85,'PCO Log'!$E$9:$SJ$9,'Graph Data'!U$1,'PCO Log'!$E$7:$SJ$7,"Approved")</f>
        <v>0</v>
      </c>
      <c r="V75" s="304">
        <f>SUMIFS('PCO Log'!$E85:$SJ85,'PCO Log'!$E$9:$SJ$9,'Graph Data'!V$1,'PCO Log'!$E$7:$SJ$7,"Approved")</f>
        <v>0</v>
      </c>
      <c r="W75" s="304">
        <f>SUMIFS('PCO Log'!$E85:$SJ85,'PCO Log'!$E$9:$SJ$9,'Graph Data'!W$1,'PCO Log'!$E$7:$SJ$7,"Approved")</f>
        <v>0</v>
      </c>
      <c r="X75" s="304">
        <f>SUMIFS('PCO Log'!$E85:$SJ85,'PCO Log'!$E$9:$SJ$9,'Graph Data'!X$1,'PCO Log'!$E$7:$SJ$7,"Approved")</f>
        <v>0</v>
      </c>
      <c r="Y75" s="304">
        <f>SUMIFS('PCO Log'!$E85:$SJ85,'PCO Log'!$E$9:$SJ$9,'Graph Data'!Y$1,'PCO Log'!$E$7:$SJ$7,"Approved")</f>
        <v>0</v>
      </c>
      <c r="Z75" s="304">
        <f>SUMIFS('PCO Log'!$E85:$SJ85,'PCO Log'!$E$9:$SJ$9,'Graph Data'!Z$1,'PCO Log'!$E$7:$SJ$7,"Approved")</f>
        <v>0</v>
      </c>
      <c r="AA75" s="304">
        <f>SUMIFS('PCO Log'!$E85:$SJ85,'PCO Log'!$E$9:$SJ$9,'Graph Data'!AA$1,'PCO Log'!$E$7:$SJ$7,"Approved")</f>
        <v>0</v>
      </c>
      <c r="AB75" s="304">
        <f>SUMIFS('PCO Log'!$E85:$SJ85,'PCO Log'!$E$9:$SJ$9,'Graph Data'!AB$1,'PCO Log'!$E$7:$SJ$7,"Approved")</f>
        <v>0</v>
      </c>
      <c r="AC75" s="304">
        <f>SUMIFS('PCO Log'!$E85:$SJ85,'PCO Log'!$E$9:$SJ$9,'Graph Data'!AC$1,'PCO Log'!$E$7:$SJ$7,"Approved")</f>
        <v>0</v>
      </c>
      <c r="AD75" s="304">
        <f>SUMIFS('PCO Log'!$E85:$SJ85,'PCO Log'!$E$9:$SJ$9,'Graph Data'!AD$1,'PCO Log'!$E$7:$SJ$7,"Approved")</f>
        <v>0</v>
      </c>
      <c r="AE75" s="304">
        <f>SUMIFS('PCO Log'!$E85:$SJ85,'PCO Log'!$E$9:$SJ$9,'Graph Data'!AE$1,'PCO Log'!$E$7:$SJ$7,"Approved")</f>
        <v>0</v>
      </c>
      <c r="AF75" s="304">
        <f>SUMIFS('PCO Log'!$E85:$SJ85,'PCO Log'!$E$9:$SJ$9,'Graph Data'!AF$1,'PCO Log'!$E$7:$SJ$7,"Approved")</f>
        <v>0</v>
      </c>
      <c r="AG75" s="304">
        <f>SUMIFS('PCO Log'!$E85:$SJ85,'PCO Log'!$E$9:$SJ$9,'Graph Data'!AG$1,'PCO Log'!$E$7:$SJ$7,"Approved")</f>
        <v>0</v>
      </c>
      <c r="AH75" s="304">
        <f>SUMIFS('PCO Log'!$E85:$SJ85,'PCO Log'!$E$9:$SJ$9,'Graph Data'!AH$1,'PCO Log'!$E$7:$SJ$7,"Approved")</f>
        <v>0</v>
      </c>
      <c r="AI75" s="304">
        <f>SUMIFS('PCO Log'!$E85:$SJ85,'PCO Log'!$E$9:$SJ$9,'Graph Data'!AI$1,'PCO Log'!$E$7:$SJ$7,"Approved")</f>
        <v>0</v>
      </c>
      <c r="AJ75" s="304">
        <f>SUMIFS('PCO Log'!$E85:$SJ85,'PCO Log'!$E$9:$SJ$9,'Graph Data'!AJ$1,'PCO Log'!$E$7:$SJ$7,"Approved")</f>
        <v>0</v>
      </c>
      <c r="AK75" s="304">
        <f>SUMIFS('PCO Log'!$E85:$SJ85,'PCO Log'!$E$9:$SJ$9,'Graph Data'!AK$1,'PCO Log'!$E$7:$SJ$7,"Approved")</f>
        <v>0</v>
      </c>
      <c r="AL75" s="304">
        <f>SUMIFS('PCO Log'!$E85:$SJ85,'PCO Log'!$E$9:$SJ$9,'Graph Data'!AL$1,'PCO Log'!$E$7:$SJ$7,"Approved")</f>
        <v>0</v>
      </c>
      <c r="AM75" s="304">
        <f>SUMIFS('PCO Log'!$E85:$SJ85,'PCO Log'!$E$9:$SJ$9,'Graph Data'!AM$1,'PCO Log'!$E$7:$SJ$7,"Approved")</f>
        <v>0</v>
      </c>
      <c r="AN75" s="304">
        <f>SUMIFS('PCO Log'!$E85:$SJ85,'PCO Log'!$E$9:$SJ$9,'Graph Data'!AN$1,'PCO Log'!$E$7:$SJ$7,"Approved")</f>
        <v>0</v>
      </c>
      <c r="AO75" s="304">
        <f>SUMIFS('PCO Log'!$E85:$SJ85,'PCO Log'!$E$9:$SJ$9,'Graph Data'!AO$1,'PCO Log'!$E$7:$SJ$7,"Approved")</f>
        <v>0</v>
      </c>
      <c r="AP75" s="304">
        <f>SUMIFS('PCO Log'!$E85:$SJ85,'PCO Log'!$E$9:$SJ$9,'Graph Data'!AP$1,'PCO Log'!$E$7:$SJ$7,"Approved")</f>
        <v>0</v>
      </c>
      <c r="AQ75" s="304">
        <f>SUMIFS('PCO Log'!$E85:$SJ85,'PCO Log'!$E$9:$SJ$9,'Graph Data'!AQ$1,'PCO Log'!$E$7:$SJ$7,"Approved")</f>
        <v>0</v>
      </c>
      <c r="AR75" s="304">
        <f>SUMIFS('PCO Log'!$E85:$SJ85,'PCO Log'!$E$9:$SJ$9,'Graph Data'!AR$1,'PCO Log'!$E$7:$SJ$7,"Approved")</f>
        <v>0</v>
      </c>
      <c r="AS75" s="304">
        <f>SUMIFS('PCO Log'!$E85:$SJ85,'PCO Log'!$E$9:$SJ$9,'Graph Data'!AS$1,'PCO Log'!$E$7:$SJ$7,"Approved")</f>
        <v>0</v>
      </c>
      <c r="AT75" s="304">
        <f>SUMIFS('PCO Log'!$E85:$SJ85,'PCO Log'!$E$9:$SJ$9,'Graph Data'!AT$1,'PCO Log'!$E$7:$SJ$7,"Approved")</f>
        <v>0</v>
      </c>
      <c r="AU75" s="304">
        <f>SUMIFS('PCO Log'!$E85:$SJ85,'PCO Log'!$E$9:$SJ$9,'Graph Data'!AU$1,'PCO Log'!$E$7:$SJ$7,"Approved")</f>
        <v>0</v>
      </c>
      <c r="AV75" s="304">
        <f>SUMIFS('PCO Log'!$E85:$SJ85,'PCO Log'!$E$9:$SJ$9,'Graph Data'!AV$1,'PCO Log'!$E$7:$SJ$7,"Approved")</f>
        <v>0</v>
      </c>
      <c r="AW75" s="304">
        <f>SUMIFS('PCO Log'!$E85:$SJ85,'PCO Log'!$E$9:$SJ$9,'Graph Data'!AW$1,'PCO Log'!$E$7:$SJ$7,"Approved")</f>
        <v>0</v>
      </c>
      <c r="AX75" s="304">
        <f>SUMIFS('PCO Log'!$E85:$SJ85,'PCO Log'!$E$9:$SJ$9,'Graph Data'!AX$1,'PCO Log'!$E$7:$SJ$7,"Approved")</f>
        <v>0</v>
      </c>
      <c r="AY75" s="304">
        <f>SUMIFS('PCO Log'!$E85:$SJ85,'PCO Log'!$E$9:$SJ$9,'Graph Data'!AY$1,'PCO Log'!$E$7:$SJ$7,"Approved")</f>
        <v>0</v>
      </c>
      <c r="AZ75" s="304">
        <f>SUMIFS('PCO Log'!$E85:$SJ85,'PCO Log'!$E$9:$SJ$9,'Graph Data'!AZ$1,'PCO Log'!$E$7:$SJ$7,"Approved")</f>
        <v>0</v>
      </c>
      <c r="BA75" s="304">
        <f>SUMIFS('PCO Log'!$E85:$SJ85,'PCO Log'!$E$9:$SJ$9,'Graph Data'!BA$1,'PCO Log'!$E$7:$SJ$7,"Approved")</f>
        <v>0</v>
      </c>
      <c r="BB75" s="304">
        <f>SUMIFS('PCO Log'!$E85:$SJ85,'PCO Log'!$E$9:$SJ$9,'Graph Data'!BB$1,'PCO Log'!$E$7:$SJ$7,"Approved")</f>
        <v>0</v>
      </c>
      <c r="BC75" s="304">
        <f>SUMIFS('PCO Log'!$E85:$SJ85,'PCO Log'!$E$9:$SJ$9,'Graph Data'!BC$1,'PCO Log'!$E$7:$SJ$7,"Approved")</f>
        <v>0</v>
      </c>
      <c r="BD75" s="304">
        <f>SUMIFS('PCO Log'!$E85:$SJ85,'PCO Log'!$E$9:$SJ$9,'Graph Data'!BD$1,'PCO Log'!$E$7:$SJ$7,"Approved")</f>
        <v>0</v>
      </c>
      <c r="BE75" s="304">
        <f>SUMIFS('PCO Log'!$E85:$SJ85,'PCO Log'!$E$9:$SJ$9,'Graph Data'!BE$1,'PCO Log'!$E$7:$SJ$7,"Approved")</f>
        <v>0</v>
      </c>
      <c r="BF75" s="304">
        <f>SUMIFS('PCO Log'!$E85:$SJ85,'PCO Log'!$E$9:$SJ$9,'Graph Data'!BF$1,'PCO Log'!$E$7:$SJ$7,"Approved")</f>
        <v>0</v>
      </c>
      <c r="BG75" s="304">
        <f>SUMIFS('PCO Log'!$E85:$SJ85,'PCO Log'!$E$9:$SJ$9,'Graph Data'!BG$1,'PCO Log'!$E$7:$SJ$7,"Approved")</f>
        <v>0</v>
      </c>
      <c r="BH75" s="304">
        <f>SUMIFS('PCO Log'!$E85:$SJ85,'PCO Log'!$E$9:$SJ$9,'Graph Data'!BH$1,'PCO Log'!$E$7:$SJ$7,"Approved")</f>
        <v>0</v>
      </c>
      <c r="BI75" s="304">
        <f>SUMIFS('PCO Log'!$E85:$SJ85,'PCO Log'!$E$9:$SJ$9,'Graph Data'!BI$1,'PCO Log'!$E$7:$SJ$7,"Approved")</f>
        <v>0</v>
      </c>
      <c r="BJ75" s="304">
        <f>SUMIFS('PCO Log'!$E85:$SJ85,'PCO Log'!$E$9:$SJ$9,'Graph Data'!BJ$1,'PCO Log'!$E$7:$SJ$7,"Approved")</f>
        <v>0</v>
      </c>
      <c r="BK75" s="304">
        <f>SUMIFS('PCO Log'!$E85:$SJ85,'PCO Log'!$E$9:$SJ$9,'Graph Data'!BK$1,'PCO Log'!$E$7:$SJ$7,"Approved")</f>
        <v>0</v>
      </c>
      <c r="BL75" s="304">
        <f>SUMIFS('PCO Log'!$E85:$SJ85,'PCO Log'!$E$9:$SJ$9,'Graph Data'!BL$1,'PCO Log'!$E$7:$SJ$7,"Approved")</f>
        <v>0</v>
      </c>
      <c r="BM75" s="304">
        <f>SUMIFS('PCO Log'!$E85:$SJ85,'PCO Log'!$E$9:$SJ$9,'Graph Data'!BM$1,'PCO Log'!$E$7:$SJ$7,"Approved")</f>
        <v>0</v>
      </c>
      <c r="BN75" s="304">
        <f>SUMIFS('PCO Log'!$E85:$SJ85,'PCO Log'!$E$9:$SJ$9,'Graph Data'!BN$1,'PCO Log'!$E$7:$SJ$7,"Approved")</f>
        <v>0</v>
      </c>
      <c r="BO75" s="304">
        <f>SUMIFS('PCO Log'!$E85:$SJ85,'PCO Log'!$E$9:$SJ$9,'Graph Data'!BO$1,'PCO Log'!$E$7:$SJ$7,"Approved")</f>
        <v>0</v>
      </c>
      <c r="BP75" s="304">
        <f>SUMIFS('PCO Log'!$E85:$SJ85,'PCO Log'!$E$9:$SJ$9,'Graph Data'!BP$1,'PCO Log'!$E$7:$SJ$7,"Approved")</f>
        <v>0</v>
      </c>
      <c r="BQ75" s="304">
        <f>SUMIFS('PCO Log'!$E85:$SJ85,'PCO Log'!$E$9:$SJ$9,'Graph Data'!BQ$1,'PCO Log'!$E$7:$SJ$7,"Approved")</f>
        <v>0</v>
      </c>
      <c r="BR75" s="304">
        <f>SUMIFS('PCO Log'!$E85:$SJ85,'PCO Log'!$E$9:$SJ$9,'Graph Data'!BR$1,'PCO Log'!$E$7:$SJ$7,"Approved")</f>
        <v>0</v>
      </c>
      <c r="BS75" s="304">
        <f>SUMIFS('PCO Log'!$E85:$SJ85,'PCO Log'!$E$9:$SJ$9,'Graph Data'!BS$1,'PCO Log'!$E$7:$SJ$7,"Approved")</f>
        <v>0</v>
      </c>
      <c r="BT75" s="304">
        <f>SUMIFS('PCO Log'!$E85:$SJ85,'PCO Log'!$E$9:$SJ$9,'Graph Data'!BT$1,'PCO Log'!$E$7:$SJ$7,"Approved")</f>
        <v>0</v>
      </c>
      <c r="BU75" s="304">
        <f>SUMIFS('PCO Log'!$E85:$SJ85,'PCO Log'!$E$9:$SJ$9,'Graph Data'!BU$1,'PCO Log'!$E$7:$SJ$7,"Approved")</f>
        <v>0</v>
      </c>
      <c r="BV75" s="304">
        <f>SUMIFS('PCO Log'!$E85:$SJ85,'PCO Log'!$E$9:$SJ$9,'Graph Data'!BV$1,'PCO Log'!$E$7:$SJ$7,"Approved")</f>
        <v>0</v>
      </c>
      <c r="BW75" s="304">
        <f>SUMIFS('PCO Log'!$E85:$SJ85,'PCO Log'!$E$9:$SJ$9,'Graph Data'!BW$1,'PCO Log'!$E$7:$SJ$7,"Approved")</f>
        <v>0</v>
      </c>
      <c r="BX75" s="304">
        <f>SUMIFS('PCO Log'!$E85:$SJ85,'PCO Log'!$E$9:$SJ$9,'Graph Data'!BX$1,'PCO Log'!$E$7:$SJ$7,"Approved")</f>
        <v>0</v>
      </c>
    </row>
    <row r="76" spans="1:76" x14ac:dyDescent="0.25">
      <c r="A76" s="303" t="s">
        <v>416</v>
      </c>
      <c r="B76" s="303">
        <f>'PCO Log'!CA7</f>
        <v>0</v>
      </c>
      <c r="C76" s="303">
        <f>'PCO Log'!CA4</f>
        <v>0</v>
      </c>
      <c r="D76" s="303" cm="1">
        <f t="array" ref="D76">INDEX('PCO Log'!$E$5:$SJ$5, 1, ROWS('Graph Data'!$D$2:D76))</f>
        <v>0</v>
      </c>
      <c r="E76" s="303">
        <f>'PCO Log'!CA8</f>
        <v>0</v>
      </c>
      <c r="F76" s="303">
        <f>'PCO Log'!CA3</f>
        <v>0</v>
      </c>
      <c r="G76" s="304">
        <f>'PCO Log'!CA10</f>
        <v>0</v>
      </c>
      <c r="H76" s="305">
        <f>'PCO Log'!CA6</f>
        <v>0</v>
      </c>
      <c r="K76" s="303" t="s">
        <v>280</v>
      </c>
      <c r="L76" s="306">
        <v>12</v>
      </c>
      <c r="M76" s="303" t="s">
        <v>335</v>
      </c>
      <c r="O76" s="303" t="str">
        <f>'Pay App 1'!B136</f>
        <v>31 00 00</v>
      </c>
      <c r="P76" s="303" t="str">
        <f>'Pay App 1'!C136</f>
        <v>Building &amp; Site Earthwork</v>
      </c>
      <c r="Q76" s="304">
        <f>SUMIFS('PCO Log'!$E86:$SJ86,'PCO Log'!$E$9:$SJ$9,'Graph Data'!Q$1,'PCO Log'!$E$7:$SJ$7,"Approved")</f>
        <v>0</v>
      </c>
      <c r="R76" s="304">
        <f>SUMIFS('PCO Log'!$E86:$SJ86,'PCO Log'!$E$9:$SJ$9,'Graph Data'!R$1,'PCO Log'!$E$7:$SJ$7,"Approved")</f>
        <v>0</v>
      </c>
      <c r="S76" s="304">
        <f>SUMIFS('PCO Log'!$E86:$SJ86,'PCO Log'!$E$9:$SJ$9,'Graph Data'!S$1,'PCO Log'!$E$7:$SJ$7,"Approved")</f>
        <v>0</v>
      </c>
      <c r="T76" s="304">
        <f>SUMIFS('PCO Log'!$E86:$SJ86,'PCO Log'!$E$9:$SJ$9,'Graph Data'!T$1,'PCO Log'!$E$7:$SJ$7,"Approved")</f>
        <v>0</v>
      </c>
      <c r="U76" s="304">
        <f>SUMIFS('PCO Log'!$E86:$SJ86,'PCO Log'!$E$9:$SJ$9,'Graph Data'!U$1,'PCO Log'!$E$7:$SJ$7,"Approved")</f>
        <v>0</v>
      </c>
      <c r="V76" s="304">
        <f>SUMIFS('PCO Log'!$E86:$SJ86,'PCO Log'!$E$9:$SJ$9,'Graph Data'!V$1,'PCO Log'!$E$7:$SJ$7,"Approved")</f>
        <v>0</v>
      </c>
      <c r="W76" s="304">
        <f>SUMIFS('PCO Log'!$E86:$SJ86,'PCO Log'!$E$9:$SJ$9,'Graph Data'!W$1,'PCO Log'!$E$7:$SJ$7,"Approved")</f>
        <v>0</v>
      </c>
      <c r="X76" s="304">
        <f>SUMIFS('PCO Log'!$E86:$SJ86,'PCO Log'!$E$9:$SJ$9,'Graph Data'!X$1,'PCO Log'!$E$7:$SJ$7,"Approved")</f>
        <v>0</v>
      </c>
      <c r="Y76" s="304">
        <f>SUMIFS('PCO Log'!$E86:$SJ86,'PCO Log'!$E$9:$SJ$9,'Graph Data'!Y$1,'PCO Log'!$E$7:$SJ$7,"Approved")</f>
        <v>0</v>
      </c>
      <c r="Z76" s="304">
        <f>SUMIFS('PCO Log'!$E86:$SJ86,'PCO Log'!$E$9:$SJ$9,'Graph Data'!Z$1,'PCO Log'!$E$7:$SJ$7,"Approved")</f>
        <v>0</v>
      </c>
      <c r="AA76" s="304">
        <f>SUMIFS('PCO Log'!$E86:$SJ86,'PCO Log'!$E$9:$SJ$9,'Graph Data'!AA$1,'PCO Log'!$E$7:$SJ$7,"Approved")</f>
        <v>0</v>
      </c>
      <c r="AB76" s="304">
        <f>SUMIFS('PCO Log'!$E86:$SJ86,'PCO Log'!$E$9:$SJ$9,'Graph Data'!AB$1,'PCO Log'!$E$7:$SJ$7,"Approved")</f>
        <v>0</v>
      </c>
      <c r="AC76" s="304">
        <f>SUMIFS('PCO Log'!$E86:$SJ86,'PCO Log'!$E$9:$SJ$9,'Graph Data'!AC$1,'PCO Log'!$E$7:$SJ$7,"Approved")</f>
        <v>0</v>
      </c>
      <c r="AD76" s="304">
        <f>SUMIFS('PCO Log'!$E86:$SJ86,'PCO Log'!$E$9:$SJ$9,'Graph Data'!AD$1,'PCO Log'!$E$7:$SJ$7,"Approved")</f>
        <v>0</v>
      </c>
      <c r="AE76" s="304">
        <f>SUMIFS('PCO Log'!$E86:$SJ86,'PCO Log'!$E$9:$SJ$9,'Graph Data'!AE$1,'PCO Log'!$E$7:$SJ$7,"Approved")</f>
        <v>0</v>
      </c>
      <c r="AF76" s="304">
        <f>SUMIFS('PCO Log'!$E86:$SJ86,'PCO Log'!$E$9:$SJ$9,'Graph Data'!AF$1,'PCO Log'!$E$7:$SJ$7,"Approved")</f>
        <v>0</v>
      </c>
      <c r="AG76" s="304">
        <f>SUMIFS('PCO Log'!$E86:$SJ86,'PCO Log'!$E$9:$SJ$9,'Graph Data'!AG$1,'PCO Log'!$E$7:$SJ$7,"Approved")</f>
        <v>0</v>
      </c>
      <c r="AH76" s="304">
        <f>SUMIFS('PCO Log'!$E86:$SJ86,'PCO Log'!$E$9:$SJ$9,'Graph Data'!AH$1,'PCO Log'!$E$7:$SJ$7,"Approved")</f>
        <v>0</v>
      </c>
      <c r="AI76" s="304">
        <f>SUMIFS('PCO Log'!$E86:$SJ86,'PCO Log'!$E$9:$SJ$9,'Graph Data'!AI$1,'PCO Log'!$E$7:$SJ$7,"Approved")</f>
        <v>0</v>
      </c>
      <c r="AJ76" s="304">
        <f>SUMIFS('PCO Log'!$E86:$SJ86,'PCO Log'!$E$9:$SJ$9,'Graph Data'!AJ$1,'PCO Log'!$E$7:$SJ$7,"Approved")</f>
        <v>0</v>
      </c>
      <c r="AK76" s="304">
        <f>SUMIFS('PCO Log'!$E86:$SJ86,'PCO Log'!$E$9:$SJ$9,'Graph Data'!AK$1,'PCO Log'!$E$7:$SJ$7,"Approved")</f>
        <v>0</v>
      </c>
      <c r="AL76" s="304">
        <f>SUMIFS('PCO Log'!$E86:$SJ86,'PCO Log'!$E$9:$SJ$9,'Graph Data'!AL$1,'PCO Log'!$E$7:$SJ$7,"Approved")</f>
        <v>0</v>
      </c>
      <c r="AM76" s="304">
        <f>SUMIFS('PCO Log'!$E86:$SJ86,'PCO Log'!$E$9:$SJ$9,'Graph Data'!AM$1,'PCO Log'!$E$7:$SJ$7,"Approved")</f>
        <v>0</v>
      </c>
      <c r="AN76" s="304">
        <f>SUMIFS('PCO Log'!$E86:$SJ86,'PCO Log'!$E$9:$SJ$9,'Graph Data'!AN$1,'PCO Log'!$E$7:$SJ$7,"Approved")</f>
        <v>0</v>
      </c>
      <c r="AO76" s="304">
        <f>SUMIFS('PCO Log'!$E86:$SJ86,'PCO Log'!$E$9:$SJ$9,'Graph Data'!AO$1,'PCO Log'!$E$7:$SJ$7,"Approved")</f>
        <v>0</v>
      </c>
      <c r="AP76" s="304">
        <f>SUMIFS('PCO Log'!$E86:$SJ86,'PCO Log'!$E$9:$SJ$9,'Graph Data'!AP$1,'PCO Log'!$E$7:$SJ$7,"Approved")</f>
        <v>0</v>
      </c>
      <c r="AQ76" s="304">
        <f>SUMIFS('PCO Log'!$E86:$SJ86,'PCO Log'!$E$9:$SJ$9,'Graph Data'!AQ$1,'PCO Log'!$E$7:$SJ$7,"Approved")</f>
        <v>0</v>
      </c>
      <c r="AR76" s="304">
        <f>SUMIFS('PCO Log'!$E86:$SJ86,'PCO Log'!$E$9:$SJ$9,'Graph Data'!AR$1,'PCO Log'!$E$7:$SJ$7,"Approved")</f>
        <v>0</v>
      </c>
      <c r="AS76" s="304">
        <f>SUMIFS('PCO Log'!$E86:$SJ86,'PCO Log'!$E$9:$SJ$9,'Graph Data'!AS$1,'PCO Log'!$E$7:$SJ$7,"Approved")</f>
        <v>0</v>
      </c>
      <c r="AT76" s="304">
        <f>SUMIFS('PCO Log'!$E86:$SJ86,'PCO Log'!$E$9:$SJ$9,'Graph Data'!AT$1,'PCO Log'!$E$7:$SJ$7,"Approved")</f>
        <v>0</v>
      </c>
      <c r="AU76" s="304">
        <f>SUMIFS('PCO Log'!$E86:$SJ86,'PCO Log'!$E$9:$SJ$9,'Graph Data'!AU$1,'PCO Log'!$E$7:$SJ$7,"Approved")</f>
        <v>0</v>
      </c>
      <c r="AV76" s="304">
        <f>SUMIFS('PCO Log'!$E86:$SJ86,'PCO Log'!$E$9:$SJ$9,'Graph Data'!AV$1,'PCO Log'!$E$7:$SJ$7,"Approved")</f>
        <v>0</v>
      </c>
      <c r="AW76" s="304">
        <f>SUMIFS('PCO Log'!$E86:$SJ86,'PCO Log'!$E$9:$SJ$9,'Graph Data'!AW$1,'PCO Log'!$E$7:$SJ$7,"Approved")</f>
        <v>0</v>
      </c>
      <c r="AX76" s="304">
        <f>SUMIFS('PCO Log'!$E86:$SJ86,'PCO Log'!$E$9:$SJ$9,'Graph Data'!AX$1,'PCO Log'!$E$7:$SJ$7,"Approved")</f>
        <v>0</v>
      </c>
      <c r="AY76" s="304">
        <f>SUMIFS('PCO Log'!$E86:$SJ86,'PCO Log'!$E$9:$SJ$9,'Graph Data'!AY$1,'PCO Log'!$E$7:$SJ$7,"Approved")</f>
        <v>0</v>
      </c>
      <c r="AZ76" s="304">
        <f>SUMIFS('PCO Log'!$E86:$SJ86,'PCO Log'!$E$9:$SJ$9,'Graph Data'!AZ$1,'PCO Log'!$E$7:$SJ$7,"Approved")</f>
        <v>0</v>
      </c>
      <c r="BA76" s="304">
        <f>SUMIFS('PCO Log'!$E86:$SJ86,'PCO Log'!$E$9:$SJ$9,'Graph Data'!BA$1,'PCO Log'!$E$7:$SJ$7,"Approved")</f>
        <v>0</v>
      </c>
      <c r="BB76" s="304">
        <f>SUMIFS('PCO Log'!$E86:$SJ86,'PCO Log'!$E$9:$SJ$9,'Graph Data'!BB$1,'PCO Log'!$E$7:$SJ$7,"Approved")</f>
        <v>0</v>
      </c>
      <c r="BC76" s="304">
        <f>SUMIFS('PCO Log'!$E86:$SJ86,'PCO Log'!$E$9:$SJ$9,'Graph Data'!BC$1,'PCO Log'!$E$7:$SJ$7,"Approved")</f>
        <v>0</v>
      </c>
      <c r="BD76" s="304">
        <f>SUMIFS('PCO Log'!$E86:$SJ86,'PCO Log'!$E$9:$SJ$9,'Graph Data'!BD$1,'PCO Log'!$E$7:$SJ$7,"Approved")</f>
        <v>0</v>
      </c>
      <c r="BE76" s="304">
        <f>SUMIFS('PCO Log'!$E86:$SJ86,'PCO Log'!$E$9:$SJ$9,'Graph Data'!BE$1,'PCO Log'!$E$7:$SJ$7,"Approved")</f>
        <v>0</v>
      </c>
      <c r="BF76" s="304">
        <f>SUMIFS('PCO Log'!$E86:$SJ86,'PCO Log'!$E$9:$SJ$9,'Graph Data'!BF$1,'PCO Log'!$E$7:$SJ$7,"Approved")</f>
        <v>0</v>
      </c>
      <c r="BG76" s="304">
        <f>SUMIFS('PCO Log'!$E86:$SJ86,'PCO Log'!$E$9:$SJ$9,'Graph Data'!BG$1,'PCO Log'!$E$7:$SJ$7,"Approved")</f>
        <v>0</v>
      </c>
      <c r="BH76" s="304">
        <f>SUMIFS('PCO Log'!$E86:$SJ86,'PCO Log'!$E$9:$SJ$9,'Graph Data'!BH$1,'PCO Log'!$E$7:$SJ$7,"Approved")</f>
        <v>0</v>
      </c>
      <c r="BI76" s="304">
        <f>SUMIFS('PCO Log'!$E86:$SJ86,'PCO Log'!$E$9:$SJ$9,'Graph Data'!BI$1,'PCO Log'!$E$7:$SJ$7,"Approved")</f>
        <v>0</v>
      </c>
      <c r="BJ76" s="304">
        <f>SUMIFS('PCO Log'!$E86:$SJ86,'PCO Log'!$E$9:$SJ$9,'Graph Data'!BJ$1,'PCO Log'!$E$7:$SJ$7,"Approved")</f>
        <v>0</v>
      </c>
      <c r="BK76" s="304">
        <f>SUMIFS('PCO Log'!$E86:$SJ86,'PCO Log'!$E$9:$SJ$9,'Graph Data'!BK$1,'PCO Log'!$E$7:$SJ$7,"Approved")</f>
        <v>0</v>
      </c>
      <c r="BL76" s="304">
        <f>SUMIFS('PCO Log'!$E86:$SJ86,'PCO Log'!$E$9:$SJ$9,'Graph Data'!BL$1,'PCO Log'!$E$7:$SJ$7,"Approved")</f>
        <v>0</v>
      </c>
      <c r="BM76" s="304">
        <f>SUMIFS('PCO Log'!$E86:$SJ86,'PCO Log'!$E$9:$SJ$9,'Graph Data'!BM$1,'PCO Log'!$E$7:$SJ$7,"Approved")</f>
        <v>0</v>
      </c>
      <c r="BN76" s="304">
        <f>SUMIFS('PCO Log'!$E86:$SJ86,'PCO Log'!$E$9:$SJ$9,'Graph Data'!BN$1,'PCO Log'!$E$7:$SJ$7,"Approved")</f>
        <v>0</v>
      </c>
      <c r="BO76" s="304">
        <f>SUMIFS('PCO Log'!$E86:$SJ86,'PCO Log'!$E$9:$SJ$9,'Graph Data'!BO$1,'PCO Log'!$E$7:$SJ$7,"Approved")</f>
        <v>0</v>
      </c>
      <c r="BP76" s="304">
        <f>SUMIFS('PCO Log'!$E86:$SJ86,'PCO Log'!$E$9:$SJ$9,'Graph Data'!BP$1,'PCO Log'!$E$7:$SJ$7,"Approved")</f>
        <v>0</v>
      </c>
      <c r="BQ76" s="304">
        <f>SUMIFS('PCO Log'!$E86:$SJ86,'PCO Log'!$E$9:$SJ$9,'Graph Data'!BQ$1,'PCO Log'!$E$7:$SJ$7,"Approved")</f>
        <v>0</v>
      </c>
      <c r="BR76" s="304">
        <f>SUMIFS('PCO Log'!$E86:$SJ86,'PCO Log'!$E$9:$SJ$9,'Graph Data'!BR$1,'PCO Log'!$E$7:$SJ$7,"Approved")</f>
        <v>0</v>
      </c>
      <c r="BS76" s="304">
        <f>SUMIFS('PCO Log'!$E86:$SJ86,'PCO Log'!$E$9:$SJ$9,'Graph Data'!BS$1,'PCO Log'!$E$7:$SJ$7,"Approved")</f>
        <v>0</v>
      </c>
      <c r="BT76" s="304">
        <f>SUMIFS('PCO Log'!$E86:$SJ86,'PCO Log'!$E$9:$SJ$9,'Graph Data'!BT$1,'PCO Log'!$E$7:$SJ$7,"Approved")</f>
        <v>0</v>
      </c>
      <c r="BU76" s="304">
        <f>SUMIFS('PCO Log'!$E86:$SJ86,'PCO Log'!$E$9:$SJ$9,'Graph Data'!BU$1,'PCO Log'!$E$7:$SJ$7,"Approved")</f>
        <v>0</v>
      </c>
      <c r="BV76" s="304">
        <f>SUMIFS('PCO Log'!$E86:$SJ86,'PCO Log'!$E$9:$SJ$9,'Graph Data'!BV$1,'PCO Log'!$E$7:$SJ$7,"Approved")</f>
        <v>0</v>
      </c>
      <c r="BW76" s="304">
        <f>SUMIFS('PCO Log'!$E86:$SJ86,'PCO Log'!$E$9:$SJ$9,'Graph Data'!BW$1,'PCO Log'!$E$7:$SJ$7,"Approved")</f>
        <v>0</v>
      </c>
      <c r="BX76" s="304">
        <f>SUMIFS('PCO Log'!$E86:$SJ86,'PCO Log'!$E$9:$SJ$9,'Graph Data'!BX$1,'PCO Log'!$E$7:$SJ$7,"Approved")</f>
        <v>0</v>
      </c>
    </row>
    <row r="77" spans="1:76" x14ac:dyDescent="0.25">
      <c r="A77" s="303" t="s">
        <v>417</v>
      </c>
      <c r="B77" s="303">
        <f>'PCO Log'!CB7</f>
        <v>0</v>
      </c>
      <c r="C77" s="303">
        <f>'PCO Log'!CB4</f>
        <v>0</v>
      </c>
      <c r="D77" s="303" cm="1">
        <f t="array" ref="D77">INDEX('PCO Log'!$E$5:$SJ$5, 1, ROWS('Graph Data'!$D$2:D77))</f>
        <v>0</v>
      </c>
      <c r="E77" s="303">
        <f>'PCO Log'!CB8</f>
        <v>0</v>
      </c>
      <c r="F77" s="303">
        <f>'PCO Log'!CB3</f>
        <v>0</v>
      </c>
      <c r="G77" s="304">
        <f>'PCO Log'!CB10</f>
        <v>0</v>
      </c>
      <c r="H77" s="305">
        <f>'PCO Log'!CB6</f>
        <v>0</v>
      </c>
      <c r="K77" s="303" t="s">
        <v>281</v>
      </c>
      <c r="L77" s="306">
        <v>13</v>
      </c>
      <c r="O77" s="303" t="str">
        <f>'Pay App 1'!B137</f>
        <v>31 40 00</v>
      </c>
      <c r="P77" s="303" t="str">
        <f>'Pay App 1'!C137</f>
        <v>Shoring/Pilings/Piers/Caissons</v>
      </c>
      <c r="Q77" s="304">
        <f>SUMIFS('PCO Log'!$E87:$SJ87,'PCO Log'!$E$9:$SJ$9,'Graph Data'!Q$1,'PCO Log'!$E$7:$SJ$7,"Approved")</f>
        <v>0</v>
      </c>
      <c r="R77" s="304">
        <f>SUMIFS('PCO Log'!$E87:$SJ87,'PCO Log'!$E$9:$SJ$9,'Graph Data'!R$1,'PCO Log'!$E$7:$SJ$7,"Approved")</f>
        <v>0</v>
      </c>
      <c r="S77" s="304">
        <f>SUMIFS('PCO Log'!$E87:$SJ87,'PCO Log'!$E$9:$SJ$9,'Graph Data'!S$1,'PCO Log'!$E$7:$SJ$7,"Approved")</f>
        <v>0</v>
      </c>
      <c r="T77" s="304">
        <f>SUMIFS('PCO Log'!$E87:$SJ87,'PCO Log'!$E$9:$SJ$9,'Graph Data'!T$1,'PCO Log'!$E$7:$SJ$7,"Approved")</f>
        <v>0</v>
      </c>
      <c r="U77" s="304">
        <f>SUMIFS('PCO Log'!$E87:$SJ87,'PCO Log'!$E$9:$SJ$9,'Graph Data'!U$1,'PCO Log'!$E$7:$SJ$7,"Approved")</f>
        <v>0</v>
      </c>
      <c r="V77" s="304">
        <f>SUMIFS('PCO Log'!$E87:$SJ87,'PCO Log'!$E$9:$SJ$9,'Graph Data'!V$1,'PCO Log'!$E$7:$SJ$7,"Approved")</f>
        <v>0</v>
      </c>
      <c r="W77" s="304">
        <f>SUMIFS('PCO Log'!$E87:$SJ87,'PCO Log'!$E$9:$SJ$9,'Graph Data'!W$1,'PCO Log'!$E$7:$SJ$7,"Approved")</f>
        <v>0</v>
      </c>
      <c r="X77" s="304">
        <f>SUMIFS('PCO Log'!$E87:$SJ87,'PCO Log'!$E$9:$SJ$9,'Graph Data'!X$1,'PCO Log'!$E$7:$SJ$7,"Approved")</f>
        <v>0</v>
      </c>
      <c r="Y77" s="304">
        <f>SUMIFS('PCO Log'!$E87:$SJ87,'PCO Log'!$E$9:$SJ$9,'Graph Data'!Y$1,'PCO Log'!$E$7:$SJ$7,"Approved")</f>
        <v>0</v>
      </c>
      <c r="Z77" s="304">
        <f>SUMIFS('PCO Log'!$E87:$SJ87,'PCO Log'!$E$9:$SJ$9,'Graph Data'!Z$1,'PCO Log'!$E$7:$SJ$7,"Approved")</f>
        <v>0</v>
      </c>
      <c r="AA77" s="304">
        <f>SUMIFS('PCO Log'!$E87:$SJ87,'PCO Log'!$E$9:$SJ$9,'Graph Data'!AA$1,'PCO Log'!$E$7:$SJ$7,"Approved")</f>
        <v>0</v>
      </c>
      <c r="AB77" s="304">
        <f>SUMIFS('PCO Log'!$E87:$SJ87,'PCO Log'!$E$9:$SJ$9,'Graph Data'!AB$1,'PCO Log'!$E$7:$SJ$7,"Approved")</f>
        <v>0</v>
      </c>
      <c r="AC77" s="304">
        <f>SUMIFS('PCO Log'!$E87:$SJ87,'PCO Log'!$E$9:$SJ$9,'Graph Data'!AC$1,'PCO Log'!$E$7:$SJ$7,"Approved")</f>
        <v>0</v>
      </c>
      <c r="AD77" s="304">
        <f>SUMIFS('PCO Log'!$E87:$SJ87,'PCO Log'!$E$9:$SJ$9,'Graph Data'!AD$1,'PCO Log'!$E$7:$SJ$7,"Approved")</f>
        <v>0</v>
      </c>
      <c r="AE77" s="304">
        <f>SUMIFS('PCO Log'!$E87:$SJ87,'PCO Log'!$E$9:$SJ$9,'Graph Data'!AE$1,'PCO Log'!$E$7:$SJ$7,"Approved")</f>
        <v>0</v>
      </c>
      <c r="AF77" s="304">
        <f>SUMIFS('PCO Log'!$E87:$SJ87,'PCO Log'!$E$9:$SJ$9,'Graph Data'!AF$1,'PCO Log'!$E$7:$SJ$7,"Approved")</f>
        <v>0</v>
      </c>
      <c r="AG77" s="304">
        <f>SUMIFS('PCO Log'!$E87:$SJ87,'PCO Log'!$E$9:$SJ$9,'Graph Data'!AG$1,'PCO Log'!$E$7:$SJ$7,"Approved")</f>
        <v>0</v>
      </c>
      <c r="AH77" s="304">
        <f>SUMIFS('PCO Log'!$E87:$SJ87,'PCO Log'!$E$9:$SJ$9,'Graph Data'!AH$1,'PCO Log'!$E$7:$SJ$7,"Approved")</f>
        <v>0</v>
      </c>
      <c r="AI77" s="304">
        <f>SUMIFS('PCO Log'!$E87:$SJ87,'PCO Log'!$E$9:$SJ$9,'Graph Data'!AI$1,'PCO Log'!$E$7:$SJ$7,"Approved")</f>
        <v>0</v>
      </c>
      <c r="AJ77" s="304">
        <f>SUMIFS('PCO Log'!$E87:$SJ87,'PCO Log'!$E$9:$SJ$9,'Graph Data'!AJ$1,'PCO Log'!$E$7:$SJ$7,"Approved")</f>
        <v>0</v>
      </c>
      <c r="AK77" s="304">
        <f>SUMIFS('PCO Log'!$E87:$SJ87,'PCO Log'!$E$9:$SJ$9,'Graph Data'!AK$1,'PCO Log'!$E$7:$SJ$7,"Approved")</f>
        <v>0</v>
      </c>
      <c r="AL77" s="304">
        <f>SUMIFS('PCO Log'!$E87:$SJ87,'PCO Log'!$E$9:$SJ$9,'Graph Data'!AL$1,'PCO Log'!$E$7:$SJ$7,"Approved")</f>
        <v>0</v>
      </c>
      <c r="AM77" s="304">
        <f>SUMIFS('PCO Log'!$E87:$SJ87,'PCO Log'!$E$9:$SJ$9,'Graph Data'!AM$1,'PCO Log'!$E$7:$SJ$7,"Approved")</f>
        <v>0</v>
      </c>
      <c r="AN77" s="304">
        <f>SUMIFS('PCO Log'!$E87:$SJ87,'PCO Log'!$E$9:$SJ$9,'Graph Data'!AN$1,'PCO Log'!$E$7:$SJ$7,"Approved")</f>
        <v>0</v>
      </c>
      <c r="AO77" s="304">
        <f>SUMIFS('PCO Log'!$E87:$SJ87,'PCO Log'!$E$9:$SJ$9,'Graph Data'!AO$1,'PCO Log'!$E$7:$SJ$7,"Approved")</f>
        <v>0</v>
      </c>
      <c r="AP77" s="304">
        <f>SUMIFS('PCO Log'!$E87:$SJ87,'PCO Log'!$E$9:$SJ$9,'Graph Data'!AP$1,'PCO Log'!$E$7:$SJ$7,"Approved")</f>
        <v>0</v>
      </c>
      <c r="AQ77" s="304">
        <f>SUMIFS('PCO Log'!$E87:$SJ87,'PCO Log'!$E$9:$SJ$9,'Graph Data'!AQ$1,'PCO Log'!$E$7:$SJ$7,"Approved")</f>
        <v>0</v>
      </c>
      <c r="AR77" s="304">
        <f>SUMIFS('PCO Log'!$E87:$SJ87,'PCO Log'!$E$9:$SJ$9,'Graph Data'!AR$1,'PCO Log'!$E$7:$SJ$7,"Approved")</f>
        <v>0</v>
      </c>
      <c r="AS77" s="304">
        <f>SUMIFS('PCO Log'!$E87:$SJ87,'PCO Log'!$E$9:$SJ$9,'Graph Data'!AS$1,'PCO Log'!$E$7:$SJ$7,"Approved")</f>
        <v>0</v>
      </c>
      <c r="AT77" s="304">
        <f>SUMIFS('PCO Log'!$E87:$SJ87,'PCO Log'!$E$9:$SJ$9,'Graph Data'!AT$1,'PCO Log'!$E$7:$SJ$7,"Approved")</f>
        <v>0</v>
      </c>
      <c r="AU77" s="304">
        <f>SUMIFS('PCO Log'!$E87:$SJ87,'PCO Log'!$E$9:$SJ$9,'Graph Data'!AU$1,'PCO Log'!$E$7:$SJ$7,"Approved")</f>
        <v>0</v>
      </c>
      <c r="AV77" s="304">
        <f>SUMIFS('PCO Log'!$E87:$SJ87,'PCO Log'!$E$9:$SJ$9,'Graph Data'!AV$1,'PCO Log'!$E$7:$SJ$7,"Approved")</f>
        <v>0</v>
      </c>
      <c r="AW77" s="304">
        <f>SUMIFS('PCO Log'!$E87:$SJ87,'PCO Log'!$E$9:$SJ$9,'Graph Data'!AW$1,'PCO Log'!$E$7:$SJ$7,"Approved")</f>
        <v>0</v>
      </c>
      <c r="AX77" s="304">
        <f>SUMIFS('PCO Log'!$E87:$SJ87,'PCO Log'!$E$9:$SJ$9,'Graph Data'!AX$1,'PCO Log'!$E$7:$SJ$7,"Approved")</f>
        <v>0</v>
      </c>
      <c r="AY77" s="304">
        <f>SUMIFS('PCO Log'!$E87:$SJ87,'PCO Log'!$E$9:$SJ$9,'Graph Data'!AY$1,'PCO Log'!$E$7:$SJ$7,"Approved")</f>
        <v>0</v>
      </c>
      <c r="AZ77" s="304">
        <f>SUMIFS('PCO Log'!$E87:$SJ87,'PCO Log'!$E$9:$SJ$9,'Graph Data'!AZ$1,'PCO Log'!$E$7:$SJ$7,"Approved")</f>
        <v>0</v>
      </c>
      <c r="BA77" s="304">
        <f>SUMIFS('PCO Log'!$E87:$SJ87,'PCO Log'!$E$9:$SJ$9,'Graph Data'!BA$1,'PCO Log'!$E$7:$SJ$7,"Approved")</f>
        <v>0</v>
      </c>
      <c r="BB77" s="304">
        <f>SUMIFS('PCO Log'!$E87:$SJ87,'PCO Log'!$E$9:$SJ$9,'Graph Data'!BB$1,'PCO Log'!$E$7:$SJ$7,"Approved")</f>
        <v>0</v>
      </c>
      <c r="BC77" s="304">
        <f>SUMIFS('PCO Log'!$E87:$SJ87,'PCO Log'!$E$9:$SJ$9,'Graph Data'!BC$1,'PCO Log'!$E$7:$SJ$7,"Approved")</f>
        <v>0</v>
      </c>
      <c r="BD77" s="304">
        <f>SUMIFS('PCO Log'!$E87:$SJ87,'PCO Log'!$E$9:$SJ$9,'Graph Data'!BD$1,'PCO Log'!$E$7:$SJ$7,"Approved")</f>
        <v>0</v>
      </c>
      <c r="BE77" s="304">
        <f>SUMIFS('PCO Log'!$E87:$SJ87,'PCO Log'!$E$9:$SJ$9,'Graph Data'!BE$1,'PCO Log'!$E$7:$SJ$7,"Approved")</f>
        <v>0</v>
      </c>
      <c r="BF77" s="304">
        <f>SUMIFS('PCO Log'!$E87:$SJ87,'PCO Log'!$E$9:$SJ$9,'Graph Data'!BF$1,'PCO Log'!$E$7:$SJ$7,"Approved")</f>
        <v>0</v>
      </c>
      <c r="BG77" s="304">
        <f>SUMIFS('PCO Log'!$E87:$SJ87,'PCO Log'!$E$9:$SJ$9,'Graph Data'!BG$1,'PCO Log'!$E$7:$SJ$7,"Approved")</f>
        <v>0</v>
      </c>
      <c r="BH77" s="304">
        <f>SUMIFS('PCO Log'!$E87:$SJ87,'PCO Log'!$E$9:$SJ$9,'Graph Data'!BH$1,'PCO Log'!$E$7:$SJ$7,"Approved")</f>
        <v>0</v>
      </c>
      <c r="BI77" s="304">
        <f>SUMIFS('PCO Log'!$E87:$SJ87,'PCO Log'!$E$9:$SJ$9,'Graph Data'!BI$1,'PCO Log'!$E$7:$SJ$7,"Approved")</f>
        <v>0</v>
      </c>
      <c r="BJ77" s="304">
        <f>SUMIFS('PCO Log'!$E87:$SJ87,'PCO Log'!$E$9:$SJ$9,'Graph Data'!BJ$1,'PCO Log'!$E$7:$SJ$7,"Approved")</f>
        <v>0</v>
      </c>
      <c r="BK77" s="304">
        <f>SUMIFS('PCO Log'!$E87:$SJ87,'PCO Log'!$E$9:$SJ$9,'Graph Data'!BK$1,'PCO Log'!$E$7:$SJ$7,"Approved")</f>
        <v>0</v>
      </c>
      <c r="BL77" s="304">
        <f>SUMIFS('PCO Log'!$E87:$SJ87,'PCO Log'!$E$9:$SJ$9,'Graph Data'!BL$1,'PCO Log'!$E$7:$SJ$7,"Approved")</f>
        <v>0</v>
      </c>
      <c r="BM77" s="304">
        <f>SUMIFS('PCO Log'!$E87:$SJ87,'PCO Log'!$E$9:$SJ$9,'Graph Data'!BM$1,'PCO Log'!$E$7:$SJ$7,"Approved")</f>
        <v>0</v>
      </c>
      <c r="BN77" s="304">
        <f>SUMIFS('PCO Log'!$E87:$SJ87,'PCO Log'!$E$9:$SJ$9,'Graph Data'!BN$1,'PCO Log'!$E$7:$SJ$7,"Approved")</f>
        <v>0</v>
      </c>
      <c r="BO77" s="304">
        <f>SUMIFS('PCO Log'!$E87:$SJ87,'PCO Log'!$E$9:$SJ$9,'Graph Data'!BO$1,'PCO Log'!$E$7:$SJ$7,"Approved")</f>
        <v>0</v>
      </c>
      <c r="BP77" s="304">
        <f>SUMIFS('PCO Log'!$E87:$SJ87,'PCO Log'!$E$9:$SJ$9,'Graph Data'!BP$1,'PCO Log'!$E$7:$SJ$7,"Approved")</f>
        <v>0</v>
      </c>
      <c r="BQ77" s="304">
        <f>SUMIFS('PCO Log'!$E87:$SJ87,'PCO Log'!$E$9:$SJ$9,'Graph Data'!BQ$1,'PCO Log'!$E$7:$SJ$7,"Approved")</f>
        <v>0</v>
      </c>
      <c r="BR77" s="304">
        <f>SUMIFS('PCO Log'!$E87:$SJ87,'PCO Log'!$E$9:$SJ$9,'Graph Data'!BR$1,'PCO Log'!$E$7:$SJ$7,"Approved")</f>
        <v>0</v>
      </c>
      <c r="BS77" s="304">
        <f>SUMIFS('PCO Log'!$E87:$SJ87,'PCO Log'!$E$9:$SJ$9,'Graph Data'!BS$1,'PCO Log'!$E$7:$SJ$7,"Approved")</f>
        <v>0</v>
      </c>
      <c r="BT77" s="304">
        <f>SUMIFS('PCO Log'!$E87:$SJ87,'PCO Log'!$E$9:$SJ$9,'Graph Data'!BT$1,'PCO Log'!$E$7:$SJ$7,"Approved")</f>
        <v>0</v>
      </c>
      <c r="BU77" s="304">
        <f>SUMIFS('PCO Log'!$E87:$SJ87,'PCO Log'!$E$9:$SJ$9,'Graph Data'!BU$1,'PCO Log'!$E$7:$SJ$7,"Approved")</f>
        <v>0</v>
      </c>
      <c r="BV77" s="304">
        <f>SUMIFS('PCO Log'!$E87:$SJ87,'PCO Log'!$E$9:$SJ$9,'Graph Data'!BV$1,'PCO Log'!$E$7:$SJ$7,"Approved")</f>
        <v>0</v>
      </c>
      <c r="BW77" s="304">
        <f>SUMIFS('PCO Log'!$E87:$SJ87,'PCO Log'!$E$9:$SJ$9,'Graph Data'!BW$1,'PCO Log'!$E$7:$SJ$7,"Approved")</f>
        <v>0</v>
      </c>
      <c r="BX77" s="304">
        <f>SUMIFS('PCO Log'!$E87:$SJ87,'PCO Log'!$E$9:$SJ$9,'Graph Data'!BX$1,'PCO Log'!$E$7:$SJ$7,"Approved")</f>
        <v>0</v>
      </c>
    </row>
    <row r="78" spans="1:76" x14ac:dyDescent="0.25">
      <c r="A78" s="303" t="s">
        <v>418</v>
      </c>
      <c r="B78" s="303">
        <f>'PCO Log'!CC7</f>
        <v>0</v>
      </c>
      <c r="C78" s="303">
        <f>'PCO Log'!CC4</f>
        <v>0</v>
      </c>
      <c r="D78" s="303" cm="1">
        <f t="array" ref="D78">INDEX('PCO Log'!$E$5:$SJ$5, 1, ROWS('Graph Data'!$D$2:D78))</f>
        <v>0</v>
      </c>
      <c r="E78" s="303">
        <f>'PCO Log'!CC8</f>
        <v>0</v>
      </c>
      <c r="F78" s="303">
        <f>'PCO Log'!CC3</f>
        <v>0</v>
      </c>
      <c r="G78" s="304">
        <f>'PCO Log'!CC10</f>
        <v>0</v>
      </c>
      <c r="H78" s="305">
        <f>'PCO Log'!CC6</f>
        <v>0</v>
      </c>
      <c r="K78" s="303" t="s">
        <v>282</v>
      </c>
      <c r="L78" s="306">
        <v>14</v>
      </c>
      <c r="O78" s="303" t="str">
        <f>'Pay App 1'!B138</f>
        <v>31 50 00</v>
      </c>
      <c r="P78" s="303" t="str">
        <f>'Pay App 1'!C138</f>
        <v>Excavation Support &amp; Protection</v>
      </c>
      <c r="Q78" s="304">
        <f>SUMIFS('PCO Log'!$E88:$SJ88,'PCO Log'!$E$9:$SJ$9,'Graph Data'!Q$1,'PCO Log'!$E$7:$SJ$7,"Approved")</f>
        <v>0</v>
      </c>
      <c r="R78" s="304">
        <f>SUMIFS('PCO Log'!$E88:$SJ88,'PCO Log'!$E$9:$SJ$9,'Graph Data'!R$1,'PCO Log'!$E$7:$SJ$7,"Approved")</f>
        <v>0</v>
      </c>
      <c r="S78" s="304">
        <f>SUMIFS('PCO Log'!$E88:$SJ88,'PCO Log'!$E$9:$SJ$9,'Graph Data'!S$1,'PCO Log'!$E$7:$SJ$7,"Approved")</f>
        <v>0</v>
      </c>
      <c r="T78" s="304">
        <f>SUMIFS('PCO Log'!$E88:$SJ88,'PCO Log'!$E$9:$SJ$9,'Graph Data'!T$1,'PCO Log'!$E$7:$SJ$7,"Approved")</f>
        <v>0</v>
      </c>
      <c r="U78" s="304">
        <f>SUMIFS('PCO Log'!$E88:$SJ88,'PCO Log'!$E$9:$SJ$9,'Graph Data'!U$1,'PCO Log'!$E$7:$SJ$7,"Approved")</f>
        <v>0</v>
      </c>
      <c r="V78" s="304">
        <f>SUMIFS('PCO Log'!$E88:$SJ88,'PCO Log'!$E$9:$SJ$9,'Graph Data'!V$1,'PCO Log'!$E$7:$SJ$7,"Approved")</f>
        <v>0</v>
      </c>
      <c r="W78" s="304">
        <f>SUMIFS('PCO Log'!$E88:$SJ88,'PCO Log'!$E$9:$SJ$9,'Graph Data'!W$1,'PCO Log'!$E$7:$SJ$7,"Approved")</f>
        <v>0</v>
      </c>
      <c r="X78" s="304">
        <f>SUMIFS('PCO Log'!$E88:$SJ88,'PCO Log'!$E$9:$SJ$9,'Graph Data'!X$1,'PCO Log'!$E$7:$SJ$7,"Approved")</f>
        <v>0</v>
      </c>
      <c r="Y78" s="304">
        <f>SUMIFS('PCO Log'!$E88:$SJ88,'PCO Log'!$E$9:$SJ$9,'Graph Data'!Y$1,'PCO Log'!$E$7:$SJ$7,"Approved")</f>
        <v>0</v>
      </c>
      <c r="Z78" s="304">
        <f>SUMIFS('PCO Log'!$E88:$SJ88,'PCO Log'!$E$9:$SJ$9,'Graph Data'!Z$1,'PCO Log'!$E$7:$SJ$7,"Approved")</f>
        <v>0</v>
      </c>
      <c r="AA78" s="304">
        <f>SUMIFS('PCO Log'!$E88:$SJ88,'PCO Log'!$E$9:$SJ$9,'Graph Data'!AA$1,'PCO Log'!$E$7:$SJ$7,"Approved")</f>
        <v>0</v>
      </c>
      <c r="AB78" s="304">
        <f>SUMIFS('PCO Log'!$E88:$SJ88,'PCO Log'!$E$9:$SJ$9,'Graph Data'!AB$1,'PCO Log'!$E$7:$SJ$7,"Approved")</f>
        <v>0</v>
      </c>
      <c r="AC78" s="304">
        <f>SUMIFS('PCO Log'!$E88:$SJ88,'PCO Log'!$E$9:$SJ$9,'Graph Data'!AC$1,'PCO Log'!$E$7:$SJ$7,"Approved")</f>
        <v>0</v>
      </c>
      <c r="AD78" s="304">
        <f>SUMIFS('PCO Log'!$E88:$SJ88,'PCO Log'!$E$9:$SJ$9,'Graph Data'!AD$1,'PCO Log'!$E$7:$SJ$7,"Approved")</f>
        <v>0</v>
      </c>
      <c r="AE78" s="304">
        <f>SUMIFS('PCO Log'!$E88:$SJ88,'PCO Log'!$E$9:$SJ$9,'Graph Data'!AE$1,'PCO Log'!$E$7:$SJ$7,"Approved")</f>
        <v>0</v>
      </c>
      <c r="AF78" s="304">
        <f>SUMIFS('PCO Log'!$E88:$SJ88,'PCO Log'!$E$9:$SJ$9,'Graph Data'!AF$1,'PCO Log'!$E$7:$SJ$7,"Approved")</f>
        <v>0</v>
      </c>
      <c r="AG78" s="304">
        <f>SUMIFS('PCO Log'!$E88:$SJ88,'PCO Log'!$E$9:$SJ$9,'Graph Data'!AG$1,'PCO Log'!$E$7:$SJ$7,"Approved")</f>
        <v>0</v>
      </c>
      <c r="AH78" s="304">
        <f>SUMIFS('PCO Log'!$E88:$SJ88,'PCO Log'!$E$9:$SJ$9,'Graph Data'!AH$1,'PCO Log'!$E$7:$SJ$7,"Approved")</f>
        <v>0</v>
      </c>
      <c r="AI78" s="304">
        <f>SUMIFS('PCO Log'!$E88:$SJ88,'PCO Log'!$E$9:$SJ$9,'Graph Data'!AI$1,'PCO Log'!$E$7:$SJ$7,"Approved")</f>
        <v>0</v>
      </c>
      <c r="AJ78" s="304">
        <f>SUMIFS('PCO Log'!$E88:$SJ88,'PCO Log'!$E$9:$SJ$9,'Graph Data'!AJ$1,'PCO Log'!$E$7:$SJ$7,"Approved")</f>
        <v>0</v>
      </c>
      <c r="AK78" s="304">
        <f>SUMIFS('PCO Log'!$E88:$SJ88,'PCO Log'!$E$9:$SJ$9,'Graph Data'!AK$1,'PCO Log'!$E$7:$SJ$7,"Approved")</f>
        <v>0</v>
      </c>
      <c r="AL78" s="304">
        <f>SUMIFS('PCO Log'!$E88:$SJ88,'PCO Log'!$E$9:$SJ$9,'Graph Data'!AL$1,'PCO Log'!$E$7:$SJ$7,"Approved")</f>
        <v>0</v>
      </c>
      <c r="AM78" s="304">
        <f>SUMIFS('PCO Log'!$E88:$SJ88,'PCO Log'!$E$9:$SJ$9,'Graph Data'!AM$1,'PCO Log'!$E$7:$SJ$7,"Approved")</f>
        <v>0</v>
      </c>
      <c r="AN78" s="304">
        <f>SUMIFS('PCO Log'!$E88:$SJ88,'PCO Log'!$E$9:$SJ$9,'Graph Data'!AN$1,'PCO Log'!$E$7:$SJ$7,"Approved")</f>
        <v>0</v>
      </c>
      <c r="AO78" s="304">
        <f>SUMIFS('PCO Log'!$E88:$SJ88,'PCO Log'!$E$9:$SJ$9,'Graph Data'!AO$1,'PCO Log'!$E$7:$SJ$7,"Approved")</f>
        <v>0</v>
      </c>
      <c r="AP78" s="304">
        <f>SUMIFS('PCO Log'!$E88:$SJ88,'PCO Log'!$E$9:$SJ$9,'Graph Data'!AP$1,'PCO Log'!$E$7:$SJ$7,"Approved")</f>
        <v>0</v>
      </c>
      <c r="AQ78" s="304">
        <f>SUMIFS('PCO Log'!$E88:$SJ88,'PCO Log'!$E$9:$SJ$9,'Graph Data'!AQ$1,'PCO Log'!$E$7:$SJ$7,"Approved")</f>
        <v>0</v>
      </c>
      <c r="AR78" s="304">
        <f>SUMIFS('PCO Log'!$E88:$SJ88,'PCO Log'!$E$9:$SJ$9,'Graph Data'!AR$1,'PCO Log'!$E$7:$SJ$7,"Approved")</f>
        <v>0</v>
      </c>
      <c r="AS78" s="304">
        <f>SUMIFS('PCO Log'!$E88:$SJ88,'PCO Log'!$E$9:$SJ$9,'Graph Data'!AS$1,'PCO Log'!$E$7:$SJ$7,"Approved")</f>
        <v>0</v>
      </c>
      <c r="AT78" s="304">
        <f>SUMIFS('PCO Log'!$E88:$SJ88,'PCO Log'!$E$9:$SJ$9,'Graph Data'!AT$1,'PCO Log'!$E$7:$SJ$7,"Approved")</f>
        <v>0</v>
      </c>
      <c r="AU78" s="304">
        <f>SUMIFS('PCO Log'!$E88:$SJ88,'PCO Log'!$E$9:$SJ$9,'Graph Data'!AU$1,'PCO Log'!$E$7:$SJ$7,"Approved")</f>
        <v>0</v>
      </c>
      <c r="AV78" s="304">
        <f>SUMIFS('PCO Log'!$E88:$SJ88,'PCO Log'!$E$9:$SJ$9,'Graph Data'!AV$1,'PCO Log'!$E$7:$SJ$7,"Approved")</f>
        <v>0</v>
      </c>
      <c r="AW78" s="304">
        <f>SUMIFS('PCO Log'!$E88:$SJ88,'PCO Log'!$E$9:$SJ$9,'Graph Data'!AW$1,'PCO Log'!$E$7:$SJ$7,"Approved")</f>
        <v>0</v>
      </c>
      <c r="AX78" s="304">
        <f>SUMIFS('PCO Log'!$E88:$SJ88,'PCO Log'!$E$9:$SJ$9,'Graph Data'!AX$1,'PCO Log'!$E$7:$SJ$7,"Approved")</f>
        <v>0</v>
      </c>
      <c r="AY78" s="304">
        <f>SUMIFS('PCO Log'!$E88:$SJ88,'PCO Log'!$E$9:$SJ$9,'Graph Data'!AY$1,'PCO Log'!$E$7:$SJ$7,"Approved")</f>
        <v>0</v>
      </c>
      <c r="AZ78" s="304">
        <f>SUMIFS('PCO Log'!$E88:$SJ88,'PCO Log'!$E$9:$SJ$9,'Graph Data'!AZ$1,'PCO Log'!$E$7:$SJ$7,"Approved")</f>
        <v>0</v>
      </c>
      <c r="BA78" s="304">
        <f>SUMIFS('PCO Log'!$E88:$SJ88,'PCO Log'!$E$9:$SJ$9,'Graph Data'!BA$1,'PCO Log'!$E$7:$SJ$7,"Approved")</f>
        <v>0</v>
      </c>
      <c r="BB78" s="304">
        <f>SUMIFS('PCO Log'!$E88:$SJ88,'PCO Log'!$E$9:$SJ$9,'Graph Data'!BB$1,'PCO Log'!$E$7:$SJ$7,"Approved")</f>
        <v>0</v>
      </c>
      <c r="BC78" s="304">
        <f>SUMIFS('PCO Log'!$E88:$SJ88,'PCO Log'!$E$9:$SJ$9,'Graph Data'!BC$1,'PCO Log'!$E$7:$SJ$7,"Approved")</f>
        <v>0</v>
      </c>
      <c r="BD78" s="304">
        <f>SUMIFS('PCO Log'!$E88:$SJ88,'PCO Log'!$E$9:$SJ$9,'Graph Data'!BD$1,'PCO Log'!$E$7:$SJ$7,"Approved")</f>
        <v>0</v>
      </c>
      <c r="BE78" s="304">
        <f>SUMIFS('PCO Log'!$E88:$SJ88,'PCO Log'!$E$9:$SJ$9,'Graph Data'!BE$1,'PCO Log'!$E$7:$SJ$7,"Approved")</f>
        <v>0</v>
      </c>
      <c r="BF78" s="304">
        <f>SUMIFS('PCO Log'!$E88:$SJ88,'PCO Log'!$E$9:$SJ$9,'Graph Data'!BF$1,'PCO Log'!$E$7:$SJ$7,"Approved")</f>
        <v>0</v>
      </c>
      <c r="BG78" s="304">
        <f>SUMIFS('PCO Log'!$E88:$SJ88,'PCO Log'!$E$9:$SJ$9,'Graph Data'!BG$1,'PCO Log'!$E$7:$SJ$7,"Approved")</f>
        <v>0</v>
      </c>
      <c r="BH78" s="304">
        <f>SUMIFS('PCO Log'!$E88:$SJ88,'PCO Log'!$E$9:$SJ$9,'Graph Data'!BH$1,'PCO Log'!$E$7:$SJ$7,"Approved")</f>
        <v>0</v>
      </c>
      <c r="BI78" s="304">
        <f>SUMIFS('PCO Log'!$E88:$SJ88,'PCO Log'!$E$9:$SJ$9,'Graph Data'!BI$1,'PCO Log'!$E$7:$SJ$7,"Approved")</f>
        <v>0</v>
      </c>
      <c r="BJ78" s="304">
        <f>SUMIFS('PCO Log'!$E88:$SJ88,'PCO Log'!$E$9:$SJ$9,'Graph Data'!BJ$1,'PCO Log'!$E$7:$SJ$7,"Approved")</f>
        <v>0</v>
      </c>
      <c r="BK78" s="304">
        <f>SUMIFS('PCO Log'!$E88:$SJ88,'PCO Log'!$E$9:$SJ$9,'Graph Data'!BK$1,'PCO Log'!$E$7:$SJ$7,"Approved")</f>
        <v>0</v>
      </c>
      <c r="BL78" s="304">
        <f>SUMIFS('PCO Log'!$E88:$SJ88,'PCO Log'!$E$9:$SJ$9,'Graph Data'!BL$1,'PCO Log'!$E$7:$SJ$7,"Approved")</f>
        <v>0</v>
      </c>
      <c r="BM78" s="304">
        <f>SUMIFS('PCO Log'!$E88:$SJ88,'PCO Log'!$E$9:$SJ$9,'Graph Data'!BM$1,'PCO Log'!$E$7:$SJ$7,"Approved")</f>
        <v>0</v>
      </c>
      <c r="BN78" s="304">
        <f>SUMIFS('PCO Log'!$E88:$SJ88,'PCO Log'!$E$9:$SJ$9,'Graph Data'!BN$1,'PCO Log'!$E$7:$SJ$7,"Approved")</f>
        <v>0</v>
      </c>
      <c r="BO78" s="304">
        <f>SUMIFS('PCO Log'!$E88:$SJ88,'PCO Log'!$E$9:$SJ$9,'Graph Data'!BO$1,'PCO Log'!$E$7:$SJ$7,"Approved")</f>
        <v>0</v>
      </c>
      <c r="BP78" s="304">
        <f>SUMIFS('PCO Log'!$E88:$SJ88,'PCO Log'!$E$9:$SJ$9,'Graph Data'!BP$1,'PCO Log'!$E$7:$SJ$7,"Approved")</f>
        <v>0</v>
      </c>
      <c r="BQ78" s="304">
        <f>SUMIFS('PCO Log'!$E88:$SJ88,'PCO Log'!$E$9:$SJ$9,'Graph Data'!BQ$1,'PCO Log'!$E$7:$SJ$7,"Approved")</f>
        <v>0</v>
      </c>
      <c r="BR78" s="304">
        <f>SUMIFS('PCO Log'!$E88:$SJ88,'PCO Log'!$E$9:$SJ$9,'Graph Data'!BR$1,'PCO Log'!$E$7:$SJ$7,"Approved")</f>
        <v>0</v>
      </c>
      <c r="BS78" s="304">
        <f>SUMIFS('PCO Log'!$E88:$SJ88,'PCO Log'!$E$9:$SJ$9,'Graph Data'!BS$1,'PCO Log'!$E$7:$SJ$7,"Approved")</f>
        <v>0</v>
      </c>
      <c r="BT78" s="304">
        <f>SUMIFS('PCO Log'!$E88:$SJ88,'PCO Log'!$E$9:$SJ$9,'Graph Data'!BT$1,'PCO Log'!$E$7:$SJ$7,"Approved")</f>
        <v>0</v>
      </c>
      <c r="BU78" s="304">
        <f>SUMIFS('PCO Log'!$E88:$SJ88,'PCO Log'!$E$9:$SJ$9,'Graph Data'!BU$1,'PCO Log'!$E$7:$SJ$7,"Approved")</f>
        <v>0</v>
      </c>
      <c r="BV78" s="304">
        <f>SUMIFS('PCO Log'!$E88:$SJ88,'PCO Log'!$E$9:$SJ$9,'Graph Data'!BV$1,'PCO Log'!$E$7:$SJ$7,"Approved")</f>
        <v>0</v>
      </c>
      <c r="BW78" s="304">
        <f>SUMIFS('PCO Log'!$E88:$SJ88,'PCO Log'!$E$9:$SJ$9,'Graph Data'!BW$1,'PCO Log'!$E$7:$SJ$7,"Approved")</f>
        <v>0</v>
      </c>
      <c r="BX78" s="304">
        <f>SUMIFS('PCO Log'!$E88:$SJ88,'PCO Log'!$E$9:$SJ$9,'Graph Data'!BX$1,'PCO Log'!$E$7:$SJ$7,"Approved")</f>
        <v>0</v>
      </c>
    </row>
    <row r="79" spans="1:76" x14ac:dyDescent="0.25">
      <c r="A79" s="303" t="s">
        <v>419</v>
      </c>
      <c r="B79" s="303">
        <f>'PCO Log'!CD7</f>
        <v>0</v>
      </c>
      <c r="C79" s="303">
        <f>'PCO Log'!CD4</f>
        <v>0</v>
      </c>
      <c r="D79" s="303" cm="1">
        <f t="array" ref="D79">INDEX('PCO Log'!$E$5:$SJ$5, 1, ROWS('Graph Data'!$D$2:D79))</f>
        <v>0</v>
      </c>
      <c r="E79" s="303">
        <f>'PCO Log'!CD8</f>
        <v>0</v>
      </c>
      <c r="F79" s="303">
        <f>'PCO Log'!CD3</f>
        <v>0</v>
      </c>
      <c r="G79" s="304">
        <f>'PCO Log'!CD10</f>
        <v>0</v>
      </c>
      <c r="H79" s="305">
        <f>'PCO Log'!CD6</f>
        <v>0</v>
      </c>
      <c r="K79" s="303" t="s">
        <v>283</v>
      </c>
      <c r="L79" s="306">
        <v>15</v>
      </c>
      <c r="O79" s="303" t="str">
        <f>'Pay App 1'!B139</f>
        <v>32 12 16</v>
      </c>
      <c r="P79" s="303" t="str">
        <f>'Pay App 1'!C139</f>
        <v>Asphalt Paving</v>
      </c>
      <c r="Q79" s="304">
        <f>SUMIFS('PCO Log'!$E89:$SJ89,'PCO Log'!$E$9:$SJ$9,'Graph Data'!Q$1,'PCO Log'!$E$7:$SJ$7,"Approved")</f>
        <v>0</v>
      </c>
      <c r="R79" s="304">
        <f>SUMIFS('PCO Log'!$E89:$SJ89,'PCO Log'!$E$9:$SJ$9,'Graph Data'!R$1,'PCO Log'!$E$7:$SJ$7,"Approved")</f>
        <v>0</v>
      </c>
      <c r="S79" s="304">
        <f>SUMIFS('PCO Log'!$E89:$SJ89,'PCO Log'!$E$9:$SJ$9,'Graph Data'!S$1,'PCO Log'!$E$7:$SJ$7,"Approved")</f>
        <v>0</v>
      </c>
      <c r="T79" s="304">
        <f>SUMIFS('PCO Log'!$E89:$SJ89,'PCO Log'!$E$9:$SJ$9,'Graph Data'!T$1,'PCO Log'!$E$7:$SJ$7,"Approved")</f>
        <v>0</v>
      </c>
      <c r="U79" s="304">
        <f>SUMIFS('PCO Log'!$E89:$SJ89,'PCO Log'!$E$9:$SJ$9,'Graph Data'!U$1,'PCO Log'!$E$7:$SJ$7,"Approved")</f>
        <v>0</v>
      </c>
      <c r="V79" s="304">
        <f>SUMIFS('PCO Log'!$E89:$SJ89,'PCO Log'!$E$9:$SJ$9,'Graph Data'!V$1,'PCO Log'!$E$7:$SJ$7,"Approved")</f>
        <v>0</v>
      </c>
      <c r="W79" s="304">
        <f>SUMIFS('PCO Log'!$E89:$SJ89,'PCO Log'!$E$9:$SJ$9,'Graph Data'!W$1,'PCO Log'!$E$7:$SJ$7,"Approved")</f>
        <v>0</v>
      </c>
      <c r="X79" s="304">
        <f>SUMIFS('PCO Log'!$E89:$SJ89,'PCO Log'!$E$9:$SJ$9,'Graph Data'!X$1,'PCO Log'!$E$7:$SJ$7,"Approved")</f>
        <v>0</v>
      </c>
      <c r="Y79" s="304">
        <f>SUMIFS('PCO Log'!$E89:$SJ89,'PCO Log'!$E$9:$SJ$9,'Graph Data'!Y$1,'PCO Log'!$E$7:$SJ$7,"Approved")</f>
        <v>0</v>
      </c>
      <c r="Z79" s="304">
        <f>SUMIFS('PCO Log'!$E89:$SJ89,'PCO Log'!$E$9:$SJ$9,'Graph Data'!Z$1,'PCO Log'!$E$7:$SJ$7,"Approved")</f>
        <v>0</v>
      </c>
      <c r="AA79" s="304">
        <f>SUMIFS('PCO Log'!$E89:$SJ89,'PCO Log'!$E$9:$SJ$9,'Graph Data'!AA$1,'PCO Log'!$E$7:$SJ$7,"Approved")</f>
        <v>0</v>
      </c>
      <c r="AB79" s="304">
        <f>SUMIFS('PCO Log'!$E89:$SJ89,'PCO Log'!$E$9:$SJ$9,'Graph Data'!AB$1,'PCO Log'!$E$7:$SJ$7,"Approved")</f>
        <v>0</v>
      </c>
      <c r="AC79" s="304">
        <f>SUMIFS('PCO Log'!$E89:$SJ89,'PCO Log'!$E$9:$SJ$9,'Graph Data'!AC$1,'PCO Log'!$E$7:$SJ$7,"Approved")</f>
        <v>0</v>
      </c>
      <c r="AD79" s="304">
        <f>SUMIFS('PCO Log'!$E89:$SJ89,'PCO Log'!$E$9:$SJ$9,'Graph Data'!AD$1,'PCO Log'!$E$7:$SJ$7,"Approved")</f>
        <v>0</v>
      </c>
      <c r="AE79" s="304">
        <f>SUMIFS('PCO Log'!$E89:$SJ89,'PCO Log'!$E$9:$SJ$9,'Graph Data'!AE$1,'PCO Log'!$E$7:$SJ$7,"Approved")</f>
        <v>0</v>
      </c>
      <c r="AF79" s="304">
        <f>SUMIFS('PCO Log'!$E89:$SJ89,'PCO Log'!$E$9:$SJ$9,'Graph Data'!AF$1,'PCO Log'!$E$7:$SJ$7,"Approved")</f>
        <v>0</v>
      </c>
      <c r="AG79" s="304">
        <f>SUMIFS('PCO Log'!$E89:$SJ89,'PCO Log'!$E$9:$SJ$9,'Graph Data'!AG$1,'PCO Log'!$E$7:$SJ$7,"Approved")</f>
        <v>0</v>
      </c>
      <c r="AH79" s="304">
        <f>SUMIFS('PCO Log'!$E89:$SJ89,'PCO Log'!$E$9:$SJ$9,'Graph Data'!AH$1,'PCO Log'!$E$7:$SJ$7,"Approved")</f>
        <v>0</v>
      </c>
      <c r="AI79" s="304">
        <f>SUMIFS('PCO Log'!$E89:$SJ89,'PCO Log'!$E$9:$SJ$9,'Graph Data'!AI$1,'PCO Log'!$E$7:$SJ$7,"Approved")</f>
        <v>0</v>
      </c>
      <c r="AJ79" s="304">
        <f>SUMIFS('PCO Log'!$E89:$SJ89,'PCO Log'!$E$9:$SJ$9,'Graph Data'!AJ$1,'PCO Log'!$E$7:$SJ$7,"Approved")</f>
        <v>0</v>
      </c>
      <c r="AK79" s="304">
        <f>SUMIFS('PCO Log'!$E89:$SJ89,'PCO Log'!$E$9:$SJ$9,'Graph Data'!AK$1,'PCO Log'!$E$7:$SJ$7,"Approved")</f>
        <v>0</v>
      </c>
      <c r="AL79" s="304">
        <f>SUMIFS('PCO Log'!$E89:$SJ89,'PCO Log'!$E$9:$SJ$9,'Graph Data'!AL$1,'PCO Log'!$E$7:$SJ$7,"Approved")</f>
        <v>0</v>
      </c>
      <c r="AM79" s="304">
        <f>SUMIFS('PCO Log'!$E89:$SJ89,'PCO Log'!$E$9:$SJ$9,'Graph Data'!AM$1,'PCO Log'!$E$7:$SJ$7,"Approved")</f>
        <v>0</v>
      </c>
      <c r="AN79" s="304">
        <f>SUMIFS('PCO Log'!$E89:$SJ89,'PCO Log'!$E$9:$SJ$9,'Graph Data'!AN$1,'PCO Log'!$E$7:$SJ$7,"Approved")</f>
        <v>0</v>
      </c>
      <c r="AO79" s="304">
        <f>SUMIFS('PCO Log'!$E89:$SJ89,'PCO Log'!$E$9:$SJ$9,'Graph Data'!AO$1,'PCO Log'!$E$7:$SJ$7,"Approved")</f>
        <v>0</v>
      </c>
      <c r="AP79" s="304">
        <f>SUMIFS('PCO Log'!$E89:$SJ89,'PCO Log'!$E$9:$SJ$9,'Graph Data'!AP$1,'PCO Log'!$E$7:$SJ$7,"Approved")</f>
        <v>0</v>
      </c>
      <c r="AQ79" s="304">
        <f>SUMIFS('PCO Log'!$E89:$SJ89,'PCO Log'!$E$9:$SJ$9,'Graph Data'!AQ$1,'PCO Log'!$E$7:$SJ$7,"Approved")</f>
        <v>0</v>
      </c>
      <c r="AR79" s="304">
        <f>SUMIFS('PCO Log'!$E89:$SJ89,'PCO Log'!$E$9:$SJ$9,'Graph Data'!AR$1,'PCO Log'!$E$7:$SJ$7,"Approved")</f>
        <v>0</v>
      </c>
      <c r="AS79" s="304">
        <f>SUMIFS('PCO Log'!$E89:$SJ89,'PCO Log'!$E$9:$SJ$9,'Graph Data'!AS$1,'PCO Log'!$E$7:$SJ$7,"Approved")</f>
        <v>0</v>
      </c>
      <c r="AT79" s="304">
        <f>SUMIFS('PCO Log'!$E89:$SJ89,'PCO Log'!$E$9:$SJ$9,'Graph Data'!AT$1,'PCO Log'!$E$7:$SJ$7,"Approved")</f>
        <v>0</v>
      </c>
      <c r="AU79" s="304">
        <f>SUMIFS('PCO Log'!$E89:$SJ89,'PCO Log'!$E$9:$SJ$9,'Graph Data'!AU$1,'PCO Log'!$E$7:$SJ$7,"Approved")</f>
        <v>0</v>
      </c>
      <c r="AV79" s="304">
        <f>SUMIFS('PCO Log'!$E89:$SJ89,'PCO Log'!$E$9:$SJ$9,'Graph Data'!AV$1,'PCO Log'!$E$7:$SJ$7,"Approved")</f>
        <v>0</v>
      </c>
      <c r="AW79" s="304">
        <f>SUMIFS('PCO Log'!$E89:$SJ89,'PCO Log'!$E$9:$SJ$9,'Graph Data'!AW$1,'PCO Log'!$E$7:$SJ$7,"Approved")</f>
        <v>0</v>
      </c>
      <c r="AX79" s="304">
        <f>SUMIFS('PCO Log'!$E89:$SJ89,'PCO Log'!$E$9:$SJ$9,'Graph Data'!AX$1,'PCO Log'!$E$7:$SJ$7,"Approved")</f>
        <v>0</v>
      </c>
      <c r="AY79" s="304">
        <f>SUMIFS('PCO Log'!$E89:$SJ89,'PCO Log'!$E$9:$SJ$9,'Graph Data'!AY$1,'PCO Log'!$E$7:$SJ$7,"Approved")</f>
        <v>0</v>
      </c>
      <c r="AZ79" s="304">
        <f>SUMIFS('PCO Log'!$E89:$SJ89,'PCO Log'!$E$9:$SJ$9,'Graph Data'!AZ$1,'PCO Log'!$E$7:$SJ$7,"Approved")</f>
        <v>0</v>
      </c>
      <c r="BA79" s="304">
        <f>SUMIFS('PCO Log'!$E89:$SJ89,'PCO Log'!$E$9:$SJ$9,'Graph Data'!BA$1,'PCO Log'!$E$7:$SJ$7,"Approved")</f>
        <v>0</v>
      </c>
      <c r="BB79" s="304">
        <f>SUMIFS('PCO Log'!$E89:$SJ89,'PCO Log'!$E$9:$SJ$9,'Graph Data'!BB$1,'PCO Log'!$E$7:$SJ$7,"Approved")</f>
        <v>0</v>
      </c>
      <c r="BC79" s="304">
        <f>SUMIFS('PCO Log'!$E89:$SJ89,'PCO Log'!$E$9:$SJ$9,'Graph Data'!BC$1,'PCO Log'!$E$7:$SJ$7,"Approved")</f>
        <v>0</v>
      </c>
      <c r="BD79" s="304">
        <f>SUMIFS('PCO Log'!$E89:$SJ89,'PCO Log'!$E$9:$SJ$9,'Graph Data'!BD$1,'PCO Log'!$E$7:$SJ$7,"Approved")</f>
        <v>0</v>
      </c>
      <c r="BE79" s="304">
        <f>SUMIFS('PCO Log'!$E89:$SJ89,'PCO Log'!$E$9:$SJ$9,'Graph Data'!BE$1,'PCO Log'!$E$7:$SJ$7,"Approved")</f>
        <v>0</v>
      </c>
      <c r="BF79" s="304">
        <f>SUMIFS('PCO Log'!$E89:$SJ89,'PCO Log'!$E$9:$SJ$9,'Graph Data'!BF$1,'PCO Log'!$E$7:$SJ$7,"Approved")</f>
        <v>0</v>
      </c>
      <c r="BG79" s="304">
        <f>SUMIFS('PCO Log'!$E89:$SJ89,'PCO Log'!$E$9:$SJ$9,'Graph Data'!BG$1,'PCO Log'!$E$7:$SJ$7,"Approved")</f>
        <v>0</v>
      </c>
      <c r="BH79" s="304">
        <f>SUMIFS('PCO Log'!$E89:$SJ89,'PCO Log'!$E$9:$SJ$9,'Graph Data'!BH$1,'PCO Log'!$E$7:$SJ$7,"Approved")</f>
        <v>0</v>
      </c>
      <c r="BI79" s="304">
        <f>SUMIFS('PCO Log'!$E89:$SJ89,'PCO Log'!$E$9:$SJ$9,'Graph Data'!BI$1,'PCO Log'!$E$7:$SJ$7,"Approved")</f>
        <v>0</v>
      </c>
      <c r="BJ79" s="304">
        <f>SUMIFS('PCO Log'!$E89:$SJ89,'PCO Log'!$E$9:$SJ$9,'Graph Data'!BJ$1,'PCO Log'!$E$7:$SJ$7,"Approved")</f>
        <v>0</v>
      </c>
      <c r="BK79" s="304">
        <f>SUMIFS('PCO Log'!$E89:$SJ89,'PCO Log'!$E$9:$SJ$9,'Graph Data'!BK$1,'PCO Log'!$E$7:$SJ$7,"Approved")</f>
        <v>0</v>
      </c>
      <c r="BL79" s="304">
        <f>SUMIFS('PCO Log'!$E89:$SJ89,'PCO Log'!$E$9:$SJ$9,'Graph Data'!BL$1,'PCO Log'!$E$7:$SJ$7,"Approved")</f>
        <v>0</v>
      </c>
      <c r="BM79" s="304">
        <f>SUMIFS('PCO Log'!$E89:$SJ89,'PCO Log'!$E$9:$SJ$9,'Graph Data'!BM$1,'PCO Log'!$E$7:$SJ$7,"Approved")</f>
        <v>0</v>
      </c>
      <c r="BN79" s="304">
        <f>SUMIFS('PCO Log'!$E89:$SJ89,'PCO Log'!$E$9:$SJ$9,'Graph Data'!BN$1,'PCO Log'!$E$7:$SJ$7,"Approved")</f>
        <v>0</v>
      </c>
      <c r="BO79" s="304">
        <f>SUMIFS('PCO Log'!$E89:$SJ89,'PCO Log'!$E$9:$SJ$9,'Graph Data'!BO$1,'PCO Log'!$E$7:$SJ$7,"Approved")</f>
        <v>0</v>
      </c>
      <c r="BP79" s="304">
        <f>SUMIFS('PCO Log'!$E89:$SJ89,'PCO Log'!$E$9:$SJ$9,'Graph Data'!BP$1,'PCO Log'!$E$7:$SJ$7,"Approved")</f>
        <v>0</v>
      </c>
      <c r="BQ79" s="304">
        <f>SUMIFS('PCO Log'!$E89:$SJ89,'PCO Log'!$E$9:$SJ$9,'Graph Data'!BQ$1,'PCO Log'!$E$7:$SJ$7,"Approved")</f>
        <v>0</v>
      </c>
      <c r="BR79" s="304">
        <f>SUMIFS('PCO Log'!$E89:$SJ89,'PCO Log'!$E$9:$SJ$9,'Graph Data'!BR$1,'PCO Log'!$E$7:$SJ$7,"Approved")</f>
        <v>0</v>
      </c>
      <c r="BS79" s="304">
        <f>SUMIFS('PCO Log'!$E89:$SJ89,'PCO Log'!$E$9:$SJ$9,'Graph Data'!BS$1,'PCO Log'!$E$7:$SJ$7,"Approved")</f>
        <v>0</v>
      </c>
      <c r="BT79" s="304">
        <f>SUMIFS('PCO Log'!$E89:$SJ89,'PCO Log'!$E$9:$SJ$9,'Graph Data'!BT$1,'PCO Log'!$E$7:$SJ$7,"Approved")</f>
        <v>0</v>
      </c>
      <c r="BU79" s="304">
        <f>SUMIFS('PCO Log'!$E89:$SJ89,'PCO Log'!$E$9:$SJ$9,'Graph Data'!BU$1,'PCO Log'!$E$7:$SJ$7,"Approved")</f>
        <v>0</v>
      </c>
      <c r="BV79" s="304">
        <f>SUMIFS('PCO Log'!$E89:$SJ89,'PCO Log'!$E$9:$SJ$9,'Graph Data'!BV$1,'PCO Log'!$E$7:$SJ$7,"Approved")</f>
        <v>0</v>
      </c>
      <c r="BW79" s="304">
        <f>SUMIFS('PCO Log'!$E89:$SJ89,'PCO Log'!$E$9:$SJ$9,'Graph Data'!BW$1,'PCO Log'!$E$7:$SJ$7,"Approved")</f>
        <v>0</v>
      </c>
      <c r="BX79" s="304">
        <f>SUMIFS('PCO Log'!$E89:$SJ89,'PCO Log'!$E$9:$SJ$9,'Graph Data'!BX$1,'PCO Log'!$E$7:$SJ$7,"Approved")</f>
        <v>0</v>
      </c>
    </row>
    <row r="80" spans="1:76" x14ac:dyDescent="0.25">
      <c r="A80" s="303" t="s">
        <v>420</v>
      </c>
      <c r="B80" s="303">
        <f>'PCO Log'!CE7</f>
        <v>0</v>
      </c>
      <c r="C80" s="303">
        <f>'PCO Log'!CE4</f>
        <v>0</v>
      </c>
      <c r="D80" s="303" cm="1">
        <f t="array" ref="D80">INDEX('PCO Log'!$E$5:$SJ$5, 1, ROWS('Graph Data'!$D$2:D80))</f>
        <v>0</v>
      </c>
      <c r="E80" s="303">
        <f>'PCO Log'!CE8</f>
        <v>0</v>
      </c>
      <c r="F80" s="303">
        <f>'PCO Log'!CE3</f>
        <v>0</v>
      </c>
      <c r="G80" s="304">
        <f>'PCO Log'!CE10</f>
        <v>0</v>
      </c>
      <c r="H80" s="305">
        <f>'PCO Log'!CE6</f>
        <v>0</v>
      </c>
      <c r="K80" s="303" t="s">
        <v>284</v>
      </c>
      <c r="L80" s="306">
        <v>16</v>
      </c>
      <c r="M80" s="301"/>
      <c r="N80" s="301"/>
      <c r="O80" s="303" t="str">
        <f>'Pay App 1'!B140</f>
        <v>32 16 00</v>
      </c>
      <c r="P80" s="303" t="str">
        <f>'Pay App 1'!C140</f>
        <v>Site Concrete</v>
      </c>
      <c r="Q80" s="304">
        <f>SUMIFS('PCO Log'!$E90:$SJ90,'PCO Log'!$E$9:$SJ$9,'Graph Data'!Q$1,'PCO Log'!$E$7:$SJ$7,"Approved")</f>
        <v>0</v>
      </c>
      <c r="R80" s="304">
        <f>SUMIFS('PCO Log'!$E90:$SJ90,'PCO Log'!$E$9:$SJ$9,'Graph Data'!R$1,'PCO Log'!$E$7:$SJ$7,"Approved")</f>
        <v>0</v>
      </c>
      <c r="S80" s="304">
        <f>SUMIFS('PCO Log'!$E90:$SJ90,'PCO Log'!$E$9:$SJ$9,'Graph Data'!S$1,'PCO Log'!$E$7:$SJ$7,"Approved")</f>
        <v>0</v>
      </c>
      <c r="T80" s="304">
        <f>SUMIFS('PCO Log'!$E90:$SJ90,'PCO Log'!$E$9:$SJ$9,'Graph Data'!T$1,'PCO Log'!$E$7:$SJ$7,"Approved")</f>
        <v>0</v>
      </c>
      <c r="U80" s="304">
        <f>SUMIFS('PCO Log'!$E90:$SJ90,'PCO Log'!$E$9:$SJ$9,'Graph Data'!U$1,'PCO Log'!$E$7:$SJ$7,"Approved")</f>
        <v>0</v>
      </c>
      <c r="V80" s="304">
        <f>SUMIFS('PCO Log'!$E90:$SJ90,'PCO Log'!$E$9:$SJ$9,'Graph Data'!V$1,'PCO Log'!$E$7:$SJ$7,"Approved")</f>
        <v>0</v>
      </c>
      <c r="W80" s="304">
        <f>SUMIFS('PCO Log'!$E90:$SJ90,'PCO Log'!$E$9:$SJ$9,'Graph Data'!W$1,'PCO Log'!$E$7:$SJ$7,"Approved")</f>
        <v>0</v>
      </c>
      <c r="X80" s="304">
        <f>SUMIFS('PCO Log'!$E90:$SJ90,'PCO Log'!$E$9:$SJ$9,'Graph Data'!X$1,'PCO Log'!$E$7:$SJ$7,"Approved")</f>
        <v>0</v>
      </c>
      <c r="Y80" s="304">
        <f>SUMIFS('PCO Log'!$E90:$SJ90,'PCO Log'!$E$9:$SJ$9,'Graph Data'!Y$1,'PCO Log'!$E$7:$SJ$7,"Approved")</f>
        <v>0</v>
      </c>
      <c r="Z80" s="304">
        <f>SUMIFS('PCO Log'!$E90:$SJ90,'PCO Log'!$E$9:$SJ$9,'Graph Data'!Z$1,'PCO Log'!$E$7:$SJ$7,"Approved")</f>
        <v>0</v>
      </c>
      <c r="AA80" s="304">
        <f>SUMIFS('PCO Log'!$E90:$SJ90,'PCO Log'!$E$9:$SJ$9,'Graph Data'!AA$1,'PCO Log'!$E$7:$SJ$7,"Approved")</f>
        <v>0</v>
      </c>
      <c r="AB80" s="304">
        <f>SUMIFS('PCO Log'!$E90:$SJ90,'PCO Log'!$E$9:$SJ$9,'Graph Data'!AB$1,'PCO Log'!$E$7:$SJ$7,"Approved")</f>
        <v>0</v>
      </c>
      <c r="AC80" s="304">
        <f>SUMIFS('PCO Log'!$E90:$SJ90,'PCO Log'!$E$9:$SJ$9,'Graph Data'!AC$1,'PCO Log'!$E$7:$SJ$7,"Approved")</f>
        <v>0</v>
      </c>
      <c r="AD80" s="304">
        <f>SUMIFS('PCO Log'!$E90:$SJ90,'PCO Log'!$E$9:$SJ$9,'Graph Data'!AD$1,'PCO Log'!$E$7:$SJ$7,"Approved")</f>
        <v>0</v>
      </c>
      <c r="AE80" s="304">
        <f>SUMIFS('PCO Log'!$E90:$SJ90,'PCO Log'!$E$9:$SJ$9,'Graph Data'!AE$1,'PCO Log'!$E$7:$SJ$7,"Approved")</f>
        <v>0</v>
      </c>
      <c r="AF80" s="304">
        <f>SUMIFS('PCO Log'!$E90:$SJ90,'PCO Log'!$E$9:$SJ$9,'Graph Data'!AF$1,'PCO Log'!$E$7:$SJ$7,"Approved")</f>
        <v>0</v>
      </c>
      <c r="AG80" s="304">
        <f>SUMIFS('PCO Log'!$E90:$SJ90,'PCO Log'!$E$9:$SJ$9,'Graph Data'!AG$1,'PCO Log'!$E$7:$SJ$7,"Approved")</f>
        <v>0</v>
      </c>
      <c r="AH80" s="304">
        <f>SUMIFS('PCO Log'!$E90:$SJ90,'PCO Log'!$E$9:$SJ$9,'Graph Data'!AH$1,'PCO Log'!$E$7:$SJ$7,"Approved")</f>
        <v>0</v>
      </c>
      <c r="AI80" s="304">
        <f>SUMIFS('PCO Log'!$E90:$SJ90,'PCO Log'!$E$9:$SJ$9,'Graph Data'!AI$1,'PCO Log'!$E$7:$SJ$7,"Approved")</f>
        <v>0</v>
      </c>
      <c r="AJ80" s="304">
        <f>SUMIFS('PCO Log'!$E90:$SJ90,'PCO Log'!$E$9:$SJ$9,'Graph Data'!AJ$1,'PCO Log'!$E$7:$SJ$7,"Approved")</f>
        <v>0</v>
      </c>
      <c r="AK80" s="304">
        <f>SUMIFS('PCO Log'!$E90:$SJ90,'PCO Log'!$E$9:$SJ$9,'Graph Data'!AK$1,'PCO Log'!$E$7:$SJ$7,"Approved")</f>
        <v>0</v>
      </c>
      <c r="AL80" s="304">
        <f>SUMIFS('PCO Log'!$E90:$SJ90,'PCO Log'!$E$9:$SJ$9,'Graph Data'!AL$1,'PCO Log'!$E$7:$SJ$7,"Approved")</f>
        <v>0</v>
      </c>
      <c r="AM80" s="304">
        <f>SUMIFS('PCO Log'!$E90:$SJ90,'PCO Log'!$E$9:$SJ$9,'Graph Data'!AM$1,'PCO Log'!$E$7:$SJ$7,"Approved")</f>
        <v>0</v>
      </c>
      <c r="AN80" s="304">
        <f>SUMIFS('PCO Log'!$E90:$SJ90,'PCO Log'!$E$9:$SJ$9,'Graph Data'!AN$1,'PCO Log'!$E$7:$SJ$7,"Approved")</f>
        <v>0</v>
      </c>
      <c r="AO80" s="304">
        <f>SUMIFS('PCO Log'!$E90:$SJ90,'PCO Log'!$E$9:$SJ$9,'Graph Data'!AO$1,'PCO Log'!$E$7:$SJ$7,"Approved")</f>
        <v>0</v>
      </c>
      <c r="AP80" s="304">
        <f>SUMIFS('PCO Log'!$E90:$SJ90,'PCO Log'!$E$9:$SJ$9,'Graph Data'!AP$1,'PCO Log'!$E$7:$SJ$7,"Approved")</f>
        <v>0</v>
      </c>
      <c r="AQ80" s="304">
        <f>SUMIFS('PCO Log'!$E90:$SJ90,'PCO Log'!$E$9:$SJ$9,'Graph Data'!AQ$1,'PCO Log'!$E$7:$SJ$7,"Approved")</f>
        <v>0</v>
      </c>
      <c r="AR80" s="304">
        <f>SUMIFS('PCO Log'!$E90:$SJ90,'PCO Log'!$E$9:$SJ$9,'Graph Data'!AR$1,'PCO Log'!$E$7:$SJ$7,"Approved")</f>
        <v>0</v>
      </c>
      <c r="AS80" s="304">
        <f>SUMIFS('PCO Log'!$E90:$SJ90,'PCO Log'!$E$9:$SJ$9,'Graph Data'!AS$1,'PCO Log'!$E$7:$SJ$7,"Approved")</f>
        <v>0</v>
      </c>
      <c r="AT80" s="304">
        <f>SUMIFS('PCO Log'!$E90:$SJ90,'PCO Log'!$E$9:$SJ$9,'Graph Data'!AT$1,'PCO Log'!$E$7:$SJ$7,"Approved")</f>
        <v>0</v>
      </c>
      <c r="AU80" s="304">
        <f>SUMIFS('PCO Log'!$E90:$SJ90,'PCO Log'!$E$9:$SJ$9,'Graph Data'!AU$1,'PCO Log'!$E$7:$SJ$7,"Approved")</f>
        <v>0</v>
      </c>
      <c r="AV80" s="304">
        <f>SUMIFS('PCO Log'!$E90:$SJ90,'PCO Log'!$E$9:$SJ$9,'Graph Data'!AV$1,'PCO Log'!$E$7:$SJ$7,"Approved")</f>
        <v>0</v>
      </c>
      <c r="AW80" s="304">
        <f>SUMIFS('PCO Log'!$E90:$SJ90,'PCO Log'!$E$9:$SJ$9,'Graph Data'!AW$1,'PCO Log'!$E$7:$SJ$7,"Approved")</f>
        <v>0</v>
      </c>
      <c r="AX80" s="304">
        <f>SUMIFS('PCO Log'!$E90:$SJ90,'PCO Log'!$E$9:$SJ$9,'Graph Data'!AX$1,'PCO Log'!$E$7:$SJ$7,"Approved")</f>
        <v>0</v>
      </c>
      <c r="AY80" s="304">
        <f>SUMIFS('PCO Log'!$E90:$SJ90,'PCO Log'!$E$9:$SJ$9,'Graph Data'!AY$1,'PCO Log'!$E$7:$SJ$7,"Approved")</f>
        <v>0</v>
      </c>
      <c r="AZ80" s="304">
        <f>SUMIFS('PCO Log'!$E90:$SJ90,'PCO Log'!$E$9:$SJ$9,'Graph Data'!AZ$1,'PCO Log'!$E$7:$SJ$7,"Approved")</f>
        <v>0</v>
      </c>
      <c r="BA80" s="304">
        <f>SUMIFS('PCO Log'!$E90:$SJ90,'PCO Log'!$E$9:$SJ$9,'Graph Data'!BA$1,'PCO Log'!$E$7:$SJ$7,"Approved")</f>
        <v>0</v>
      </c>
      <c r="BB80" s="304">
        <f>SUMIFS('PCO Log'!$E90:$SJ90,'PCO Log'!$E$9:$SJ$9,'Graph Data'!BB$1,'PCO Log'!$E$7:$SJ$7,"Approved")</f>
        <v>0</v>
      </c>
      <c r="BC80" s="304">
        <f>SUMIFS('PCO Log'!$E90:$SJ90,'PCO Log'!$E$9:$SJ$9,'Graph Data'!BC$1,'PCO Log'!$E$7:$SJ$7,"Approved")</f>
        <v>0</v>
      </c>
      <c r="BD80" s="304">
        <f>SUMIFS('PCO Log'!$E90:$SJ90,'PCO Log'!$E$9:$SJ$9,'Graph Data'!BD$1,'PCO Log'!$E$7:$SJ$7,"Approved")</f>
        <v>0</v>
      </c>
      <c r="BE80" s="304">
        <f>SUMIFS('PCO Log'!$E90:$SJ90,'PCO Log'!$E$9:$SJ$9,'Graph Data'!BE$1,'PCO Log'!$E$7:$SJ$7,"Approved")</f>
        <v>0</v>
      </c>
      <c r="BF80" s="304">
        <f>SUMIFS('PCO Log'!$E90:$SJ90,'PCO Log'!$E$9:$SJ$9,'Graph Data'!BF$1,'PCO Log'!$E$7:$SJ$7,"Approved")</f>
        <v>0</v>
      </c>
      <c r="BG80" s="304">
        <f>SUMIFS('PCO Log'!$E90:$SJ90,'PCO Log'!$E$9:$SJ$9,'Graph Data'!BG$1,'PCO Log'!$E$7:$SJ$7,"Approved")</f>
        <v>0</v>
      </c>
      <c r="BH80" s="304">
        <f>SUMIFS('PCO Log'!$E90:$SJ90,'PCO Log'!$E$9:$SJ$9,'Graph Data'!BH$1,'PCO Log'!$E$7:$SJ$7,"Approved")</f>
        <v>0</v>
      </c>
      <c r="BI80" s="304">
        <f>SUMIFS('PCO Log'!$E90:$SJ90,'PCO Log'!$E$9:$SJ$9,'Graph Data'!BI$1,'PCO Log'!$E$7:$SJ$7,"Approved")</f>
        <v>0</v>
      </c>
      <c r="BJ80" s="304">
        <f>SUMIFS('PCO Log'!$E90:$SJ90,'PCO Log'!$E$9:$SJ$9,'Graph Data'!BJ$1,'PCO Log'!$E$7:$SJ$7,"Approved")</f>
        <v>0</v>
      </c>
      <c r="BK80" s="304">
        <f>SUMIFS('PCO Log'!$E90:$SJ90,'PCO Log'!$E$9:$SJ$9,'Graph Data'!BK$1,'PCO Log'!$E$7:$SJ$7,"Approved")</f>
        <v>0</v>
      </c>
      <c r="BL80" s="304">
        <f>SUMIFS('PCO Log'!$E90:$SJ90,'PCO Log'!$E$9:$SJ$9,'Graph Data'!BL$1,'PCO Log'!$E$7:$SJ$7,"Approved")</f>
        <v>0</v>
      </c>
      <c r="BM80" s="304">
        <f>SUMIFS('PCO Log'!$E90:$SJ90,'PCO Log'!$E$9:$SJ$9,'Graph Data'!BM$1,'PCO Log'!$E$7:$SJ$7,"Approved")</f>
        <v>0</v>
      </c>
      <c r="BN80" s="304">
        <f>SUMIFS('PCO Log'!$E90:$SJ90,'PCO Log'!$E$9:$SJ$9,'Graph Data'!BN$1,'PCO Log'!$E$7:$SJ$7,"Approved")</f>
        <v>0</v>
      </c>
      <c r="BO80" s="304">
        <f>SUMIFS('PCO Log'!$E90:$SJ90,'PCO Log'!$E$9:$SJ$9,'Graph Data'!BO$1,'PCO Log'!$E$7:$SJ$7,"Approved")</f>
        <v>0</v>
      </c>
      <c r="BP80" s="304">
        <f>SUMIFS('PCO Log'!$E90:$SJ90,'PCO Log'!$E$9:$SJ$9,'Graph Data'!BP$1,'PCO Log'!$E$7:$SJ$7,"Approved")</f>
        <v>0</v>
      </c>
      <c r="BQ80" s="304">
        <f>SUMIFS('PCO Log'!$E90:$SJ90,'PCO Log'!$E$9:$SJ$9,'Graph Data'!BQ$1,'PCO Log'!$E$7:$SJ$7,"Approved")</f>
        <v>0</v>
      </c>
      <c r="BR80" s="304">
        <f>SUMIFS('PCO Log'!$E90:$SJ90,'PCO Log'!$E$9:$SJ$9,'Graph Data'!BR$1,'PCO Log'!$E$7:$SJ$7,"Approved")</f>
        <v>0</v>
      </c>
      <c r="BS80" s="304">
        <f>SUMIFS('PCO Log'!$E90:$SJ90,'PCO Log'!$E$9:$SJ$9,'Graph Data'!BS$1,'PCO Log'!$E$7:$SJ$7,"Approved")</f>
        <v>0</v>
      </c>
      <c r="BT80" s="304">
        <f>SUMIFS('PCO Log'!$E90:$SJ90,'PCO Log'!$E$9:$SJ$9,'Graph Data'!BT$1,'PCO Log'!$E$7:$SJ$7,"Approved")</f>
        <v>0</v>
      </c>
      <c r="BU80" s="304">
        <f>SUMIFS('PCO Log'!$E90:$SJ90,'PCO Log'!$E$9:$SJ$9,'Graph Data'!BU$1,'PCO Log'!$E$7:$SJ$7,"Approved")</f>
        <v>0</v>
      </c>
      <c r="BV80" s="304">
        <f>SUMIFS('PCO Log'!$E90:$SJ90,'PCO Log'!$E$9:$SJ$9,'Graph Data'!BV$1,'PCO Log'!$E$7:$SJ$7,"Approved")</f>
        <v>0</v>
      </c>
      <c r="BW80" s="304">
        <f>SUMIFS('PCO Log'!$E90:$SJ90,'PCO Log'!$E$9:$SJ$9,'Graph Data'!BW$1,'PCO Log'!$E$7:$SJ$7,"Approved")</f>
        <v>0</v>
      </c>
      <c r="BX80" s="304">
        <f>SUMIFS('PCO Log'!$E90:$SJ90,'PCO Log'!$E$9:$SJ$9,'Graph Data'!BX$1,'PCO Log'!$E$7:$SJ$7,"Approved")</f>
        <v>0</v>
      </c>
    </row>
    <row r="81" spans="1:76" x14ac:dyDescent="0.25">
      <c r="A81" s="303" t="s">
        <v>421</v>
      </c>
      <c r="B81" s="303">
        <f>'PCO Log'!CF7</f>
        <v>0</v>
      </c>
      <c r="C81" s="303">
        <f>'PCO Log'!CF4</f>
        <v>0</v>
      </c>
      <c r="D81" s="303" cm="1">
        <f t="array" ref="D81">INDEX('PCO Log'!$E$5:$SJ$5, 1, ROWS('Graph Data'!$D$2:D81))</f>
        <v>0</v>
      </c>
      <c r="E81" s="303">
        <f>'PCO Log'!CF8</f>
        <v>0</v>
      </c>
      <c r="F81" s="303">
        <f>'PCO Log'!CF3</f>
        <v>0</v>
      </c>
      <c r="G81" s="304">
        <f>'PCO Log'!CF10</f>
        <v>0</v>
      </c>
      <c r="H81" s="305">
        <f>'PCO Log'!CF6</f>
        <v>0</v>
      </c>
      <c r="K81" s="303" t="s">
        <v>285</v>
      </c>
      <c r="L81" s="306">
        <v>17</v>
      </c>
      <c r="M81" s="346" t="s">
        <v>888</v>
      </c>
      <c r="O81" s="303" t="str">
        <f>'Pay App 1'!B141</f>
        <v>32 30 00</v>
      </c>
      <c r="P81" s="303" t="str">
        <f>'Pay App 1'!C141</f>
        <v>Site Improvements/Fencing</v>
      </c>
      <c r="Q81" s="304">
        <f>SUMIFS('PCO Log'!$E91:$SJ91,'PCO Log'!$E$9:$SJ$9,'Graph Data'!Q$1,'PCO Log'!$E$7:$SJ$7,"Approved")</f>
        <v>0</v>
      </c>
      <c r="R81" s="304">
        <f>SUMIFS('PCO Log'!$E91:$SJ91,'PCO Log'!$E$9:$SJ$9,'Graph Data'!R$1,'PCO Log'!$E$7:$SJ$7,"Approved")</f>
        <v>0</v>
      </c>
      <c r="S81" s="304">
        <f>SUMIFS('PCO Log'!$E91:$SJ91,'PCO Log'!$E$9:$SJ$9,'Graph Data'!S$1,'PCO Log'!$E$7:$SJ$7,"Approved")</f>
        <v>0</v>
      </c>
      <c r="T81" s="304">
        <f>SUMIFS('PCO Log'!$E91:$SJ91,'PCO Log'!$E$9:$SJ$9,'Graph Data'!T$1,'PCO Log'!$E$7:$SJ$7,"Approved")</f>
        <v>0</v>
      </c>
      <c r="U81" s="304">
        <f>SUMIFS('PCO Log'!$E91:$SJ91,'PCO Log'!$E$9:$SJ$9,'Graph Data'!U$1,'PCO Log'!$E$7:$SJ$7,"Approved")</f>
        <v>0</v>
      </c>
      <c r="V81" s="304">
        <f>SUMIFS('PCO Log'!$E91:$SJ91,'PCO Log'!$E$9:$SJ$9,'Graph Data'!V$1,'PCO Log'!$E$7:$SJ$7,"Approved")</f>
        <v>0</v>
      </c>
      <c r="W81" s="304">
        <f>SUMIFS('PCO Log'!$E91:$SJ91,'PCO Log'!$E$9:$SJ$9,'Graph Data'!W$1,'PCO Log'!$E$7:$SJ$7,"Approved")</f>
        <v>0</v>
      </c>
      <c r="X81" s="304">
        <f>SUMIFS('PCO Log'!$E91:$SJ91,'PCO Log'!$E$9:$SJ$9,'Graph Data'!X$1,'PCO Log'!$E$7:$SJ$7,"Approved")</f>
        <v>0</v>
      </c>
      <c r="Y81" s="304">
        <f>SUMIFS('PCO Log'!$E91:$SJ91,'PCO Log'!$E$9:$SJ$9,'Graph Data'!Y$1,'PCO Log'!$E$7:$SJ$7,"Approved")</f>
        <v>0</v>
      </c>
      <c r="Z81" s="304">
        <f>SUMIFS('PCO Log'!$E91:$SJ91,'PCO Log'!$E$9:$SJ$9,'Graph Data'!Z$1,'PCO Log'!$E$7:$SJ$7,"Approved")</f>
        <v>0</v>
      </c>
      <c r="AA81" s="304">
        <f>SUMIFS('PCO Log'!$E91:$SJ91,'PCO Log'!$E$9:$SJ$9,'Graph Data'!AA$1,'PCO Log'!$E$7:$SJ$7,"Approved")</f>
        <v>0</v>
      </c>
      <c r="AB81" s="304">
        <f>SUMIFS('PCO Log'!$E91:$SJ91,'PCO Log'!$E$9:$SJ$9,'Graph Data'!AB$1,'PCO Log'!$E$7:$SJ$7,"Approved")</f>
        <v>0</v>
      </c>
      <c r="AC81" s="304">
        <f>SUMIFS('PCO Log'!$E91:$SJ91,'PCO Log'!$E$9:$SJ$9,'Graph Data'!AC$1,'PCO Log'!$E$7:$SJ$7,"Approved")</f>
        <v>0</v>
      </c>
      <c r="AD81" s="304">
        <f>SUMIFS('PCO Log'!$E91:$SJ91,'PCO Log'!$E$9:$SJ$9,'Graph Data'!AD$1,'PCO Log'!$E$7:$SJ$7,"Approved")</f>
        <v>0</v>
      </c>
      <c r="AE81" s="304">
        <f>SUMIFS('PCO Log'!$E91:$SJ91,'PCO Log'!$E$9:$SJ$9,'Graph Data'!AE$1,'PCO Log'!$E$7:$SJ$7,"Approved")</f>
        <v>0</v>
      </c>
      <c r="AF81" s="304">
        <f>SUMIFS('PCO Log'!$E91:$SJ91,'PCO Log'!$E$9:$SJ$9,'Graph Data'!AF$1,'PCO Log'!$E$7:$SJ$7,"Approved")</f>
        <v>0</v>
      </c>
      <c r="AG81" s="304">
        <f>SUMIFS('PCO Log'!$E91:$SJ91,'PCO Log'!$E$9:$SJ$9,'Graph Data'!AG$1,'PCO Log'!$E$7:$SJ$7,"Approved")</f>
        <v>0</v>
      </c>
      <c r="AH81" s="304">
        <f>SUMIFS('PCO Log'!$E91:$SJ91,'PCO Log'!$E$9:$SJ$9,'Graph Data'!AH$1,'PCO Log'!$E$7:$SJ$7,"Approved")</f>
        <v>0</v>
      </c>
      <c r="AI81" s="304">
        <f>SUMIFS('PCO Log'!$E91:$SJ91,'PCO Log'!$E$9:$SJ$9,'Graph Data'!AI$1,'PCO Log'!$E$7:$SJ$7,"Approved")</f>
        <v>0</v>
      </c>
      <c r="AJ81" s="304">
        <f>SUMIFS('PCO Log'!$E91:$SJ91,'PCO Log'!$E$9:$SJ$9,'Graph Data'!AJ$1,'PCO Log'!$E$7:$SJ$7,"Approved")</f>
        <v>0</v>
      </c>
      <c r="AK81" s="304">
        <f>SUMIFS('PCO Log'!$E91:$SJ91,'PCO Log'!$E$9:$SJ$9,'Graph Data'!AK$1,'PCO Log'!$E$7:$SJ$7,"Approved")</f>
        <v>0</v>
      </c>
      <c r="AL81" s="304">
        <f>SUMIFS('PCO Log'!$E91:$SJ91,'PCO Log'!$E$9:$SJ$9,'Graph Data'!AL$1,'PCO Log'!$E$7:$SJ$7,"Approved")</f>
        <v>0</v>
      </c>
      <c r="AM81" s="304">
        <f>SUMIFS('PCO Log'!$E91:$SJ91,'PCO Log'!$E$9:$SJ$9,'Graph Data'!AM$1,'PCO Log'!$E$7:$SJ$7,"Approved")</f>
        <v>0</v>
      </c>
      <c r="AN81" s="304">
        <f>SUMIFS('PCO Log'!$E91:$SJ91,'PCO Log'!$E$9:$SJ$9,'Graph Data'!AN$1,'PCO Log'!$E$7:$SJ$7,"Approved")</f>
        <v>0</v>
      </c>
      <c r="AO81" s="304">
        <f>SUMIFS('PCO Log'!$E91:$SJ91,'PCO Log'!$E$9:$SJ$9,'Graph Data'!AO$1,'PCO Log'!$E$7:$SJ$7,"Approved")</f>
        <v>0</v>
      </c>
      <c r="AP81" s="304">
        <f>SUMIFS('PCO Log'!$E91:$SJ91,'PCO Log'!$E$9:$SJ$9,'Graph Data'!AP$1,'PCO Log'!$E$7:$SJ$7,"Approved")</f>
        <v>0</v>
      </c>
      <c r="AQ81" s="304">
        <f>SUMIFS('PCO Log'!$E91:$SJ91,'PCO Log'!$E$9:$SJ$9,'Graph Data'!AQ$1,'PCO Log'!$E$7:$SJ$7,"Approved")</f>
        <v>0</v>
      </c>
      <c r="AR81" s="304">
        <f>SUMIFS('PCO Log'!$E91:$SJ91,'PCO Log'!$E$9:$SJ$9,'Graph Data'!AR$1,'PCO Log'!$E$7:$SJ$7,"Approved")</f>
        <v>0</v>
      </c>
      <c r="AS81" s="304">
        <f>SUMIFS('PCO Log'!$E91:$SJ91,'PCO Log'!$E$9:$SJ$9,'Graph Data'!AS$1,'PCO Log'!$E$7:$SJ$7,"Approved")</f>
        <v>0</v>
      </c>
      <c r="AT81" s="304">
        <f>SUMIFS('PCO Log'!$E91:$SJ91,'PCO Log'!$E$9:$SJ$9,'Graph Data'!AT$1,'PCO Log'!$E$7:$SJ$7,"Approved")</f>
        <v>0</v>
      </c>
      <c r="AU81" s="304">
        <f>SUMIFS('PCO Log'!$E91:$SJ91,'PCO Log'!$E$9:$SJ$9,'Graph Data'!AU$1,'PCO Log'!$E$7:$SJ$7,"Approved")</f>
        <v>0</v>
      </c>
      <c r="AV81" s="304">
        <f>SUMIFS('PCO Log'!$E91:$SJ91,'PCO Log'!$E$9:$SJ$9,'Graph Data'!AV$1,'PCO Log'!$E$7:$SJ$7,"Approved")</f>
        <v>0</v>
      </c>
      <c r="AW81" s="304">
        <f>SUMIFS('PCO Log'!$E91:$SJ91,'PCO Log'!$E$9:$SJ$9,'Graph Data'!AW$1,'PCO Log'!$E$7:$SJ$7,"Approved")</f>
        <v>0</v>
      </c>
      <c r="AX81" s="304">
        <f>SUMIFS('PCO Log'!$E91:$SJ91,'PCO Log'!$E$9:$SJ$9,'Graph Data'!AX$1,'PCO Log'!$E$7:$SJ$7,"Approved")</f>
        <v>0</v>
      </c>
      <c r="AY81" s="304">
        <f>SUMIFS('PCO Log'!$E91:$SJ91,'PCO Log'!$E$9:$SJ$9,'Graph Data'!AY$1,'PCO Log'!$E$7:$SJ$7,"Approved")</f>
        <v>0</v>
      </c>
      <c r="AZ81" s="304">
        <f>SUMIFS('PCO Log'!$E91:$SJ91,'PCO Log'!$E$9:$SJ$9,'Graph Data'!AZ$1,'PCO Log'!$E$7:$SJ$7,"Approved")</f>
        <v>0</v>
      </c>
      <c r="BA81" s="304">
        <f>SUMIFS('PCO Log'!$E91:$SJ91,'PCO Log'!$E$9:$SJ$9,'Graph Data'!BA$1,'PCO Log'!$E$7:$SJ$7,"Approved")</f>
        <v>0</v>
      </c>
      <c r="BB81" s="304">
        <f>SUMIFS('PCO Log'!$E91:$SJ91,'PCO Log'!$E$9:$SJ$9,'Graph Data'!BB$1,'PCO Log'!$E$7:$SJ$7,"Approved")</f>
        <v>0</v>
      </c>
      <c r="BC81" s="304">
        <f>SUMIFS('PCO Log'!$E91:$SJ91,'PCO Log'!$E$9:$SJ$9,'Graph Data'!BC$1,'PCO Log'!$E$7:$SJ$7,"Approved")</f>
        <v>0</v>
      </c>
      <c r="BD81" s="304">
        <f>SUMIFS('PCO Log'!$E91:$SJ91,'PCO Log'!$E$9:$SJ$9,'Graph Data'!BD$1,'PCO Log'!$E$7:$SJ$7,"Approved")</f>
        <v>0</v>
      </c>
      <c r="BE81" s="304">
        <f>SUMIFS('PCO Log'!$E91:$SJ91,'PCO Log'!$E$9:$SJ$9,'Graph Data'!BE$1,'PCO Log'!$E$7:$SJ$7,"Approved")</f>
        <v>0</v>
      </c>
      <c r="BF81" s="304">
        <f>SUMIFS('PCO Log'!$E91:$SJ91,'PCO Log'!$E$9:$SJ$9,'Graph Data'!BF$1,'PCO Log'!$E$7:$SJ$7,"Approved")</f>
        <v>0</v>
      </c>
      <c r="BG81" s="304">
        <f>SUMIFS('PCO Log'!$E91:$SJ91,'PCO Log'!$E$9:$SJ$9,'Graph Data'!BG$1,'PCO Log'!$E$7:$SJ$7,"Approved")</f>
        <v>0</v>
      </c>
      <c r="BH81" s="304">
        <f>SUMIFS('PCO Log'!$E91:$SJ91,'PCO Log'!$E$9:$SJ$9,'Graph Data'!BH$1,'PCO Log'!$E$7:$SJ$7,"Approved")</f>
        <v>0</v>
      </c>
      <c r="BI81" s="304">
        <f>SUMIFS('PCO Log'!$E91:$SJ91,'PCO Log'!$E$9:$SJ$9,'Graph Data'!BI$1,'PCO Log'!$E$7:$SJ$7,"Approved")</f>
        <v>0</v>
      </c>
      <c r="BJ81" s="304">
        <f>SUMIFS('PCO Log'!$E91:$SJ91,'PCO Log'!$E$9:$SJ$9,'Graph Data'!BJ$1,'PCO Log'!$E$7:$SJ$7,"Approved")</f>
        <v>0</v>
      </c>
      <c r="BK81" s="304">
        <f>SUMIFS('PCO Log'!$E91:$SJ91,'PCO Log'!$E$9:$SJ$9,'Graph Data'!BK$1,'PCO Log'!$E$7:$SJ$7,"Approved")</f>
        <v>0</v>
      </c>
      <c r="BL81" s="304">
        <f>SUMIFS('PCO Log'!$E91:$SJ91,'PCO Log'!$E$9:$SJ$9,'Graph Data'!BL$1,'PCO Log'!$E$7:$SJ$7,"Approved")</f>
        <v>0</v>
      </c>
      <c r="BM81" s="304">
        <f>SUMIFS('PCO Log'!$E91:$SJ91,'PCO Log'!$E$9:$SJ$9,'Graph Data'!BM$1,'PCO Log'!$E$7:$SJ$7,"Approved")</f>
        <v>0</v>
      </c>
      <c r="BN81" s="304">
        <f>SUMIFS('PCO Log'!$E91:$SJ91,'PCO Log'!$E$9:$SJ$9,'Graph Data'!BN$1,'PCO Log'!$E$7:$SJ$7,"Approved")</f>
        <v>0</v>
      </c>
      <c r="BO81" s="304">
        <f>SUMIFS('PCO Log'!$E91:$SJ91,'PCO Log'!$E$9:$SJ$9,'Graph Data'!BO$1,'PCO Log'!$E$7:$SJ$7,"Approved")</f>
        <v>0</v>
      </c>
      <c r="BP81" s="304">
        <f>SUMIFS('PCO Log'!$E91:$SJ91,'PCO Log'!$E$9:$SJ$9,'Graph Data'!BP$1,'PCO Log'!$E$7:$SJ$7,"Approved")</f>
        <v>0</v>
      </c>
      <c r="BQ81" s="304">
        <f>SUMIFS('PCO Log'!$E91:$SJ91,'PCO Log'!$E$9:$SJ$9,'Graph Data'!BQ$1,'PCO Log'!$E$7:$SJ$7,"Approved")</f>
        <v>0</v>
      </c>
      <c r="BR81" s="304">
        <f>SUMIFS('PCO Log'!$E91:$SJ91,'PCO Log'!$E$9:$SJ$9,'Graph Data'!BR$1,'PCO Log'!$E$7:$SJ$7,"Approved")</f>
        <v>0</v>
      </c>
      <c r="BS81" s="304">
        <f>SUMIFS('PCO Log'!$E91:$SJ91,'PCO Log'!$E$9:$SJ$9,'Graph Data'!BS$1,'PCO Log'!$E$7:$SJ$7,"Approved")</f>
        <v>0</v>
      </c>
      <c r="BT81" s="304">
        <f>SUMIFS('PCO Log'!$E91:$SJ91,'PCO Log'!$E$9:$SJ$9,'Graph Data'!BT$1,'PCO Log'!$E$7:$SJ$7,"Approved")</f>
        <v>0</v>
      </c>
      <c r="BU81" s="304">
        <f>SUMIFS('PCO Log'!$E91:$SJ91,'PCO Log'!$E$9:$SJ$9,'Graph Data'!BU$1,'PCO Log'!$E$7:$SJ$7,"Approved")</f>
        <v>0</v>
      </c>
      <c r="BV81" s="304">
        <f>SUMIFS('PCO Log'!$E91:$SJ91,'PCO Log'!$E$9:$SJ$9,'Graph Data'!BV$1,'PCO Log'!$E$7:$SJ$7,"Approved")</f>
        <v>0</v>
      </c>
      <c r="BW81" s="304">
        <f>SUMIFS('PCO Log'!$E91:$SJ91,'PCO Log'!$E$9:$SJ$9,'Graph Data'!BW$1,'PCO Log'!$E$7:$SJ$7,"Approved")</f>
        <v>0</v>
      </c>
      <c r="BX81" s="304">
        <f>SUMIFS('PCO Log'!$E91:$SJ91,'PCO Log'!$E$9:$SJ$9,'Graph Data'!BX$1,'PCO Log'!$E$7:$SJ$7,"Approved")</f>
        <v>0</v>
      </c>
    </row>
    <row r="82" spans="1:76" x14ac:dyDescent="0.25">
      <c r="A82" s="303" t="s">
        <v>422</v>
      </c>
      <c r="B82" s="303">
        <f>'PCO Log'!CG7</f>
        <v>0</v>
      </c>
      <c r="C82" s="303">
        <f>'PCO Log'!CG4</f>
        <v>0</v>
      </c>
      <c r="D82" s="303" cm="1">
        <f t="array" ref="D82">INDEX('PCO Log'!$E$5:$SJ$5, 1, ROWS('Graph Data'!$D$2:D82))</f>
        <v>0</v>
      </c>
      <c r="E82" s="303">
        <f>'PCO Log'!CG8</f>
        <v>0</v>
      </c>
      <c r="F82" s="303">
        <f>'PCO Log'!CG3</f>
        <v>0</v>
      </c>
      <c r="G82" s="304">
        <f>'PCO Log'!CG10</f>
        <v>0</v>
      </c>
      <c r="H82" s="305">
        <f>'PCO Log'!CG6</f>
        <v>0</v>
      </c>
      <c r="K82" s="303" t="s">
        <v>286</v>
      </c>
      <c r="L82" s="306">
        <v>18</v>
      </c>
      <c r="M82" s="346" t="s">
        <v>940</v>
      </c>
      <c r="O82" s="303" t="str">
        <f>'Pay App 1'!B142</f>
        <v>32 90 00</v>
      </c>
      <c r="P82" s="303" t="str">
        <f>'Pay App 1'!C142</f>
        <v>Landscaping/Irrigation</v>
      </c>
      <c r="Q82" s="304">
        <f>SUMIFS('PCO Log'!$E92:$SJ92,'PCO Log'!$E$9:$SJ$9,'Graph Data'!Q$1,'PCO Log'!$E$7:$SJ$7,"Approved")</f>
        <v>0</v>
      </c>
      <c r="R82" s="304">
        <f>SUMIFS('PCO Log'!$E92:$SJ92,'PCO Log'!$E$9:$SJ$9,'Graph Data'!R$1,'PCO Log'!$E$7:$SJ$7,"Approved")</f>
        <v>0</v>
      </c>
      <c r="S82" s="304">
        <f>SUMIFS('PCO Log'!$E92:$SJ92,'PCO Log'!$E$9:$SJ$9,'Graph Data'!S$1,'PCO Log'!$E$7:$SJ$7,"Approved")</f>
        <v>0</v>
      </c>
      <c r="T82" s="304">
        <f>SUMIFS('PCO Log'!$E92:$SJ92,'PCO Log'!$E$9:$SJ$9,'Graph Data'!T$1,'PCO Log'!$E$7:$SJ$7,"Approved")</f>
        <v>0</v>
      </c>
      <c r="U82" s="304">
        <f>SUMIFS('PCO Log'!$E92:$SJ92,'PCO Log'!$E$9:$SJ$9,'Graph Data'!U$1,'PCO Log'!$E$7:$SJ$7,"Approved")</f>
        <v>0</v>
      </c>
      <c r="V82" s="304">
        <f>SUMIFS('PCO Log'!$E92:$SJ92,'PCO Log'!$E$9:$SJ$9,'Graph Data'!V$1,'PCO Log'!$E$7:$SJ$7,"Approved")</f>
        <v>0</v>
      </c>
      <c r="W82" s="304">
        <f>SUMIFS('PCO Log'!$E92:$SJ92,'PCO Log'!$E$9:$SJ$9,'Graph Data'!W$1,'PCO Log'!$E$7:$SJ$7,"Approved")</f>
        <v>0</v>
      </c>
      <c r="X82" s="304">
        <f>SUMIFS('PCO Log'!$E92:$SJ92,'PCO Log'!$E$9:$SJ$9,'Graph Data'!X$1,'PCO Log'!$E$7:$SJ$7,"Approved")</f>
        <v>0</v>
      </c>
      <c r="Y82" s="304">
        <f>SUMIFS('PCO Log'!$E92:$SJ92,'PCO Log'!$E$9:$SJ$9,'Graph Data'!Y$1,'PCO Log'!$E$7:$SJ$7,"Approved")</f>
        <v>0</v>
      </c>
      <c r="Z82" s="304">
        <f>SUMIFS('PCO Log'!$E92:$SJ92,'PCO Log'!$E$9:$SJ$9,'Graph Data'!Z$1,'PCO Log'!$E$7:$SJ$7,"Approved")</f>
        <v>0</v>
      </c>
      <c r="AA82" s="304">
        <f>SUMIFS('PCO Log'!$E92:$SJ92,'PCO Log'!$E$9:$SJ$9,'Graph Data'!AA$1,'PCO Log'!$E$7:$SJ$7,"Approved")</f>
        <v>0</v>
      </c>
      <c r="AB82" s="304">
        <f>SUMIFS('PCO Log'!$E92:$SJ92,'PCO Log'!$E$9:$SJ$9,'Graph Data'!AB$1,'PCO Log'!$E$7:$SJ$7,"Approved")</f>
        <v>0</v>
      </c>
      <c r="AC82" s="304">
        <f>SUMIFS('PCO Log'!$E92:$SJ92,'PCO Log'!$E$9:$SJ$9,'Graph Data'!AC$1,'PCO Log'!$E$7:$SJ$7,"Approved")</f>
        <v>0</v>
      </c>
      <c r="AD82" s="304">
        <f>SUMIFS('PCO Log'!$E92:$SJ92,'PCO Log'!$E$9:$SJ$9,'Graph Data'!AD$1,'PCO Log'!$E$7:$SJ$7,"Approved")</f>
        <v>0</v>
      </c>
      <c r="AE82" s="304">
        <f>SUMIFS('PCO Log'!$E92:$SJ92,'PCO Log'!$E$9:$SJ$9,'Graph Data'!AE$1,'PCO Log'!$E$7:$SJ$7,"Approved")</f>
        <v>0</v>
      </c>
      <c r="AF82" s="304">
        <f>SUMIFS('PCO Log'!$E92:$SJ92,'PCO Log'!$E$9:$SJ$9,'Graph Data'!AF$1,'PCO Log'!$E$7:$SJ$7,"Approved")</f>
        <v>0</v>
      </c>
      <c r="AG82" s="304">
        <f>SUMIFS('PCO Log'!$E92:$SJ92,'PCO Log'!$E$9:$SJ$9,'Graph Data'!AG$1,'PCO Log'!$E$7:$SJ$7,"Approved")</f>
        <v>0</v>
      </c>
      <c r="AH82" s="304">
        <f>SUMIFS('PCO Log'!$E92:$SJ92,'PCO Log'!$E$9:$SJ$9,'Graph Data'!AH$1,'PCO Log'!$E$7:$SJ$7,"Approved")</f>
        <v>0</v>
      </c>
      <c r="AI82" s="304">
        <f>SUMIFS('PCO Log'!$E92:$SJ92,'PCO Log'!$E$9:$SJ$9,'Graph Data'!AI$1,'PCO Log'!$E$7:$SJ$7,"Approved")</f>
        <v>0</v>
      </c>
      <c r="AJ82" s="304">
        <f>SUMIFS('PCO Log'!$E92:$SJ92,'PCO Log'!$E$9:$SJ$9,'Graph Data'!AJ$1,'PCO Log'!$E$7:$SJ$7,"Approved")</f>
        <v>0</v>
      </c>
      <c r="AK82" s="304">
        <f>SUMIFS('PCO Log'!$E92:$SJ92,'PCO Log'!$E$9:$SJ$9,'Graph Data'!AK$1,'PCO Log'!$E$7:$SJ$7,"Approved")</f>
        <v>0</v>
      </c>
      <c r="AL82" s="304">
        <f>SUMIFS('PCO Log'!$E92:$SJ92,'PCO Log'!$E$9:$SJ$9,'Graph Data'!AL$1,'PCO Log'!$E$7:$SJ$7,"Approved")</f>
        <v>0</v>
      </c>
      <c r="AM82" s="304">
        <f>SUMIFS('PCO Log'!$E92:$SJ92,'PCO Log'!$E$9:$SJ$9,'Graph Data'!AM$1,'PCO Log'!$E$7:$SJ$7,"Approved")</f>
        <v>0</v>
      </c>
      <c r="AN82" s="304">
        <f>SUMIFS('PCO Log'!$E92:$SJ92,'PCO Log'!$E$9:$SJ$9,'Graph Data'!AN$1,'PCO Log'!$E$7:$SJ$7,"Approved")</f>
        <v>0</v>
      </c>
      <c r="AO82" s="304">
        <f>SUMIFS('PCO Log'!$E92:$SJ92,'PCO Log'!$E$9:$SJ$9,'Graph Data'!AO$1,'PCO Log'!$E$7:$SJ$7,"Approved")</f>
        <v>0</v>
      </c>
      <c r="AP82" s="304">
        <f>SUMIFS('PCO Log'!$E92:$SJ92,'PCO Log'!$E$9:$SJ$9,'Graph Data'!AP$1,'PCO Log'!$E$7:$SJ$7,"Approved")</f>
        <v>0</v>
      </c>
      <c r="AQ82" s="304">
        <f>SUMIFS('PCO Log'!$E92:$SJ92,'PCO Log'!$E$9:$SJ$9,'Graph Data'!AQ$1,'PCO Log'!$E$7:$SJ$7,"Approved")</f>
        <v>0</v>
      </c>
      <c r="AR82" s="304">
        <f>SUMIFS('PCO Log'!$E92:$SJ92,'PCO Log'!$E$9:$SJ$9,'Graph Data'!AR$1,'PCO Log'!$E$7:$SJ$7,"Approved")</f>
        <v>0</v>
      </c>
      <c r="AS82" s="304">
        <f>SUMIFS('PCO Log'!$E92:$SJ92,'PCO Log'!$E$9:$SJ$9,'Graph Data'!AS$1,'PCO Log'!$E$7:$SJ$7,"Approved")</f>
        <v>0</v>
      </c>
      <c r="AT82" s="304">
        <f>SUMIFS('PCO Log'!$E92:$SJ92,'PCO Log'!$E$9:$SJ$9,'Graph Data'!AT$1,'PCO Log'!$E$7:$SJ$7,"Approved")</f>
        <v>0</v>
      </c>
      <c r="AU82" s="304">
        <f>SUMIFS('PCO Log'!$E92:$SJ92,'PCO Log'!$E$9:$SJ$9,'Graph Data'!AU$1,'PCO Log'!$E$7:$SJ$7,"Approved")</f>
        <v>0</v>
      </c>
      <c r="AV82" s="304">
        <f>SUMIFS('PCO Log'!$E92:$SJ92,'PCO Log'!$E$9:$SJ$9,'Graph Data'!AV$1,'PCO Log'!$E$7:$SJ$7,"Approved")</f>
        <v>0</v>
      </c>
      <c r="AW82" s="304">
        <f>SUMIFS('PCO Log'!$E92:$SJ92,'PCO Log'!$E$9:$SJ$9,'Graph Data'!AW$1,'PCO Log'!$E$7:$SJ$7,"Approved")</f>
        <v>0</v>
      </c>
      <c r="AX82" s="304">
        <f>SUMIFS('PCO Log'!$E92:$SJ92,'PCO Log'!$E$9:$SJ$9,'Graph Data'!AX$1,'PCO Log'!$E$7:$SJ$7,"Approved")</f>
        <v>0</v>
      </c>
      <c r="AY82" s="304">
        <f>SUMIFS('PCO Log'!$E92:$SJ92,'PCO Log'!$E$9:$SJ$9,'Graph Data'!AY$1,'PCO Log'!$E$7:$SJ$7,"Approved")</f>
        <v>0</v>
      </c>
      <c r="AZ82" s="304">
        <f>SUMIFS('PCO Log'!$E92:$SJ92,'PCO Log'!$E$9:$SJ$9,'Graph Data'!AZ$1,'PCO Log'!$E$7:$SJ$7,"Approved")</f>
        <v>0</v>
      </c>
      <c r="BA82" s="304">
        <f>SUMIFS('PCO Log'!$E92:$SJ92,'PCO Log'!$E$9:$SJ$9,'Graph Data'!BA$1,'PCO Log'!$E$7:$SJ$7,"Approved")</f>
        <v>0</v>
      </c>
      <c r="BB82" s="304">
        <f>SUMIFS('PCO Log'!$E92:$SJ92,'PCO Log'!$E$9:$SJ$9,'Graph Data'!BB$1,'PCO Log'!$E$7:$SJ$7,"Approved")</f>
        <v>0</v>
      </c>
      <c r="BC82" s="304">
        <f>SUMIFS('PCO Log'!$E92:$SJ92,'PCO Log'!$E$9:$SJ$9,'Graph Data'!BC$1,'PCO Log'!$E$7:$SJ$7,"Approved")</f>
        <v>0</v>
      </c>
      <c r="BD82" s="304">
        <f>SUMIFS('PCO Log'!$E92:$SJ92,'PCO Log'!$E$9:$SJ$9,'Graph Data'!BD$1,'PCO Log'!$E$7:$SJ$7,"Approved")</f>
        <v>0</v>
      </c>
      <c r="BE82" s="304">
        <f>SUMIFS('PCO Log'!$E92:$SJ92,'PCO Log'!$E$9:$SJ$9,'Graph Data'!BE$1,'PCO Log'!$E$7:$SJ$7,"Approved")</f>
        <v>0</v>
      </c>
      <c r="BF82" s="304">
        <f>SUMIFS('PCO Log'!$E92:$SJ92,'PCO Log'!$E$9:$SJ$9,'Graph Data'!BF$1,'PCO Log'!$E$7:$SJ$7,"Approved")</f>
        <v>0</v>
      </c>
      <c r="BG82" s="304">
        <f>SUMIFS('PCO Log'!$E92:$SJ92,'PCO Log'!$E$9:$SJ$9,'Graph Data'!BG$1,'PCO Log'!$E$7:$SJ$7,"Approved")</f>
        <v>0</v>
      </c>
      <c r="BH82" s="304">
        <f>SUMIFS('PCO Log'!$E92:$SJ92,'PCO Log'!$E$9:$SJ$9,'Graph Data'!BH$1,'PCO Log'!$E$7:$SJ$7,"Approved")</f>
        <v>0</v>
      </c>
      <c r="BI82" s="304">
        <f>SUMIFS('PCO Log'!$E92:$SJ92,'PCO Log'!$E$9:$SJ$9,'Graph Data'!BI$1,'PCO Log'!$E$7:$SJ$7,"Approved")</f>
        <v>0</v>
      </c>
      <c r="BJ82" s="304">
        <f>SUMIFS('PCO Log'!$E92:$SJ92,'PCO Log'!$E$9:$SJ$9,'Graph Data'!BJ$1,'PCO Log'!$E$7:$SJ$7,"Approved")</f>
        <v>0</v>
      </c>
      <c r="BK82" s="304">
        <f>SUMIFS('PCO Log'!$E92:$SJ92,'PCO Log'!$E$9:$SJ$9,'Graph Data'!BK$1,'PCO Log'!$E$7:$SJ$7,"Approved")</f>
        <v>0</v>
      </c>
      <c r="BL82" s="304">
        <f>SUMIFS('PCO Log'!$E92:$SJ92,'PCO Log'!$E$9:$SJ$9,'Graph Data'!BL$1,'PCO Log'!$E$7:$SJ$7,"Approved")</f>
        <v>0</v>
      </c>
      <c r="BM82" s="304">
        <f>SUMIFS('PCO Log'!$E92:$SJ92,'PCO Log'!$E$9:$SJ$9,'Graph Data'!BM$1,'PCO Log'!$E$7:$SJ$7,"Approved")</f>
        <v>0</v>
      </c>
      <c r="BN82" s="304">
        <f>SUMIFS('PCO Log'!$E92:$SJ92,'PCO Log'!$E$9:$SJ$9,'Graph Data'!BN$1,'PCO Log'!$E$7:$SJ$7,"Approved")</f>
        <v>0</v>
      </c>
      <c r="BO82" s="304">
        <f>SUMIFS('PCO Log'!$E92:$SJ92,'PCO Log'!$E$9:$SJ$9,'Graph Data'!BO$1,'PCO Log'!$E$7:$SJ$7,"Approved")</f>
        <v>0</v>
      </c>
      <c r="BP82" s="304">
        <f>SUMIFS('PCO Log'!$E92:$SJ92,'PCO Log'!$E$9:$SJ$9,'Graph Data'!BP$1,'PCO Log'!$E$7:$SJ$7,"Approved")</f>
        <v>0</v>
      </c>
      <c r="BQ82" s="304">
        <f>SUMIFS('PCO Log'!$E92:$SJ92,'PCO Log'!$E$9:$SJ$9,'Graph Data'!BQ$1,'PCO Log'!$E$7:$SJ$7,"Approved")</f>
        <v>0</v>
      </c>
      <c r="BR82" s="304">
        <f>SUMIFS('PCO Log'!$E92:$SJ92,'PCO Log'!$E$9:$SJ$9,'Graph Data'!BR$1,'PCO Log'!$E$7:$SJ$7,"Approved")</f>
        <v>0</v>
      </c>
      <c r="BS82" s="304">
        <f>SUMIFS('PCO Log'!$E92:$SJ92,'PCO Log'!$E$9:$SJ$9,'Graph Data'!BS$1,'PCO Log'!$E$7:$SJ$7,"Approved")</f>
        <v>0</v>
      </c>
      <c r="BT82" s="304">
        <f>SUMIFS('PCO Log'!$E92:$SJ92,'PCO Log'!$E$9:$SJ$9,'Graph Data'!BT$1,'PCO Log'!$E$7:$SJ$7,"Approved")</f>
        <v>0</v>
      </c>
      <c r="BU82" s="304">
        <f>SUMIFS('PCO Log'!$E92:$SJ92,'PCO Log'!$E$9:$SJ$9,'Graph Data'!BU$1,'PCO Log'!$E$7:$SJ$7,"Approved")</f>
        <v>0</v>
      </c>
      <c r="BV82" s="304">
        <f>SUMIFS('PCO Log'!$E92:$SJ92,'PCO Log'!$E$9:$SJ$9,'Graph Data'!BV$1,'PCO Log'!$E$7:$SJ$7,"Approved")</f>
        <v>0</v>
      </c>
      <c r="BW82" s="304">
        <f>SUMIFS('PCO Log'!$E92:$SJ92,'PCO Log'!$E$9:$SJ$9,'Graph Data'!BW$1,'PCO Log'!$E$7:$SJ$7,"Approved")</f>
        <v>0</v>
      </c>
      <c r="BX82" s="304">
        <f>SUMIFS('PCO Log'!$E92:$SJ92,'PCO Log'!$E$9:$SJ$9,'Graph Data'!BX$1,'PCO Log'!$E$7:$SJ$7,"Approved")</f>
        <v>0</v>
      </c>
    </row>
    <row r="83" spans="1:76" x14ac:dyDescent="0.25">
      <c r="A83" s="303" t="s">
        <v>423</v>
      </c>
      <c r="B83" s="303">
        <f>'PCO Log'!CH7</f>
        <v>0</v>
      </c>
      <c r="C83" s="303">
        <f>'PCO Log'!CH4</f>
        <v>0</v>
      </c>
      <c r="D83" s="303" cm="1">
        <f t="array" ref="D83">INDEX('PCO Log'!$E$5:$SJ$5, 1, ROWS('Graph Data'!$D$2:D83))</f>
        <v>0</v>
      </c>
      <c r="E83" s="303">
        <f>'PCO Log'!CH8</f>
        <v>0</v>
      </c>
      <c r="F83" s="303">
        <f>'PCO Log'!CH3</f>
        <v>0</v>
      </c>
      <c r="G83" s="304">
        <f>'PCO Log'!CH10</f>
        <v>0</v>
      </c>
      <c r="H83" s="305">
        <f>'PCO Log'!CH6</f>
        <v>0</v>
      </c>
      <c r="K83" s="303" t="s">
        <v>287</v>
      </c>
      <c r="L83" s="306">
        <v>19</v>
      </c>
      <c r="M83" s="346" t="s">
        <v>870</v>
      </c>
      <c r="O83" s="303" t="str">
        <f>'Pay App 1'!B143</f>
        <v>33 00 00</v>
      </c>
      <c r="P83" s="303" t="str">
        <f>'Pay App 1'!C143</f>
        <v>Site Utilities</v>
      </c>
      <c r="Q83" s="304">
        <f>SUMIFS('PCO Log'!$E93:$SJ93,'PCO Log'!$E$9:$SJ$9,'Graph Data'!Q$1,'PCO Log'!$E$7:$SJ$7,"Approved")</f>
        <v>0</v>
      </c>
      <c r="R83" s="304">
        <f>SUMIFS('PCO Log'!$E93:$SJ93,'PCO Log'!$E$9:$SJ$9,'Graph Data'!R$1,'PCO Log'!$E$7:$SJ$7,"Approved")</f>
        <v>0</v>
      </c>
      <c r="S83" s="304">
        <f>SUMIFS('PCO Log'!$E93:$SJ93,'PCO Log'!$E$9:$SJ$9,'Graph Data'!S$1,'PCO Log'!$E$7:$SJ$7,"Approved")</f>
        <v>0</v>
      </c>
      <c r="T83" s="304">
        <f>SUMIFS('PCO Log'!$E93:$SJ93,'PCO Log'!$E$9:$SJ$9,'Graph Data'!T$1,'PCO Log'!$E$7:$SJ$7,"Approved")</f>
        <v>0</v>
      </c>
      <c r="U83" s="304">
        <f>SUMIFS('PCO Log'!$E93:$SJ93,'PCO Log'!$E$9:$SJ$9,'Graph Data'!U$1,'PCO Log'!$E$7:$SJ$7,"Approved")</f>
        <v>0</v>
      </c>
      <c r="V83" s="304">
        <f>SUMIFS('PCO Log'!$E93:$SJ93,'PCO Log'!$E$9:$SJ$9,'Graph Data'!V$1,'PCO Log'!$E$7:$SJ$7,"Approved")</f>
        <v>0</v>
      </c>
      <c r="W83" s="304">
        <f>SUMIFS('PCO Log'!$E93:$SJ93,'PCO Log'!$E$9:$SJ$9,'Graph Data'!W$1,'PCO Log'!$E$7:$SJ$7,"Approved")</f>
        <v>0</v>
      </c>
      <c r="X83" s="304">
        <f>SUMIFS('PCO Log'!$E93:$SJ93,'PCO Log'!$E$9:$SJ$9,'Graph Data'!X$1,'PCO Log'!$E$7:$SJ$7,"Approved")</f>
        <v>0</v>
      </c>
      <c r="Y83" s="304">
        <f>SUMIFS('PCO Log'!$E93:$SJ93,'PCO Log'!$E$9:$SJ$9,'Graph Data'!Y$1,'PCO Log'!$E$7:$SJ$7,"Approved")</f>
        <v>0</v>
      </c>
      <c r="Z83" s="304">
        <f>SUMIFS('PCO Log'!$E93:$SJ93,'PCO Log'!$E$9:$SJ$9,'Graph Data'!Z$1,'PCO Log'!$E$7:$SJ$7,"Approved")</f>
        <v>0</v>
      </c>
      <c r="AA83" s="304">
        <f>SUMIFS('PCO Log'!$E93:$SJ93,'PCO Log'!$E$9:$SJ$9,'Graph Data'!AA$1,'PCO Log'!$E$7:$SJ$7,"Approved")</f>
        <v>0</v>
      </c>
      <c r="AB83" s="304">
        <f>SUMIFS('PCO Log'!$E93:$SJ93,'PCO Log'!$E$9:$SJ$9,'Graph Data'!AB$1,'PCO Log'!$E$7:$SJ$7,"Approved")</f>
        <v>0</v>
      </c>
      <c r="AC83" s="304">
        <f>SUMIFS('PCO Log'!$E93:$SJ93,'PCO Log'!$E$9:$SJ$9,'Graph Data'!AC$1,'PCO Log'!$E$7:$SJ$7,"Approved")</f>
        <v>0</v>
      </c>
      <c r="AD83" s="304">
        <f>SUMIFS('PCO Log'!$E93:$SJ93,'PCO Log'!$E$9:$SJ$9,'Graph Data'!AD$1,'PCO Log'!$E$7:$SJ$7,"Approved")</f>
        <v>0</v>
      </c>
      <c r="AE83" s="304">
        <f>SUMIFS('PCO Log'!$E93:$SJ93,'PCO Log'!$E$9:$SJ$9,'Graph Data'!AE$1,'PCO Log'!$E$7:$SJ$7,"Approved")</f>
        <v>0</v>
      </c>
      <c r="AF83" s="304">
        <f>SUMIFS('PCO Log'!$E93:$SJ93,'PCO Log'!$E$9:$SJ$9,'Graph Data'!AF$1,'PCO Log'!$E$7:$SJ$7,"Approved")</f>
        <v>0</v>
      </c>
      <c r="AG83" s="304">
        <f>SUMIFS('PCO Log'!$E93:$SJ93,'PCO Log'!$E$9:$SJ$9,'Graph Data'!AG$1,'PCO Log'!$E$7:$SJ$7,"Approved")</f>
        <v>0</v>
      </c>
      <c r="AH83" s="304">
        <f>SUMIFS('PCO Log'!$E93:$SJ93,'PCO Log'!$E$9:$SJ$9,'Graph Data'!AH$1,'PCO Log'!$E$7:$SJ$7,"Approved")</f>
        <v>0</v>
      </c>
      <c r="AI83" s="304">
        <f>SUMIFS('PCO Log'!$E93:$SJ93,'PCO Log'!$E$9:$SJ$9,'Graph Data'!AI$1,'PCO Log'!$E$7:$SJ$7,"Approved")</f>
        <v>0</v>
      </c>
      <c r="AJ83" s="304">
        <f>SUMIFS('PCO Log'!$E93:$SJ93,'PCO Log'!$E$9:$SJ$9,'Graph Data'!AJ$1,'PCO Log'!$E$7:$SJ$7,"Approved")</f>
        <v>0</v>
      </c>
      <c r="AK83" s="304">
        <f>SUMIFS('PCO Log'!$E93:$SJ93,'PCO Log'!$E$9:$SJ$9,'Graph Data'!AK$1,'PCO Log'!$E$7:$SJ$7,"Approved")</f>
        <v>0</v>
      </c>
      <c r="AL83" s="304">
        <f>SUMIFS('PCO Log'!$E93:$SJ93,'PCO Log'!$E$9:$SJ$9,'Graph Data'!AL$1,'PCO Log'!$E$7:$SJ$7,"Approved")</f>
        <v>0</v>
      </c>
      <c r="AM83" s="304">
        <f>SUMIFS('PCO Log'!$E93:$SJ93,'PCO Log'!$E$9:$SJ$9,'Graph Data'!AM$1,'PCO Log'!$E$7:$SJ$7,"Approved")</f>
        <v>0</v>
      </c>
      <c r="AN83" s="304">
        <f>SUMIFS('PCO Log'!$E93:$SJ93,'PCO Log'!$E$9:$SJ$9,'Graph Data'!AN$1,'PCO Log'!$E$7:$SJ$7,"Approved")</f>
        <v>0</v>
      </c>
      <c r="AO83" s="304">
        <f>SUMIFS('PCO Log'!$E93:$SJ93,'PCO Log'!$E$9:$SJ$9,'Graph Data'!AO$1,'PCO Log'!$E$7:$SJ$7,"Approved")</f>
        <v>0</v>
      </c>
      <c r="AP83" s="304">
        <f>SUMIFS('PCO Log'!$E93:$SJ93,'PCO Log'!$E$9:$SJ$9,'Graph Data'!AP$1,'PCO Log'!$E$7:$SJ$7,"Approved")</f>
        <v>0</v>
      </c>
      <c r="AQ83" s="304">
        <f>SUMIFS('PCO Log'!$E93:$SJ93,'PCO Log'!$E$9:$SJ$9,'Graph Data'!AQ$1,'PCO Log'!$E$7:$SJ$7,"Approved")</f>
        <v>0</v>
      </c>
      <c r="AR83" s="304">
        <f>SUMIFS('PCO Log'!$E93:$SJ93,'PCO Log'!$E$9:$SJ$9,'Graph Data'!AR$1,'PCO Log'!$E$7:$SJ$7,"Approved")</f>
        <v>0</v>
      </c>
      <c r="AS83" s="304">
        <f>SUMIFS('PCO Log'!$E93:$SJ93,'PCO Log'!$E$9:$SJ$9,'Graph Data'!AS$1,'PCO Log'!$E$7:$SJ$7,"Approved")</f>
        <v>0</v>
      </c>
      <c r="AT83" s="304">
        <f>SUMIFS('PCO Log'!$E93:$SJ93,'PCO Log'!$E$9:$SJ$9,'Graph Data'!AT$1,'PCO Log'!$E$7:$SJ$7,"Approved")</f>
        <v>0</v>
      </c>
      <c r="AU83" s="304">
        <f>SUMIFS('PCO Log'!$E93:$SJ93,'PCO Log'!$E$9:$SJ$9,'Graph Data'!AU$1,'PCO Log'!$E$7:$SJ$7,"Approved")</f>
        <v>0</v>
      </c>
      <c r="AV83" s="304">
        <f>SUMIFS('PCO Log'!$E93:$SJ93,'PCO Log'!$E$9:$SJ$9,'Graph Data'!AV$1,'PCO Log'!$E$7:$SJ$7,"Approved")</f>
        <v>0</v>
      </c>
      <c r="AW83" s="304">
        <f>SUMIFS('PCO Log'!$E93:$SJ93,'PCO Log'!$E$9:$SJ$9,'Graph Data'!AW$1,'PCO Log'!$E$7:$SJ$7,"Approved")</f>
        <v>0</v>
      </c>
      <c r="AX83" s="304">
        <f>SUMIFS('PCO Log'!$E93:$SJ93,'PCO Log'!$E$9:$SJ$9,'Graph Data'!AX$1,'PCO Log'!$E$7:$SJ$7,"Approved")</f>
        <v>0</v>
      </c>
      <c r="AY83" s="304">
        <f>SUMIFS('PCO Log'!$E93:$SJ93,'PCO Log'!$E$9:$SJ$9,'Graph Data'!AY$1,'PCO Log'!$E$7:$SJ$7,"Approved")</f>
        <v>0</v>
      </c>
      <c r="AZ83" s="304">
        <f>SUMIFS('PCO Log'!$E93:$SJ93,'PCO Log'!$E$9:$SJ$9,'Graph Data'!AZ$1,'PCO Log'!$E$7:$SJ$7,"Approved")</f>
        <v>0</v>
      </c>
      <c r="BA83" s="304">
        <f>SUMIFS('PCO Log'!$E93:$SJ93,'PCO Log'!$E$9:$SJ$9,'Graph Data'!BA$1,'PCO Log'!$E$7:$SJ$7,"Approved")</f>
        <v>0</v>
      </c>
      <c r="BB83" s="304">
        <f>SUMIFS('PCO Log'!$E93:$SJ93,'PCO Log'!$E$9:$SJ$9,'Graph Data'!BB$1,'PCO Log'!$E$7:$SJ$7,"Approved")</f>
        <v>0</v>
      </c>
      <c r="BC83" s="304">
        <f>SUMIFS('PCO Log'!$E93:$SJ93,'PCO Log'!$E$9:$SJ$9,'Graph Data'!BC$1,'PCO Log'!$E$7:$SJ$7,"Approved")</f>
        <v>0</v>
      </c>
      <c r="BD83" s="304">
        <f>SUMIFS('PCO Log'!$E93:$SJ93,'PCO Log'!$E$9:$SJ$9,'Graph Data'!BD$1,'PCO Log'!$E$7:$SJ$7,"Approved")</f>
        <v>0</v>
      </c>
      <c r="BE83" s="304">
        <f>SUMIFS('PCO Log'!$E93:$SJ93,'PCO Log'!$E$9:$SJ$9,'Graph Data'!BE$1,'PCO Log'!$E$7:$SJ$7,"Approved")</f>
        <v>0</v>
      </c>
      <c r="BF83" s="304">
        <f>SUMIFS('PCO Log'!$E93:$SJ93,'PCO Log'!$E$9:$SJ$9,'Graph Data'!BF$1,'PCO Log'!$E$7:$SJ$7,"Approved")</f>
        <v>0</v>
      </c>
      <c r="BG83" s="304">
        <f>SUMIFS('PCO Log'!$E93:$SJ93,'PCO Log'!$E$9:$SJ$9,'Graph Data'!BG$1,'PCO Log'!$E$7:$SJ$7,"Approved")</f>
        <v>0</v>
      </c>
      <c r="BH83" s="304">
        <f>SUMIFS('PCO Log'!$E93:$SJ93,'PCO Log'!$E$9:$SJ$9,'Graph Data'!BH$1,'PCO Log'!$E$7:$SJ$7,"Approved")</f>
        <v>0</v>
      </c>
      <c r="BI83" s="304">
        <f>SUMIFS('PCO Log'!$E93:$SJ93,'PCO Log'!$E$9:$SJ$9,'Graph Data'!BI$1,'PCO Log'!$E$7:$SJ$7,"Approved")</f>
        <v>0</v>
      </c>
      <c r="BJ83" s="304">
        <f>SUMIFS('PCO Log'!$E93:$SJ93,'PCO Log'!$E$9:$SJ$9,'Graph Data'!BJ$1,'PCO Log'!$E$7:$SJ$7,"Approved")</f>
        <v>0</v>
      </c>
      <c r="BK83" s="304">
        <f>SUMIFS('PCO Log'!$E93:$SJ93,'PCO Log'!$E$9:$SJ$9,'Graph Data'!BK$1,'PCO Log'!$E$7:$SJ$7,"Approved")</f>
        <v>0</v>
      </c>
      <c r="BL83" s="304">
        <f>SUMIFS('PCO Log'!$E93:$SJ93,'PCO Log'!$E$9:$SJ$9,'Graph Data'!BL$1,'PCO Log'!$E$7:$SJ$7,"Approved")</f>
        <v>0</v>
      </c>
      <c r="BM83" s="304">
        <f>SUMIFS('PCO Log'!$E93:$SJ93,'PCO Log'!$E$9:$SJ$9,'Graph Data'!BM$1,'PCO Log'!$E$7:$SJ$7,"Approved")</f>
        <v>0</v>
      </c>
      <c r="BN83" s="304">
        <f>SUMIFS('PCO Log'!$E93:$SJ93,'PCO Log'!$E$9:$SJ$9,'Graph Data'!BN$1,'PCO Log'!$E$7:$SJ$7,"Approved")</f>
        <v>0</v>
      </c>
      <c r="BO83" s="304">
        <f>SUMIFS('PCO Log'!$E93:$SJ93,'PCO Log'!$E$9:$SJ$9,'Graph Data'!BO$1,'PCO Log'!$E$7:$SJ$7,"Approved")</f>
        <v>0</v>
      </c>
      <c r="BP83" s="304">
        <f>SUMIFS('PCO Log'!$E93:$SJ93,'PCO Log'!$E$9:$SJ$9,'Graph Data'!BP$1,'PCO Log'!$E$7:$SJ$7,"Approved")</f>
        <v>0</v>
      </c>
      <c r="BQ83" s="304">
        <f>SUMIFS('PCO Log'!$E93:$SJ93,'PCO Log'!$E$9:$SJ$9,'Graph Data'!BQ$1,'PCO Log'!$E$7:$SJ$7,"Approved")</f>
        <v>0</v>
      </c>
      <c r="BR83" s="304">
        <f>SUMIFS('PCO Log'!$E93:$SJ93,'PCO Log'!$E$9:$SJ$9,'Graph Data'!BR$1,'PCO Log'!$E$7:$SJ$7,"Approved")</f>
        <v>0</v>
      </c>
      <c r="BS83" s="304">
        <f>SUMIFS('PCO Log'!$E93:$SJ93,'PCO Log'!$E$9:$SJ$9,'Graph Data'!BS$1,'PCO Log'!$E$7:$SJ$7,"Approved")</f>
        <v>0</v>
      </c>
      <c r="BT83" s="304">
        <f>SUMIFS('PCO Log'!$E93:$SJ93,'PCO Log'!$E$9:$SJ$9,'Graph Data'!BT$1,'PCO Log'!$E$7:$SJ$7,"Approved")</f>
        <v>0</v>
      </c>
      <c r="BU83" s="304">
        <f>SUMIFS('PCO Log'!$E93:$SJ93,'PCO Log'!$E$9:$SJ$9,'Graph Data'!BU$1,'PCO Log'!$E$7:$SJ$7,"Approved")</f>
        <v>0</v>
      </c>
      <c r="BV83" s="304">
        <f>SUMIFS('PCO Log'!$E93:$SJ93,'PCO Log'!$E$9:$SJ$9,'Graph Data'!BV$1,'PCO Log'!$E$7:$SJ$7,"Approved")</f>
        <v>0</v>
      </c>
      <c r="BW83" s="304">
        <f>SUMIFS('PCO Log'!$E93:$SJ93,'PCO Log'!$E$9:$SJ$9,'Graph Data'!BW$1,'PCO Log'!$E$7:$SJ$7,"Approved")</f>
        <v>0</v>
      </c>
      <c r="BX83" s="304">
        <f>SUMIFS('PCO Log'!$E93:$SJ93,'PCO Log'!$E$9:$SJ$9,'Graph Data'!BX$1,'PCO Log'!$E$7:$SJ$7,"Approved")</f>
        <v>0</v>
      </c>
    </row>
    <row r="84" spans="1:76" x14ac:dyDescent="0.25">
      <c r="A84" s="303" t="s">
        <v>424</v>
      </c>
      <c r="B84" s="303">
        <f>'PCO Log'!CI7</f>
        <v>0</v>
      </c>
      <c r="C84" s="303">
        <f>'PCO Log'!CI4</f>
        <v>0</v>
      </c>
      <c r="D84" s="303" cm="1">
        <f t="array" ref="D84">INDEX('PCO Log'!$E$5:$SJ$5, 1, ROWS('Graph Data'!$D$2:D84))</f>
        <v>0</v>
      </c>
      <c r="E84" s="303">
        <f>'PCO Log'!CI8</f>
        <v>0</v>
      </c>
      <c r="F84" s="303">
        <f>'PCO Log'!CI3</f>
        <v>0</v>
      </c>
      <c r="G84" s="304">
        <f>'PCO Log'!CI10</f>
        <v>0</v>
      </c>
      <c r="H84" s="305">
        <f>'PCO Log'!CI6</f>
        <v>0</v>
      </c>
      <c r="K84" s="303" t="s">
        <v>288</v>
      </c>
      <c r="L84" s="306">
        <v>20</v>
      </c>
      <c r="M84" s="346" t="s">
        <v>948</v>
      </c>
      <c r="O84" s="303" t="str">
        <f>'Pay App 1'!B144</f>
        <v>33 40 00</v>
      </c>
      <c r="P84" s="303" t="str">
        <f>'Pay App 1'!C144</f>
        <v>Underground Storm Retention Sys</v>
      </c>
      <c r="Q84" s="304">
        <f>SUMIFS('PCO Log'!$E94:$SJ94,'PCO Log'!$E$9:$SJ$9,'Graph Data'!Q$1,'PCO Log'!$E$7:$SJ$7,"Approved")</f>
        <v>0</v>
      </c>
      <c r="R84" s="304">
        <f>SUMIFS('PCO Log'!$E94:$SJ94,'PCO Log'!$E$9:$SJ$9,'Graph Data'!R$1,'PCO Log'!$E$7:$SJ$7,"Approved")</f>
        <v>0</v>
      </c>
      <c r="S84" s="304">
        <f>SUMIFS('PCO Log'!$E94:$SJ94,'PCO Log'!$E$9:$SJ$9,'Graph Data'!S$1,'PCO Log'!$E$7:$SJ$7,"Approved")</f>
        <v>0</v>
      </c>
      <c r="T84" s="304">
        <f>SUMIFS('PCO Log'!$E94:$SJ94,'PCO Log'!$E$9:$SJ$9,'Graph Data'!T$1,'PCO Log'!$E$7:$SJ$7,"Approved")</f>
        <v>0</v>
      </c>
      <c r="U84" s="304">
        <f>SUMIFS('PCO Log'!$E94:$SJ94,'PCO Log'!$E$9:$SJ$9,'Graph Data'!U$1,'PCO Log'!$E$7:$SJ$7,"Approved")</f>
        <v>0</v>
      </c>
      <c r="V84" s="304">
        <f>SUMIFS('PCO Log'!$E94:$SJ94,'PCO Log'!$E$9:$SJ$9,'Graph Data'!V$1,'PCO Log'!$E$7:$SJ$7,"Approved")</f>
        <v>0</v>
      </c>
      <c r="W84" s="304">
        <f>SUMIFS('PCO Log'!$E94:$SJ94,'PCO Log'!$E$9:$SJ$9,'Graph Data'!W$1,'PCO Log'!$E$7:$SJ$7,"Approved")</f>
        <v>0</v>
      </c>
      <c r="X84" s="304">
        <f>SUMIFS('PCO Log'!$E94:$SJ94,'PCO Log'!$E$9:$SJ$9,'Graph Data'!X$1,'PCO Log'!$E$7:$SJ$7,"Approved")</f>
        <v>0</v>
      </c>
      <c r="Y84" s="304">
        <f>SUMIFS('PCO Log'!$E94:$SJ94,'PCO Log'!$E$9:$SJ$9,'Graph Data'!Y$1,'PCO Log'!$E$7:$SJ$7,"Approved")</f>
        <v>0</v>
      </c>
      <c r="Z84" s="304">
        <f>SUMIFS('PCO Log'!$E94:$SJ94,'PCO Log'!$E$9:$SJ$9,'Graph Data'!Z$1,'PCO Log'!$E$7:$SJ$7,"Approved")</f>
        <v>0</v>
      </c>
      <c r="AA84" s="304">
        <f>SUMIFS('PCO Log'!$E94:$SJ94,'PCO Log'!$E$9:$SJ$9,'Graph Data'!AA$1,'PCO Log'!$E$7:$SJ$7,"Approved")</f>
        <v>0</v>
      </c>
      <c r="AB84" s="304">
        <f>SUMIFS('PCO Log'!$E94:$SJ94,'PCO Log'!$E$9:$SJ$9,'Graph Data'!AB$1,'PCO Log'!$E$7:$SJ$7,"Approved")</f>
        <v>0</v>
      </c>
      <c r="AC84" s="304">
        <f>SUMIFS('PCO Log'!$E94:$SJ94,'PCO Log'!$E$9:$SJ$9,'Graph Data'!AC$1,'PCO Log'!$E$7:$SJ$7,"Approved")</f>
        <v>0</v>
      </c>
      <c r="AD84" s="304">
        <f>SUMIFS('PCO Log'!$E94:$SJ94,'PCO Log'!$E$9:$SJ$9,'Graph Data'!AD$1,'PCO Log'!$E$7:$SJ$7,"Approved")</f>
        <v>0</v>
      </c>
      <c r="AE84" s="304">
        <f>SUMIFS('PCO Log'!$E94:$SJ94,'PCO Log'!$E$9:$SJ$9,'Graph Data'!AE$1,'PCO Log'!$E$7:$SJ$7,"Approved")</f>
        <v>0</v>
      </c>
      <c r="AF84" s="304">
        <f>SUMIFS('PCO Log'!$E94:$SJ94,'PCO Log'!$E$9:$SJ$9,'Graph Data'!AF$1,'PCO Log'!$E$7:$SJ$7,"Approved")</f>
        <v>0</v>
      </c>
      <c r="AG84" s="304">
        <f>SUMIFS('PCO Log'!$E94:$SJ94,'PCO Log'!$E$9:$SJ$9,'Graph Data'!AG$1,'PCO Log'!$E$7:$SJ$7,"Approved")</f>
        <v>0</v>
      </c>
      <c r="AH84" s="304">
        <f>SUMIFS('PCO Log'!$E94:$SJ94,'PCO Log'!$E$9:$SJ$9,'Graph Data'!AH$1,'PCO Log'!$E$7:$SJ$7,"Approved")</f>
        <v>0</v>
      </c>
      <c r="AI84" s="304">
        <f>SUMIFS('PCO Log'!$E94:$SJ94,'PCO Log'!$E$9:$SJ$9,'Graph Data'!AI$1,'PCO Log'!$E$7:$SJ$7,"Approved")</f>
        <v>0</v>
      </c>
      <c r="AJ84" s="304">
        <f>SUMIFS('PCO Log'!$E94:$SJ94,'PCO Log'!$E$9:$SJ$9,'Graph Data'!AJ$1,'PCO Log'!$E$7:$SJ$7,"Approved")</f>
        <v>0</v>
      </c>
      <c r="AK84" s="304">
        <f>SUMIFS('PCO Log'!$E94:$SJ94,'PCO Log'!$E$9:$SJ$9,'Graph Data'!AK$1,'PCO Log'!$E$7:$SJ$7,"Approved")</f>
        <v>0</v>
      </c>
      <c r="AL84" s="304">
        <f>SUMIFS('PCO Log'!$E94:$SJ94,'PCO Log'!$E$9:$SJ$9,'Graph Data'!AL$1,'PCO Log'!$E$7:$SJ$7,"Approved")</f>
        <v>0</v>
      </c>
      <c r="AM84" s="304">
        <f>SUMIFS('PCO Log'!$E94:$SJ94,'PCO Log'!$E$9:$SJ$9,'Graph Data'!AM$1,'PCO Log'!$E$7:$SJ$7,"Approved")</f>
        <v>0</v>
      </c>
      <c r="AN84" s="304">
        <f>SUMIFS('PCO Log'!$E94:$SJ94,'PCO Log'!$E$9:$SJ$9,'Graph Data'!AN$1,'PCO Log'!$E$7:$SJ$7,"Approved")</f>
        <v>0</v>
      </c>
      <c r="AO84" s="304">
        <f>SUMIFS('PCO Log'!$E94:$SJ94,'PCO Log'!$E$9:$SJ$9,'Graph Data'!AO$1,'PCO Log'!$E$7:$SJ$7,"Approved")</f>
        <v>0</v>
      </c>
      <c r="AP84" s="304">
        <f>SUMIFS('PCO Log'!$E94:$SJ94,'PCO Log'!$E$9:$SJ$9,'Graph Data'!AP$1,'PCO Log'!$E$7:$SJ$7,"Approved")</f>
        <v>0</v>
      </c>
      <c r="AQ84" s="304">
        <f>SUMIFS('PCO Log'!$E94:$SJ94,'PCO Log'!$E$9:$SJ$9,'Graph Data'!AQ$1,'PCO Log'!$E$7:$SJ$7,"Approved")</f>
        <v>0</v>
      </c>
      <c r="AR84" s="304">
        <f>SUMIFS('PCO Log'!$E94:$SJ94,'PCO Log'!$E$9:$SJ$9,'Graph Data'!AR$1,'PCO Log'!$E$7:$SJ$7,"Approved")</f>
        <v>0</v>
      </c>
      <c r="AS84" s="304">
        <f>SUMIFS('PCO Log'!$E94:$SJ94,'PCO Log'!$E$9:$SJ$9,'Graph Data'!AS$1,'PCO Log'!$E$7:$SJ$7,"Approved")</f>
        <v>0</v>
      </c>
      <c r="AT84" s="304">
        <f>SUMIFS('PCO Log'!$E94:$SJ94,'PCO Log'!$E$9:$SJ$9,'Graph Data'!AT$1,'PCO Log'!$E$7:$SJ$7,"Approved")</f>
        <v>0</v>
      </c>
      <c r="AU84" s="304">
        <f>SUMIFS('PCO Log'!$E94:$SJ94,'PCO Log'!$E$9:$SJ$9,'Graph Data'!AU$1,'PCO Log'!$E$7:$SJ$7,"Approved")</f>
        <v>0</v>
      </c>
      <c r="AV84" s="304">
        <f>SUMIFS('PCO Log'!$E94:$SJ94,'PCO Log'!$E$9:$SJ$9,'Graph Data'!AV$1,'PCO Log'!$E$7:$SJ$7,"Approved")</f>
        <v>0</v>
      </c>
      <c r="AW84" s="304">
        <f>SUMIFS('PCO Log'!$E94:$SJ94,'PCO Log'!$E$9:$SJ$9,'Graph Data'!AW$1,'PCO Log'!$E$7:$SJ$7,"Approved")</f>
        <v>0</v>
      </c>
      <c r="AX84" s="304">
        <f>SUMIFS('PCO Log'!$E94:$SJ94,'PCO Log'!$E$9:$SJ$9,'Graph Data'!AX$1,'PCO Log'!$E$7:$SJ$7,"Approved")</f>
        <v>0</v>
      </c>
      <c r="AY84" s="304">
        <f>SUMIFS('PCO Log'!$E94:$SJ94,'PCO Log'!$E$9:$SJ$9,'Graph Data'!AY$1,'PCO Log'!$E$7:$SJ$7,"Approved")</f>
        <v>0</v>
      </c>
      <c r="AZ84" s="304">
        <f>SUMIFS('PCO Log'!$E94:$SJ94,'PCO Log'!$E$9:$SJ$9,'Graph Data'!AZ$1,'PCO Log'!$E$7:$SJ$7,"Approved")</f>
        <v>0</v>
      </c>
      <c r="BA84" s="304">
        <f>SUMIFS('PCO Log'!$E94:$SJ94,'PCO Log'!$E$9:$SJ$9,'Graph Data'!BA$1,'PCO Log'!$E$7:$SJ$7,"Approved")</f>
        <v>0</v>
      </c>
      <c r="BB84" s="304">
        <f>SUMIFS('PCO Log'!$E94:$SJ94,'PCO Log'!$E$9:$SJ$9,'Graph Data'!BB$1,'PCO Log'!$E$7:$SJ$7,"Approved")</f>
        <v>0</v>
      </c>
      <c r="BC84" s="304">
        <f>SUMIFS('PCO Log'!$E94:$SJ94,'PCO Log'!$E$9:$SJ$9,'Graph Data'!BC$1,'PCO Log'!$E$7:$SJ$7,"Approved")</f>
        <v>0</v>
      </c>
      <c r="BD84" s="304">
        <f>SUMIFS('PCO Log'!$E94:$SJ94,'PCO Log'!$E$9:$SJ$9,'Graph Data'!BD$1,'PCO Log'!$E$7:$SJ$7,"Approved")</f>
        <v>0</v>
      </c>
      <c r="BE84" s="304">
        <f>SUMIFS('PCO Log'!$E94:$SJ94,'PCO Log'!$E$9:$SJ$9,'Graph Data'!BE$1,'PCO Log'!$E$7:$SJ$7,"Approved")</f>
        <v>0</v>
      </c>
      <c r="BF84" s="304">
        <f>SUMIFS('PCO Log'!$E94:$SJ94,'PCO Log'!$E$9:$SJ$9,'Graph Data'!BF$1,'PCO Log'!$E$7:$SJ$7,"Approved")</f>
        <v>0</v>
      </c>
      <c r="BG84" s="304">
        <f>SUMIFS('PCO Log'!$E94:$SJ94,'PCO Log'!$E$9:$SJ$9,'Graph Data'!BG$1,'PCO Log'!$E$7:$SJ$7,"Approved")</f>
        <v>0</v>
      </c>
      <c r="BH84" s="304">
        <f>SUMIFS('PCO Log'!$E94:$SJ94,'PCO Log'!$E$9:$SJ$9,'Graph Data'!BH$1,'PCO Log'!$E$7:$SJ$7,"Approved")</f>
        <v>0</v>
      </c>
      <c r="BI84" s="304">
        <f>SUMIFS('PCO Log'!$E94:$SJ94,'PCO Log'!$E$9:$SJ$9,'Graph Data'!BI$1,'PCO Log'!$E$7:$SJ$7,"Approved")</f>
        <v>0</v>
      </c>
      <c r="BJ84" s="304">
        <f>SUMIFS('PCO Log'!$E94:$SJ94,'PCO Log'!$E$9:$SJ$9,'Graph Data'!BJ$1,'PCO Log'!$E$7:$SJ$7,"Approved")</f>
        <v>0</v>
      </c>
      <c r="BK84" s="304">
        <f>SUMIFS('PCO Log'!$E94:$SJ94,'PCO Log'!$E$9:$SJ$9,'Graph Data'!BK$1,'PCO Log'!$E$7:$SJ$7,"Approved")</f>
        <v>0</v>
      </c>
      <c r="BL84" s="304">
        <f>SUMIFS('PCO Log'!$E94:$SJ94,'PCO Log'!$E$9:$SJ$9,'Graph Data'!BL$1,'PCO Log'!$E$7:$SJ$7,"Approved")</f>
        <v>0</v>
      </c>
      <c r="BM84" s="304">
        <f>SUMIFS('PCO Log'!$E94:$SJ94,'PCO Log'!$E$9:$SJ$9,'Graph Data'!BM$1,'PCO Log'!$E$7:$SJ$7,"Approved")</f>
        <v>0</v>
      </c>
      <c r="BN84" s="304">
        <f>SUMIFS('PCO Log'!$E94:$SJ94,'PCO Log'!$E$9:$SJ$9,'Graph Data'!BN$1,'PCO Log'!$E$7:$SJ$7,"Approved")</f>
        <v>0</v>
      </c>
      <c r="BO84" s="304">
        <f>SUMIFS('PCO Log'!$E94:$SJ94,'PCO Log'!$E$9:$SJ$9,'Graph Data'!BO$1,'PCO Log'!$E$7:$SJ$7,"Approved")</f>
        <v>0</v>
      </c>
      <c r="BP84" s="304">
        <f>SUMIFS('PCO Log'!$E94:$SJ94,'PCO Log'!$E$9:$SJ$9,'Graph Data'!BP$1,'PCO Log'!$E$7:$SJ$7,"Approved")</f>
        <v>0</v>
      </c>
      <c r="BQ84" s="304">
        <f>SUMIFS('PCO Log'!$E94:$SJ94,'PCO Log'!$E$9:$SJ$9,'Graph Data'!BQ$1,'PCO Log'!$E$7:$SJ$7,"Approved")</f>
        <v>0</v>
      </c>
      <c r="BR84" s="304">
        <f>SUMIFS('PCO Log'!$E94:$SJ94,'PCO Log'!$E$9:$SJ$9,'Graph Data'!BR$1,'PCO Log'!$E$7:$SJ$7,"Approved")</f>
        <v>0</v>
      </c>
      <c r="BS84" s="304">
        <f>SUMIFS('PCO Log'!$E94:$SJ94,'PCO Log'!$E$9:$SJ$9,'Graph Data'!BS$1,'PCO Log'!$E$7:$SJ$7,"Approved")</f>
        <v>0</v>
      </c>
      <c r="BT84" s="304">
        <f>SUMIFS('PCO Log'!$E94:$SJ94,'PCO Log'!$E$9:$SJ$9,'Graph Data'!BT$1,'PCO Log'!$E$7:$SJ$7,"Approved")</f>
        <v>0</v>
      </c>
      <c r="BU84" s="304">
        <f>SUMIFS('PCO Log'!$E94:$SJ94,'PCO Log'!$E$9:$SJ$9,'Graph Data'!BU$1,'PCO Log'!$E$7:$SJ$7,"Approved")</f>
        <v>0</v>
      </c>
      <c r="BV84" s="304">
        <f>SUMIFS('PCO Log'!$E94:$SJ94,'PCO Log'!$E$9:$SJ$9,'Graph Data'!BV$1,'PCO Log'!$E$7:$SJ$7,"Approved")</f>
        <v>0</v>
      </c>
      <c r="BW84" s="304">
        <f>SUMIFS('PCO Log'!$E94:$SJ94,'PCO Log'!$E$9:$SJ$9,'Graph Data'!BW$1,'PCO Log'!$E$7:$SJ$7,"Approved")</f>
        <v>0</v>
      </c>
      <c r="BX84" s="304">
        <f>SUMIFS('PCO Log'!$E94:$SJ94,'PCO Log'!$E$9:$SJ$9,'Graph Data'!BX$1,'PCO Log'!$E$7:$SJ$7,"Approved")</f>
        <v>0</v>
      </c>
    </row>
    <row r="85" spans="1:76" x14ac:dyDescent="0.25">
      <c r="A85" s="303" t="s">
        <v>425</v>
      </c>
      <c r="B85" s="303">
        <f>'PCO Log'!CJ7</f>
        <v>0</v>
      </c>
      <c r="C85" s="303">
        <f>'PCO Log'!CJ4</f>
        <v>0</v>
      </c>
      <c r="D85" s="303" cm="1">
        <f t="array" ref="D85">INDEX('PCO Log'!$E$5:$SJ$5, 1, ROWS('Graph Data'!$D$2:D85))</f>
        <v>0</v>
      </c>
      <c r="E85" s="303">
        <f>'PCO Log'!CJ8</f>
        <v>0</v>
      </c>
      <c r="F85" s="303">
        <f>'PCO Log'!CJ3</f>
        <v>0</v>
      </c>
      <c r="G85" s="304">
        <f>'PCO Log'!CJ10</f>
        <v>0</v>
      </c>
      <c r="H85" s="305">
        <f>'PCO Log'!CJ6</f>
        <v>0</v>
      </c>
      <c r="K85" s="303" t="s">
        <v>289</v>
      </c>
      <c r="L85" s="306">
        <v>21</v>
      </c>
      <c r="M85" s="346" t="s">
        <v>942</v>
      </c>
      <c r="O85" s="303" t="str">
        <f>'Pay App 1'!B145</f>
        <v>60 00 10</v>
      </c>
      <c r="P85" s="303" t="str">
        <f>'Pay App 1'!C145</f>
        <v>Other - Please Specify</v>
      </c>
      <c r="Q85" s="304">
        <f>SUMIFS('PCO Log'!$E95:$SJ95,'PCO Log'!$E$9:$SJ$9,'Graph Data'!Q$1,'PCO Log'!$E$7:$SJ$7,"Approved")</f>
        <v>0</v>
      </c>
      <c r="R85" s="304">
        <f>SUMIFS('PCO Log'!$E95:$SJ95,'PCO Log'!$E$9:$SJ$9,'Graph Data'!R$1,'PCO Log'!$E$7:$SJ$7,"Approved")</f>
        <v>0</v>
      </c>
      <c r="S85" s="304">
        <f>SUMIFS('PCO Log'!$E95:$SJ95,'PCO Log'!$E$9:$SJ$9,'Graph Data'!S$1,'PCO Log'!$E$7:$SJ$7,"Approved")</f>
        <v>0</v>
      </c>
      <c r="T85" s="304">
        <f>SUMIFS('PCO Log'!$E95:$SJ95,'PCO Log'!$E$9:$SJ$9,'Graph Data'!T$1,'PCO Log'!$E$7:$SJ$7,"Approved")</f>
        <v>0</v>
      </c>
      <c r="U85" s="304">
        <f>SUMIFS('PCO Log'!$E95:$SJ95,'PCO Log'!$E$9:$SJ$9,'Graph Data'!U$1,'PCO Log'!$E$7:$SJ$7,"Approved")</f>
        <v>0</v>
      </c>
      <c r="V85" s="304">
        <f>SUMIFS('PCO Log'!$E95:$SJ95,'PCO Log'!$E$9:$SJ$9,'Graph Data'!V$1,'PCO Log'!$E$7:$SJ$7,"Approved")</f>
        <v>0</v>
      </c>
      <c r="W85" s="304">
        <f>SUMIFS('PCO Log'!$E95:$SJ95,'PCO Log'!$E$9:$SJ$9,'Graph Data'!W$1,'PCO Log'!$E$7:$SJ$7,"Approved")</f>
        <v>0</v>
      </c>
      <c r="X85" s="304">
        <f>SUMIFS('PCO Log'!$E95:$SJ95,'PCO Log'!$E$9:$SJ$9,'Graph Data'!X$1,'PCO Log'!$E$7:$SJ$7,"Approved")</f>
        <v>0</v>
      </c>
      <c r="Y85" s="304">
        <f>SUMIFS('PCO Log'!$E95:$SJ95,'PCO Log'!$E$9:$SJ$9,'Graph Data'!Y$1,'PCO Log'!$E$7:$SJ$7,"Approved")</f>
        <v>0</v>
      </c>
      <c r="Z85" s="304">
        <f>SUMIFS('PCO Log'!$E95:$SJ95,'PCO Log'!$E$9:$SJ$9,'Graph Data'!Z$1,'PCO Log'!$E$7:$SJ$7,"Approved")</f>
        <v>0</v>
      </c>
      <c r="AA85" s="304">
        <f>SUMIFS('PCO Log'!$E95:$SJ95,'PCO Log'!$E$9:$SJ$9,'Graph Data'!AA$1,'PCO Log'!$E$7:$SJ$7,"Approved")</f>
        <v>0</v>
      </c>
      <c r="AB85" s="304">
        <f>SUMIFS('PCO Log'!$E95:$SJ95,'PCO Log'!$E$9:$SJ$9,'Graph Data'!AB$1,'PCO Log'!$E$7:$SJ$7,"Approved")</f>
        <v>0</v>
      </c>
      <c r="AC85" s="304">
        <f>SUMIFS('PCO Log'!$E95:$SJ95,'PCO Log'!$E$9:$SJ$9,'Graph Data'!AC$1,'PCO Log'!$E$7:$SJ$7,"Approved")</f>
        <v>0</v>
      </c>
      <c r="AD85" s="304">
        <f>SUMIFS('PCO Log'!$E95:$SJ95,'PCO Log'!$E$9:$SJ$9,'Graph Data'!AD$1,'PCO Log'!$E$7:$SJ$7,"Approved")</f>
        <v>0</v>
      </c>
      <c r="AE85" s="304">
        <f>SUMIFS('PCO Log'!$E95:$SJ95,'PCO Log'!$E$9:$SJ$9,'Graph Data'!AE$1,'PCO Log'!$E$7:$SJ$7,"Approved")</f>
        <v>0</v>
      </c>
      <c r="AF85" s="304">
        <f>SUMIFS('PCO Log'!$E95:$SJ95,'PCO Log'!$E$9:$SJ$9,'Graph Data'!AF$1,'PCO Log'!$E$7:$SJ$7,"Approved")</f>
        <v>0</v>
      </c>
      <c r="AG85" s="304">
        <f>SUMIFS('PCO Log'!$E95:$SJ95,'PCO Log'!$E$9:$SJ$9,'Graph Data'!AG$1,'PCO Log'!$E$7:$SJ$7,"Approved")</f>
        <v>0</v>
      </c>
      <c r="AH85" s="304">
        <f>SUMIFS('PCO Log'!$E95:$SJ95,'PCO Log'!$E$9:$SJ$9,'Graph Data'!AH$1,'PCO Log'!$E$7:$SJ$7,"Approved")</f>
        <v>0</v>
      </c>
      <c r="AI85" s="304">
        <f>SUMIFS('PCO Log'!$E95:$SJ95,'PCO Log'!$E$9:$SJ$9,'Graph Data'!AI$1,'PCO Log'!$E$7:$SJ$7,"Approved")</f>
        <v>0</v>
      </c>
      <c r="AJ85" s="304">
        <f>SUMIFS('PCO Log'!$E95:$SJ95,'PCO Log'!$E$9:$SJ$9,'Graph Data'!AJ$1,'PCO Log'!$E$7:$SJ$7,"Approved")</f>
        <v>0</v>
      </c>
      <c r="AK85" s="304">
        <f>SUMIFS('PCO Log'!$E95:$SJ95,'PCO Log'!$E$9:$SJ$9,'Graph Data'!AK$1,'PCO Log'!$E$7:$SJ$7,"Approved")</f>
        <v>0</v>
      </c>
      <c r="AL85" s="304">
        <f>SUMIFS('PCO Log'!$E95:$SJ95,'PCO Log'!$E$9:$SJ$9,'Graph Data'!AL$1,'PCO Log'!$E$7:$SJ$7,"Approved")</f>
        <v>0</v>
      </c>
      <c r="AM85" s="304">
        <f>SUMIFS('PCO Log'!$E95:$SJ95,'PCO Log'!$E$9:$SJ$9,'Graph Data'!AM$1,'PCO Log'!$E$7:$SJ$7,"Approved")</f>
        <v>0</v>
      </c>
      <c r="AN85" s="304">
        <f>SUMIFS('PCO Log'!$E95:$SJ95,'PCO Log'!$E$9:$SJ$9,'Graph Data'!AN$1,'PCO Log'!$E$7:$SJ$7,"Approved")</f>
        <v>0</v>
      </c>
      <c r="AO85" s="304">
        <f>SUMIFS('PCO Log'!$E95:$SJ95,'PCO Log'!$E$9:$SJ$9,'Graph Data'!AO$1,'PCO Log'!$E$7:$SJ$7,"Approved")</f>
        <v>0</v>
      </c>
      <c r="AP85" s="304">
        <f>SUMIFS('PCO Log'!$E95:$SJ95,'PCO Log'!$E$9:$SJ$9,'Graph Data'!AP$1,'PCO Log'!$E$7:$SJ$7,"Approved")</f>
        <v>0</v>
      </c>
      <c r="AQ85" s="304">
        <f>SUMIFS('PCO Log'!$E95:$SJ95,'PCO Log'!$E$9:$SJ$9,'Graph Data'!AQ$1,'PCO Log'!$E$7:$SJ$7,"Approved")</f>
        <v>0</v>
      </c>
      <c r="AR85" s="304">
        <f>SUMIFS('PCO Log'!$E95:$SJ95,'PCO Log'!$E$9:$SJ$9,'Graph Data'!AR$1,'PCO Log'!$E$7:$SJ$7,"Approved")</f>
        <v>0</v>
      </c>
      <c r="AS85" s="304">
        <f>SUMIFS('PCO Log'!$E95:$SJ95,'PCO Log'!$E$9:$SJ$9,'Graph Data'!AS$1,'PCO Log'!$E$7:$SJ$7,"Approved")</f>
        <v>0</v>
      </c>
      <c r="AT85" s="304">
        <f>SUMIFS('PCO Log'!$E95:$SJ95,'PCO Log'!$E$9:$SJ$9,'Graph Data'!AT$1,'PCO Log'!$E$7:$SJ$7,"Approved")</f>
        <v>0</v>
      </c>
      <c r="AU85" s="304">
        <f>SUMIFS('PCO Log'!$E95:$SJ95,'PCO Log'!$E$9:$SJ$9,'Graph Data'!AU$1,'PCO Log'!$E$7:$SJ$7,"Approved")</f>
        <v>0</v>
      </c>
      <c r="AV85" s="304">
        <f>SUMIFS('PCO Log'!$E95:$SJ95,'PCO Log'!$E$9:$SJ$9,'Graph Data'!AV$1,'PCO Log'!$E$7:$SJ$7,"Approved")</f>
        <v>0</v>
      </c>
      <c r="AW85" s="304">
        <f>SUMIFS('PCO Log'!$E95:$SJ95,'PCO Log'!$E$9:$SJ$9,'Graph Data'!AW$1,'PCO Log'!$E$7:$SJ$7,"Approved")</f>
        <v>0</v>
      </c>
      <c r="AX85" s="304">
        <f>SUMIFS('PCO Log'!$E95:$SJ95,'PCO Log'!$E$9:$SJ$9,'Graph Data'!AX$1,'PCO Log'!$E$7:$SJ$7,"Approved")</f>
        <v>0</v>
      </c>
      <c r="AY85" s="304">
        <f>SUMIFS('PCO Log'!$E95:$SJ95,'PCO Log'!$E$9:$SJ$9,'Graph Data'!AY$1,'PCO Log'!$E$7:$SJ$7,"Approved")</f>
        <v>0</v>
      </c>
      <c r="AZ85" s="304">
        <f>SUMIFS('PCO Log'!$E95:$SJ95,'PCO Log'!$E$9:$SJ$9,'Graph Data'!AZ$1,'PCO Log'!$E$7:$SJ$7,"Approved")</f>
        <v>0</v>
      </c>
      <c r="BA85" s="304">
        <f>SUMIFS('PCO Log'!$E95:$SJ95,'PCO Log'!$E$9:$SJ$9,'Graph Data'!BA$1,'PCO Log'!$E$7:$SJ$7,"Approved")</f>
        <v>0</v>
      </c>
      <c r="BB85" s="304">
        <f>SUMIFS('PCO Log'!$E95:$SJ95,'PCO Log'!$E$9:$SJ$9,'Graph Data'!BB$1,'PCO Log'!$E$7:$SJ$7,"Approved")</f>
        <v>0</v>
      </c>
      <c r="BC85" s="304">
        <f>SUMIFS('PCO Log'!$E95:$SJ95,'PCO Log'!$E$9:$SJ$9,'Graph Data'!BC$1,'PCO Log'!$E$7:$SJ$7,"Approved")</f>
        <v>0</v>
      </c>
      <c r="BD85" s="304">
        <f>SUMIFS('PCO Log'!$E95:$SJ95,'PCO Log'!$E$9:$SJ$9,'Graph Data'!BD$1,'PCO Log'!$E$7:$SJ$7,"Approved")</f>
        <v>0</v>
      </c>
      <c r="BE85" s="304">
        <f>SUMIFS('PCO Log'!$E95:$SJ95,'PCO Log'!$E$9:$SJ$9,'Graph Data'!BE$1,'PCO Log'!$E$7:$SJ$7,"Approved")</f>
        <v>0</v>
      </c>
      <c r="BF85" s="304">
        <f>SUMIFS('PCO Log'!$E95:$SJ95,'PCO Log'!$E$9:$SJ$9,'Graph Data'!BF$1,'PCO Log'!$E$7:$SJ$7,"Approved")</f>
        <v>0</v>
      </c>
      <c r="BG85" s="304">
        <f>SUMIFS('PCO Log'!$E95:$SJ95,'PCO Log'!$E$9:$SJ$9,'Graph Data'!BG$1,'PCO Log'!$E$7:$SJ$7,"Approved")</f>
        <v>0</v>
      </c>
      <c r="BH85" s="304">
        <f>SUMIFS('PCO Log'!$E95:$SJ95,'PCO Log'!$E$9:$SJ$9,'Graph Data'!BH$1,'PCO Log'!$E$7:$SJ$7,"Approved")</f>
        <v>0</v>
      </c>
      <c r="BI85" s="304">
        <f>SUMIFS('PCO Log'!$E95:$SJ95,'PCO Log'!$E$9:$SJ$9,'Graph Data'!BI$1,'PCO Log'!$E$7:$SJ$7,"Approved")</f>
        <v>0</v>
      </c>
      <c r="BJ85" s="304">
        <f>SUMIFS('PCO Log'!$E95:$SJ95,'PCO Log'!$E$9:$SJ$9,'Graph Data'!BJ$1,'PCO Log'!$E$7:$SJ$7,"Approved")</f>
        <v>0</v>
      </c>
      <c r="BK85" s="304">
        <f>SUMIFS('PCO Log'!$E95:$SJ95,'PCO Log'!$E$9:$SJ$9,'Graph Data'!BK$1,'PCO Log'!$E$7:$SJ$7,"Approved")</f>
        <v>0</v>
      </c>
      <c r="BL85" s="304">
        <f>SUMIFS('PCO Log'!$E95:$SJ95,'PCO Log'!$E$9:$SJ$9,'Graph Data'!BL$1,'PCO Log'!$E$7:$SJ$7,"Approved")</f>
        <v>0</v>
      </c>
      <c r="BM85" s="304">
        <f>SUMIFS('PCO Log'!$E95:$SJ95,'PCO Log'!$E$9:$SJ$9,'Graph Data'!BM$1,'PCO Log'!$E$7:$SJ$7,"Approved")</f>
        <v>0</v>
      </c>
      <c r="BN85" s="304">
        <f>SUMIFS('PCO Log'!$E95:$SJ95,'PCO Log'!$E$9:$SJ$9,'Graph Data'!BN$1,'PCO Log'!$E$7:$SJ$7,"Approved")</f>
        <v>0</v>
      </c>
      <c r="BO85" s="304">
        <f>SUMIFS('PCO Log'!$E95:$SJ95,'PCO Log'!$E$9:$SJ$9,'Graph Data'!BO$1,'PCO Log'!$E$7:$SJ$7,"Approved")</f>
        <v>0</v>
      </c>
      <c r="BP85" s="304">
        <f>SUMIFS('PCO Log'!$E95:$SJ95,'PCO Log'!$E$9:$SJ$9,'Graph Data'!BP$1,'PCO Log'!$E$7:$SJ$7,"Approved")</f>
        <v>0</v>
      </c>
      <c r="BQ85" s="304">
        <f>SUMIFS('PCO Log'!$E95:$SJ95,'PCO Log'!$E$9:$SJ$9,'Graph Data'!BQ$1,'PCO Log'!$E$7:$SJ$7,"Approved")</f>
        <v>0</v>
      </c>
      <c r="BR85" s="304">
        <f>SUMIFS('PCO Log'!$E95:$SJ95,'PCO Log'!$E$9:$SJ$9,'Graph Data'!BR$1,'PCO Log'!$E$7:$SJ$7,"Approved")</f>
        <v>0</v>
      </c>
      <c r="BS85" s="304">
        <f>SUMIFS('PCO Log'!$E95:$SJ95,'PCO Log'!$E$9:$SJ$9,'Graph Data'!BS$1,'PCO Log'!$E$7:$SJ$7,"Approved")</f>
        <v>0</v>
      </c>
      <c r="BT85" s="304">
        <f>SUMIFS('PCO Log'!$E95:$SJ95,'PCO Log'!$E$9:$SJ$9,'Graph Data'!BT$1,'PCO Log'!$E$7:$SJ$7,"Approved")</f>
        <v>0</v>
      </c>
      <c r="BU85" s="304">
        <f>SUMIFS('PCO Log'!$E95:$SJ95,'PCO Log'!$E$9:$SJ$9,'Graph Data'!BU$1,'PCO Log'!$E$7:$SJ$7,"Approved")</f>
        <v>0</v>
      </c>
      <c r="BV85" s="304">
        <f>SUMIFS('PCO Log'!$E95:$SJ95,'PCO Log'!$E$9:$SJ$9,'Graph Data'!BV$1,'PCO Log'!$E$7:$SJ$7,"Approved")</f>
        <v>0</v>
      </c>
      <c r="BW85" s="304">
        <f>SUMIFS('PCO Log'!$E95:$SJ95,'PCO Log'!$E$9:$SJ$9,'Graph Data'!BW$1,'PCO Log'!$E$7:$SJ$7,"Approved")</f>
        <v>0</v>
      </c>
      <c r="BX85" s="304">
        <f>SUMIFS('PCO Log'!$E95:$SJ95,'PCO Log'!$E$9:$SJ$9,'Graph Data'!BX$1,'PCO Log'!$E$7:$SJ$7,"Approved")</f>
        <v>0</v>
      </c>
    </row>
    <row r="86" spans="1:76" x14ac:dyDescent="0.25">
      <c r="A86" s="303" t="s">
        <v>426</v>
      </c>
      <c r="B86" s="303">
        <f>'PCO Log'!CK7</f>
        <v>0</v>
      </c>
      <c r="C86" s="303">
        <f>'PCO Log'!CK4</f>
        <v>0</v>
      </c>
      <c r="D86" s="303" cm="1">
        <f t="array" ref="D86">INDEX('PCO Log'!$E$5:$SJ$5, 1, ROWS('Graph Data'!$D$2:D86))</f>
        <v>0</v>
      </c>
      <c r="E86" s="303">
        <f>'PCO Log'!CK8</f>
        <v>0</v>
      </c>
      <c r="F86" s="303">
        <f>'PCO Log'!CK3</f>
        <v>0</v>
      </c>
      <c r="G86" s="304">
        <f>'PCO Log'!CK10</f>
        <v>0</v>
      </c>
      <c r="H86" s="305">
        <f>'PCO Log'!CK6</f>
        <v>0</v>
      </c>
      <c r="K86" s="303" t="s">
        <v>290</v>
      </c>
      <c r="L86" s="306">
        <v>22</v>
      </c>
      <c r="M86" s="346" t="s">
        <v>871</v>
      </c>
      <c r="O86" s="303" t="str">
        <f>'Pay App 1'!B146</f>
        <v>60 00 20</v>
      </c>
      <c r="P86" s="303" t="str">
        <f>'Pay App 1'!C146</f>
        <v>Other - Please Specify</v>
      </c>
      <c r="Q86" s="304">
        <f>SUMIFS('PCO Log'!$E96:$SJ96,'PCO Log'!$E$9:$SJ$9,'Graph Data'!Q$1,'PCO Log'!$E$7:$SJ$7,"Approved")</f>
        <v>0</v>
      </c>
      <c r="R86" s="304">
        <f>SUMIFS('PCO Log'!$E96:$SJ96,'PCO Log'!$E$9:$SJ$9,'Graph Data'!R$1,'PCO Log'!$E$7:$SJ$7,"Approved")</f>
        <v>0</v>
      </c>
      <c r="S86" s="304">
        <f>SUMIFS('PCO Log'!$E96:$SJ96,'PCO Log'!$E$9:$SJ$9,'Graph Data'!S$1,'PCO Log'!$E$7:$SJ$7,"Approved")</f>
        <v>0</v>
      </c>
      <c r="T86" s="304">
        <f>SUMIFS('PCO Log'!$E96:$SJ96,'PCO Log'!$E$9:$SJ$9,'Graph Data'!T$1,'PCO Log'!$E$7:$SJ$7,"Approved")</f>
        <v>0</v>
      </c>
      <c r="U86" s="304">
        <f>SUMIFS('PCO Log'!$E96:$SJ96,'PCO Log'!$E$9:$SJ$9,'Graph Data'!U$1,'PCO Log'!$E$7:$SJ$7,"Approved")</f>
        <v>0</v>
      </c>
      <c r="V86" s="304">
        <f>SUMIFS('PCO Log'!$E96:$SJ96,'PCO Log'!$E$9:$SJ$9,'Graph Data'!V$1,'PCO Log'!$E$7:$SJ$7,"Approved")</f>
        <v>0</v>
      </c>
      <c r="W86" s="304">
        <f>SUMIFS('PCO Log'!$E96:$SJ96,'PCO Log'!$E$9:$SJ$9,'Graph Data'!W$1,'PCO Log'!$E$7:$SJ$7,"Approved")</f>
        <v>0</v>
      </c>
      <c r="X86" s="304">
        <f>SUMIFS('PCO Log'!$E96:$SJ96,'PCO Log'!$E$9:$SJ$9,'Graph Data'!X$1,'PCO Log'!$E$7:$SJ$7,"Approved")</f>
        <v>0</v>
      </c>
      <c r="Y86" s="304">
        <f>SUMIFS('PCO Log'!$E96:$SJ96,'PCO Log'!$E$9:$SJ$9,'Graph Data'!Y$1,'PCO Log'!$E$7:$SJ$7,"Approved")</f>
        <v>0</v>
      </c>
      <c r="Z86" s="304">
        <f>SUMIFS('PCO Log'!$E96:$SJ96,'PCO Log'!$E$9:$SJ$9,'Graph Data'!Z$1,'PCO Log'!$E$7:$SJ$7,"Approved")</f>
        <v>0</v>
      </c>
      <c r="AA86" s="304">
        <f>SUMIFS('PCO Log'!$E96:$SJ96,'PCO Log'!$E$9:$SJ$9,'Graph Data'!AA$1,'PCO Log'!$E$7:$SJ$7,"Approved")</f>
        <v>0</v>
      </c>
      <c r="AB86" s="304">
        <f>SUMIFS('PCO Log'!$E96:$SJ96,'PCO Log'!$E$9:$SJ$9,'Graph Data'!AB$1,'PCO Log'!$E$7:$SJ$7,"Approved")</f>
        <v>0</v>
      </c>
      <c r="AC86" s="304">
        <f>SUMIFS('PCO Log'!$E96:$SJ96,'PCO Log'!$E$9:$SJ$9,'Graph Data'!AC$1,'PCO Log'!$E$7:$SJ$7,"Approved")</f>
        <v>0</v>
      </c>
      <c r="AD86" s="304">
        <f>SUMIFS('PCO Log'!$E96:$SJ96,'PCO Log'!$E$9:$SJ$9,'Graph Data'!AD$1,'PCO Log'!$E$7:$SJ$7,"Approved")</f>
        <v>0</v>
      </c>
      <c r="AE86" s="304">
        <f>SUMIFS('PCO Log'!$E96:$SJ96,'PCO Log'!$E$9:$SJ$9,'Graph Data'!AE$1,'PCO Log'!$E$7:$SJ$7,"Approved")</f>
        <v>0</v>
      </c>
      <c r="AF86" s="304">
        <f>SUMIFS('PCO Log'!$E96:$SJ96,'PCO Log'!$E$9:$SJ$9,'Graph Data'!AF$1,'PCO Log'!$E$7:$SJ$7,"Approved")</f>
        <v>0</v>
      </c>
      <c r="AG86" s="304">
        <f>SUMIFS('PCO Log'!$E96:$SJ96,'PCO Log'!$E$9:$SJ$9,'Graph Data'!AG$1,'PCO Log'!$E$7:$SJ$7,"Approved")</f>
        <v>0</v>
      </c>
      <c r="AH86" s="304">
        <f>SUMIFS('PCO Log'!$E96:$SJ96,'PCO Log'!$E$9:$SJ$9,'Graph Data'!AH$1,'PCO Log'!$E$7:$SJ$7,"Approved")</f>
        <v>0</v>
      </c>
      <c r="AI86" s="304">
        <f>SUMIFS('PCO Log'!$E96:$SJ96,'PCO Log'!$E$9:$SJ$9,'Graph Data'!AI$1,'PCO Log'!$E$7:$SJ$7,"Approved")</f>
        <v>0</v>
      </c>
      <c r="AJ86" s="304">
        <f>SUMIFS('PCO Log'!$E96:$SJ96,'PCO Log'!$E$9:$SJ$9,'Graph Data'!AJ$1,'PCO Log'!$E$7:$SJ$7,"Approved")</f>
        <v>0</v>
      </c>
      <c r="AK86" s="304">
        <f>SUMIFS('PCO Log'!$E96:$SJ96,'PCO Log'!$E$9:$SJ$9,'Graph Data'!AK$1,'PCO Log'!$E$7:$SJ$7,"Approved")</f>
        <v>0</v>
      </c>
      <c r="AL86" s="304">
        <f>SUMIFS('PCO Log'!$E96:$SJ96,'PCO Log'!$E$9:$SJ$9,'Graph Data'!AL$1,'PCO Log'!$E$7:$SJ$7,"Approved")</f>
        <v>0</v>
      </c>
      <c r="AM86" s="304">
        <f>SUMIFS('PCO Log'!$E96:$SJ96,'PCO Log'!$E$9:$SJ$9,'Graph Data'!AM$1,'PCO Log'!$E$7:$SJ$7,"Approved")</f>
        <v>0</v>
      </c>
      <c r="AN86" s="304">
        <f>SUMIFS('PCO Log'!$E96:$SJ96,'PCO Log'!$E$9:$SJ$9,'Graph Data'!AN$1,'PCO Log'!$E$7:$SJ$7,"Approved")</f>
        <v>0</v>
      </c>
      <c r="AO86" s="304">
        <f>SUMIFS('PCO Log'!$E96:$SJ96,'PCO Log'!$E$9:$SJ$9,'Graph Data'!AO$1,'PCO Log'!$E$7:$SJ$7,"Approved")</f>
        <v>0</v>
      </c>
      <c r="AP86" s="304">
        <f>SUMIFS('PCO Log'!$E96:$SJ96,'PCO Log'!$E$9:$SJ$9,'Graph Data'!AP$1,'PCO Log'!$E$7:$SJ$7,"Approved")</f>
        <v>0</v>
      </c>
      <c r="AQ86" s="304">
        <f>SUMIFS('PCO Log'!$E96:$SJ96,'PCO Log'!$E$9:$SJ$9,'Graph Data'!AQ$1,'PCO Log'!$E$7:$SJ$7,"Approved")</f>
        <v>0</v>
      </c>
      <c r="AR86" s="304">
        <f>SUMIFS('PCO Log'!$E96:$SJ96,'PCO Log'!$E$9:$SJ$9,'Graph Data'!AR$1,'PCO Log'!$E$7:$SJ$7,"Approved")</f>
        <v>0</v>
      </c>
      <c r="AS86" s="304">
        <f>SUMIFS('PCO Log'!$E96:$SJ96,'PCO Log'!$E$9:$SJ$9,'Graph Data'!AS$1,'PCO Log'!$E$7:$SJ$7,"Approved")</f>
        <v>0</v>
      </c>
      <c r="AT86" s="304">
        <f>SUMIFS('PCO Log'!$E96:$SJ96,'PCO Log'!$E$9:$SJ$9,'Graph Data'!AT$1,'PCO Log'!$E$7:$SJ$7,"Approved")</f>
        <v>0</v>
      </c>
      <c r="AU86" s="304">
        <f>SUMIFS('PCO Log'!$E96:$SJ96,'PCO Log'!$E$9:$SJ$9,'Graph Data'!AU$1,'PCO Log'!$E$7:$SJ$7,"Approved")</f>
        <v>0</v>
      </c>
      <c r="AV86" s="304">
        <f>SUMIFS('PCO Log'!$E96:$SJ96,'PCO Log'!$E$9:$SJ$9,'Graph Data'!AV$1,'PCO Log'!$E$7:$SJ$7,"Approved")</f>
        <v>0</v>
      </c>
      <c r="AW86" s="304">
        <f>SUMIFS('PCO Log'!$E96:$SJ96,'PCO Log'!$E$9:$SJ$9,'Graph Data'!AW$1,'PCO Log'!$E$7:$SJ$7,"Approved")</f>
        <v>0</v>
      </c>
      <c r="AX86" s="304">
        <f>SUMIFS('PCO Log'!$E96:$SJ96,'PCO Log'!$E$9:$SJ$9,'Graph Data'!AX$1,'PCO Log'!$E$7:$SJ$7,"Approved")</f>
        <v>0</v>
      </c>
      <c r="AY86" s="304">
        <f>SUMIFS('PCO Log'!$E96:$SJ96,'PCO Log'!$E$9:$SJ$9,'Graph Data'!AY$1,'PCO Log'!$E$7:$SJ$7,"Approved")</f>
        <v>0</v>
      </c>
      <c r="AZ86" s="304">
        <f>SUMIFS('PCO Log'!$E96:$SJ96,'PCO Log'!$E$9:$SJ$9,'Graph Data'!AZ$1,'PCO Log'!$E$7:$SJ$7,"Approved")</f>
        <v>0</v>
      </c>
      <c r="BA86" s="304">
        <f>SUMIFS('PCO Log'!$E96:$SJ96,'PCO Log'!$E$9:$SJ$9,'Graph Data'!BA$1,'PCO Log'!$E$7:$SJ$7,"Approved")</f>
        <v>0</v>
      </c>
      <c r="BB86" s="304">
        <f>SUMIFS('PCO Log'!$E96:$SJ96,'PCO Log'!$E$9:$SJ$9,'Graph Data'!BB$1,'PCO Log'!$E$7:$SJ$7,"Approved")</f>
        <v>0</v>
      </c>
      <c r="BC86" s="304">
        <f>SUMIFS('PCO Log'!$E96:$SJ96,'PCO Log'!$E$9:$SJ$9,'Graph Data'!BC$1,'PCO Log'!$E$7:$SJ$7,"Approved")</f>
        <v>0</v>
      </c>
      <c r="BD86" s="304">
        <f>SUMIFS('PCO Log'!$E96:$SJ96,'PCO Log'!$E$9:$SJ$9,'Graph Data'!BD$1,'PCO Log'!$E$7:$SJ$7,"Approved")</f>
        <v>0</v>
      </c>
      <c r="BE86" s="304">
        <f>SUMIFS('PCO Log'!$E96:$SJ96,'PCO Log'!$E$9:$SJ$9,'Graph Data'!BE$1,'PCO Log'!$E$7:$SJ$7,"Approved")</f>
        <v>0</v>
      </c>
      <c r="BF86" s="304">
        <f>SUMIFS('PCO Log'!$E96:$SJ96,'PCO Log'!$E$9:$SJ$9,'Graph Data'!BF$1,'PCO Log'!$E$7:$SJ$7,"Approved")</f>
        <v>0</v>
      </c>
      <c r="BG86" s="304">
        <f>SUMIFS('PCO Log'!$E96:$SJ96,'PCO Log'!$E$9:$SJ$9,'Graph Data'!BG$1,'PCO Log'!$E$7:$SJ$7,"Approved")</f>
        <v>0</v>
      </c>
      <c r="BH86" s="304">
        <f>SUMIFS('PCO Log'!$E96:$SJ96,'PCO Log'!$E$9:$SJ$9,'Graph Data'!BH$1,'PCO Log'!$E$7:$SJ$7,"Approved")</f>
        <v>0</v>
      </c>
      <c r="BI86" s="304">
        <f>SUMIFS('PCO Log'!$E96:$SJ96,'PCO Log'!$E$9:$SJ$9,'Graph Data'!BI$1,'PCO Log'!$E$7:$SJ$7,"Approved")</f>
        <v>0</v>
      </c>
      <c r="BJ86" s="304">
        <f>SUMIFS('PCO Log'!$E96:$SJ96,'PCO Log'!$E$9:$SJ$9,'Graph Data'!BJ$1,'PCO Log'!$E$7:$SJ$7,"Approved")</f>
        <v>0</v>
      </c>
      <c r="BK86" s="304">
        <f>SUMIFS('PCO Log'!$E96:$SJ96,'PCO Log'!$E$9:$SJ$9,'Graph Data'!BK$1,'PCO Log'!$E$7:$SJ$7,"Approved")</f>
        <v>0</v>
      </c>
      <c r="BL86" s="304">
        <f>SUMIFS('PCO Log'!$E96:$SJ96,'PCO Log'!$E$9:$SJ$9,'Graph Data'!BL$1,'PCO Log'!$E$7:$SJ$7,"Approved")</f>
        <v>0</v>
      </c>
      <c r="BM86" s="304">
        <f>SUMIFS('PCO Log'!$E96:$SJ96,'PCO Log'!$E$9:$SJ$9,'Graph Data'!BM$1,'PCO Log'!$E$7:$SJ$7,"Approved")</f>
        <v>0</v>
      </c>
      <c r="BN86" s="304">
        <f>SUMIFS('PCO Log'!$E96:$SJ96,'PCO Log'!$E$9:$SJ$9,'Graph Data'!BN$1,'PCO Log'!$E$7:$SJ$7,"Approved")</f>
        <v>0</v>
      </c>
      <c r="BO86" s="304">
        <f>SUMIFS('PCO Log'!$E96:$SJ96,'PCO Log'!$E$9:$SJ$9,'Graph Data'!BO$1,'PCO Log'!$E$7:$SJ$7,"Approved")</f>
        <v>0</v>
      </c>
      <c r="BP86" s="304">
        <f>SUMIFS('PCO Log'!$E96:$SJ96,'PCO Log'!$E$9:$SJ$9,'Graph Data'!BP$1,'PCO Log'!$E$7:$SJ$7,"Approved")</f>
        <v>0</v>
      </c>
      <c r="BQ86" s="304">
        <f>SUMIFS('PCO Log'!$E96:$SJ96,'PCO Log'!$E$9:$SJ$9,'Graph Data'!BQ$1,'PCO Log'!$E$7:$SJ$7,"Approved")</f>
        <v>0</v>
      </c>
      <c r="BR86" s="304">
        <f>SUMIFS('PCO Log'!$E96:$SJ96,'PCO Log'!$E$9:$SJ$9,'Graph Data'!BR$1,'PCO Log'!$E$7:$SJ$7,"Approved")</f>
        <v>0</v>
      </c>
      <c r="BS86" s="304">
        <f>SUMIFS('PCO Log'!$E96:$SJ96,'PCO Log'!$E$9:$SJ$9,'Graph Data'!BS$1,'PCO Log'!$E$7:$SJ$7,"Approved")</f>
        <v>0</v>
      </c>
      <c r="BT86" s="304">
        <f>SUMIFS('PCO Log'!$E96:$SJ96,'PCO Log'!$E$9:$SJ$9,'Graph Data'!BT$1,'PCO Log'!$E$7:$SJ$7,"Approved")</f>
        <v>0</v>
      </c>
      <c r="BU86" s="304">
        <f>SUMIFS('PCO Log'!$E96:$SJ96,'PCO Log'!$E$9:$SJ$9,'Graph Data'!BU$1,'PCO Log'!$E$7:$SJ$7,"Approved")</f>
        <v>0</v>
      </c>
      <c r="BV86" s="304">
        <f>SUMIFS('PCO Log'!$E96:$SJ96,'PCO Log'!$E$9:$SJ$9,'Graph Data'!BV$1,'PCO Log'!$E$7:$SJ$7,"Approved")</f>
        <v>0</v>
      </c>
      <c r="BW86" s="304">
        <f>SUMIFS('PCO Log'!$E96:$SJ96,'PCO Log'!$E$9:$SJ$9,'Graph Data'!BW$1,'PCO Log'!$E$7:$SJ$7,"Approved")</f>
        <v>0</v>
      </c>
      <c r="BX86" s="304">
        <f>SUMIFS('PCO Log'!$E96:$SJ96,'PCO Log'!$E$9:$SJ$9,'Graph Data'!BX$1,'PCO Log'!$E$7:$SJ$7,"Approved")</f>
        <v>0</v>
      </c>
    </row>
    <row r="87" spans="1:76" x14ac:dyDescent="0.25">
      <c r="A87" s="303" t="s">
        <v>427</v>
      </c>
      <c r="B87" s="303">
        <f>'PCO Log'!CL7</f>
        <v>0</v>
      </c>
      <c r="C87" s="303">
        <f>'PCO Log'!CL4</f>
        <v>0</v>
      </c>
      <c r="D87" s="303" cm="1">
        <f t="array" ref="D87">INDEX('PCO Log'!$E$5:$SJ$5, 1, ROWS('Graph Data'!$D$2:D87))</f>
        <v>0</v>
      </c>
      <c r="E87" s="303">
        <f>'PCO Log'!CL8</f>
        <v>0</v>
      </c>
      <c r="F87" s="303">
        <f>'PCO Log'!CL3</f>
        <v>0</v>
      </c>
      <c r="G87" s="304">
        <f>'PCO Log'!CL10</f>
        <v>0</v>
      </c>
      <c r="H87" s="305">
        <f>'PCO Log'!CL6</f>
        <v>0</v>
      </c>
      <c r="K87" s="303" t="s">
        <v>291</v>
      </c>
      <c r="L87" s="306">
        <v>23</v>
      </c>
      <c r="M87" s="346" t="s">
        <v>943</v>
      </c>
      <c r="O87" s="303" t="str">
        <f>'Pay App 1'!B147</f>
        <v>60 00 30</v>
      </c>
      <c r="P87" s="303" t="str">
        <f>'Pay App 1'!C147</f>
        <v>Other - Please Specify</v>
      </c>
      <c r="Q87" s="304">
        <f>SUMIFS('PCO Log'!$E97:$SJ97,'PCO Log'!$E$9:$SJ$9,'Graph Data'!Q$1,'PCO Log'!$E$7:$SJ$7,"Approved")</f>
        <v>0</v>
      </c>
      <c r="R87" s="304">
        <f>SUMIFS('PCO Log'!$E97:$SJ97,'PCO Log'!$E$9:$SJ$9,'Graph Data'!R$1,'PCO Log'!$E$7:$SJ$7,"Approved")</f>
        <v>0</v>
      </c>
      <c r="S87" s="304">
        <f>SUMIFS('PCO Log'!$E97:$SJ97,'PCO Log'!$E$9:$SJ$9,'Graph Data'!S$1,'PCO Log'!$E$7:$SJ$7,"Approved")</f>
        <v>0</v>
      </c>
      <c r="T87" s="304">
        <f>SUMIFS('PCO Log'!$E97:$SJ97,'PCO Log'!$E$9:$SJ$9,'Graph Data'!T$1,'PCO Log'!$E$7:$SJ$7,"Approved")</f>
        <v>0</v>
      </c>
      <c r="U87" s="304">
        <f>SUMIFS('PCO Log'!$E97:$SJ97,'PCO Log'!$E$9:$SJ$9,'Graph Data'!U$1,'PCO Log'!$E$7:$SJ$7,"Approved")</f>
        <v>0</v>
      </c>
      <c r="V87" s="304">
        <f>SUMIFS('PCO Log'!$E97:$SJ97,'PCO Log'!$E$9:$SJ$9,'Graph Data'!V$1,'PCO Log'!$E$7:$SJ$7,"Approved")</f>
        <v>0</v>
      </c>
      <c r="W87" s="304">
        <f>SUMIFS('PCO Log'!$E97:$SJ97,'PCO Log'!$E$9:$SJ$9,'Graph Data'!W$1,'PCO Log'!$E$7:$SJ$7,"Approved")</f>
        <v>0</v>
      </c>
      <c r="X87" s="304">
        <f>SUMIFS('PCO Log'!$E97:$SJ97,'PCO Log'!$E$9:$SJ$9,'Graph Data'!X$1,'PCO Log'!$E$7:$SJ$7,"Approved")</f>
        <v>0</v>
      </c>
      <c r="Y87" s="304">
        <f>SUMIFS('PCO Log'!$E97:$SJ97,'PCO Log'!$E$9:$SJ$9,'Graph Data'!Y$1,'PCO Log'!$E$7:$SJ$7,"Approved")</f>
        <v>0</v>
      </c>
      <c r="Z87" s="304">
        <f>SUMIFS('PCO Log'!$E97:$SJ97,'PCO Log'!$E$9:$SJ$9,'Graph Data'!Z$1,'PCO Log'!$E$7:$SJ$7,"Approved")</f>
        <v>0</v>
      </c>
      <c r="AA87" s="304">
        <f>SUMIFS('PCO Log'!$E97:$SJ97,'PCO Log'!$E$9:$SJ$9,'Graph Data'!AA$1,'PCO Log'!$E$7:$SJ$7,"Approved")</f>
        <v>0</v>
      </c>
      <c r="AB87" s="304">
        <f>SUMIFS('PCO Log'!$E97:$SJ97,'PCO Log'!$E$9:$SJ$9,'Graph Data'!AB$1,'PCO Log'!$E$7:$SJ$7,"Approved")</f>
        <v>0</v>
      </c>
      <c r="AC87" s="304">
        <f>SUMIFS('PCO Log'!$E97:$SJ97,'PCO Log'!$E$9:$SJ$9,'Graph Data'!AC$1,'PCO Log'!$E$7:$SJ$7,"Approved")</f>
        <v>0</v>
      </c>
      <c r="AD87" s="304">
        <f>SUMIFS('PCO Log'!$E97:$SJ97,'PCO Log'!$E$9:$SJ$9,'Graph Data'!AD$1,'PCO Log'!$E$7:$SJ$7,"Approved")</f>
        <v>0</v>
      </c>
      <c r="AE87" s="304">
        <f>SUMIFS('PCO Log'!$E97:$SJ97,'PCO Log'!$E$9:$SJ$9,'Graph Data'!AE$1,'PCO Log'!$E$7:$SJ$7,"Approved")</f>
        <v>0</v>
      </c>
      <c r="AF87" s="304">
        <f>SUMIFS('PCO Log'!$E97:$SJ97,'PCO Log'!$E$9:$SJ$9,'Graph Data'!AF$1,'PCO Log'!$E$7:$SJ$7,"Approved")</f>
        <v>0</v>
      </c>
      <c r="AG87" s="304">
        <f>SUMIFS('PCO Log'!$E97:$SJ97,'PCO Log'!$E$9:$SJ$9,'Graph Data'!AG$1,'PCO Log'!$E$7:$SJ$7,"Approved")</f>
        <v>0</v>
      </c>
      <c r="AH87" s="304">
        <f>SUMIFS('PCO Log'!$E97:$SJ97,'PCO Log'!$E$9:$SJ$9,'Graph Data'!AH$1,'PCO Log'!$E$7:$SJ$7,"Approved")</f>
        <v>0</v>
      </c>
      <c r="AI87" s="304">
        <f>SUMIFS('PCO Log'!$E97:$SJ97,'PCO Log'!$E$9:$SJ$9,'Graph Data'!AI$1,'PCO Log'!$E$7:$SJ$7,"Approved")</f>
        <v>0</v>
      </c>
      <c r="AJ87" s="304">
        <f>SUMIFS('PCO Log'!$E97:$SJ97,'PCO Log'!$E$9:$SJ$9,'Graph Data'!AJ$1,'PCO Log'!$E$7:$SJ$7,"Approved")</f>
        <v>0</v>
      </c>
      <c r="AK87" s="304">
        <f>SUMIFS('PCO Log'!$E97:$SJ97,'PCO Log'!$E$9:$SJ$9,'Graph Data'!AK$1,'PCO Log'!$E$7:$SJ$7,"Approved")</f>
        <v>0</v>
      </c>
      <c r="AL87" s="304">
        <f>SUMIFS('PCO Log'!$E97:$SJ97,'PCO Log'!$E$9:$SJ$9,'Graph Data'!AL$1,'PCO Log'!$E$7:$SJ$7,"Approved")</f>
        <v>0</v>
      </c>
      <c r="AM87" s="304">
        <f>SUMIFS('PCO Log'!$E97:$SJ97,'PCO Log'!$E$9:$SJ$9,'Graph Data'!AM$1,'PCO Log'!$E$7:$SJ$7,"Approved")</f>
        <v>0</v>
      </c>
      <c r="AN87" s="304">
        <f>SUMIFS('PCO Log'!$E97:$SJ97,'PCO Log'!$E$9:$SJ$9,'Graph Data'!AN$1,'PCO Log'!$E$7:$SJ$7,"Approved")</f>
        <v>0</v>
      </c>
      <c r="AO87" s="304">
        <f>SUMIFS('PCO Log'!$E97:$SJ97,'PCO Log'!$E$9:$SJ$9,'Graph Data'!AO$1,'PCO Log'!$E$7:$SJ$7,"Approved")</f>
        <v>0</v>
      </c>
      <c r="AP87" s="304">
        <f>SUMIFS('PCO Log'!$E97:$SJ97,'PCO Log'!$E$9:$SJ$9,'Graph Data'!AP$1,'PCO Log'!$E$7:$SJ$7,"Approved")</f>
        <v>0</v>
      </c>
      <c r="AQ87" s="304">
        <f>SUMIFS('PCO Log'!$E97:$SJ97,'PCO Log'!$E$9:$SJ$9,'Graph Data'!AQ$1,'PCO Log'!$E$7:$SJ$7,"Approved")</f>
        <v>0</v>
      </c>
      <c r="AR87" s="304">
        <f>SUMIFS('PCO Log'!$E97:$SJ97,'PCO Log'!$E$9:$SJ$9,'Graph Data'!AR$1,'PCO Log'!$E$7:$SJ$7,"Approved")</f>
        <v>0</v>
      </c>
      <c r="AS87" s="304">
        <f>SUMIFS('PCO Log'!$E97:$SJ97,'PCO Log'!$E$9:$SJ$9,'Graph Data'!AS$1,'PCO Log'!$E$7:$SJ$7,"Approved")</f>
        <v>0</v>
      </c>
      <c r="AT87" s="304">
        <f>SUMIFS('PCO Log'!$E97:$SJ97,'PCO Log'!$E$9:$SJ$9,'Graph Data'!AT$1,'PCO Log'!$E$7:$SJ$7,"Approved")</f>
        <v>0</v>
      </c>
      <c r="AU87" s="304">
        <f>SUMIFS('PCO Log'!$E97:$SJ97,'PCO Log'!$E$9:$SJ$9,'Graph Data'!AU$1,'PCO Log'!$E$7:$SJ$7,"Approved")</f>
        <v>0</v>
      </c>
      <c r="AV87" s="304">
        <f>SUMIFS('PCO Log'!$E97:$SJ97,'PCO Log'!$E$9:$SJ$9,'Graph Data'!AV$1,'PCO Log'!$E$7:$SJ$7,"Approved")</f>
        <v>0</v>
      </c>
      <c r="AW87" s="304">
        <f>SUMIFS('PCO Log'!$E97:$SJ97,'PCO Log'!$E$9:$SJ$9,'Graph Data'!AW$1,'PCO Log'!$E$7:$SJ$7,"Approved")</f>
        <v>0</v>
      </c>
      <c r="AX87" s="304">
        <f>SUMIFS('PCO Log'!$E97:$SJ97,'PCO Log'!$E$9:$SJ$9,'Graph Data'!AX$1,'PCO Log'!$E$7:$SJ$7,"Approved")</f>
        <v>0</v>
      </c>
      <c r="AY87" s="304">
        <f>SUMIFS('PCO Log'!$E97:$SJ97,'PCO Log'!$E$9:$SJ$9,'Graph Data'!AY$1,'PCO Log'!$E$7:$SJ$7,"Approved")</f>
        <v>0</v>
      </c>
      <c r="AZ87" s="304">
        <f>SUMIFS('PCO Log'!$E97:$SJ97,'PCO Log'!$E$9:$SJ$9,'Graph Data'!AZ$1,'PCO Log'!$E$7:$SJ$7,"Approved")</f>
        <v>0</v>
      </c>
      <c r="BA87" s="304">
        <f>SUMIFS('PCO Log'!$E97:$SJ97,'PCO Log'!$E$9:$SJ$9,'Graph Data'!BA$1,'PCO Log'!$E$7:$SJ$7,"Approved")</f>
        <v>0</v>
      </c>
      <c r="BB87" s="304">
        <f>SUMIFS('PCO Log'!$E97:$SJ97,'PCO Log'!$E$9:$SJ$9,'Graph Data'!BB$1,'PCO Log'!$E$7:$SJ$7,"Approved")</f>
        <v>0</v>
      </c>
      <c r="BC87" s="304">
        <f>SUMIFS('PCO Log'!$E97:$SJ97,'PCO Log'!$E$9:$SJ$9,'Graph Data'!BC$1,'PCO Log'!$E$7:$SJ$7,"Approved")</f>
        <v>0</v>
      </c>
      <c r="BD87" s="304">
        <f>SUMIFS('PCO Log'!$E97:$SJ97,'PCO Log'!$E$9:$SJ$9,'Graph Data'!BD$1,'PCO Log'!$E$7:$SJ$7,"Approved")</f>
        <v>0</v>
      </c>
      <c r="BE87" s="304">
        <f>SUMIFS('PCO Log'!$E97:$SJ97,'PCO Log'!$E$9:$SJ$9,'Graph Data'!BE$1,'PCO Log'!$E$7:$SJ$7,"Approved")</f>
        <v>0</v>
      </c>
      <c r="BF87" s="304">
        <f>SUMIFS('PCO Log'!$E97:$SJ97,'PCO Log'!$E$9:$SJ$9,'Graph Data'!BF$1,'PCO Log'!$E$7:$SJ$7,"Approved")</f>
        <v>0</v>
      </c>
      <c r="BG87" s="304">
        <f>SUMIFS('PCO Log'!$E97:$SJ97,'PCO Log'!$E$9:$SJ$9,'Graph Data'!BG$1,'PCO Log'!$E$7:$SJ$7,"Approved")</f>
        <v>0</v>
      </c>
      <c r="BH87" s="304">
        <f>SUMIFS('PCO Log'!$E97:$SJ97,'PCO Log'!$E$9:$SJ$9,'Graph Data'!BH$1,'PCO Log'!$E$7:$SJ$7,"Approved")</f>
        <v>0</v>
      </c>
      <c r="BI87" s="304">
        <f>SUMIFS('PCO Log'!$E97:$SJ97,'PCO Log'!$E$9:$SJ$9,'Graph Data'!BI$1,'PCO Log'!$E$7:$SJ$7,"Approved")</f>
        <v>0</v>
      </c>
      <c r="BJ87" s="304">
        <f>SUMIFS('PCO Log'!$E97:$SJ97,'PCO Log'!$E$9:$SJ$9,'Graph Data'!BJ$1,'PCO Log'!$E$7:$SJ$7,"Approved")</f>
        <v>0</v>
      </c>
      <c r="BK87" s="304">
        <f>SUMIFS('PCO Log'!$E97:$SJ97,'PCO Log'!$E$9:$SJ$9,'Graph Data'!BK$1,'PCO Log'!$E$7:$SJ$7,"Approved")</f>
        <v>0</v>
      </c>
      <c r="BL87" s="304">
        <f>SUMIFS('PCO Log'!$E97:$SJ97,'PCO Log'!$E$9:$SJ$9,'Graph Data'!BL$1,'PCO Log'!$E$7:$SJ$7,"Approved")</f>
        <v>0</v>
      </c>
      <c r="BM87" s="304">
        <f>SUMIFS('PCO Log'!$E97:$SJ97,'PCO Log'!$E$9:$SJ$9,'Graph Data'!BM$1,'PCO Log'!$E$7:$SJ$7,"Approved")</f>
        <v>0</v>
      </c>
      <c r="BN87" s="304">
        <f>SUMIFS('PCO Log'!$E97:$SJ97,'PCO Log'!$E$9:$SJ$9,'Graph Data'!BN$1,'PCO Log'!$E$7:$SJ$7,"Approved")</f>
        <v>0</v>
      </c>
      <c r="BO87" s="304">
        <f>SUMIFS('PCO Log'!$E97:$SJ97,'PCO Log'!$E$9:$SJ$9,'Graph Data'!BO$1,'PCO Log'!$E$7:$SJ$7,"Approved")</f>
        <v>0</v>
      </c>
      <c r="BP87" s="304">
        <f>SUMIFS('PCO Log'!$E97:$SJ97,'PCO Log'!$E$9:$SJ$9,'Graph Data'!BP$1,'PCO Log'!$E$7:$SJ$7,"Approved")</f>
        <v>0</v>
      </c>
      <c r="BQ87" s="304">
        <f>SUMIFS('PCO Log'!$E97:$SJ97,'PCO Log'!$E$9:$SJ$9,'Graph Data'!BQ$1,'PCO Log'!$E$7:$SJ$7,"Approved")</f>
        <v>0</v>
      </c>
      <c r="BR87" s="304">
        <f>SUMIFS('PCO Log'!$E97:$SJ97,'PCO Log'!$E$9:$SJ$9,'Graph Data'!BR$1,'PCO Log'!$E$7:$SJ$7,"Approved")</f>
        <v>0</v>
      </c>
      <c r="BS87" s="304">
        <f>SUMIFS('PCO Log'!$E97:$SJ97,'PCO Log'!$E$9:$SJ$9,'Graph Data'!BS$1,'PCO Log'!$E$7:$SJ$7,"Approved")</f>
        <v>0</v>
      </c>
      <c r="BT87" s="304">
        <f>SUMIFS('PCO Log'!$E97:$SJ97,'PCO Log'!$E$9:$SJ$9,'Graph Data'!BT$1,'PCO Log'!$E$7:$SJ$7,"Approved")</f>
        <v>0</v>
      </c>
      <c r="BU87" s="304">
        <f>SUMIFS('PCO Log'!$E97:$SJ97,'PCO Log'!$E$9:$SJ$9,'Graph Data'!BU$1,'PCO Log'!$E$7:$SJ$7,"Approved")</f>
        <v>0</v>
      </c>
      <c r="BV87" s="304">
        <f>SUMIFS('PCO Log'!$E97:$SJ97,'PCO Log'!$E$9:$SJ$9,'Graph Data'!BV$1,'PCO Log'!$E$7:$SJ$7,"Approved")</f>
        <v>0</v>
      </c>
      <c r="BW87" s="304">
        <f>SUMIFS('PCO Log'!$E97:$SJ97,'PCO Log'!$E$9:$SJ$9,'Graph Data'!BW$1,'PCO Log'!$E$7:$SJ$7,"Approved")</f>
        <v>0</v>
      </c>
      <c r="BX87" s="304">
        <f>SUMIFS('PCO Log'!$E97:$SJ97,'PCO Log'!$E$9:$SJ$9,'Graph Data'!BX$1,'PCO Log'!$E$7:$SJ$7,"Approved")</f>
        <v>0</v>
      </c>
    </row>
    <row r="88" spans="1:76" x14ac:dyDescent="0.25">
      <c r="A88" s="303" t="s">
        <v>428</v>
      </c>
      <c r="B88" s="303">
        <f>'PCO Log'!CM7</f>
        <v>0</v>
      </c>
      <c r="C88" s="303">
        <f>'PCO Log'!CM4</f>
        <v>0</v>
      </c>
      <c r="D88" s="303" cm="1">
        <f t="array" ref="D88">INDEX('PCO Log'!$E$5:$SJ$5, 1, ROWS('Graph Data'!$D$2:D88))</f>
        <v>0</v>
      </c>
      <c r="E88" s="303">
        <f>'PCO Log'!CM8</f>
        <v>0</v>
      </c>
      <c r="F88" s="303">
        <f>'PCO Log'!CM3</f>
        <v>0</v>
      </c>
      <c r="G88" s="304">
        <f>'PCO Log'!CM10</f>
        <v>0</v>
      </c>
      <c r="H88" s="305">
        <f>'PCO Log'!CM6</f>
        <v>0</v>
      </c>
      <c r="K88" s="303" t="s">
        <v>292</v>
      </c>
      <c r="L88" s="306">
        <v>24</v>
      </c>
      <c r="O88" s="303" t="str">
        <f>'Pay App 1'!B148</f>
        <v>60 00 40</v>
      </c>
      <c r="P88" s="303" t="str">
        <f>'Pay App 1'!C148</f>
        <v>Other - Please Specify</v>
      </c>
      <c r="Q88" s="304">
        <f>SUMIFS('PCO Log'!$E98:$SJ98,'PCO Log'!$E$9:$SJ$9,'Graph Data'!Q$1,'PCO Log'!$E$7:$SJ$7,"Approved")</f>
        <v>0</v>
      </c>
      <c r="R88" s="304">
        <f>SUMIFS('PCO Log'!$E98:$SJ98,'PCO Log'!$E$9:$SJ$9,'Graph Data'!R$1,'PCO Log'!$E$7:$SJ$7,"Approved")</f>
        <v>0</v>
      </c>
      <c r="S88" s="304">
        <f>SUMIFS('PCO Log'!$E98:$SJ98,'PCO Log'!$E$9:$SJ$9,'Graph Data'!S$1,'PCO Log'!$E$7:$SJ$7,"Approved")</f>
        <v>0</v>
      </c>
      <c r="T88" s="304">
        <f>SUMIFS('PCO Log'!$E98:$SJ98,'PCO Log'!$E$9:$SJ$9,'Graph Data'!T$1,'PCO Log'!$E$7:$SJ$7,"Approved")</f>
        <v>0</v>
      </c>
      <c r="U88" s="304">
        <f>SUMIFS('PCO Log'!$E98:$SJ98,'PCO Log'!$E$9:$SJ$9,'Graph Data'!U$1,'PCO Log'!$E$7:$SJ$7,"Approved")</f>
        <v>0</v>
      </c>
      <c r="V88" s="304">
        <f>SUMIFS('PCO Log'!$E98:$SJ98,'PCO Log'!$E$9:$SJ$9,'Graph Data'!V$1,'PCO Log'!$E$7:$SJ$7,"Approved")</f>
        <v>0</v>
      </c>
      <c r="W88" s="304">
        <f>SUMIFS('PCO Log'!$E98:$SJ98,'PCO Log'!$E$9:$SJ$9,'Graph Data'!W$1,'PCO Log'!$E$7:$SJ$7,"Approved")</f>
        <v>0</v>
      </c>
      <c r="X88" s="304">
        <f>SUMIFS('PCO Log'!$E98:$SJ98,'PCO Log'!$E$9:$SJ$9,'Graph Data'!X$1,'PCO Log'!$E$7:$SJ$7,"Approved")</f>
        <v>0</v>
      </c>
      <c r="Y88" s="304">
        <f>SUMIFS('PCO Log'!$E98:$SJ98,'PCO Log'!$E$9:$SJ$9,'Graph Data'!Y$1,'PCO Log'!$E$7:$SJ$7,"Approved")</f>
        <v>0</v>
      </c>
      <c r="Z88" s="304">
        <f>SUMIFS('PCO Log'!$E98:$SJ98,'PCO Log'!$E$9:$SJ$9,'Graph Data'!Z$1,'PCO Log'!$E$7:$SJ$7,"Approved")</f>
        <v>0</v>
      </c>
      <c r="AA88" s="304">
        <f>SUMIFS('PCO Log'!$E98:$SJ98,'PCO Log'!$E$9:$SJ$9,'Graph Data'!AA$1,'PCO Log'!$E$7:$SJ$7,"Approved")</f>
        <v>0</v>
      </c>
      <c r="AB88" s="304">
        <f>SUMIFS('PCO Log'!$E98:$SJ98,'PCO Log'!$E$9:$SJ$9,'Graph Data'!AB$1,'PCO Log'!$E$7:$SJ$7,"Approved")</f>
        <v>0</v>
      </c>
      <c r="AC88" s="304">
        <f>SUMIFS('PCO Log'!$E98:$SJ98,'PCO Log'!$E$9:$SJ$9,'Graph Data'!AC$1,'PCO Log'!$E$7:$SJ$7,"Approved")</f>
        <v>0</v>
      </c>
      <c r="AD88" s="304">
        <f>SUMIFS('PCO Log'!$E98:$SJ98,'PCO Log'!$E$9:$SJ$9,'Graph Data'!AD$1,'PCO Log'!$E$7:$SJ$7,"Approved")</f>
        <v>0</v>
      </c>
      <c r="AE88" s="304">
        <f>SUMIFS('PCO Log'!$E98:$SJ98,'PCO Log'!$E$9:$SJ$9,'Graph Data'!AE$1,'PCO Log'!$E$7:$SJ$7,"Approved")</f>
        <v>0</v>
      </c>
      <c r="AF88" s="304">
        <f>SUMIFS('PCO Log'!$E98:$SJ98,'PCO Log'!$E$9:$SJ$9,'Graph Data'!AF$1,'PCO Log'!$E$7:$SJ$7,"Approved")</f>
        <v>0</v>
      </c>
      <c r="AG88" s="304">
        <f>SUMIFS('PCO Log'!$E98:$SJ98,'PCO Log'!$E$9:$SJ$9,'Graph Data'!AG$1,'PCO Log'!$E$7:$SJ$7,"Approved")</f>
        <v>0</v>
      </c>
      <c r="AH88" s="304">
        <f>SUMIFS('PCO Log'!$E98:$SJ98,'PCO Log'!$E$9:$SJ$9,'Graph Data'!AH$1,'PCO Log'!$E$7:$SJ$7,"Approved")</f>
        <v>0</v>
      </c>
      <c r="AI88" s="304">
        <f>SUMIFS('PCO Log'!$E98:$SJ98,'PCO Log'!$E$9:$SJ$9,'Graph Data'!AI$1,'PCO Log'!$E$7:$SJ$7,"Approved")</f>
        <v>0</v>
      </c>
      <c r="AJ88" s="304">
        <f>SUMIFS('PCO Log'!$E98:$SJ98,'PCO Log'!$E$9:$SJ$9,'Graph Data'!AJ$1,'PCO Log'!$E$7:$SJ$7,"Approved")</f>
        <v>0</v>
      </c>
      <c r="AK88" s="304">
        <f>SUMIFS('PCO Log'!$E98:$SJ98,'PCO Log'!$E$9:$SJ$9,'Graph Data'!AK$1,'PCO Log'!$E$7:$SJ$7,"Approved")</f>
        <v>0</v>
      </c>
      <c r="AL88" s="304">
        <f>SUMIFS('PCO Log'!$E98:$SJ98,'PCO Log'!$E$9:$SJ$9,'Graph Data'!AL$1,'PCO Log'!$E$7:$SJ$7,"Approved")</f>
        <v>0</v>
      </c>
      <c r="AM88" s="304">
        <f>SUMIFS('PCO Log'!$E98:$SJ98,'PCO Log'!$E$9:$SJ$9,'Graph Data'!AM$1,'PCO Log'!$E$7:$SJ$7,"Approved")</f>
        <v>0</v>
      </c>
      <c r="AN88" s="304">
        <f>SUMIFS('PCO Log'!$E98:$SJ98,'PCO Log'!$E$9:$SJ$9,'Graph Data'!AN$1,'PCO Log'!$E$7:$SJ$7,"Approved")</f>
        <v>0</v>
      </c>
      <c r="AO88" s="304">
        <f>SUMIFS('PCO Log'!$E98:$SJ98,'PCO Log'!$E$9:$SJ$9,'Graph Data'!AO$1,'PCO Log'!$E$7:$SJ$7,"Approved")</f>
        <v>0</v>
      </c>
      <c r="AP88" s="304">
        <f>SUMIFS('PCO Log'!$E98:$SJ98,'PCO Log'!$E$9:$SJ$9,'Graph Data'!AP$1,'PCO Log'!$E$7:$SJ$7,"Approved")</f>
        <v>0</v>
      </c>
      <c r="AQ88" s="304">
        <f>SUMIFS('PCO Log'!$E98:$SJ98,'PCO Log'!$E$9:$SJ$9,'Graph Data'!AQ$1,'PCO Log'!$E$7:$SJ$7,"Approved")</f>
        <v>0</v>
      </c>
      <c r="AR88" s="304">
        <f>SUMIFS('PCO Log'!$E98:$SJ98,'PCO Log'!$E$9:$SJ$9,'Graph Data'!AR$1,'PCO Log'!$E$7:$SJ$7,"Approved")</f>
        <v>0</v>
      </c>
      <c r="AS88" s="304">
        <f>SUMIFS('PCO Log'!$E98:$SJ98,'PCO Log'!$E$9:$SJ$9,'Graph Data'!AS$1,'PCO Log'!$E$7:$SJ$7,"Approved")</f>
        <v>0</v>
      </c>
      <c r="AT88" s="304">
        <f>SUMIFS('PCO Log'!$E98:$SJ98,'PCO Log'!$E$9:$SJ$9,'Graph Data'!AT$1,'PCO Log'!$E$7:$SJ$7,"Approved")</f>
        <v>0</v>
      </c>
      <c r="AU88" s="304">
        <f>SUMIFS('PCO Log'!$E98:$SJ98,'PCO Log'!$E$9:$SJ$9,'Graph Data'!AU$1,'PCO Log'!$E$7:$SJ$7,"Approved")</f>
        <v>0</v>
      </c>
      <c r="AV88" s="304">
        <f>SUMIFS('PCO Log'!$E98:$SJ98,'PCO Log'!$E$9:$SJ$9,'Graph Data'!AV$1,'PCO Log'!$E$7:$SJ$7,"Approved")</f>
        <v>0</v>
      </c>
      <c r="AW88" s="304">
        <f>SUMIFS('PCO Log'!$E98:$SJ98,'PCO Log'!$E$9:$SJ$9,'Graph Data'!AW$1,'PCO Log'!$E$7:$SJ$7,"Approved")</f>
        <v>0</v>
      </c>
      <c r="AX88" s="304">
        <f>SUMIFS('PCO Log'!$E98:$SJ98,'PCO Log'!$E$9:$SJ$9,'Graph Data'!AX$1,'PCO Log'!$E$7:$SJ$7,"Approved")</f>
        <v>0</v>
      </c>
      <c r="AY88" s="304">
        <f>SUMIFS('PCO Log'!$E98:$SJ98,'PCO Log'!$E$9:$SJ$9,'Graph Data'!AY$1,'PCO Log'!$E$7:$SJ$7,"Approved")</f>
        <v>0</v>
      </c>
      <c r="AZ88" s="304">
        <f>SUMIFS('PCO Log'!$E98:$SJ98,'PCO Log'!$E$9:$SJ$9,'Graph Data'!AZ$1,'PCO Log'!$E$7:$SJ$7,"Approved")</f>
        <v>0</v>
      </c>
      <c r="BA88" s="304">
        <f>SUMIFS('PCO Log'!$E98:$SJ98,'PCO Log'!$E$9:$SJ$9,'Graph Data'!BA$1,'PCO Log'!$E$7:$SJ$7,"Approved")</f>
        <v>0</v>
      </c>
      <c r="BB88" s="304">
        <f>SUMIFS('PCO Log'!$E98:$SJ98,'PCO Log'!$E$9:$SJ$9,'Graph Data'!BB$1,'PCO Log'!$E$7:$SJ$7,"Approved")</f>
        <v>0</v>
      </c>
      <c r="BC88" s="304">
        <f>SUMIFS('PCO Log'!$E98:$SJ98,'PCO Log'!$E$9:$SJ$9,'Graph Data'!BC$1,'PCO Log'!$E$7:$SJ$7,"Approved")</f>
        <v>0</v>
      </c>
      <c r="BD88" s="304">
        <f>SUMIFS('PCO Log'!$E98:$SJ98,'PCO Log'!$E$9:$SJ$9,'Graph Data'!BD$1,'PCO Log'!$E$7:$SJ$7,"Approved")</f>
        <v>0</v>
      </c>
      <c r="BE88" s="304">
        <f>SUMIFS('PCO Log'!$E98:$SJ98,'PCO Log'!$E$9:$SJ$9,'Graph Data'!BE$1,'PCO Log'!$E$7:$SJ$7,"Approved")</f>
        <v>0</v>
      </c>
      <c r="BF88" s="304">
        <f>SUMIFS('PCO Log'!$E98:$SJ98,'PCO Log'!$E$9:$SJ$9,'Graph Data'!BF$1,'PCO Log'!$E$7:$SJ$7,"Approved")</f>
        <v>0</v>
      </c>
      <c r="BG88" s="304">
        <f>SUMIFS('PCO Log'!$E98:$SJ98,'PCO Log'!$E$9:$SJ$9,'Graph Data'!BG$1,'PCO Log'!$E$7:$SJ$7,"Approved")</f>
        <v>0</v>
      </c>
      <c r="BH88" s="304">
        <f>SUMIFS('PCO Log'!$E98:$SJ98,'PCO Log'!$E$9:$SJ$9,'Graph Data'!BH$1,'PCO Log'!$E$7:$SJ$7,"Approved")</f>
        <v>0</v>
      </c>
      <c r="BI88" s="304">
        <f>SUMIFS('PCO Log'!$E98:$SJ98,'PCO Log'!$E$9:$SJ$9,'Graph Data'!BI$1,'PCO Log'!$E$7:$SJ$7,"Approved")</f>
        <v>0</v>
      </c>
      <c r="BJ88" s="304">
        <f>SUMIFS('PCO Log'!$E98:$SJ98,'PCO Log'!$E$9:$SJ$9,'Graph Data'!BJ$1,'PCO Log'!$E$7:$SJ$7,"Approved")</f>
        <v>0</v>
      </c>
      <c r="BK88" s="304">
        <f>SUMIFS('PCO Log'!$E98:$SJ98,'PCO Log'!$E$9:$SJ$9,'Graph Data'!BK$1,'PCO Log'!$E$7:$SJ$7,"Approved")</f>
        <v>0</v>
      </c>
      <c r="BL88" s="304">
        <f>SUMIFS('PCO Log'!$E98:$SJ98,'PCO Log'!$E$9:$SJ$9,'Graph Data'!BL$1,'PCO Log'!$E$7:$SJ$7,"Approved")</f>
        <v>0</v>
      </c>
      <c r="BM88" s="304">
        <f>SUMIFS('PCO Log'!$E98:$SJ98,'PCO Log'!$E$9:$SJ$9,'Graph Data'!BM$1,'PCO Log'!$E$7:$SJ$7,"Approved")</f>
        <v>0</v>
      </c>
      <c r="BN88" s="304">
        <f>SUMIFS('PCO Log'!$E98:$SJ98,'PCO Log'!$E$9:$SJ$9,'Graph Data'!BN$1,'PCO Log'!$E$7:$SJ$7,"Approved")</f>
        <v>0</v>
      </c>
      <c r="BO88" s="304">
        <f>SUMIFS('PCO Log'!$E98:$SJ98,'PCO Log'!$E$9:$SJ$9,'Graph Data'!BO$1,'PCO Log'!$E$7:$SJ$7,"Approved")</f>
        <v>0</v>
      </c>
      <c r="BP88" s="304">
        <f>SUMIFS('PCO Log'!$E98:$SJ98,'PCO Log'!$E$9:$SJ$9,'Graph Data'!BP$1,'PCO Log'!$E$7:$SJ$7,"Approved")</f>
        <v>0</v>
      </c>
      <c r="BQ88" s="304">
        <f>SUMIFS('PCO Log'!$E98:$SJ98,'PCO Log'!$E$9:$SJ$9,'Graph Data'!BQ$1,'PCO Log'!$E$7:$SJ$7,"Approved")</f>
        <v>0</v>
      </c>
      <c r="BR88" s="304">
        <f>SUMIFS('PCO Log'!$E98:$SJ98,'PCO Log'!$E$9:$SJ$9,'Graph Data'!BR$1,'PCO Log'!$E$7:$SJ$7,"Approved")</f>
        <v>0</v>
      </c>
      <c r="BS88" s="304">
        <f>SUMIFS('PCO Log'!$E98:$SJ98,'PCO Log'!$E$9:$SJ$9,'Graph Data'!BS$1,'PCO Log'!$E$7:$SJ$7,"Approved")</f>
        <v>0</v>
      </c>
      <c r="BT88" s="304">
        <f>SUMIFS('PCO Log'!$E98:$SJ98,'PCO Log'!$E$9:$SJ$9,'Graph Data'!BT$1,'PCO Log'!$E$7:$SJ$7,"Approved")</f>
        <v>0</v>
      </c>
      <c r="BU88" s="304">
        <f>SUMIFS('PCO Log'!$E98:$SJ98,'PCO Log'!$E$9:$SJ$9,'Graph Data'!BU$1,'PCO Log'!$E$7:$SJ$7,"Approved")</f>
        <v>0</v>
      </c>
      <c r="BV88" s="304">
        <f>SUMIFS('PCO Log'!$E98:$SJ98,'PCO Log'!$E$9:$SJ$9,'Graph Data'!BV$1,'PCO Log'!$E$7:$SJ$7,"Approved")</f>
        <v>0</v>
      </c>
      <c r="BW88" s="304">
        <f>SUMIFS('PCO Log'!$E98:$SJ98,'PCO Log'!$E$9:$SJ$9,'Graph Data'!BW$1,'PCO Log'!$E$7:$SJ$7,"Approved")</f>
        <v>0</v>
      </c>
      <c r="BX88" s="304">
        <f>SUMIFS('PCO Log'!$E98:$SJ98,'PCO Log'!$E$9:$SJ$9,'Graph Data'!BX$1,'PCO Log'!$E$7:$SJ$7,"Approved")</f>
        <v>0</v>
      </c>
    </row>
    <row r="89" spans="1:76" x14ac:dyDescent="0.25">
      <c r="A89" s="303" t="s">
        <v>429</v>
      </c>
      <c r="B89" s="303">
        <f>'PCO Log'!CN7</f>
        <v>0</v>
      </c>
      <c r="C89" s="303">
        <f>'PCO Log'!CN4</f>
        <v>0</v>
      </c>
      <c r="D89" s="303" cm="1">
        <f t="array" ref="D89">INDEX('PCO Log'!$E$5:$SJ$5, 1, ROWS('Graph Data'!$D$2:D89))</f>
        <v>0</v>
      </c>
      <c r="E89" s="303">
        <f>'PCO Log'!CN8</f>
        <v>0</v>
      </c>
      <c r="F89" s="303">
        <f>'PCO Log'!CN3</f>
        <v>0</v>
      </c>
      <c r="G89" s="304">
        <f>'PCO Log'!CN10</f>
        <v>0</v>
      </c>
      <c r="H89" s="305">
        <f>'PCO Log'!CN6</f>
        <v>0</v>
      </c>
      <c r="K89" s="303" t="s">
        <v>293</v>
      </c>
      <c r="L89" s="306">
        <v>25</v>
      </c>
      <c r="Q89" s="304"/>
      <c r="R89" s="304"/>
      <c r="S89" s="304"/>
      <c r="T89" s="304"/>
      <c r="U89" s="304"/>
      <c r="V89" s="304"/>
      <c r="W89" s="304"/>
      <c r="X89" s="304"/>
      <c r="Y89" s="304"/>
      <c r="Z89" s="304"/>
      <c r="AA89" s="304"/>
      <c r="AB89" s="304"/>
      <c r="AC89" s="304"/>
      <c r="AD89" s="304"/>
      <c r="AE89" s="304"/>
      <c r="AF89" s="304"/>
      <c r="AG89" s="304"/>
      <c r="AH89" s="304"/>
      <c r="AI89" s="304"/>
      <c r="AJ89" s="304"/>
      <c r="AK89" s="304"/>
      <c r="AL89" s="304"/>
      <c r="AM89" s="304"/>
      <c r="AN89" s="304"/>
      <c r="AO89" s="304"/>
      <c r="AP89" s="304"/>
      <c r="AQ89" s="304"/>
      <c r="AR89" s="304"/>
      <c r="AS89" s="304"/>
      <c r="AT89" s="304"/>
      <c r="AU89" s="304"/>
      <c r="AV89" s="304"/>
      <c r="AW89" s="304"/>
      <c r="AX89" s="304"/>
      <c r="AY89" s="304"/>
      <c r="AZ89" s="304"/>
      <c r="BA89" s="304"/>
      <c r="BB89" s="304"/>
      <c r="BC89" s="304"/>
      <c r="BD89" s="304"/>
      <c r="BE89" s="304"/>
      <c r="BF89" s="304"/>
      <c r="BG89" s="304"/>
      <c r="BH89" s="304"/>
      <c r="BI89" s="304"/>
      <c r="BJ89" s="304"/>
      <c r="BK89" s="304"/>
      <c r="BL89" s="304"/>
      <c r="BM89" s="304"/>
      <c r="BN89" s="304"/>
      <c r="BO89" s="304"/>
      <c r="BP89" s="304"/>
      <c r="BQ89" s="304"/>
      <c r="BR89" s="304"/>
      <c r="BS89" s="304"/>
      <c r="BT89" s="304"/>
      <c r="BU89" s="304"/>
      <c r="BV89" s="304"/>
      <c r="BW89" s="304"/>
      <c r="BX89" s="304"/>
    </row>
    <row r="90" spans="1:76" x14ac:dyDescent="0.25">
      <c r="A90" s="303" t="s">
        <v>430</v>
      </c>
      <c r="B90" s="303">
        <f>'PCO Log'!CO7</f>
        <v>0</v>
      </c>
      <c r="C90" s="303">
        <f>'PCO Log'!CO4</f>
        <v>0</v>
      </c>
      <c r="D90" s="303" cm="1">
        <f t="array" ref="D90">INDEX('PCO Log'!$E$5:$SJ$5, 1, ROWS('Graph Data'!$D$2:D90))</f>
        <v>0</v>
      </c>
      <c r="E90" s="303">
        <f>'PCO Log'!CO8</f>
        <v>0</v>
      </c>
      <c r="F90" s="303">
        <f>'PCO Log'!CO3</f>
        <v>0</v>
      </c>
      <c r="G90" s="304">
        <f>'PCO Log'!CO10</f>
        <v>0</v>
      </c>
      <c r="H90" s="305">
        <f>'PCO Log'!CO6</f>
        <v>0</v>
      </c>
      <c r="K90" s="303" t="s">
        <v>294</v>
      </c>
      <c r="L90" s="306">
        <v>26</v>
      </c>
    </row>
    <row r="91" spans="1:76" x14ac:dyDescent="0.25">
      <c r="A91" s="303" t="s">
        <v>431</v>
      </c>
      <c r="B91" s="303">
        <f>'PCO Log'!CP7</f>
        <v>0</v>
      </c>
      <c r="C91" s="303">
        <f>'PCO Log'!CP4</f>
        <v>0</v>
      </c>
      <c r="D91" s="303" cm="1">
        <f t="array" ref="D91">INDEX('PCO Log'!$E$5:$SJ$5, 1, ROWS('Graph Data'!$D$2:D91))</f>
        <v>0</v>
      </c>
      <c r="E91" s="303">
        <f>'PCO Log'!CP8</f>
        <v>0</v>
      </c>
      <c r="F91" s="303">
        <f>'PCO Log'!CP3</f>
        <v>0</v>
      </c>
      <c r="G91" s="304">
        <f>'PCO Log'!CP10</f>
        <v>0</v>
      </c>
      <c r="H91" s="305">
        <f>'PCO Log'!CP6</f>
        <v>0</v>
      </c>
      <c r="K91" s="303" t="s">
        <v>295</v>
      </c>
      <c r="L91" s="306">
        <v>27</v>
      </c>
    </row>
    <row r="92" spans="1:76" x14ac:dyDescent="0.25">
      <c r="A92" s="303" t="s">
        <v>432</v>
      </c>
      <c r="B92" s="303">
        <f>'PCO Log'!CQ7</f>
        <v>0</v>
      </c>
      <c r="C92" s="303">
        <f>'PCO Log'!CQ4</f>
        <v>0</v>
      </c>
      <c r="D92" s="303" cm="1">
        <f t="array" ref="D92">INDEX('PCO Log'!$E$5:$SJ$5, 1, ROWS('Graph Data'!$D$2:D92))</f>
        <v>0</v>
      </c>
      <c r="E92" s="303">
        <f>'PCO Log'!CQ8</f>
        <v>0</v>
      </c>
      <c r="F92" s="303">
        <f>'PCO Log'!CQ3</f>
        <v>0</v>
      </c>
      <c r="G92" s="304">
        <f>'PCO Log'!CQ10</f>
        <v>0</v>
      </c>
      <c r="H92" s="305">
        <f>'PCO Log'!CQ6</f>
        <v>0</v>
      </c>
      <c r="K92" s="303" t="s">
        <v>296</v>
      </c>
      <c r="L92" s="306">
        <v>28</v>
      </c>
      <c r="P92" s="301" t="s">
        <v>918</v>
      </c>
    </row>
    <row r="93" spans="1:76" x14ac:dyDescent="0.25">
      <c r="A93" s="303" t="s">
        <v>433</v>
      </c>
      <c r="B93" s="303">
        <f>'PCO Log'!CR7</f>
        <v>0</v>
      </c>
      <c r="C93" s="303">
        <f>'PCO Log'!CR4</f>
        <v>0</v>
      </c>
      <c r="D93" s="303" cm="1">
        <f t="array" ref="D93">INDEX('PCO Log'!$E$5:$SJ$5, 1, ROWS('Graph Data'!$D$2:D93))</f>
        <v>0</v>
      </c>
      <c r="E93" s="303">
        <f>'PCO Log'!CR8</f>
        <v>0</v>
      </c>
      <c r="F93" s="303">
        <f>'PCO Log'!CR3</f>
        <v>0</v>
      </c>
      <c r="G93" s="304">
        <f>'PCO Log'!CR10</f>
        <v>0</v>
      </c>
      <c r="H93" s="305">
        <f>'PCO Log'!CR6</f>
        <v>0</v>
      </c>
      <c r="K93" s="303" t="s">
        <v>297</v>
      </c>
      <c r="L93" s="306">
        <v>29</v>
      </c>
      <c r="Q93" s="301" t="s">
        <v>888</v>
      </c>
      <c r="R93" s="301" t="s">
        <v>889</v>
      </c>
      <c r="S93" s="301" t="s">
        <v>942</v>
      </c>
      <c r="T93" s="301" t="s">
        <v>948</v>
      </c>
      <c r="U93" s="301" t="s">
        <v>890</v>
      </c>
    </row>
    <row r="94" spans="1:76" x14ac:dyDescent="0.25">
      <c r="A94" s="303" t="s">
        <v>434</v>
      </c>
      <c r="B94" s="303">
        <f>'PCO Log'!CS7</f>
        <v>0</v>
      </c>
      <c r="C94" s="303">
        <f>'PCO Log'!CS4</f>
        <v>0</v>
      </c>
      <c r="D94" s="303" cm="1">
        <f t="array" ref="D94">INDEX('PCO Log'!$E$5:$SJ$5, 1, ROWS('Graph Data'!$D$2:D94))</f>
        <v>0</v>
      </c>
      <c r="E94" s="303">
        <f>'PCO Log'!CS8</f>
        <v>0</v>
      </c>
      <c r="F94" s="303">
        <f>'PCO Log'!CS3</f>
        <v>0</v>
      </c>
      <c r="G94" s="304">
        <f>'PCO Log'!CS10</f>
        <v>0</v>
      </c>
      <c r="H94" s="305">
        <f>'PCO Log'!CS6</f>
        <v>0</v>
      </c>
      <c r="K94" s="303" t="s">
        <v>298</v>
      </c>
      <c r="L94" s="306">
        <v>30</v>
      </c>
      <c r="P94" s="303" t="str">
        <f>'Pay App 1'!C57</f>
        <v>Design Fee (if design build)</v>
      </c>
      <c r="Q94" s="304">
        <f>SUMIFS('PCO Log'!$E12:$SJ12,'PCO Log'!$E$4:$SJ$4,"AE ERROR"&amp;"*",'PCO Log'!$E$7:$SJ$7,"Approved")</f>
        <v>0</v>
      </c>
      <c r="R94" s="304">
        <f>SUMIFS('PCO Log'!$E12:$SJ12,'PCO Log'!$E$4:$SJ$4,"AE OMISS"&amp;"*",'PCO Log'!$E$7:$SJ$7,"Approved")</f>
        <v>0</v>
      </c>
      <c r="S94" s="304">
        <f>SUMIFS('PCO Log'!$E12:$SJ12,'PCO Log'!$E$4:$SJ$4,"SCOPE",'PCO Log'!$E$7:$SJ$7,"Approved")</f>
        <v>0</v>
      </c>
      <c r="T94" s="304">
        <f>SUMIFS('PCO Log'!$E12:$SJ12,'PCO Log'!$E$4:$SJ$4,"CONTINGENCY",'PCO Log'!$E$7:$SJ$7,"Approved")</f>
        <v>0</v>
      </c>
      <c r="U94" s="304">
        <f>SUMIFS('PCO Log'!$E12:$SJ12,'PCO Log'!$E$4:$SJ$4,"UNKN"&amp;"*",'PCO Log'!$E$7:$SJ$7,"Approved")</f>
        <v>0</v>
      </c>
    </row>
    <row r="95" spans="1:76" x14ac:dyDescent="0.25">
      <c r="A95" s="303" t="s">
        <v>435</v>
      </c>
      <c r="B95" s="303">
        <f>'PCO Log'!CT7</f>
        <v>0</v>
      </c>
      <c r="C95" s="303">
        <f>'PCO Log'!CT4</f>
        <v>0</v>
      </c>
      <c r="D95" s="303" cm="1">
        <f t="array" ref="D95">INDEX('PCO Log'!$E$5:$SJ$5, 1, ROWS('Graph Data'!$D$2:D95))</f>
        <v>0</v>
      </c>
      <c r="E95" s="303">
        <f>'PCO Log'!CT8</f>
        <v>0</v>
      </c>
      <c r="F95" s="303">
        <f>'PCO Log'!CT3</f>
        <v>0</v>
      </c>
      <c r="G95" s="304">
        <f>'PCO Log'!CT10</f>
        <v>0</v>
      </c>
      <c r="H95" s="305">
        <f>'PCO Log'!CT6</f>
        <v>0</v>
      </c>
      <c r="K95" s="303" t="s">
        <v>299</v>
      </c>
      <c r="L95" s="306">
        <v>31</v>
      </c>
      <c r="P95" s="303" t="str">
        <f>'Pay App 1'!C58</f>
        <v>Preconstruction Services</v>
      </c>
      <c r="Q95" s="304">
        <f>SUMIFS('PCO Log'!$E13:$SJ13,'PCO Log'!$E$4:$SJ$4,"AE ERROR"&amp;"*",'PCO Log'!$E$7:$SJ$7,"Approved")</f>
        <v>0</v>
      </c>
      <c r="R95" s="304">
        <f>SUMIFS('PCO Log'!$E13:$SJ13,'PCO Log'!$E$4:$SJ$4,"AE OMISS"&amp;"*",'PCO Log'!$E$7:$SJ$7,"Approved")</f>
        <v>0</v>
      </c>
      <c r="S95" s="304">
        <f>SUMIFS('PCO Log'!$E13:$SJ13,'PCO Log'!$E$4:$SJ$4,"SCOPE",'PCO Log'!$E$7:$SJ$7,"Approved")</f>
        <v>0</v>
      </c>
      <c r="T95" s="304">
        <f>SUMIFS('PCO Log'!$E13:$SJ13,'PCO Log'!$E$4:$SJ$4,"CONTINGENCY",'PCO Log'!$E$7:$SJ$7,"Approved")</f>
        <v>0</v>
      </c>
      <c r="U95" s="304">
        <f>SUMIFS('PCO Log'!$E13:$SJ13,'PCO Log'!$E$4:$SJ$4,"UNKN"&amp;"*",'PCO Log'!$E$7:$SJ$7,"Approved")</f>
        <v>0</v>
      </c>
    </row>
    <row r="96" spans="1:76" x14ac:dyDescent="0.25">
      <c r="A96" s="303" t="s">
        <v>436</v>
      </c>
      <c r="B96" s="303">
        <f>'PCO Log'!CU7</f>
        <v>0</v>
      </c>
      <c r="C96" s="303">
        <f>'PCO Log'!CU4</f>
        <v>0</v>
      </c>
      <c r="D96" s="303" cm="1">
        <f t="array" ref="D96">INDEX('PCO Log'!$E$5:$SJ$5, 1, ROWS('Graph Data'!$D$2:D96))</f>
        <v>0</v>
      </c>
      <c r="E96" s="303">
        <f>'PCO Log'!CU8</f>
        <v>0</v>
      </c>
      <c r="F96" s="303">
        <f>'PCO Log'!CU3</f>
        <v>0</v>
      </c>
      <c r="G96" s="304">
        <f>'PCO Log'!CU10</f>
        <v>0</v>
      </c>
      <c r="H96" s="305">
        <f>'PCO Log'!CU6</f>
        <v>0</v>
      </c>
      <c r="K96" s="303" t="s">
        <v>300</v>
      </c>
      <c r="L96" s="306">
        <v>32</v>
      </c>
      <c r="P96" s="303" t="str">
        <f>'Pay App 1'!C59</f>
        <v>General Conditions/Requirements</v>
      </c>
      <c r="Q96" s="304">
        <f>SUMIFS('PCO Log'!$E14:$SJ14,'PCO Log'!$E$4:$SJ$4,"AE ERROR"&amp;"*",'PCO Log'!$E$7:$SJ$7,"Approved")</f>
        <v>0</v>
      </c>
      <c r="R96" s="304">
        <f>SUMIFS('PCO Log'!$E14:$SJ14,'PCO Log'!$E$4:$SJ$4,"AE OMISS"&amp;"*",'PCO Log'!$E$7:$SJ$7,"Approved")</f>
        <v>0</v>
      </c>
      <c r="S96" s="304">
        <f>SUMIFS('PCO Log'!$E14:$SJ14,'PCO Log'!$E$4:$SJ$4,"SCOPE",'PCO Log'!$E$7:$SJ$7,"Approved")</f>
        <v>0</v>
      </c>
      <c r="T96" s="304">
        <f>SUMIFS('PCO Log'!$E14:$SJ14,'PCO Log'!$E$4:$SJ$4,"CONTINGENCY",'PCO Log'!$E$7:$SJ$7,"Approved")</f>
        <v>0</v>
      </c>
      <c r="U96" s="304">
        <f>SUMIFS('PCO Log'!$E14:$SJ14,'PCO Log'!$E$4:$SJ$4,"UNKN"&amp;"*",'PCO Log'!$E$7:$SJ$7,"Approved")</f>
        <v>0</v>
      </c>
    </row>
    <row r="97" spans="1:21" x14ac:dyDescent="0.25">
      <c r="A97" s="303" t="s">
        <v>437</v>
      </c>
      <c r="B97" s="303">
        <f>'PCO Log'!CV7</f>
        <v>0</v>
      </c>
      <c r="C97" s="303">
        <f>'PCO Log'!CV4</f>
        <v>0</v>
      </c>
      <c r="D97" s="303" cm="1">
        <f t="array" ref="D97">INDEX('PCO Log'!$E$5:$SJ$5, 1, ROWS('Graph Data'!$D$2:D97))</f>
        <v>0</v>
      </c>
      <c r="E97" s="303">
        <f>'PCO Log'!CV8</f>
        <v>0</v>
      </c>
      <c r="F97" s="303">
        <f>'PCO Log'!CV3</f>
        <v>0</v>
      </c>
      <c r="G97" s="304">
        <f>'PCO Log'!CV10</f>
        <v>0</v>
      </c>
      <c r="H97" s="305">
        <f>'PCO Log'!CV6</f>
        <v>0</v>
      </c>
      <c r="K97" s="303" t="s">
        <v>301</v>
      </c>
      <c r="L97" s="306">
        <v>33</v>
      </c>
      <c r="P97" s="303" t="str">
        <f>'Pay App 1'!C60</f>
        <v>Temp. Scaffolding and Platforms</v>
      </c>
      <c r="Q97" s="304">
        <f>SUMIFS('PCO Log'!$E15:$SJ15,'PCO Log'!$E$4:$SJ$4,"AE ERROR"&amp;"*",'PCO Log'!$E$7:$SJ$7,"Approved")</f>
        <v>0</v>
      </c>
      <c r="R97" s="304">
        <f>SUMIFS('PCO Log'!$E15:$SJ15,'PCO Log'!$E$4:$SJ$4,"AE OMISS"&amp;"*",'PCO Log'!$E$7:$SJ$7,"Approved")</f>
        <v>0</v>
      </c>
      <c r="S97" s="304">
        <f>SUMIFS('PCO Log'!$E15:$SJ15,'PCO Log'!$E$4:$SJ$4,"SCOPE",'PCO Log'!$E$7:$SJ$7,"Approved")</f>
        <v>0</v>
      </c>
      <c r="T97" s="304">
        <f>SUMIFS('PCO Log'!$E15:$SJ15,'PCO Log'!$E$4:$SJ$4,"CONTINGENCY",'PCO Log'!$E$7:$SJ$7,"Approved")</f>
        <v>0</v>
      </c>
      <c r="U97" s="304">
        <f>SUMIFS('PCO Log'!$E15:$SJ15,'PCO Log'!$E$4:$SJ$4,"UNKN"&amp;"*",'PCO Log'!$E$7:$SJ$7,"Approved")</f>
        <v>0</v>
      </c>
    </row>
    <row r="98" spans="1:21" x14ac:dyDescent="0.25">
      <c r="A98" s="303" t="s">
        <v>438</v>
      </c>
      <c r="B98" s="303">
        <f>'PCO Log'!CW7</f>
        <v>0</v>
      </c>
      <c r="C98" s="303">
        <f>'PCO Log'!CW4</f>
        <v>0</v>
      </c>
      <c r="D98" s="303" cm="1">
        <f t="array" ref="D98">INDEX('PCO Log'!$E$5:$SJ$5, 1, ROWS('Graph Data'!$D$2:D98))</f>
        <v>0</v>
      </c>
      <c r="E98" s="303">
        <f>'PCO Log'!CW8</f>
        <v>0</v>
      </c>
      <c r="F98" s="303">
        <f>'PCO Log'!CW3</f>
        <v>0</v>
      </c>
      <c r="G98" s="304">
        <f>'PCO Log'!CW10</f>
        <v>0</v>
      </c>
      <c r="H98" s="305">
        <f>'PCO Log'!CW6</f>
        <v>0</v>
      </c>
      <c r="K98" s="303" t="s">
        <v>302</v>
      </c>
      <c r="L98" s="306">
        <v>34</v>
      </c>
      <c r="P98" s="303" t="str">
        <f>'Pay App 1'!C61</f>
        <v>SWPPP</v>
      </c>
      <c r="Q98" s="304">
        <f>SUMIFS('PCO Log'!$E16:$SJ16,'PCO Log'!$E$4:$SJ$4,"AE ERROR"&amp;"*",'PCO Log'!$E$7:$SJ$7,"Approved")</f>
        <v>0</v>
      </c>
      <c r="R98" s="304">
        <f>SUMIFS('PCO Log'!$E16:$SJ16,'PCO Log'!$E$4:$SJ$4,"AE OMISS"&amp;"*",'PCO Log'!$E$7:$SJ$7,"Approved")</f>
        <v>0</v>
      </c>
      <c r="S98" s="304">
        <f>SUMIFS('PCO Log'!$E16:$SJ16,'PCO Log'!$E$4:$SJ$4,"SCOPE",'PCO Log'!$E$7:$SJ$7,"Approved")</f>
        <v>0</v>
      </c>
      <c r="T98" s="304">
        <f>SUMIFS('PCO Log'!$E16:$SJ16,'PCO Log'!$E$4:$SJ$4,"CONTINGENCY",'PCO Log'!$E$7:$SJ$7,"Approved")</f>
        <v>0</v>
      </c>
      <c r="U98" s="304">
        <f>SUMIFS('PCO Log'!$E16:$SJ16,'PCO Log'!$E$4:$SJ$4,"UNKN"&amp;"*",'PCO Log'!$E$7:$SJ$7,"Approved")</f>
        <v>0</v>
      </c>
    </row>
    <row r="99" spans="1:21" x14ac:dyDescent="0.25">
      <c r="A99" s="303" t="s">
        <v>439</v>
      </c>
      <c r="B99" s="303">
        <f>'PCO Log'!CX7</f>
        <v>0</v>
      </c>
      <c r="C99" s="303">
        <f>'PCO Log'!CX4</f>
        <v>0</v>
      </c>
      <c r="D99" s="303" cm="1">
        <f t="array" ref="D99">INDEX('PCO Log'!$E$5:$SJ$5, 1, ROWS('Graph Data'!$D$2:D99))</f>
        <v>0</v>
      </c>
      <c r="E99" s="303">
        <f>'PCO Log'!CX8</f>
        <v>0</v>
      </c>
      <c r="F99" s="303">
        <f>'PCO Log'!CX3</f>
        <v>0</v>
      </c>
      <c r="G99" s="304">
        <f>'PCO Log'!CX10</f>
        <v>0</v>
      </c>
      <c r="H99" s="305">
        <f>'PCO Log'!CX6</f>
        <v>0</v>
      </c>
      <c r="K99" s="303" t="s">
        <v>303</v>
      </c>
      <c r="L99" s="306">
        <v>35</v>
      </c>
      <c r="P99" s="303" t="str">
        <f>'Pay App 1'!C62</f>
        <v>Construction Cranes and Hoists</v>
      </c>
      <c r="Q99" s="304">
        <f>SUMIFS('PCO Log'!$E17:$SJ17,'PCO Log'!$E$4:$SJ$4,"AE ERROR"&amp;"*",'PCO Log'!$E$7:$SJ$7,"Approved")</f>
        <v>0</v>
      </c>
      <c r="R99" s="304">
        <f>SUMIFS('PCO Log'!$E17:$SJ17,'PCO Log'!$E$4:$SJ$4,"AE OMISS"&amp;"*",'PCO Log'!$E$7:$SJ$7,"Approved")</f>
        <v>0</v>
      </c>
      <c r="S99" s="304">
        <f>SUMIFS('PCO Log'!$E17:$SJ17,'PCO Log'!$E$4:$SJ$4,"SCOPE",'PCO Log'!$E$7:$SJ$7,"Approved")</f>
        <v>0</v>
      </c>
      <c r="T99" s="304">
        <f>SUMIFS('PCO Log'!$E17:$SJ17,'PCO Log'!$E$4:$SJ$4,"CONTINGENCY",'PCO Log'!$E$7:$SJ$7,"Approved")</f>
        <v>0</v>
      </c>
      <c r="U99" s="304">
        <f>SUMIFS('PCO Log'!$E17:$SJ17,'PCO Log'!$E$4:$SJ$4,"UNKN"&amp;"*",'PCO Log'!$E$7:$SJ$7,"Approved")</f>
        <v>0</v>
      </c>
    </row>
    <row r="100" spans="1:21" x14ac:dyDescent="0.25">
      <c r="A100" s="303" t="s">
        <v>440</v>
      </c>
      <c r="B100" s="303">
        <f>'PCO Log'!CY7</f>
        <v>0</v>
      </c>
      <c r="C100" s="303">
        <f>'PCO Log'!CY4</f>
        <v>0</v>
      </c>
      <c r="D100" s="303" cm="1">
        <f t="array" ref="D100">INDEX('PCO Log'!$E$5:$SJ$5, 1, ROWS('Graph Data'!$D$2:D100))</f>
        <v>0</v>
      </c>
      <c r="E100" s="303">
        <f>'PCO Log'!CY8</f>
        <v>0</v>
      </c>
      <c r="F100" s="303">
        <f>'PCO Log'!CY3</f>
        <v>0</v>
      </c>
      <c r="G100" s="304">
        <f>'PCO Log'!CY10</f>
        <v>0</v>
      </c>
      <c r="H100" s="305">
        <f>'PCO Log'!CY6</f>
        <v>0</v>
      </c>
      <c r="K100" s="303" t="s">
        <v>304</v>
      </c>
      <c r="L100" s="306">
        <v>36</v>
      </c>
      <c r="P100" s="303" t="str">
        <f>'Pay App 1'!C63</f>
        <v>Contractor's Supervision</v>
      </c>
      <c r="Q100" s="304">
        <f>SUMIFS('PCO Log'!$E18:$SJ18,'PCO Log'!$E$4:$SJ$4,"AE ERROR"&amp;"*",'PCO Log'!$E$7:$SJ$7,"Approved")</f>
        <v>0</v>
      </c>
      <c r="R100" s="304">
        <f>SUMIFS('PCO Log'!$E18:$SJ18,'PCO Log'!$E$4:$SJ$4,"AE OMISS"&amp;"*",'PCO Log'!$E$7:$SJ$7,"Approved")</f>
        <v>0</v>
      </c>
      <c r="S100" s="304">
        <f>SUMIFS('PCO Log'!$E18:$SJ18,'PCO Log'!$E$4:$SJ$4,"SCOPE",'PCO Log'!$E$7:$SJ$7,"Approved")</f>
        <v>0</v>
      </c>
      <c r="T100" s="304">
        <f>SUMIFS('PCO Log'!$E18:$SJ18,'PCO Log'!$E$4:$SJ$4,"CONTINGENCY",'PCO Log'!$E$7:$SJ$7,"Approved")</f>
        <v>0</v>
      </c>
      <c r="U100" s="304">
        <f>SUMIFS('PCO Log'!$E18:$SJ18,'PCO Log'!$E$4:$SJ$4,"UNKN"&amp;"*",'PCO Log'!$E$7:$SJ$7,"Approved")</f>
        <v>0</v>
      </c>
    </row>
    <row r="101" spans="1:21" x14ac:dyDescent="0.25">
      <c r="A101" s="303" t="s">
        <v>441</v>
      </c>
      <c r="B101" s="303">
        <f>'PCO Log'!CZ7</f>
        <v>0</v>
      </c>
      <c r="C101" s="303">
        <f>'PCO Log'!CZ4</f>
        <v>0</v>
      </c>
      <c r="D101" s="303" cm="1">
        <f t="array" ref="D101">INDEX('PCO Log'!$E$5:$SJ$5, 1, ROWS('Graph Data'!$D$2:D101))</f>
        <v>0</v>
      </c>
      <c r="E101" s="303">
        <f>'PCO Log'!CZ8</f>
        <v>0</v>
      </c>
      <c r="F101" s="303">
        <f>'PCO Log'!CZ3</f>
        <v>0</v>
      </c>
      <c r="G101" s="304">
        <f>'PCO Log'!CZ10</f>
        <v>0</v>
      </c>
      <c r="H101" s="305">
        <f>'PCO Log'!CZ6</f>
        <v>0</v>
      </c>
      <c r="K101" s="303" t="s">
        <v>305</v>
      </c>
      <c r="L101" s="306">
        <v>37</v>
      </c>
      <c r="P101" s="303" t="str">
        <f>'Pay App 1'!C64</f>
        <v>General Liability Insurance</v>
      </c>
      <c r="Q101" s="304">
        <f>SUMIFS('PCO Log'!$E19:$SJ19,'PCO Log'!$E$4:$SJ$4,"AE ERROR"&amp;"*",'PCO Log'!$E$7:$SJ$7,"Approved")</f>
        <v>0</v>
      </c>
      <c r="R101" s="304">
        <f>SUMIFS('PCO Log'!$E19:$SJ19,'PCO Log'!$E$4:$SJ$4,"AE OMISS"&amp;"*",'PCO Log'!$E$7:$SJ$7,"Approved")</f>
        <v>0</v>
      </c>
      <c r="S101" s="304">
        <f>SUMIFS('PCO Log'!$E19:$SJ19,'PCO Log'!$E$4:$SJ$4,"SCOPE",'PCO Log'!$E$7:$SJ$7,"Approved")</f>
        <v>0</v>
      </c>
      <c r="T101" s="304">
        <f>SUMIFS('PCO Log'!$E19:$SJ19,'PCO Log'!$E$4:$SJ$4,"CONTINGENCY",'PCO Log'!$E$7:$SJ$7,"Approved")</f>
        <v>0</v>
      </c>
      <c r="U101" s="304">
        <f>SUMIFS('PCO Log'!$E19:$SJ19,'PCO Log'!$E$4:$SJ$4,"UNKN"&amp;"*",'PCO Log'!$E$7:$SJ$7,"Approved")</f>
        <v>0</v>
      </c>
    </row>
    <row r="102" spans="1:21" x14ac:dyDescent="0.25">
      <c r="A102" s="303" t="s">
        <v>452</v>
      </c>
      <c r="B102" s="303">
        <f>'PCO Log'!DA7</f>
        <v>0</v>
      </c>
      <c r="C102" s="303">
        <f>'PCO Log'!DA4</f>
        <v>0</v>
      </c>
      <c r="D102" s="303" cm="1">
        <f t="array" ref="D102">INDEX('PCO Log'!$E$5:$SJ$5, 1, ROWS('Graph Data'!$D$2:D102))</f>
        <v>0</v>
      </c>
      <c r="E102" s="303">
        <f>'PCO Log'!DA8</f>
        <v>0</v>
      </c>
      <c r="F102" s="303">
        <f>'PCO Log'!DA3</f>
        <v>0</v>
      </c>
      <c r="G102" s="304">
        <f>'PCO Log'!DA10</f>
        <v>0</v>
      </c>
      <c r="H102" s="305">
        <f>'PCO Log'!DA6</f>
        <v>0</v>
      </c>
      <c r="K102" s="303" t="s">
        <v>306</v>
      </c>
      <c r="L102" s="306">
        <v>38</v>
      </c>
      <c r="P102" s="303" t="str">
        <f>'Pay App 1'!C65</f>
        <v xml:space="preserve">Performance &amp; Payment Bond  </v>
      </c>
      <c r="Q102" s="304">
        <f>SUMIFS('PCO Log'!$E20:$SJ20,'PCO Log'!$E$4:$SJ$4,"AE ERROR"&amp;"*",'PCO Log'!$E$7:$SJ$7,"Approved")</f>
        <v>0</v>
      </c>
      <c r="R102" s="304">
        <f>SUMIFS('PCO Log'!$E20:$SJ20,'PCO Log'!$E$4:$SJ$4,"AE OMISS"&amp;"*",'PCO Log'!$E$7:$SJ$7,"Approved")</f>
        <v>0</v>
      </c>
      <c r="S102" s="304">
        <f>SUMIFS('PCO Log'!$E20:$SJ20,'PCO Log'!$E$4:$SJ$4,"SCOPE",'PCO Log'!$E$7:$SJ$7,"Approved")</f>
        <v>0</v>
      </c>
      <c r="T102" s="304">
        <f>SUMIFS('PCO Log'!$E20:$SJ20,'PCO Log'!$E$4:$SJ$4,"CONTINGENCY",'PCO Log'!$E$7:$SJ$7,"Approved")</f>
        <v>0</v>
      </c>
      <c r="U102" s="304">
        <f>SUMIFS('PCO Log'!$E20:$SJ20,'PCO Log'!$E$4:$SJ$4,"UNKN"&amp;"*",'PCO Log'!$E$7:$SJ$7,"Approved")</f>
        <v>0</v>
      </c>
    </row>
    <row r="103" spans="1:21" x14ac:dyDescent="0.25">
      <c r="A103" s="303" t="s">
        <v>453</v>
      </c>
      <c r="B103" s="303">
        <f>'PCO Log'!DB7</f>
        <v>0</v>
      </c>
      <c r="C103" s="303">
        <f>'PCO Log'!DB4</f>
        <v>0</v>
      </c>
      <c r="D103" s="303" cm="1">
        <f t="array" ref="D103">INDEX('PCO Log'!$E$5:$SJ$5, 1, ROWS('Graph Data'!$D$2:D103))</f>
        <v>0</v>
      </c>
      <c r="E103" s="303">
        <f>'PCO Log'!DB8</f>
        <v>0</v>
      </c>
      <c r="F103" s="303">
        <f>'PCO Log'!DB3</f>
        <v>0</v>
      </c>
      <c r="G103" s="304">
        <f>'PCO Log'!DB10</f>
        <v>0</v>
      </c>
      <c r="H103" s="305">
        <f>'PCO Log'!DB6</f>
        <v>0</v>
      </c>
      <c r="K103" s="303" t="s">
        <v>307</v>
      </c>
      <c r="L103" s="306">
        <v>39</v>
      </c>
      <c r="P103" s="303" t="str">
        <f>'Pay App 1'!C66</f>
        <v>Subcontractor Default Insurance</v>
      </c>
      <c r="Q103" s="304">
        <f>SUMIFS('PCO Log'!$E21:$SJ21,'PCO Log'!$E$4:$SJ$4,"AE ERROR"&amp;"*",'PCO Log'!$E$7:$SJ$7,"Approved")</f>
        <v>0</v>
      </c>
      <c r="R103" s="304">
        <f>SUMIFS('PCO Log'!$E21:$SJ21,'PCO Log'!$E$4:$SJ$4,"AE OMISS"&amp;"*",'PCO Log'!$E$7:$SJ$7,"Approved")</f>
        <v>0</v>
      </c>
      <c r="S103" s="304">
        <f>SUMIFS('PCO Log'!$E21:$SJ21,'PCO Log'!$E$4:$SJ$4,"SCOPE",'PCO Log'!$E$7:$SJ$7,"Approved")</f>
        <v>0</v>
      </c>
      <c r="T103" s="304">
        <f>SUMIFS('PCO Log'!$E21:$SJ21,'PCO Log'!$E$4:$SJ$4,"CONTINGENCY",'PCO Log'!$E$7:$SJ$7,"Approved")</f>
        <v>0</v>
      </c>
      <c r="U103" s="304">
        <f>SUMIFS('PCO Log'!$E21:$SJ21,'PCO Log'!$E$4:$SJ$4,"UNKN"&amp;"*",'PCO Log'!$E$7:$SJ$7,"Approved")</f>
        <v>0</v>
      </c>
    </row>
    <row r="104" spans="1:21" x14ac:dyDescent="0.25">
      <c r="A104" s="303" t="s">
        <v>454</v>
      </c>
      <c r="B104" s="303">
        <f>'PCO Log'!DC7</f>
        <v>0</v>
      </c>
      <c r="C104" s="303">
        <f>'PCO Log'!DC4</f>
        <v>0</v>
      </c>
      <c r="D104" s="303" cm="1">
        <f t="array" ref="D104">INDEX('PCO Log'!$E$5:$SJ$5, 1, ROWS('Graph Data'!$D$2:D104))</f>
        <v>0</v>
      </c>
      <c r="E104" s="303">
        <f>'PCO Log'!DC8</f>
        <v>0</v>
      </c>
      <c r="F104" s="303">
        <f>'PCO Log'!DC3</f>
        <v>0</v>
      </c>
      <c r="G104" s="304">
        <f>'PCO Log'!DC10</f>
        <v>0</v>
      </c>
      <c r="H104" s="305">
        <f>'PCO Log'!DC6</f>
        <v>0</v>
      </c>
      <c r="K104" s="303" t="s">
        <v>308</v>
      </c>
      <c r="L104" s="306">
        <v>40</v>
      </c>
      <c r="P104" s="303" t="str">
        <f>'Pay App 1'!C67</f>
        <v>Construction Management Fee</v>
      </c>
      <c r="Q104" s="304">
        <f>SUMIFS('PCO Log'!$E22:$SJ22,'PCO Log'!$E$4:$SJ$4,"AE ERROR"&amp;"*",'PCO Log'!$E$7:$SJ$7,"Approved")</f>
        <v>0</v>
      </c>
      <c r="R104" s="304">
        <f>SUMIFS('PCO Log'!$E22:$SJ22,'PCO Log'!$E$4:$SJ$4,"AE OMISS"&amp;"*",'PCO Log'!$E$7:$SJ$7,"Approved")</f>
        <v>0</v>
      </c>
      <c r="S104" s="304">
        <f>SUMIFS('PCO Log'!$E22:$SJ22,'PCO Log'!$E$4:$SJ$4,"SCOPE",'PCO Log'!$E$7:$SJ$7,"Approved")</f>
        <v>0</v>
      </c>
      <c r="T104" s="304">
        <f>SUMIFS('PCO Log'!$E22:$SJ22,'PCO Log'!$E$4:$SJ$4,"CONTINGENCY",'PCO Log'!$E$7:$SJ$7,"Approved")</f>
        <v>0</v>
      </c>
      <c r="U104" s="304">
        <f>SUMIFS('PCO Log'!$E22:$SJ22,'PCO Log'!$E$4:$SJ$4,"UNKN"&amp;"*",'PCO Log'!$E$7:$SJ$7,"Approved")</f>
        <v>0</v>
      </c>
    </row>
    <row r="105" spans="1:21" x14ac:dyDescent="0.25">
      <c r="A105" s="303" t="s">
        <v>455</v>
      </c>
      <c r="B105" s="303">
        <f>'PCO Log'!DD7</f>
        <v>0</v>
      </c>
      <c r="C105" s="303">
        <f>'PCO Log'!DD4</f>
        <v>0</v>
      </c>
      <c r="D105" s="303" cm="1">
        <f t="array" ref="D105">INDEX('PCO Log'!$E$5:$SJ$5, 1, ROWS('Graph Data'!$D$2:D105))</f>
        <v>0</v>
      </c>
      <c r="E105" s="303">
        <f>'PCO Log'!DD8</f>
        <v>0</v>
      </c>
      <c r="F105" s="303">
        <f>'PCO Log'!DD3</f>
        <v>0</v>
      </c>
      <c r="G105" s="304">
        <f>'PCO Log'!DD10</f>
        <v>0</v>
      </c>
      <c r="H105" s="305">
        <f>'PCO Log'!DD6</f>
        <v>0</v>
      </c>
      <c r="K105" s="303" t="s">
        <v>309</v>
      </c>
      <c r="L105" s="306">
        <v>41</v>
      </c>
      <c r="P105" s="303" t="str">
        <f>'Pay App 1'!C68</f>
        <v>Contingency</v>
      </c>
      <c r="Q105" s="304">
        <f>SUMIFS('PCO Log'!$E23:$SJ23,'PCO Log'!$E$4:$SJ$4,"AE ERROR"&amp;"*",'PCO Log'!$E$7:$SJ$7,"Approved")</f>
        <v>0</v>
      </c>
      <c r="R105" s="304">
        <f>SUMIFS('PCO Log'!$E23:$SJ23,'PCO Log'!$E$4:$SJ$4,"AE OMISS"&amp;"*",'PCO Log'!$E$7:$SJ$7,"Approved")</f>
        <v>0</v>
      </c>
      <c r="S105" s="304">
        <f>SUMIFS('PCO Log'!$E23:$SJ23,'PCO Log'!$E$4:$SJ$4,"SCOPE",'PCO Log'!$E$7:$SJ$7,"Approved")</f>
        <v>0</v>
      </c>
      <c r="T105" s="304">
        <f>SUMIFS('PCO Log'!$E23:$SJ23,'PCO Log'!$E$4:$SJ$4,"CONTINGENCY",'PCO Log'!$E$7:$SJ$7,"Approved")</f>
        <v>0</v>
      </c>
      <c r="U105" s="304">
        <f>SUMIFS('PCO Log'!$E23:$SJ23,'PCO Log'!$E$4:$SJ$4,"UNKN"&amp;"*",'PCO Log'!$E$7:$SJ$7,"Approved")</f>
        <v>0</v>
      </c>
    </row>
    <row r="106" spans="1:21" x14ac:dyDescent="0.25">
      <c r="A106" s="303" t="s">
        <v>456</v>
      </c>
      <c r="B106" s="303">
        <f>'PCO Log'!DE7</f>
        <v>0</v>
      </c>
      <c r="C106" s="303">
        <f>'PCO Log'!DE4</f>
        <v>0</v>
      </c>
      <c r="D106" s="303" cm="1">
        <f t="array" ref="D106">INDEX('PCO Log'!$E$5:$SJ$5, 1, ROWS('Graph Data'!$D$2:D106))</f>
        <v>0</v>
      </c>
      <c r="E106" s="303">
        <f>'PCO Log'!DE8</f>
        <v>0</v>
      </c>
      <c r="F106" s="303">
        <f>'PCO Log'!DE3</f>
        <v>0</v>
      </c>
      <c r="G106" s="304">
        <f>'PCO Log'!DE10</f>
        <v>0</v>
      </c>
      <c r="H106" s="305">
        <f>'PCO Log'!DE6</f>
        <v>0</v>
      </c>
      <c r="K106" s="303" t="s">
        <v>310</v>
      </c>
      <c r="L106" s="306">
        <v>42</v>
      </c>
      <c r="P106" s="303" t="str">
        <f>'Pay App 1'!C69</f>
        <v>Weather Allowance (All Trades)</v>
      </c>
      <c r="Q106" s="304">
        <f>SUMIFS('PCO Log'!$E24:$SJ24,'PCO Log'!$E$4:$SJ$4,"AE ERROR"&amp;"*",'PCO Log'!$E$7:$SJ$7,"Approved")</f>
        <v>0</v>
      </c>
      <c r="R106" s="304">
        <f>SUMIFS('PCO Log'!$E24:$SJ24,'PCO Log'!$E$4:$SJ$4,"AE OMISS"&amp;"*",'PCO Log'!$E$7:$SJ$7,"Approved")</f>
        <v>0</v>
      </c>
      <c r="S106" s="304">
        <f>SUMIFS('PCO Log'!$E24:$SJ24,'PCO Log'!$E$4:$SJ$4,"SCOPE",'PCO Log'!$E$7:$SJ$7,"Approved")</f>
        <v>0</v>
      </c>
      <c r="T106" s="304">
        <f>SUMIFS('PCO Log'!$E24:$SJ24,'PCO Log'!$E$4:$SJ$4,"CONTINGENCY",'PCO Log'!$E$7:$SJ$7,"Approved")</f>
        <v>0</v>
      </c>
      <c r="U106" s="304">
        <f>SUMIFS('PCO Log'!$E24:$SJ24,'PCO Log'!$E$4:$SJ$4,"UNKN"&amp;"*",'PCO Log'!$E$7:$SJ$7,"Approved")</f>
        <v>0</v>
      </c>
    </row>
    <row r="107" spans="1:21" x14ac:dyDescent="0.25">
      <c r="A107" s="303" t="s">
        <v>457</v>
      </c>
      <c r="B107" s="303">
        <f>'PCO Log'!DF7</f>
        <v>0</v>
      </c>
      <c r="C107" s="303">
        <f>'PCO Log'!DF4</f>
        <v>0</v>
      </c>
      <c r="D107" s="303" cm="1">
        <f t="array" ref="D107">INDEX('PCO Log'!$E$5:$SJ$5, 1, ROWS('Graph Data'!$D$2:D107))</f>
        <v>0</v>
      </c>
      <c r="E107" s="303">
        <f>'PCO Log'!DF8</f>
        <v>0</v>
      </c>
      <c r="F107" s="303">
        <f>'PCO Log'!DF3</f>
        <v>0</v>
      </c>
      <c r="G107" s="304">
        <f>'PCO Log'!DF10</f>
        <v>0</v>
      </c>
      <c r="H107" s="305">
        <f>'PCO Log'!DF6</f>
        <v>0</v>
      </c>
      <c r="K107" s="303" t="s">
        <v>311</v>
      </c>
      <c r="L107" s="306">
        <v>43</v>
      </c>
      <c r="M107" s="301" t="s">
        <v>906</v>
      </c>
      <c r="N107" s="301" t="s">
        <v>920</v>
      </c>
      <c r="P107" s="303" t="str">
        <f>'Pay App 1'!C70</f>
        <v>Cleaning (Final)</v>
      </c>
      <c r="Q107" s="304">
        <f>SUMIFS('PCO Log'!$E25:$SJ25,'PCO Log'!$E$4:$SJ$4,"AE ERROR"&amp;"*",'PCO Log'!$E$7:$SJ$7,"Approved")</f>
        <v>0</v>
      </c>
      <c r="R107" s="304">
        <f>SUMIFS('PCO Log'!$E25:$SJ25,'PCO Log'!$E$4:$SJ$4,"AE OMISS"&amp;"*",'PCO Log'!$E$7:$SJ$7,"Approved")</f>
        <v>0</v>
      </c>
      <c r="S107" s="304">
        <f>SUMIFS('PCO Log'!$E25:$SJ25,'PCO Log'!$E$4:$SJ$4,"SCOPE",'PCO Log'!$E$7:$SJ$7,"Approved")</f>
        <v>0</v>
      </c>
      <c r="T107" s="304">
        <f>SUMIFS('PCO Log'!$E25:$SJ25,'PCO Log'!$E$4:$SJ$4,"CONTINGENCY",'PCO Log'!$E$7:$SJ$7,"Approved")</f>
        <v>0</v>
      </c>
      <c r="U107" s="304">
        <f>SUMIFS('PCO Log'!$E25:$SJ25,'PCO Log'!$E$4:$SJ$4,"UNKN"&amp;"*",'PCO Log'!$E$7:$SJ$7,"Approved")</f>
        <v>0</v>
      </c>
    </row>
    <row r="108" spans="1:21" x14ac:dyDescent="0.25">
      <c r="A108" s="303" t="s">
        <v>458</v>
      </c>
      <c r="B108" s="303">
        <f>'PCO Log'!DG7</f>
        <v>0</v>
      </c>
      <c r="C108" s="303">
        <f>'PCO Log'!DG4</f>
        <v>0</v>
      </c>
      <c r="D108" s="303" cm="1">
        <f t="array" ref="D108">INDEX('PCO Log'!$E$5:$SJ$5, 1, ROWS('Graph Data'!$D$2:D108))</f>
        <v>0</v>
      </c>
      <c r="E108" s="303">
        <f>'PCO Log'!DG8</f>
        <v>0</v>
      </c>
      <c r="F108" s="303">
        <f>'PCO Log'!DG3</f>
        <v>0</v>
      </c>
      <c r="G108" s="304">
        <f>'PCO Log'!DG10</f>
        <v>0</v>
      </c>
      <c r="H108" s="305">
        <f>'PCO Log'!DG6</f>
        <v>0</v>
      </c>
      <c r="K108" s="303" t="s">
        <v>312</v>
      </c>
      <c r="L108" s="306">
        <v>44</v>
      </c>
      <c r="M108" s="303">
        <f>SUMIFS('PCO Log'!$E6:$SJ6,'PCO Log'!$E7:$SJ7,"Approved")</f>
        <v>0</v>
      </c>
      <c r="N108" s="303" t="s">
        <v>335</v>
      </c>
      <c r="P108" s="303" t="str">
        <f>'Pay App 1'!C71</f>
        <v>Survey/Engineering</v>
      </c>
      <c r="Q108" s="304">
        <f>SUMIFS('PCO Log'!$E26:$SJ26,'PCO Log'!$E$4:$SJ$4,"AE ERROR"&amp;"*",'PCO Log'!$E$7:$SJ$7,"Approved")</f>
        <v>0</v>
      </c>
      <c r="R108" s="304">
        <f>SUMIFS('PCO Log'!$E26:$SJ26,'PCO Log'!$E$4:$SJ$4,"AE OMISS"&amp;"*",'PCO Log'!$E$7:$SJ$7,"Approved")</f>
        <v>0</v>
      </c>
      <c r="S108" s="304">
        <f>SUMIFS('PCO Log'!$E26:$SJ26,'PCO Log'!$E$4:$SJ$4,"SCOPE",'PCO Log'!$E$7:$SJ$7,"Approved")</f>
        <v>0</v>
      </c>
      <c r="T108" s="304">
        <f>SUMIFS('PCO Log'!$E26:$SJ26,'PCO Log'!$E$4:$SJ$4,"CONTINGENCY",'PCO Log'!$E$7:$SJ$7,"Approved")</f>
        <v>0</v>
      </c>
      <c r="U108" s="304">
        <f>SUMIFS('PCO Log'!$E26:$SJ26,'PCO Log'!$E$4:$SJ$4,"UNKN"&amp;"*",'PCO Log'!$E$7:$SJ$7,"Approved")</f>
        <v>0</v>
      </c>
    </row>
    <row r="109" spans="1:21" x14ac:dyDescent="0.25">
      <c r="A109" s="303" t="s">
        <v>459</v>
      </c>
      <c r="B109" s="303">
        <f>'PCO Log'!DH7</f>
        <v>0</v>
      </c>
      <c r="C109" s="303">
        <f>'PCO Log'!DH4</f>
        <v>0</v>
      </c>
      <c r="D109" s="303" cm="1">
        <f t="array" ref="D109">INDEX('PCO Log'!$E$5:$SJ$5, 1, ROWS('Graph Data'!$D$2:D109))</f>
        <v>0</v>
      </c>
      <c r="E109" s="303">
        <f>'PCO Log'!DH8</f>
        <v>0</v>
      </c>
      <c r="F109" s="303">
        <f>'PCO Log'!DH3</f>
        <v>0</v>
      </c>
      <c r="G109" s="304">
        <f>'PCO Log'!DH10</f>
        <v>0</v>
      </c>
      <c r="H109" s="305">
        <f>'PCO Log'!DH6</f>
        <v>0</v>
      </c>
      <c r="K109" s="303" t="s">
        <v>313</v>
      </c>
      <c r="L109" s="306">
        <v>45</v>
      </c>
      <c r="N109" s="321">
        <v>1</v>
      </c>
      <c r="P109" s="303" t="str">
        <f>'Pay App 1'!C72</f>
        <v>Demolition</v>
      </c>
      <c r="Q109" s="304">
        <f>SUMIFS('PCO Log'!$E27:$SJ27,'PCO Log'!$E$4:$SJ$4,"AE ERROR"&amp;"*",'PCO Log'!$E$7:$SJ$7,"Approved")</f>
        <v>0</v>
      </c>
      <c r="R109" s="304">
        <f>SUMIFS('PCO Log'!$E27:$SJ27,'PCO Log'!$E$4:$SJ$4,"AE OMISS"&amp;"*",'PCO Log'!$E$7:$SJ$7,"Approved")</f>
        <v>0</v>
      </c>
      <c r="S109" s="304">
        <f>SUMIFS('PCO Log'!$E27:$SJ27,'PCO Log'!$E$4:$SJ$4,"SCOPE",'PCO Log'!$E$7:$SJ$7,"Approved")</f>
        <v>0</v>
      </c>
      <c r="T109" s="304">
        <f>SUMIFS('PCO Log'!$E27:$SJ27,'PCO Log'!$E$4:$SJ$4,"CONTINGENCY",'PCO Log'!$E$7:$SJ$7,"Approved")</f>
        <v>0</v>
      </c>
      <c r="U109" s="304">
        <f>SUMIFS('PCO Log'!$E27:$SJ27,'PCO Log'!$E$4:$SJ$4,"UNKN"&amp;"*",'PCO Log'!$E$7:$SJ$7,"Approved")</f>
        <v>0</v>
      </c>
    </row>
    <row r="110" spans="1:21" x14ac:dyDescent="0.25">
      <c r="A110" s="303" t="s">
        <v>460</v>
      </c>
      <c r="B110" s="303">
        <f>'PCO Log'!DI7</f>
        <v>0</v>
      </c>
      <c r="C110" s="303">
        <f>'PCO Log'!DI4</f>
        <v>0</v>
      </c>
      <c r="D110" s="303" cm="1">
        <f t="array" ref="D110">INDEX('PCO Log'!$E$5:$SJ$5, 1, ROWS('Graph Data'!$D$2:D110))</f>
        <v>0</v>
      </c>
      <c r="E110" s="303">
        <f>'PCO Log'!DI8</f>
        <v>0</v>
      </c>
      <c r="F110" s="303">
        <f>'PCO Log'!DI3</f>
        <v>0</v>
      </c>
      <c r="G110" s="304">
        <f>'PCO Log'!DI10</f>
        <v>0</v>
      </c>
      <c r="H110" s="305">
        <f>'PCO Log'!DI6</f>
        <v>0</v>
      </c>
      <c r="K110" s="303" t="s">
        <v>314</v>
      </c>
      <c r="L110" s="306">
        <v>46</v>
      </c>
      <c r="N110" s="321">
        <v>2</v>
      </c>
      <c r="P110" s="303" t="str">
        <f>'Pay App 1'!C73</f>
        <v>Asbestos Abatement</v>
      </c>
      <c r="Q110" s="304">
        <f>SUMIFS('PCO Log'!$E28:$SJ28,'PCO Log'!$E$4:$SJ$4,"AE ERROR"&amp;"*",'PCO Log'!$E$7:$SJ$7,"Approved")</f>
        <v>0</v>
      </c>
      <c r="R110" s="304">
        <f>SUMIFS('PCO Log'!$E28:$SJ28,'PCO Log'!$E$4:$SJ$4,"AE OMISS"&amp;"*",'PCO Log'!$E$7:$SJ$7,"Approved")</f>
        <v>0</v>
      </c>
      <c r="S110" s="304">
        <f>SUMIFS('PCO Log'!$E28:$SJ28,'PCO Log'!$E$4:$SJ$4,"SCOPE",'PCO Log'!$E$7:$SJ$7,"Approved")</f>
        <v>0</v>
      </c>
      <c r="T110" s="304">
        <f>SUMIFS('PCO Log'!$E28:$SJ28,'PCO Log'!$E$4:$SJ$4,"CONTINGENCY",'PCO Log'!$E$7:$SJ$7,"Approved")</f>
        <v>0</v>
      </c>
      <c r="U110" s="304">
        <f>SUMIFS('PCO Log'!$E28:$SJ28,'PCO Log'!$E$4:$SJ$4,"UNKN"&amp;"*",'PCO Log'!$E$7:$SJ$7,"Approved")</f>
        <v>0</v>
      </c>
    </row>
    <row r="111" spans="1:21" x14ac:dyDescent="0.25">
      <c r="A111" s="303" t="s">
        <v>461</v>
      </c>
      <c r="B111" s="303">
        <f>'PCO Log'!DJ7</f>
        <v>0</v>
      </c>
      <c r="C111" s="303">
        <f>'PCO Log'!DJ4</f>
        <v>0</v>
      </c>
      <c r="D111" s="303" cm="1">
        <f t="array" ref="D111">INDEX('PCO Log'!$E$5:$SJ$5, 1, ROWS('Graph Data'!$D$2:D111))</f>
        <v>0</v>
      </c>
      <c r="E111" s="303">
        <f>'PCO Log'!DJ8</f>
        <v>0</v>
      </c>
      <c r="F111" s="303">
        <f>'PCO Log'!DJ3</f>
        <v>0</v>
      </c>
      <c r="G111" s="304">
        <f>'PCO Log'!DJ10</f>
        <v>0</v>
      </c>
      <c r="H111" s="305">
        <f>'PCO Log'!DJ6</f>
        <v>0</v>
      </c>
      <c r="K111" s="303" t="s">
        <v>315</v>
      </c>
      <c r="L111" s="306">
        <v>47</v>
      </c>
      <c r="M111" s="301"/>
      <c r="N111" s="321">
        <v>3</v>
      </c>
      <c r="P111" s="303" t="str">
        <f>'Pay App 1'!C74</f>
        <v>Building Concrete</v>
      </c>
      <c r="Q111" s="304">
        <f>SUMIFS('PCO Log'!$E29:$SJ29,'PCO Log'!$E$4:$SJ$4,"AE ERROR"&amp;"*",'PCO Log'!$E$7:$SJ$7,"Approved")</f>
        <v>0</v>
      </c>
      <c r="R111" s="304">
        <f>SUMIFS('PCO Log'!$E29:$SJ29,'PCO Log'!$E$4:$SJ$4,"AE OMISS"&amp;"*",'PCO Log'!$E$7:$SJ$7,"Approved")</f>
        <v>0</v>
      </c>
      <c r="S111" s="304">
        <f>SUMIFS('PCO Log'!$E29:$SJ29,'PCO Log'!$E$4:$SJ$4,"SCOPE",'PCO Log'!$E$7:$SJ$7,"Approved")</f>
        <v>0</v>
      </c>
      <c r="T111" s="304">
        <f>SUMIFS('PCO Log'!$E29:$SJ29,'PCO Log'!$E$4:$SJ$4,"CONTINGENCY",'PCO Log'!$E$7:$SJ$7,"Approved")</f>
        <v>0</v>
      </c>
      <c r="U111" s="304">
        <f>SUMIFS('PCO Log'!$E29:$SJ29,'PCO Log'!$E$4:$SJ$4,"UNKN"&amp;"*",'PCO Log'!$E$7:$SJ$7,"Approved")</f>
        <v>0</v>
      </c>
    </row>
    <row r="112" spans="1:21" x14ac:dyDescent="0.25">
      <c r="A112" s="303" t="s">
        <v>462</v>
      </c>
      <c r="B112" s="303">
        <f>'PCO Log'!DK7</f>
        <v>0</v>
      </c>
      <c r="C112" s="303">
        <f>'PCO Log'!DK4</f>
        <v>0</v>
      </c>
      <c r="D112" s="303" cm="1">
        <f t="array" ref="D112">INDEX('PCO Log'!$E$5:$SJ$5, 1, ROWS('Graph Data'!$D$2:D112))</f>
        <v>0</v>
      </c>
      <c r="E112" s="303">
        <f>'PCO Log'!DK8</f>
        <v>0</v>
      </c>
      <c r="F112" s="303">
        <f>'PCO Log'!DK3</f>
        <v>0</v>
      </c>
      <c r="G112" s="304">
        <f>'PCO Log'!DK10</f>
        <v>0</v>
      </c>
      <c r="H112" s="305">
        <f>'PCO Log'!DK6</f>
        <v>0</v>
      </c>
      <c r="K112" s="303" t="s">
        <v>316</v>
      </c>
      <c r="L112" s="306">
        <v>48</v>
      </c>
      <c r="N112" s="321">
        <v>4</v>
      </c>
      <c r="P112" s="303" t="str">
        <f>'Pay App 1'!C75</f>
        <v>Building Concrete Reinforcing</v>
      </c>
      <c r="Q112" s="304">
        <f>SUMIFS('PCO Log'!$E30:$SJ30,'PCO Log'!$E$4:$SJ$4,"AE ERROR"&amp;"*",'PCO Log'!$E$7:$SJ$7,"Approved")</f>
        <v>0</v>
      </c>
      <c r="R112" s="304">
        <f>SUMIFS('PCO Log'!$E30:$SJ30,'PCO Log'!$E$4:$SJ$4,"AE OMISS"&amp;"*",'PCO Log'!$E$7:$SJ$7,"Approved")</f>
        <v>0</v>
      </c>
      <c r="S112" s="304">
        <f>SUMIFS('PCO Log'!$E30:$SJ30,'PCO Log'!$E$4:$SJ$4,"SCOPE",'PCO Log'!$E$7:$SJ$7,"Approved")</f>
        <v>0</v>
      </c>
      <c r="T112" s="304">
        <f>SUMIFS('PCO Log'!$E30:$SJ30,'PCO Log'!$E$4:$SJ$4,"CONTINGENCY",'PCO Log'!$E$7:$SJ$7,"Approved")</f>
        <v>0</v>
      </c>
      <c r="U112" s="304">
        <f>SUMIFS('PCO Log'!$E30:$SJ30,'PCO Log'!$E$4:$SJ$4,"UNKN"&amp;"*",'PCO Log'!$E$7:$SJ$7,"Approved")</f>
        <v>0</v>
      </c>
    </row>
    <row r="113" spans="1:21" x14ac:dyDescent="0.25">
      <c r="A113" s="303" t="s">
        <v>463</v>
      </c>
      <c r="B113" s="303">
        <f>'PCO Log'!DL7</f>
        <v>0</v>
      </c>
      <c r="C113" s="303">
        <f>'PCO Log'!DL4</f>
        <v>0</v>
      </c>
      <c r="D113" s="303" cm="1">
        <f t="array" ref="D113">INDEX('PCO Log'!$E$5:$SJ$5, 1, ROWS('Graph Data'!$D$2:D113))</f>
        <v>0</v>
      </c>
      <c r="E113" s="303">
        <f>'PCO Log'!DL8</f>
        <v>0</v>
      </c>
      <c r="F113" s="303">
        <f>'PCO Log'!DL3</f>
        <v>0</v>
      </c>
      <c r="G113" s="304">
        <f>'PCO Log'!DL10</f>
        <v>0</v>
      </c>
      <c r="H113" s="305">
        <f>'PCO Log'!DL6</f>
        <v>0</v>
      </c>
      <c r="K113" s="303" t="s">
        <v>317</v>
      </c>
      <c r="L113" s="306">
        <v>49</v>
      </c>
      <c r="N113" s="321">
        <v>5</v>
      </c>
      <c r="P113" s="303" t="str">
        <f>'Pay App 1'!C76</f>
        <v>Precast</v>
      </c>
      <c r="Q113" s="304">
        <f>SUMIFS('PCO Log'!$E31:$SJ31,'PCO Log'!$E$4:$SJ$4,"AE ERROR"&amp;"*",'PCO Log'!$E$7:$SJ$7,"Approved")</f>
        <v>0</v>
      </c>
      <c r="R113" s="304">
        <f>SUMIFS('PCO Log'!$E31:$SJ31,'PCO Log'!$E$4:$SJ$4,"AE OMISS"&amp;"*",'PCO Log'!$E$7:$SJ$7,"Approved")</f>
        <v>0</v>
      </c>
      <c r="S113" s="304">
        <f>SUMIFS('PCO Log'!$E31:$SJ31,'PCO Log'!$E$4:$SJ$4,"SCOPE",'PCO Log'!$E$7:$SJ$7,"Approved")</f>
        <v>0</v>
      </c>
      <c r="T113" s="304">
        <f>SUMIFS('PCO Log'!$E31:$SJ31,'PCO Log'!$E$4:$SJ$4,"CONTINGENCY",'PCO Log'!$E$7:$SJ$7,"Approved")</f>
        <v>0</v>
      </c>
      <c r="U113" s="304">
        <f>SUMIFS('PCO Log'!$E31:$SJ31,'PCO Log'!$E$4:$SJ$4,"UNKN"&amp;"*",'PCO Log'!$E$7:$SJ$7,"Approved")</f>
        <v>0</v>
      </c>
    </row>
    <row r="114" spans="1:21" x14ac:dyDescent="0.25">
      <c r="A114" s="303" t="s">
        <v>464</v>
      </c>
      <c r="B114" s="303">
        <f>'PCO Log'!DM7</f>
        <v>0</v>
      </c>
      <c r="C114" s="303">
        <f>'PCO Log'!DM4</f>
        <v>0</v>
      </c>
      <c r="D114" s="303" cm="1">
        <f t="array" ref="D114">INDEX('PCO Log'!$E$5:$SJ$5, 1, ROWS('Graph Data'!$D$2:D114))</f>
        <v>0</v>
      </c>
      <c r="E114" s="303">
        <f>'PCO Log'!DM8</f>
        <v>0</v>
      </c>
      <c r="F114" s="303">
        <f>'PCO Log'!DM3</f>
        <v>0</v>
      </c>
      <c r="G114" s="304">
        <f>'PCO Log'!DM10</f>
        <v>0</v>
      </c>
      <c r="H114" s="305">
        <f>'PCO Log'!DM6</f>
        <v>0</v>
      </c>
      <c r="K114" s="303" t="s">
        <v>318</v>
      </c>
      <c r="L114" s="306">
        <v>50</v>
      </c>
      <c r="N114" s="321">
        <v>6</v>
      </c>
      <c r="P114" s="303" t="str">
        <f>'Pay App 1'!C77</f>
        <v>Masonry</v>
      </c>
      <c r="Q114" s="304">
        <f>SUMIFS('PCO Log'!$E32:$SJ32,'PCO Log'!$E$4:$SJ$4,"AE ERROR"&amp;"*",'PCO Log'!$E$7:$SJ$7,"Approved")</f>
        <v>0</v>
      </c>
      <c r="R114" s="304">
        <f>SUMIFS('PCO Log'!$E32:$SJ32,'PCO Log'!$E$4:$SJ$4,"AE OMISS"&amp;"*",'PCO Log'!$E$7:$SJ$7,"Approved")</f>
        <v>0</v>
      </c>
      <c r="S114" s="304">
        <f>SUMIFS('PCO Log'!$E32:$SJ32,'PCO Log'!$E$4:$SJ$4,"SCOPE",'PCO Log'!$E$7:$SJ$7,"Approved")</f>
        <v>0</v>
      </c>
      <c r="T114" s="304">
        <f>SUMIFS('PCO Log'!$E32:$SJ32,'PCO Log'!$E$4:$SJ$4,"CONTINGENCY",'PCO Log'!$E$7:$SJ$7,"Approved")</f>
        <v>0</v>
      </c>
      <c r="U114" s="304">
        <f>SUMIFS('PCO Log'!$E32:$SJ32,'PCO Log'!$E$4:$SJ$4,"UNKN"&amp;"*",'PCO Log'!$E$7:$SJ$7,"Approved")</f>
        <v>0</v>
      </c>
    </row>
    <row r="115" spans="1:21" x14ac:dyDescent="0.25">
      <c r="A115" s="303" t="s">
        <v>465</v>
      </c>
      <c r="B115" s="303">
        <f>'PCO Log'!DN7</f>
        <v>0</v>
      </c>
      <c r="C115" s="303">
        <f>'PCO Log'!DN4</f>
        <v>0</v>
      </c>
      <c r="D115" s="303" cm="1">
        <f t="array" ref="D115">INDEX('PCO Log'!$E$5:$SJ$5, 1, ROWS('Graph Data'!$D$2:D115))</f>
        <v>0</v>
      </c>
      <c r="E115" s="303">
        <f>'PCO Log'!DN8</f>
        <v>0</v>
      </c>
      <c r="F115" s="303">
        <f>'PCO Log'!DN3</f>
        <v>0</v>
      </c>
      <c r="G115" s="304">
        <f>'PCO Log'!DN10</f>
        <v>0</v>
      </c>
      <c r="H115" s="305">
        <f>'PCO Log'!DN6</f>
        <v>0</v>
      </c>
      <c r="K115" s="303" t="s">
        <v>319</v>
      </c>
      <c r="L115" s="306">
        <v>51</v>
      </c>
      <c r="N115" s="321">
        <v>7</v>
      </c>
      <c r="P115" s="303" t="str">
        <f>'Pay App 1'!C78</f>
        <v>Masonry Reinforcing</v>
      </c>
      <c r="Q115" s="304">
        <f>SUMIFS('PCO Log'!$E33:$SJ33,'PCO Log'!$E$4:$SJ$4,"AE ERROR"&amp;"*",'PCO Log'!$E$7:$SJ$7,"Approved")</f>
        <v>0</v>
      </c>
      <c r="R115" s="304">
        <f>SUMIFS('PCO Log'!$E33:$SJ33,'PCO Log'!$E$4:$SJ$4,"AE OMISS"&amp;"*",'PCO Log'!$E$7:$SJ$7,"Approved")</f>
        <v>0</v>
      </c>
      <c r="S115" s="304">
        <f>SUMIFS('PCO Log'!$E33:$SJ33,'PCO Log'!$E$4:$SJ$4,"SCOPE",'PCO Log'!$E$7:$SJ$7,"Approved")</f>
        <v>0</v>
      </c>
      <c r="T115" s="304">
        <f>SUMIFS('PCO Log'!$E33:$SJ33,'PCO Log'!$E$4:$SJ$4,"CONTINGENCY",'PCO Log'!$E$7:$SJ$7,"Approved")</f>
        <v>0</v>
      </c>
      <c r="U115" s="304">
        <f>SUMIFS('PCO Log'!$E33:$SJ33,'PCO Log'!$E$4:$SJ$4,"UNKN"&amp;"*",'PCO Log'!$E$7:$SJ$7,"Approved")</f>
        <v>0</v>
      </c>
    </row>
    <row r="116" spans="1:21" x14ac:dyDescent="0.25">
      <c r="A116" s="303" t="s">
        <v>466</v>
      </c>
      <c r="B116" s="303">
        <f>'PCO Log'!DO7</f>
        <v>0</v>
      </c>
      <c r="C116" s="303">
        <f>'PCO Log'!DO4</f>
        <v>0</v>
      </c>
      <c r="D116" s="303" cm="1">
        <f t="array" ref="D116">INDEX('PCO Log'!$E$5:$SJ$5, 1, ROWS('Graph Data'!$D$2:D116))</f>
        <v>0</v>
      </c>
      <c r="E116" s="303">
        <f>'PCO Log'!DO8</f>
        <v>0</v>
      </c>
      <c r="F116" s="303">
        <f>'PCO Log'!DO3</f>
        <v>0</v>
      </c>
      <c r="G116" s="304">
        <f>'PCO Log'!DO10</f>
        <v>0</v>
      </c>
      <c r="H116" s="305">
        <f>'PCO Log'!DO6</f>
        <v>0</v>
      </c>
      <c r="K116" s="303" t="s">
        <v>320</v>
      </c>
      <c r="L116" s="306">
        <v>52</v>
      </c>
      <c r="N116" s="321">
        <v>8</v>
      </c>
      <c r="P116" s="303" t="str">
        <f>'Pay App 1'!C79</f>
        <v>Structural Steel/Misc. Steel Fab</v>
      </c>
      <c r="Q116" s="304">
        <f>SUMIFS('PCO Log'!$E34:$SJ34,'PCO Log'!$E$4:$SJ$4,"AE ERROR"&amp;"*",'PCO Log'!$E$7:$SJ$7,"Approved")</f>
        <v>0</v>
      </c>
      <c r="R116" s="304">
        <f>SUMIFS('PCO Log'!$E34:$SJ34,'PCO Log'!$E$4:$SJ$4,"AE OMISS"&amp;"*",'PCO Log'!$E$7:$SJ$7,"Approved")</f>
        <v>0</v>
      </c>
      <c r="S116" s="304">
        <f>SUMIFS('PCO Log'!$E34:$SJ34,'PCO Log'!$E$4:$SJ$4,"SCOPE",'PCO Log'!$E$7:$SJ$7,"Approved")</f>
        <v>0</v>
      </c>
      <c r="T116" s="304">
        <f>SUMIFS('PCO Log'!$E34:$SJ34,'PCO Log'!$E$4:$SJ$4,"CONTINGENCY",'PCO Log'!$E$7:$SJ$7,"Approved")</f>
        <v>0</v>
      </c>
      <c r="U116" s="304">
        <f>SUMIFS('PCO Log'!$E34:$SJ34,'PCO Log'!$E$4:$SJ$4,"UNKN"&amp;"*",'PCO Log'!$E$7:$SJ$7,"Approved")</f>
        <v>0</v>
      </c>
    </row>
    <row r="117" spans="1:21" x14ac:dyDescent="0.25">
      <c r="A117" s="303" t="s">
        <v>467</v>
      </c>
      <c r="B117" s="303">
        <f>'PCO Log'!DP7</f>
        <v>0</v>
      </c>
      <c r="C117" s="303">
        <f>'PCO Log'!DP4</f>
        <v>0</v>
      </c>
      <c r="D117" s="303" cm="1">
        <f t="array" ref="D117">INDEX('PCO Log'!$E$5:$SJ$5, 1, ROWS('Graph Data'!$D$2:D117))</f>
        <v>0</v>
      </c>
      <c r="E117" s="303">
        <f>'PCO Log'!DP8</f>
        <v>0</v>
      </c>
      <c r="F117" s="303">
        <f>'PCO Log'!DP3</f>
        <v>0</v>
      </c>
      <c r="G117" s="304">
        <f>'PCO Log'!DP10</f>
        <v>0</v>
      </c>
      <c r="H117" s="305">
        <f>'PCO Log'!DP6</f>
        <v>0</v>
      </c>
      <c r="K117" s="303" t="s">
        <v>321</v>
      </c>
      <c r="L117" s="306">
        <v>53</v>
      </c>
      <c r="N117" s="321">
        <v>9</v>
      </c>
      <c r="P117" s="303" t="str">
        <f>'Pay App 1'!C80</f>
        <v>Joists &amp; Deck</v>
      </c>
      <c r="Q117" s="304">
        <f>SUMIFS('PCO Log'!$E35:$SJ35,'PCO Log'!$E$4:$SJ$4,"AE ERROR"&amp;"*",'PCO Log'!$E$7:$SJ$7,"Approved")</f>
        <v>0</v>
      </c>
      <c r="R117" s="304">
        <f>SUMIFS('PCO Log'!$E35:$SJ35,'PCO Log'!$E$4:$SJ$4,"AE OMISS"&amp;"*",'PCO Log'!$E$7:$SJ$7,"Approved")</f>
        <v>0</v>
      </c>
      <c r="S117" s="304">
        <f>SUMIFS('PCO Log'!$E35:$SJ35,'PCO Log'!$E$4:$SJ$4,"SCOPE",'PCO Log'!$E$7:$SJ$7,"Approved")</f>
        <v>0</v>
      </c>
      <c r="T117" s="304">
        <f>SUMIFS('PCO Log'!$E35:$SJ35,'PCO Log'!$E$4:$SJ$4,"CONTINGENCY",'PCO Log'!$E$7:$SJ$7,"Approved")</f>
        <v>0</v>
      </c>
      <c r="U117" s="304">
        <f>SUMIFS('PCO Log'!$E35:$SJ35,'PCO Log'!$E$4:$SJ$4,"UNKN"&amp;"*",'PCO Log'!$E$7:$SJ$7,"Approved")</f>
        <v>0</v>
      </c>
    </row>
    <row r="118" spans="1:21" x14ac:dyDescent="0.25">
      <c r="A118" s="303" t="s">
        <v>468</v>
      </c>
      <c r="B118" s="303">
        <f>'PCO Log'!DQ7</f>
        <v>0</v>
      </c>
      <c r="C118" s="303">
        <f>'PCO Log'!DQ4</f>
        <v>0</v>
      </c>
      <c r="D118" s="303" cm="1">
        <f t="array" ref="D118">INDEX('PCO Log'!$E$5:$SJ$5, 1, ROWS('Graph Data'!$D$2:D118))</f>
        <v>0</v>
      </c>
      <c r="E118" s="303">
        <f>'PCO Log'!DQ8</f>
        <v>0</v>
      </c>
      <c r="F118" s="303">
        <f>'PCO Log'!DQ3</f>
        <v>0</v>
      </c>
      <c r="G118" s="304">
        <f>'PCO Log'!DQ10</f>
        <v>0</v>
      </c>
      <c r="H118" s="305">
        <f>'PCO Log'!DQ6</f>
        <v>0</v>
      </c>
      <c r="K118" s="303" t="s">
        <v>322</v>
      </c>
      <c r="L118" s="306">
        <v>54</v>
      </c>
      <c r="N118" s="321">
        <v>10</v>
      </c>
      <c r="P118" s="303" t="str">
        <f>'Pay App 1'!C81</f>
        <v>Ornamental Metal</v>
      </c>
      <c r="Q118" s="304">
        <f>SUMIFS('PCO Log'!$E36:$SJ36,'PCO Log'!$E$4:$SJ$4,"AE ERROR"&amp;"*",'PCO Log'!$E$7:$SJ$7,"Approved")</f>
        <v>0</v>
      </c>
      <c r="R118" s="304">
        <f>SUMIFS('PCO Log'!$E36:$SJ36,'PCO Log'!$E$4:$SJ$4,"AE OMISS"&amp;"*",'PCO Log'!$E$7:$SJ$7,"Approved")</f>
        <v>0</v>
      </c>
      <c r="S118" s="304">
        <f>SUMIFS('PCO Log'!$E36:$SJ36,'PCO Log'!$E$4:$SJ$4,"SCOPE",'PCO Log'!$E$7:$SJ$7,"Approved")</f>
        <v>0</v>
      </c>
      <c r="T118" s="304">
        <f>SUMIFS('PCO Log'!$E36:$SJ36,'PCO Log'!$E$4:$SJ$4,"CONTINGENCY",'PCO Log'!$E$7:$SJ$7,"Approved")</f>
        <v>0</v>
      </c>
      <c r="U118" s="304">
        <f>SUMIFS('PCO Log'!$E36:$SJ36,'PCO Log'!$E$4:$SJ$4,"UNKN"&amp;"*",'PCO Log'!$E$7:$SJ$7,"Approved")</f>
        <v>0</v>
      </c>
    </row>
    <row r="119" spans="1:21" x14ac:dyDescent="0.25">
      <c r="A119" s="303" t="s">
        <v>469</v>
      </c>
      <c r="B119" s="303">
        <f>'PCO Log'!DR7</f>
        <v>0</v>
      </c>
      <c r="C119" s="303">
        <f>'PCO Log'!DR4</f>
        <v>0</v>
      </c>
      <c r="D119" s="303" cm="1">
        <f t="array" ref="D119">INDEX('PCO Log'!$E$5:$SJ$5, 1, ROWS('Graph Data'!$D$2:D119))</f>
        <v>0</v>
      </c>
      <c r="E119" s="303">
        <f>'PCO Log'!DR8</f>
        <v>0</v>
      </c>
      <c r="F119" s="303">
        <f>'PCO Log'!DR3</f>
        <v>0</v>
      </c>
      <c r="G119" s="304">
        <f>'PCO Log'!DR10</f>
        <v>0</v>
      </c>
      <c r="H119" s="305">
        <f>'PCO Log'!DR6</f>
        <v>0</v>
      </c>
      <c r="K119" s="303" t="s">
        <v>323</v>
      </c>
      <c r="L119" s="306">
        <v>55</v>
      </c>
      <c r="N119" s="321">
        <v>11</v>
      </c>
      <c r="P119" s="303" t="str">
        <f>'Pay App 1'!C82</f>
        <v>Rough Carpentry</v>
      </c>
      <c r="Q119" s="304">
        <f>SUMIFS('PCO Log'!$E37:$SJ37,'PCO Log'!$E$4:$SJ$4,"AE ERROR"&amp;"*",'PCO Log'!$E$7:$SJ$7,"Approved")</f>
        <v>0</v>
      </c>
      <c r="R119" s="304">
        <f>SUMIFS('PCO Log'!$E37:$SJ37,'PCO Log'!$E$4:$SJ$4,"AE OMISS"&amp;"*",'PCO Log'!$E$7:$SJ$7,"Approved")</f>
        <v>0</v>
      </c>
      <c r="S119" s="304">
        <f>SUMIFS('PCO Log'!$E37:$SJ37,'PCO Log'!$E$4:$SJ$4,"SCOPE",'PCO Log'!$E$7:$SJ$7,"Approved")</f>
        <v>0</v>
      </c>
      <c r="T119" s="304">
        <f>SUMIFS('PCO Log'!$E37:$SJ37,'PCO Log'!$E$4:$SJ$4,"CONTINGENCY",'PCO Log'!$E$7:$SJ$7,"Approved")</f>
        <v>0</v>
      </c>
      <c r="U119" s="304">
        <f>SUMIFS('PCO Log'!$E37:$SJ37,'PCO Log'!$E$4:$SJ$4,"UNKN"&amp;"*",'PCO Log'!$E$7:$SJ$7,"Approved")</f>
        <v>0</v>
      </c>
    </row>
    <row r="120" spans="1:21" x14ac:dyDescent="0.25">
      <c r="A120" s="303" t="s">
        <v>470</v>
      </c>
      <c r="B120" s="303">
        <f>'PCO Log'!DS7</f>
        <v>0</v>
      </c>
      <c r="C120" s="303">
        <f>'PCO Log'!DS4</f>
        <v>0</v>
      </c>
      <c r="D120" s="303" cm="1">
        <f t="array" ref="D120">INDEX('PCO Log'!$E$5:$SJ$5, 1, ROWS('Graph Data'!$D$2:D120))</f>
        <v>0</v>
      </c>
      <c r="E120" s="303">
        <f>'PCO Log'!DS8</f>
        <v>0</v>
      </c>
      <c r="F120" s="303">
        <f>'PCO Log'!DS3</f>
        <v>0</v>
      </c>
      <c r="G120" s="304">
        <f>'PCO Log'!DS10</f>
        <v>0</v>
      </c>
      <c r="H120" s="305">
        <f>'PCO Log'!DS6</f>
        <v>0</v>
      </c>
      <c r="K120" s="303" t="s">
        <v>324</v>
      </c>
      <c r="L120" s="306">
        <v>56</v>
      </c>
      <c r="N120" s="321">
        <v>12</v>
      </c>
      <c r="P120" s="303" t="str">
        <f>'Pay App 1'!C83</f>
        <v>Arch. Woodwork &amp; Finish Carp.</v>
      </c>
      <c r="Q120" s="304">
        <f>SUMIFS('PCO Log'!$E38:$SJ38,'PCO Log'!$E$4:$SJ$4,"AE ERROR"&amp;"*",'PCO Log'!$E$7:$SJ$7,"Approved")</f>
        <v>0</v>
      </c>
      <c r="R120" s="304">
        <f>SUMIFS('PCO Log'!$E38:$SJ38,'PCO Log'!$E$4:$SJ$4,"AE OMISS"&amp;"*",'PCO Log'!$E$7:$SJ$7,"Approved")</f>
        <v>0</v>
      </c>
      <c r="S120" s="304">
        <f>SUMIFS('PCO Log'!$E38:$SJ38,'PCO Log'!$E$4:$SJ$4,"SCOPE",'PCO Log'!$E$7:$SJ$7,"Approved")</f>
        <v>0</v>
      </c>
      <c r="T120" s="304">
        <f>SUMIFS('PCO Log'!$E38:$SJ38,'PCO Log'!$E$4:$SJ$4,"CONTINGENCY",'PCO Log'!$E$7:$SJ$7,"Approved")</f>
        <v>0</v>
      </c>
      <c r="U120" s="304">
        <f>SUMIFS('PCO Log'!$E38:$SJ38,'PCO Log'!$E$4:$SJ$4,"UNKN"&amp;"*",'PCO Log'!$E$7:$SJ$7,"Approved")</f>
        <v>0</v>
      </c>
    </row>
    <row r="121" spans="1:21" x14ac:dyDescent="0.25">
      <c r="A121" s="303" t="s">
        <v>471</v>
      </c>
      <c r="B121" s="303">
        <f>'PCO Log'!DT7</f>
        <v>0</v>
      </c>
      <c r="C121" s="303">
        <f>'PCO Log'!DT4</f>
        <v>0</v>
      </c>
      <c r="D121" s="303" cm="1">
        <f t="array" ref="D121">INDEX('PCO Log'!$E$5:$SJ$5, 1, ROWS('Graph Data'!$D$2:D121))</f>
        <v>0</v>
      </c>
      <c r="E121" s="303">
        <f>'PCO Log'!DT8</f>
        <v>0</v>
      </c>
      <c r="F121" s="303">
        <f>'PCO Log'!DT3</f>
        <v>0</v>
      </c>
      <c r="G121" s="304">
        <f>'PCO Log'!DT10</f>
        <v>0</v>
      </c>
      <c r="H121" s="305">
        <f>'PCO Log'!DT6</f>
        <v>0</v>
      </c>
      <c r="K121" s="303" t="s">
        <v>325</v>
      </c>
      <c r="L121" s="306">
        <v>57</v>
      </c>
      <c r="N121" s="321">
        <v>13</v>
      </c>
      <c r="P121" s="303" t="str">
        <f>'Pay App 1'!C84</f>
        <v>Waterproofing/Water Repellents</v>
      </c>
      <c r="Q121" s="304">
        <f>SUMIFS('PCO Log'!$E39:$SJ39,'PCO Log'!$E$4:$SJ$4,"AE ERROR"&amp;"*",'PCO Log'!$E$7:$SJ$7,"Approved")</f>
        <v>0</v>
      </c>
      <c r="R121" s="304">
        <f>SUMIFS('PCO Log'!$E39:$SJ39,'PCO Log'!$E$4:$SJ$4,"AE OMISS"&amp;"*",'PCO Log'!$E$7:$SJ$7,"Approved")</f>
        <v>0</v>
      </c>
      <c r="S121" s="304">
        <f>SUMIFS('PCO Log'!$E39:$SJ39,'PCO Log'!$E$4:$SJ$4,"SCOPE",'PCO Log'!$E$7:$SJ$7,"Approved")</f>
        <v>0</v>
      </c>
      <c r="T121" s="304">
        <f>SUMIFS('PCO Log'!$E39:$SJ39,'PCO Log'!$E$4:$SJ$4,"CONTINGENCY",'PCO Log'!$E$7:$SJ$7,"Approved")</f>
        <v>0</v>
      </c>
      <c r="U121" s="304">
        <f>SUMIFS('PCO Log'!$E39:$SJ39,'PCO Log'!$E$4:$SJ$4,"UNKN"&amp;"*",'PCO Log'!$E$7:$SJ$7,"Approved")</f>
        <v>0</v>
      </c>
    </row>
    <row r="122" spans="1:21" x14ac:dyDescent="0.25">
      <c r="A122" s="303" t="s">
        <v>472</v>
      </c>
      <c r="B122" s="303">
        <f>'PCO Log'!DU7</f>
        <v>0</v>
      </c>
      <c r="C122" s="303">
        <f>'PCO Log'!DU4</f>
        <v>0</v>
      </c>
      <c r="D122" s="303" cm="1">
        <f t="array" ref="D122">INDEX('PCO Log'!$E$5:$SJ$5, 1, ROWS('Graph Data'!$D$2:D122))</f>
        <v>0</v>
      </c>
      <c r="E122" s="303">
        <f>'PCO Log'!DU8</f>
        <v>0</v>
      </c>
      <c r="F122" s="303">
        <f>'PCO Log'!DU3</f>
        <v>0</v>
      </c>
      <c r="G122" s="304">
        <f>'PCO Log'!DU10</f>
        <v>0</v>
      </c>
      <c r="H122" s="305">
        <f>'PCO Log'!DU6</f>
        <v>0</v>
      </c>
      <c r="K122" s="303" t="s">
        <v>326</v>
      </c>
      <c r="L122" s="306">
        <v>58</v>
      </c>
      <c r="N122" s="321">
        <v>14</v>
      </c>
      <c r="P122" s="303" t="str">
        <f>'Pay App 1'!C85</f>
        <v>Insulation</v>
      </c>
      <c r="Q122" s="304">
        <f>SUMIFS('PCO Log'!$E40:$SJ40,'PCO Log'!$E$4:$SJ$4,"AE ERROR"&amp;"*",'PCO Log'!$E$7:$SJ$7,"Approved")</f>
        <v>0</v>
      </c>
      <c r="R122" s="304">
        <f>SUMIFS('PCO Log'!$E40:$SJ40,'PCO Log'!$E$4:$SJ$4,"AE OMISS"&amp;"*",'PCO Log'!$E$7:$SJ$7,"Approved")</f>
        <v>0</v>
      </c>
      <c r="S122" s="304">
        <f>SUMIFS('PCO Log'!$E40:$SJ40,'PCO Log'!$E$4:$SJ$4,"SCOPE",'PCO Log'!$E$7:$SJ$7,"Approved")</f>
        <v>0</v>
      </c>
      <c r="T122" s="304">
        <f>SUMIFS('PCO Log'!$E40:$SJ40,'PCO Log'!$E$4:$SJ$4,"CONTINGENCY",'PCO Log'!$E$7:$SJ$7,"Approved")</f>
        <v>0</v>
      </c>
      <c r="U122" s="304">
        <f>SUMIFS('PCO Log'!$E40:$SJ40,'PCO Log'!$E$4:$SJ$4,"UNKN"&amp;"*",'PCO Log'!$E$7:$SJ$7,"Approved")</f>
        <v>0</v>
      </c>
    </row>
    <row r="123" spans="1:21" x14ac:dyDescent="0.25">
      <c r="A123" s="303" t="s">
        <v>473</v>
      </c>
      <c r="B123" s="303">
        <f>'PCO Log'!DV7</f>
        <v>0</v>
      </c>
      <c r="C123" s="303">
        <f>'PCO Log'!DV4</f>
        <v>0</v>
      </c>
      <c r="D123" s="303" cm="1">
        <f t="array" ref="D123">INDEX('PCO Log'!$E$5:$SJ$5, 1, ROWS('Graph Data'!$D$2:D123))</f>
        <v>0</v>
      </c>
      <c r="E123" s="303">
        <f>'PCO Log'!DV8</f>
        <v>0</v>
      </c>
      <c r="F123" s="303">
        <f>'PCO Log'!DV3</f>
        <v>0</v>
      </c>
      <c r="G123" s="304">
        <f>'PCO Log'!DV10</f>
        <v>0</v>
      </c>
      <c r="H123" s="305">
        <f>'PCO Log'!DV6</f>
        <v>0</v>
      </c>
      <c r="K123" s="303" t="s">
        <v>327</v>
      </c>
      <c r="L123" s="306">
        <v>59</v>
      </c>
      <c r="N123" s="321">
        <v>15</v>
      </c>
      <c r="P123" s="303" t="str">
        <f>'Pay App 1'!C86</f>
        <v>EIFS</v>
      </c>
      <c r="Q123" s="304">
        <f>SUMIFS('PCO Log'!$E41:$SJ41,'PCO Log'!$E$4:$SJ$4,"AE ERROR"&amp;"*",'PCO Log'!$E$7:$SJ$7,"Approved")</f>
        <v>0</v>
      </c>
      <c r="R123" s="304">
        <f>SUMIFS('PCO Log'!$E41:$SJ41,'PCO Log'!$E$4:$SJ$4,"AE OMISS"&amp;"*",'PCO Log'!$E$7:$SJ$7,"Approved")</f>
        <v>0</v>
      </c>
      <c r="S123" s="304">
        <f>SUMIFS('PCO Log'!$E41:$SJ41,'PCO Log'!$E$4:$SJ$4,"SCOPE",'PCO Log'!$E$7:$SJ$7,"Approved")</f>
        <v>0</v>
      </c>
      <c r="T123" s="304">
        <f>SUMIFS('PCO Log'!$E41:$SJ41,'PCO Log'!$E$4:$SJ$4,"CONTINGENCY",'PCO Log'!$E$7:$SJ$7,"Approved")</f>
        <v>0</v>
      </c>
      <c r="U123" s="304">
        <f>SUMIFS('PCO Log'!$E41:$SJ41,'PCO Log'!$E$4:$SJ$4,"UNKN"&amp;"*",'PCO Log'!$E$7:$SJ$7,"Approved")</f>
        <v>0</v>
      </c>
    </row>
    <row r="124" spans="1:21" x14ac:dyDescent="0.25">
      <c r="A124" s="303" t="s">
        <v>474</v>
      </c>
      <c r="B124" s="303">
        <f>'PCO Log'!DW7</f>
        <v>0</v>
      </c>
      <c r="C124" s="303">
        <f>'PCO Log'!DW4</f>
        <v>0</v>
      </c>
      <c r="D124" s="303" cm="1">
        <f t="array" ref="D124">INDEX('PCO Log'!$E$5:$SJ$5, 1, ROWS('Graph Data'!$D$2:D124))</f>
        <v>0</v>
      </c>
      <c r="E124" s="303">
        <f>'PCO Log'!DW8</f>
        <v>0</v>
      </c>
      <c r="F124" s="303">
        <f>'PCO Log'!DW3</f>
        <v>0</v>
      </c>
      <c r="G124" s="304">
        <f>'PCO Log'!DW10</f>
        <v>0</v>
      </c>
      <c r="H124" s="305">
        <f>'PCO Log'!DW6</f>
        <v>0</v>
      </c>
      <c r="K124" s="303" t="s">
        <v>328</v>
      </c>
      <c r="L124" s="306">
        <v>60</v>
      </c>
      <c r="N124" s="321">
        <v>16</v>
      </c>
      <c r="P124" s="303" t="str">
        <f>'Pay App 1'!C87</f>
        <v>Vapor Retarders</v>
      </c>
      <c r="Q124" s="304">
        <f>SUMIFS('PCO Log'!$E42:$SJ42,'PCO Log'!$E$4:$SJ$4,"AE ERROR"&amp;"*",'PCO Log'!$E$7:$SJ$7,"Approved")</f>
        <v>0</v>
      </c>
      <c r="R124" s="304">
        <f>SUMIFS('PCO Log'!$E42:$SJ42,'PCO Log'!$E$4:$SJ$4,"AE OMISS"&amp;"*",'PCO Log'!$E$7:$SJ$7,"Approved")</f>
        <v>0</v>
      </c>
      <c r="S124" s="304">
        <f>SUMIFS('PCO Log'!$E42:$SJ42,'PCO Log'!$E$4:$SJ$4,"SCOPE",'PCO Log'!$E$7:$SJ$7,"Approved")</f>
        <v>0</v>
      </c>
      <c r="T124" s="304">
        <f>SUMIFS('PCO Log'!$E42:$SJ42,'PCO Log'!$E$4:$SJ$4,"CONTINGENCY",'PCO Log'!$E$7:$SJ$7,"Approved")</f>
        <v>0</v>
      </c>
      <c r="U124" s="304">
        <f>SUMIFS('PCO Log'!$E42:$SJ42,'PCO Log'!$E$4:$SJ$4,"UNKN"&amp;"*",'PCO Log'!$E$7:$SJ$7,"Approved")</f>
        <v>0</v>
      </c>
    </row>
    <row r="125" spans="1:21" x14ac:dyDescent="0.25">
      <c r="A125" s="303" t="s">
        <v>475</v>
      </c>
      <c r="B125" s="303">
        <f>'PCO Log'!DX7</f>
        <v>0</v>
      </c>
      <c r="C125" s="303">
        <f>'PCO Log'!DX4</f>
        <v>0</v>
      </c>
      <c r="D125" s="303" cm="1">
        <f t="array" ref="D125">INDEX('PCO Log'!$E$5:$SJ$5, 1, ROWS('Graph Data'!$D$2:D125))</f>
        <v>0</v>
      </c>
      <c r="E125" s="303">
        <f>'PCO Log'!DX8</f>
        <v>0</v>
      </c>
      <c r="F125" s="303">
        <f>'PCO Log'!DX3</f>
        <v>0</v>
      </c>
      <c r="G125" s="304">
        <f>'PCO Log'!DX10</f>
        <v>0</v>
      </c>
      <c r="H125" s="305">
        <f>'PCO Log'!DX6</f>
        <v>0</v>
      </c>
      <c r="L125" s="306">
        <v>61</v>
      </c>
      <c r="N125" s="321">
        <v>17</v>
      </c>
      <c r="P125" s="303" t="str">
        <f>'Pay App 1'!C88</f>
        <v>Roofing</v>
      </c>
      <c r="Q125" s="304">
        <f>SUMIFS('PCO Log'!$E43:$SJ43,'PCO Log'!$E$4:$SJ$4,"AE ERROR"&amp;"*",'PCO Log'!$E$7:$SJ$7,"Approved")</f>
        <v>0</v>
      </c>
      <c r="R125" s="304">
        <f>SUMIFS('PCO Log'!$E43:$SJ43,'PCO Log'!$E$4:$SJ$4,"AE OMISS"&amp;"*",'PCO Log'!$E$7:$SJ$7,"Approved")</f>
        <v>0</v>
      </c>
      <c r="S125" s="304">
        <f>SUMIFS('PCO Log'!$E43:$SJ43,'PCO Log'!$E$4:$SJ$4,"SCOPE",'PCO Log'!$E$7:$SJ$7,"Approved")</f>
        <v>0</v>
      </c>
      <c r="T125" s="304">
        <f>SUMIFS('PCO Log'!$E43:$SJ43,'PCO Log'!$E$4:$SJ$4,"CONTINGENCY",'PCO Log'!$E$7:$SJ$7,"Approved")</f>
        <v>0</v>
      </c>
      <c r="U125" s="304">
        <f>SUMIFS('PCO Log'!$E43:$SJ43,'PCO Log'!$E$4:$SJ$4,"UNKN"&amp;"*",'PCO Log'!$E$7:$SJ$7,"Approved")</f>
        <v>0</v>
      </c>
    </row>
    <row r="126" spans="1:21" x14ac:dyDescent="0.25">
      <c r="A126" s="303" t="s">
        <v>476</v>
      </c>
      <c r="B126" s="303">
        <f>'PCO Log'!DY7</f>
        <v>0</v>
      </c>
      <c r="C126" s="303">
        <f>'PCO Log'!DY4</f>
        <v>0</v>
      </c>
      <c r="D126" s="303" cm="1">
        <f t="array" ref="D126">INDEX('PCO Log'!$E$5:$SJ$5, 1, ROWS('Graph Data'!$D$2:D126))</f>
        <v>0</v>
      </c>
      <c r="E126" s="303">
        <f>'PCO Log'!DY8</f>
        <v>0</v>
      </c>
      <c r="F126" s="303">
        <f>'PCO Log'!DY3</f>
        <v>0</v>
      </c>
      <c r="G126" s="304">
        <f>'PCO Log'!DY10</f>
        <v>0</v>
      </c>
      <c r="H126" s="305">
        <f>'PCO Log'!DY6</f>
        <v>0</v>
      </c>
      <c r="L126" s="306">
        <v>62</v>
      </c>
      <c r="N126" s="321">
        <v>18</v>
      </c>
      <c r="P126" s="303" t="str">
        <f>'Pay App 1'!C89</f>
        <v>Metal Panels</v>
      </c>
      <c r="Q126" s="304">
        <f>SUMIFS('PCO Log'!$E44:$SJ44,'PCO Log'!$E$4:$SJ$4,"AE ERROR"&amp;"*",'PCO Log'!$E$7:$SJ$7,"Approved")</f>
        <v>0</v>
      </c>
      <c r="R126" s="304">
        <f>SUMIFS('PCO Log'!$E44:$SJ44,'PCO Log'!$E$4:$SJ$4,"AE OMISS"&amp;"*",'PCO Log'!$E$7:$SJ$7,"Approved")</f>
        <v>0</v>
      </c>
      <c r="S126" s="304">
        <f>SUMIFS('PCO Log'!$E44:$SJ44,'PCO Log'!$E$4:$SJ$4,"SCOPE",'PCO Log'!$E$7:$SJ$7,"Approved")</f>
        <v>0</v>
      </c>
      <c r="T126" s="304">
        <f>SUMIFS('PCO Log'!$E44:$SJ44,'PCO Log'!$E$4:$SJ$4,"CONTINGENCY",'PCO Log'!$E$7:$SJ$7,"Approved")</f>
        <v>0</v>
      </c>
      <c r="U126" s="304">
        <f>SUMIFS('PCO Log'!$E44:$SJ44,'PCO Log'!$E$4:$SJ$4,"UNKN"&amp;"*",'PCO Log'!$E$7:$SJ$7,"Approved")</f>
        <v>0</v>
      </c>
    </row>
    <row r="127" spans="1:21" x14ac:dyDescent="0.25">
      <c r="A127" s="303" t="s">
        <v>477</v>
      </c>
      <c r="B127" s="303">
        <f>'PCO Log'!DZ7</f>
        <v>0</v>
      </c>
      <c r="C127" s="303">
        <f>'PCO Log'!DZ4</f>
        <v>0</v>
      </c>
      <c r="D127" s="303" cm="1">
        <f t="array" ref="D127">INDEX('PCO Log'!$E$5:$SJ$5, 1, ROWS('Graph Data'!$D$2:D127))</f>
        <v>0</v>
      </c>
      <c r="E127" s="303">
        <f>'PCO Log'!DZ8</f>
        <v>0</v>
      </c>
      <c r="F127" s="303">
        <f>'PCO Log'!DZ3</f>
        <v>0</v>
      </c>
      <c r="G127" s="304">
        <f>'PCO Log'!DZ10</f>
        <v>0</v>
      </c>
      <c r="H127" s="305">
        <f>'PCO Log'!DZ6</f>
        <v>0</v>
      </c>
      <c r="L127" s="306">
        <v>63</v>
      </c>
      <c r="N127" s="321">
        <v>19</v>
      </c>
      <c r="P127" s="303" t="str">
        <f>'Pay App 1'!C90</f>
        <v>Sheet Metal Flashing &amp; Trim</v>
      </c>
      <c r="Q127" s="304">
        <f>SUMIFS('PCO Log'!$E45:$SJ45,'PCO Log'!$E$4:$SJ$4,"AE ERROR"&amp;"*",'PCO Log'!$E$7:$SJ$7,"Approved")</f>
        <v>0</v>
      </c>
      <c r="R127" s="304">
        <f>SUMIFS('PCO Log'!$E45:$SJ45,'PCO Log'!$E$4:$SJ$4,"AE OMISS"&amp;"*",'PCO Log'!$E$7:$SJ$7,"Approved")</f>
        <v>0</v>
      </c>
      <c r="S127" s="304">
        <f>SUMIFS('PCO Log'!$E45:$SJ45,'PCO Log'!$E$4:$SJ$4,"SCOPE",'PCO Log'!$E$7:$SJ$7,"Approved")</f>
        <v>0</v>
      </c>
      <c r="T127" s="304">
        <f>SUMIFS('PCO Log'!$E45:$SJ45,'PCO Log'!$E$4:$SJ$4,"CONTINGENCY",'PCO Log'!$E$7:$SJ$7,"Approved")</f>
        <v>0</v>
      </c>
      <c r="U127" s="304">
        <f>SUMIFS('PCO Log'!$E45:$SJ45,'PCO Log'!$E$4:$SJ$4,"UNKN"&amp;"*",'PCO Log'!$E$7:$SJ$7,"Approved")</f>
        <v>0</v>
      </c>
    </row>
    <row r="128" spans="1:21" x14ac:dyDescent="0.25">
      <c r="A128" s="303" t="s">
        <v>478</v>
      </c>
      <c r="B128" s="303">
        <f>'PCO Log'!EA7</f>
        <v>0</v>
      </c>
      <c r="C128" s="303">
        <f>'PCO Log'!EA4</f>
        <v>0</v>
      </c>
      <c r="D128" s="303" cm="1">
        <f t="array" ref="D128">INDEX('PCO Log'!$E$5:$SJ$5, 1, ROWS('Graph Data'!$D$2:D128))</f>
        <v>0</v>
      </c>
      <c r="E128" s="303">
        <f>'PCO Log'!EA8</f>
        <v>0</v>
      </c>
      <c r="F128" s="303">
        <f>'PCO Log'!EA3</f>
        <v>0</v>
      </c>
      <c r="G128" s="304">
        <f>'PCO Log'!EA10</f>
        <v>0</v>
      </c>
      <c r="H128" s="305">
        <f>'PCO Log'!EA6</f>
        <v>0</v>
      </c>
      <c r="L128" s="306">
        <v>64</v>
      </c>
      <c r="N128" s="321">
        <v>20</v>
      </c>
      <c r="P128" s="303" t="str">
        <f>'Pay App 1'!C91</f>
        <v>Fireproofing</v>
      </c>
      <c r="Q128" s="304">
        <f>SUMIFS('PCO Log'!$E46:$SJ46,'PCO Log'!$E$4:$SJ$4,"AE ERROR"&amp;"*",'PCO Log'!$E$7:$SJ$7,"Approved")</f>
        <v>0</v>
      </c>
      <c r="R128" s="304">
        <f>SUMIFS('PCO Log'!$E46:$SJ46,'PCO Log'!$E$4:$SJ$4,"AE OMISS"&amp;"*",'PCO Log'!$E$7:$SJ$7,"Approved")</f>
        <v>0</v>
      </c>
      <c r="S128" s="304">
        <f>SUMIFS('PCO Log'!$E46:$SJ46,'PCO Log'!$E$4:$SJ$4,"SCOPE",'PCO Log'!$E$7:$SJ$7,"Approved")</f>
        <v>0</v>
      </c>
      <c r="T128" s="304">
        <f>SUMIFS('PCO Log'!$E46:$SJ46,'PCO Log'!$E$4:$SJ$4,"CONTINGENCY",'PCO Log'!$E$7:$SJ$7,"Approved")</f>
        <v>0</v>
      </c>
      <c r="U128" s="304">
        <f>SUMIFS('PCO Log'!$E46:$SJ46,'PCO Log'!$E$4:$SJ$4,"UNKN"&amp;"*",'PCO Log'!$E$7:$SJ$7,"Approved")</f>
        <v>0</v>
      </c>
    </row>
    <row r="129" spans="1:21" x14ac:dyDescent="0.25">
      <c r="A129" s="303" t="s">
        <v>479</v>
      </c>
      <c r="B129" s="303">
        <f>'PCO Log'!EB7</f>
        <v>0</v>
      </c>
      <c r="C129" s="303">
        <f>'PCO Log'!EB4</f>
        <v>0</v>
      </c>
      <c r="D129" s="303" cm="1">
        <f t="array" ref="D129">INDEX('PCO Log'!$E$5:$SJ$5, 1, ROWS('Graph Data'!$D$2:D129))</f>
        <v>0</v>
      </c>
      <c r="E129" s="303">
        <f>'PCO Log'!EB8</f>
        <v>0</v>
      </c>
      <c r="F129" s="303">
        <f>'PCO Log'!EB3</f>
        <v>0</v>
      </c>
      <c r="G129" s="304">
        <f>'PCO Log'!EB10</f>
        <v>0</v>
      </c>
      <c r="H129" s="305">
        <f>'PCO Log'!EB6</f>
        <v>0</v>
      </c>
      <c r="L129" s="306">
        <v>65</v>
      </c>
      <c r="N129" s="321">
        <v>21</v>
      </c>
      <c r="P129" s="303" t="str">
        <f>'Pay App 1'!C92</f>
        <v>Joint Sealants</v>
      </c>
      <c r="Q129" s="304">
        <f>SUMIFS('PCO Log'!$E47:$SJ47,'PCO Log'!$E$4:$SJ$4,"AE ERROR"&amp;"*",'PCO Log'!$E$7:$SJ$7,"Approved")</f>
        <v>0</v>
      </c>
      <c r="R129" s="304">
        <f>SUMIFS('PCO Log'!$E47:$SJ47,'PCO Log'!$E$4:$SJ$4,"AE OMISS"&amp;"*",'PCO Log'!$E$7:$SJ$7,"Approved")</f>
        <v>0</v>
      </c>
      <c r="S129" s="304">
        <f>SUMIFS('PCO Log'!$E47:$SJ47,'PCO Log'!$E$4:$SJ$4,"SCOPE",'PCO Log'!$E$7:$SJ$7,"Approved")</f>
        <v>0</v>
      </c>
      <c r="T129" s="304">
        <f>SUMIFS('PCO Log'!$E47:$SJ47,'PCO Log'!$E$4:$SJ$4,"CONTINGENCY",'PCO Log'!$E$7:$SJ$7,"Approved")</f>
        <v>0</v>
      </c>
      <c r="U129" s="304">
        <f>SUMIFS('PCO Log'!$E47:$SJ47,'PCO Log'!$E$4:$SJ$4,"UNKN"&amp;"*",'PCO Log'!$E$7:$SJ$7,"Approved")</f>
        <v>0</v>
      </c>
    </row>
    <row r="130" spans="1:21" x14ac:dyDescent="0.25">
      <c r="A130" s="303" t="s">
        <v>480</v>
      </c>
      <c r="B130" s="303">
        <f>'PCO Log'!EC7</f>
        <v>0</v>
      </c>
      <c r="C130" s="303">
        <f>'PCO Log'!EC4</f>
        <v>0</v>
      </c>
      <c r="D130" s="303" cm="1">
        <f t="array" ref="D130">INDEX('PCO Log'!$E$5:$SJ$5, 1, ROWS('Graph Data'!$D$2:D130))</f>
        <v>0</v>
      </c>
      <c r="E130" s="303">
        <f>'PCO Log'!EC8</f>
        <v>0</v>
      </c>
      <c r="F130" s="303">
        <f>'PCO Log'!EC3</f>
        <v>0</v>
      </c>
      <c r="G130" s="304">
        <f>'PCO Log'!EC10</f>
        <v>0</v>
      </c>
      <c r="H130" s="305">
        <f>'PCO Log'!EC6</f>
        <v>0</v>
      </c>
      <c r="L130" s="306">
        <v>66</v>
      </c>
      <c r="N130" s="321">
        <v>22</v>
      </c>
      <c r="P130" s="303" t="str">
        <f>'Pay App 1'!C93</f>
        <v>Expansion Joints</v>
      </c>
      <c r="Q130" s="304">
        <f>SUMIFS('PCO Log'!$E48:$SJ48,'PCO Log'!$E$4:$SJ$4,"AE ERROR"&amp;"*",'PCO Log'!$E$7:$SJ$7,"Approved")</f>
        <v>0</v>
      </c>
      <c r="R130" s="304">
        <f>SUMIFS('PCO Log'!$E48:$SJ48,'PCO Log'!$E$4:$SJ$4,"AE OMISS"&amp;"*",'PCO Log'!$E$7:$SJ$7,"Approved")</f>
        <v>0</v>
      </c>
      <c r="S130" s="304">
        <f>SUMIFS('PCO Log'!$E48:$SJ48,'PCO Log'!$E$4:$SJ$4,"SCOPE",'PCO Log'!$E$7:$SJ$7,"Approved")</f>
        <v>0</v>
      </c>
      <c r="T130" s="304">
        <f>SUMIFS('PCO Log'!$E48:$SJ48,'PCO Log'!$E$4:$SJ$4,"CONTINGENCY",'PCO Log'!$E$7:$SJ$7,"Approved")</f>
        <v>0</v>
      </c>
      <c r="U130" s="304">
        <f>SUMIFS('PCO Log'!$E48:$SJ48,'PCO Log'!$E$4:$SJ$4,"UNKN"&amp;"*",'PCO Log'!$E$7:$SJ$7,"Approved")</f>
        <v>0</v>
      </c>
    </row>
    <row r="131" spans="1:21" x14ac:dyDescent="0.25">
      <c r="A131" s="303" t="s">
        <v>481</v>
      </c>
      <c r="B131" s="303">
        <f>'PCO Log'!ED7</f>
        <v>0</v>
      </c>
      <c r="C131" s="303">
        <f>'PCO Log'!ED4</f>
        <v>0</v>
      </c>
      <c r="D131" s="303" cm="1">
        <f t="array" ref="D131">INDEX('PCO Log'!$E$5:$SJ$5, 1, ROWS('Graph Data'!$D$2:D131))</f>
        <v>0</v>
      </c>
      <c r="E131" s="303">
        <f>'PCO Log'!ED8</f>
        <v>0</v>
      </c>
      <c r="F131" s="303">
        <f>'PCO Log'!ED3</f>
        <v>0</v>
      </c>
      <c r="G131" s="304">
        <f>'PCO Log'!ED10</f>
        <v>0</v>
      </c>
      <c r="H131" s="305">
        <f>'PCO Log'!ED6</f>
        <v>0</v>
      </c>
      <c r="L131" s="306">
        <v>67</v>
      </c>
      <c r="N131" s="321">
        <v>23</v>
      </c>
      <c r="P131" s="303" t="str">
        <f>'Pay App 1'!C94</f>
        <v>Doors, Frames &amp; Hardware</v>
      </c>
      <c r="Q131" s="304">
        <f>SUMIFS('PCO Log'!$E49:$SJ49,'PCO Log'!$E$4:$SJ$4,"AE ERROR"&amp;"*",'PCO Log'!$E$7:$SJ$7,"Approved")</f>
        <v>0</v>
      </c>
      <c r="R131" s="304">
        <f>SUMIFS('PCO Log'!$E49:$SJ49,'PCO Log'!$E$4:$SJ$4,"AE OMISS"&amp;"*",'PCO Log'!$E$7:$SJ$7,"Approved")</f>
        <v>0</v>
      </c>
      <c r="S131" s="304">
        <f>SUMIFS('PCO Log'!$E49:$SJ49,'PCO Log'!$E$4:$SJ$4,"SCOPE",'PCO Log'!$E$7:$SJ$7,"Approved")</f>
        <v>0</v>
      </c>
      <c r="T131" s="304">
        <f>SUMIFS('PCO Log'!$E49:$SJ49,'PCO Log'!$E$4:$SJ$4,"CONTINGENCY",'PCO Log'!$E$7:$SJ$7,"Approved")</f>
        <v>0</v>
      </c>
      <c r="U131" s="304">
        <f>SUMIFS('PCO Log'!$E49:$SJ49,'PCO Log'!$E$4:$SJ$4,"UNKN"&amp;"*",'PCO Log'!$E$7:$SJ$7,"Approved")</f>
        <v>0</v>
      </c>
    </row>
    <row r="132" spans="1:21" x14ac:dyDescent="0.25">
      <c r="A132" s="303" t="s">
        <v>482</v>
      </c>
      <c r="B132" s="303">
        <f>'PCO Log'!EE7</f>
        <v>0</v>
      </c>
      <c r="C132" s="303">
        <f>'PCO Log'!EE4</f>
        <v>0</v>
      </c>
      <c r="D132" s="303" cm="1">
        <f t="array" ref="D132">INDEX('PCO Log'!$E$5:$SJ$5, 1, ROWS('Graph Data'!$D$2:D132))</f>
        <v>0</v>
      </c>
      <c r="E132" s="303">
        <f>'PCO Log'!EE8</f>
        <v>0</v>
      </c>
      <c r="F132" s="303">
        <f>'PCO Log'!EE3</f>
        <v>0</v>
      </c>
      <c r="G132" s="304">
        <f>'PCO Log'!EE10</f>
        <v>0</v>
      </c>
      <c r="H132" s="305">
        <f>'PCO Log'!EE6</f>
        <v>0</v>
      </c>
      <c r="L132" s="306">
        <v>68</v>
      </c>
      <c r="N132" s="321">
        <v>24</v>
      </c>
      <c r="P132" s="303" t="str">
        <f>'Pay App 1'!C95</f>
        <v>Specialty Doors</v>
      </c>
      <c r="Q132" s="304">
        <f>SUMIFS('PCO Log'!$E50:$SJ50,'PCO Log'!$E$4:$SJ$4,"AE ERROR"&amp;"*",'PCO Log'!$E$7:$SJ$7,"Approved")</f>
        <v>0</v>
      </c>
      <c r="R132" s="304">
        <f>SUMIFS('PCO Log'!$E50:$SJ50,'PCO Log'!$E$4:$SJ$4,"AE OMISS"&amp;"*",'PCO Log'!$E$7:$SJ$7,"Approved")</f>
        <v>0</v>
      </c>
      <c r="S132" s="304">
        <f>SUMIFS('PCO Log'!$E50:$SJ50,'PCO Log'!$E$4:$SJ$4,"SCOPE",'PCO Log'!$E$7:$SJ$7,"Approved")</f>
        <v>0</v>
      </c>
      <c r="T132" s="304">
        <f>SUMIFS('PCO Log'!$E50:$SJ50,'PCO Log'!$E$4:$SJ$4,"CONTINGENCY",'PCO Log'!$E$7:$SJ$7,"Approved")</f>
        <v>0</v>
      </c>
      <c r="U132" s="304">
        <f>SUMIFS('PCO Log'!$E50:$SJ50,'PCO Log'!$E$4:$SJ$4,"UNKN"&amp;"*",'PCO Log'!$E$7:$SJ$7,"Approved")</f>
        <v>0</v>
      </c>
    </row>
    <row r="133" spans="1:21" x14ac:dyDescent="0.25">
      <c r="A133" s="303" t="s">
        <v>483</v>
      </c>
      <c r="B133" s="303">
        <f>'PCO Log'!EF7</f>
        <v>0</v>
      </c>
      <c r="C133" s="303">
        <f>'PCO Log'!EF4</f>
        <v>0</v>
      </c>
      <c r="D133" s="303" cm="1">
        <f t="array" ref="D133">INDEX('PCO Log'!$E$5:$SJ$5, 1, ROWS('Graph Data'!$D$2:D133))</f>
        <v>0</v>
      </c>
      <c r="E133" s="303">
        <f>'PCO Log'!EF8</f>
        <v>0</v>
      </c>
      <c r="F133" s="303">
        <f>'PCO Log'!EF3</f>
        <v>0</v>
      </c>
      <c r="G133" s="304">
        <f>'PCO Log'!EF10</f>
        <v>0</v>
      </c>
      <c r="H133" s="305">
        <f>'PCO Log'!EF6</f>
        <v>0</v>
      </c>
      <c r="L133" s="306">
        <v>69</v>
      </c>
      <c r="N133" s="321">
        <v>25</v>
      </c>
      <c r="P133" s="303" t="str">
        <f>'Pay App 1'!C96</f>
        <v>Overhead Doors/Coiling Doors</v>
      </c>
      <c r="Q133" s="304">
        <f>SUMIFS('PCO Log'!$E51:$SJ51,'PCO Log'!$E$4:$SJ$4,"AE ERROR"&amp;"*",'PCO Log'!$E$7:$SJ$7,"Approved")</f>
        <v>0</v>
      </c>
      <c r="R133" s="304">
        <f>SUMIFS('PCO Log'!$E51:$SJ51,'PCO Log'!$E$4:$SJ$4,"AE OMISS"&amp;"*",'PCO Log'!$E$7:$SJ$7,"Approved")</f>
        <v>0</v>
      </c>
      <c r="S133" s="304">
        <f>SUMIFS('PCO Log'!$E51:$SJ51,'PCO Log'!$E$4:$SJ$4,"SCOPE",'PCO Log'!$E$7:$SJ$7,"Approved")</f>
        <v>0</v>
      </c>
      <c r="T133" s="304">
        <f>SUMIFS('PCO Log'!$E51:$SJ51,'PCO Log'!$E$4:$SJ$4,"CONTINGENCY",'PCO Log'!$E$7:$SJ$7,"Approved")</f>
        <v>0</v>
      </c>
      <c r="U133" s="304">
        <f>SUMIFS('PCO Log'!$E51:$SJ51,'PCO Log'!$E$4:$SJ$4,"UNKN"&amp;"*",'PCO Log'!$E$7:$SJ$7,"Approved")</f>
        <v>0</v>
      </c>
    </row>
    <row r="134" spans="1:21" x14ac:dyDescent="0.25">
      <c r="A134" s="303" t="s">
        <v>484</v>
      </c>
      <c r="B134" s="303">
        <f>'PCO Log'!EG7</f>
        <v>0</v>
      </c>
      <c r="C134" s="303">
        <f>'PCO Log'!EG4</f>
        <v>0</v>
      </c>
      <c r="D134" s="303" cm="1">
        <f t="array" ref="D134">INDEX('PCO Log'!$E$5:$SJ$5, 1, ROWS('Graph Data'!$D$2:D134))</f>
        <v>0</v>
      </c>
      <c r="E134" s="303">
        <f>'PCO Log'!EG8</f>
        <v>0</v>
      </c>
      <c r="F134" s="303">
        <f>'PCO Log'!EG3</f>
        <v>0</v>
      </c>
      <c r="G134" s="304">
        <f>'PCO Log'!EG10</f>
        <v>0</v>
      </c>
      <c r="H134" s="305">
        <f>'PCO Log'!EG6</f>
        <v>0</v>
      </c>
      <c r="L134" s="306">
        <v>70</v>
      </c>
      <c r="N134" s="321">
        <v>26</v>
      </c>
      <c r="P134" s="303" t="str">
        <f>'Pay App 1'!C97</f>
        <v>Curtain Wall, Glass &amp; Glazing</v>
      </c>
      <c r="Q134" s="304">
        <f>SUMIFS('PCO Log'!$E52:$SJ52,'PCO Log'!$E$4:$SJ$4,"AE ERROR"&amp;"*",'PCO Log'!$E$7:$SJ$7,"Approved")</f>
        <v>0</v>
      </c>
      <c r="R134" s="304">
        <f>SUMIFS('PCO Log'!$E52:$SJ52,'PCO Log'!$E$4:$SJ$4,"AE OMISS"&amp;"*",'PCO Log'!$E$7:$SJ$7,"Approved")</f>
        <v>0</v>
      </c>
      <c r="S134" s="304">
        <f>SUMIFS('PCO Log'!$E52:$SJ52,'PCO Log'!$E$4:$SJ$4,"SCOPE",'PCO Log'!$E$7:$SJ$7,"Approved")</f>
        <v>0</v>
      </c>
      <c r="T134" s="304">
        <f>SUMIFS('PCO Log'!$E52:$SJ52,'PCO Log'!$E$4:$SJ$4,"CONTINGENCY",'PCO Log'!$E$7:$SJ$7,"Approved")</f>
        <v>0</v>
      </c>
      <c r="U134" s="304">
        <f>SUMIFS('PCO Log'!$E52:$SJ52,'PCO Log'!$E$4:$SJ$4,"UNKN"&amp;"*",'PCO Log'!$E$7:$SJ$7,"Approved")</f>
        <v>0</v>
      </c>
    </row>
    <row r="135" spans="1:21" x14ac:dyDescent="0.25">
      <c r="A135" s="303" t="s">
        <v>485</v>
      </c>
      <c r="B135" s="303">
        <f>'PCO Log'!EH7</f>
        <v>0</v>
      </c>
      <c r="C135" s="303">
        <f>'PCO Log'!EH4</f>
        <v>0</v>
      </c>
      <c r="D135" s="303" cm="1">
        <f t="array" ref="D135">INDEX('PCO Log'!$E$5:$SJ$5, 1, ROWS('Graph Data'!$D$2:D135))</f>
        <v>0</v>
      </c>
      <c r="E135" s="303">
        <f>'PCO Log'!EH8</f>
        <v>0</v>
      </c>
      <c r="F135" s="303">
        <f>'PCO Log'!EH3</f>
        <v>0</v>
      </c>
      <c r="G135" s="304">
        <f>'PCO Log'!EH10</f>
        <v>0</v>
      </c>
      <c r="H135" s="305">
        <f>'PCO Log'!EH6</f>
        <v>0</v>
      </c>
      <c r="L135" s="306">
        <v>71</v>
      </c>
      <c r="N135" s="321">
        <v>27</v>
      </c>
      <c r="P135" s="303" t="str">
        <f>'Pay App 1'!C98</f>
        <v>Skylights</v>
      </c>
      <c r="Q135" s="304">
        <f>SUMIFS('PCO Log'!$E53:$SJ53,'PCO Log'!$E$4:$SJ$4,"AE ERROR"&amp;"*",'PCO Log'!$E$7:$SJ$7,"Approved")</f>
        <v>0</v>
      </c>
      <c r="R135" s="304">
        <f>SUMIFS('PCO Log'!$E53:$SJ53,'PCO Log'!$E$4:$SJ$4,"AE OMISS"&amp;"*",'PCO Log'!$E$7:$SJ$7,"Approved")</f>
        <v>0</v>
      </c>
      <c r="S135" s="304">
        <f>SUMIFS('PCO Log'!$E53:$SJ53,'PCO Log'!$E$4:$SJ$4,"SCOPE",'PCO Log'!$E$7:$SJ$7,"Approved")</f>
        <v>0</v>
      </c>
      <c r="T135" s="304">
        <f>SUMIFS('PCO Log'!$E53:$SJ53,'PCO Log'!$E$4:$SJ$4,"CONTINGENCY",'PCO Log'!$E$7:$SJ$7,"Approved")</f>
        <v>0</v>
      </c>
      <c r="U135" s="304">
        <f>SUMIFS('PCO Log'!$E53:$SJ53,'PCO Log'!$E$4:$SJ$4,"UNKN"&amp;"*",'PCO Log'!$E$7:$SJ$7,"Approved")</f>
        <v>0</v>
      </c>
    </row>
    <row r="136" spans="1:21" x14ac:dyDescent="0.25">
      <c r="A136" s="303" t="s">
        <v>486</v>
      </c>
      <c r="B136" s="303">
        <f>'PCO Log'!EI7</f>
        <v>0</v>
      </c>
      <c r="C136" s="303">
        <f>'PCO Log'!EI4</f>
        <v>0</v>
      </c>
      <c r="D136" s="303" cm="1">
        <f t="array" ref="D136">INDEX('PCO Log'!$E$5:$SJ$5, 1, ROWS('Graph Data'!$D$2:D136))</f>
        <v>0</v>
      </c>
      <c r="E136" s="303">
        <f>'PCO Log'!EI8</f>
        <v>0</v>
      </c>
      <c r="F136" s="303">
        <f>'PCO Log'!EI3</f>
        <v>0</v>
      </c>
      <c r="G136" s="304">
        <f>'PCO Log'!EI10</f>
        <v>0</v>
      </c>
      <c r="H136" s="305">
        <f>'PCO Log'!EI6</f>
        <v>0</v>
      </c>
      <c r="L136" s="306">
        <v>72</v>
      </c>
      <c r="N136" s="321">
        <v>28</v>
      </c>
      <c r="P136" s="303" t="str">
        <f>'Pay App 1'!C99</f>
        <v>Louvers &amp; Vents</v>
      </c>
      <c r="Q136" s="304">
        <f>SUMIFS('PCO Log'!$E54:$SJ54,'PCO Log'!$E$4:$SJ$4,"AE ERROR"&amp;"*",'PCO Log'!$E$7:$SJ$7,"Approved")</f>
        <v>0</v>
      </c>
      <c r="R136" s="304">
        <f>SUMIFS('PCO Log'!$E54:$SJ54,'PCO Log'!$E$4:$SJ$4,"AE OMISS"&amp;"*",'PCO Log'!$E$7:$SJ$7,"Approved")</f>
        <v>0</v>
      </c>
      <c r="S136" s="304">
        <f>SUMIFS('PCO Log'!$E54:$SJ54,'PCO Log'!$E$4:$SJ$4,"SCOPE",'PCO Log'!$E$7:$SJ$7,"Approved")</f>
        <v>0</v>
      </c>
      <c r="T136" s="304">
        <f>SUMIFS('PCO Log'!$E54:$SJ54,'PCO Log'!$E$4:$SJ$4,"CONTINGENCY",'PCO Log'!$E$7:$SJ$7,"Approved")</f>
        <v>0</v>
      </c>
      <c r="U136" s="304">
        <f>SUMIFS('PCO Log'!$E54:$SJ54,'PCO Log'!$E$4:$SJ$4,"UNKN"&amp;"*",'PCO Log'!$E$7:$SJ$7,"Approved")</f>
        <v>0</v>
      </c>
    </row>
    <row r="137" spans="1:21" x14ac:dyDescent="0.25">
      <c r="A137" s="303" t="s">
        <v>487</v>
      </c>
      <c r="B137" s="303">
        <f>'PCO Log'!EJ7</f>
        <v>0</v>
      </c>
      <c r="C137" s="303">
        <f>'PCO Log'!EJ4</f>
        <v>0</v>
      </c>
      <c r="D137" s="303" cm="1">
        <f t="array" ref="D137">INDEX('PCO Log'!$E$5:$SJ$5, 1, ROWS('Graph Data'!$D$2:D137))</f>
        <v>0</v>
      </c>
      <c r="E137" s="303">
        <f>'PCO Log'!EJ8</f>
        <v>0</v>
      </c>
      <c r="F137" s="303">
        <f>'PCO Log'!EJ3</f>
        <v>0</v>
      </c>
      <c r="G137" s="304">
        <f>'PCO Log'!EJ10</f>
        <v>0</v>
      </c>
      <c r="H137" s="305">
        <f>'PCO Log'!EJ6</f>
        <v>0</v>
      </c>
      <c r="L137" s="306">
        <v>73</v>
      </c>
      <c r="N137" s="321">
        <v>29</v>
      </c>
      <c r="P137" s="303" t="str">
        <f>'Pay App 1'!C100</f>
        <v>Gypsum Board Systems</v>
      </c>
      <c r="Q137" s="304">
        <f>SUMIFS('PCO Log'!$E55:$SJ55,'PCO Log'!$E$4:$SJ$4,"AE ERROR"&amp;"*",'PCO Log'!$E$7:$SJ$7,"Approved")</f>
        <v>0</v>
      </c>
      <c r="R137" s="304">
        <f>SUMIFS('PCO Log'!$E55:$SJ55,'PCO Log'!$E$4:$SJ$4,"AE OMISS"&amp;"*",'PCO Log'!$E$7:$SJ$7,"Approved")</f>
        <v>0</v>
      </c>
      <c r="S137" s="304">
        <f>SUMIFS('PCO Log'!$E55:$SJ55,'PCO Log'!$E$4:$SJ$4,"SCOPE",'PCO Log'!$E$7:$SJ$7,"Approved")</f>
        <v>0</v>
      </c>
      <c r="T137" s="304">
        <f>SUMIFS('PCO Log'!$E55:$SJ55,'PCO Log'!$E$4:$SJ$4,"CONTINGENCY",'PCO Log'!$E$7:$SJ$7,"Approved")</f>
        <v>0</v>
      </c>
      <c r="U137" s="304">
        <f>SUMIFS('PCO Log'!$E55:$SJ55,'PCO Log'!$E$4:$SJ$4,"UNKN"&amp;"*",'PCO Log'!$E$7:$SJ$7,"Approved")</f>
        <v>0</v>
      </c>
    </row>
    <row r="138" spans="1:21" x14ac:dyDescent="0.25">
      <c r="A138" s="303" t="s">
        <v>488</v>
      </c>
      <c r="B138" s="303">
        <f>'PCO Log'!EK7</f>
        <v>0</v>
      </c>
      <c r="C138" s="303">
        <f>'PCO Log'!EK4</f>
        <v>0</v>
      </c>
      <c r="D138" s="303" cm="1">
        <f t="array" ref="D138">INDEX('PCO Log'!$E$5:$SJ$5, 1, ROWS('Graph Data'!$D$2:D138))</f>
        <v>0</v>
      </c>
      <c r="E138" s="303">
        <f>'PCO Log'!EK8</f>
        <v>0</v>
      </c>
      <c r="F138" s="303">
        <f>'PCO Log'!EK3</f>
        <v>0</v>
      </c>
      <c r="G138" s="304">
        <f>'PCO Log'!EK10</f>
        <v>0</v>
      </c>
      <c r="H138" s="305">
        <f>'PCO Log'!EK6</f>
        <v>0</v>
      </c>
      <c r="L138" s="306">
        <v>74</v>
      </c>
      <c r="N138" s="321">
        <v>30</v>
      </c>
      <c r="P138" s="303" t="str">
        <f>'Pay App 1'!C106</f>
        <v>Ceramic Tile</v>
      </c>
      <c r="Q138" s="304">
        <f>SUMIFS('PCO Log'!$E56:$SJ56,'PCO Log'!$E$4:$SJ$4,"AE ERROR"&amp;"*",'PCO Log'!$E$7:$SJ$7,"Approved")</f>
        <v>0</v>
      </c>
      <c r="R138" s="304">
        <f>SUMIFS('PCO Log'!$E56:$SJ56,'PCO Log'!$E$4:$SJ$4,"AE OMISS"&amp;"*",'PCO Log'!$E$7:$SJ$7,"Approved")</f>
        <v>0</v>
      </c>
      <c r="S138" s="304">
        <f>SUMIFS('PCO Log'!$E56:$SJ56,'PCO Log'!$E$4:$SJ$4,"SCOPE",'PCO Log'!$E$7:$SJ$7,"Approved")</f>
        <v>0</v>
      </c>
      <c r="T138" s="304">
        <f>SUMIFS('PCO Log'!$E56:$SJ56,'PCO Log'!$E$4:$SJ$4,"CONTINGENCY",'PCO Log'!$E$7:$SJ$7,"Approved")</f>
        <v>0</v>
      </c>
      <c r="U138" s="304">
        <f>SUMIFS('PCO Log'!$E56:$SJ56,'PCO Log'!$E$4:$SJ$4,"UNKN"&amp;"*",'PCO Log'!$E$7:$SJ$7,"Approved")</f>
        <v>0</v>
      </c>
    </row>
    <row r="139" spans="1:21" x14ac:dyDescent="0.25">
      <c r="A139" s="303" t="s">
        <v>489</v>
      </c>
      <c r="B139" s="303">
        <f>'PCO Log'!EL7</f>
        <v>0</v>
      </c>
      <c r="C139" s="303">
        <f>'PCO Log'!EL4</f>
        <v>0</v>
      </c>
      <c r="D139" s="303" cm="1">
        <f t="array" ref="D139">INDEX('PCO Log'!$E$5:$SJ$5, 1, ROWS('Graph Data'!$D$2:D139))</f>
        <v>0</v>
      </c>
      <c r="E139" s="303">
        <f>'PCO Log'!EL8</f>
        <v>0</v>
      </c>
      <c r="F139" s="303">
        <f>'PCO Log'!EL3</f>
        <v>0</v>
      </c>
      <c r="G139" s="304">
        <f>'PCO Log'!EL10</f>
        <v>0</v>
      </c>
      <c r="H139" s="305">
        <f>'PCO Log'!EL6</f>
        <v>0</v>
      </c>
      <c r="L139" s="306">
        <v>75</v>
      </c>
      <c r="N139" s="321">
        <v>31</v>
      </c>
      <c r="P139" s="303" t="str">
        <f>'Pay App 1'!C107</f>
        <v>Acoustical Ceilings</v>
      </c>
      <c r="Q139" s="304">
        <f>SUMIFS('PCO Log'!$E57:$SJ57,'PCO Log'!$E$4:$SJ$4,"AE ERROR"&amp;"*",'PCO Log'!$E$7:$SJ$7,"Approved")</f>
        <v>0</v>
      </c>
      <c r="R139" s="304">
        <f>SUMIFS('PCO Log'!$E57:$SJ57,'PCO Log'!$E$4:$SJ$4,"AE OMISS"&amp;"*",'PCO Log'!$E$7:$SJ$7,"Approved")</f>
        <v>0</v>
      </c>
      <c r="S139" s="304">
        <f>SUMIFS('PCO Log'!$E57:$SJ57,'PCO Log'!$E$4:$SJ$4,"SCOPE",'PCO Log'!$E$7:$SJ$7,"Approved")</f>
        <v>0</v>
      </c>
      <c r="T139" s="304">
        <f>SUMIFS('PCO Log'!$E57:$SJ57,'PCO Log'!$E$4:$SJ$4,"CONTINGENCY",'PCO Log'!$E$7:$SJ$7,"Approved")</f>
        <v>0</v>
      </c>
      <c r="U139" s="304">
        <f>SUMIFS('PCO Log'!$E57:$SJ57,'PCO Log'!$E$4:$SJ$4,"UNKN"&amp;"*",'PCO Log'!$E$7:$SJ$7,"Approved")</f>
        <v>0</v>
      </c>
    </row>
    <row r="140" spans="1:21" x14ac:dyDescent="0.25">
      <c r="A140" s="303" t="s">
        <v>490</v>
      </c>
      <c r="B140" s="303">
        <f>'PCO Log'!EM7</f>
        <v>0</v>
      </c>
      <c r="C140" s="303">
        <f>'PCO Log'!EM4</f>
        <v>0</v>
      </c>
      <c r="D140" s="303" cm="1">
        <f t="array" ref="D140">INDEX('PCO Log'!$E$5:$SJ$5, 1, ROWS('Graph Data'!$D$2:D140))</f>
        <v>0</v>
      </c>
      <c r="E140" s="303">
        <f>'PCO Log'!EM8</f>
        <v>0</v>
      </c>
      <c r="F140" s="303">
        <f>'PCO Log'!EM3</f>
        <v>0</v>
      </c>
      <c r="G140" s="304">
        <f>'PCO Log'!EM10</f>
        <v>0</v>
      </c>
      <c r="H140" s="305">
        <f>'PCO Log'!EM6</f>
        <v>0</v>
      </c>
      <c r="L140" s="306">
        <v>76</v>
      </c>
      <c r="N140" s="321">
        <v>32</v>
      </c>
      <c r="P140" s="303" t="str">
        <f>'Pay App 1'!C108</f>
        <v>Specialty Ceilings</v>
      </c>
      <c r="Q140" s="304">
        <f>SUMIFS('PCO Log'!$E58:$SJ58,'PCO Log'!$E$4:$SJ$4,"AE ERROR"&amp;"*",'PCO Log'!$E$7:$SJ$7,"Approved")</f>
        <v>0</v>
      </c>
      <c r="R140" s="304">
        <f>SUMIFS('PCO Log'!$E58:$SJ58,'PCO Log'!$E$4:$SJ$4,"AE OMISS"&amp;"*",'PCO Log'!$E$7:$SJ$7,"Approved")</f>
        <v>0</v>
      </c>
      <c r="S140" s="304">
        <f>SUMIFS('PCO Log'!$E58:$SJ58,'PCO Log'!$E$4:$SJ$4,"SCOPE",'PCO Log'!$E$7:$SJ$7,"Approved")</f>
        <v>0</v>
      </c>
      <c r="T140" s="304">
        <f>SUMIFS('PCO Log'!$E58:$SJ58,'PCO Log'!$E$4:$SJ$4,"CONTINGENCY",'PCO Log'!$E$7:$SJ$7,"Approved")</f>
        <v>0</v>
      </c>
      <c r="U140" s="304">
        <f>SUMIFS('PCO Log'!$E58:$SJ58,'PCO Log'!$E$4:$SJ$4,"UNKN"&amp;"*",'PCO Log'!$E$7:$SJ$7,"Approved")</f>
        <v>0</v>
      </c>
    </row>
    <row r="141" spans="1:21" x14ac:dyDescent="0.25">
      <c r="A141" s="303" t="s">
        <v>491</v>
      </c>
      <c r="B141" s="303">
        <f>'PCO Log'!EN7</f>
        <v>0</v>
      </c>
      <c r="C141" s="303">
        <f>'PCO Log'!EN4</f>
        <v>0</v>
      </c>
      <c r="D141" s="303" cm="1">
        <f t="array" ref="D141">INDEX('PCO Log'!$E$5:$SJ$5, 1, ROWS('Graph Data'!$D$2:D141))</f>
        <v>0</v>
      </c>
      <c r="E141" s="303">
        <f>'PCO Log'!EN8</f>
        <v>0</v>
      </c>
      <c r="F141" s="303">
        <f>'PCO Log'!EN3</f>
        <v>0</v>
      </c>
      <c r="G141" s="304">
        <f>'PCO Log'!EN10</f>
        <v>0</v>
      </c>
      <c r="H141" s="305">
        <f>'PCO Log'!EN6</f>
        <v>0</v>
      </c>
      <c r="L141" s="306">
        <v>77</v>
      </c>
      <c r="N141" s="321">
        <v>33</v>
      </c>
      <c r="P141" s="303" t="str">
        <f>'Pay App 1'!C109</f>
        <v>Floor Coverings</v>
      </c>
      <c r="Q141" s="304">
        <f>SUMIFS('PCO Log'!$E59:$SJ59,'PCO Log'!$E$4:$SJ$4,"AE ERROR"&amp;"*",'PCO Log'!$E$7:$SJ$7,"Approved")</f>
        <v>0</v>
      </c>
      <c r="R141" s="304">
        <f>SUMIFS('PCO Log'!$E59:$SJ59,'PCO Log'!$E$4:$SJ$4,"AE OMISS"&amp;"*",'PCO Log'!$E$7:$SJ$7,"Approved")</f>
        <v>0</v>
      </c>
      <c r="S141" s="304">
        <f>SUMIFS('PCO Log'!$E59:$SJ59,'PCO Log'!$E$4:$SJ$4,"SCOPE",'PCO Log'!$E$7:$SJ$7,"Approved")</f>
        <v>0</v>
      </c>
      <c r="T141" s="304">
        <f>SUMIFS('PCO Log'!$E59:$SJ59,'PCO Log'!$E$4:$SJ$4,"CONTINGENCY",'PCO Log'!$E$7:$SJ$7,"Approved")</f>
        <v>0</v>
      </c>
      <c r="U141" s="304">
        <f>SUMIFS('PCO Log'!$E59:$SJ59,'PCO Log'!$E$4:$SJ$4,"UNKN"&amp;"*",'PCO Log'!$E$7:$SJ$7,"Approved")</f>
        <v>0</v>
      </c>
    </row>
    <row r="142" spans="1:21" x14ac:dyDescent="0.25">
      <c r="A142" s="303" t="s">
        <v>492</v>
      </c>
      <c r="B142" s="303">
        <f>'PCO Log'!EO7</f>
        <v>0</v>
      </c>
      <c r="C142" s="303">
        <f>'PCO Log'!EO4</f>
        <v>0</v>
      </c>
      <c r="D142" s="303" cm="1">
        <f t="array" ref="D142">INDEX('PCO Log'!$E$5:$SJ$5, 1, ROWS('Graph Data'!$D$2:D142))</f>
        <v>0</v>
      </c>
      <c r="E142" s="303">
        <f>'PCO Log'!EO8</f>
        <v>0</v>
      </c>
      <c r="F142" s="303">
        <f>'PCO Log'!EO3</f>
        <v>0</v>
      </c>
      <c r="G142" s="304">
        <f>'PCO Log'!EO10</f>
        <v>0</v>
      </c>
      <c r="H142" s="305">
        <f>'PCO Log'!EO6</f>
        <v>0</v>
      </c>
      <c r="L142" s="306">
        <v>78</v>
      </c>
      <c r="N142" s="321">
        <v>34</v>
      </c>
      <c r="P142" s="303" t="str">
        <f>'Pay App 1'!C110</f>
        <v>Specialty Flooring</v>
      </c>
      <c r="Q142" s="304">
        <f>SUMIFS('PCO Log'!$E60:$SJ60,'PCO Log'!$E$4:$SJ$4,"AE ERROR"&amp;"*",'PCO Log'!$E$7:$SJ$7,"Approved")</f>
        <v>0</v>
      </c>
      <c r="R142" s="304">
        <f>SUMIFS('PCO Log'!$E60:$SJ60,'PCO Log'!$E$4:$SJ$4,"AE OMISS"&amp;"*",'PCO Log'!$E$7:$SJ$7,"Approved")</f>
        <v>0</v>
      </c>
      <c r="S142" s="304">
        <f>SUMIFS('PCO Log'!$E60:$SJ60,'PCO Log'!$E$4:$SJ$4,"SCOPE",'PCO Log'!$E$7:$SJ$7,"Approved")</f>
        <v>0</v>
      </c>
      <c r="T142" s="304">
        <f>SUMIFS('PCO Log'!$E60:$SJ60,'PCO Log'!$E$4:$SJ$4,"CONTINGENCY",'PCO Log'!$E$7:$SJ$7,"Approved")</f>
        <v>0</v>
      </c>
      <c r="U142" s="304">
        <f>SUMIFS('PCO Log'!$E60:$SJ60,'PCO Log'!$E$4:$SJ$4,"UNKN"&amp;"*",'PCO Log'!$E$7:$SJ$7,"Approved")</f>
        <v>0</v>
      </c>
    </row>
    <row r="143" spans="1:21" x14ac:dyDescent="0.25">
      <c r="A143" s="303" t="s">
        <v>493</v>
      </c>
      <c r="B143" s="303">
        <f>'PCO Log'!EP7</f>
        <v>0</v>
      </c>
      <c r="C143" s="303">
        <f>'PCO Log'!EP4</f>
        <v>0</v>
      </c>
      <c r="D143" s="303" cm="1">
        <f t="array" ref="D143">INDEX('PCO Log'!$E$5:$SJ$5, 1, ROWS('Graph Data'!$D$2:D143))</f>
        <v>0</v>
      </c>
      <c r="E143" s="303">
        <f>'PCO Log'!EP8</f>
        <v>0</v>
      </c>
      <c r="F143" s="303">
        <f>'PCO Log'!EP3</f>
        <v>0</v>
      </c>
      <c r="G143" s="304">
        <f>'PCO Log'!EP10</f>
        <v>0</v>
      </c>
      <c r="H143" s="305">
        <f>'PCO Log'!EP6</f>
        <v>0</v>
      </c>
      <c r="L143" s="306">
        <v>79</v>
      </c>
      <c r="N143" s="321">
        <v>35</v>
      </c>
      <c r="P143" s="303" t="str">
        <f>'Pay App 1'!C111</f>
        <v>Wall Coverings</v>
      </c>
      <c r="Q143" s="304">
        <f>SUMIFS('PCO Log'!$E61:$SJ61,'PCO Log'!$E$4:$SJ$4,"AE ERROR"&amp;"*",'PCO Log'!$E$7:$SJ$7,"Approved")</f>
        <v>0</v>
      </c>
      <c r="R143" s="304">
        <f>SUMIFS('PCO Log'!$E61:$SJ61,'PCO Log'!$E$4:$SJ$4,"AE OMISS"&amp;"*",'PCO Log'!$E$7:$SJ$7,"Approved")</f>
        <v>0</v>
      </c>
      <c r="S143" s="304">
        <f>SUMIFS('PCO Log'!$E61:$SJ61,'PCO Log'!$E$4:$SJ$4,"SCOPE",'PCO Log'!$E$7:$SJ$7,"Approved")</f>
        <v>0</v>
      </c>
      <c r="T143" s="304">
        <f>SUMIFS('PCO Log'!$E61:$SJ61,'PCO Log'!$E$4:$SJ$4,"CONTINGENCY",'PCO Log'!$E$7:$SJ$7,"Approved")</f>
        <v>0</v>
      </c>
      <c r="U143" s="304">
        <f>SUMIFS('PCO Log'!$E61:$SJ61,'PCO Log'!$E$4:$SJ$4,"UNKN"&amp;"*",'PCO Log'!$E$7:$SJ$7,"Approved")</f>
        <v>0</v>
      </c>
    </row>
    <row r="144" spans="1:21" x14ac:dyDescent="0.25">
      <c r="A144" s="303" t="s">
        <v>494</v>
      </c>
      <c r="B144" s="303">
        <f>'PCO Log'!EQ7</f>
        <v>0</v>
      </c>
      <c r="C144" s="303">
        <f>'PCO Log'!EQ4</f>
        <v>0</v>
      </c>
      <c r="D144" s="303" cm="1">
        <f t="array" ref="D144">INDEX('PCO Log'!$E$5:$SJ$5, 1, ROWS('Graph Data'!$D$2:D144))</f>
        <v>0</v>
      </c>
      <c r="E144" s="303">
        <f>'PCO Log'!EQ8</f>
        <v>0</v>
      </c>
      <c r="F144" s="303">
        <f>'PCO Log'!EQ3</f>
        <v>0</v>
      </c>
      <c r="G144" s="304">
        <f>'PCO Log'!EQ10</f>
        <v>0</v>
      </c>
      <c r="H144" s="305">
        <f>'PCO Log'!EQ6</f>
        <v>0</v>
      </c>
      <c r="L144" s="306">
        <v>80</v>
      </c>
      <c r="N144" s="321">
        <v>36</v>
      </c>
      <c r="P144" s="303" t="str">
        <f>'Pay App 1'!C112</f>
        <v>Painting</v>
      </c>
      <c r="Q144" s="304">
        <f>SUMIFS('PCO Log'!$E62:$SJ62,'PCO Log'!$E$4:$SJ$4,"AE ERROR"&amp;"*",'PCO Log'!$E$7:$SJ$7,"Approved")</f>
        <v>0</v>
      </c>
      <c r="R144" s="304">
        <f>SUMIFS('PCO Log'!$E62:$SJ62,'PCO Log'!$E$4:$SJ$4,"AE OMISS"&amp;"*",'PCO Log'!$E$7:$SJ$7,"Approved")</f>
        <v>0</v>
      </c>
      <c r="S144" s="304">
        <f>SUMIFS('PCO Log'!$E62:$SJ62,'PCO Log'!$E$4:$SJ$4,"SCOPE",'PCO Log'!$E$7:$SJ$7,"Approved")</f>
        <v>0</v>
      </c>
      <c r="T144" s="304">
        <f>SUMIFS('PCO Log'!$E62:$SJ62,'PCO Log'!$E$4:$SJ$4,"CONTINGENCY",'PCO Log'!$E$7:$SJ$7,"Approved")</f>
        <v>0</v>
      </c>
      <c r="U144" s="304">
        <f>SUMIFS('PCO Log'!$E62:$SJ62,'PCO Log'!$E$4:$SJ$4,"UNKN"&amp;"*",'PCO Log'!$E$7:$SJ$7,"Approved")</f>
        <v>0</v>
      </c>
    </row>
    <row r="145" spans="1:21" x14ac:dyDescent="0.25">
      <c r="A145" s="303" t="s">
        <v>495</v>
      </c>
      <c r="B145" s="303">
        <f>'PCO Log'!ER7</f>
        <v>0</v>
      </c>
      <c r="C145" s="303">
        <f>'PCO Log'!ER4</f>
        <v>0</v>
      </c>
      <c r="D145" s="303" cm="1">
        <f t="array" ref="D145">INDEX('PCO Log'!$E$5:$SJ$5, 1, ROWS('Graph Data'!$D$2:D145))</f>
        <v>0</v>
      </c>
      <c r="E145" s="303">
        <f>'PCO Log'!ER8</f>
        <v>0</v>
      </c>
      <c r="F145" s="303">
        <f>'PCO Log'!ER3</f>
        <v>0</v>
      </c>
      <c r="G145" s="304">
        <f>'PCO Log'!ER10</f>
        <v>0</v>
      </c>
      <c r="H145" s="305">
        <f>'PCO Log'!ER6</f>
        <v>0</v>
      </c>
      <c r="L145" s="306">
        <v>81</v>
      </c>
      <c r="N145" s="321">
        <v>37</v>
      </c>
      <c r="P145" s="303" t="str">
        <f>'Pay App 1'!C113</f>
        <v>Specialties</v>
      </c>
      <c r="Q145" s="304">
        <f>SUMIFS('PCO Log'!$E63:$SJ63,'PCO Log'!$E$4:$SJ$4,"AE ERROR"&amp;"*",'PCO Log'!$E$7:$SJ$7,"Approved")</f>
        <v>0</v>
      </c>
      <c r="R145" s="304">
        <f>SUMIFS('PCO Log'!$E63:$SJ63,'PCO Log'!$E$4:$SJ$4,"AE OMISS"&amp;"*",'PCO Log'!$E$7:$SJ$7,"Approved")</f>
        <v>0</v>
      </c>
      <c r="S145" s="304">
        <f>SUMIFS('PCO Log'!$E63:$SJ63,'PCO Log'!$E$4:$SJ$4,"SCOPE",'PCO Log'!$E$7:$SJ$7,"Approved")</f>
        <v>0</v>
      </c>
      <c r="T145" s="304">
        <f>SUMIFS('PCO Log'!$E63:$SJ63,'PCO Log'!$E$4:$SJ$4,"CONTINGENCY",'PCO Log'!$E$7:$SJ$7,"Approved")</f>
        <v>0</v>
      </c>
      <c r="U145" s="304">
        <f>SUMIFS('PCO Log'!$E63:$SJ63,'PCO Log'!$E$4:$SJ$4,"UNKN"&amp;"*",'PCO Log'!$E$7:$SJ$7,"Approved")</f>
        <v>0</v>
      </c>
    </row>
    <row r="146" spans="1:21" x14ac:dyDescent="0.25">
      <c r="A146" s="303" t="s">
        <v>496</v>
      </c>
      <c r="B146" s="303">
        <f>'PCO Log'!ES7</f>
        <v>0</v>
      </c>
      <c r="C146" s="303">
        <f>'PCO Log'!ES4</f>
        <v>0</v>
      </c>
      <c r="D146" s="303" cm="1">
        <f t="array" ref="D146">INDEX('PCO Log'!$E$5:$SJ$5, 1, ROWS('Graph Data'!$D$2:D146))</f>
        <v>0</v>
      </c>
      <c r="E146" s="303">
        <f>'PCO Log'!ES8</f>
        <v>0</v>
      </c>
      <c r="F146" s="303">
        <f>'PCO Log'!ES3</f>
        <v>0</v>
      </c>
      <c r="G146" s="304">
        <f>'PCO Log'!ES10</f>
        <v>0</v>
      </c>
      <c r="H146" s="305">
        <f>'PCO Log'!ES6</f>
        <v>0</v>
      </c>
      <c r="L146" s="306">
        <v>82</v>
      </c>
      <c r="N146" s="321">
        <v>38</v>
      </c>
      <c r="P146" s="303" t="str">
        <f>'Pay App 1'!C114</f>
        <v>Exterior Signage</v>
      </c>
      <c r="Q146" s="304">
        <f>SUMIFS('PCO Log'!$E64:$SJ64,'PCO Log'!$E$4:$SJ$4,"AE ERROR"&amp;"*",'PCO Log'!$E$7:$SJ$7,"Approved")</f>
        <v>0</v>
      </c>
      <c r="R146" s="304">
        <f>SUMIFS('PCO Log'!$E64:$SJ64,'PCO Log'!$E$4:$SJ$4,"AE OMISS"&amp;"*",'PCO Log'!$E$7:$SJ$7,"Approved")</f>
        <v>0</v>
      </c>
      <c r="S146" s="304">
        <f>SUMIFS('PCO Log'!$E64:$SJ64,'PCO Log'!$E$4:$SJ$4,"SCOPE",'PCO Log'!$E$7:$SJ$7,"Approved")</f>
        <v>0</v>
      </c>
      <c r="T146" s="304">
        <f>SUMIFS('PCO Log'!$E64:$SJ64,'PCO Log'!$E$4:$SJ$4,"CONTINGENCY",'PCO Log'!$E$7:$SJ$7,"Approved")</f>
        <v>0</v>
      </c>
      <c r="U146" s="304">
        <f>SUMIFS('PCO Log'!$E64:$SJ64,'PCO Log'!$E$4:$SJ$4,"UNKN"&amp;"*",'PCO Log'!$E$7:$SJ$7,"Approved")</f>
        <v>0</v>
      </c>
    </row>
    <row r="147" spans="1:21" x14ac:dyDescent="0.25">
      <c r="A147" s="303" t="s">
        <v>497</v>
      </c>
      <c r="B147" s="303">
        <f>'PCO Log'!ET7</f>
        <v>0</v>
      </c>
      <c r="C147" s="303">
        <f>'PCO Log'!ET4</f>
        <v>0</v>
      </c>
      <c r="D147" s="303" cm="1">
        <f t="array" ref="D147">INDEX('PCO Log'!$E$5:$SJ$5, 1, ROWS('Graph Data'!$D$2:D147))</f>
        <v>0</v>
      </c>
      <c r="E147" s="303">
        <f>'PCO Log'!ET8</f>
        <v>0</v>
      </c>
      <c r="F147" s="303">
        <f>'PCO Log'!ET3</f>
        <v>0</v>
      </c>
      <c r="G147" s="304">
        <f>'PCO Log'!ET10</f>
        <v>0</v>
      </c>
      <c r="H147" s="305">
        <f>'PCO Log'!ET6</f>
        <v>0</v>
      </c>
      <c r="L147" s="306">
        <v>83</v>
      </c>
      <c r="N147" s="321">
        <v>39</v>
      </c>
      <c r="P147" s="303" t="str">
        <f>'Pay App 1'!C115</f>
        <v>Interior Signage</v>
      </c>
      <c r="Q147" s="304">
        <f>SUMIFS('PCO Log'!$E65:$SJ65,'PCO Log'!$E$4:$SJ$4,"AE ERROR"&amp;"*",'PCO Log'!$E$7:$SJ$7,"Approved")</f>
        <v>0</v>
      </c>
      <c r="R147" s="304">
        <f>SUMIFS('PCO Log'!$E65:$SJ65,'PCO Log'!$E$4:$SJ$4,"AE OMISS"&amp;"*",'PCO Log'!$E$7:$SJ$7,"Approved")</f>
        <v>0</v>
      </c>
      <c r="S147" s="304">
        <f>SUMIFS('PCO Log'!$E65:$SJ65,'PCO Log'!$E$4:$SJ$4,"SCOPE",'PCO Log'!$E$7:$SJ$7,"Approved")</f>
        <v>0</v>
      </c>
      <c r="T147" s="304">
        <f>SUMIFS('PCO Log'!$E65:$SJ65,'PCO Log'!$E$4:$SJ$4,"CONTINGENCY",'PCO Log'!$E$7:$SJ$7,"Approved")</f>
        <v>0</v>
      </c>
      <c r="U147" s="304">
        <f>SUMIFS('PCO Log'!$E65:$SJ65,'PCO Log'!$E$4:$SJ$4,"UNKN"&amp;"*",'PCO Log'!$E$7:$SJ$7,"Approved")</f>
        <v>0</v>
      </c>
    </row>
    <row r="148" spans="1:21" x14ac:dyDescent="0.25">
      <c r="A148" s="303" t="s">
        <v>498</v>
      </c>
      <c r="B148" s="303">
        <f>'PCO Log'!EU7</f>
        <v>0</v>
      </c>
      <c r="C148" s="303">
        <f>'PCO Log'!EU4</f>
        <v>0</v>
      </c>
      <c r="D148" s="303" cm="1">
        <f t="array" ref="D148">INDEX('PCO Log'!$E$5:$SJ$5, 1, ROWS('Graph Data'!$D$2:D148))</f>
        <v>0</v>
      </c>
      <c r="E148" s="303">
        <f>'PCO Log'!EU8</f>
        <v>0</v>
      </c>
      <c r="F148" s="303">
        <f>'PCO Log'!EU3</f>
        <v>0</v>
      </c>
      <c r="G148" s="304">
        <f>'PCO Log'!EU10</f>
        <v>0</v>
      </c>
      <c r="H148" s="305">
        <f>'PCO Log'!EU6</f>
        <v>0</v>
      </c>
      <c r="L148" s="306">
        <v>84</v>
      </c>
      <c r="N148" s="321">
        <v>40</v>
      </c>
      <c r="P148" s="303" t="str">
        <f>'Pay App 1'!C116</f>
        <v>Dock Equipment</v>
      </c>
      <c r="Q148" s="304">
        <f>SUMIFS('PCO Log'!$E66:$SJ66,'PCO Log'!$E$4:$SJ$4,"AE ERROR"&amp;"*",'PCO Log'!$E$7:$SJ$7,"Approved")</f>
        <v>0</v>
      </c>
      <c r="R148" s="304">
        <f>SUMIFS('PCO Log'!$E66:$SJ66,'PCO Log'!$E$4:$SJ$4,"AE OMISS"&amp;"*",'PCO Log'!$E$7:$SJ$7,"Approved")</f>
        <v>0</v>
      </c>
      <c r="S148" s="304">
        <f>SUMIFS('PCO Log'!$E66:$SJ66,'PCO Log'!$E$4:$SJ$4,"SCOPE",'PCO Log'!$E$7:$SJ$7,"Approved")</f>
        <v>0</v>
      </c>
      <c r="T148" s="304">
        <f>SUMIFS('PCO Log'!$E66:$SJ66,'PCO Log'!$E$4:$SJ$4,"CONTINGENCY",'PCO Log'!$E$7:$SJ$7,"Approved")</f>
        <v>0</v>
      </c>
      <c r="U148" s="304">
        <f>SUMIFS('PCO Log'!$E66:$SJ66,'PCO Log'!$E$4:$SJ$4,"UNKN"&amp;"*",'PCO Log'!$E$7:$SJ$7,"Approved")</f>
        <v>0</v>
      </c>
    </row>
    <row r="149" spans="1:21" x14ac:dyDescent="0.25">
      <c r="A149" s="303" t="s">
        <v>499</v>
      </c>
      <c r="B149" s="303">
        <f>'PCO Log'!EV7</f>
        <v>0</v>
      </c>
      <c r="C149" s="303">
        <f>'PCO Log'!EV4</f>
        <v>0</v>
      </c>
      <c r="D149" s="303" cm="1">
        <f t="array" ref="D149">INDEX('PCO Log'!$E$5:$SJ$5, 1, ROWS('Graph Data'!$D$2:D149))</f>
        <v>0</v>
      </c>
      <c r="E149" s="303">
        <f>'PCO Log'!EV8</f>
        <v>0</v>
      </c>
      <c r="F149" s="303">
        <f>'PCO Log'!EV3</f>
        <v>0</v>
      </c>
      <c r="G149" s="304">
        <f>'PCO Log'!EV10</f>
        <v>0</v>
      </c>
      <c r="H149" s="305">
        <f>'PCO Log'!EV6</f>
        <v>0</v>
      </c>
      <c r="L149" s="306">
        <v>85</v>
      </c>
      <c r="N149" s="321">
        <v>41</v>
      </c>
      <c r="P149" s="303" t="str">
        <f>'Pay App 1'!C117</f>
        <v>Food Service Equipment</v>
      </c>
      <c r="Q149" s="304">
        <f>SUMIFS('PCO Log'!$E67:$SJ67,'PCO Log'!$E$4:$SJ$4,"AE ERROR"&amp;"*",'PCO Log'!$E$7:$SJ$7,"Approved")</f>
        <v>0</v>
      </c>
      <c r="R149" s="304">
        <f>SUMIFS('PCO Log'!$E67:$SJ67,'PCO Log'!$E$4:$SJ$4,"AE OMISS"&amp;"*",'PCO Log'!$E$7:$SJ$7,"Approved")</f>
        <v>0</v>
      </c>
      <c r="S149" s="304">
        <f>SUMIFS('PCO Log'!$E67:$SJ67,'PCO Log'!$E$4:$SJ$4,"SCOPE",'PCO Log'!$E$7:$SJ$7,"Approved")</f>
        <v>0</v>
      </c>
      <c r="T149" s="304">
        <f>SUMIFS('PCO Log'!$E67:$SJ67,'PCO Log'!$E$4:$SJ$4,"CONTINGENCY",'PCO Log'!$E$7:$SJ$7,"Approved")</f>
        <v>0</v>
      </c>
      <c r="U149" s="304">
        <f>SUMIFS('PCO Log'!$E67:$SJ67,'PCO Log'!$E$4:$SJ$4,"UNKN"&amp;"*",'PCO Log'!$E$7:$SJ$7,"Approved")</f>
        <v>0</v>
      </c>
    </row>
    <row r="150" spans="1:21" x14ac:dyDescent="0.25">
      <c r="A150" s="303" t="s">
        <v>500</v>
      </c>
      <c r="B150" s="303">
        <f>'PCO Log'!EW7</f>
        <v>0</v>
      </c>
      <c r="C150" s="303">
        <f>'PCO Log'!EW4</f>
        <v>0</v>
      </c>
      <c r="D150" s="303" cm="1">
        <f t="array" ref="D150">INDEX('PCO Log'!$E$5:$SJ$5, 1, ROWS('Graph Data'!$D$2:D150))</f>
        <v>0</v>
      </c>
      <c r="E150" s="303">
        <f>'PCO Log'!EW8</f>
        <v>0</v>
      </c>
      <c r="F150" s="303">
        <f>'PCO Log'!EW3</f>
        <v>0</v>
      </c>
      <c r="G150" s="304">
        <f>'PCO Log'!EW10</f>
        <v>0</v>
      </c>
      <c r="H150" s="305">
        <f>'PCO Log'!EW6</f>
        <v>0</v>
      </c>
      <c r="L150" s="306">
        <v>86</v>
      </c>
      <c r="N150" s="321">
        <v>42</v>
      </c>
      <c r="P150" s="303" t="str">
        <f>'Pay App 1'!C118</f>
        <v>Lab/Mechanical Equipment</v>
      </c>
      <c r="Q150" s="304">
        <f>SUMIFS('PCO Log'!$E68:$SJ68,'PCO Log'!$E$4:$SJ$4,"AE ERROR"&amp;"*",'PCO Log'!$E$7:$SJ$7,"Approved")</f>
        <v>0</v>
      </c>
      <c r="R150" s="304">
        <f>SUMIFS('PCO Log'!$E68:$SJ68,'PCO Log'!$E$4:$SJ$4,"AE OMISS"&amp;"*",'PCO Log'!$E$7:$SJ$7,"Approved")</f>
        <v>0</v>
      </c>
      <c r="S150" s="304">
        <f>SUMIFS('PCO Log'!$E68:$SJ68,'PCO Log'!$E$4:$SJ$4,"SCOPE",'PCO Log'!$E$7:$SJ$7,"Approved")</f>
        <v>0</v>
      </c>
      <c r="T150" s="304">
        <f>SUMIFS('PCO Log'!$E68:$SJ68,'PCO Log'!$E$4:$SJ$4,"CONTINGENCY",'PCO Log'!$E$7:$SJ$7,"Approved")</f>
        <v>0</v>
      </c>
      <c r="U150" s="304">
        <f>SUMIFS('PCO Log'!$E68:$SJ68,'PCO Log'!$E$4:$SJ$4,"UNKN"&amp;"*",'PCO Log'!$E$7:$SJ$7,"Approved")</f>
        <v>0</v>
      </c>
    </row>
    <row r="151" spans="1:21" x14ac:dyDescent="0.25">
      <c r="A151" s="303" t="s">
        <v>501</v>
      </c>
      <c r="B151" s="303">
        <f>'PCO Log'!EX7</f>
        <v>0</v>
      </c>
      <c r="C151" s="303">
        <f>'PCO Log'!EX4</f>
        <v>0</v>
      </c>
      <c r="D151" s="303" cm="1">
        <f t="array" ref="D151">INDEX('PCO Log'!$E$5:$SJ$5, 1, ROWS('Graph Data'!$D$2:D151))</f>
        <v>0</v>
      </c>
      <c r="E151" s="303">
        <f>'PCO Log'!EX8</f>
        <v>0</v>
      </c>
      <c r="F151" s="303">
        <f>'PCO Log'!EX3</f>
        <v>0</v>
      </c>
      <c r="G151" s="304">
        <f>'PCO Log'!EX10</f>
        <v>0</v>
      </c>
      <c r="H151" s="305">
        <f>'PCO Log'!EX6</f>
        <v>0</v>
      </c>
      <c r="L151" s="306">
        <v>87</v>
      </c>
      <c r="N151" s="321">
        <v>43</v>
      </c>
      <c r="P151" s="303" t="str">
        <f>'Pay App 1'!C119</f>
        <v>Athletic Equipment</v>
      </c>
      <c r="Q151" s="304">
        <f>SUMIFS('PCO Log'!$E69:$SJ69,'PCO Log'!$E$4:$SJ$4,"AE ERROR"&amp;"*",'PCO Log'!$E$7:$SJ$7,"Approved")</f>
        <v>0</v>
      </c>
      <c r="R151" s="304">
        <f>SUMIFS('PCO Log'!$E69:$SJ69,'PCO Log'!$E$4:$SJ$4,"AE OMISS"&amp;"*",'PCO Log'!$E$7:$SJ$7,"Approved")</f>
        <v>0</v>
      </c>
      <c r="S151" s="304">
        <f>SUMIFS('PCO Log'!$E69:$SJ69,'PCO Log'!$E$4:$SJ$4,"SCOPE",'PCO Log'!$E$7:$SJ$7,"Approved")</f>
        <v>0</v>
      </c>
      <c r="T151" s="304">
        <f>SUMIFS('PCO Log'!$E69:$SJ69,'PCO Log'!$E$4:$SJ$4,"CONTINGENCY",'PCO Log'!$E$7:$SJ$7,"Approved")</f>
        <v>0</v>
      </c>
      <c r="U151" s="304">
        <f>SUMIFS('PCO Log'!$E69:$SJ69,'PCO Log'!$E$4:$SJ$4,"UNKN"&amp;"*",'PCO Log'!$E$7:$SJ$7,"Approved")</f>
        <v>0</v>
      </c>
    </row>
    <row r="152" spans="1:21" x14ac:dyDescent="0.25">
      <c r="A152" s="303" t="s">
        <v>502</v>
      </c>
      <c r="B152" s="303">
        <f>'PCO Log'!EY7</f>
        <v>0</v>
      </c>
      <c r="C152" s="303">
        <f>'PCO Log'!EY4</f>
        <v>0</v>
      </c>
      <c r="D152" s="303" cm="1">
        <f t="array" ref="D152">INDEX('PCO Log'!$E$5:$SJ$5, 1, ROWS('Graph Data'!$D$2:D152))</f>
        <v>0</v>
      </c>
      <c r="E152" s="303">
        <f>'PCO Log'!EY8</f>
        <v>0</v>
      </c>
      <c r="F152" s="303">
        <f>'PCO Log'!EY3</f>
        <v>0</v>
      </c>
      <c r="G152" s="304">
        <f>'PCO Log'!EY10</f>
        <v>0</v>
      </c>
      <c r="H152" s="305">
        <f>'PCO Log'!EY6</f>
        <v>0</v>
      </c>
      <c r="L152" s="306">
        <v>88</v>
      </c>
      <c r="N152" s="321">
        <v>44</v>
      </c>
      <c r="P152" s="303" t="str">
        <f>'Pay App 1'!C120</f>
        <v>Equipment (other)</v>
      </c>
      <c r="Q152" s="304">
        <f>SUMIFS('PCO Log'!$E70:$SJ70,'PCO Log'!$E$4:$SJ$4,"AE ERROR"&amp;"*",'PCO Log'!$E$7:$SJ$7,"Approved")</f>
        <v>0</v>
      </c>
      <c r="R152" s="304">
        <f>SUMIFS('PCO Log'!$E70:$SJ70,'PCO Log'!$E$4:$SJ$4,"AE OMISS"&amp;"*",'PCO Log'!$E$7:$SJ$7,"Approved")</f>
        <v>0</v>
      </c>
      <c r="S152" s="304">
        <f>SUMIFS('PCO Log'!$E70:$SJ70,'PCO Log'!$E$4:$SJ$4,"SCOPE",'PCO Log'!$E$7:$SJ$7,"Approved")</f>
        <v>0</v>
      </c>
      <c r="T152" s="304">
        <f>SUMIFS('PCO Log'!$E70:$SJ70,'PCO Log'!$E$4:$SJ$4,"CONTINGENCY",'PCO Log'!$E$7:$SJ$7,"Approved")</f>
        <v>0</v>
      </c>
      <c r="U152" s="304">
        <f>SUMIFS('PCO Log'!$E70:$SJ70,'PCO Log'!$E$4:$SJ$4,"UNKN"&amp;"*",'PCO Log'!$E$7:$SJ$7,"Approved")</f>
        <v>0</v>
      </c>
    </row>
    <row r="153" spans="1:21" x14ac:dyDescent="0.25">
      <c r="A153" s="303" t="s">
        <v>503</v>
      </c>
      <c r="B153" s="303">
        <f>'PCO Log'!EZ7</f>
        <v>0</v>
      </c>
      <c r="C153" s="303">
        <f>'PCO Log'!EZ4</f>
        <v>0</v>
      </c>
      <c r="D153" s="303" cm="1">
        <f t="array" ref="D153">INDEX('PCO Log'!$E$5:$SJ$5, 1, ROWS('Graph Data'!$D$2:D153))</f>
        <v>0</v>
      </c>
      <c r="E153" s="303">
        <f>'PCO Log'!EZ8</f>
        <v>0</v>
      </c>
      <c r="F153" s="303">
        <f>'PCO Log'!EZ3</f>
        <v>0</v>
      </c>
      <c r="G153" s="304">
        <f>'PCO Log'!EZ10</f>
        <v>0</v>
      </c>
      <c r="H153" s="305">
        <f>'PCO Log'!EZ6</f>
        <v>0</v>
      </c>
      <c r="L153" s="306">
        <v>89</v>
      </c>
      <c r="N153" s="321">
        <v>45</v>
      </c>
      <c r="P153" s="303" t="str">
        <f>'Pay App 1'!C121</f>
        <v xml:space="preserve">Furnishings </v>
      </c>
      <c r="Q153" s="304">
        <f>SUMIFS('PCO Log'!$E71:$SJ71,'PCO Log'!$E$4:$SJ$4,"AE ERROR"&amp;"*",'PCO Log'!$E$7:$SJ$7,"Approved")</f>
        <v>0</v>
      </c>
      <c r="R153" s="304">
        <f>SUMIFS('PCO Log'!$E71:$SJ71,'PCO Log'!$E$4:$SJ$4,"AE OMISS"&amp;"*",'PCO Log'!$E$7:$SJ$7,"Approved")</f>
        <v>0</v>
      </c>
      <c r="S153" s="304">
        <f>SUMIFS('PCO Log'!$E71:$SJ71,'PCO Log'!$E$4:$SJ$4,"SCOPE",'PCO Log'!$E$7:$SJ$7,"Approved")</f>
        <v>0</v>
      </c>
      <c r="T153" s="304">
        <f>SUMIFS('PCO Log'!$E71:$SJ71,'PCO Log'!$E$4:$SJ$4,"CONTINGENCY",'PCO Log'!$E$7:$SJ$7,"Approved")</f>
        <v>0</v>
      </c>
      <c r="U153" s="304">
        <f>SUMIFS('PCO Log'!$E71:$SJ71,'PCO Log'!$E$4:$SJ$4,"UNKN"&amp;"*",'PCO Log'!$E$7:$SJ$7,"Approved")</f>
        <v>0</v>
      </c>
    </row>
    <row r="154" spans="1:21" x14ac:dyDescent="0.25">
      <c r="A154" s="303" t="s">
        <v>504</v>
      </c>
      <c r="B154" s="303">
        <f>'PCO Log'!FA7</f>
        <v>0</v>
      </c>
      <c r="C154" s="303">
        <f>'PCO Log'!FA4</f>
        <v>0</v>
      </c>
      <c r="D154" s="303" cm="1">
        <f t="array" ref="D154">INDEX('PCO Log'!$E$5:$SJ$5, 1, ROWS('Graph Data'!$D$2:D154))</f>
        <v>0</v>
      </c>
      <c r="E154" s="303">
        <f>'PCO Log'!FA8</f>
        <v>0</v>
      </c>
      <c r="F154" s="303">
        <f>'PCO Log'!FA3</f>
        <v>0</v>
      </c>
      <c r="G154" s="304">
        <f>'PCO Log'!FA10</f>
        <v>0</v>
      </c>
      <c r="H154" s="305">
        <f>'PCO Log'!FA6</f>
        <v>0</v>
      </c>
      <c r="L154" s="306">
        <v>90</v>
      </c>
      <c r="N154" s="321">
        <v>46</v>
      </c>
      <c r="P154" s="303" t="str">
        <f>'Pay App 1'!C122</f>
        <v>Window Coverings</v>
      </c>
      <c r="Q154" s="304">
        <f>SUMIFS('PCO Log'!$E72:$SJ72,'PCO Log'!$E$4:$SJ$4,"AE ERROR"&amp;"*",'PCO Log'!$E$7:$SJ$7,"Approved")</f>
        <v>0</v>
      </c>
      <c r="R154" s="304">
        <f>SUMIFS('PCO Log'!$E72:$SJ72,'PCO Log'!$E$4:$SJ$4,"AE OMISS"&amp;"*",'PCO Log'!$E$7:$SJ$7,"Approved")</f>
        <v>0</v>
      </c>
      <c r="S154" s="304">
        <f>SUMIFS('PCO Log'!$E72:$SJ72,'PCO Log'!$E$4:$SJ$4,"SCOPE",'PCO Log'!$E$7:$SJ$7,"Approved")</f>
        <v>0</v>
      </c>
      <c r="T154" s="304">
        <f>SUMIFS('PCO Log'!$E72:$SJ72,'PCO Log'!$E$4:$SJ$4,"CONTINGENCY",'PCO Log'!$E$7:$SJ$7,"Approved")</f>
        <v>0</v>
      </c>
      <c r="U154" s="304">
        <f>SUMIFS('PCO Log'!$E72:$SJ72,'PCO Log'!$E$4:$SJ$4,"UNKN"&amp;"*",'PCO Log'!$E$7:$SJ$7,"Approved")</f>
        <v>0</v>
      </c>
    </row>
    <row r="155" spans="1:21" x14ac:dyDescent="0.25">
      <c r="A155" s="303" t="s">
        <v>505</v>
      </c>
      <c r="B155" s="303">
        <f>'PCO Log'!FB7</f>
        <v>0</v>
      </c>
      <c r="C155" s="303">
        <f>'PCO Log'!FB4</f>
        <v>0</v>
      </c>
      <c r="D155" s="303" cm="1">
        <f t="array" ref="D155">INDEX('PCO Log'!$E$5:$SJ$5, 1, ROWS('Graph Data'!$D$2:D155))</f>
        <v>0</v>
      </c>
      <c r="E155" s="303">
        <f>'PCO Log'!FB8</f>
        <v>0</v>
      </c>
      <c r="F155" s="303">
        <f>'PCO Log'!FB3</f>
        <v>0</v>
      </c>
      <c r="G155" s="304">
        <f>'PCO Log'!FB10</f>
        <v>0</v>
      </c>
      <c r="H155" s="305">
        <f>'PCO Log'!FB6</f>
        <v>0</v>
      </c>
      <c r="L155" s="306">
        <v>91</v>
      </c>
      <c r="N155" s="321">
        <v>47</v>
      </c>
      <c r="P155" s="303" t="str">
        <f>'Pay App 1'!C123</f>
        <v>Fixed Seating</v>
      </c>
      <c r="Q155" s="304">
        <f>SUMIFS('PCO Log'!$E73:$SJ73,'PCO Log'!$E$4:$SJ$4,"AE ERROR"&amp;"*",'PCO Log'!$E$7:$SJ$7,"Approved")</f>
        <v>0</v>
      </c>
      <c r="R155" s="304">
        <f>SUMIFS('PCO Log'!$E73:$SJ73,'PCO Log'!$E$4:$SJ$4,"AE OMISS"&amp;"*",'PCO Log'!$E$7:$SJ$7,"Approved")</f>
        <v>0</v>
      </c>
      <c r="S155" s="304">
        <f>SUMIFS('PCO Log'!$E73:$SJ73,'PCO Log'!$E$4:$SJ$4,"SCOPE",'PCO Log'!$E$7:$SJ$7,"Approved")</f>
        <v>0</v>
      </c>
      <c r="T155" s="304">
        <f>SUMIFS('PCO Log'!$E73:$SJ73,'PCO Log'!$E$4:$SJ$4,"CONTINGENCY",'PCO Log'!$E$7:$SJ$7,"Approved")</f>
        <v>0</v>
      </c>
      <c r="U155" s="304">
        <f>SUMIFS('PCO Log'!$E73:$SJ73,'PCO Log'!$E$4:$SJ$4,"UNKN"&amp;"*",'PCO Log'!$E$7:$SJ$7,"Approved")</f>
        <v>0</v>
      </c>
    </row>
    <row r="156" spans="1:21" x14ac:dyDescent="0.25">
      <c r="A156" s="303" t="s">
        <v>506</v>
      </c>
      <c r="B156" s="303">
        <f>'PCO Log'!FC7</f>
        <v>0</v>
      </c>
      <c r="C156" s="303">
        <f>'PCO Log'!FC4</f>
        <v>0</v>
      </c>
      <c r="D156" s="303" cm="1">
        <f t="array" ref="D156">INDEX('PCO Log'!$E$5:$SJ$5, 1, ROWS('Graph Data'!$D$2:D156))</f>
        <v>0</v>
      </c>
      <c r="E156" s="303">
        <f>'PCO Log'!FC8</f>
        <v>0</v>
      </c>
      <c r="F156" s="303">
        <f>'PCO Log'!FC3</f>
        <v>0</v>
      </c>
      <c r="G156" s="304">
        <f>'PCO Log'!FC10</f>
        <v>0</v>
      </c>
      <c r="H156" s="305">
        <f>'PCO Log'!FC6</f>
        <v>0</v>
      </c>
      <c r="L156" s="306">
        <v>92</v>
      </c>
      <c r="N156" s="321">
        <v>48</v>
      </c>
      <c r="P156" s="303" t="str">
        <f>'Pay App 1'!C124</f>
        <v>Special Construction (Other)</v>
      </c>
      <c r="Q156" s="304">
        <f>SUMIFS('PCO Log'!$E74:$SJ74,'PCO Log'!$E$4:$SJ$4,"AE ERROR"&amp;"*",'PCO Log'!$E$7:$SJ$7,"Approved")</f>
        <v>0</v>
      </c>
      <c r="R156" s="304">
        <f>SUMIFS('PCO Log'!$E74:$SJ74,'PCO Log'!$E$4:$SJ$4,"AE OMISS"&amp;"*",'PCO Log'!$E$7:$SJ$7,"Approved")</f>
        <v>0</v>
      </c>
      <c r="S156" s="304">
        <f>SUMIFS('PCO Log'!$E74:$SJ74,'PCO Log'!$E$4:$SJ$4,"SCOPE",'PCO Log'!$E$7:$SJ$7,"Approved")</f>
        <v>0</v>
      </c>
      <c r="T156" s="304">
        <f>SUMIFS('PCO Log'!$E74:$SJ74,'PCO Log'!$E$4:$SJ$4,"CONTINGENCY",'PCO Log'!$E$7:$SJ$7,"Approved")</f>
        <v>0</v>
      </c>
      <c r="U156" s="304">
        <f>SUMIFS('PCO Log'!$E74:$SJ74,'PCO Log'!$E$4:$SJ$4,"UNKN"&amp;"*",'PCO Log'!$E$7:$SJ$7,"Approved")</f>
        <v>0</v>
      </c>
    </row>
    <row r="157" spans="1:21" x14ac:dyDescent="0.25">
      <c r="A157" s="303" t="s">
        <v>507</v>
      </c>
      <c r="B157" s="303">
        <f>'PCO Log'!FD7</f>
        <v>0</v>
      </c>
      <c r="C157" s="303">
        <f>'PCO Log'!FD4</f>
        <v>0</v>
      </c>
      <c r="D157" s="303" cm="1">
        <f t="array" ref="D157">INDEX('PCO Log'!$E$5:$SJ$5, 1, ROWS('Graph Data'!$D$2:D157))</f>
        <v>0</v>
      </c>
      <c r="E157" s="303">
        <f>'PCO Log'!FD8</f>
        <v>0</v>
      </c>
      <c r="F157" s="303">
        <f>'PCO Log'!FD3</f>
        <v>0</v>
      </c>
      <c r="G157" s="304">
        <f>'PCO Log'!FD10</f>
        <v>0</v>
      </c>
      <c r="H157" s="305">
        <f>'PCO Log'!FD6</f>
        <v>0</v>
      </c>
      <c r="L157" s="306">
        <v>93</v>
      </c>
      <c r="N157" s="321">
        <v>49</v>
      </c>
      <c r="P157" s="303" t="str">
        <f>'Pay App 1'!C125</f>
        <v>Sound &amp; Vibration Control</v>
      </c>
      <c r="Q157" s="304">
        <f>SUMIFS('PCO Log'!$E75:$SJ75,'PCO Log'!$E$4:$SJ$4,"AE ERROR"&amp;"*",'PCO Log'!$E$7:$SJ$7,"Approved")</f>
        <v>0</v>
      </c>
      <c r="R157" s="304">
        <f>SUMIFS('PCO Log'!$E75:$SJ75,'PCO Log'!$E$4:$SJ$4,"AE OMISS"&amp;"*",'PCO Log'!$E$7:$SJ$7,"Approved")</f>
        <v>0</v>
      </c>
      <c r="S157" s="304">
        <f>SUMIFS('PCO Log'!$E75:$SJ75,'PCO Log'!$E$4:$SJ$4,"SCOPE",'PCO Log'!$E$7:$SJ$7,"Approved")</f>
        <v>0</v>
      </c>
      <c r="T157" s="304">
        <f>SUMIFS('PCO Log'!$E75:$SJ75,'PCO Log'!$E$4:$SJ$4,"CONTINGENCY",'PCO Log'!$E$7:$SJ$7,"Approved")</f>
        <v>0</v>
      </c>
      <c r="U157" s="304">
        <f>SUMIFS('PCO Log'!$E75:$SJ75,'PCO Log'!$E$4:$SJ$4,"UNKN"&amp;"*",'PCO Log'!$E$7:$SJ$7,"Approved")</f>
        <v>0</v>
      </c>
    </row>
    <row r="158" spans="1:21" x14ac:dyDescent="0.25">
      <c r="A158" s="303" t="s">
        <v>508</v>
      </c>
      <c r="B158" s="303">
        <f>'PCO Log'!FE7</f>
        <v>0</v>
      </c>
      <c r="C158" s="303">
        <f>'PCO Log'!FE4</f>
        <v>0</v>
      </c>
      <c r="D158" s="303" cm="1">
        <f t="array" ref="D158">INDEX('PCO Log'!$E$5:$SJ$5, 1, ROWS('Graph Data'!$D$2:D158))</f>
        <v>0</v>
      </c>
      <c r="E158" s="303">
        <f>'PCO Log'!FE8</f>
        <v>0</v>
      </c>
      <c r="F158" s="303">
        <f>'PCO Log'!FE3</f>
        <v>0</v>
      </c>
      <c r="G158" s="304">
        <f>'PCO Log'!FE10</f>
        <v>0</v>
      </c>
      <c r="H158" s="305">
        <f>'PCO Log'!FE6</f>
        <v>0</v>
      </c>
      <c r="L158" s="306">
        <v>94</v>
      </c>
      <c r="N158" s="321">
        <v>50</v>
      </c>
      <c r="P158" s="303" t="str">
        <f>'Pay App 1'!C126</f>
        <v>Elevator</v>
      </c>
      <c r="Q158" s="304">
        <f>SUMIFS('PCO Log'!$E76:$SJ76,'PCO Log'!$E$4:$SJ$4,"AE ERROR"&amp;"*",'PCO Log'!$E$7:$SJ$7,"Approved")</f>
        <v>0</v>
      </c>
      <c r="R158" s="304">
        <f>SUMIFS('PCO Log'!$E76:$SJ76,'PCO Log'!$E$4:$SJ$4,"AE OMISS"&amp;"*",'PCO Log'!$E$7:$SJ$7,"Approved")</f>
        <v>0</v>
      </c>
      <c r="S158" s="304">
        <f>SUMIFS('PCO Log'!$E76:$SJ76,'PCO Log'!$E$4:$SJ$4,"SCOPE",'PCO Log'!$E$7:$SJ$7,"Approved")</f>
        <v>0</v>
      </c>
      <c r="T158" s="304">
        <f>SUMIFS('PCO Log'!$E76:$SJ76,'PCO Log'!$E$4:$SJ$4,"CONTINGENCY",'PCO Log'!$E$7:$SJ$7,"Approved")</f>
        <v>0</v>
      </c>
      <c r="U158" s="304">
        <f>SUMIFS('PCO Log'!$E76:$SJ76,'PCO Log'!$E$4:$SJ$4,"UNKN"&amp;"*",'PCO Log'!$E$7:$SJ$7,"Approved")</f>
        <v>0</v>
      </c>
    </row>
    <row r="159" spans="1:21" x14ac:dyDescent="0.25">
      <c r="A159" s="303" t="s">
        <v>509</v>
      </c>
      <c r="B159" s="303">
        <f>'PCO Log'!FF7</f>
        <v>0</v>
      </c>
      <c r="C159" s="303">
        <f>'PCO Log'!FF4</f>
        <v>0</v>
      </c>
      <c r="D159" s="303" cm="1">
        <f t="array" ref="D159">INDEX('PCO Log'!$E$5:$SJ$5, 1, ROWS('Graph Data'!$D$2:D159))</f>
        <v>0</v>
      </c>
      <c r="E159" s="303">
        <f>'PCO Log'!FF8</f>
        <v>0</v>
      </c>
      <c r="F159" s="303">
        <f>'PCO Log'!FF3</f>
        <v>0</v>
      </c>
      <c r="G159" s="304">
        <f>'PCO Log'!FF10</f>
        <v>0</v>
      </c>
      <c r="H159" s="305">
        <f>'PCO Log'!FF6</f>
        <v>0</v>
      </c>
      <c r="L159" s="306">
        <v>95</v>
      </c>
      <c r="P159" s="303" t="str">
        <f>'Pay App 1'!C127</f>
        <v>Lifts</v>
      </c>
      <c r="Q159" s="304">
        <f>SUMIFS('PCO Log'!$E77:$SJ77,'PCO Log'!$E$4:$SJ$4,"AE ERROR"&amp;"*",'PCO Log'!$E$7:$SJ$7,"Approved")</f>
        <v>0</v>
      </c>
      <c r="R159" s="304">
        <f>SUMIFS('PCO Log'!$E77:$SJ77,'PCO Log'!$E$4:$SJ$4,"AE OMISS"&amp;"*",'PCO Log'!$E$7:$SJ$7,"Approved")</f>
        <v>0</v>
      </c>
      <c r="S159" s="304">
        <f>SUMIFS('PCO Log'!$E77:$SJ77,'PCO Log'!$E$4:$SJ$4,"SCOPE",'PCO Log'!$E$7:$SJ$7,"Approved")</f>
        <v>0</v>
      </c>
      <c r="T159" s="304">
        <f>SUMIFS('PCO Log'!$E77:$SJ77,'PCO Log'!$E$4:$SJ$4,"CONTINGENCY",'PCO Log'!$E$7:$SJ$7,"Approved")</f>
        <v>0</v>
      </c>
      <c r="U159" s="304">
        <f>SUMIFS('PCO Log'!$E77:$SJ77,'PCO Log'!$E$4:$SJ$4,"UNKN"&amp;"*",'PCO Log'!$E$7:$SJ$7,"Approved")</f>
        <v>0</v>
      </c>
    </row>
    <row r="160" spans="1:21" x14ac:dyDescent="0.25">
      <c r="A160" s="303" t="s">
        <v>510</v>
      </c>
      <c r="B160" s="303">
        <f>'PCO Log'!FG7</f>
        <v>0</v>
      </c>
      <c r="C160" s="303">
        <f>'PCO Log'!FG4</f>
        <v>0</v>
      </c>
      <c r="D160" s="303" cm="1">
        <f t="array" ref="D160">INDEX('PCO Log'!$E$5:$SJ$5, 1, ROWS('Graph Data'!$D$2:D160))</f>
        <v>0</v>
      </c>
      <c r="E160" s="303">
        <f>'PCO Log'!FG8</f>
        <v>0</v>
      </c>
      <c r="F160" s="303">
        <f>'PCO Log'!FG3</f>
        <v>0</v>
      </c>
      <c r="G160" s="304">
        <f>'PCO Log'!FG10</f>
        <v>0</v>
      </c>
      <c r="H160" s="305">
        <f>'PCO Log'!FG6</f>
        <v>0</v>
      </c>
      <c r="L160" s="306">
        <v>96</v>
      </c>
      <c r="P160" s="303" t="str">
        <f>'Pay App 1'!C128</f>
        <v>Mechanical/Plumbing</v>
      </c>
      <c r="Q160" s="304">
        <f>SUMIFS('PCO Log'!$E78:$SJ78,'PCO Log'!$E$4:$SJ$4,"AE ERROR"&amp;"*",'PCO Log'!$E$7:$SJ$7,"Approved")</f>
        <v>0</v>
      </c>
      <c r="R160" s="304">
        <f>SUMIFS('PCO Log'!$E78:$SJ78,'PCO Log'!$E$4:$SJ$4,"AE OMISS"&amp;"*",'PCO Log'!$E$7:$SJ$7,"Approved")</f>
        <v>0</v>
      </c>
      <c r="S160" s="304">
        <f>SUMIFS('PCO Log'!$E78:$SJ78,'PCO Log'!$E$4:$SJ$4,"SCOPE",'PCO Log'!$E$7:$SJ$7,"Approved")</f>
        <v>0</v>
      </c>
      <c r="T160" s="304">
        <f>SUMIFS('PCO Log'!$E78:$SJ78,'PCO Log'!$E$4:$SJ$4,"CONTINGENCY",'PCO Log'!$E$7:$SJ$7,"Approved")</f>
        <v>0</v>
      </c>
      <c r="U160" s="304">
        <f>SUMIFS('PCO Log'!$E78:$SJ78,'PCO Log'!$E$4:$SJ$4,"UNKN"&amp;"*",'PCO Log'!$E$7:$SJ$7,"Approved")</f>
        <v>0</v>
      </c>
    </row>
    <row r="161" spans="1:21" x14ac:dyDescent="0.25">
      <c r="A161" s="303" t="s">
        <v>511</v>
      </c>
      <c r="B161" s="303">
        <f>'PCO Log'!FH7</f>
        <v>0</v>
      </c>
      <c r="C161" s="303">
        <f>'PCO Log'!FH4</f>
        <v>0</v>
      </c>
      <c r="D161" s="303" cm="1">
        <f t="array" ref="D161">INDEX('PCO Log'!$E$5:$SJ$5, 1, ROWS('Graph Data'!$D$2:D161))</f>
        <v>0</v>
      </c>
      <c r="E161" s="303">
        <f>'PCO Log'!FH8</f>
        <v>0</v>
      </c>
      <c r="F161" s="303">
        <f>'PCO Log'!FH3</f>
        <v>0</v>
      </c>
      <c r="G161" s="304">
        <f>'PCO Log'!FH10</f>
        <v>0</v>
      </c>
      <c r="H161" s="305">
        <f>'PCO Log'!FH6</f>
        <v>0</v>
      </c>
      <c r="L161" s="306">
        <v>97</v>
      </c>
      <c r="P161" s="303" t="str">
        <f>'Pay App 1'!C129</f>
        <v>Fire Sprinklers/Pumps</v>
      </c>
      <c r="Q161" s="304">
        <f>SUMIFS('PCO Log'!$E79:$SJ79,'PCO Log'!$E$4:$SJ$4,"AE ERROR"&amp;"*",'PCO Log'!$E$7:$SJ$7,"Approved")</f>
        <v>0</v>
      </c>
      <c r="R161" s="304">
        <f>SUMIFS('PCO Log'!$E79:$SJ79,'PCO Log'!$E$4:$SJ$4,"AE OMISS"&amp;"*",'PCO Log'!$E$7:$SJ$7,"Approved")</f>
        <v>0</v>
      </c>
      <c r="S161" s="304">
        <f>SUMIFS('PCO Log'!$E79:$SJ79,'PCO Log'!$E$4:$SJ$4,"SCOPE",'PCO Log'!$E$7:$SJ$7,"Approved")</f>
        <v>0</v>
      </c>
      <c r="T161" s="304">
        <f>SUMIFS('PCO Log'!$E79:$SJ79,'PCO Log'!$E$4:$SJ$4,"CONTINGENCY",'PCO Log'!$E$7:$SJ$7,"Approved")</f>
        <v>0</v>
      </c>
      <c r="U161" s="304">
        <f>SUMIFS('PCO Log'!$E79:$SJ79,'PCO Log'!$E$4:$SJ$4,"UNKN"&amp;"*",'PCO Log'!$E$7:$SJ$7,"Approved")</f>
        <v>0</v>
      </c>
    </row>
    <row r="162" spans="1:21" x14ac:dyDescent="0.25">
      <c r="A162" s="303" t="s">
        <v>512</v>
      </c>
      <c r="B162" s="303">
        <f>'PCO Log'!FI7</f>
        <v>0</v>
      </c>
      <c r="C162" s="303">
        <f>'PCO Log'!FI4</f>
        <v>0</v>
      </c>
      <c r="D162" s="303" cm="1">
        <f t="array" ref="D162">INDEX('PCO Log'!$E$5:$SJ$5, 1, ROWS('Graph Data'!$D$2:D162))</f>
        <v>0</v>
      </c>
      <c r="E162" s="303">
        <f>'PCO Log'!FI8</f>
        <v>0</v>
      </c>
      <c r="F162" s="303">
        <f>'PCO Log'!FI3</f>
        <v>0</v>
      </c>
      <c r="G162" s="304">
        <f>'PCO Log'!FI10</f>
        <v>0</v>
      </c>
      <c r="H162" s="305">
        <f>'PCO Log'!FI6</f>
        <v>0</v>
      </c>
      <c r="L162" s="306">
        <v>98</v>
      </c>
      <c r="P162" s="303" t="str">
        <f>'Pay App 1'!C130</f>
        <v>Plumbing</v>
      </c>
      <c r="Q162" s="304">
        <f>SUMIFS('PCO Log'!$E80:$SJ80,'PCO Log'!$E$4:$SJ$4,"AE ERROR"&amp;"*",'PCO Log'!$E$7:$SJ$7,"Approved")</f>
        <v>0</v>
      </c>
      <c r="R162" s="304">
        <f>SUMIFS('PCO Log'!$E80:$SJ80,'PCO Log'!$E$4:$SJ$4,"AE OMISS"&amp;"*",'PCO Log'!$E$7:$SJ$7,"Approved")</f>
        <v>0</v>
      </c>
      <c r="S162" s="304">
        <f>SUMIFS('PCO Log'!$E80:$SJ80,'PCO Log'!$E$4:$SJ$4,"SCOPE",'PCO Log'!$E$7:$SJ$7,"Approved")</f>
        <v>0</v>
      </c>
      <c r="T162" s="304">
        <f>SUMIFS('PCO Log'!$E80:$SJ80,'PCO Log'!$E$4:$SJ$4,"CONTINGENCY",'PCO Log'!$E$7:$SJ$7,"Approved")</f>
        <v>0</v>
      </c>
      <c r="U162" s="304">
        <f>SUMIFS('PCO Log'!$E80:$SJ80,'PCO Log'!$E$4:$SJ$4,"UNKN"&amp;"*",'PCO Log'!$E$7:$SJ$7,"Approved")</f>
        <v>0</v>
      </c>
    </row>
    <row r="163" spans="1:21" x14ac:dyDescent="0.25">
      <c r="A163" s="303" t="s">
        <v>513</v>
      </c>
      <c r="B163" s="303">
        <f>'PCO Log'!FJ7</f>
        <v>0</v>
      </c>
      <c r="C163" s="303">
        <f>'PCO Log'!FJ4</f>
        <v>0</v>
      </c>
      <c r="D163" s="303" cm="1">
        <f t="array" ref="D163">INDEX('PCO Log'!$E$5:$SJ$5, 1, ROWS('Graph Data'!$D$2:D163))</f>
        <v>0</v>
      </c>
      <c r="E163" s="303">
        <f>'PCO Log'!FJ8</f>
        <v>0</v>
      </c>
      <c r="F163" s="303">
        <f>'PCO Log'!FJ3</f>
        <v>0</v>
      </c>
      <c r="G163" s="304">
        <f>'PCO Log'!FJ10</f>
        <v>0</v>
      </c>
      <c r="H163" s="305">
        <f>'PCO Log'!FJ6</f>
        <v>0</v>
      </c>
      <c r="L163" s="306">
        <v>99</v>
      </c>
      <c r="P163" s="303" t="str">
        <f>'Pay App 1'!C131</f>
        <v>HVAC</v>
      </c>
      <c r="Q163" s="304">
        <f>SUMIFS('PCO Log'!$E81:$SJ81,'PCO Log'!$E$4:$SJ$4,"AE ERROR"&amp;"*",'PCO Log'!$E$7:$SJ$7,"Approved")</f>
        <v>0</v>
      </c>
      <c r="R163" s="304">
        <f>SUMIFS('PCO Log'!$E81:$SJ81,'PCO Log'!$E$4:$SJ$4,"AE OMISS"&amp;"*",'PCO Log'!$E$7:$SJ$7,"Approved")</f>
        <v>0</v>
      </c>
      <c r="S163" s="304">
        <f>SUMIFS('PCO Log'!$E81:$SJ81,'PCO Log'!$E$4:$SJ$4,"SCOPE",'PCO Log'!$E$7:$SJ$7,"Approved")</f>
        <v>0</v>
      </c>
      <c r="T163" s="304">
        <f>SUMIFS('PCO Log'!$E81:$SJ81,'PCO Log'!$E$4:$SJ$4,"CONTINGENCY",'PCO Log'!$E$7:$SJ$7,"Approved")</f>
        <v>0</v>
      </c>
      <c r="U163" s="304">
        <f>SUMIFS('PCO Log'!$E81:$SJ81,'PCO Log'!$E$4:$SJ$4,"UNKN"&amp;"*",'PCO Log'!$E$7:$SJ$7,"Approved")</f>
        <v>0</v>
      </c>
    </row>
    <row r="164" spans="1:21" x14ac:dyDescent="0.25">
      <c r="A164" s="303" t="s">
        <v>514</v>
      </c>
      <c r="B164" s="303">
        <f>'PCO Log'!FK7</f>
        <v>0</v>
      </c>
      <c r="C164" s="303">
        <f>'PCO Log'!FK4</f>
        <v>0</v>
      </c>
      <c r="D164" s="303" cm="1">
        <f t="array" ref="D164">INDEX('PCO Log'!$E$5:$SJ$5, 1, ROWS('Graph Data'!$D$2:D164))</f>
        <v>0</v>
      </c>
      <c r="E164" s="303">
        <f>'PCO Log'!FK8</f>
        <v>0</v>
      </c>
      <c r="F164" s="303">
        <f>'PCO Log'!FK3</f>
        <v>0</v>
      </c>
      <c r="G164" s="304">
        <f>'PCO Log'!FK10</f>
        <v>0</v>
      </c>
      <c r="H164" s="305">
        <f>'PCO Log'!FK6</f>
        <v>0</v>
      </c>
      <c r="L164" s="306">
        <v>100</v>
      </c>
      <c r="P164" s="303" t="str">
        <f>'Pay App 1'!C132</f>
        <v>Electrical</v>
      </c>
      <c r="Q164" s="304">
        <f>SUMIFS('PCO Log'!$E82:$SJ82,'PCO Log'!$E$4:$SJ$4,"AE ERROR"&amp;"*",'PCO Log'!$E$7:$SJ$7,"Approved")</f>
        <v>0</v>
      </c>
      <c r="R164" s="304">
        <f>SUMIFS('PCO Log'!$E82:$SJ82,'PCO Log'!$E$4:$SJ$4,"AE OMISS"&amp;"*",'PCO Log'!$E$7:$SJ$7,"Approved")</f>
        <v>0</v>
      </c>
      <c r="S164" s="304">
        <f>SUMIFS('PCO Log'!$E82:$SJ82,'PCO Log'!$E$4:$SJ$4,"SCOPE",'PCO Log'!$E$7:$SJ$7,"Approved")</f>
        <v>0</v>
      </c>
      <c r="T164" s="304">
        <f>SUMIFS('PCO Log'!$E82:$SJ82,'PCO Log'!$E$4:$SJ$4,"CONTINGENCY",'PCO Log'!$E$7:$SJ$7,"Approved")</f>
        <v>0</v>
      </c>
      <c r="U164" s="304">
        <f>SUMIFS('PCO Log'!$E82:$SJ82,'PCO Log'!$E$4:$SJ$4,"UNKN"&amp;"*",'PCO Log'!$E$7:$SJ$7,"Approved")</f>
        <v>0</v>
      </c>
    </row>
    <row r="165" spans="1:21" x14ac:dyDescent="0.25">
      <c r="A165" s="303" t="s">
        <v>515</v>
      </c>
      <c r="B165" s="303">
        <f>'PCO Log'!FL7</f>
        <v>0</v>
      </c>
      <c r="C165" s="303">
        <f>'PCO Log'!FL4</f>
        <v>0</v>
      </c>
      <c r="D165" s="303" cm="1">
        <f t="array" ref="D165">INDEX('PCO Log'!$E$5:$SJ$5, 1, ROWS('Graph Data'!$D$2:D165))</f>
        <v>0</v>
      </c>
      <c r="E165" s="303">
        <f>'PCO Log'!FL8</f>
        <v>0</v>
      </c>
      <c r="F165" s="303">
        <f>'PCO Log'!FL3</f>
        <v>0</v>
      </c>
      <c r="G165" s="304">
        <f>'PCO Log'!FL10</f>
        <v>0</v>
      </c>
      <c r="H165" s="305">
        <f>'PCO Log'!FL6</f>
        <v>0</v>
      </c>
      <c r="K165" s="307"/>
      <c r="P165" s="303" t="str">
        <f>'Pay App 1'!C133</f>
        <v>AV/IT/Cabling</v>
      </c>
      <c r="Q165" s="304">
        <f>SUMIFS('PCO Log'!$E83:$SJ83,'PCO Log'!$E$4:$SJ$4,"AE ERROR"&amp;"*",'PCO Log'!$E$7:$SJ$7,"Approved")</f>
        <v>0</v>
      </c>
      <c r="R165" s="304">
        <f>SUMIFS('PCO Log'!$E83:$SJ83,'PCO Log'!$E$4:$SJ$4,"AE OMISS"&amp;"*",'PCO Log'!$E$7:$SJ$7,"Approved")</f>
        <v>0</v>
      </c>
      <c r="S165" s="304">
        <f>SUMIFS('PCO Log'!$E83:$SJ83,'PCO Log'!$E$4:$SJ$4,"SCOPE",'PCO Log'!$E$7:$SJ$7,"Approved")</f>
        <v>0</v>
      </c>
      <c r="T165" s="304">
        <f>SUMIFS('PCO Log'!$E83:$SJ83,'PCO Log'!$E$4:$SJ$4,"CONTINGENCY",'PCO Log'!$E$7:$SJ$7,"Approved")</f>
        <v>0</v>
      </c>
      <c r="U165" s="304">
        <f>SUMIFS('PCO Log'!$E83:$SJ83,'PCO Log'!$E$4:$SJ$4,"UNKN"&amp;"*",'PCO Log'!$E$7:$SJ$7,"Approved")</f>
        <v>0</v>
      </c>
    </row>
    <row r="166" spans="1:21" x14ac:dyDescent="0.25">
      <c r="A166" s="303" t="s">
        <v>516</v>
      </c>
      <c r="B166" s="303">
        <f>'PCO Log'!FM7</f>
        <v>0</v>
      </c>
      <c r="C166" s="303">
        <f>'PCO Log'!FM4</f>
        <v>0</v>
      </c>
      <c r="D166" s="303" cm="1">
        <f t="array" ref="D166">INDEX('PCO Log'!$E$5:$SJ$5, 1, ROWS('Graph Data'!$D$2:D166))</f>
        <v>0</v>
      </c>
      <c r="E166" s="303">
        <f>'PCO Log'!FM8</f>
        <v>0</v>
      </c>
      <c r="F166" s="303">
        <f>'PCO Log'!FM3</f>
        <v>0</v>
      </c>
      <c r="G166" s="304">
        <f>'PCO Log'!FM10</f>
        <v>0</v>
      </c>
      <c r="H166" s="305">
        <f>'PCO Log'!FM6</f>
        <v>0</v>
      </c>
      <c r="K166" s="307"/>
      <c r="P166" s="303" t="str">
        <f>'Pay App 1'!C134</f>
        <v>Security/Access Control</v>
      </c>
      <c r="Q166" s="304">
        <f>SUMIFS('PCO Log'!$E84:$SJ84,'PCO Log'!$E$4:$SJ$4,"AE ERROR"&amp;"*",'PCO Log'!$E$7:$SJ$7,"Approved")</f>
        <v>0</v>
      </c>
      <c r="R166" s="304">
        <f>SUMIFS('PCO Log'!$E84:$SJ84,'PCO Log'!$E$4:$SJ$4,"AE OMISS"&amp;"*",'PCO Log'!$E$7:$SJ$7,"Approved")</f>
        <v>0</v>
      </c>
      <c r="S166" s="304">
        <f>SUMIFS('PCO Log'!$E84:$SJ84,'PCO Log'!$E$4:$SJ$4,"SCOPE",'PCO Log'!$E$7:$SJ$7,"Approved")</f>
        <v>0</v>
      </c>
      <c r="T166" s="304">
        <f>SUMIFS('PCO Log'!$E84:$SJ84,'PCO Log'!$E$4:$SJ$4,"CONTINGENCY",'PCO Log'!$E$7:$SJ$7,"Approved")</f>
        <v>0</v>
      </c>
      <c r="U166" s="304">
        <f>SUMIFS('PCO Log'!$E84:$SJ84,'PCO Log'!$E$4:$SJ$4,"UNKN"&amp;"*",'PCO Log'!$E$7:$SJ$7,"Approved")</f>
        <v>0</v>
      </c>
    </row>
    <row r="167" spans="1:21" x14ac:dyDescent="0.25">
      <c r="A167" s="303" t="s">
        <v>517</v>
      </c>
      <c r="B167" s="303">
        <f>'PCO Log'!FN7</f>
        <v>0</v>
      </c>
      <c r="C167" s="303">
        <f>'PCO Log'!FN4</f>
        <v>0</v>
      </c>
      <c r="D167" s="303" cm="1">
        <f t="array" ref="D167">INDEX('PCO Log'!$E$5:$SJ$5, 1, ROWS('Graph Data'!$D$2:D167))</f>
        <v>0</v>
      </c>
      <c r="E167" s="303">
        <f>'PCO Log'!FN8</f>
        <v>0</v>
      </c>
      <c r="F167" s="303">
        <f>'PCO Log'!FN3</f>
        <v>0</v>
      </c>
      <c r="G167" s="304">
        <f>'PCO Log'!FN10</f>
        <v>0</v>
      </c>
      <c r="H167" s="305">
        <f>'PCO Log'!FN6</f>
        <v>0</v>
      </c>
      <c r="M167" s="301"/>
      <c r="P167" s="303" t="str">
        <f>'Pay App 1'!C135</f>
        <v>Electrical (other)</v>
      </c>
      <c r="Q167" s="304">
        <f>SUMIFS('PCO Log'!$E85:$SJ85,'PCO Log'!$E$4:$SJ$4,"AE ERROR"&amp;"*",'PCO Log'!$E$7:$SJ$7,"Approved")</f>
        <v>0</v>
      </c>
      <c r="R167" s="304">
        <f>SUMIFS('PCO Log'!$E85:$SJ85,'PCO Log'!$E$4:$SJ$4,"AE OMISS"&amp;"*",'PCO Log'!$E$7:$SJ$7,"Approved")</f>
        <v>0</v>
      </c>
      <c r="S167" s="304">
        <f>SUMIFS('PCO Log'!$E85:$SJ85,'PCO Log'!$E$4:$SJ$4,"SCOPE",'PCO Log'!$E$7:$SJ$7,"Approved")</f>
        <v>0</v>
      </c>
      <c r="T167" s="304">
        <f>SUMIFS('PCO Log'!$E85:$SJ85,'PCO Log'!$E$4:$SJ$4,"CONTINGENCY",'PCO Log'!$E$7:$SJ$7,"Approved")</f>
        <v>0</v>
      </c>
      <c r="U167" s="304">
        <f>SUMIFS('PCO Log'!$E85:$SJ85,'PCO Log'!$E$4:$SJ$4,"UNKN"&amp;"*",'PCO Log'!$E$7:$SJ$7,"Approved")</f>
        <v>0</v>
      </c>
    </row>
    <row r="168" spans="1:21" x14ac:dyDescent="0.25">
      <c r="A168" s="303" t="s">
        <v>518</v>
      </c>
      <c r="B168" s="303">
        <f>'PCO Log'!FO7</f>
        <v>0</v>
      </c>
      <c r="C168" s="303">
        <f>'PCO Log'!FO4</f>
        <v>0</v>
      </c>
      <c r="D168" s="303" cm="1">
        <f t="array" ref="D168">INDEX('PCO Log'!$E$5:$SJ$5, 1, ROWS('Graph Data'!$D$2:D168))</f>
        <v>0</v>
      </c>
      <c r="E168" s="303">
        <f>'PCO Log'!FO8</f>
        <v>0</v>
      </c>
      <c r="F168" s="303">
        <f>'PCO Log'!FO3</f>
        <v>0</v>
      </c>
      <c r="G168" s="304">
        <f>'PCO Log'!FO10</f>
        <v>0</v>
      </c>
      <c r="H168" s="305">
        <f>'PCO Log'!FO6</f>
        <v>0</v>
      </c>
      <c r="K168" s="307"/>
      <c r="P168" s="303" t="str">
        <f>'Pay App 1'!C136</f>
        <v>Building &amp; Site Earthwork</v>
      </c>
      <c r="Q168" s="304">
        <f>SUMIFS('PCO Log'!$E86:$SJ86,'PCO Log'!$E$4:$SJ$4,"AE ERROR"&amp;"*",'PCO Log'!$E$7:$SJ$7,"Approved")</f>
        <v>0</v>
      </c>
      <c r="R168" s="304">
        <f>SUMIFS('PCO Log'!$E86:$SJ86,'PCO Log'!$E$4:$SJ$4,"AE OMISS"&amp;"*",'PCO Log'!$E$7:$SJ$7,"Approved")</f>
        <v>0</v>
      </c>
      <c r="S168" s="304">
        <f>SUMIFS('PCO Log'!$E86:$SJ86,'PCO Log'!$E$4:$SJ$4,"SCOPE",'PCO Log'!$E$7:$SJ$7,"Approved")</f>
        <v>0</v>
      </c>
      <c r="T168" s="304">
        <f>SUMIFS('PCO Log'!$E86:$SJ86,'PCO Log'!$E$4:$SJ$4,"CONTINGENCY",'PCO Log'!$E$7:$SJ$7,"Approved")</f>
        <v>0</v>
      </c>
      <c r="U168" s="304">
        <f>SUMIFS('PCO Log'!$E86:$SJ86,'PCO Log'!$E$4:$SJ$4,"UNKN"&amp;"*",'PCO Log'!$E$7:$SJ$7,"Approved")</f>
        <v>0</v>
      </c>
    </row>
    <row r="169" spans="1:21" x14ac:dyDescent="0.25">
      <c r="A169" s="303" t="s">
        <v>519</v>
      </c>
      <c r="B169" s="303">
        <f>'PCO Log'!FP7</f>
        <v>0</v>
      </c>
      <c r="C169" s="303">
        <f>'PCO Log'!FP4</f>
        <v>0</v>
      </c>
      <c r="D169" s="303" cm="1">
        <f t="array" ref="D169">INDEX('PCO Log'!$E$5:$SJ$5, 1, ROWS('Graph Data'!$D$2:D169))</f>
        <v>0</v>
      </c>
      <c r="E169" s="303">
        <f>'PCO Log'!FP8</f>
        <v>0</v>
      </c>
      <c r="F169" s="303">
        <f>'PCO Log'!FP3</f>
        <v>0</v>
      </c>
      <c r="G169" s="304">
        <f>'PCO Log'!FP10</f>
        <v>0</v>
      </c>
      <c r="H169" s="305">
        <f>'PCO Log'!FP6</f>
        <v>0</v>
      </c>
      <c r="K169" s="307"/>
      <c r="P169" s="303" t="str">
        <f>'Pay App 1'!C137</f>
        <v>Shoring/Pilings/Piers/Caissons</v>
      </c>
      <c r="Q169" s="304">
        <f>SUMIFS('PCO Log'!$E87:$SJ87,'PCO Log'!$E$4:$SJ$4,"AE ERROR"&amp;"*",'PCO Log'!$E$7:$SJ$7,"Approved")</f>
        <v>0</v>
      </c>
      <c r="R169" s="304">
        <f>SUMIFS('PCO Log'!$E87:$SJ87,'PCO Log'!$E$4:$SJ$4,"AE OMISS"&amp;"*",'PCO Log'!$E$7:$SJ$7,"Approved")</f>
        <v>0</v>
      </c>
      <c r="S169" s="304">
        <f>SUMIFS('PCO Log'!$E87:$SJ87,'PCO Log'!$E$4:$SJ$4,"SCOPE",'PCO Log'!$E$7:$SJ$7,"Approved")</f>
        <v>0</v>
      </c>
      <c r="T169" s="304">
        <f>SUMIFS('PCO Log'!$E87:$SJ87,'PCO Log'!$E$4:$SJ$4,"CONTINGENCY",'PCO Log'!$E$7:$SJ$7,"Approved")</f>
        <v>0</v>
      </c>
      <c r="U169" s="304">
        <f>SUMIFS('PCO Log'!$E87:$SJ87,'PCO Log'!$E$4:$SJ$4,"UNKN"&amp;"*",'PCO Log'!$E$7:$SJ$7,"Approved")</f>
        <v>0</v>
      </c>
    </row>
    <row r="170" spans="1:21" x14ac:dyDescent="0.25">
      <c r="A170" s="303" t="s">
        <v>520</v>
      </c>
      <c r="B170" s="303">
        <f>'PCO Log'!FQ7</f>
        <v>0</v>
      </c>
      <c r="C170" s="303">
        <f>'PCO Log'!FQ4</f>
        <v>0</v>
      </c>
      <c r="D170" s="303" cm="1">
        <f t="array" ref="D170">INDEX('PCO Log'!$E$5:$SJ$5, 1, ROWS('Graph Data'!$D$2:D170))</f>
        <v>0</v>
      </c>
      <c r="E170" s="303">
        <f>'PCO Log'!FQ8</f>
        <v>0</v>
      </c>
      <c r="F170" s="303">
        <f>'PCO Log'!FQ3</f>
        <v>0</v>
      </c>
      <c r="G170" s="304">
        <f>'PCO Log'!FQ10</f>
        <v>0</v>
      </c>
      <c r="H170" s="305">
        <f>'PCO Log'!FQ6</f>
        <v>0</v>
      </c>
      <c r="K170" s="307"/>
      <c r="P170" s="303" t="str">
        <f>'Pay App 1'!C138</f>
        <v>Excavation Support &amp; Protection</v>
      </c>
      <c r="Q170" s="304">
        <f>SUMIFS('PCO Log'!$E88:$SJ88,'PCO Log'!$E$4:$SJ$4,"AE ERROR"&amp;"*",'PCO Log'!$E$7:$SJ$7,"Approved")</f>
        <v>0</v>
      </c>
      <c r="R170" s="304">
        <f>SUMIFS('PCO Log'!$E88:$SJ88,'PCO Log'!$E$4:$SJ$4,"AE OMISS"&amp;"*",'PCO Log'!$E$7:$SJ$7,"Approved")</f>
        <v>0</v>
      </c>
      <c r="S170" s="304">
        <f>SUMIFS('PCO Log'!$E88:$SJ88,'PCO Log'!$E$4:$SJ$4,"SCOPE",'PCO Log'!$E$7:$SJ$7,"Approved")</f>
        <v>0</v>
      </c>
      <c r="T170" s="304">
        <f>SUMIFS('PCO Log'!$E88:$SJ88,'PCO Log'!$E$4:$SJ$4,"CONTINGENCY",'PCO Log'!$E$7:$SJ$7,"Approved")</f>
        <v>0</v>
      </c>
      <c r="U170" s="304">
        <f>SUMIFS('PCO Log'!$E88:$SJ88,'PCO Log'!$E$4:$SJ$4,"UNKN"&amp;"*",'PCO Log'!$E$7:$SJ$7,"Approved")</f>
        <v>0</v>
      </c>
    </row>
    <row r="171" spans="1:21" x14ac:dyDescent="0.25">
      <c r="A171" s="303" t="s">
        <v>521</v>
      </c>
      <c r="B171" s="303">
        <f>'PCO Log'!FR7</f>
        <v>0</v>
      </c>
      <c r="C171" s="303">
        <f>'PCO Log'!FR4</f>
        <v>0</v>
      </c>
      <c r="D171" s="303" cm="1">
        <f t="array" ref="D171">INDEX('PCO Log'!$E$5:$SJ$5, 1, ROWS('Graph Data'!$D$2:D171))</f>
        <v>0</v>
      </c>
      <c r="E171" s="303">
        <f>'PCO Log'!FR8</f>
        <v>0</v>
      </c>
      <c r="F171" s="303">
        <f>'PCO Log'!FR3</f>
        <v>0</v>
      </c>
      <c r="G171" s="304">
        <f>'PCO Log'!FR10</f>
        <v>0</v>
      </c>
      <c r="H171" s="305">
        <f>'PCO Log'!FR6</f>
        <v>0</v>
      </c>
      <c r="K171" s="307"/>
      <c r="P171" s="303" t="str">
        <f>'Pay App 1'!C139</f>
        <v>Asphalt Paving</v>
      </c>
      <c r="Q171" s="304">
        <f>SUMIFS('PCO Log'!$E89:$SJ89,'PCO Log'!$E$4:$SJ$4,"AE ERROR"&amp;"*",'PCO Log'!$E$7:$SJ$7,"Approved")</f>
        <v>0</v>
      </c>
      <c r="R171" s="304">
        <f>SUMIFS('PCO Log'!$E89:$SJ89,'PCO Log'!$E$4:$SJ$4,"AE OMISS"&amp;"*",'PCO Log'!$E$7:$SJ$7,"Approved")</f>
        <v>0</v>
      </c>
      <c r="S171" s="304">
        <f>SUMIFS('PCO Log'!$E89:$SJ89,'PCO Log'!$E$4:$SJ$4,"SCOPE",'PCO Log'!$E$7:$SJ$7,"Approved")</f>
        <v>0</v>
      </c>
      <c r="T171" s="304">
        <f>SUMIFS('PCO Log'!$E89:$SJ89,'PCO Log'!$E$4:$SJ$4,"CONTINGENCY",'PCO Log'!$E$7:$SJ$7,"Approved")</f>
        <v>0</v>
      </c>
      <c r="U171" s="304">
        <f>SUMIFS('PCO Log'!$E89:$SJ89,'PCO Log'!$E$4:$SJ$4,"UNKN"&amp;"*",'PCO Log'!$E$7:$SJ$7,"Approved")</f>
        <v>0</v>
      </c>
    </row>
    <row r="172" spans="1:21" x14ac:dyDescent="0.25">
      <c r="A172" s="303" t="s">
        <v>522</v>
      </c>
      <c r="B172" s="303">
        <f>'PCO Log'!FS7</f>
        <v>0</v>
      </c>
      <c r="C172" s="303">
        <f>'PCO Log'!FS4</f>
        <v>0</v>
      </c>
      <c r="D172" s="303" cm="1">
        <f t="array" ref="D172">INDEX('PCO Log'!$E$5:$SJ$5, 1, ROWS('Graph Data'!$D$2:D172))</f>
        <v>0</v>
      </c>
      <c r="E172" s="303">
        <f>'PCO Log'!FS8</f>
        <v>0</v>
      </c>
      <c r="F172" s="303">
        <f>'PCO Log'!FS3</f>
        <v>0</v>
      </c>
      <c r="G172" s="304">
        <f>'PCO Log'!FS10</f>
        <v>0</v>
      </c>
      <c r="H172" s="305">
        <f>'PCO Log'!FS6</f>
        <v>0</v>
      </c>
      <c r="K172" s="307"/>
      <c r="P172" s="303" t="str">
        <f>'Pay App 1'!C140</f>
        <v>Site Concrete</v>
      </c>
      <c r="Q172" s="304">
        <f>SUMIFS('PCO Log'!$E90:$SJ90,'PCO Log'!$E$4:$SJ$4,"AE ERROR"&amp;"*",'PCO Log'!$E$7:$SJ$7,"Approved")</f>
        <v>0</v>
      </c>
      <c r="R172" s="304">
        <f>SUMIFS('PCO Log'!$E90:$SJ90,'PCO Log'!$E$4:$SJ$4,"AE OMISS"&amp;"*",'PCO Log'!$E$7:$SJ$7,"Approved")</f>
        <v>0</v>
      </c>
      <c r="S172" s="304">
        <f>SUMIFS('PCO Log'!$E90:$SJ90,'PCO Log'!$E$4:$SJ$4,"SCOPE",'PCO Log'!$E$7:$SJ$7,"Approved")</f>
        <v>0</v>
      </c>
      <c r="T172" s="304">
        <f>SUMIFS('PCO Log'!$E90:$SJ90,'PCO Log'!$E$4:$SJ$4,"CONTINGENCY",'PCO Log'!$E$7:$SJ$7,"Approved")</f>
        <v>0</v>
      </c>
      <c r="U172" s="304">
        <f>SUMIFS('PCO Log'!$E90:$SJ90,'PCO Log'!$E$4:$SJ$4,"UNKN"&amp;"*",'PCO Log'!$E$7:$SJ$7,"Approved")</f>
        <v>0</v>
      </c>
    </row>
    <row r="173" spans="1:21" x14ac:dyDescent="0.25">
      <c r="A173" s="303" t="s">
        <v>523</v>
      </c>
      <c r="B173" s="303">
        <f>'PCO Log'!FT7</f>
        <v>0</v>
      </c>
      <c r="C173" s="303">
        <f>'PCO Log'!FT4</f>
        <v>0</v>
      </c>
      <c r="D173" s="303" cm="1">
        <f t="array" ref="D173">INDEX('PCO Log'!$E$5:$SJ$5, 1, ROWS('Graph Data'!$D$2:D173))</f>
        <v>0</v>
      </c>
      <c r="E173" s="303">
        <f>'PCO Log'!FT8</f>
        <v>0</v>
      </c>
      <c r="F173" s="303">
        <f>'PCO Log'!FT3</f>
        <v>0</v>
      </c>
      <c r="G173" s="304">
        <f>'PCO Log'!FT10</f>
        <v>0</v>
      </c>
      <c r="H173" s="305">
        <f>'PCO Log'!FT6</f>
        <v>0</v>
      </c>
      <c r="K173" s="307"/>
      <c r="P173" s="303" t="str">
        <f>'Pay App 1'!C141</f>
        <v>Site Improvements/Fencing</v>
      </c>
      <c r="Q173" s="304">
        <f>SUMIFS('PCO Log'!$E91:$SJ91,'PCO Log'!$E$4:$SJ$4,"AE ERROR"&amp;"*",'PCO Log'!$E$7:$SJ$7,"Approved")</f>
        <v>0</v>
      </c>
      <c r="R173" s="304">
        <f>SUMIFS('PCO Log'!$E91:$SJ91,'PCO Log'!$E$4:$SJ$4,"AE OMISS"&amp;"*",'PCO Log'!$E$7:$SJ$7,"Approved")</f>
        <v>0</v>
      </c>
      <c r="S173" s="304">
        <f>SUMIFS('PCO Log'!$E91:$SJ91,'PCO Log'!$E$4:$SJ$4,"SCOPE",'PCO Log'!$E$7:$SJ$7,"Approved")</f>
        <v>0</v>
      </c>
      <c r="T173" s="304">
        <f>SUMIFS('PCO Log'!$E91:$SJ91,'PCO Log'!$E$4:$SJ$4,"CONTINGENCY",'PCO Log'!$E$7:$SJ$7,"Approved")</f>
        <v>0</v>
      </c>
      <c r="U173" s="304">
        <f>SUMIFS('PCO Log'!$E91:$SJ91,'PCO Log'!$E$4:$SJ$4,"UNKN"&amp;"*",'PCO Log'!$E$7:$SJ$7,"Approved")</f>
        <v>0</v>
      </c>
    </row>
    <row r="174" spans="1:21" x14ac:dyDescent="0.25">
      <c r="A174" s="303" t="s">
        <v>524</v>
      </c>
      <c r="B174" s="303">
        <f>'PCO Log'!FU7</f>
        <v>0</v>
      </c>
      <c r="C174" s="303">
        <f>'PCO Log'!FU4</f>
        <v>0</v>
      </c>
      <c r="D174" s="303" cm="1">
        <f t="array" ref="D174">INDEX('PCO Log'!$E$5:$SJ$5, 1, ROWS('Graph Data'!$D$2:D174))</f>
        <v>0</v>
      </c>
      <c r="E174" s="303">
        <f>'PCO Log'!FU8</f>
        <v>0</v>
      </c>
      <c r="F174" s="303">
        <f>'PCO Log'!FU3</f>
        <v>0</v>
      </c>
      <c r="G174" s="304">
        <f>'PCO Log'!FU10</f>
        <v>0</v>
      </c>
      <c r="H174" s="305">
        <f>'PCO Log'!FU6</f>
        <v>0</v>
      </c>
      <c r="K174" s="307"/>
      <c r="P174" s="303" t="str">
        <f>'Pay App 1'!C142</f>
        <v>Landscaping/Irrigation</v>
      </c>
      <c r="Q174" s="304">
        <f>SUMIFS('PCO Log'!$E92:$SJ92,'PCO Log'!$E$4:$SJ$4,"AE ERROR"&amp;"*",'PCO Log'!$E$7:$SJ$7,"Approved")</f>
        <v>0</v>
      </c>
      <c r="R174" s="304">
        <f>SUMIFS('PCO Log'!$E92:$SJ92,'PCO Log'!$E$4:$SJ$4,"AE OMISS"&amp;"*",'PCO Log'!$E$7:$SJ$7,"Approved")</f>
        <v>0</v>
      </c>
      <c r="S174" s="304">
        <f>SUMIFS('PCO Log'!$E92:$SJ92,'PCO Log'!$E$4:$SJ$4,"SCOPE",'PCO Log'!$E$7:$SJ$7,"Approved")</f>
        <v>0</v>
      </c>
      <c r="T174" s="304">
        <f>SUMIFS('PCO Log'!$E92:$SJ92,'PCO Log'!$E$4:$SJ$4,"CONTINGENCY",'PCO Log'!$E$7:$SJ$7,"Approved")</f>
        <v>0</v>
      </c>
      <c r="U174" s="304">
        <f>SUMIFS('PCO Log'!$E92:$SJ92,'PCO Log'!$E$4:$SJ$4,"UNKN"&amp;"*",'PCO Log'!$E$7:$SJ$7,"Approved")</f>
        <v>0</v>
      </c>
    </row>
    <row r="175" spans="1:21" x14ac:dyDescent="0.25">
      <c r="A175" s="303" t="s">
        <v>525</v>
      </c>
      <c r="B175" s="303">
        <f>'PCO Log'!FV7</f>
        <v>0</v>
      </c>
      <c r="C175" s="303">
        <f>'PCO Log'!FV4</f>
        <v>0</v>
      </c>
      <c r="D175" s="303" cm="1">
        <f t="array" ref="D175">INDEX('PCO Log'!$E$5:$SJ$5, 1, ROWS('Graph Data'!$D$2:D175))</f>
        <v>0</v>
      </c>
      <c r="E175" s="303">
        <f>'PCO Log'!FV8</f>
        <v>0</v>
      </c>
      <c r="F175" s="303">
        <f>'PCO Log'!FV3</f>
        <v>0</v>
      </c>
      <c r="G175" s="304">
        <f>'PCO Log'!FV10</f>
        <v>0</v>
      </c>
      <c r="H175" s="305">
        <f>'PCO Log'!FV6</f>
        <v>0</v>
      </c>
      <c r="K175" s="307"/>
      <c r="P175" s="303" t="str">
        <f>'Pay App 1'!C143</f>
        <v>Site Utilities</v>
      </c>
      <c r="Q175" s="304">
        <f>SUMIFS('PCO Log'!$E93:$SJ93,'PCO Log'!$E$4:$SJ$4,"AE ERROR"&amp;"*",'PCO Log'!$E$7:$SJ$7,"Approved")</f>
        <v>0</v>
      </c>
      <c r="R175" s="304">
        <f>SUMIFS('PCO Log'!$E93:$SJ93,'PCO Log'!$E$4:$SJ$4,"AE OMISS"&amp;"*",'PCO Log'!$E$7:$SJ$7,"Approved")</f>
        <v>0</v>
      </c>
      <c r="S175" s="304">
        <f>SUMIFS('PCO Log'!$E93:$SJ93,'PCO Log'!$E$4:$SJ$4,"SCOPE",'PCO Log'!$E$7:$SJ$7,"Approved")</f>
        <v>0</v>
      </c>
      <c r="T175" s="304">
        <f>SUMIFS('PCO Log'!$E93:$SJ93,'PCO Log'!$E$4:$SJ$4,"CONTINGENCY",'PCO Log'!$E$7:$SJ$7,"Approved")</f>
        <v>0</v>
      </c>
      <c r="U175" s="304">
        <f>SUMIFS('PCO Log'!$E93:$SJ93,'PCO Log'!$E$4:$SJ$4,"UNKN"&amp;"*",'PCO Log'!$E$7:$SJ$7,"Approved")</f>
        <v>0</v>
      </c>
    </row>
    <row r="176" spans="1:21" x14ac:dyDescent="0.25">
      <c r="A176" s="303" t="s">
        <v>526</v>
      </c>
      <c r="B176" s="303">
        <f>'PCO Log'!FW7</f>
        <v>0</v>
      </c>
      <c r="C176" s="303">
        <f>'PCO Log'!FW4</f>
        <v>0</v>
      </c>
      <c r="D176" s="303" cm="1">
        <f t="array" ref="D176">INDEX('PCO Log'!$E$5:$SJ$5, 1, ROWS('Graph Data'!$D$2:D176))</f>
        <v>0</v>
      </c>
      <c r="E176" s="303">
        <f>'PCO Log'!FW8</f>
        <v>0</v>
      </c>
      <c r="F176" s="303">
        <f>'PCO Log'!FW3</f>
        <v>0</v>
      </c>
      <c r="G176" s="304">
        <f>'PCO Log'!FW10</f>
        <v>0</v>
      </c>
      <c r="H176" s="305">
        <f>'PCO Log'!FW6</f>
        <v>0</v>
      </c>
      <c r="K176" s="307"/>
      <c r="P176" s="303" t="str">
        <f>'Pay App 1'!C144</f>
        <v>Underground Storm Retention Sys</v>
      </c>
      <c r="Q176" s="304">
        <f>SUMIFS('PCO Log'!$E94:$SJ94,'PCO Log'!$E$4:$SJ$4,"AE ERROR"&amp;"*",'PCO Log'!$E$7:$SJ$7,"Approved")</f>
        <v>0</v>
      </c>
      <c r="R176" s="304">
        <f>SUMIFS('PCO Log'!$E94:$SJ94,'PCO Log'!$E$4:$SJ$4,"AE OMISS"&amp;"*",'PCO Log'!$E$7:$SJ$7,"Approved")</f>
        <v>0</v>
      </c>
      <c r="S176" s="304">
        <f>SUMIFS('PCO Log'!$E94:$SJ94,'PCO Log'!$E$4:$SJ$4,"SCOPE",'PCO Log'!$E$7:$SJ$7,"Approved")</f>
        <v>0</v>
      </c>
      <c r="T176" s="304">
        <f>SUMIFS('PCO Log'!$E94:$SJ94,'PCO Log'!$E$4:$SJ$4,"CONTINGENCY",'PCO Log'!$E$7:$SJ$7,"Approved")</f>
        <v>0</v>
      </c>
      <c r="U176" s="304">
        <f>SUMIFS('PCO Log'!$E94:$SJ94,'PCO Log'!$E$4:$SJ$4,"UNKN"&amp;"*",'PCO Log'!$E$7:$SJ$7,"Approved")</f>
        <v>0</v>
      </c>
    </row>
    <row r="177" spans="1:76" x14ac:dyDescent="0.25">
      <c r="A177" s="303" t="s">
        <v>527</v>
      </c>
      <c r="B177" s="303">
        <f>'PCO Log'!FX7</f>
        <v>0</v>
      </c>
      <c r="C177" s="303">
        <f>'PCO Log'!FX4</f>
        <v>0</v>
      </c>
      <c r="D177" s="303" cm="1">
        <f t="array" ref="D177">INDEX('PCO Log'!$E$5:$SJ$5, 1, ROWS('Graph Data'!$D$2:D177))</f>
        <v>0</v>
      </c>
      <c r="E177" s="303">
        <f>'PCO Log'!FX8</f>
        <v>0</v>
      </c>
      <c r="F177" s="303">
        <f>'PCO Log'!FX3</f>
        <v>0</v>
      </c>
      <c r="G177" s="304">
        <f>'PCO Log'!FX10</f>
        <v>0</v>
      </c>
      <c r="H177" s="305">
        <f>'PCO Log'!FX6</f>
        <v>0</v>
      </c>
      <c r="K177" s="307"/>
      <c r="P177" s="303" t="str">
        <f>'Pay App 1'!C145</f>
        <v>Other - Please Specify</v>
      </c>
      <c r="Q177" s="304">
        <f>SUMIFS('PCO Log'!$E95:$SJ95,'PCO Log'!$E$4:$SJ$4,"AE ERROR"&amp;"*",'PCO Log'!$E$7:$SJ$7,"Approved")</f>
        <v>0</v>
      </c>
      <c r="R177" s="304">
        <f>SUMIFS('PCO Log'!$E95:$SJ95,'PCO Log'!$E$4:$SJ$4,"AE OMISS"&amp;"*",'PCO Log'!$E$7:$SJ$7,"Approved")</f>
        <v>0</v>
      </c>
      <c r="S177" s="304">
        <f>SUMIFS('PCO Log'!$E95:$SJ95,'PCO Log'!$E$4:$SJ$4,"SCOPE",'PCO Log'!$E$7:$SJ$7,"Approved")</f>
        <v>0</v>
      </c>
      <c r="T177" s="304">
        <f>SUMIFS('PCO Log'!$E95:$SJ95,'PCO Log'!$E$4:$SJ$4,"CONTINGENCY",'PCO Log'!$E$7:$SJ$7,"Approved")</f>
        <v>0</v>
      </c>
      <c r="U177" s="304">
        <f>SUMIFS('PCO Log'!$E95:$SJ95,'PCO Log'!$E$4:$SJ$4,"UNKN"&amp;"*",'PCO Log'!$E$7:$SJ$7,"Approved")</f>
        <v>0</v>
      </c>
    </row>
    <row r="178" spans="1:76" x14ac:dyDescent="0.25">
      <c r="A178" s="303" t="s">
        <v>528</v>
      </c>
      <c r="B178" s="303">
        <f>'PCO Log'!FY7</f>
        <v>0</v>
      </c>
      <c r="C178" s="303">
        <f>'PCO Log'!FY4</f>
        <v>0</v>
      </c>
      <c r="D178" s="303" cm="1">
        <f t="array" ref="D178">INDEX('PCO Log'!$E$5:$SJ$5, 1, ROWS('Graph Data'!$D$2:D178))</f>
        <v>0</v>
      </c>
      <c r="E178" s="303">
        <f>'PCO Log'!FY8</f>
        <v>0</v>
      </c>
      <c r="F178" s="303">
        <f>'PCO Log'!FY3</f>
        <v>0</v>
      </c>
      <c r="G178" s="304">
        <f>'PCO Log'!FY10</f>
        <v>0</v>
      </c>
      <c r="H178" s="305">
        <f>'PCO Log'!FY6</f>
        <v>0</v>
      </c>
      <c r="K178" s="307"/>
      <c r="P178" s="303" t="str">
        <f>'Pay App 1'!C146</f>
        <v>Other - Please Specify</v>
      </c>
      <c r="Q178" s="304">
        <f>SUMIFS('PCO Log'!$E96:$SJ96,'PCO Log'!$E$4:$SJ$4,"AE ERROR"&amp;"*",'PCO Log'!$E$7:$SJ$7,"Approved")</f>
        <v>0</v>
      </c>
      <c r="R178" s="304">
        <f>SUMIFS('PCO Log'!$E96:$SJ96,'PCO Log'!$E$4:$SJ$4,"AE OMISS"&amp;"*",'PCO Log'!$E$7:$SJ$7,"Approved")</f>
        <v>0</v>
      </c>
      <c r="S178" s="304">
        <f>SUMIFS('PCO Log'!$E96:$SJ96,'PCO Log'!$E$4:$SJ$4,"SCOPE",'PCO Log'!$E$7:$SJ$7,"Approved")</f>
        <v>0</v>
      </c>
      <c r="T178" s="304">
        <f>SUMIFS('PCO Log'!$E96:$SJ96,'PCO Log'!$E$4:$SJ$4,"CONTINGENCY",'PCO Log'!$E$7:$SJ$7,"Approved")</f>
        <v>0</v>
      </c>
      <c r="U178" s="304">
        <f>SUMIFS('PCO Log'!$E96:$SJ96,'PCO Log'!$E$4:$SJ$4,"UNKN"&amp;"*",'PCO Log'!$E$7:$SJ$7,"Approved")</f>
        <v>0</v>
      </c>
    </row>
    <row r="179" spans="1:76" x14ac:dyDescent="0.25">
      <c r="A179" s="303" t="s">
        <v>529</v>
      </c>
      <c r="B179" s="303">
        <f>'PCO Log'!FZ7</f>
        <v>0</v>
      </c>
      <c r="C179" s="303">
        <f>'PCO Log'!FZ4</f>
        <v>0</v>
      </c>
      <c r="D179" s="303" cm="1">
        <f t="array" ref="D179">INDEX('PCO Log'!$E$5:$SJ$5, 1, ROWS('Graph Data'!$D$2:D179))</f>
        <v>0</v>
      </c>
      <c r="E179" s="303">
        <f>'PCO Log'!FZ8</f>
        <v>0</v>
      </c>
      <c r="F179" s="303">
        <f>'PCO Log'!FZ3</f>
        <v>0</v>
      </c>
      <c r="G179" s="304">
        <f>'PCO Log'!FZ10</f>
        <v>0</v>
      </c>
      <c r="H179" s="305">
        <f>'PCO Log'!FZ6</f>
        <v>0</v>
      </c>
      <c r="K179" s="307"/>
      <c r="P179" s="303" t="str">
        <f>'Pay App 1'!C147</f>
        <v>Other - Please Specify</v>
      </c>
      <c r="Q179" s="304">
        <f>SUMIFS('PCO Log'!$E97:$SJ97,'PCO Log'!$E$4:$SJ$4,"AE ERROR"&amp;"*",'PCO Log'!$E$7:$SJ$7,"Approved")</f>
        <v>0</v>
      </c>
      <c r="R179" s="304">
        <f>SUMIFS('PCO Log'!$E97:$SJ97,'PCO Log'!$E$4:$SJ$4,"AE OMISS"&amp;"*",'PCO Log'!$E$7:$SJ$7,"Approved")</f>
        <v>0</v>
      </c>
      <c r="S179" s="304">
        <f>SUMIFS('PCO Log'!$E97:$SJ97,'PCO Log'!$E$4:$SJ$4,"SCOPE",'PCO Log'!$E$7:$SJ$7,"Approved")</f>
        <v>0</v>
      </c>
      <c r="T179" s="304">
        <f>SUMIFS('PCO Log'!$E97:$SJ97,'PCO Log'!$E$4:$SJ$4,"CONTINGENCY",'PCO Log'!$E$7:$SJ$7,"Approved")</f>
        <v>0</v>
      </c>
      <c r="U179" s="304">
        <f>SUMIFS('PCO Log'!$E97:$SJ97,'PCO Log'!$E$4:$SJ$4,"UNKN"&amp;"*",'PCO Log'!$E$7:$SJ$7,"Approved")</f>
        <v>0</v>
      </c>
    </row>
    <row r="180" spans="1:76" x14ac:dyDescent="0.25">
      <c r="A180" s="303" t="s">
        <v>530</v>
      </c>
      <c r="B180" s="303">
        <f>'PCO Log'!GA7</f>
        <v>0</v>
      </c>
      <c r="C180" s="303">
        <f>'PCO Log'!GA4</f>
        <v>0</v>
      </c>
      <c r="D180" s="303" cm="1">
        <f t="array" ref="D180">INDEX('PCO Log'!$E$5:$SJ$5, 1, ROWS('Graph Data'!$D$2:D180))</f>
        <v>0</v>
      </c>
      <c r="E180" s="303">
        <f>'PCO Log'!GA8</f>
        <v>0</v>
      </c>
      <c r="F180" s="303">
        <f>'PCO Log'!GA3</f>
        <v>0</v>
      </c>
      <c r="G180" s="304">
        <f>'PCO Log'!GA10</f>
        <v>0</v>
      </c>
      <c r="H180" s="305">
        <f>'PCO Log'!GA6</f>
        <v>0</v>
      </c>
      <c r="K180" s="307"/>
      <c r="P180" s="303" t="str">
        <f>'Pay App 1'!C148</f>
        <v>Other - Please Specify</v>
      </c>
      <c r="Q180" s="304">
        <f>SUMIFS('PCO Log'!$E98:$SJ98,'PCO Log'!$E$4:$SJ$4,"AE ERROR"&amp;"*",'PCO Log'!$E$7:$SJ$7,"Approved")</f>
        <v>0</v>
      </c>
      <c r="R180" s="304">
        <f>SUMIFS('PCO Log'!$E98:$SJ98,'PCO Log'!$E$4:$SJ$4,"AE OMISS"&amp;"*",'PCO Log'!$E$7:$SJ$7,"Approved")</f>
        <v>0</v>
      </c>
      <c r="S180" s="304">
        <f>SUMIFS('PCO Log'!$E98:$SJ98,'PCO Log'!$E$4:$SJ$4,"SCOPE",'PCO Log'!$E$7:$SJ$7,"Approved")</f>
        <v>0</v>
      </c>
      <c r="T180" s="304">
        <f>SUMIFS('PCO Log'!$E98:$SJ98,'PCO Log'!$E$4:$SJ$4,"CONTINGENCY",'PCO Log'!$E$7:$SJ$7,"Approved")</f>
        <v>0</v>
      </c>
      <c r="U180" s="304">
        <f>SUMIFS('PCO Log'!$E98:$SJ98,'PCO Log'!$E$4:$SJ$4,"UNKN"&amp;"*",'PCO Log'!$E$7:$SJ$7,"Approved")</f>
        <v>0</v>
      </c>
    </row>
    <row r="181" spans="1:76" x14ac:dyDescent="0.25">
      <c r="A181" s="303" t="s">
        <v>531</v>
      </c>
      <c r="B181" s="303">
        <f>'PCO Log'!GB7</f>
        <v>0</v>
      </c>
      <c r="C181" s="303">
        <f>'PCO Log'!GB4</f>
        <v>0</v>
      </c>
      <c r="D181" s="303" cm="1">
        <f t="array" ref="D181">INDEX('PCO Log'!$E$5:$SJ$5, 1, ROWS('Graph Data'!$D$2:D181))</f>
        <v>0</v>
      </c>
      <c r="E181" s="303">
        <f>'PCO Log'!GB8</f>
        <v>0</v>
      </c>
      <c r="F181" s="303">
        <f>'PCO Log'!GB3</f>
        <v>0</v>
      </c>
      <c r="G181" s="304">
        <f>'PCO Log'!GB10</f>
        <v>0</v>
      </c>
      <c r="H181" s="305">
        <f>'PCO Log'!GB6</f>
        <v>0</v>
      </c>
      <c r="K181" s="307"/>
      <c r="Q181" s="304"/>
      <c r="R181" s="304"/>
      <c r="S181" s="304"/>
      <c r="T181" s="304"/>
      <c r="U181" s="304"/>
    </row>
    <row r="182" spans="1:76" x14ac:dyDescent="0.25">
      <c r="A182" s="303" t="s">
        <v>532</v>
      </c>
      <c r="B182" s="303">
        <f>'PCO Log'!GC7</f>
        <v>0</v>
      </c>
      <c r="C182" s="303">
        <f>'PCO Log'!GC4</f>
        <v>0</v>
      </c>
      <c r="D182" s="303" cm="1">
        <f t="array" ref="D182">INDEX('PCO Log'!$E$5:$SJ$5, 1, ROWS('Graph Data'!$D$2:D182))</f>
        <v>0</v>
      </c>
      <c r="E182" s="303">
        <f>'PCO Log'!GC8</f>
        <v>0</v>
      </c>
      <c r="F182" s="303">
        <f>'PCO Log'!GC3</f>
        <v>0</v>
      </c>
      <c r="G182" s="304">
        <f>'PCO Log'!GC10</f>
        <v>0</v>
      </c>
      <c r="H182" s="305">
        <f>'PCO Log'!GC6</f>
        <v>0</v>
      </c>
      <c r="K182" s="307"/>
    </row>
    <row r="183" spans="1:76" x14ac:dyDescent="0.25">
      <c r="A183" s="303" t="s">
        <v>533</v>
      </c>
      <c r="B183" s="303">
        <f>'PCO Log'!GD7</f>
        <v>0</v>
      </c>
      <c r="C183" s="303">
        <f>'PCO Log'!GD4</f>
        <v>0</v>
      </c>
      <c r="D183" s="303" cm="1">
        <f t="array" ref="D183">INDEX('PCO Log'!$E$5:$SJ$5, 1, ROWS('Graph Data'!$D$2:D183))</f>
        <v>0</v>
      </c>
      <c r="E183" s="303">
        <f>'PCO Log'!GD8</f>
        <v>0</v>
      </c>
      <c r="F183" s="303">
        <f>'PCO Log'!GD3</f>
        <v>0</v>
      </c>
      <c r="G183" s="304">
        <f>'PCO Log'!GD10</f>
        <v>0</v>
      </c>
      <c r="H183" s="305">
        <f>'PCO Log'!GD6</f>
        <v>0</v>
      </c>
      <c r="K183" s="307"/>
    </row>
    <row r="184" spans="1:76" x14ac:dyDescent="0.25">
      <c r="A184" s="303" t="s">
        <v>534</v>
      </c>
      <c r="B184" s="303">
        <f>'PCO Log'!GE7</f>
        <v>0</v>
      </c>
      <c r="C184" s="303">
        <f>'PCO Log'!GE4</f>
        <v>0</v>
      </c>
      <c r="D184" s="303" cm="1">
        <f t="array" ref="D184">INDEX('PCO Log'!$E$5:$SJ$5, 1, ROWS('Graph Data'!$D$2:D184))</f>
        <v>0</v>
      </c>
      <c r="E184" s="303">
        <f>'PCO Log'!GE8</f>
        <v>0</v>
      </c>
      <c r="F184" s="303">
        <f>'PCO Log'!GE3</f>
        <v>0</v>
      </c>
      <c r="G184" s="304">
        <f>'PCO Log'!GE10</f>
        <v>0</v>
      </c>
      <c r="H184" s="305">
        <f>'PCO Log'!GE6</f>
        <v>0</v>
      </c>
      <c r="K184" s="307"/>
    </row>
    <row r="185" spans="1:76" x14ac:dyDescent="0.25">
      <c r="A185" s="303" t="s">
        <v>535</v>
      </c>
      <c r="B185" s="303">
        <f>'PCO Log'!GF7</f>
        <v>0</v>
      </c>
      <c r="C185" s="303">
        <f>'PCO Log'!GF4</f>
        <v>0</v>
      </c>
      <c r="D185" s="303" cm="1">
        <f t="array" ref="D185">INDEX('PCO Log'!$E$5:$SJ$5, 1, ROWS('Graph Data'!$D$2:D185))</f>
        <v>0</v>
      </c>
      <c r="E185" s="303">
        <f>'PCO Log'!GF8</f>
        <v>0</v>
      </c>
      <c r="F185" s="303">
        <f>'PCO Log'!GF3</f>
        <v>0</v>
      </c>
      <c r="G185" s="304">
        <f>'PCO Log'!GF10</f>
        <v>0</v>
      </c>
      <c r="H185" s="305">
        <f>'PCO Log'!GF6</f>
        <v>0</v>
      </c>
      <c r="K185" s="307"/>
    </row>
    <row r="186" spans="1:76" x14ac:dyDescent="0.25">
      <c r="A186" s="303" t="s">
        <v>536</v>
      </c>
      <c r="B186" s="303">
        <f>'PCO Log'!GG7</f>
        <v>0</v>
      </c>
      <c r="C186" s="303">
        <f>'PCO Log'!GG4</f>
        <v>0</v>
      </c>
      <c r="D186" s="303" cm="1">
        <f t="array" ref="D186">INDEX('PCO Log'!$E$5:$SJ$5, 1, ROWS('Graph Data'!$D$2:D186))</f>
        <v>0</v>
      </c>
      <c r="E186" s="303">
        <f>'PCO Log'!GG8</f>
        <v>0</v>
      </c>
      <c r="F186" s="303">
        <f>'PCO Log'!GG3</f>
        <v>0</v>
      </c>
      <c r="G186" s="304">
        <f>'PCO Log'!GG10</f>
        <v>0</v>
      </c>
      <c r="H186" s="305">
        <f>'PCO Log'!GG6</f>
        <v>0</v>
      </c>
      <c r="K186" s="307"/>
      <c r="P186" s="301" t="s">
        <v>923</v>
      </c>
    </row>
    <row r="187" spans="1:76" x14ac:dyDescent="0.25">
      <c r="A187" s="303" t="s">
        <v>537</v>
      </c>
      <c r="B187" s="303">
        <f>'PCO Log'!GH7</f>
        <v>0</v>
      </c>
      <c r="C187" s="303">
        <f>'PCO Log'!GH4</f>
        <v>0</v>
      </c>
      <c r="D187" s="303" cm="1">
        <f t="array" ref="D187">INDEX('PCO Log'!$E$5:$SJ$5, 1, ROWS('Graph Data'!$D$2:D187))</f>
        <v>0</v>
      </c>
      <c r="E187" s="303">
        <f>'PCO Log'!GH8</f>
        <v>0</v>
      </c>
      <c r="F187" s="303">
        <f>'PCO Log'!GH3</f>
        <v>0</v>
      </c>
      <c r="G187" s="304">
        <f>'PCO Log'!GH10</f>
        <v>0</v>
      </c>
      <c r="H187" s="305">
        <f>'PCO Log'!GH6</f>
        <v>0</v>
      </c>
      <c r="K187" s="307"/>
      <c r="Q187" s="303" t="str">
        <f t="shared" ref="Q187:AV187" si="0">Q1</f>
        <v>Pay App 1</v>
      </c>
      <c r="R187" s="303" t="str">
        <f t="shared" si="0"/>
        <v>Pay App 2</v>
      </c>
      <c r="S187" s="303" t="str">
        <f t="shared" si="0"/>
        <v>Pay App 3</v>
      </c>
      <c r="T187" s="303" t="str">
        <f t="shared" si="0"/>
        <v>Pay App 4</v>
      </c>
      <c r="U187" s="303" t="str">
        <f t="shared" si="0"/>
        <v>Pay App 5</v>
      </c>
      <c r="V187" s="303" t="str">
        <f t="shared" si="0"/>
        <v>Pay App 6</v>
      </c>
      <c r="W187" s="303" t="str">
        <f t="shared" si="0"/>
        <v>Pay App 7</v>
      </c>
      <c r="X187" s="303" t="str">
        <f t="shared" si="0"/>
        <v>Pay App 8</v>
      </c>
      <c r="Y187" s="303" t="str">
        <f t="shared" si="0"/>
        <v>Pay App 9</v>
      </c>
      <c r="Z187" s="303" t="str">
        <f t="shared" si="0"/>
        <v>Pay App 10</v>
      </c>
      <c r="AA187" s="303" t="str">
        <f t="shared" si="0"/>
        <v>Pay App 11</v>
      </c>
      <c r="AB187" s="303" t="str">
        <f t="shared" si="0"/>
        <v>Pay App 12</v>
      </c>
      <c r="AC187" s="303" t="str">
        <f t="shared" si="0"/>
        <v>Pay App 13</v>
      </c>
      <c r="AD187" s="303" t="str">
        <f t="shared" si="0"/>
        <v>Pay App 14</v>
      </c>
      <c r="AE187" s="303" t="str">
        <f t="shared" si="0"/>
        <v>Pay App 15</v>
      </c>
      <c r="AF187" s="303" t="str">
        <f t="shared" si="0"/>
        <v>Pay App 16</v>
      </c>
      <c r="AG187" s="303" t="str">
        <f t="shared" si="0"/>
        <v>Pay App 17</v>
      </c>
      <c r="AH187" s="303" t="str">
        <f t="shared" si="0"/>
        <v>Pay App 18</v>
      </c>
      <c r="AI187" s="303" t="str">
        <f t="shared" si="0"/>
        <v>Pay App 19</v>
      </c>
      <c r="AJ187" s="303" t="str">
        <f t="shared" si="0"/>
        <v>Pay App 20</v>
      </c>
      <c r="AK187" s="303" t="str">
        <f t="shared" si="0"/>
        <v>Pay App 21</v>
      </c>
      <c r="AL187" s="303" t="str">
        <f t="shared" si="0"/>
        <v>Pay App 22</v>
      </c>
      <c r="AM187" s="303" t="str">
        <f t="shared" si="0"/>
        <v>Pay App 23</v>
      </c>
      <c r="AN187" s="303" t="str">
        <f t="shared" si="0"/>
        <v>Pay App 24</v>
      </c>
      <c r="AO187" s="303" t="str">
        <f t="shared" si="0"/>
        <v>Pay App 25</v>
      </c>
      <c r="AP187" s="303" t="str">
        <f t="shared" si="0"/>
        <v>Pay App 26</v>
      </c>
      <c r="AQ187" s="303" t="str">
        <f t="shared" si="0"/>
        <v>Pay App 27</v>
      </c>
      <c r="AR187" s="303" t="str">
        <f t="shared" si="0"/>
        <v>Pay App 28</v>
      </c>
      <c r="AS187" s="303" t="str">
        <f t="shared" si="0"/>
        <v>Pay App 29</v>
      </c>
      <c r="AT187" s="303" t="str">
        <f t="shared" si="0"/>
        <v>Pay App 30</v>
      </c>
      <c r="AU187" s="303" t="str">
        <f t="shared" si="0"/>
        <v>Pay App 31</v>
      </c>
      <c r="AV187" s="303" t="str">
        <f t="shared" si="0"/>
        <v>Pay App 32</v>
      </c>
      <c r="AW187" s="303" t="str">
        <f t="shared" ref="AW187:BX187" si="1">AW1</f>
        <v>Pay App 33</v>
      </c>
      <c r="AX187" s="303" t="str">
        <f t="shared" si="1"/>
        <v>Pay App 34</v>
      </c>
      <c r="AY187" s="303" t="str">
        <f t="shared" si="1"/>
        <v>Pay App 35</v>
      </c>
      <c r="AZ187" s="303" t="str">
        <f t="shared" si="1"/>
        <v>Pay App 36</v>
      </c>
      <c r="BA187" s="303" t="str">
        <f t="shared" si="1"/>
        <v>Pay App 37</v>
      </c>
      <c r="BB187" s="303" t="str">
        <f t="shared" si="1"/>
        <v>Pay App 38</v>
      </c>
      <c r="BC187" s="303" t="str">
        <f t="shared" si="1"/>
        <v>Pay App 39</v>
      </c>
      <c r="BD187" s="303" t="str">
        <f t="shared" si="1"/>
        <v>Pay App 40</v>
      </c>
      <c r="BE187" s="303" t="str">
        <f t="shared" si="1"/>
        <v>Pay App 41</v>
      </c>
      <c r="BF187" s="303" t="str">
        <f t="shared" si="1"/>
        <v>Pay App 42</v>
      </c>
      <c r="BG187" s="303" t="str">
        <f t="shared" si="1"/>
        <v>Pay App 43</v>
      </c>
      <c r="BH187" s="303" t="str">
        <f t="shared" si="1"/>
        <v>Pay App 44</v>
      </c>
      <c r="BI187" s="303" t="str">
        <f t="shared" si="1"/>
        <v>Pay App 45</v>
      </c>
      <c r="BJ187" s="303" t="str">
        <f t="shared" si="1"/>
        <v>Pay App 46</v>
      </c>
      <c r="BK187" s="303" t="str">
        <f t="shared" si="1"/>
        <v>Pay App 47</v>
      </c>
      <c r="BL187" s="303" t="str">
        <f t="shared" si="1"/>
        <v>Pay App 48</v>
      </c>
      <c r="BM187" s="303" t="str">
        <f t="shared" si="1"/>
        <v>Pay App 49</v>
      </c>
      <c r="BN187" s="303" t="str">
        <f t="shared" si="1"/>
        <v>Pay App 50</v>
      </c>
      <c r="BO187" s="303" t="str">
        <f t="shared" si="1"/>
        <v>Pay App 51</v>
      </c>
      <c r="BP187" s="303" t="str">
        <f t="shared" si="1"/>
        <v>Pay App 52</v>
      </c>
      <c r="BQ187" s="303" t="str">
        <f t="shared" si="1"/>
        <v>Pay App 53</v>
      </c>
      <c r="BR187" s="303" t="str">
        <f t="shared" si="1"/>
        <v>Pay App 54</v>
      </c>
      <c r="BS187" s="303" t="str">
        <f t="shared" si="1"/>
        <v>Pay App 55</v>
      </c>
      <c r="BT187" s="303" t="str">
        <f t="shared" si="1"/>
        <v>Pay App 56</v>
      </c>
      <c r="BU187" s="303" t="str">
        <f t="shared" si="1"/>
        <v>Pay App 57</v>
      </c>
      <c r="BV187" s="303" t="str">
        <f t="shared" si="1"/>
        <v>Pay App 58</v>
      </c>
      <c r="BW187" s="303" t="str">
        <f t="shared" si="1"/>
        <v>Pay App 59</v>
      </c>
      <c r="BX187" s="303" t="str">
        <f t="shared" si="1"/>
        <v>Pay App 60</v>
      </c>
    </row>
    <row r="188" spans="1:76" x14ac:dyDescent="0.25">
      <c r="A188" s="303" t="s">
        <v>538</v>
      </c>
      <c r="B188" s="303">
        <f>'PCO Log'!GI7</f>
        <v>0</v>
      </c>
      <c r="C188" s="303">
        <f>'PCO Log'!GI4</f>
        <v>0</v>
      </c>
      <c r="D188" s="303" cm="1">
        <f t="array" ref="D188">INDEX('PCO Log'!$E$5:$SJ$5, 1, ROWS('Graph Data'!$D$2:D188))</f>
        <v>0</v>
      </c>
      <c r="E188" s="303">
        <f>'PCO Log'!GI8</f>
        <v>0</v>
      </c>
      <c r="F188" s="303">
        <f>'PCO Log'!GI3</f>
        <v>0</v>
      </c>
      <c r="G188" s="304">
        <f>'PCO Log'!GI10</f>
        <v>0</v>
      </c>
      <c r="H188" s="305">
        <f>'PCO Log'!GI6</f>
        <v>0</v>
      </c>
      <c r="K188" s="307"/>
      <c r="P188" s="303" t="str">
        <f t="shared" ref="P188:P219" si="2">P2</f>
        <v>Design Fee (if design build)</v>
      </c>
      <c r="Q188" s="304">
        <f>SUMIFS('PCO Log'!$E12:$SJ12,'PCO Log'!$E$9:$SJ$9,'Graph Data'!Q$187,'PCO Log'!$E$4:$SJ$4,"&lt;&gt;Bid Package",'PCO Log'!$E$7:$SJ$7,"Approved")</f>
        <v>0</v>
      </c>
      <c r="R188" s="304">
        <f>SUMIFS('PCO Log'!$E12:$SJ12,'PCO Log'!$E$9:$SJ$9,'Graph Data'!R$187,'PCO Log'!$E$4:$SJ$4,"&lt;&gt;Bid Package",'PCO Log'!$E$7:$SJ$7,"Approved")</f>
        <v>0</v>
      </c>
      <c r="S188" s="304">
        <f>SUMIFS('PCO Log'!$E12:$SJ12,'PCO Log'!$E$9:$SJ$9,'Graph Data'!S$187,'PCO Log'!$E$4:$SJ$4,"&lt;&gt;Bid Package",'PCO Log'!$E$7:$SJ$7,"Approved")</f>
        <v>0</v>
      </c>
      <c r="T188" s="304">
        <f>SUMIFS('PCO Log'!$E12:$SJ12,'PCO Log'!$E$9:$SJ$9,'Graph Data'!T$187,'PCO Log'!$E$4:$SJ$4,"&lt;&gt;Bid Package",'PCO Log'!$E$7:$SJ$7,"Approved")</f>
        <v>0</v>
      </c>
      <c r="U188" s="304">
        <f>SUMIFS('PCO Log'!$E12:$SJ12,'PCO Log'!$E$9:$SJ$9,'Graph Data'!U$187,'PCO Log'!$E$4:$SJ$4,"&lt;&gt;Bid Package",'PCO Log'!$E$7:$SJ$7,"Approved")</f>
        <v>0</v>
      </c>
      <c r="V188" s="304">
        <f>SUMIFS('PCO Log'!$E12:$SJ12,'PCO Log'!$E$9:$SJ$9,'Graph Data'!V$187,'PCO Log'!$E$4:$SJ$4,"&lt;&gt;Bid Package",'PCO Log'!$E$7:$SJ$7,"Approved")</f>
        <v>0</v>
      </c>
      <c r="W188" s="304">
        <f>SUMIFS('PCO Log'!$E12:$SJ12,'PCO Log'!$E$9:$SJ$9,'Graph Data'!W$187,'PCO Log'!$E$4:$SJ$4,"&lt;&gt;Bid Package",'PCO Log'!$E$7:$SJ$7,"Approved")</f>
        <v>0</v>
      </c>
      <c r="X188" s="304">
        <f>SUMIFS('PCO Log'!$E12:$SJ12,'PCO Log'!$E$9:$SJ$9,'Graph Data'!X$187,'PCO Log'!$E$4:$SJ$4,"&lt;&gt;Bid Package",'PCO Log'!$E$7:$SJ$7,"Approved")</f>
        <v>0</v>
      </c>
      <c r="Y188" s="304">
        <f>SUMIFS('PCO Log'!$E12:$SJ12,'PCO Log'!$E$9:$SJ$9,'Graph Data'!Y$187,'PCO Log'!$E$4:$SJ$4,"&lt;&gt;Bid Package",'PCO Log'!$E$7:$SJ$7,"Approved")</f>
        <v>0</v>
      </c>
      <c r="Z188" s="304">
        <f>SUMIFS('PCO Log'!$E12:$SJ12,'PCO Log'!$E$9:$SJ$9,'Graph Data'!Z$187,'PCO Log'!$E$4:$SJ$4,"&lt;&gt;Bid Package",'PCO Log'!$E$7:$SJ$7,"Approved")</f>
        <v>0</v>
      </c>
      <c r="AA188" s="304">
        <f>SUMIFS('PCO Log'!$E12:$SJ12,'PCO Log'!$E$9:$SJ$9,'Graph Data'!AA$187,'PCO Log'!$E$4:$SJ$4,"&lt;&gt;Bid Package",'PCO Log'!$E$7:$SJ$7,"Approved")</f>
        <v>0</v>
      </c>
      <c r="AB188" s="304">
        <f>SUMIFS('PCO Log'!$E12:$SJ12,'PCO Log'!$E$9:$SJ$9,'Graph Data'!AB$187,'PCO Log'!$E$4:$SJ$4,"&lt;&gt;Bid Package",'PCO Log'!$E$7:$SJ$7,"Approved")</f>
        <v>0</v>
      </c>
      <c r="AC188" s="304">
        <f>SUMIFS('PCO Log'!$E12:$SJ12,'PCO Log'!$E$9:$SJ$9,'Graph Data'!AC$187,'PCO Log'!$E$4:$SJ$4,"&lt;&gt;Bid Package",'PCO Log'!$E$7:$SJ$7,"Approved")</f>
        <v>0</v>
      </c>
      <c r="AD188" s="304">
        <f>SUMIFS('PCO Log'!$E12:$SJ12,'PCO Log'!$E$9:$SJ$9,'Graph Data'!AD$187,'PCO Log'!$E$4:$SJ$4,"&lt;&gt;Bid Package",'PCO Log'!$E$7:$SJ$7,"Approved")</f>
        <v>0</v>
      </c>
      <c r="AE188" s="304">
        <f>SUMIFS('PCO Log'!$E12:$SJ12,'PCO Log'!$E$9:$SJ$9,'Graph Data'!AE$187,'PCO Log'!$E$4:$SJ$4,"&lt;&gt;Bid Package",'PCO Log'!$E$7:$SJ$7,"Approved")</f>
        <v>0</v>
      </c>
      <c r="AF188" s="304">
        <f>SUMIFS('PCO Log'!$E12:$SJ12,'PCO Log'!$E$9:$SJ$9,'Graph Data'!AF$187,'PCO Log'!$E$4:$SJ$4,"&lt;&gt;Bid Package",'PCO Log'!$E$7:$SJ$7,"Approved")</f>
        <v>0</v>
      </c>
      <c r="AG188" s="304">
        <f>SUMIFS('PCO Log'!$E12:$SJ12,'PCO Log'!$E$9:$SJ$9,'Graph Data'!AG$187,'PCO Log'!$E$4:$SJ$4,"&lt;&gt;Bid Package",'PCO Log'!$E$7:$SJ$7,"Approved")</f>
        <v>0</v>
      </c>
      <c r="AH188" s="304">
        <f>SUMIFS('PCO Log'!$E12:$SJ12,'PCO Log'!$E$9:$SJ$9,'Graph Data'!AH$187,'PCO Log'!$E$4:$SJ$4,"&lt;&gt;Bid Package",'PCO Log'!$E$7:$SJ$7,"Approved")</f>
        <v>0</v>
      </c>
      <c r="AI188" s="304">
        <f>SUMIFS('PCO Log'!$E12:$SJ12,'PCO Log'!$E$9:$SJ$9,'Graph Data'!AI$187,'PCO Log'!$E$4:$SJ$4,"&lt;&gt;Bid Package",'PCO Log'!$E$7:$SJ$7,"Approved")</f>
        <v>0</v>
      </c>
      <c r="AJ188" s="304">
        <f>SUMIFS('PCO Log'!$E12:$SJ12,'PCO Log'!$E$9:$SJ$9,'Graph Data'!AJ$187,'PCO Log'!$E$4:$SJ$4,"&lt;&gt;Bid Package",'PCO Log'!$E$7:$SJ$7,"Approved")</f>
        <v>0</v>
      </c>
      <c r="AK188" s="304">
        <f>SUMIFS('PCO Log'!$E12:$SJ12,'PCO Log'!$E$9:$SJ$9,'Graph Data'!AK$187,'PCO Log'!$E$4:$SJ$4,"&lt;&gt;Bid Package",'PCO Log'!$E$7:$SJ$7,"Approved")</f>
        <v>0</v>
      </c>
      <c r="AL188" s="304">
        <f>SUMIFS('PCO Log'!$E12:$SJ12,'PCO Log'!$E$9:$SJ$9,'Graph Data'!AL$187,'PCO Log'!$E$4:$SJ$4,"&lt;&gt;Bid Package",'PCO Log'!$E$7:$SJ$7,"Approved")</f>
        <v>0</v>
      </c>
      <c r="AM188" s="304">
        <f>SUMIFS('PCO Log'!$E12:$SJ12,'PCO Log'!$E$9:$SJ$9,'Graph Data'!AM$187,'PCO Log'!$E$4:$SJ$4,"&lt;&gt;Bid Package",'PCO Log'!$E$7:$SJ$7,"Approved")</f>
        <v>0</v>
      </c>
      <c r="AN188" s="304">
        <f>SUMIFS('PCO Log'!$E12:$SJ12,'PCO Log'!$E$9:$SJ$9,'Graph Data'!AN$187,'PCO Log'!$E$4:$SJ$4,"&lt;&gt;Bid Package",'PCO Log'!$E$7:$SJ$7,"Approved")</f>
        <v>0</v>
      </c>
      <c r="AO188" s="304">
        <f>SUMIFS('PCO Log'!$E12:$SJ12,'PCO Log'!$E$9:$SJ$9,'Graph Data'!AO$187,'PCO Log'!$E$4:$SJ$4,"&lt;&gt;Bid Package",'PCO Log'!$E$7:$SJ$7,"Approved")</f>
        <v>0</v>
      </c>
      <c r="AP188" s="304">
        <f>SUMIFS('PCO Log'!$E12:$SJ12,'PCO Log'!$E$9:$SJ$9,'Graph Data'!AP$187,'PCO Log'!$E$4:$SJ$4,"&lt;&gt;Bid Package",'PCO Log'!$E$7:$SJ$7,"Approved")</f>
        <v>0</v>
      </c>
      <c r="AQ188" s="304">
        <f>SUMIFS('PCO Log'!$E12:$SJ12,'PCO Log'!$E$9:$SJ$9,'Graph Data'!AQ$187,'PCO Log'!$E$4:$SJ$4,"&lt;&gt;Bid Package",'PCO Log'!$E$7:$SJ$7,"Approved")</f>
        <v>0</v>
      </c>
      <c r="AR188" s="304">
        <f>SUMIFS('PCO Log'!$E12:$SJ12,'PCO Log'!$E$9:$SJ$9,'Graph Data'!AR$187,'PCO Log'!$E$4:$SJ$4,"&lt;&gt;Bid Package",'PCO Log'!$E$7:$SJ$7,"Approved")</f>
        <v>0</v>
      </c>
      <c r="AS188" s="304">
        <f>SUMIFS('PCO Log'!$E12:$SJ12,'PCO Log'!$E$9:$SJ$9,'Graph Data'!AS$187,'PCO Log'!$E$4:$SJ$4,"&lt;&gt;Bid Package",'PCO Log'!$E$7:$SJ$7,"Approved")</f>
        <v>0</v>
      </c>
      <c r="AT188" s="304">
        <f>SUMIFS('PCO Log'!$E12:$SJ12,'PCO Log'!$E$9:$SJ$9,'Graph Data'!AT$187,'PCO Log'!$E$4:$SJ$4,"&lt;&gt;Bid Package",'PCO Log'!$E$7:$SJ$7,"Approved")</f>
        <v>0</v>
      </c>
      <c r="AU188" s="304">
        <f>SUMIFS('PCO Log'!$E12:$SJ12,'PCO Log'!$E$9:$SJ$9,'Graph Data'!AU$187,'PCO Log'!$E$4:$SJ$4,"&lt;&gt;Bid Package",'PCO Log'!$E$7:$SJ$7,"Approved")</f>
        <v>0</v>
      </c>
      <c r="AV188" s="304">
        <f>SUMIFS('PCO Log'!$E12:$SJ12,'PCO Log'!$E$9:$SJ$9,'Graph Data'!AV$187,'PCO Log'!$E$4:$SJ$4,"&lt;&gt;Bid Package",'PCO Log'!$E$7:$SJ$7,"Approved")</f>
        <v>0</v>
      </c>
      <c r="AW188" s="304">
        <f>SUMIFS('PCO Log'!$E12:$SJ12,'PCO Log'!$E$9:$SJ$9,'Graph Data'!AW$187,'PCO Log'!$E$4:$SJ$4,"&lt;&gt;Bid Package",'PCO Log'!$E$7:$SJ$7,"Approved")</f>
        <v>0</v>
      </c>
      <c r="AX188" s="304">
        <f>SUMIFS('PCO Log'!$E12:$SJ12,'PCO Log'!$E$9:$SJ$9,'Graph Data'!AX$187,'PCO Log'!$E$4:$SJ$4,"&lt;&gt;Bid Package",'PCO Log'!$E$7:$SJ$7,"Approved")</f>
        <v>0</v>
      </c>
      <c r="AY188" s="304">
        <f>SUMIFS('PCO Log'!$E12:$SJ12,'PCO Log'!$E$9:$SJ$9,'Graph Data'!AY$187,'PCO Log'!$E$4:$SJ$4,"&lt;&gt;Bid Package",'PCO Log'!$E$7:$SJ$7,"Approved")</f>
        <v>0</v>
      </c>
      <c r="AZ188" s="304">
        <f>SUMIFS('PCO Log'!$E12:$SJ12,'PCO Log'!$E$9:$SJ$9,'Graph Data'!AZ$187,'PCO Log'!$E$4:$SJ$4,"&lt;&gt;Bid Package",'PCO Log'!$E$7:$SJ$7,"Approved")</f>
        <v>0</v>
      </c>
      <c r="BA188" s="304">
        <f>SUMIFS('PCO Log'!$E12:$SJ12,'PCO Log'!$E$9:$SJ$9,'Graph Data'!BA$187,'PCO Log'!$E$4:$SJ$4,"&lt;&gt;Bid Package",'PCO Log'!$E$7:$SJ$7,"Approved")</f>
        <v>0</v>
      </c>
      <c r="BB188" s="304">
        <f>SUMIFS('PCO Log'!$E12:$SJ12,'PCO Log'!$E$9:$SJ$9,'Graph Data'!BB$187,'PCO Log'!$E$4:$SJ$4,"&lt;&gt;Bid Package",'PCO Log'!$E$7:$SJ$7,"Approved")</f>
        <v>0</v>
      </c>
      <c r="BC188" s="304">
        <f>SUMIFS('PCO Log'!$E12:$SJ12,'PCO Log'!$E$9:$SJ$9,'Graph Data'!BC$187,'PCO Log'!$E$4:$SJ$4,"&lt;&gt;Bid Package",'PCO Log'!$E$7:$SJ$7,"Approved")</f>
        <v>0</v>
      </c>
      <c r="BD188" s="304">
        <f>SUMIFS('PCO Log'!$E12:$SJ12,'PCO Log'!$E$9:$SJ$9,'Graph Data'!BD$187,'PCO Log'!$E$4:$SJ$4,"&lt;&gt;Bid Package",'PCO Log'!$E$7:$SJ$7,"Approved")</f>
        <v>0</v>
      </c>
      <c r="BE188" s="304">
        <f>SUMIFS('PCO Log'!$E12:$SJ12,'PCO Log'!$E$9:$SJ$9,'Graph Data'!BE$187,'PCO Log'!$E$4:$SJ$4,"&lt;&gt;Bid Package",'PCO Log'!$E$7:$SJ$7,"Approved")</f>
        <v>0</v>
      </c>
      <c r="BF188" s="304">
        <f>SUMIFS('PCO Log'!$E12:$SJ12,'PCO Log'!$E$9:$SJ$9,'Graph Data'!BF$187,'PCO Log'!$E$4:$SJ$4,"&lt;&gt;Bid Package",'PCO Log'!$E$7:$SJ$7,"Approved")</f>
        <v>0</v>
      </c>
      <c r="BG188" s="304">
        <f>SUMIFS('PCO Log'!$E12:$SJ12,'PCO Log'!$E$9:$SJ$9,'Graph Data'!BG$187,'PCO Log'!$E$4:$SJ$4,"&lt;&gt;Bid Package",'PCO Log'!$E$7:$SJ$7,"Approved")</f>
        <v>0</v>
      </c>
      <c r="BH188" s="304">
        <f>SUMIFS('PCO Log'!$E12:$SJ12,'PCO Log'!$E$9:$SJ$9,'Graph Data'!BH$187,'PCO Log'!$E$4:$SJ$4,"&lt;&gt;Bid Package",'PCO Log'!$E$7:$SJ$7,"Approved")</f>
        <v>0</v>
      </c>
      <c r="BI188" s="304">
        <f>SUMIFS('PCO Log'!$E12:$SJ12,'PCO Log'!$E$9:$SJ$9,'Graph Data'!BI$187,'PCO Log'!$E$4:$SJ$4,"&lt;&gt;Bid Package",'PCO Log'!$E$7:$SJ$7,"Approved")</f>
        <v>0</v>
      </c>
      <c r="BJ188" s="304">
        <f>SUMIFS('PCO Log'!$E12:$SJ12,'PCO Log'!$E$9:$SJ$9,'Graph Data'!BJ$187,'PCO Log'!$E$4:$SJ$4,"&lt;&gt;Bid Package",'PCO Log'!$E$7:$SJ$7,"Approved")</f>
        <v>0</v>
      </c>
      <c r="BK188" s="304">
        <f>SUMIFS('PCO Log'!$E12:$SJ12,'PCO Log'!$E$9:$SJ$9,'Graph Data'!BK$187,'PCO Log'!$E$4:$SJ$4,"&lt;&gt;Bid Package",'PCO Log'!$E$7:$SJ$7,"Approved")</f>
        <v>0</v>
      </c>
      <c r="BL188" s="304">
        <f>SUMIFS('PCO Log'!$E12:$SJ12,'PCO Log'!$E$9:$SJ$9,'Graph Data'!BL$187,'PCO Log'!$E$4:$SJ$4,"&lt;&gt;Bid Package",'PCO Log'!$E$7:$SJ$7,"Approved")</f>
        <v>0</v>
      </c>
      <c r="BM188" s="304">
        <f>SUMIFS('PCO Log'!$E12:$SJ12,'PCO Log'!$E$9:$SJ$9,'Graph Data'!BM$187,'PCO Log'!$E$4:$SJ$4,"&lt;&gt;Bid Package",'PCO Log'!$E$7:$SJ$7,"Approved")</f>
        <v>0</v>
      </c>
      <c r="BN188" s="304">
        <f>SUMIFS('PCO Log'!$E12:$SJ12,'PCO Log'!$E$9:$SJ$9,'Graph Data'!BN$187,'PCO Log'!$E$4:$SJ$4,"&lt;&gt;Bid Package",'PCO Log'!$E$7:$SJ$7,"Approved")</f>
        <v>0</v>
      </c>
      <c r="BO188" s="304">
        <f>SUMIFS('PCO Log'!$E12:$SJ12,'PCO Log'!$E$9:$SJ$9,'Graph Data'!BO$187,'PCO Log'!$E$4:$SJ$4,"&lt;&gt;Bid Package",'PCO Log'!$E$7:$SJ$7,"Approved")</f>
        <v>0</v>
      </c>
      <c r="BP188" s="304">
        <f>SUMIFS('PCO Log'!$E12:$SJ12,'PCO Log'!$E$9:$SJ$9,'Graph Data'!BP$187,'PCO Log'!$E$4:$SJ$4,"&lt;&gt;Bid Package",'PCO Log'!$E$7:$SJ$7,"Approved")</f>
        <v>0</v>
      </c>
      <c r="BQ188" s="304">
        <f>SUMIFS('PCO Log'!$E12:$SJ12,'PCO Log'!$E$9:$SJ$9,'Graph Data'!BQ$187,'PCO Log'!$E$4:$SJ$4,"&lt;&gt;Bid Package",'PCO Log'!$E$7:$SJ$7,"Approved")</f>
        <v>0</v>
      </c>
      <c r="BR188" s="304">
        <f>SUMIFS('PCO Log'!$E12:$SJ12,'PCO Log'!$E$9:$SJ$9,'Graph Data'!BR$187,'PCO Log'!$E$4:$SJ$4,"&lt;&gt;Bid Package",'PCO Log'!$E$7:$SJ$7,"Approved")</f>
        <v>0</v>
      </c>
      <c r="BS188" s="304">
        <f>SUMIFS('PCO Log'!$E12:$SJ12,'PCO Log'!$E$9:$SJ$9,'Graph Data'!BS$187,'PCO Log'!$E$4:$SJ$4,"&lt;&gt;Bid Package",'PCO Log'!$E$7:$SJ$7,"Approved")</f>
        <v>0</v>
      </c>
      <c r="BT188" s="304">
        <f>SUMIFS('PCO Log'!$E12:$SJ12,'PCO Log'!$E$9:$SJ$9,'Graph Data'!BT$187,'PCO Log'!$E$4:$SJ$4,"&lt;&gt;Bid Package",'PCO Log'!$E$7:$SJ$7,"Approved")</f>
        <v>0</v>
      </c>
      <c r="BU188" s="304">
        <f>SUMIFS('PCO Log'!$E12:$SJ12,'PCO Log'!$E$9:$SJ$9,'Graph Data'!BU$187,'PCO Log'!$E$4:$SJ$4,"&lt;&gt;Bid Package",'PCO Log'!$E$7:$SJ$7,"Approved")</f>
        <v>0</v>
      </c>
      <c r="BV188" s="304">
        <f>SUMIFS('PCO Log'!$E12:$SJ12,'PCO Log'!$E$9:$SJ$9,'Graph Data'!BV$187,'PCO Log'!$E$4:$SJ$4,"&lt;&gt;Bid Package",'PCO Log'!$E$7:$SJ$7,"Approved")</f>
        <v>0</v>
      </c>
      <c r="BW188" s="304">
        <f>SUMIFS('PCO Log'!$E12:$SJ12,'PCO Log'!$E$9:$SJ$9,'Graph Data'!BW$187,'PCO Log'!$E$4:$SJ$4,"&lt;&gt;Bid Package",'PCO Log'!$E$7:$SJ$7,"Approved")</f>
        <v>0</v>
      </c>
      <c r="BX188" s="304">
        <f>SUMIFS('PCO Log'!$E12:$SJ12,'PCO Log'!$E$9:$SJ$9,'Graph Data'!BX$187,'PCO Log'!$E$4:$SJ$4,"&lt;&gt;Bid Package",'PCO Log'!$E$7:$SJ$7,"Approved")</f>
        <v>0</v>
      </c>
    </row>
    <row r="189" spans="1:76" x14ac:dyDescent="0.25">
      <c r="A189" s="303" t="s">
        <v>539</v>
      </c>
      <c r="B189" s="303">
        <f>'PCO Log'!GJ7</f>
        <v>0</v>
      </c>
      <c r="C189" s="303">
        <f>'PCO Log'!GJ4</f>
        <v>0</v>
      </c>
      <c r="D189" s="303" cm="1">
        <f t="array" ref="D189">INDEX('PCO Log'!$E$5:$SJ$5, 1, ROWS('Graph Data'!$D$2:D189))</f>
        <v>0</v>
      </c>
      <c r="E189" s="303">
        <f>'PCO Log'!GJ8</f>
        <v>0</v>
      </c>
      <c r="F189" s="303">
        <f>'PCO Log'!GJ3</f>
        <v>0</v>
      </c>
      <c r="G189" s="304">
        <f>'PCO Log'!GJ10</f>
        <v>0</v>
      </c>
      <c r="H189" s="305">
        <f>'PCO Log'!GJ6</f>
        <v>0</v>
      </c>
      <c r="K189" s="307"/>
      <c r="P189" s="303" t="str">
        <f t="shared" si="2"/>
        <v>Preconstruction Services</v>
      </c>
      <c r="Q189" s="304">
        <f>SUMIFS('PCO Log'!$E13:$SJ13,'PCO Log'!$E$9:$SJ$9,'Graph Data'!Q$187,'PCO Log'!$E$4:$SJ$4,"&lt;&gt;Bid Package",'PCO Log'!$E$7:$SJ$7,"Approved")</f>
        <v>0</v>
      </c>
      <c r="R189" s="304">
        <f>SUMIFS('PCO Log'!$E13:$SJ13,'PCO Log'!$E$9:$SJ$9,'Graph Data'!R$187,'PCO Log'!$E$4:$SJ$4,"&lt;&gt;Bid Package",'PCO Log'!$E$7:$SJ$7,"Approved")</f>
        <v>0</v>
      </c>
      <c r="S189" s="304">
        <f>SUMIFS('PCO Log'!$E13:$SJ13,'PCO Log'!$E$9:$SJ$9,'Graph Data'!S$187,'PCO Log'!$E$4:$SJ$4,"&lt;&gt;Bid Package",'PCO Log'!$E$7:$SJ$7,"Approved")</f>
        <v>0</v>
      </c>
      <c r="T189" s="304">
        <f>SUMIFS('PCO Log'!$E13:$SJ13,'PCO Log'!$E$9:$SJ$9,'Graph Data'!T$187,'PCO Log'!$E$4:$SJ$4,"&lt;&gt;Bid Package",'PCO Log'!$E$7:$SJ$7,"Approved")</f>
        <v>0</v>
      </c>
      <c r="U189" s="304">
        <f>SUMIFS('PCO Log'!$E13:$SJ13,'PCO Log'!$E$9:$SJ$9,'Graph Data'!U$187,'PCO Log'!$E$4:$SJ$4,"&lt;&gt;Bid Package",'PCO Log'!$E$7:$SJ$7,"Approved")</f>
        <v>0</v>
      </c>
      <c r="V189" s="304">
        <f>SUMIFS('PCO Log'!$E13:$SJ13,'PCO Log'!$E$9:$SJ$9,'Graph Data'!V$187,'PCO Log'!$E$4:$SJ$4,"&lt;&gt;Bid Package",'PCO Log'!$E$7:$SJ$7,"Approved")</f>
        <v>0</v>
      </c>
      <c r="W189" s="304">
        <f>SUMIFS('PCO Log'!$E13:$SJ13,'PCO Log'!$E$9:$SJ$9,'Graph Data'!W$187,'PCO Log'!$E$4:$SJ$4,"&lt;&gt;Bid Package",'PCO Log'!$E$7:$SJ$7,"Approved")</f>
        <v>0</v>
      </c>
      <c r="X189" s="304">
        <f>SUMIFS('PCO Log'!$E13:$SJ13,'PCO Log'!$E$9:$SJ$9,'Graph Data'!X$187,'PCO Log'!$E$4:$SJ$4,"&lt;&gt;Bid Package",'PCO Log'!$E$7:$SJ$7,"Approved")</f>
        <v>0</v>
      </c>
      <c r="Y189" s="304">
        <f>SUMIFS('PCO Log'!$E13:$SJ13,'PCO Log'!$E$9:$SJ$9,'Graph Data'!Y$187,'PCO Log'!$E$4:$SJ$4,"&lt;&gt;Bid Package",'PCO Log'!$E$7:$SJ$7,"Approved")</f>
        <v>0</v>
      </c>
      <c r="Z189" s="304">
        <f>SUMIFS('PCO Log'!$E13:$SJ13,'PCO Log'!$E$9:$SJ$9,'Graph Data'!Z$187,'PCO Log'!$E$4:$SJ$4,"&lt;&gt;Bid Package",'PCO Log'!$E$7:$SJ$7,"Approved")</f>
        <v>0</v>
      </c>
      <c r="AA189" s="304">
        <f>SUMIFS('PCO Log'!$E13:$SJ13,'PCO Log'!$E$9:$SJ$9,'Graph Data'!AA$187,'PCO Log'!$E$4:$SJ$4,"&lt;&gt;Bid Package",'PCO Log'!$E$7:$SJ$7,"Approved")</f>
        <v>0</v>
      </c>
      <c r="AB189" s="304">
        <f>SUMIFS('PCO Log'!$E13:$SJ13,'PCO Log'!$E$9:$SJ$9,'Graph Data'!AB$187,'PCO Log'!$E$4:$SJ$4,"&lt;&gt;Bid Package",'PCO Log'!$E$7:$SJ$7,"Approved")</f>
        <v>0</v>
      </c>
      <c r="AC189" s="304">
        <f>SUMIFS('PCO Log'!$E13:$SJ13,'PCO Log'!$E$9:$SJ$9,'Graph Data'!AC$187,'PCO Log'!$E$4:$SJ$4,"&lt;&gt;Bid Package",'PCO Log'!$E$7:$SJ$7,"Approved")</f>
        <v>0</v>
      </c>
      <c r="AD189" s="304">
        <f>SUMIFS('PCO Log'!$E13:$SJ13,'PCO Log'!$E$9:$SJ$9,'Graph Data'!AD$187,'PCO Log'!$E$4:$SJ$4,"&lt;&gt;Bid Package",'PCO Log'!$E$7:$SJ$7,"Approved")</f>
        <v>0</v>
      </c>
      <c r="AE189" s="304">
        <f>SUMIFS('PCO Log'!$E13:$SJ13,'PCO Log'!$E$9:$SJ$9,'Graph Data'!AE$187,'PCO Log'!$E$4:$SJ$4,"&lt;&gt;Bid Package",'PCO Log'!$E$7:$SJ$7,"Approved")</f>
        <v>0</v>
      </c>
      <c r="AF189" s="304">
        <f>SUMIFS('PCO Log'!$E13:$SJ13,'PCO Log'!$E$9:$SJ$9,'Graph Data'!AF$187,'PCO Log'!$E$4:$SJ$4,"&lt;&gt;Bid Package",'PCO Log'!$E$7:$SJ$7,"Approved")</f>
        <v>0</v>
      </c>
      <c r="AG189" s="304">
        <f>SUMIFS('PCO Log'!$E13:$SJ13,'PCO Log'!$E$9:$SJ$9,'Graph Data'!AG$187,'PCO Log'!$E$4:$SJ$4,"&lt;&gt;Bid Package",'PCO Log'!$E$7:$SJ$7,"Approved")</f>
        <v>0</v>
      </c>
      <c r="AH189" s="304">
        <f>SUMIFS('PCO Log'!$E13:$SJ13,'PCO Log'!$E$9:$SJ$9,'Graph Data'!AH$187,'PCO Log'!$E$4:$SJ$4,"&lt;&gt;Bid Package",'PCO Log'!$E$7:$SJ$7,"Approved")</f>
        <v>0</v>
      </c>
      <c r="AI189" s="304">
        <f>SUMIFS('PCO Log'!$E13:$SJ13,'PCO Log'!$E$9:$SJ$9,'Graph Data'!AI$187,'PCO Log'!$E$4:$SJ$4,"&lt;&gt;Bid Package",'PCO Log'!$E$7:$SJ$7,"Approved")</f>
        <v>0</v>
      </c>
      <c r="AJ189" s="304">
        <f>SUMIFS('PCO Log'!$E13:$SJ13,'PCO Log'!$E$9:$SJ$9,'Graph Data'!AJ$187,'PCO Log'!$E$4:$SJ$4,"&lt;&gt;Bid Package",'PCO Log'!$E$7:$SJ$7,"Approved")</f>
        <v>0</v>
      </c>
      <c r="AK189" s="304">
        <f>SUMIFS('PCO Log'!$E13:$SJ13,'PCO Log'!$E$9:$SJ$9,'Graph Data'!AK$187,'PCO Log'!$E$4:$SJ$4,"&lt;&gt;Bid Package",'PCO Log'!$E$7:$SJ$7,"Approved")</f>
        <v>0</v>
      </c>
      <c r="AL189" s="304">
        <f>SUMIFS('PCO Log'!$E13:$SJ13,'PCO Log'!$E$9:$SJ$9,'Graph Data'!AL$187,'PCO Log'!$E$4:$SJ$4,"&lt;&gt;Bid Package",'PCO Log'!$E$7:$SJ$7,"Approved")</f>
        <v>0</v>
      </c>
      <c r="AM189" s="304">
        <f>SUMIFS('PCO Log'!$E13:$SJ13,'PCO Log'!$E$9:$SJ$9,'Graph Data'!AM$187,'PCO Log'!$E$4:$SJ$4,"&lt;&gt;Bid Package",'PCO Log'!$E$7:$SJ$7,"Approved")</f>
        <v>0</v>
      </c>
      <c r="AN189" s="304">
        <f>SUMIFS('PCO Log'!$E13:$SJ13,'PCO Log'!$E$9:$SJ$9,'Graph Data'!AN$187,'PCO Log'!$E$4:$SJ$4,"&lt;&gt;Bid Package",'PCO Log'!$E$7:$SJ$7,"Approved")</f>
        <v>0</v>
      </c>
      <c r="AO189" s="304">
        <f>SUMIFS('PCO Log'!$E13:$SJ13,'PCO Log'!$E$9:$SJ$9,'Graph Data'!AO$187,'PCO Log'!$E$4:$SJ$4,"&lt;&gt;Bid Package",'PCO Log'!$E$7:$SJ$7,"Approved")</f>
        <v>0</v>
      </c>
      <c r="AP189" s="304">
        <f>SUMIFS('PCO Log'!$E13:$SJ13,'PCO Log'!$E$9:$SJ$9,'Graph Data'!AP$187,'PCO Log'!$E$4:$SJ$4,"&lt;&gt;Bid Package",'PCO Log'!$E$7:$SJ$7,"Approved")</f>
        <v>0</v>
      </c>
      <c r="AQ189" s="304">
        <f>SUMIFS('PCO Log'!$E13:$SJ13,'PCO Log'!$E$9:$SJ$9,'Graph Data'!AQ$187,'PCO Log'!$E$4:$SJ$4,"&lt;&gt;Bid Package",'PCO Log'!$E$7:$SJ$7,"Approved")</f>
        <v>0</v>
      </c>
      <c r="AR189" s="304">
        <f>SUMIFS('PCO Log'!$E13:$SJ13,'PCO Log'!$E$9:$SJ$9,'Graph Data'!AR$187,'PCO Log'!$E$4:$SJ$4,"&lt;&gt;Bid Package",'PCO Log'!$E$7:$SJ$7,"Approved")</f>
        <v>0</v>
      </c>
      <c r="AS189" s="304">
        <f>SUMIFS('PCO Log'!$E13:$SJ13,'PCO Log'!$E$9:$SJ$9,'Graph Data'!AS$187,'PCO Log'!$E$4:$SJ$4,"&lt;&gt;Bid Package",'PCO Log'!$E$7:$SJ$7,"Approved")</f>
        <v>0</v>
      </c>
      <c r="AT189" s="304">
        <f>SUMIFS('PCO Log'!$E13:$SJ13,'PCO Log'!$E$9:$SJ$9,'Graph Data'!AT$187,'PCO Log'!$E$4:$SJ$4,"&lt;&gt;Bid Package",'PCO Log'!$E$7:$SJ$7,"Approved")</f>
        <v>0</v>
      </c>
      <c r="AU189" s="304">
        <f>SUMIFS('PCO Log'!$E13:$SJ13,'PCO Log'!$E$9:$SJ$9,'Graph Data'!AU$187,'PCO Log'!$E$4:$SJ$4,"&lt;&gt;Bid Package",'PCO Log'!$E$7:$SJ$7,"Approved")</f>
        <v>0</v>
      </c>
      <c r="AV189" s="304">
        <f>SUMIFS('PCO Log'!$E13:$SJ13,'PCO Log'!$E$9:$SJ$9,'Graph Data'!AV$187,'PCO Log'!$E$4:$SJ$4,"&lt;&gt;Bid Package",'PCO Log'!$E$7:$SJ$7,"Approved")</f>
        <v>0</v>
      </c>
      <c r="AW189" s="304">
        <f>SUMIFS('PCO Log'!$E13:$SJ13,'PCO Log'!$E$9:$SJ$9,'Graph Data'!AW$187,'PCO Log'!$E$4:$SJ$4,"&lt;&gt;Bid Package",'PCO Log'!$E$7:$SJ$7,"Approved")</f>
        <v>0</v>
      </c>
      <c r="AX189" s="304">
        <f>SUMIFS('PCO Log'!$E13:$SJ13,'PCO Log'!$E$9:$SJ$9,'Graph Data'!AX$187,'PCO Log'!$E$4:$SJ$4,"&lt;&gt;Bid Package",'PCO Log'!$E$7:$SJ$7,"Approved")</f>
        <v>0</v>
      </c>
      <c r="AY189" s="304">
        <f>SUMIFS('PCO Log'!$E13:$SJ13,'PCO Log'!$E$9:$SJ$9,'Graph Data'!AY$187,'PCO Log'!$E$4:$SJ$4,"&lt;&gt;Bid Package",'PCO Log'!$E$7:$SJ$7,"Approved")</f>
        <v>0</v>
      </c>
      <c r="AZ189" s="304">
        <f>SUMIFS('PCO Log'!$E13:$SJ13,'PCO Log'!$E$9:$SJ$9,'Graph Data'!AZ$187,'PCO Log'!$E$4:$SJ$4,"&lt;&gt;Bid Package",'PCO Log'!$E$7:$SJ$7,"Approved")</f>
        <v>0</v>
      </c>
      <c r="BA189" s="304">
        <f>SUMIFS('PCO Log'!$E13:$SJ13,'PCO Log'!$E$9:$SJ$9,'Graph Data'!BA$187,'PCO Log'!$E$4:$SJ$4,"&lt;&gt;Bid Package",'PCO Log'!$E$7:$SJ$7,"Approved")</f>
        <v>0</v>
      </c>
      <c r="BB189" s="304">
        <f>SUMIFS('PCO Log'!$E13:$SJ13,'PCO Log'!$E$9:$SJ$9,'Graph Data'!BB$187,'PCO Log'!$E$4:$SJ$4,"&lt;&gt;Bid Package",'PCO Log'!$E$7:$SJ$7,"Approved")</f>
        <v>0</v>
      </c>
      <c r="BC189" s="304">
        <f>SUMIFS('PCO Log'!$E13:$SJ13,'PCO Log'!$E$9:$SJ$9,'Graph Data'!BC$187,'PCO Log'!$E$4:$SJ$4,"&lt;&gt;Bid Package",'PCO Log'!$E$7:$SJ$7,"Approved")</f>
        <v>0</v>
      </c>
      <c r="BD189" s="304">
        <f>SUMIFS('PCO Log'!$E13:$SJ13,'PCO Log'!$E$9:$SJ$9,'Graph Data'!BD$187,'PCO Log'!$E$4:$SJ$4,"&lt;&gt;Bid Package",'PCO Log'!$E$7:$SJ$7,"Approved")</f>
        <v>0</v>
      </c>
      <c r="BE189" s="304">
        <f>SUMIFS('PCO Log'!$E13:$SJ13,'PCO Log'!$E$9:$SJ$9,'Graph Data'!BE$187,'PCO Log'!$E$4:$SJ$4,"&lt;&gt;Bid Package",'PCO Log'!$E$7:$SJ$7,"Approved")</f>
        <v>0</v>
      </c>
      <c r="BF189" s="304">
        <f>SUMIFS('PCO Log'!$E13:$SJ13,'PCO Log'!$E$9:$SJ$9,'Graph Data'!BF$187,'PCO Log'!$E$4:$SJ$4,"&lt;&gt;Bid Package",'PCO Log'!$E$7:$SJ$7,"Approved")</f>
        <v>0</v>
      </c>
      <c r="BG189" s="304">
        <f>SUMIFS('PCO Log'!$E13:$SJ13,'PCO Log'!$E$9:$SJ$9,'Graph Data'!BG$187,'PCO Log'!$E$4:$SJ$4,"&lt;&gt;Bid Package",'PCO Log'!$E$7:$SJ$7,"Approved")</f>
        <v>0</v>
      </c>
      <c r="BH189" s="304">
        <f>SUMIFS('PCO Log'!$E13:$SJ13,'PCO Log'!$E$9:$SJ$9,'Graph Data'!BH$187,'PCO Log'!$E$4:$SJ$4,"&lt;&gt;Bid Package",'PCO Log'!$E$7:$SJ$7,"Approved")</f>
        <v>0</v>
      </c>
      <c r="BI189" s="304">
        <f>SUMIFS('PCO Log'!$E13:$SJ13,'PCO Log'!$E$9:$SJ$9,'Graph Data'!BI$187,'PCO Log'!$E$4:$SJ$4,"&lt;&gt;Bid Package",'PCO Log'!$E$7:$SJ$7,"Approved")</f>
        <v>0</v>
      </c>
      <c r="BJ189" s="304">
        <f>SUMIFS('PCO Log'!$E13:$SJ13,'PCO Log'!$E$9:$SJ$9,'Graph Data'!BJ$187,'PCO Log'!$E$4:$SJ$4,"&lt;&gt;Bid Package",'PCO Log'!$E$7:$SJ$7,"Approved")</f>
        <v>0</v>
      </c>
      <c r="BK189" s="304">
        <f>SUMIFS('PCO Log'!$E13:$SJ13,'PCO Log'!$E$9:$SJ$9,'Graph Data'!BK$187,'PCO Log'!$E$4:$SJ$4,"&lt;&gt;Bid Package",'PCO Log'!$E$7:$SJ$7,"Approved")</f>
        <v>0</v>
      </c>
      <c r="BL189" s="304">
        <f>SUMIFS('PCO Log'!$E13:$SJ13,'PCO Log'!$E$9:$SJ$9,'Graph Data'!BL$187,'PCO Log'!$E$4:$SJ$4,"&lt;&gt;Bid Package",'PCO Log'!$E$7:$SJ$7,"Approved")</f>
        <v>0</v>
      </c>
      <c r="BM189" s="304">
        <f>SUMIFS('PCO Log'!$E13:$SJ13,'PCO Log'!$E$9:$SJ$9,'Graph Data'!BM$187,'PCO Log'!$E$4:$SJ$4,"&lt;&gt;Bid Package",'PCO Log'!$E$7:$SJ$7,"Approved")</f>
        <v>0</v>
      </c>
      <c r="BN189" s="304">
        <f>SUMIFS('PCO Log'!$E13:$SJ13,'PCO Log'!$E$9:$SJ$9,'Graph Data'!BN$187,'PCO Log'!$E$4:$SJ$4,"&lt;&gt;Bid Package",'PCO Log'!$E$7:$SJ$7,"Approved")</f>
        <v>0</v>
      </c>
      <c r="BO189" s="304">
        <f>SUMIFS('PCO Log'!$E13:$SJ13,'PCO Log'!$E$9:$SJ$9,'Graph Data'!BO$187,'PCO Log'!$E$4:$SJ$4,"&lt;&gt;Bid Package",'PCO Log'!$E$7:$SJ$7,"Approved")</f>
        <v>0</v>
      </c>
      <c r="BP189" s="304">
        <f>SUMIFS('PCO Log'!$E13:$SJ13,'PCO Log'!$E$9:$SJ$9,'Graph Data'!BP$187,'PCO Log'!$E$4:$SJ$4,"&lt;&gt;Bid Package",'PCO Log'!$E$7:$SJ$7,"Approved")</f>
        <v>0</v>
      </c>
      <c r="BQ189" s="304">
        <f>SUMIFS('PCO Log'!$E13:$SJ13,'PCO Log'!$E$9:$SJ$9,'Graph Data'!BQ$187,'PCO Log'!$E$4:$SJ$4,"&lt;&gt;Bid Package",'PCO Log'!$E$7:$SJ$7,"Approved")</f>
        <v>0</v>
      </c>
      <c r="BR189" s="304">
        <f>SUMIFS('PCO Log'!$E13:$SJ13,'PCO Log'!$E$9:$SJ$9,'Graph Data'!BR$187,'PCO Log'!$E$4:$SJ$4,"&lt;&gt;Bid Package",'PCO Log'!$E$7:$SJ$7,"Approved")</f>
        <v>0</v>
      </c>
      <c r="BS189" s="304">
        <f>SUMIFS('PCO Log'!$E13:$SJ13,'PCO Log'!$E$9:$SJ$9,'Graph Data'!BS$187,'PCO Log'!$E$4:$SJ$4,"&lt;&gt;Bid Package",'PCO Log'!$E$7:$SJ$7,"Approved")</f>
        <v>0</v>
      </c>
      <c r="BT189" s="304">
        <f>SUMIFS('PCO Log'!$E13:$SJ13,'PCO Log'!$E$9:$SJ$9,'Graph Data'!BT$187,'PCO Log'!$E$4:$SJ$4,"&lt;&gt;Bid Package",'PCO Log'!$E$7:$SJ$7,"Approved")</f>
        <v>0</v>
      </c>
      <c r="BU189" s="304">
        <f>SUMIFS('PCO Log'!$E13:$SJ13,'PCO Log'!$E$9:$SJ$9,'Graph Data'!BU$187,'PCO Log'!$E$4:$SJ$4,"&lt;&gt;Bid Package",'PCO Log'!$E$7:$SJ$7,"Approved")</f>
        <v>0</v>
      </c>
      <c r="BV189" s="304">
        <f>SUMIFS('PCO Log'!$E13:$SJ13,'PCO Log'!$E$9:$SJ$9,'Graph Data'!BV$187,'PCO Log'!$E$4:$SJ$4,"&lt;&gt;Bid Package",'PCO Log'!$E$7:$SJ$7,"Approved")</f>
        <v>0</v>
      </c>
      <c r="BW189" s="304">
        <f>SUMIFS('PCO Log'!$E13:$SJ13,'PCO Log'!$E$9:$SJ$9,'Graph Data'!BW$187,'PCO Log'!$E$4:$SJ$4,"&lt;&gt;Bid Package",'PCO Log'!$E$7:$SJ$7,"Approved")</f>
        <v>0</v>
      </c>
      <c r="BX189" s="304">
        <f>SUMIFS('PCO Log'!$E13:$SJ13,'PCO Log'!$E$9:$SJ$9,'Graph Data'!BX$187,'PCO Log'!$E$4:$SJ$4,"&lt;&gt;Bid Package",'PCO Log'!$E$7:$SJ$7,"Approved")</f>
        <v>0</v>
      </c>
    </row>
    <row r="190" spans="1:76" x14ac:dyDescent="0.25">
      <c r="A190" s="303" t="s">
        <v>540</v>
      </c>
      <c r="B190" s="303">
        <f>'PCO Log'!GK7</f>
        <v>0</v>
      </c>
      <c r="C190" s="303">
        <f>'PCO Log'!GK4</f>
        <v>0</v>
      </c>
      <c r="D190" s="303" cm="1">
        <f t="array" ref="D190">INDEX('PCO Log'!$E$5:$SJ$5, 1, ROWS('Graph Data'!$D$2:D190))</f>
        <v>0</v>
      </c>
      <c r="E190" s="303">
        <f>'PCO Log'!GK8</f>
        <v>0</v>
      </c>
      <c r="F190" s="303">
        <f>'PCO Log'!GK3</f>
        <v>0</v>
      </c>
      <c r="G190" s="304">
        <f>'PCO Log'!GK10</f>
        <v>0</v>
      </c>
      <c r="H190" s="305">
        <f>'PCO Log'!GK6</f>
        <v>0</v>
      </c>
      <c r="K190" s="307"/>
      <c r="P190" s="303" t="str">
        <f t="shared" si="2"/>
        <v>General Conditions/Requirements</v>
      </c>
      <c r="Q190" s="304">
        <f>SUMIFS('PCO Log'!$E14:$SJ14,'PCO Log'!$E$9:$SJ$9,'Graph Data'!Q$187,'PCO Log'!$E$4:$SJ$4,"&lt;&gt;Bid Package",'PCO Log'!$E$7:$SJ$7,"Approved")</f>
        <v>0</v>
      </c>
      <c r="R190" s="304">
        <f>SUMIFS('PCO Log'!$E14:$SJ14,'PCO Log'!$E$9:$SJ$9,'Graph Data'!R$187,'PCO Log'!$E$4:$SJ$4,"&lt;&gt;Bid Package",'PCO Log'!$E$7:$SJ$7,"Approved")</f>
        <v>0</v>
      </c>
      <c r="S190" s="304">
        <f>SUMIFS('PCO Log'!$E14:$SJ14,'PCO Log'!$E$9:$SJ$9,'Graph Data'!S$187,'PCO Log'!$E$4:$SJ$4,"&lt;&gt;Bid Package",'PCO Log'!$E$7:$SJ$7,"Approved")</f>
        <v>0</v>
      </c>
      <c r="T190" s="304">
        <f>SUMIFS('PCO Log'!$E14:$SJ14,'PCO Log'!$E$9:$SJ$9,'Graph Data'!T$187,'PCO Log'!$E$4:$SJ$4,"&lt;&gt;Bid Package",'PCO Log'!$E$7:$SJ$7,"Approved")</f>
        <v>0</v>
      </c>
      <c r="U190" s="304">
        <f>SUMIFS('PCO Log'!$E14:$SJ14,'PCO Log'!$E$9:$SJ$9,'Graph Data'!U$187,'PCO Log'!$E$4:$SJ$4,"&lt;&gt;Bid Package",'PCO Log'!$E$7:$SJ$7,"Approved")</f>
        <v>0</v>
      </c>
      <c r="V190" s="304">
        <f>SUMIFS('PCO Log'!$E14:$SJ14,'PCO Log'!$E$9:$SJ$9,'Graph Data'!V$187,'PCO Log'!$E$4:$SJ$4,"&lt;&gt;Bid Package",'PCO Log'!$E$7:$SJ$7,"Approved")</f>
        <v>0</v>
      </c>
      <c r="W190" s="304">
        <f>SUMIFS('PCO Log'!$E14:$SJ14,'PCO Log'!$E$9:$SJ$9,'Graph Data'!W$187,'PCO Log'!$E$4:$SJ$4,"&lt;&gt;Bid Package",'PCO Log'!$E$7:$SJ$7,"Approved")</f>
        <v>0</v>
      </c>
      <c r="X190" s="304">
        <f>SUMIFS('PCO Log'!$E14:$SJ14,'PCO Log'!$E$9:$SJ$9,'Graph Data'!X$187,'PCO Log'!$E$4:$SJ$4,"&lt;&gt;Bid Package",'PCO Log'!$E$7:$SJ$7,"Approved")</f>
        <v>0</v>
      </c>
      <c r="Y190" s="304">
        <f>SUMIFS('PCO Log'!$E14:$SJ14,'PCO Log'!$E$9:$SJ$9,'Graph Data'!Y$187,'PCO Log'!$E$4:$SJ$4,"&lt;&gt;Bid Package",'PCO Log'!$E$7:$SJ$7,"Approved")</f>
        <v>0</v>
      </c>
      <c r="Z190" s="304">
        <f>SUMIFS('PCO Log'!$E14:$SJ14,'PCO Log'!$E$9:$SJ$9,'Graph Data'!Z$187,'PCO Log'!$E$4:$SJ$4,"&lt;&gt;Bid Package",'PCO Log'!$E$7:$SJ$7,"Approved")</f>
        <v>0</v>
      </c>
      <c r="AA190" s="304">
        <f>SUMIFS('PCO Log'!$E14:$SJ14,'PCO Log'!$E$9:$SJ$9,'Graph Data'!AA$187,'PCO Log'!$E$4:$SJ$4,"&lt;&gt;Bid Package",'PCO Log'!$E$7:$SJ$7,"Approved")</f>
        <v>0</v>
      </c>
      <c r="AB190" s="304">
        <f>SUMIFS('PCO Log'!$E14:$SJ14,'PCO Log'!$E$9:$SJ$9,'Graph Data'!AB$187,'PCO Log'!$E$4:$SJ$4,"&lt;&gt;Bid Package",'PCO Log'!$E$7:$SJ$7,"Approved")</f>
        <v>0</v>
      </c>
      <c r="AC190" s="304">
        <f>SUMIFS('PCO Log'!$E14:$SJ14,'PCO Log'!$E$9:$SJ$9,'Graph Data'!AC$187,'PCO Log'!$E$4:$SJ$4,"&lt;&gt;Bid Package",'PCO Log'!$E$7:$SJ$7,"Approved")</f>
        <v>0</v>
      </c>
      <c r="AD190" s="304">
        <f>SUMIFS('PCO Log'!$E14:$SJ14,'PCO Log'!$E$9:$SJ$9,'Graph Data'!AD$187,'PCO Log'!$E$4:$SJ$4,"&lt;&gt;Bid Package",'PCO Log'!$E$7:$SJ$7,"Approved")</f>
        <v>0</v>
      </c>
      <c r="AE190" s="304">
        <f>SUMIFS('PCO Log'!$E14:$SJ14,'PCO Log'!$E$9:$SJ$9,'Graph Data'!AE$187,'PCO Log'!$E$4:$SJ$4,"&lt;&gt;Bid Package",'PCO Log'!$E$7:$SJ$7,"Approved")</f>
        <v>0</v>
      </c>
      <c r="AF190" s="304">
        <f>SUMIFS('PCO Log'!$E14:$SJ14,'PCO Log'!$E$9:$SJ$9,'Graph Data'!AF$187,'PCO Log'!$E$4:$SJ$4,"&lt;&gt;Bid Package",'PCO Log'!$E$7:$SJ$7,"Approved")</f>
        <v>0</v>
      </c>
      <c r="AG190" s="304">
        <f>SUMIFS('PCO Log'!$E14:$SJ14,'PCO Log'!$E$9:$SJ$9,'Graph Data'!AG$187,'PCO Log'!$E$4:$SJ$4,"&lt;&gt;Bid Package",'PCO Log'!$E$7:$SJ$7,"Approved")</f>
        <v>0</v>
      </c>
      <c r="AH190" s="304">
        <f>SUMIFS('PCO Log'!$E14:$SJ14,'PCO Log'!$E$9:$SJ$9,'Graph Data'!AH$187,'PCO Log'!$E$4:$SJ$4,"&lt;&gt;Bid Package",'PCO Log'!$E$7:$SJ$7,"Approved")</f>
        <v>0</v>
      </c>
      <c r="AI190" s="304">
        <f>SUMIFS('PCO Log'!$E14:$SJ14,'PCO Log'!$E$9:$SJ$9,'Graph Data'!AI$187,'PCO Log'!$E$4:$SJ$4,"&lt;&gt;Bid Package",'PCO Log'!$E$7:$SJ$7,"Approved")</f>
        <v>0</v>
      </c>
      <c r="AJ190" s="304">
        <f>SUMIFS('PCO Log'!$E14:$SJ14,'PCO Log'!$E$9:$SJ$9,'Graph Data'!AJ$187,'PCO Log'!$E$4:$SJ$4,"&lt;&gt;Bid Package",'PCO Log'!$E$7:$SJ$7,"Approved")</f>
        <v>0</v>
      </c>
      <c r="AK190" s="304">
        <f>SUMIFS('PCO Log'!$E14:$SJ14,'PCO Log'!$E$9:$SJ$9,'Graph Data'!AK$187,'PCO Log'!$E$4:$SJ$4,"&lt;&gt;Bid Package",'PCO Log'!$E$7:$SJ$7,"Approved")</f>
        <v>0</v>
      </c>
      <c r="AL190" s="304">
        <f>SUMIFS('PCO Log'!$E14:$SJ14,'PCO Log'!$E$9:$SJ$9,'Graph Data'!AL$187,'PCO Log'!$E$4:$SJ$4,"&lt;&gt;Bid Package",'PCO Log'!$E$7:$SJ$7,"Approved")</f>
        <v>0</v>
      </c>
      <c r="AM190" s="304">
        <f>SUMIFS('PCO Log'!$E14:$SJ14,'PCO Log'!$E$9:$SJ$9,'Graph Data'!AM$187,'PCO Log'!$E$4:$SJ$4,"&lt;&gt;Bid Package",'PCO Log'!$E$7:$SJ$7,"Approved")</f>
        <v>0</v>
      </c>
      <c r="AN190" s="304">
        <f>SUMIFS('PCO Log'!$E14:$SJ14,'PCO Log'!$E$9:$SJ$9,'Graph Data'!AN$187,'PCO Log'!$E$4:$SJ$4,"&lt;&gt;Bid Package",'PCO Log'!$E$7:$SJ$7,"Approved")</f>
        <v>0</v>
      </c>
      <c r="AO190" s="304">
        <f>SUMIFS('PCO Log'!$E14:$SJ14,'PCO Log'!$E$9:$SJ$9,'Graph Data'!AO$187,'PCO Log'!$E$4:$SJ$4,"&lt;&gt;Bid Package",'PCO Log'!$E$7:$SJ$7,"Approved")</f>
        <v>0</v>
      </c>
      <c r="AP190" s="304">
        <f>SUMIFS('PCO Log'!$E14:$SJ14,'PCO Log'!$E$9:$SJ$9,'Graph Data'!AP$187,'PCO Log'!$E$4:$SJ$4,"&lt;&gt;Bid Package",'PCO Log'!$E$7:$SJ$7,"Approved")</f>
        <v>0</v>
      </c>
      <c r="AQ190" s="304">
        <f>SUMIFS('PCO Log'!$E14:$SJ14,'PCO Log'!$E$9:$SJ$9,'Graph Data'!AQ$187,'PCO Log'!$E$4:$SJ$4,"&lt;&gt;Bid Package",'PCO Log'!$E$7:$SJ$7,"Approved")</f>
        <v>0</v>
      </c>
      <c r="AR190" s="304">
        <f>SUMIFS('PCO Log'!$E14:$SJ14,'PCO Log'!$E$9:$SJ$9,'Graph Data'!AR$187,'PCO Log'!$E$4:$SJ$4,"&lt;&gt;Bid Package",'PCO Log'!$E$7:$SJ$7,"Approved")</f>
        <v>0</v>
      </c>
      <c r="AS190" s="304">
        <f>SUMIFS('PCO Log'!$E14:$SJ14,'PCO Log'!$E$9:$SJ$9,'Graph Data'!AS$187,'PCO Log'!$E$4:$SJ$4,"&lt;&gt;Bid Package",'PCO Log'!$E$7:$SJ$7,"Approved")</f>
        <v>0</v>
      </c>
      <c r="AT190" s="304">
        <f>SUMIFS('PCO Log'!$E14:$SJ14,'PCO Log'!$E$9:$SJ$9,'Graph Data'!AT$187,'PCO Log'!$E$4:$SJ$4,"&lt;&gt;Bid Package",'PCO Log'!$E$7:$SJ$7,"Approved")</f>
        <v>0</v>
      </c>
      <c r="AU190" s="304">
        <f>SUMIFS('PCO Log'!$E14:$SJ14,'PCO Log'!$E$9:$SJ$9,'Graph Data'!AU$187,'PCO Log'!$E$4:$SJ$4,"&lt;&gt;Bid Package",'PCO Log'!$E$7:$SJ$7,"Approved")</f>
        <v>0</v>
      </c>
      <c r="AV190" s="304">
        <f>SUMIFS('PCO Log'!$E14:$SJ14,'PCO Log'!$E$9:$SJ$9,'Graph Data'!AV$187,'PCO Log'!$E$4:$SJ$4,"&lt;&gt;Bid Package",'PCO Log'!$E$7:$SJ$7,"Approved")</f>
        <v>0</v>
      </c>
      <c r="AW190" s="304">
        <f>SUMIFS('PCO Log'!$E14:$SJ14,'PCO Log'!$E$9:$SJ$9,'Graph Data'!AW$187,'PCO Log'!$E$4:$SJ$4,"&lt;&gt;Bid Package",'PCO Log'!$E$7:$SJ$7,"Approved")</f>
        <v>0</v>
      </c>
      <c r="AX190" s="304">
        <f>SUMIFS('PCO Log'!$E14:$SJ14,'PCO Log'!$E$9:$SJ$9,'Graph Data'!AX$187,'PCO Log'!$E$4:$SJ$4,"&lt;&gt;Bid Package",'PCO Log'!$E$7:$SJ$7,"Approved")</f>
        <v>0</v>
      </c>
      <c r="AY190" s="304">
        <f>SUMIFS('PCO Log'!$E14:$SJ14,'PCO Log'!$E$9:$SJ$9,'Graph Data'!AY$187,'PCO Log'!$E$4:$SJ$4,"&lt;&gt;Bid Package",'PCO Log'!$E$7:$SJ$7,"Approved")</f>
        <v>0</v>
      </c>
      <c r="AZ190" s="304">
        <f>SUMIFS('PCO Log'!$E14:$SJ14,'PCO Log'!$E$9:$SJ$9,'Graph Data'!AZ$187,'PCO Log'!$E$4:$SJ$4,"&lt;&gt;Bid Package",'PCO Log'!$E$7:$SJ$7,"Approved")</f>
        <v>0</v>
      </c>
      <c r="BA190" s="304">
        <f>SUMIFS('PCO Log'!$E14:$SJ14,'PCO Log'!$E$9:$SJ$9,'Graph Data'!BA$187,'PCO Log'!$E$4:$SJ$4,"&lt;&gt;Bid Package",'PCO Log'!$E$7:$SJ$7,"Approved")</f>
        <v>0</v>
      </c>
      <c r="BB190" s="304">
        <f>SUMIFS('PCO Log'!$E14:$SJ14,'PCO Log'!$E$9:$SJ$9,'Graph Data'!BB$187,'PCO Log'!$E$4:$SJ$4,"&lt;&gt;Bid Package",'PCO Log'!$E$7:$SJ$7,"Approved")</f>
        <v>0</v>
      </c>
      <c r="BC190" s="304">
        <f>SUMIFS('PCO Log'!$E14:$SJ14,'PCO Log'!$E$9:$SJ$9,'Graph Data'!BC$187,'PCO Log'!$E$4:$SJ$4,"&lt;&gt;Bid Package",'PCO Log'!$E$7:$SJ$7,"Approved")</f>
        <v>0</v>
      </c>
      <c r="BD190" s="304">
        <f>SUMIFS('PCO Log'!$E14:$SJ14,'PCO Log'!$E$9:$SJ$9,'Graph Data'!BD$187,'PCO Log'!$E$4:$SJ$4,"&lt;&gt;Bid Package",'PCO Log'!$E$7:$SJ$7,"Approved")</f>
        <v>0</v>
      </c>
      <c r="BE190" s="304">
        <f>SUMIFS('PCO Log'!$E14:$SJ14,'PCO Log'!$E$9:$SJ$9,'Graph Data'!BE$187,'PCO Log'!$E$4:$SJ$4,"&lt;&gt;Bid Package",'PCO Log'!$E$7:$SJ$7,"Approved")</f>
        <v>0</v>
      </c>
      <c r="BF190" s="304">
        <f>SUMIFS('PCO Log'!$E14:$SJ14,'PCO Log'!$E$9:$SJ$9,'Graph Data'!BF$187,'PCO Log'!$E$4:$SJ$4,"&lt;&gt;Bid Package",'PCO Log'!$E$7:$SJ$7,"Approved")</f>
        <v>0</v>
      </c>
      <c r="BG190" s="304">
        <f>SUMIFS('PCO Log'!$E14:$SJ14,'PCO Log'!$E$9:$SJ$9,'Graph Data'!BG$187,'PCO Log'!$E$4:$SJ$4,"&lt;&gt;Bid Package",'PCO Log'!$E$7:$SJ$7,"Approved")</f>
        <v>0</v>
      </c>
      <c r="BH190" s="304">
        <f>SUMIFS('PCO Log'!$E14:$SJ14,'PCO Log'!$E$9:$SJ$9,'Graph Data'!BH$187,'PCO Log'!$E$4:$SJ$4,"&lt;&gt;Bid Package",'PCO Log'!$E$7:$SJ$7,"Approved")</f>
        <v>0</v>
      </c>
      <c r="BI190" s="304">
        <f>SUMIFS('PCO Log'!$E14:$SJ14,'PCO Log'!$E$9:$SJ$9,'Graph Data'!BI$187,'PCO Log'!$E$4:$SJ$4,"&lt;&gt;Bid Package",'PCO Log'!$E$7:$SJ$7,"Approved")</f>
        <v>0</v>
      </c>
      <c r="BJ190" s="304">
        <f>SUMIFS('PCO Log'!$E14:$SJ14,'PCO Log'!$E$9:$SJ$9,'Graph Data'!BJ$187,'PCO Log'!$E$4:$SJ$4,"&lt;&gt;Bid Package",'PCO Log'!$E$7:$SJ$7,"Approved")</f>
        <v>0</v>
      </c>
      <c r="BK190" s="304">
        <f>SUMIFS('PCO Log'!$E14:$SJ14,'PCO Log'!$E$9:$SJ$9,'Graph Data'!BK$187,'PCO Log'!$E$4:$SJ$4,"&lt;&gt;Bid Package",'PCO Log'!$E$7:$SJ$7,"Approved")</f>
        <v>0</v>
      </c>
      <c r="BL190" s="304">
        <f>SUMIFS('PCO Log'!$E14:$SJ14,'PCO Log'!$E$9:$SJ$9,'Graph Data'!BL$187,'PCO Log'!$E$4:$SJ$4,"&lt;&gt;Bid Package",'PCO Log'!$E$7:$SJ$7,"Approved")</f>
        <v>0</v>
      </c>
      <c r="BM190" s="304">
        <f>SUMIFS('PCO Log'!$E14:$SJ14,'PCO Log'!$E$9:$SJ$9,'Graph Data'!BM$187,'PCO Log'!$E$4:$SJ$4,"&lt;&gt;Bid Package",'PCO Log'!$E$7:$SJ$7,"Approved")</f>
        <v>0</v>
      </c>
      <c r="BN190" s="304">
        <f>SUMIFS('PCO Log'!$E14:$SJ14,'PCO Log'!$E$9:$SJ$9,'Graph Data'!BN$187,'PCO Log'!$E$4:$SJ$4,"&lt;&gt;Bid Package",'PCO Log'!$E$7:$SJ$7,"Approved")</f>
        <v>0</v>
      </c>
      <c r="BO190" s="304">
        <f>SUMIFS('PCO Log'!$E14:$SJ14,'PCO Log'!$E$9:$SJ$9,'Graph Data'!BO$187,'PCO Log'!$E$4:$SJ$4,"&lt;&gt;Bid Package",'PCO Log'!$E$7:$SJ$7,"Approved")</f>
        <v>0</v>
      </c>
      <c r="BP190" s="304">
        <f>SUMIFS('PCO Log'!$E14:$SJ14,'PCO Log'!$E$9:$SJ$9,'Graph Data'!BP$187,'PCO Log'!$E$4:$SJ$4,"&lt;&gt;Bid Package",'PCO Log'!$E$7:$SJ$7,"Approved")</f>
        <v>0</v>
      </c>
      <c r="BQ190" s="304">
        <f>SUMIFS('PCO Log'!$E14:$SJ14,'PCO Log'!$E$9:$SJ$9,'Graph Data'!BQ$187,'PCO Log'!$E$4:$SJ$4,"&lt;&gt;Bid Package",'PCO Log'!$E$7:$SJ$7,"Approved")</f>
        <v>0</v>
      </c>
      <c r="BR190" s="304">
        <f>SUMIFS('PCO Log'!$E14:$SJ14,'PCO Log'!$E$9:$SJ$9,'Graph Data'!BR$187,'PCO Log'!$E$4:$SJ$4,"&lt;&gt;Bid Package",'PCO Log'!$E$7:$SJ$7,"Approved")</f>
        <v>0</v>
      </c>
      <c r="BS190" s="304">
        <f>SUMIFS('PCO Log'!$E14:$SJ14,'PCO Log'!$E$9:$SJ$9,'Graph Data'!BS$187,'PCO Log'!$E$4:$SJ$4,"&lt;&gt;Bid Package",'PCO Log'!$E$7:$SJ$7,"Approved")</f>
        <v>0</v>
      </c>
      <c r="BT190" s="304">
        <f>SUMIFS('PCO Log'!$E14:$SJ14,'PCO Log'!$E$9:$SJ$9,'Graph Data'!BT$187,'PCO Log'!$E$4:$SJ$4,"&lt;&gt;Bid Package",'PCO Log'!$E$7:$SJ$7,"Approved")</f>
        <v>0</v>
      </c>
      <c r="BU190" s="304">
        <f>SUMIFS('PCO Log'!$E14:$SJ14,'PCO Log'!$E$9:$SJ$9,'Graph Data'!BU$187,'PCO Log'!$E$4:$SJ$4,"&lt;&gt;Bid Package",'PCO Log'!$E$7:$SJ$7,"Approved")</f>
        <v>0</v>
      </c>
      <c r="BV190" s="304">
        <f>SUMIFS('PCO Log'!$E14:$SJ14,'PCO Log'!$E$9:$SJ$9,'Graph Data'!BV$187,'PCO Log'!$E$4:$SJ$4,"&lt;&gt;Bid Package",'PCO Log'!$E$7:$SJ$7,"Approved")</f>
        <v>0</v>
      </c>
      <c r="BW190" s="304">
        <f>SUMIFS('PCO Log'!$E14:$SJ14,'PCO Log'!$E$9:$SJ$9,'Graph Data'!BW$187,'PCO Log'!$E$4:$SJ$4,"&lt;&gt;Bid Package",'PCO Log'!$E$7:$SJ$7,"Approved")</f>
        <v>0</v>
      </c>
      <c r="BX190" s="304">
        <f>SUMIFS('PCO Log'!$E14:$SJ14,'PCO Log'!$E$9:$SJ$9,'Graph Data'!BX$187,'PCO Log'!$E$4:$SJ$4,"&lt;&gt;Bid Package",'PCO Log'!$E$7:$SJ$7,"Approved")</f>
        <v>0</v>
      </c>
    </row>
    <row r="191" spans="1:76" x14ac:dyDescent="0.25">
      <c r="A191" s="303" t="s">
        <v>541</v>
      </c>
      <c r="B191" s="303">
        <f>'PCO Log'!GL7</f>
        <v>0</v>
      </c>
      <c r="C191" s="303">
        <f>'PCO Log'!GL4</f>
        <v>0</v>
      </c>
      <c r="D191" s="303" cm="1">
        <f t="array" ref="D191">INDEX('PCO Log'!$E$5:$SJ$5, 1, ROWS('Graph Data'!$D$2:D191))</f>
        <v>0</v>
      </c>
      <c r="E191" s="303">
        <f>'PCO Log'!GL8</f>
        <v>0</v>
      </c>
      <c r="F191" s="303">
        <f>'PCO Log'!GL3</f>
        <v>0</v>
      </c>
      <c r="G191" s="304">
        <f>'PCO Log'!GL10</f>
        <v>0</v>
      </c>
      <c r="H191" s="305">
        <f>'PCO Log'!GL6</f>
        <v>0</v>
      </c>
      <c r="K191" s="307"/>
      <c r="P191" s="303" t="str">
        <f t="shared" si="2"/>
        <v>Temp. Scaffolding and Platforms</v>
      </c>
      <c r="Q191" s="304">
        <f>SUMIFS('PCO Log'!$E15:$SJ15,'PCO Log'!$E$9:$SJ$9,'Graph Data'!Q$187,'PCO Log'!$E$4:$SJ$4,"&lt;&gt;Bid Package",'PCO Log'!$E$7:$SJ$7,"Approved")</f>
        <v>0</v>
      </c>
      <c r="R191" s="304">
        <f>SUMIFS('PCO Log'!$E15:$SJ15,'PCO Log'!$E$9:$SJ$9,'Graph Data'!R$187,'PCO Log'!$E$4:$SJ$4,"&lt;&gt;Bid Package",'PCO Log'!$E$7:$SJ$7,"Approved")</f>
        <v>0</v>
      </c>
      <c r="S191" s="304">
        <f>SUMIFS('PCO Log'!$E15:$SJ15,'PCO Log'!$E$9:$SJ$9,'Graph Data'!S$187,'PCO Log'!$E$4:$SJ$4,"&lt;&gt;Bid Package",'PCO Log'!$E$7:$SJ$7,"Approved")</f>
        <v>0</v>
      </c>
      <c r="T191" s="304">
        <f>SUMIFS('PCO Log'!$E15:$SJ15,'PCO Log'!$E$9:$SJ$9,'Graph Data'!T$187,'PCO Log'!$E$4:$SJ$4,"&lt;&gt;Bid Package",'PCO Log'!$E$7:$SJ$7,"Approved")</f>
        <v>0</v>
      </c>
      <c r="U191" s="304">
        <f>SUMIFS('PCO Log'!$E15:$SJ15,'PCO Log'!$E$9:$SJ$9,'Graph Data'!U$187,'PCO Log'!$E$4:$SJ$4,"&lt;&gt;Bid Package",'PCO Log'!$E$7:$SJ$7,"Approved")</f>
        <v>0</v>
      </c>
      <c r="V191" s="304">
        <f>SUMIFS('PCO Log'!$E15:$SJ15,'PCO Log'!$E$9:$SJ$9,'Graph Data'!V$187,'PCO Log'!$E$4:$SJ$4,"&lt;&gt;Bid Package",'PCO Log'!$E$7:$SJ$7,"Approved")</f>
        <v>0</v>
      </c>
      <c r="W191" s="304">
        <f>SUMIFS('PCO Log'!$E15:$SJ15,'PCO Log'!$E$9:$SJ$9,'Graph Data'!W$187,'PCO Log'!$E$4:$SJ$4,"&lt;&gt;Bid Package",'PCO Log'!$E$7:$SJ$7,"Approved")</f>
        <v>0</v>
      </c>
      <c r="X191" s="304">
        <f>SUMIFS('PCO Log'!$E15:$SJ15,'PCO Log'!$E$9:$SJ$9,'Graph Data'!X$187,'PCO Log'!$E$4:$SJ$4,"&lt;&gt;Bid Package",'PCO Log'!$E$7:$SJ$7,"Approved")</f>
        <v>0</v>
      </c>
      <c r="Y191" s="304">
        <f>SUMIFS('PCO Log'!$E15:$SJ15,'PCO Log'!$E$9:$SJ$9,'Graph Data'!Y$187,'PCO Log'!$E$4:$SJ$4,"&lt;&gt;Bid Package",'PCO Log'!$E$7:$SJ$7,"Approved")</f>
        <v>0</v>
      </c>
      <c r="Z191" s="304">
        <f>SUMIFS('PCO Log'!$E15:$SJ15,'PCO Log'!$E$9:$SJ$9,'Graph Data'!Z$187,'PCO Log'!$E$4:$SJ$4,"&lt;&gt;Bid Package",'PCO Log'!$E$7:$SJ$7,"Approved")</f>
        <v>0</v>
      </c>
      <c r="AA191" s="304">
        <f>SUMIFS('PCO Log'!$E15:$SJ15,'PCO Log'!$E$9:$SJ$9,'Graph Data'!AA$187,'PCO Log'!$E$4:$SJ$4,"&lt;&gt;Bid Package",'PCO Log'!$E$7:$SJ$7,"Approved")</f>
        <v>0</v>
      </c>
      <c r="AB191" s="304">
        <f>SUMIFS('PCO Log'!$E15:$SJ15,'PCO Log'!$E$9:$SJ$9,'Graph Data'!AB$187,'PCO Log'!$E$4:$SJ$4,"&lt;&gt;Bid Package",'PCO Log'!$E$7:$SJ$7,"Approved")</f>
        <v>0</v>
      </c>
      <c r="AC191" s="304">
        <f>SUMIFS('PCO Log'!$E15:$SJ15,'PCO Log'!$E$9:$SJ$9,'Graph Data'!AC$187,'PCO Log'!$E$4:$SJ$4,"&lt;&gt;Bid Package",'PCO Log'!$E$7:$SJ$7,"Approved")</f>
        <v>0</v>
      </c>
      <c r="AD191" s="304">
        <f>SUMIFS('PCO Log'!$E15:$SJ15,'PCO Log'!$E$9:$SJ$9,'Graph Data'!AD$187,'PCO Log'!$E$4:$SJ$4,"&lt;&gt;Bid Package",'PCO Log'!$E$7:$SJ$7,"Approved")</f>
        <v>0</v>
      </c>
      <c r="AE191" s="304">
        <f>SUMIFS('PCO Log'!$E15:$SJ15,'PCO Log'!$E$9:$SJ$9,'Graph Data'!AE$187,'PCO Log'!$E$4:$SJ$4,"&lt;&gt;Bid Package",'PCO Log'!$E$7:$SJ$7,"Approved")</f>
        <v>0</v>
      </c>
      <c r="AF191" s="304">
        <f>SUMIFS('PCO Log'!$E15:$SJ15,'PCO Log'!$E$9:$SJ$9,'Graph Data'!AF$187,'PCO Log'!$E$4:$SJ$4,"&lt;&gt;Bid Package",'PCO Log'!$E$7:$SJ$7,"Approved")</f>
        <v>0</v>
      </c>
      <c r="AG191" s="304">
        <f>SUMIFS('PCO Log'!$E15:$SJ15,'PCO Log'!$E$9:$SJ$9,'Graph Data'!AG$187,'PCO Log'!$E$4:$SJ$4,"&lt;&gt;Bid Package",'PCO Log'!$E$7:$SJ$7,"Approved")</f>
        <v>0</v>
      </c>
      <c r="AH191" s="304">
        <f>SUMIFS('PCO Log'!$E15:$SJ15,'PCO Log'!$E$9:$SJ$9,'Graph Data'!AH$187,'PCO Log'!$E$4:$SJ$4,"&lt;&gt;Bid Package",'PCO Log'!$E$7:$SJ$7,"Approved")</f>
        <v>0</v>
      </c>
      <c r="AI191" s="304">
        <f>SUMIFS('PCO Log'!$E15:$SJ15,'PCO Log'!$E$9:$SJ$9,'Graph Data'!AI$187,'PCO Log'!$E$4:$SJ$4,"&lt;&gt;Bid Package",'PCO Log'!$E$7:$SJ$7,"Approved")</f>
        <v>0</v>
      </c>
      <c r="AJ191" s="304">
        <f>SUMIFS('PCO Log'!$E15:$SJ15,'PCO Log'!$E$9:$SJ$9,'Graph Data'!AJ$187,'PCO Log'!$E$4:$SJ$4,"&lt;&gt;Bid Package",'PCO Log'!$E$7:$SJ$7,"Approved")</f>
        <v>0</v>
      </c>
      <c r="AK191" s="304">
        <f>SUMIFS('PCO Log'!$E15:$SJ15,'PCO Log'!$E$9:$SJ$9,'Graph Data'!AK$187,'PCO Log'!$E$4:$SJ$4,"&lt;&gt;Bid Package",'PCO Log'!$E$7:$SJ$7,"Approved")</f>
        <v>0</v>
      </c>
      <c r="AL191" s="304">
        <f>SUMIFS('PCO Log'!$E15:$SJ15,'PCO Log'!$E$9:$SJ$9,'Graph Data'!AL$187,'PCO Log'!$E$4:$SJ$4,"&lt;&gt;Bid Package",'PCO Log'!$E$7:$SJ$7,"Approved")</f>
        <v>0</v>
      </c>
      <c r="AM191" s="304">
        <f>SUMIFS('PCO Log'!$E15:$SJ15,'PCO Log'!$E$9:$SJ$9,'Graph Data'!AM$187,'PCO Log'!$E$4:$SJ$4,"&lt;&gt;Bid Package",'PCO Log'!$E$7:$SJ$7,"Approved")</f>
        <v>0</v>
      </c>
      <c r="AN191" s="304">
        <f>SUMIFS('PCO Log'!$E15:$SJ15,'PCO Log'!$E$9:$SJ$9,'Graph Data'!AN$187,'PCO Log'!$E$4:$SJ$4,"&lt;&gt;Bid Package",'PCO Log'!$E$7:$SJ$7,"Approved")</f>
        <v>0</v>
      </c>
      <c r="AO191" s="304">
        <f>SUMIFS('PCO Log'!$E15:$SJ15,'PCO Log'!$E$9:$SJ$9,'Graph Data'!AO$187,'PCO Log'!$E$4:$SJ$4,"&lt;&gt;Bid Package",'PCO Log'!$E$7:$SJ$7,"Approved")</f>
        <v>0</v>
      </c>
      <c r="AP191" s="304">
        <f>SUMIFS('PCO Log'!$E15:$SJ15,'PCO Log'!$E$9:$SJ$9,'Graph Data'!AP$187,'PCO Log'!$E$4:$SJ$4,"&lt;&gt;Bid Package",'PCO Log'!$E$7:$SJ$7,"Approved")</f>
        <v>0</v>
      </c>
      <c r="AQ191" s="304">
        <f>SUMIFS('PCO Log'!$E15:$SJ15,'PCO Log'!$E$9:$SJ$9,'Graph Data'!AQ$187,'PCO Log'!$E$4:$SJ$4,"&lt;&gt;Bid Package",'PCO Log'!$E$7:$SJ$7,"Approved")</f>
        <v>0</v>
      </c>
      <c r="AR191" s="304">
        <f>SUMIFS('PCO Log'!$E15:$SJ15,'PCO Log'!$E$9:$SJ$9,'Graph Data'!AR$187,'PCO Log'!$E$4:$SJ$4,"&lt;&gt;Bid Package",'PCO Log'!$E$7:$SJ$7,"Approved")</f>
        <v>0</v>
      </c>
      <c r="AS191" s="304">
        <f>SUMIFS('PCO Log'!$E15:$SJ15,'PCO Log'!$E$9:$SJ$9,'Graph Data'!AS$187,'PCO Log'!$E$4:$SJ$4,"&lt;&gt;Bid Package",'PCO Log'!$E$7:$SJ$7,"Approved")</f>
        <v>0</v>
      </c>
      <c r="AT191" s="304">
        <f>SUMIFS('PCO Log'!$E15:$SJ15,'PCO Log'!$E$9:$SJ$9,'Graph Data'!AT$187,'PCO Log'!$E$4:$SJ$4,"&lt;&gt;Bid Package",'PCO Log'!$E$7:$SJ$7,"Approved")</f>
        <v>0</v>
      </c>
      <c r="AU191" s="304">
        <f>SUMIFS('PCO Log'!$E15:$SJ15,'PCO Log'!$E$9:$SJ$9,'Graph Data'!AU$187,'PCO Log'!$E$4:$SJ$4,"&lt;&gt;Bid Package",'PCO Log'!$E$7:$SJ$7,"Approved")</f>
        <v>0</v>
      </c>
      <c r="AV191" s="304">
        <f>SUMIFS('PCO Log'!$E15:$SJ15,'PCO Log'!$E$9:$SJ$9,'Graph Data'!AV$187,'PCO Log'!$E$4:$SJ$4,"&lt;&gt;Bid Package",'PCO Log'!$E$7:$SJ$7,"Approved")</f>
        <v>0</v>
      </c>
      <c r="AW191" s="304">
        <f>SUMIFS('PCO Log'!$E15:$SJ15,'PCO Log'!$E$9:$SJ$9,'Graph Data'!AW$187,'PCO Log'!$E$4:$SJ$4,"&lt;&gt;Bid Package",'PCO Log'!$E$7:$SJ$7,"Approved")</f>
        <v>0</v>
      </c>
      <c r="AX191" s="304">
        <f>SUMIFS('PCO Log'!$E15:$SJ15,'PCO Log'!$E$9:$SJ$9,'Graph Data'!AX$187,'PCO Log'!$E$4:$SJ$4,"&lt;&gt;Bid Package",'PCO Log'!$E$7:$SJ$7,"Approved")</f>
        <v>0</v>
      </c>
      <c r="AY191" s="304">
        <f>SUMIFS('PCO Log'!$E15:$SJ15,'PCO Log'!$E$9:$SJ$9,'Graph Data'!AY$187,'PCO Log'!$E$4:$SJ$4,"&lt;&gt;Bid Package",'PCO Log'!$E$7:$SJ$7,"Approved")</f>
        <v>0</v>
      </c>
      <c r="AZ191" s="304">
        <f>SUMIFS('PCO Log'!$E15:$SJ15,'PCO Log'!$E$9:$SJ$9,'Graph Data'!AZ$187,'PCO Log'!$E$4:$SJ$4,"&lt;&gt;Bid Package",'PCO Log'!$E$7:$SJ$7,"Approved")</f>
        <v>0</v>
      </c>
      <c r="BA191" s="304">
        <f>SUMIFS('PCO Log'!$E15:$SJ15,'PCO Log'!$E$9:$SJ$9,'Graph Data'!BA$187,'PCO Log'!$E$4:$SJ$4,"&lt;&gt;Bid Package",'PCO Log'!$E$7:$SJ$7,"Approved")</f>
        <v>0</v>
      </c>
      <c r="BB191" s="304">
        <f>SUMIFS('PCO Log'!$E15:$SJ15,'PCO Log'!$E$9:$SJ$9,'Graph Data'!BB$187,'PCO Log'!$E$4:$SJ$4,"&lt;&gt;Bid Package",'PCO Log'!$E$7:$SJ$7,"Approved")</f>
        <v>0</v>
      </c>
      <c r="BC191" s="304">
        <f>SUMIFS('PCO Log'!$E15:$SJ15,'PCO Log'!$E$9:$SJ$9,'Graph Data'!BC$187,'PCO Log'!$E$4:$SJ$4,"&lt;&gt;Bid Package",'PCO Log'!$E$7:$SJ$7,"Approved")</f>
        <v>0</v>
      </c>
      <c r="BD191" s="304">
        <f>SUMIFS('PCO Log'!$E15:$SJ15,'PCO Log'!$E$9:$SJ$9,'Graph Data'!BD$187,'PCO Log'!$E$4:$SJ$4,"&lt;&gt;Bid Package",'PCO Log'!$E$7:$SJ$7,"Approved")</f>
        <v>0</v>
      </c>
      <c r="BE191" s="304">
        <f>SUMIFS('PCO Log'!$E15:$SJ15,'PCO Log'!$E$9:$SJ$9,'Graph Data'!BE$187,'PCO Log'!$E$4:$SJ$4,"&lt;&gt;Bid Package",'PCO Log'!$E$7:$SJ$7,"Approved")</f>
        <v>0</v>
      </c>
      <c r="BF191" s="304">
        <f>SUMIFS('PCO Log'!$E15:$SJ15,'PCO Log'!$E$9:$SJ$9,'Graph Data'!BF$187,'PCO Log'!$E$4:$SJ$4,"&lt;&gt;Bid Package",'PCO Log'!$E$7:$SJ$7,"Approved")</f>
        <v>0</v>
      </c>
      <c r="BG191" s="304">
        <f>SUMIFS('PCO Log'!$E15:$SJ15,'PCO Log'!$E$9:$SJ$9,'Graph Data'!BG$187,'PCO Log'!$E$4:$SJ$4,"&lt;&gt;Bid Package",'PCO Log'!$E$7:$SJ$7,"Approved")</f>
        <v>0</v>
      </c>
      <c r="BH191" s="304">
        <f>SUMIFS('PCO Log'!$E15:$SJ15,'PCO Log'!$E$9:$SJ$9,'Graph Data'!BH$187,'PCO Log'!$E$4:$SJ$4,"&lt;&gt;Bid Package",'PCO Log'!$E$7:$SJ$7,"Approved")</f>
        <v>0</v>
      </c>
      <c r="BI191" s="304">
        <f>SUMIFS('PCO Log'!$E15:$SJ15,'PCO Log'!$E$9:$SJ$9,'Graph Data'!BI$187,'PCO Log'!$E$4:$SJ$4,"&lt;&gt;Bid Package",'PCO Log'!$E$7:$SJ$7,"Approved")</f>
        <v>0</v>
      </c>
      <c r="BJ191" s="304">
        <f>SUMIFS('PCO Log'!$E15:$SJ15,'PCO Log'!$E$9:$SJ$9,'Graph Data'!BJ$187,'PCO Log'!$E$4:$SJ$4,"&lt;&gt;Bid Package",'PCO Log'!$E$7:$SJ$7,"Approved")</f>
        <v>0</v>
      </c>
      <c r="BK191" s="304">
        <f>SUMIFS('PCO Log'!$E15:$SJ15,'PCO Log'!$E$9:$SJ$9,'Graph Data'!BK$187,'PCO Log'!$E$4:$SJ$4,"&lt;&gt;Bid Package",'PCO Log'!$E$7:$SJ$7,"Approved")</f>
        <v>0</v>
      </c>
      <c r="BL191" s="304">
        <f>SUMIFS('PCO Log'!$E15:$SJ15,'PCO Log'!$E$9:$SJ$9,'Graph Data'!BL$187,'PCO Log'!$E$4:$SJ$4,"&lt;&gt;Bid Package",'PCO Log'!$E$7:$SJ$7,"Approved")</f>
        <v>0</v>
      </c>
      <c r="BM191" s="304">
        <f>SUMIFS('PCO Log'!$E15:$SJ15,'PCO Log'!$E$9:$SJ$9,'Graph Data'!BM$187,'PCO Log'!$E$4:$SJ$4,"&lt;&gt;Bid Package",'PCO Log'!$E$7:$SJ$7,"Approved")</f>
        <v>0</v>
      </c>
      <c r="BN191" s="304">
        <f>SUMIFS('PCO Log'!$E15:$SJ15,'PCO Log'!$E$9:$SJ$9,'Graph Data'!BN$187,'PCO Log'!$E$4:$SJ$4,"&lt;&gt;Bid Package",'PCO Log'!$E$7:$SJ$7,"Approved")</f>
        <v>0</v>
      </c>
      <c r="BO191" s="304">
        <f>SUMIFS('PCO Log'!$E15:$SJ15,'PCO Log'!$E$9:$SJ$9,'Graph Data'!BO$187,'PCO Log'!$E$4:$SJ$4,"&lt;&gt;Bid Package",'PCO Log'!$E$7:$SJ$7,"Approved")</f>
        <v>0</v>
      </c>
      <c r="BP191" s="304">
        <f>SUMIFS('PCO Log'!$E15:$SJ15,'PCO Log'!$E$9:$SJ$9,'Graph Data'!BP$187,'PCO Log'!$E$4:$SJ$4,"&lt;&gt;Bid Package",'PCO Log'!$E$7:$SJ$7,"Approved")</f>
        <v>0</v>
      </c>
      <c r="BQ191" s="304">
        <f>SUMIFS('PCO Log'!$E15:$SJ15,'PCO Log'!$E$9:$SJ$9,'Graph Data'!BQ$187,'PCO Log'!$E$4:$SJ$4,"&lt;&gt;Bid Package",'PCO Log'!$E$7:$SJ$7,"Approved")</f>
        <v>0</v>
      </c>
      <c r="BR191" s="304">
        <f>SUMIFS('PCO Log'!$E15:$SJ15,'PCO Log'!$E$9:$SJ$9,'Graph Data'!BR$187,'PCO Log'!$E$4:$SJ$4,"&lt;&gt;Bid Package",'PCO Log'!$E$7:$SJ$7,"Approved")</f>
        <v>0</v>
      </c>
      <c r="BS191" s="304">
        <f>SUMIFS('PCO Log'!$E15:$SJ15,'PCO Log'!$E$9:$SJ$9,'Graph Data'!BS$187,'PCO Log'!$E$4:$SJ$4,"&lt;&gt;Bid Package",'PCO Log'!$E$7:$SJ$7,"Approved")</f>
        <v>0</v>
      </c>
      <c r="BT191" s="304">
        <f>SUMIFS('PCO Log'!$E15:$SJ15,'PCO Log'!$E$9:$SJ$9,'Graph Data'!BT$187,'PCO Log'!$E$4:$SJ$4,"&lt;&gt;Bid Package",'PCO Log'!$E$7:$SJ$7,"Approved")</f>
        <v>0</v>
      </c>
      <c r="BU191" s="304">
        <f>SUMIFS('PCO Log'!$E15:$SJ15,'PCO Log'!$E$9:$SJ$9,'Graph Data'!BU$187,'PCO Log'!$E$4:$SJ$4,"&lt;&gt;Bid Package",'PCO Log'!$E$7:$SJ$7,"Approved")</f>
        <v>0</v>
      </c>
      <c r="BV191" s="304">
        <f>SUMIFS('PCO Log'!$E15:$SJ15,'PCO Log'!$E$9:$SJ$9,'Graph Data'!BV$187,'PCO Log'!$E$4:$SJ$4,"&lt;&gt;Bid Package",'PCO Log'!$E$7:$SJ$7,"Approved")</f>
        <v>0</v>
      </c>
      <c r="BW191" s="304">
        <f>SUMIFS('PCO Log'!$E15:$SJ15,'PCO Log'!$E$9:$SJ$9,'Graph Data'!BW$187,'PCO Log'!$E$4:$SJ$4,"&lt;&gt;Bid Package",'PCO Log'!$E$7:$SJ$7,"Approved")</f>
        <v>0</v>
      </c>
      <c r="BX191" s="304">
        <f>SUMIFS('PCO Log'!$E15:$SJ15,'PCO Log'!$E$9:$SJ$9,'Graph Data'!BX$187,'PCO Log'!$E$4:$SJ$4,"&lt;&gt;Bid Package",'PCO Log'!$E$7:$SJ$7,"Approved")</f>
        <v>0</v>
      </c>
    </row>
    <row r="192" spans="1:76" x14ac:dyDescent="0.25">
      <c r="A192" s="303" t="s">
        <v>542</v>
      </c>
      <c r="B192" s="303">
        <f>'PCO Log'!GM7</f>
        <v>0</v>
      </c>
      <c r="C192" s="303">
        <f>'PCO Log'!GM4</f>
        <v>0</v>
      </c>
      <c r="D192" s="303" cm="1">
        <f t="array" ref="D192">INDEX('PCO Log'!$E$5:$SJ$5, 1, ROWS('Graph Data'!$D$2:D192))</f>
        <v>0</v>
      </c>
      <c r="E192" s="303">
        <f>'PCO Log'!GM8</f>
        <v>0</v>
      </c>
      <c r="F192" s="303">
        <f>'PCO Log'!GM3</f>
        <v>0</v>
      </c>
      <c r="G192" s="304">
        <f>'PCO Log'!GM10</f>
        <v>0</v>
      </c>
      <c r="H192" s="305">
        <f>'PCO Log'!GM6</f>
        <v>0</v>
      </c>
      <c r="K192" s="307"/>
      <c r="P192" s="303" t="str">
        <f t="shared" si="2"/>
        <v>SWPPP</v>
      </c>
      <c r="Q192" s="304">
        <f>SUMIFS('PCO Log'!$E16:$SJ16,'PCO Log'!$E$9:$SJ$9,'Graph Data'!Q$187,'PCO Log'!$E$4:$SJ$4,"&lt;&gt;Bid Package",'PCO Log'!$E$7:$SJ$7,"Approved")</f>
        <v>0</v>
      </c>
      <c r="R192" s="304">
        <f>SUMIFS('PCO Log'!$E16:$SJ16,'PCO Log'!$E$9:$SJ$9,'Graph Data'!R$187,'PCO Log'!$E$4:$SJ$4,"&lt;&gt;Bid Package",'PCO Log'!$E$7:$SJ$7,"Approved")</f>
        <v>0</v>
      </c>
      <c r="S192" s="304">
        <f>SUMIFS('PCO Log'!$E16:$SJ16,'PCO Log'!$E$9:$SJ$9,'Graph Data'!S$187,'PCO Log'!$E$4:$SJ$4,"&lt;&gt;Bid Package",'PCO Log'!$E$7:$SJ$7,"Approved")</f>
        <v>0</v>
      </c>
      <c r="T192" s="304">
        <f>SUMIFS('PCO Log'!$E16:$SJ16,'PCO Log'!$E$9:$SJ$9,'Graph Data'!T$187,'PCO Log'!$E$4:$SJ$4,"&lt;&gt;Bid Package",'PCO Log'!$E$7:$SJ$7,"Approved")</f>
        <v>0</v>
      </c>
      <c r="U192" s="304">
        <f>SUMIFS('PCO Log'!$E16:$SJ16,'PCO Log'!$E$9:$SJ$9,'Graph Data'!U$187,'PCO Log'!$E$4:$SJ$4,"&lt;&gt;Bid Package",'PCO Log'!$E$7:$SJ$7,"Approved")</f>
        <v>0</v>
      </c>
      <c r="V192" s="304">
        <f>SUMIFS('PCO Log'!$E16:$SJ16,'PCO Log'!$E$9:$SJ$9,'Graph Data'!V$187,'PCO Log'!$E$4:$SJ$4,"&lt;&gt;Bid Package",'PCO Log'!$E$7:$SJ$7,"Approved")</f>
        <v>0</v>
      </c>
      <c r="W192" s="304">
        <f>SUMIFS('PCO Log'!$E16:$SJ16,'PCO Log'!$E$9:$SJ$9,'Graph Data'!W$187,'PCO Log'!$E$4:$SJ$4,"&lt;&gt;Bid Package",'PCO Log'!$E$7:$SJ$7,"Approved")</f>
        <v>0</v>
      </c>
      <c r="X192" s="304">
        <f>SUMIFS('PCO Log'!$E16:$SJ16,'PCO Log'!$E$9:$SJ$9,'Graph Data'!X$187,'PCO Log'!$E$4:$SJ$4,"&lt;&gt;Bid Package",'PCO Log'!$E$7:$SJ$7,"Approved")</f>
        <v>0</v>
      </c>
      <c r="Y192" s="304">
        <f>SUMIFS('PCO Log'!$E16:$SJ16,'PCO Log'!$E$9:$SJ$9,'Graph Data'!Y$187,'PCO Log'!$E$4:$SJ$4,"&lt;&gt;Bid Package",'PCO Log'!$E$7:$SJ$7,"Approved")</f>
        <v>0</v>
      </c>
      <c r="Z192" s="304">
        <f>SUMIFS('PCO Log'!$E16:$SJ16,'PCO Log'!$E$9:$SJ$9,'Graph Data'!Z$187,'PCO Log'!$E$4:$SJ$4,"&lt;&gt;Bid Package",'PCO Log'!$E$7:$SJ$7,"Approved")</f>
        <v>0</v>
      </c>
      <c r="AA192" s="304">
        <f>SUMIFS('PCO Log'!$E16:$SJ16,'PCO Log'!$E$9:$SJ$9,'Graph Data'!AA$187,'PCO Log'!$E$4:$SJ$4,"&lt;&gt;Bid Package",'PCO Log'!$E$7:$SJ$7,"Approved")</f>
        <v>0</v>
      </c>
      <c r="AB192" s="304">
        <f>SUMIFS('PCO Log'!$E16:$SJ16,'PCO Log'!$E$9:$SJ$9,'Graph Data'!AB$187,'PCO Log'!$E$4:$SJ$4,"&lt;&gt;Bid Package",'PCO Log'!$E$7:$SJ$7,"Approved")</f>
        <v>0</v>
      </c>
      <c r="AC192" s="304">
        <f>SUMIFS('PCO Log'!$E16:$SJ16,'PCO Log'!$E$9:$SJ$9,'Graph Data'!AC$187,'PCO Log'!$E$4:$SJ$4,"&lt;&gt;Bid Package",'PCO Log'!$E$7:$SJ$7,"Approved")</f>
        <v>0</v>
      </c>
      <c r="AD192" s="304">
        <f>SUMIFS('PCO Log'!$E16:$SJ16,'PCO Log'!$E$9:$SJ$9,'Graph Data'!AD$187,'PCO Log'!$E$4:$SJ$4,"&lt;&gt;Bid Package",'PCO Log'!$E$7:$SJ$7,"Approved")</f>
        <v>0</v>
      </c>
      <c r="AE192" s="304">
        <f>SUMIFS('PCO Log'!$E16:$SJ16,'PCO Log'!$E$9:$SJ$9,'Graph Data'!AE$187,'PCO Log'!$E$4:$SJ$4,"&lt;&gt;Bid Package",'PCO Log'!$E$7:$SJ$7,"Approved")</f>
        <v>0</v>
      </c>
      <c r="AF192" s="304">
        <f>SUMIFS('PCO Log'!$E16:$SJ16,'PCO Log'!$E$9:$SJ$9,'Graph Data'!AF$187,'PCO Log'!$E$4:$SJ$4,"&lt;&gt;Bid Package",'PCO Log'!$E$7:$SJ$7,"Approved")</f>
        <v>0</v>
      </c>
      <c r="AG192" s="304">
        <f>SUMIFS('PCO Log'!$E16:$SJ16,'PCO Log'!$E$9:$SJ$9,'Graph Data'!AG$187,'PCO Log'!$E$4:$SJ$4,"&lt;&gt;Bid Package",'PCO Log'!$E$7:$SJ$7,"Approved")</f>
        <v>0</v>
      </c>
      <c r="AH192" s="304">
        <f>SUMIFS('PCO Log'!$E16:$SJ16,'PCO Log'!$E$9:$SJ$9,'Graph Data'!AH$187,'PCO Log'!$E$4:$SJ$4,"&lt;&gt;Bid Package",'PCO Log'!$E$7:$SJ$7,"Approved")</f>
        <v>0</v>
      </c>
      <c r="AI192" s="304">
        <f>SUMIFS('PCO Log'!$E16:$SJ16,'PCO Log'!$E$9:$SJ$9,'Graph Data'!AI$187,'PCO Log'!$E$4:$SJ$4,"&lt;&gt;Bid Package",'PCO Log'!$E$7:$SJ$7,"Approved")</f>
        <v>0</v>
      </c>
      <c r="AJ192" s="304">
        <f>SUMIFS('PCO Log'!$E16:$SJ16,'PCO Log'!$E$9:$SJ$9,'Graph Data'!AJ$187,'PCO Log'!$E$4:$SJ$4,"&lt;&gt;Bid Package",'PCO Log'!$E$7:$SJ$7,"Approved")</f>
        <v>0</v>
      </c>
      <c r="AK192" s="304">
        <f>SUMIFS('PCO Log'!$E16:$SJ16,'PCO Log'!$E$9:$SJ$9,'Graph Data'!AK$187,'PCO Log'!$E$4:$SJ$4,"&lt;&gt;Bid Package",'PCO Log'!$E$7:$SJ$7,"Approved")</f>
        <v>0</v>
      </c>
      <c r="AL192" s="304">
        <f>SUMIFS('PCO Log'!$E16:$SJ16,'PCO Log'!$E$9:$SJ$9,'Graph Data'!AL$187,'PCO Log'!$E$4:$SJ$4,"&lt;&gt;Bid Package",'PCO Log'!$E$7:$SJ$7,"Approved")</f>
        <v>0</v>
      </c>
      <c r="AM192" s="304">
        <f>SUMIFS('PCO Log'!$E16:$SJ16,'PCO Log'!$E$9:$SJ$9,'Graph Data'!AM$187,'PCO Log'!$E$4:$SJ$4,"&lt;&gt;Bid Package",'PCO Log'!$E$7:$SJ$7,"Approved")</f>
        <v>0</v>
      </c>
      <c r="AN192" s="304">
        <f>SUMIFS('PCO Log'!$E16:$SJ16,'PCO Log'!$E$9:$SJ$9,'Graph Data'!AN$187,'PCO Log'!$E$4:$SJ$4,"&lt;&gt;Bid Package",'PCO Log'!$E$7:$SJ$7,"Approved")</f>
        <v>0</v>
      </c>
      <c r="AO192" s="304">
        <f>SUMIFS('PCO Log'!$E16:$SJ16,'PCO Log'!$E$9:$SJ$9,'Graph Data'!AO$187,'PCO Log'!$E$4:$SJ$4,"&lt;&gt;Bid Package",'PCO Log'!$E$7:$SJ$7,"Approved")</f>
        <v>0</v>
      </c>
      <c r="AP192" s="304">
        <f>SUMIFS('PCO Log'!$E16:$SJ16,'PCO Log'!$E$9:$SJ$9,'Graph Data'!AP$187,'PCO Log'!$E$4:$SJ$4,"&lt;&gt;Bid Package",'PCO Log'!$E$7:$SJ$7,"Approved")</f>
        <v>0</v>
      </c>
      <c r="AQ192" s="304">
        <f>SUMIFS('PCO Log'!$E16:$SJ16,'PCO Log'!$E$9:$SJ$9,'Graph Data'!AQ$187,'PCO Log'!$E$4:$SJ$4,"&lt;&gt;Bid Package",'PCO Log'!$E$7:$SJ$7,"Approved")</f>
        <v>0</v>
      </c>
      <c r="AR192" s="304">
        <f>SUMIFS('PCO Log'!$E16:$SJ16,'PCO Log'!$E$9:$SJ$9,'Graph Data'!AR$187,'PCO Log'!$E$4:$SJ$4,"&lt;&gt;Bid Package",'PCO Log'!$E$7:$SJ$7,"Approved")</f>
        <v>0</v>
      </c>
      <c r="AS192" s="304">
        <f>SUMIFS('PCO Log'!$E16:$SJ16,'PCO Log'!$E$9:$SJ$9,'Graph Data'!AS$187,'PCO Log'!$E$4:$SJ$4,"&lt;&gt;Bid Package",'PCO Log'!$E$7:$SJ$7,"Approved")</f>
        <v>0</v>
      </c>
      <c r="AT192" s="304">
        <f>SUMIFS('PCO Log'!$E16:$SJ16,'PCO Log'!$E$9:$SJ$9,'Graph Data'!AT$187,'PCO Log'!$E$4:$SJ$4,"&lt;&gt;Bid Package",'PCO Log'!$E$7:$SJ$7,"Approved")</f>
        <v>0</v>
      </c>
      <c r="AU192" s="304">
        <f>SUMIFS('PCO Log'!$E16:$SJ16,'PCO Log'!$E$9:$SJ$9,'Graph Data'!AU$187,'PCO Log'!$E$4:$SJ$4,"&lt;&gt;Bid Package",'PCO Log'!$E$7:$SJ$7,"Approved")</f>
        <v>0</v>
      </c>
      <c r="AV192" s="304">
        <f>SUMIFS('PCO Log'!$E16:$SJ16,'PCO Log'!$E$9:$SJ$9,'Graph Data'!AV$187,'PCO Log'!$E$4:$SJ$4,"&lt;&gt;Bid Package",'PCO Log'!$E$7:$SJ$7,"Approved")</f>
        <v>0</v>
      </c>
      <c r="AW192" s="304">
        <f>SUMIFS('PCO Log'!$E16:$SJ16,'PCO Log'!$E$9:$SJ$9,'Graph Data'!AW$187,'PCO Log'!$E$4:$SJ$4,"&lt;&gt;Bid Package",'PCO Log'!$E$7:$SJ$7,"Approved")</f>
        <v>0</v>
      </c>
      <c r="AX192" s="304">
        <f>SUMIFS('PCO Log'!$E16:$SJ16,'PCO Log'!$E$9:$SJ$9,'Graph Data'!AX$187,'PCO Log'!$E$4:$SJ$4,"&lt;&gt;Bid Package",'PCO Log'!$E$7:$SJ$7,"Approved")</f>
        <v>0</v>
      </c>
      <c r="AY192" s="304">
        <f>SUMIFS('PCO Log'!$E16:$SJ16,'PCO Log'!$E$9:$SJ$9,'Graph Data'!AY$187,'PCO Log'!$E$4:$SJ$4,"&lt;&gt;Bid Package",'PCO Log'!$E$7:$SJ$7,"Approved")</f>
        <v>0</v>
      </c>
      <c r="AZ192" s="304">
        <f>SUMIFS('PCO Log'!$E16:$SJ16,'PCO Log'!$E$9:$SJ$9,'Graph Data'!AZ$187,'PCO Log'!$E$4:$SJ$4,"&lt;&gt;Bid Package",'PCO Log'!$E$7:$SJ$7,"Approved")</f>
        <v>0</v>
      </c>
      <c r="BA192" s="304">
        <f>SUMIFS('PCO Log'!$E16:$SJ16,'PCO Log'!$E$9:$SJ$9,'Graph Data'!BA$187,'PCO Log'!$E$4:$SJ$4,"&lt;&gt;Bid Package",'PCO Log'!$E$7:$SJ$7,"Approved")</f>
        <v>0</v>
      </c>
      <c r="BB192" s="304">
        <f>SUMIFS('PCO Log'!$E16:$SJ16,'PCO Log'!$E$9:$SJ$9,'Graph Data'!BB$187,'PCO Log'!$E$4:$SJ$4,"&lt;&gt;Bid Package",'PCO Log'!$E$7:$SJ$7,"Approved")</f>
        <v>0</v>
      </c>
      <c r="BC192" s="304">
        <f>SUMIFS('PCO Log'!$E16:$SJ16,'PCO Log'!$E$9:$SJ$9,'Graph Data'!BC$187,'PCO Log'!$E$4:$SJ$4,"&lt;&gt;Bid Package",'PCO Log'!$E$7:$SJ$7,"Approved")</f>
        <v>0</v>
      </c>
      <c r="BD192" s="304">
        <f>SUMIFS('PCO Log'!$E16:$SJ16,'PCO Log'!$E$9:$SJ$9,'Graph Data'!BD$187,'PCO Log'!$E$4:$SJ$4,"&lt;&gt;Bid Package",'PCO Log'!$E$7:$SJ$7,"Approved")</f>
        <v>0</v>
      </c>
      <c r="BE192" s="304">
        <f>SUMIFS('PCO Log'!$E16:$SJ16,'PCO Log'!$E$9:$SJ$9,'Graph Data'!BE$187,'PCO Log'!$E$4:$SJ$4,"&lt;&gt;Bid Package",'PCO Log'!$E$7:$SJ$7,"Approved")</f>
        <v>0</v>
      </c>
      <c r="BF192" s="304">
        <f>SUMIFS('PCO Log'!$E16:$SJ16,'PCO Log'!$E$9:$SJ$9,'Graph Data'!BF$187,'PCO Log'!$E$4:$SJ$4,"&lt;&gt;Bid Package",'PCO Log'!$E$7:$SJ$7,"Approved")</f>
        <v>0</v>
      </c>
      <c r="BG192" s="304">
        <f>SUMIFS('PCO Log'!$E16:$SJ16,'PCO Log'!$E$9:$SJ$9,'Graph Data'!BG$187,'PCO Log'!$E$4:$SJ$4,"&lt;&gt;Bid Package",'PCO Log'!$E$7:$SJ$7,"Approved")</f>
        <v>0</v>
      </c>
      <c r="BH192" s="304">
        <f>SUMIFS('PCO Log'!$E16:$SJ16,'PCO Log'!$E$9:$SJ$9,'Graph Data'!BH$187,'PCO Log'!$E$4:$SJ$4,"&lt;&gt;Bid Package",'PCO Log'!$E$7:$SJ$7,"Approved")</f>
        <v>0</v>
      </c>
      <c r="BI192" s="304">
        <f>SUMIFS('PCO Log'!$E16:$SJ16,'PCO Log'!$E$9:$SJ$9,'Graph Data'!BI$187,'PCO Log'!$E$4:$SJ$4,"&lt;&gt;Bid Package",'PCO Log'!$E$7:$SJ$7,"Approved")</f>
        <v>0</v>
      </c>
      <c r="BJ192" s="304">
        <f>SUMIFS('PCO Log'!$E16:$SJ16,'PCO Log'!$E$9:$SJ$9,'Graph Data'!BJ$187,'PCO Log'!$E$4:$SJ$4,"&lt;&gt;Bid Package",'PCO Log'!$E$7:$SJ$7,"Approved")</f>
        <v>0</v>
      </c>
      <c r="BK192" s="304">
        <f>SUMIFS('PCO Log'!$E16:$SJ16,'PCO Log'!$E$9:$SJ$9,'Graph Data'!BK$187,'PCO Log'!$E$4:$SJ$4,"&lt;&gt;Bid Package",'PCO Log'!$E$7:$SJ$7,"Approved")</f>
        <v>0</v>
      </c>
      <c r="BL192" s="304">
        <f>SUMIFS('PCO Log'!$E16:$SJ16,'PCO Log'!$E$9:$SJ$9,'Graph Data'!BL$187,'PCO Log'!$E$4:$SJ$4,"&lt;&gt;Bid Package",'PCO Log'!$E$7:$SJ$7,"Approved")</f>
        <v>0</v>
      </c>
      <c r="BM192" s="304">
        <f>SUMIFS('PCO Log'!$E16:$SJ16,'PCO Log'!$E$9:$SJ$9,'Graph Data'!BM$187,'PCO Log'!$E$4:$SJ$4,"&lt;&gt;Bid Package",'PCO Log'!$E$7:$SJ$7,"Approved")</f>
        <v>0</v>
      </c>
      <c r="BN192" s="304">
        <f>SUMIFS('PCO Log'!$E16:$SJ16,'PCO Log'!$E$9:$SJ$9,'Graph Data'!BN$187,'PCO Log'!$E$4:$SJ$4,"&lt;&gt;Bid Package",'PCO Log'!$E$7:$SJ$7,"Approved")</f>
        <v>0</v>
      </c>
      <c r="BO192" s="304">
        <f>SUMIFS('PCO Log'!$E16:$SJ16,'PCO Log'!$E$9:$SJ$9,'Graph Data'!BO$187,'PCO Log'!$E$4:$SJ$4,"&lt;&gt;Bid Package",'PCO Log'!$E$7:$SJ$7,"Approved")</f>
        <v>0</v>
      </c>
      <c r="BP192" s="304">
        <f>SUMIFS('PCO Log'!$E16:$SJ16,'PCO Log'!$E$9:$SJ$9,'Graph Data'!BP$187,'PCO Log'!$E$4:$SJ$4,"&lt;&gt;Bid Package",'PCO Log'!$E$7:$SJ$7,"Approved")</f>
        <v>0</v>
      </c>
      <c r="BQ192" s="304">
        <f>SUMIFS('PCO Log'!$E16:$SJ16,'PCO Log'!$E$9:$SJ$9,'Graph Data'!BQ$187,'PCO Log'!$E$4:$SJ$4,"&lt;&gt;Bid Package",'PCO Log'!$E$7:$SJ$7,"Approved")</f>
        <v>0</v>
      </c>
      <c r="BR192" s="304">
        <f>SUMIFS('PCO Log'!$E16:$SJ16,'PCO Log'!$E$9:$SJ$9,'Graph Data'!BR$187,'PCO Log'!$E$4:$SJ$4,"&lt;&gt;Bid Package",'PCO Log'!$E$7:$SJ$7,"Approved")</f>
        <v>0</v>
      </c>
      <c r="BS192" s="304">
        <f>SUMIFS('PCO Log'!$E16:$SJ16,'PCO Log'!$E$9:$SJ$9,'Graph Data'!BS$187,'PCO Log'!$E$4:$SJ$4,"&lt;&gt;Bid Package",'PCO Log'!$E$7:$SJ$7,"Approved")</f>
        <v>0</v>
      </c>
      <c r="BT192" s="304">
        <f>SUMIFS('PCO Log'!$E16:$SJ16,'PCO Log'!$E$9:$SJ$9,'Graph Data'!BT$187,'PCO Log'!$E$4:$SJ$4,"&lt;&gt;Bid Package",'PCO Log'!$E$7:$SJ$7,"Approved")</f>
        <v>0</v>
      </c>
      <c r="BU192" s="304">
        <f>SUMIFS('PCO Log'!$E16:$SJ16,'PCO Log'!$E$9:$SJ$9,'Graph Data'!BU$187,'PCO Log'!$E$4:$SJ$4,"&lt;&gt;Bid Package",'PCO Log'!$E$7:$SJ$7,"Approved")</f>
        <v>0</v>
      </c>
      <c r="BV192" s="304">
        <f>SUMIFS('PCO Log'!$E16:$SJ16,'PCO Log'!$E$9:$SJ$9,'Graph Data'!BV$187,'PCO Log'!$E$4:$SJ$4,"&lt;&gt;Bid Package",'PCO Log'!$E$7:$SJ$7,"Approved")</f>
        <v>0</v>
      </c>
      <c r="BW192" s="304">
        <f>SUMIFS('PCO Log'!$E16:$SJ16,'PCO Log'!$E$9:$SJ$9,'Graph Data'!BW$187,'PCO Log'!$E$4:$SJ$4,"&lt;&gt;Bid Package",'PCO Log'!$E$7:$SJ$7,"Approved")</f>
        <v>0</v>
      </c>
      <c r="BX192" s="304">
        <f>SUMIFS('PCO Log'!$E16:$SJ16,'PCO Log'!$E$9:$SJ$9,'Graph Data'!BX$187,'PCO Log'!$E$4:$SJ$4,"&lt;&gt;Bid Package",'PCO Log'!$E$7:$SJ$7,"Approved")</f>
        <v>0</v>
      </c>
    </row>
    <row r="193" spans="1:76" x14ac:dyDescent="0.25">
      <c r="A193" s="303" t="s">
        <v>543</v>
      </c>
      <c r="B193" s="303">
        <f>'PCO Log'!GN7</f>
        <v>0</v>
      </c>
      <c r="C193" s="303">
        <f>'PCO Log'!GN4</f>
        <v>0</v>
      </c>
      <c r="D193" s="303" cm="1">
        <f t="array" ref="D193">INDEX('PCO Log'!$E$5:$SJ$5, 1, ROWS('Graph Data'!$D$2:D193))</f>
        <v>0</v>
      </c>
      <c r="E193" s="303">
        <f>'PCO Log'!GN8</f>
        <v>0</v>
      </c>
      <c r="F193" s="303">
        <f>'PCO Log'!GN3</f>
        <v>0</v>
      </c>
      <c r="G193" s="304">
        <f>'PCO Log'!GN10</f>
        <v>0</v>
      </c>
      <c r="H193" s="305">
        <f>'PCO Log'!GN6</f>
        <v>0</v>
      </c>
      <c r="K193" s="307"/>
      <c r="P193" s="303" t="str">
        <f t="shared" si="2"/>
        <v>Construction Cranes and Hoists</v>
      </c>
      <c r="Q193" s="304">
        <f>SUMIFS('PCO Log'!$E17:$SJ17,'PCO Log'!$E$9:$SJ$9,'Graph Data'!Q$187,'PCO Log'!$E$4:$SJ$4,"&lt;&gt;Bid Package",'PCO Log'!$E$7:$SJ$7,"Approved")</f>
        <v>0</v>
      </c>
      <c r="R193" s="304">
        <f>SUMIFS('PCO Log'!$E17:$SJ17,'PCO Log'!$E$9:$SJ$9,'Graph Data'!R$187,'PCO Log'!$E$4:$SJ$4,"&lt;&gt;Bid Package",'PCO Log'!$E$7:$SJ$7,"Approved")</f>
        <v>0</v>
      </c>
      <c r="S193" s="304">
        <f>SUMIFS('PCO Log'!$E17:$SJ17,'PCO Log'!$E$9:$SJ$9,'Graph Data'!S$187,'PCO Log'!$E$4:$SJ$4,"&lt;&gt;Bid Package",'PCO Log'!$E$7:$SJ$7,"Approved")</f>
        <v>0</v>
      </c>
      <c r="T193" s="304">
        <f>SUMIFS('PCO Log'!$E17:$SJ17,'PCO Log'!$E$9:$SJ$9,'Graph Data'!T$187,'PCO Log'!$E$4:$SJ$4,"&lt;&gt;Bid Package",'PCO Log'!$E$7:$SJ$7,"Approved")</f>
        <v>0</v>
      </c>
      <c r="U193" s="304">
        <f>SUMIFS('PCO Log'!$E17:$SJ17,'PCO Log'!$E$9:$SJ$9,'Graph Data'!U$187,'PCO Log'!$E$4:$SJ$4,"&lt;&gt;Bid Package",'PCO Log'!$E$7:$SJ$7,"Approved")</f>
        <v>0</v>
      </c>
      <c r="V193" s="304">
        <f>SUMIFS('PCO Log'!$E17:$SJ17,'PCO Log'!$E$9:$SJ$9,'Graph Data'!V$187,'PCO Log'!$E$4:$SJ$4,"&lt;&gt;Bid Package",'PCO Log'!$E$7:$SJ$7,"Approved")</f>
        <v>0</v>
      </c>
      <c r="W193" s="304">
        <f>SUMIFS('PCO Log'!$E17:$SJ17,'PCO Log'!$E$9:$SJ$9,'Graph Data'!W$187,'PCO Log'!$E$4:$SJ$4,"&lt;&gt;Bid Package",'PCO Log'!$E$7:$SJ$7,"Approved")</f>
        <v>0</v>
      </c>
      <c r="X193" s="304">
        <f>SUMIFS('PCO Log'!$E17:$SJ17,'PCO Log'!$E$9:$SJ$9,'Graph Data'!X$187,'PCO Log'!$E$4:$SJ$4,"&lt;&gt;Bid Package",'PCO Log'!$E$7:$SJ$7,"Approved")</f>
        <v>0</v>
      </c>
      <c r="Y193" s="304">
        <f>SUMIFS('PCO Log'!$E17:$SJ17,'PCO Log'!$E$9:$SJ$9,'Graph Data'!Y$187,'PCO Log'!$E$4:$SJ$4,"&lt;&gt;Bid Package",'PCO Log'!$E$7:$SJ$7,"Approved")</f>
        <v>0</v>
      </c>
      <c r="Z193" s="304">
        <f>SUMIFS('PCO Log'!$E17:$SJ17,'PCO Log'!$E$9:$SJ$9,'Graph Data'!Z$187,'PCO Log'!$E$4:$SJ$4,"&lt;&gt;Bid Package",'PCO Log'!$E$7:$SJ$7,"Approved")</f>
        <v>0</v>
      </c>
      <c r="AA193" s="304">
        <f>SUMIFS('PCO Log'!$E17:$SJ17,'PCO Log'!$E$9:$SJ$9,'Graph Data'!AA$187,'PCO Log'!$E$4:$SJ$4,"&lt;&gt;Bid Package",'PCO Log'!$E$7:$SJ$7,"Approved")</f>
        <v>0</v>
      </c>
      <c r="AB193" s="304">
        <f>SUMIFS('PCO Log'!$E17:$SJ17,'PCO Log'!$E$9:$SJ$9,'Graph Data'!AB$187,'PCO Log'!$E$4:$SJ$4,"&lt;&gt;Bid Package",'PCO Log'!$E$7:$SJ$7,"Approved")</f>
        <v>0</v>
      </c>
      <c r="AC193" s="304">
        <f>SUMIFS('PCO Log'!$E17:$SJ17,'PCO Log'!$E$9:$SJ$9,'Graph Data'!AC$187,'PCO Log'!$E$4:$SJ$4,"&lt;&gt;Bid Package",'PCO Log'!$E$7:$SJ$7,"Approved")</f>
        <v>0</v>
      </c>
      <c r="AD193" s="304">
        <f>SUMIFS('PCO Log'!$E17:$SJ17,'PCO Log'!$E$9:$SJ$9,'Graph Data'!AD$187,'PCO Log'!$E$4:$SJ$4,"&lt;&gt;Bid Package",'PCO Log'!$E$7:$SJ$7,"Approved")</f>
        <v>0</v>
      </c>
      <c r="AE193" s="304">
        <f>SUMIFS('PCO Log'!$E17:$SJ17,'PCO Log'!$E$9:$SJ$9,'Graph Data'!AE$187,'PCO Log'!$E$4:$SJ$4,"&lt;&gt;Bid Package",'PCO Log'!$E$7:$SJ$7,"Approved")</f>
        <v>0</v>
      </c>
      <c r="AF193" s="304">
        <f>SUMIFS('PCO Log'!$E17:$SJ17,'PCO Log'!$E$9:$SJ$9,'Graph Data'!AF$187,'PCO Log'!$E$4:$SJ$4,"&lt;&gt;Bid Package",'PCO Log'!$E$7:$SJ$7,"Approved")</f>
        <v>0</v>
      </c>
      <c r="AG193" s="304">
        <f>SUMIFS('PCO Log'!$E17:$SJ17,'PCO Log'!$E$9:$SJ$9,'Graph Data'!AG$187,'PCO Log'!$E$4:$SJ$4,"&lt;&gt;Bid Package",'PCO Log'!$E$7:$SJ$7,"Approved")</f>
        <v>0</v>
      </c>
      <c r="AH193" s="304">
        <f>SUMIFS('PCO Log'!$E17:$SJ17,'PCO Log'!$E$9:$SJ$9,'Graph Data'!AH$187,'PCO Log'!$E$4:$SJ$4,"&lt;&gt;Bid Package",'PCO Log'!$E$7:$SJ$7,"Approved")</f>
        <v>0</v>
      </c>
      <c r="AI193" s="304">
        <f>SUMIFS('PCO Log'!$E17:$SJ17,'PCO Log'!$E$9:$SJ$9,'Graph Data'!AI$187,'PCO Log'!$E$4:$SJ$4,"&lt;&gt;Bid Package",'PCO Log'!$E$7:$SJ$7,"Approved")</f>
        <v>0</v>
      </c>
      <c r="AJ193" s="304">
        <f>SUMIFS('PCO Log'!$E17:$SJ17,'PCO Log'!$E$9:$SJ$9,'Graph Data'!AJ$187,'PCO Log'!$E$4:$SJ$4,"&lt;&gt;Bid Package",'PCO Log'!$E$7:$SJ$7,"Approved")</f>
        <v>0</v>
      </c>
      <c r="AK193" s="304">
        <f>SUMIFS('PCO Log'!$E17:$SJ17,'PCO Log'!$E$9:$SJ$9,'Graph Data'!AK$187,'PCO Log'!$E$4:$SJ$4,"&lt;&gt;Bid Package",'PCO Log'!$E$7:$SJ$7,"Approved")</f>
        <v>0</v>
      </c>
      <c r="AL193" s="304">
        <f>SUMIFS('PCO Log'!$E17:$SJ17,'PCO Log'!$E$9:$SJ$9,'Graph Data'!AL$187,'PCO Log'!$E$4:$SJ$4,"&lt;&gt;Bid Package",'PCO Log'!$E$7:$SJ$7,"Approved")</f>
        <v>0</v>
      </c>
      <c r="AM193" s="304">
        <f>SUMIFS('PCO Log'!$E17:$SJ17,'PCO Log'!$E$9:$SJ$9,'Graph Data'!AM$187,'PCO Log'!$E$4:$SJ$4,"&lt;&gt;Bid Package",'PCO Log'!$E$7:$SJ$7,"Approved")</f>
        <v>0</v>
      </c>
      <c r="AN193" s="304">
        <f>SUMIFS('PCO Log'!$E17:$SJ17,'PCO Log'!$E$9:$SJ$9,'Graph Data'!AN$187,'PCO Log'!$E$4:$SJ$4,"&lt;&gt;Bid Package",'PCO Log'!$E$7:$SJ$7,"Approved")</f>
        <v>0</v>
      </c>
      <c r="AO193" s="304">
        <f>SUMIFS('PCO Log'!$E17:$SJ17,'PCO Log'!$E$9:$SJ$9,'Graph Data'!AO$187,'PCO Log'!$E$4:$SJ$4,"&lt;&gt;Bid Package",'PCO Log'!$E$7:$SJ$7,"Approved")</f>
        <v>0</v>
      </c>
      <c r="AP193" s="304">
        <f>SUMIFS('PCO Log'!$E17:$SJ17,'PCO Log'!$E$9:$SJ$9,'Graph Data'!AP$187,'PCO Log'!$E$4:$SJ$4,"&lt;&gt;Bid Package",'PCO Log'!$E$7:$SJ$7,"Approved")</f>
        <v>0</v>
      </c>
      <c r="AQ193" s="304">
        <f>SUMIFS('PCO Log'!$E17:$SJ17,'PCO Log'!$E$9:$SJ$9,'Graph Data'!AQ$187,'PCO Log'!$E$4:$SJ$4,"&lt;&gt;Bid Package",'PCO Log'!$E$7:$SJ$7,"Approved")</f>
        <v>0</v>
      </c>
      <c r="AR193" s="304">
        <f>SUMIFS('PCO Log'!$E17:$SJ17,'PCO Log'!$E$9:$SJ$9,'Graph Data'!AR$187,'PCO Log'!$E$4:$SJ$4,"&lt;&gt;Bid Package",'PCO Log'!$E$7:$SJ$7,"Approved")</f>
        <v>0</v>
      </c>
      <c r="AS193" s="304">
        <f>SUMIFS('PCO Log'!$E17:$SJ17,'PCO Log'!$E$9:$SJ$9,'Graph Data'!AS$187,'PCO Log'!$E$4:$SJ$4,"&lt;&gt;Bid Package",'PCO Log'!$E$7:$SJ$7,"Approved")</f>
        <v>0</v>
      </c>
      <c r="AT193" s="304">
        <f>SUMIFS('PCO Log'!$E17:$SJ17,'PCO Log'!$E$9:$SJ$9,'Graph Data'!AT$187,'PCO Log'!$E$4:$SJ$4,"&lt;&gt;Bid Package",'PCO Log'!$E$7:$SJ$7,"Approved")</f>
        <v>0</v>
      </c>
      <c r="AU193" s="304">
        <f>SUMIFS('PCO Log'!$E17:$SJ17,'PCO Log'!$E$9:$SJ$9,'Graph Data'!AU$187,'PCO Log'!$E$4:$SJ$4,"&lt;&gt;Bid Package",'PCO Log'!$E$7:$SJ$7,"Approved")</f>
        <v>0</v>
      </c>
      <c r="AV193" s="304">
        <f>SUMIFS('PCO Log'!$E17:$SJ17,'PCO Log'!$E$9:$SJ$9,'Graph Data'!AV$187,'PCO Log'!$E$4:$SJ$4,"&lt;&gt;Bid Package",'PCO Log'!$E$7:$SJ$7,"Approved")</f>
        <v>0</v>
      </c>
      <c r="AW193" s="304">
        <f>SUMIFS('PCO Log'!$E17:$SJ17,'PCO Log'!$E$9:$SJ$9,'Graph Data'!AW$187,'PCO Log'!$E$4:$SJ$4,"&lt;&gt;Bid Package",'PCO Log'!$E$7:$SJ$7,"Approved")</f>
        <v>0</v>
      </c>
      <c r="AX193" s="304">
        <f>SUMIFS('PCO Log'!$E17:$SJ17,'PCO Log'!$E$9:$SJ$9,'Graph Data'!AX$187,'PCO Log'!$E$4:$SJ$4,"&lt;&gt;Bid Package",'PCO Log'!$E$7:$SJ$7,"Approved")</f>
        <v>0</v>
      </c>
      <c r="AY193" s="304">
        <f>SUMIFS('PCO Log'!$E17:$SJ17,'PCO Log'!$E$9:$SJ$9,'Graph Data'!AY$187,'PCO Log'!$E$4:$SJ$4,"&lt;&gt;Bid Package",'PCO Log'!$E$7:$SJ$7,"Approved")</f>
        <v>0</v>
      </c>
      <c r="AZ193" s="304">
        <f>SUMIFS('PCO Log'!$E17:$SJ17,'PCO Log'!$E$9:$SJ$9,'Graph Data'!AZ$187,'PCO Log'!$E$4:$SJ$4,"&lt;&gt;Bid Package",'PCO Log'!$E$7:$SJ$7,"Approved")</f>
        <v>0</v>
      </c>
      <c r="BA193" s="304">
        <f>SUMIFS('PCO Log'!$E17:$SJ17,'PCO Log'!$E$9:$SJ$9,'Graph Data'!BA$187,'PCO Log'!$E$4:$SJ$4,"&lt;&gt;Bid Package",'PCO Log'!$E$7:$SJ$7,"Approved")</f>
        <v>0</v>
      </c>
      <c r="BB193" s="304">
        <f>SUMIFS('PCO Log'!$E17:$SJ17,'PCO Log'!$E$9:$SJ$9,'Graph Data'!BB$187,'PCO Log'!$E$4:$SJ$4,"&lt;&gt;Bid Package",'PCO Log'!$E$7:$SJ$7,"Approved")</f>
        <v>0</v>
      </c>
      <c r="BC193" s="304">
        <f>SUMIFS('PCO Log'!$E17:$SJ17,'PCO Log'!$E$9:$SJ$9,'Graph Data'!BC$187,'PCO Log'!$E$4:$SJ$4,"&lt;&gt;Bid Package",'PCO Log'!$E$7:$SJ$7,"Approved")</f>
        <v>0</v>
      </c>
      <c r="BD193" s="304">
        <f>SUMIFS('PCO Log'!$E17:$SJ17,'PCO Log'!$E$9:$SJ$9,'Graph Data'!BD$187,'PCO Log'!$E$4:$SJ$4,"&lt;&gt;Bid Package",'PCO Log'!$E$7:$SJ$7,"Approved")</f>
        <v>0</v>
      </c>
      <c r="BE193" s="304">
        <f>SUMIFS('PCO Log'!$E17:$SJ17,'PCO Log'!$E$9:$SJ$9,'Graph Data'!BE$187,'PCO Log'!$E$4:$SJ$4,"&lt;&gt;Bid Package",'PCO Log'!$E$7:$SJ$7,"Approved")</f>
        <v>0</v>
      </c>
      <c r="BF193" s="304">
        <f>SUMIFS('PCO Log'!$E17:$SJ17,'PCO Log'!$E$9:$SJ$9,'Graph Data'!BF$187,'PCO Log'!$E$4:$SJ$4,"&lt;&gt;Bid Package",'PCO Log'!$E$7:$SJ$7,"Approved")</f>
        <v>0</v>
      </c>
      <c r="BG193" s="304">
        <f>SUMIFS('PCO Log'!$E17:$SJ17,'PCO Log'!$E$9:$SJ$9,'Graph Data'!BG$187,'PCO Log'!$E$4:$SJ$4,"&lt;&gt;Bid Package",'PCO Log'!$E$7:$SJ$7,"Approved")</f>
        <v>0</v>
      </c>
      <c r="BH193" s="304">
        <f>SUMIFS('PCO Log'!$E17:$SJ17,'PCO Log'!$E$9:$SJ$9,'Graph Data'!BH$187,'PCO Log'!$E$4:$SJ$4,"&lt;&gt;Bid Package",'PCO Log'!$E$7:$SJ$7,"Approved")</f>
        <v>0</v>
      </c>
      <c r="BI193" s="304">
        <f>SUMIFS('PCO Log'!$E17:$SJ17,'PCO Log'!$E$9:$SJ$9,'Graph Data'!BI$187,'PCO Log'!$E$4:$SJ$4,"&lt;&gt;Bid Package",'PCO Log'!$E$7:$SJ$7,"Approved")</f>
        <v>0</v>
      </c>
      <c r="BJ193" s="304">
        <f>SUMIFS('PCO Log'!$E17:$SJ17,'PCO Log'!$E$9:$SJ$9,'Graph Data'!BJ$187,'PCO Log'!$E$4:$SJ$4,"&lt;&gt;Bid Package",'PCO Log'!$E$7:$SJ$7,"Approved")</f>
        <v>0</v>
      </c>
      <c r="BK193" s="304">
        <f>SUMIFS('PCO Log'!$E17:$SJ17,'PCO Log'!$E$9:$SJ$9,'Graph Data'!BK$187,'PCO Log'!$E$4:$SJ$4,"&lt;&gt;Bid Package",'PCO Log'!$E$7:$SJ$7,"Approved")</f>
        <v>0</v>
      </c>
      <c r="BL193" s="304">
        <f>SUMIFS('PCO Log'!$E17:$SJ17,'PCO Log'!$E$9:$SJ$9,'Graph Data'!BL$187,'PCO Log'!$E$4:$SJ$4,"&lt;&gt;Bid Package",'PCO Log'!$E$7:$SJ$7,"Approved")</f>
        <v>0</v>
      </c>
      <c r="BM193" s="304">
        <f>SUMIFS('PCO Log'!$E17:$SJ17,'PCO Log'!$E$9:$SJ$9,'Graph Data'!BM$187,'PCO Log'!$E$4:$SJ$4,"&lt;&gt;Bid Package",'PCO Log'!$E$7:$SJ$7,"Approved")</f>
        <v>0</v>
      </c>
      <c r="BN193" s="304">
        <f>SUMIFS('PCO Log'!$E17:$SJ17,'PCO Log'!$E$9:$SJ$9,'Graph Data'!BN$187,'PCO Log'!$E$4:$SJ$4,"&lt;&gt;Bid Package",'PCO Log'!$E$7:$SJ$7,"Approved")</f>
        <v>0</v>
      </c>
      <c r="BO193" s="304">
        <f>SUMIFS('PCO Log'!$E17:$SJ17,'PCO Log'!$E$9:$SJ$9,'Graph Data'!BO$187,'PCO Log'!$E$4:$SJ$4,"&lt;&gt;Bid Package",'PCO Log'!$E$7:$SJ$7,"Approved")</f>
        <v>0</v>
      </c>
      <c r="BP193" s="304">
        <f>SUMIFS('PCO Log'!$E17:$SJ17,'PCO Log'!$E$9:$SJ$9,'Graph Data'!BP$187,'PCO Log'!$E$4:$SJ$4,"&lt;&gt;Bid Package",'PCO Log'!$E$7:$SJ$7,"Approved")</f>
        <v>0</v>
      </c>
      <c r="BQ193" s="304">
        <f>SUMIFS('PCO Log'!$E17:$SJ17,'PCO Log'!$E$9:$SJ$9,'Graph Data'!BQ$187,'PCO Log'!$E$4:$SJ$4,"&lt;&gt;Bid Package",'PCO Log'!$E$7:$SJ$7,"Approved")</f>
        <v>0</v>
      </c>
      <c r="BR193" s="304">
        <f>SUMIFS('PCO Log'!$E17:$SJ17,'PCO Log'!$E$9:$SJ$9,'Graph Data'!BR$187,'PCO Log'!$E$4:$SJ$4,"&lt;&gt;Bid Package",'PCO Log'!$E$7:$SJ$7,"Approved")</f>
        <v>0</v>
      </c>
      <c r="BS193" s="304">
        <f>SUMIFS('PCO Log'!$E17:$SJ17,'PCO Log'!$E$9:$SJ$9,'Graph Data'!BS$187,'PCO Log'!$E$4:$SJ$4,"&lt;&gt;Bid Package",'PCO Log'!$E$7:$SJ$7,"Approved")</f>
        <v>0</v>
      </c>
      <c r="BT193" s="304">
        <f>SUMIFS('PCO Log'!$E17:$SJ17,'PCO Log'!$E$9:$SJ$9,'Graph Data'!BT$187,'PCO Log'!$E$4:$SJ$4,"&lt;&gt;Bid Package",'PCO Log'!$E$7:$SJ$7,"Approved")</f>
        <v>0</v>
      </c>
      <c r="BU193" s="304">
        <f>SUMIFS('PCO Log'!$E17:$SJ17,'PCO Log'!$E$9:$SJ$9,'Graph Data'!BU$187,'PCO Log'!$E$4:$SJ$4,"&lt;&gt;Bid Package",'PCO Log'!$E$7:$SJ$7,"Approved")</f>
        <v>0</v>
      </c>
      <c r="BV193" s="304">
        <f>SUMIFS('PCO Log'!$E17:$SJ17,'PCO Log'!$E$9:$SJ$9,'Graph Data'!BV$187,'PCO Log'!$E$4:$SJ$4,"&lt;&gt;Bid Package",'PCO Log'!$E$7:$SJ$7,"Approved")</f>
        <v>0</v>
      </c>
      <c r="BW193" s="304">
        <f>SUMIFS('PCO Log'!$E17:$SJ17,'PCO Log'!$E$9:$SJ$9,'Graph Data'!BW$187,'PCO Log'!$E$4:$SJ$4,"&lt;&gt;Bid Package",'PCO Log'!$E$7:$SJ$7,"Approved")</f>
        <v>0</v>
      </c>
      <c r="BX193" s="304">
        <f>SUMIFS('PCO Log'!$E17:$SJ17,'PCO Log'!$E$9:$SJ$9,'Graph Data'!BX$187,'PCO Log'!$E$4:$SJ$4,"&lt;&gt;Bid Package",'PCO Log'!$E$7:$SJ$7,"Approved")</f>
        <v>0</v>
      </c>
    </row>
    <row r="194" spans="1:76" x14ac:dyDescent="0.25">
      <c r="A194" s="303" t="s">
        <v>544</v>
      </c>
      <c r="B194" s="303">
        <f>'PCO Log'!GO7</f>
        <v>0</v>
      </c>
      <c r="C194" s="303">
        <f>'PCO Log'!GO4</f>
        <v>0</v>
      </c>
      <c r="D194" s="303" cm="1">
        <f t="array" ref="D194">INDEX('PCO Log'!$E$5:$SJ$5, 1, ROWS('Graph Data'!$D$2:D194))</f>
        <v>0</v>
      </c>
      <c r="E194" s="303">
        <f>'PCO Log'!GO8</f>
        <v>0</v>
      </c>
      <c r="F194" s="303">
        <f>'PCO Log'!GO3</f>
        <v>0</v>
      </c>
      <c r="G194" s="304">
        <f>'PCO Log'!GO10</f>
        <v>0</v>
      </c>
      <c r="H194" s="305">
        <f>'PCO Log'!GO6</f>
        <v>0</v>
      </c>
      <c r="K194" s="307"/>
      <c r="P194" s="303" t="str">
        <f t="shared" si="2"/>
        <v>Contractor's Supervision</v>
      </c>
      <c r="Q194" s="304">
        <f>SUMIFS('PCO Log'!$E18:$SJ18,'PCO Log'!$E$9:$SJ$9,'Graph Data'!Q$187,'PCO Log'!$E$4:$SJ$4,"&lt;&gt;Bid Package",'PCO Log'!$E$7:$SJ$7,"Approved")</f>
        <v>0</v>
      </c>
      <c r="R194" s="304">
        <f>SUMIFS('PCO Log'!$E18:$SJ18,'PCO Log'!$E$9:$SJ$9,'Graph Data'!R$187,'PCO Log'!$E$4:$SJ$4,"&lt;&gt;Bid Package",'PCO Log'!$E$7:$SJ$7,"Approved")</f>
        <v>0</v>
      </c>
      <c r="S194" s="304">
        <f>SUMIFS('PCO Log'!$E18:$SJ18,'PCO Log'!$E$9:$SJ$9,'Graph Data'!S$187,'PCO Log'!$E$4:$SJ$4,"&lt;&gt;Bid Package",'PCO Log'!$E$7:$SJ$7,"Approved")</f>
        <v>0</v>
      </c>
      <c r="T194" s="304">
        <f>SUMIFS('PCO Log'!$E18:$SJ18,'PCO Log'!$E$9:$SJ$9,'Graph Data'!T$187,'PCO Log'!$E$4:$SJ$4,"&lt;&gt;Bid Package",'PCO Log'!$E$7:$SJ$7,"Approved")</f>
        <v>0</v>
      </c>
      <c r="U194" s="304">
        <f>SUMIFS('PCO Log'!$E18:$SJ18,'PCO Log'!$E$9:$SJ$9,'Graph Data'!U$187,'PCO Log'!$E$4:$SJ$4,"&lt;&gt;Bid Package",'PCO Log'!$E$7:$SJ$7,"Approved")</f>
        <v>0</v>
      </c>
      <c r="V194" s="304">
        <f>SUMIFS('PCO Log'!$E18:$SJ18,'PCO Log'!$E$9:$SJ$9,'Graph Data'!V$187,'PCO Log'!$E$4:$SJ$4,"&lt;&gt;Bid Package",'PCO Log'!$E$7:$SJ$7,"Approved")</f>
        <v>0</v>
      </c>
      <c r="W194" s="304">
        <f>SUMIFS('PCO Log'!$E18:$SJ18,'PCO Log'!$E$9:$SJ$9,'Graph Data'!W$187,'PCO Log'!$E$4:$SJ$4,"&lt;&gt;Bid Package",'PCO Log'!$E$7:$SJ$7,"Approved")</f>
        <v>0</v>
      </c>
      <c r="X194" s="304">
        <f>SUMIFS('PCO Log'!$E18:$SJ18,'PCO Log'!$E$9:$SJ$9,'Graph Data'!X$187,'PCO Log'!$E$4:$SJ$4,"&lt;&gt;Bid Package",'PCO Log'!$E$7:$SJ$7,"Approved")</f>
        <v>0</v>
      </c>
      <c r="Y194" s="304">
        <f>SUMIFS('PCO Log'!$E18:$SJ18,'PCO Log'!$E$9:$SJ$9,'Graph Data'!Y$187,'PCO Log'!$E$4:$SJ$4,"&lt;&gt;Bid Package",'PCO Log'!$E$7:$SJ$7,"Approved")</f>
        <v>0</v>
      </c>
      <c r="Z194" s="304">
        <f>SUMIFS('PCO Log'!$E18:$SJ18,'PCO Log'!$E$9:$SJ$9,'Graph Data'!Z$187,'PCO Log'!$E$4:$SJ$4,"&lt;&gt;Bid Package",'PCO Log'!$E$7:$SJ$7,"Approved")</f>
        <v>0</v>
      </c>
      <c r="AA194" s="304">
        <f>SUMIFS('PCO Log'!$E18:$SJ18,'PCO Log'!$E$9:$SJ$9,'Graph Data'!AA$187,'PCO Log'!$E$4:$SJ$4,"&lt;&gt;Bid Package",'PCO Log'!$E$7:$SJ$7,"Approved")</f>
        <v>0</v>
      </c>
      <c r="AB194" s="304">
        <f>SUMIFS('PCO Log'!$E18:$SJ18,'PCO Log'!$E$9:$SJ$9,'Graph Data'!AB$187,'PCO Log'!$E$4:$SJ$4,"&lt;&gt;Bid Package",'PCO Log'!$E$7:$SJ$7,"Approved")</f>
        <v>0</v>
      </c>
      <c r="AC194" s="304">
        <f>SUMIFS('PCO Log'!$E18:$SJ18,'PCO Log'!$E$9:$SJ$9,'Graph Data'!AC$187,'PCO Log'!$E$4:$SJ$4,"&lt;&gt;Bid Package",'PCO Log'!$E$7:$SJ$7,"Approved")</f>
        <v>0</v>
      </c>
      <c r="AD194" s="304">
        <f>SUMIFS('PCO Log'!$E18:$SJ18,'PCO Log'!$E$9:$SJ$9,'Graph Data'!AD$187,'PCO Log'!$E$4:$SJ$4,"&lt;&gt;Bid Package",'PCO Log'!$E$7:$SJ$7,"Approved")</f>
        <v>0</v>
      </c>
      <c r="AE194" s="304">
        <f>SUMIFS('PCO Log'!$E18:$SJ18,'PCO Log'!$E$9:$SJ$9,'Graph Data'!AE$187,'PCO Log'!$E$4:$SJ$4,"&lt;&gt;Bid Package",'PCO Log'!$E$7:$SJ$7,"Approved")</f>
        <v>0</v>
      </c>
      <c r="AF194" s="304">
        <f>SUMIFS('PCO Log'!$E18:$SJ18,'PCO Log'!$E$9:$SJ$9,'Graph Data'!AF$187,'PCO Log'!$E$4:$SJ$4,"&lt;&gt;Bid Package",'PCO Log'!$E$7:$SJ$7,"Approved")</f>
        <v>0</v>
      </c>
      <c r="AG194" s="304">
        <f>SUMIFS('PCO Log'!$E18:$SJ18,'PCO Log'!$E$9:$SJ$9,'Graph Data'!AG$187,'PCO Log'!$E$4:$SJ$4,"&lt;&gt;Bid Package",'PCO Log'!$E$7:$SJ$7,"Approved")</f>
        <v>0</v>
      </c>
      <c r="AH194" s="304">
        <f>SUMIFS('PCO Log'!$E18:$SJ18,'PCO Log'!$E$9:$SJ$9,'Graph Data'!AH$187,'PCO Log'!$E$4:$SJ$4,"&lt;&gt;Bid Package",'PCO Log'!$E$7:$SJ$7,"Approved")</f>
        <v>0</v>
      </c>
      <c r="AI194" s="304">
        <f>SUMIFS('PCO Log'!$E18:$SJ18,'PCO Log'!$E$9:$SJ$9,'Graph Data'!AI$187,'PCO Log'!$E$4:$SJ$4,"&lt;&gt;Bid Package",'PCO Log'!$E$7:$SJ$7,"Approved")</f>
        <v>0</v>
      </c>
      <c r="AJ194" s="304">
        <f>SUMIFS('PCO Log'!$E18:$SJ18,'PCO Log'!$E$9:$SJ$9,'Graph Data'!AJ$187,'PCO Log'!$E$4:$SJ$4,"&lt;&gt;Bid Package",'PCO Log'!$E$7:$SJ$7,"Approved")</f>
        <v>0</v>
      </c>
      <c r="AK194" s="304">
        <f>SUMIFS('PCO Log'!$E18:$SJ18,'PCO Log'!$E$9:$SJ$9,'Graph Data'!AK$187,'PCO Log'!$E$4:$SJ$4,"&lt;&gt;Bid Package",'PCO Log'!$E$7:$SJ$7,"Approved")</f>
        <v>0</v>
      </c>
      <c r="AL194" s="304">
        <f>SUMIFS('PCO Log'!$E18:$SJ18,'PCO Log'!$E$9:$SJ$9,'Graph Data'!AL$187,'PCO Log'!$E$4:$SJ$4,"&lt;&gt;Bid Package",'PCO Log'!$E$7:$SJ$7,"Approved")</f>
        <v>0</v>
      </c>
      <c r="AM194" s="304">
        <f>SUMIFS('PCO Log'!$E18:$SJ18,'PCO Log'!$E$9:$SJ$9,'Graph Data'!AM$187,'PCO Log'!$E$4:$SJ$4,"&lt;&gt;Bid Package",'PCO Log'!$E$7:$SJ$7,"Approved")</f>
        <v>0</v>
      </c>
      <c r="AN194" s="304">
        <f>SUMIFS('PCO Log'!$E18:$SJ18,'PCO Log'!$E$9:$SJ$9,'Graph Data'!AN$187,'PCO Log'!$E$4:$SJ$4,"&lt;&gt;Bid Package",'PCO Log'!$E$7:$SJ$7,"Approved")</f>
        <v>0</v>
      </c>
      <c r="AO194" s="304">
        <f>SUMIFS('PCO Log'!$E18:$SJ18,'PCO Log'!$E$9:$SJ$9,'Graph Data'!AO$187,'PCO Log'!$E$4:$SJ$4,"&lt;&gt;Bid Package",'PCO Log'!$E$7:$SJ$7,"Approved")</f>
        <v>0</v>
      </c>
      <c r="AP194" s="304">
        <f>SUMIFS('PCO Log'!$E18:$SJ18,'PCO Log'!$E$9:$SJ$9,'Graph Data'!AP$187,'PCO Log'!$E$4:$SJ$4,"&lt;&gt;Bid Package",'PCO Log'!$E$7:$SJ$7,"Approved")</f>
        <v>0</v>
      </c>
      <c r="AQ194" s="304">
        <f>SUMIFS('PCO Log'!$E18:$SJ18,'PCO Log'!$E$9:$SJ$9,'Graph Data'!AQ$187,'PCO Log'!$E$4:$SJ$4,"&lt;&gt;Bid Package",'PCO Log'!$E$7:$SJ$7,"Approved")</f>
        <v>0</v>
      </c>
      <c r="AR194" s="304">
        <f>SUMIFS('PCO Log'!$E18:$SJ18,'PCO Log'!$E$9:$SJ$9,'Graph Data'!AR$187,'PCO Log'!$E$4:$SJ$4,"&lt;&gt;Bid Package",'PCO Log'!$E$7:$SJ$7,"Approved")</f>
        <v>0</v>
      </c>
      <c r="AS194" s="304">
        <f>SUMIFS('PCO Log'!$E18:$SJ18,'PCO Log'!$E$9:$SJ$9,'Graph Data'!AS$187,'PCO Log'!$E$4:$SJ$4,"&lt;&gt;Bid Package",'PCO Log'!$E$7:$SJ$7,"Approved")</f>
        <v>0</v>
      </c>
      <c r="AT194" s="304">
        <f>SUMIFS('PCO Log'!$E18:$SJ18,'PCO Log'!$E$9:$SJ$9,'Graph Data'!AT$187,'PCO Log'!$E$4:$SJ$4,"&lt;&gt;Bid Package",'PCO Log'!$E$7:$SJ$7,"Approved")</f>
        <v>0</v>
      </c>
      <c r="AU194" s="304">
        <f>SUMIFS('PCO Log'!$E18:$SJ18,'PCO Log'!$E$9:$SJ$9,'Graph Data'!AU$187,'PCO Log'!$E$4:$SJ$4,"&lt;&gt;Bid Package",'PCO Log'!$E$7:$SJ$7,"Approved")</f>
        <v>0</v>
      </c>
      <c r="AV194" s="304">
        <f>SUMIFS('PCO Log'!$E18:$SJ18,'PCO Log'!$E$9:$SJ$9,'Graph Data'!AV$187,'PCO Log'!$E$4:$SJ$4,"&lt;&gt;Bid Package",'PCO Log'!$E$7:$SJ$7,"Approved")</f>
        <v>0</v>
      </c>
      <c r="AW194" s="304">
        <f>SUMIFS('PCO Log'!$E18:$SJ18,'PCO Log'!$E$9:$SJ$9,'Graph Data'!AW$187,'PCO Log'!$E$4:$SJ$4,"&lt;&gt;Bid Package",'PCO Log'!$E$7:$SJ$7,"Approved")</f>
        <v>0</v>
      </c>
      <c r="AX194" s="304">
        <f>SUMIFS('PCO Log'!$E18:$SJ18,'PCO Log'!$E$9:$SJ$9,'Graph Data'!AX$187,'PCO Log'!$E$4:$SJ$4,"&lt;&gt;Bid Package",'PCO Log'!$E$7:$SJ$7,"Approved")</f>
        <v>0</v>
      </c>
      <c r="AY194" s="304">
        <f>SUMIFS('PCO Log'!$E18:$SJ18,'PCO Log'!$E$9:$SJ$9,'Graph Data'!AY$187,'PCO Log'!$E$4:$SJ$4,"&lt;&gt;Bid Package",'PCO Log'!$E$7:$SJ$7,"Approved")</f>
        <v>0</v>
      </c>
      <c r="AZ194" s="304">
        <f>SUMIFS('PCO Log'!$E18:$SJ18,'PCO Log'!$E$9:$SJ$9,'Graph Data'!AZ$187,'PCO Log'!$E$4:$SJ$4,"&lt;&gt;Bid Package",'PCO Log'!$E$7:$SJ$7,"Approved")</f>
        <v>0</v>
      </c>
      <c r="BA194" s="304">
        <f>SUMIFS('PCO Log'!$E18:$SJ18,'PCO Log'!$E$9:$SJ$9,'Graph Data'!BA$187,'PCO Log'!$E$4:$SJ$4,"&lt;&gt;Bid Package",'PCO Log'!$E$7:$SJ$7,"Approved")</f>
        <v>0</v>
      </c>
      <c r="BB194" s="304">
        <f>SUMIFS('PCO Log'!$E18:$SJ18,'PCO Log'!$E$9:$SJ$9,'Graph Data'!BB$187,'PCO Log'!$E$4:$SJ$4,"&lt;&gt;Bid Package",'PCO Log'!$E$7:$SJ$7,"Approved")</f>
        <v>0</v>
      </c>
      <c r="BC194" s="304">
        <f>SUMIFS('PCO Log'!$E18:$SJ18,'PCO Log'!$E$9:$SJ$9,'Graph Data'!BC$187,'PCO Log'!$E$4:$SJ$4,"&lt;&gt;Bid Package",'PCO Log'!$E$7:$SJ$7,"Approved")</f>
        <v>0</v>
      </c>
      <c r="BD194" s="304">
        <f>SUMIFS('PCO Log'!$E18:$SJ18,'PCO Log'!$E$9:$SJ$9,'Graph Data'!BD$187,'PCO Log'!$E$4:$SJ$4,"&lt;&gt;Bid Package",'PCO Log'!$E$7:$SJ$7,"Approved")</f>
        <v>0</v>
      </c>
      <c r="BE194" s="304">
        <f>SUMIFS('PCO Log'!$E18:$SJ18,'PCO Log'!$E$9:$SJ$9,'Graph Data'!BE$187,'PCO Log'!$E$4:$SJ$4,"&lt;&gt;Bid Package",'PCO Log'!$E$7:$SJ$7,"Approved")</f>
        <v>0</v>
      </c>
      <c r="BF194" s="304">
        <f>SUMIFS('PCO Log'!$E18:$SJ18,'PCO Log'!$E$9:$SJ$9,'Graph Data'!BF$187,'PCO Log'!$E$4:$SJ$4,"&lt;&gt;Bid Package",'PCO Log'!$E$7:$SJ$7,"Approved")</f>
        <v>0</v>
      </c>
      <c r="BG194" s="304">
        <f>SUMIFS('PCO Log'!$E18:$SJ18,'PCO Log'!$E$9:$SJ$9,'Graph Data'!BG$187,'PCO Log'!$E$4:$SJ$4,"&lt;&gt;Bid Package",'PCO Log'!$E$7:$SJ$7,"Approved")</f>
        <v>0</v>
      </c>
      <c r="BH194" s="304">
        <f>SUMIFS('PCO Log'!$E18:$SJ18,'PCO Log'!$E$9:$SJ$9,'Graph Data'!BH$187,'PCO Log'!$E$4:$SJ$4,"&lt;&gt;Bid Package",'PCO Log'!$E$7:$SJ$7,"Approved")</f>
        <v>0</v>
      </c>
      <c r="BI194" s="304">
        <f>SUMIFS('PCO Log'!$E18:$SJ18,'PCO Log'!$E$9:$SJ$9,'Graph Data'!BI$187,'PCO Log'!$E$4:$SJ$4,"&lt;&gt;Bid Package",'PCO Log'!$E$7:$SJ$7,"Approved")</f>
        <v>0</v>
      </c>
      <c r="BJ194" s="304">
        <f>SUMIFS('PCO Log'!$E18:$SJ18,'PCO Log'!$E$9:$SJ$9,'Graph Data'!BJ$187,'PCO Log'!$E$4:$SJ$4,"&lt;&gt;Bid Package",'PCO Log'!$E$7:$SJ$7,"Approved")</f>
        <v>0</v>
      </c>
      <c r="BK194" s="304">
        <f>SUMIFS('PCO Log'!$E18:$SJ18,'PCO Log'!$E$9:$SJ$9,'Graph Data'!BK$187,'PCO Log'!$E$4:$SJ$4,"&lt;&gt;Bid Package",'PCO Log'!$E$7:$SJ$7,"Approved")</f>
        <v>0</v>
      </c>
      <c r="BL194" s="304">
        <f>SUMIFS('PCO Log'!$E18:$SJ18,'PCO Log'!$E$9:$SJ$9,'Graph Data'!BL$187,'PCO Log'!$E$4:$SJ$4,"&lt;&gt;Bid Package",'PCO Log'!$E$7:$SJ$7,"Approved")</f>
        <v>0</v>
      </c>
      <c r="BM194" s="304">
        <f>SUMIFS('PCO Log'!$E18:$SJ18,'PCO Log'!$E$9:$SJ$9,'Graph Data'!BM$187,'PCO Log'!$E$4:$SJ$4,"&lt;&gt;Bid Package",'PCO Log'!$E$7:$SJ$7,"Approved")</f>
        <v>0</v>
      </c>
      <c r="BN194" s="304">
        <f>SUMIFS('PCO Log'!$E18:$SJ18,'PCO Log'!$E$9:$SJ$9,'Graph Data'!BN$187,'PCO Log'!$E$4:$SJ$4,"&lt;&gt;Bid Package",'PCO Log'!$E$7:$SJ$7,"Approved")</f>
        <v>0</v>
      </c>
      <c r="BO194" s="304">
        <f>SUMIFS('PCO Log'!$E18:$SJ18,'PCO Log'!$E$9:$SJ$9,'Graph Data'!BO$187,'PCO Log'!$E$4:$SJ$4,"&lt;&gt;Bid Package",'PCO Log'!$E$7:$SJ$7,"Approved")</f>
        <v>0</v>
      </c>
      <c r="BP194" s="304">
        <f>SUMIFS('PCO Log'!$E18:$SJ18,'PCO Log'!$E$9:$SJ$9,'Graph Data'!BP$187,'PCO Log'!$E$4:$SJ$4,"&lt;&gt;Bid Package",'PCO Log'!$E$7:$SJ$7,"Approved")</f>
        <v>0</v>
      </c>
      <c r="BQ194" s="304">
        <f>SUMIFS('PCO Log'!$E18:$SJ18,'PCO Log'!$E$9:$SJ$9,'Graph Data'!BQ$187,'PCO Log'!$E$4:$SJ$4,"&lt;&gt;Bid Package",'PCO Log'!$E$7:$SJ$7,"Approved")</f>
        <v>0</v>
      </c>
      <c r="BR194" s="304">
        <f>SUMIFS('PCO Log'!$E18:$SJ18,'PCO Log'!$E$9:$SJ$9,'Graph Data'!BR$187,'PCO Log'!$E$4:$SJ$4,"&lt;&gt;Bid Package",'PCO Log'!$E$7:$SJ$7,"Approved")</f>
        <v>0</v>
      </c>
      <c r="BS194" s="304">
        <f>SUMIFS('PCO Log'!$E18:$SJ18,'PCO Log'!$E$9:$SJ$9,'Graph Data'!BS$187,'PCO Log'!$E$4:$SJ$4,"&lt;&gt;Bid Package",'PCO Log'!$E$7:$SJ$7,"Approved")</f>
        <v>0</v>
      </c>
      <c r="BT194" s="304">
        <f>SUMIFS('PCO Log'!$E18:$SJ18,'PCO Log'!$E$9:$SJ$9,'Graph Data'!BT$187,'PCO Log'!$E$4:$SJ$4,"&lt;&gt;Bid Package",'PCO Log'!$E$7:$SJ$7,"Approved")</f>
        <v>0</v>
      </c>
      <c r="BU194" s="304">
        <f>SUMIFS('PCO Log'!$E18:$SJ18,'PCO Log'!$E$9:$SJ$9,'Graph Data'!BU$187,'PCO Log'!$E$4:$SJ$4,"&lt;&gt;Bid Package",'PCO Log'!$E$7:$SJ$7,"Approved")</f>
        <v>0</v>
      </c>
      <c r="BV194" s="304">
        <f>SUMIFS('PCO Log'!$E18:$SJ18,'PCO Log'!$E$9:$SJ$9,'Graph Data'!BV$187,'PCO Log'!$E$4:$SJ$4,"&lt;&gt;Bid Package",'PCO Log'!$E$7:$SJ$7,"Approved")</f>
        <v>0</v>
      </c>
      <c r="BW194" s="304">
        <f>SUMIFS('PCO Log'!$E18:$SJ18,'PCO Log'!$E$9:$SJ$9,'Graph Data'!BW$187,'PCO Log'!$E$4:$SJ$4,"&lt;&gt;Bid Package",'PCO Log'!$E$7:$SJ$7,"Approved")</f>
        <v>0</v>
      </c>
      <c r="BX194" s="304">
        <f>SUMIFS('PCO Log'!$E18:$SJ18,'PCO Log'!$E$9:$SJ$9,'Graph Data'!BX$187,'PCO Log'!$E$4:$SJ$4,"&lt;&gt;Bid Package",'PCO Log'!$E$7:$SJ$7,"Approved")</f>
        <v>0</v>
      </c>
    </row>
    <row r="195" spans="1:76" x14ac:dyDescent="0.25">
      <c r="A195" s="303" t="s">
        <v>545</v>
      </c>
      <c r="B195" s="303">
        <f>'PCO Log'!GP7</f>
        <v>0</v>
      </c>
      <c r="C195" s="303">
        <f>'PCO Log'!GP4</f>
        <v>0</v>
      </c>
      <c r="D195" s="303" cm="1">
        <f t="array" ref="D195">INDEX('PCO Log'!$E$5:$SJ$5, 1, ROWS('Graph Data'!$D$2:D195))</f>
        <v>0</v>
      </c>
      <c r="E195" s="303">
        <f>'PCO Log'!GP8</f>
        <v>0</v>
      </c>
      <c r="F195" s="303">
        <f>'PCO Log'!GP3</f>
        <v>0</v>
      </c>
      <c r="G195" s="304">
        <f>'PCO Log'!GP10</f>
        <v>0</v>
      </c>
      <c r="H195" s="305">
        <f>'PCO Log'!GP6</f>
        <v>0</v>
      </c>
      <c r="K195" s="307"/>
      <c r="P195" s="303" t="str">
        <f t="shared" si="2"/>
        <v>General Liability Insurance</v>
      </c>
      <c r="Q195" s="304">
        <f>SUMIFS('PCO Log'!$E19:$SJ19,'PCO Log'!$E$9:$SJ$9,'Graph Data'!Q$187,'PCO Log'!$E$4:$SJ$4,"&lt;&gt;Bid Package",'PCO Log'!$E$7:$SJ$7,"Approved")</f>
        <v>0</v>
      </c>
      <c r="R195" s="304">
        <f>SUMIFS('PCO Log'!$E19:$SJ19,'PCO Log'!$E$9:$SJ$9,'Graph Data'!R$187,'PCO Log'!$E$4:$SJ$4,"&lt;&gt;Bid Package",'PCO Log'!$E$7:$SJ$7,"Approved")</f>
        <v>0</v>
      </c>
      <c r="S195" s="304">
        <f>SUMIFS('PCO Log'!$E19:$SJ19,'PCO Log'!$E$9:$SJ$9,'Graph Data'!S$187,'PCO Log'!$E$4:$SJ$4,"&lt;&gt;Bid Package",'PCO Log'!$E$7:$SJ$7,"Approved")</f>
        <v>0</v>
      </c>
      <c r="T195" s="304">
        <f>SUMIFS('PCO Log'!$E19:$SJ19,'PCO Log'!$E$9:$SJ$9,'Graph Data'!T$187,'PCO Log'!$E$4:$SJ$4,"&lt;&gt;Bid Package",'PCO Log'!$E$7:$SJ$7,"Approved")</f>
        <v>0</v>
      </c>
      <c r="U195" s="304">
        <f>SUMIFS('PCO Log'!$E19:$SJ19,'PCO Log'!$E$9:$SJ$9,'Graph Data'!U$187,'PCO Log'!$E$4:$SJ$4,"&lt;&gt;Bid Package",'PCO Log'!$E$7:$SJ$7,"Approved")</f>
        <v>0</v>
      </c>
      <c r="V195" s="304">
        <f>SUMIFS('PCO Log'!$E19:$SJ19,'PCO Log'!$E$9:$SJ$9,'Graph Data'!V$187,'PCO Log'!$E$4:$SJ$4,"&lt;&gt;Bid Package",'PCO Log'!$E$7:$SJ$7,"Approved")</f>
        <v>0</v>
      </c>
      <c r="W195" s="304">
        <f>SUMIFS('PCO Log'!$E19:$SJ19,'PCO Log'!$E$9:$SJ$9,'Graph Data'!W$187,'PCO Log'!$E$4:$SJ$4,"&lt;&gt;Bid Package",'PCO Log'!$E$7:$SJ$7,"Approved")</f>
        <v>0</v>
      </c>
      <c r="X195" s="304">
        <f>SUMIFS('PCO Log'!$E19:$SJ19,'PCO Log'!$E$9:$SJ$9,'Graph Data'!X$187,'PCO Log'!$E$4:$SJ$4,"&lt;&gt;Bid Package",'PCO Log'!$E$7:$SJ$7,"Approved")</f>
        <v>0</v>
      </c>
      <c r="Y195" s="304">
        <f>SUMIFS('PCO Log'!$E19:$SJ19,'PCO Log'!$E$9:$SJ$9,'Graph Data'!Y$187,'PCO Log'!$E$4:$SJ$4,"&lt;&gt;Bid Package",'PCO Log'!$E$7:$SJ$7,"Approved")</f>
        <v>0</v>
      </c>
      <c r="Z195" s="304">
        <f>SUMIFS('PCO Log'!$E19:$SJ19,'PCO Log'!$E$9:$SJ$9,'Graph Data'!Z$187,'PCO Log'!$E$4:$SJ$4,"&lt;&gt;Bid Package",'PCO Log'!$E$7:$SJ$7,"Approved")</f>
        <v>0</v>
      </c>
      <c r="AA195" s="304">
        <f>SUMIFS('PCO Log'!$E19:$SJ19,'PCO Log'!$E$9:$SJ$9,'Graph Data'!AA$187,'PCO Log'!$E$4:$SJ$4,"&lt;&gt;Bid Package",'PCO Log'!$E$7:$SJ$7,"Approved")</f>
        <v>0</v>
      </c>
      <c r="AB195" s="304">
        <f>SUMIFS('PCO Log'!$E19:$SJ19,'PCO Log'!$E$9:$SJ$9,'Graph Data'!AB$187,'PCO Log'!$E$4:$SJ$4,"&lt;&gt;Bid Package",'PCO Log'!$E$7:$SJ$7,"Approved")</f>
        <v>0</v>
      </c>
      <c r="AC195" s="304">
        <f>SUMIFS('PCO Log'!$E19:$SJ19,'PCO Log'!$E$9:$SJ$9,'Graph Data'!AC$187,'PCO Log'!$E$4:$SJ$4,"&lt;&gt;Bid Package",'PCO Log'!$E$7:$SJ$7,"Approved")</f>
        <v>0</v>
      </c>
      <c r="AD195" s="304">
        <f>SUMIFS('PCO Log'!$E19:$SJ19,'PCO Log'!$E$9:$SJ$9,'Graph Data'!AD$187,'PCO Log'!$E$4:$SJ$4,"&lt;&gt;Bid Package",'PCO Log'!$E$7:$SJ$7,"Approved")</f>
        <v>0</v>
      </c>
      <c r="AE195" s="304">
        <f>SUMIFS('PCO Log'!$E19:$SJ19,'PCO Log'!$E$9:$SJ$9,'Graph Data'!AE$187,'PCO Log'!$E$4:$SJ$4,"&lt;&gt;Bid Package",'PCO Log'!$E$7:$SJ$7,"Approved")</f>
        <v>0</v>
      </c>
      <c r="AF195" s="304">
        <f>SUMIFS('PCO Log'!$E19:$SJ19,'PCO Log'!$E$9:$SJ$9,'Graph Data'!AF$187,'PCO Log'!$E$4:$SJ$4,"&lt;&gt;Bid Package",'PCO Log'!$E$7:$SJ$7,"Approved")</f>
        <v>0</v>
      </c>
      <c r="AG195" s="304">
        <f>SUMIFS('PCO Log'!$E19:$SJ19,'PCO Log'!$E$9:$SJ$9,'Graph Data'!AG$187,'PCO Log'!$E$4:$SJ$4,"&lt;&gt;Bid Package",'PCO Log'!$E$7:$SJ$7,"Approved")</f>
        <v>0</v>
      </c>
      <c r="AH195" s="304">
        <f>SUMIFS('PCO Log'!$E19:$SJ19,'PCO Log'!$E$9:$SJ$9,'Graph Data'!AH$187,'PCO Log'!$E$4:$SJ$4,"&lt;&gt;Bid Package",'PCO Log'!$E$7:$SJ$7,"Approved")</f>
        <v>0</v>
      </c>
      <c r="AI195" s="304">
        <f>SUMIFS('PCO Log'!$E19:$SJ19,'PCO Log'!$E$9:$SJ$9,'Graph Data'!AI$187,'PCO Log'!$E$4:$SJ$4,"&lt;&gt;Bid Package",'PCO Log'!$E$7:$SJ$7,"Approved")</f>
        <v>0</v>
      </c>
      <c r="AJ195" s="304">
        <f>SUMIFS('PCO Log'!$E19:$SJ19,'PCO Log'!$E$9:$SJ$9,'Graph Data'!AJ$187,'PCO Log'!$E$4:$SJ$4,"&lt;&gt;Bid Package",'PCO Log'!$E$7:$SJ$7,"Approved")</f>
        <v>0</v>
      </c>
      <c r="AK195" s="304">
        <f>SUMIFS('PCO Log'!$E19:$SJ19,'PCO Log'!$E$9:$SJ$9,'Graph Data'!AK$187,'PCO Log'!$E$4:$SJ$4,"&lt;&gt;Bid Package",'PCO Log'!$E$7:$SJ$7,"Approved")</f>
        <v>0</v>
      </c>
      <c r="AL195" s="304">
        <f>SUMIFS('PCO Log'!$E19:$SJ19,'PCO Log'!$E$9:$SJ$9,'Graph Data'!AL$187,'PCO Log'!$E$4:$SJ$4,"&lt;&gt;Bid Package",'PCO Log'!$E$7:$SJ$7,"Approved")</f>
        <v>0</v>
      </c>
      <c r="AM195" s="304">
        <f>SUMIFS('PCO Log'!$E19:$SJ19,'PCO Log'!$E$9:$SJ$9,'Graph Data'!AM$187,'PCO Log'!$E$4:$SJ$4,"&lt;&gt;Bid Package",'PCO Log'!$E$7:$SJ$7,"Approved")</f>
        <v>0</v>
      </c>
      <c r="AN195" s="304">
        <f>SUMIFS('PCO Log'!$E19:$SJ19,'PCO Log'!$E$9:$SJ$9,'Graph Data'!AN$187,'PCO Log'!$E$4:$SJ$4,"&lt;&gt;Bid Package",'PCO Log'!$E$7:$SJ$7,"Approved")</f>
        <v>0</v>
      </c>
      <c r="AO195" s="304">
        <f>SUMIFS('PCO Log'!$E19:$SJ19,'PCO Log'!$E$9:$SJ$9,'Graph Data'!AO$187,'PCO Log'!$E$4:$SJ$4,"&lt;&gt;Bid Package",'PCO Log'!$E$7:$SJ$7,"Approved")</f>
        <v>0</v>
      </c>
      <c r="AP195" s="304">
        <f>SUMIFS('PCO Log'!$E19:$SJ19,'PCO Log'!$E$9:$SJ$9,'Graph Data'!AP$187,'PCO Log'!$E$4:$SJ$4,"&lt;&gt;Bid Package",'PCO Log'!$E$7:$SJ$7,"Approved")</f>
        <v>0</v>
      </c>
      <c r="AQ195" s="304">
        <f>SUMIFS('PCO Log'!$E19:$SJ19,'PCO Log'!$E$9:$SJ$9,'Graph Data'!AQ$187,'PCO Log'!$E$4:$SJ$4,"&lt;&gt;Bid Package",'PCO Log'!$E$7:$SJ$7,"Approved")</f>
        <v>0</v>
      </c>
      <c r="AR195" s="304">
        <f>SUMIFS('PCO Log'!$E19:$SJ19,'PCO Log'!$E$9:$SJ$9,'Graph Data'!AR$187,'PCO Log'!$E$4:$SJ$4,"&lt;&gt;Bid Package",'PCO Log'!$E$7:$SJ$7,"Approved")</f>
        <v>0</v>
      </c>
      <c r="AS195" s="304">
        <f>SUMIFS('PCO Log'!$E19:$SJ19,'PCO Log'!$E$9:$SJ$9,'Graph Data'!AS$187,'PCO Log'!$E$4:$SJ$4,"&lt;&gt;Bid Package",'PCO Log'!$E$7:$SJ$7,"Approved")</f>
        <v>0</v>
      </c>
      <c r="AT195" s="304">
        <f>SUMIFS('PCO Log'!$E19:$SJ19,'PCO Log'!$E$9:$SJ$9,'Graph Data'!AT$187,'PCO Log'!$E$4:$SJ$4,"&lt;&gt;Bid Package",'PCO Log'!$E$7:$SJ$7,"Approved")</f>
        <v>0</v>
      </c>
      <c r="AU195" s="304">
        <f>SUMIFS('PCO Log'!$E19:$SJ19,'PCO Log'!$E$9:$SJ$9,'Graph Data'!AU$187,'PCO Log'!$E$4:$SJ$4,"&lt;&gt;Bid Package",'PCO Log'!$E$7:$SJ$7,"Approved")</f>
        <v>0</v>
      </c>
      <c r="AV195" s="304">
        <f>SUMIFS('PCO Log'!$E19:$SJ19,'PCO Log'!$E$9:$SJ$9,'Graph Data'!AV$187,'PCO Log'!$E$4:$SJ$4,"&lt;&gt;Bid Package",'PCO Log'!$E$7:$SJ$7,"Approved")</f>
        <v>0</v>
      </c>
      <c r="AW195" s="304">
        <f>SUMIFS('PCO Log'!$E19:$SJ19,'PCO Log'!$E$9:$SJ$9,'Graph Data'!AW$187,'PCO Log'!$E$4:$SJ$4,"&lt;&gt;Bid Package",'PCO Log'!$E$7:$SJ$7,"Approved")</f>
        <v>0</v>
      </c>
      <c r="AX195" s="304">
        <f>SUMIFS('PCO Log'!$E19:$SJ19,'PCO Log'!$E$9:$SJ$9,'Graph Data'!AX$187,'PCO Log'!$E$4:$SJ$4,"&lt;&gt;Bid Package",'PCO Log'!$E$7:$SJ$7,"Approved")</f>
        <v>0</v>
      </c>
      <c r="AY195" s="304">
        <f>SUMIFS('PCO Log'!$E19:$SJ19,'PCO Log'!$E$9:$SJ$9,'Graph Data'!AY$187,'PCO Log'!$E$4:$SJ$4,"&lt;&gt;Bid Package",'PCO Log'!$E$7:$SJ$7,"Approved")</f>
        <v>0</v>
      </c>
      <c r="AZ195" s="304">
        <f>SUMIFS('PCO Log'!$E19:$SJ19,'PCO Log'!$E$9:$SJ$9,'Graph Data'!AZ$187,'PCO Log'!$E$4:$SJ$4,"&lt;&gt;Bid Package",'PCO Log'!$E$7:$SJ$7,"Approved")</f>
        <v>0</v>
      </c>
      <c r="BA195" s="304">
        <f>SUMIFS('PCO Log'!$E19:$SJ19,'PCO Log'!$E$9:$SJ$9,'Graph Data'!BA$187,'PCO Log'!$E$4:$SJ$4,"&lt;&gt;Bid Package",'PCO Log'!$E$7:$SJ$7,"Approved")</f>
        <v>0</v>
      </c>
      <c r="BB195" s="304">
        <f>SUMIFS('PCO Log'!$E19:$SJ19,'PCO Log'!$E$9:$SJ$9,'Graph Data'!BB$187,'PCO Log'!$E$4:$SJ$4,"&lt;&gt;Bid Package",'PCO Log'!$E$7:$SJ$7,"Approved")</f>
        <v>0</v>
      </c>
      <c r="BC195" s="304">
        <f>SUMIFS('PCO Log'!$E19:$SJ19,'PCO Log'!$E$9:$SJ$9,'Graph Data'!BC$187,'PCO Log'!$E$4:$SJ$4,"&lt;&gt;Bid Package",'PCO Log'!$E$7:$SJ$7,"Approved")</f>
        <v>0</v>
      </c>
      <c r="BD195" s="304">
        <f>SUMIFS('PCO Log'!$E19:$SJ19,'PCO Log'!$E$9:$SJ$9,'Graph Data'!BD$187,'PCO Log'!$E$4:$SJ$4,"&lt;&gt;Bid Package",'PCO Log'!$E$7:$SJ$7,"Approved")</f>
        <v>0</v>
      </c>
      <c r="BE195" s="304">
        <f>SUMIFS('PCO Log'!$E19:$SJ19,'PCO Log'!$E$9:$SJ$9,'Graph Data'!BE$187,'PCO Log'!$E$4:$SJ$4,"&lt;&gt;Bid Package",'PCO Log'!$E$7:$SJ$7,"Approved")</f>
        <v>0</v>
      </c>
      <c r="BF195" s="304">
        <f>SUMIFS('PCO Log'!$E19:$SJ19,'PCO Log'!$E$9:$SJ$9,'Graph Data'!BF$187,'PCO Log'!$E$4:$SJ$4,"&lt;&gt;Bid Package",'PCO Log'!$E$7:$SJ$7,"Approved")</f>
        <v>0</v>
      </c>
      <c r="BG195" s="304">
        <f>SUMIFS('PCO Log'!$E19:$SJ19,'PCO Log'!$E$9:$SJ$9,'Graph Data'!BG$187,'PCO Log'!$E$4:$SJ$4,"&lt;&gt;Bid Package",'PCO Log'!$E$7:$SJ$7,"Approved")</f>
        <v>0</v>
      </c>
      <c r="BH195" s="304">
        <f>SUMIFS('PCO Log'!$E19:$SJ19,'PCO Log'!$E$9:$SJ$9,'Graph Data'!BH$187,'PCO Log'!$E$4:$SJ$4,"&lt;&gt;Bid Package",'PCO Log'!$E$7:$SJ$7,"Approved")</f>
        <v>0</v>
      </c>
      <c r="BI195" s="304">
        <f>SUMIFS('PCO Log'!$E19:$SJ19,'PCO Log'!$E$9:$SJ$9,'Graph Data'!BI$187,'PCO Log'!$E$4:$SJ$4,"&lt;&gt;Bid Package",'PCO Log'!$E$7:$SJ$7,"Approved")</f>
        <v>0</v>
      </c>
      <c r="BJ195" s="304">
        <f>SUMIFS('PCO Log'!$E19:$SJ19,'PCO Log'!$E$9:$SJ$9,'Graph Data'!BJ$187,'PCO Log'!$E$4:$SJ$4,"&lt;&gt;Bid Package",'PCO Log'!$E$7:$SJ$7,"Approved")</f>
        <v>0</v>
      </c>
      <c r="BK195" s="304">
        <f>SUMIFS('PCO Log'!$E19:$SJ19,'PCO Log'!$E$9:$SJ$9,'Graph Data'!BK$187,'PCO Log'!$E$4:$SJ$4,"&lt;&gt;Bid Package",'PCO Log'!$E$7:$SJ$7,"Approved")</f>
        <v>0</v>
      </c>
      <c r="BL195" s="304">
        <f>SUMIFS('PCO Log'!$E19:$SJ19,'PCO Log'!$E$9:$SJ$9,'Graph Data'!BL$187,'PCO Log'!$E$4:$SJ$4,"&lt;&gt;Bid Package",'PCO Log'!$E$7:$SJ$7,"Approved")</f>
        <v>0</v>
      </c>
      <c r="BM195" s="304">
        <f>SUMIFS('PCO Log'!$E19:$SJ19,'PCO Log'!$E$9:$SJ$9,'Graph Data'!BM$187,'PCO Log'!$E$4:$SJ$4,"&lt;&gt;Bid Package",'PCO Log'!$E$7:$SJ$7,"Approved")</f>
        <v>0</v>
      </c>
      <c r="BN195" s="304">
        <f>SUMIFS('PCO Log'!$E19:$SJ19,'PCO Log'!$E$9:$SJ$9,'Graph Data'!BN$187,'PCO Log'!$E$4:$SJ$4,"&lt;&gt;Bid Package",'PCO Log'!$E$7:$SJ$7,"Approved")</f>
        <v>0</v>
      </c>
      <c r="BO195" s="304">
        <f>SUMIFS('PCO Log'!$E19:$SJ19,'PCO Log'!$E$9:$SJ$9,'Graph Data'!BO$187,'PCO Log'!$E$4:$SJ$4,"&lt;&gt;Bid Package",'PCO Log'!$E$7:$SJ$7,"Approved")</f>
        <v>0</v>
      </c>
      <c r="BP195" s="304">
        <f>SUMIFS('PCO Log'!$E19:$SJ19,'PCO Log'!$E$9:$SJ$9,'Graph Data'!BP$187,'PCO Log'!$E$4:$SJ$4,"&lt;&gt;Bid Package",'PCO Log'!$E$7:$SJ$7,"Approved")</f>
        <v>0</v>
      </c>
      <c r="BQ195" s="304">
        <f>SUMIFS('PCO Log'!$E19:$SJ19,'PCO Log'!$E$9:$SJ$9,'Graph Data'!BQ$187,'PCO Log'!$E$4:$SJ$4,"&lt;&gt;Bid Package",'PCO Log'!$E$7:$SJ$7,"Approved")</f>
        <v>0</v>
      </c>
      <c r="BR195" s="304">
        <f>SUMIFS('PCO Log'!$E19:$SJ19,'PCO Log'!$E$9:$SJ$9,'Graph Data'!BR$187,'PCO Log'!$E$4:$SJ$4,"&lt;&gt;Bid Package",'PCO Log'!$E$7:$SJ$7,"Approved")</f>
        <v>0</v>
      </c>
      <c r="BS195" s="304">
        <f>SUMIFS('PCO Log'!$E19:$SJ19,'PCO Log'!$E$9:$SJ$9,'Graph Data'!BS$187,'PCO Log'!$E$4:$SJ$4,"&lt;&gt;Bid Package",'PCO Log'!$E$7:$SJ$7,"Approved")</f>
        <v>0</v>
      </c>
      <c r="BT195" s="304">
        <f>SUMIFS('PCO Log'!$E19:$SJ19,'PCO Log'!$E$9:$SJ$9,'Graph Data'!BT$187,'PCO Log'!$E$4:$SJ$4,"&lt;&gt;Bid Package",'PCO Log'!$E$7:$SJ$7,"Approved")</f>
        <v>0</v>
      </c>
      <c r="BU195" s="304">
        <f>SUMIFS('PCO Log'!$E19:$SJ19,'PCO Log'!$E$9:$SJ$9,'Graph Data'!BU$187,'PCO Log'!$E$4:$SJ$4,"&lt;&gt;Bid Package",'PCO Log'!$E$7:$SJ$7,"Approved")</f>
        <v>0</v>
      </c>
      <c r="BV195" s="304">
        <f>SUMIFS('PCO Log'!$E19:$SJ19,'PCO Log'!$E$9:$SJ$9,'Graph Data'!BV$187,'PCO Log'!$E$4:$SJ$4,"&lt;&gt;Bid Package",'PCO Log'!$E$7:$SJ$7,"Approved")</f>
        <v>0</v>
      </c>
      <c r="BW195" s="304">
        <f>SUMIFS('PCO Log'!$E19:$SJ19,'PCO Log'!$E$9:$SJ$9,'Graph Data'!BW$187,'PCO Log'!$E$4:$SJ$4,"&lt;&gt;Bid Package",'PCO Log'!$E$7:$SJ$7,"Approved")</f>
        <v>0</v>
      </c>
      <c r="BX195" s="304">
        <f>SUMIFS('PCO Log'!$E19:$SJ19,'PCO Log'!$E$9:$SJ$9,'Graph Data'!BX$187,'PCO Log'!$E$4:$SJ$4,"&lt;&gt;Bid Package",'PCO Log'!$E$7:$SJ$7,"Approved")</f>
        <v>0</v>
      </c>
    </row>
    <row r="196" spans="1:76" x14ac:dyDescent="0.25">
      <c r="A196" s="303" t="s">
        <v>546</v>
      </c>
      <c r="B196" s="303">
        <f>'PCO Log'!GQ7</f>
        <v>0</v>
      </c>
      <c r="C196" s="303">
        <f>'PCO Log'!GQ4</f>
        <v>0</v>
      </c>
      <c r="D196" s="303" cm="1">
        <f t="array" ref="D196">INDEX('PCO Log'!$E$5:$SJ$5, 1, ROWS('Graph Data'!$D$2:D196))</f>
        <v>0</v>
      </c>
      <c r="E196" s="303">
        <f>'PCO Log'!GQ8</f>
        <v>0</v>
      </c>
      <c r="F196" s="303">
        <f>'PCO Log'!GQ3</f>
        <v>0</v>
      </c>
      <c r="G196" s="304">
        <f>'PCO Log'!GQ10</f>
        <v>0</v>
      </c>
      <c r="H196" s="305">
        <f>'PCO Log'!GQ6</f>
        <v>0</v>
      </c>
      <c r="K196" s="307"/>
      <c r="P196" s="303" t="str">
        <f t="shared" si="2"/>
        <v xml:space="preserve">Performance &amp; Payment Bond  </v>
      </c>
      <c r="Q196" s="304">
        <f>SUMIFS('PCO Log'!$E20:$SJ20,'PCO Log'!$E$9:$SJ$9,'Graph Data'!Q$187,'PCO Log'!$E$4:$SJ$4,"&lt;&gt;Bid Package",'PCO Log'!$E$7:$SJ$7,"Approved")</f>
        <v>0</v>
      </c>
      <c r="R196" s="304">
        <f>SUMIFS('PCO Log'!$E20:$SJ20,'PCO Log'!$E$9:$SJ$9,'Graph Data'!R$187,'PCO Log'!$E$4:$SJ$4,"&lt;&gt;Bid Package",'PCO Log'!$E$7:$SJ$7,"Approved")</f>
        <v>0</v>
      </c>
      <c r="S196" s="304">
        <f>SUMIFS('PCO Log'!$E20:$SJ20,'PCO Log'!$E$9:$SJ$9,'Graph Data'!S$187,'PCO Log'!$E$4:$SJ$4,"&lt;&gt;Bid Package",'PCO Log'!$E$7:$SJ$7,"Approved")</f>
        <v>0</v>
      </c>
      <c r="T196" s="304">
        <f>SUMIFS('PCO Log'!$E20:$SJ20,'PCO Log'!$E$9:$SJ$9,'Graph Data'!T$187,'PCO Log'!$E$4:$SJ$4,"&lt;&gt;Bid Package",'PCO Log'!$E$7:$SJ$7,"Approved")</f>
        <v>0</v>
      </c>
      <c r="U196" s="304">
        <f>SUMIFS('PCO Log'!$E20:$SJ20,'PCO Log'!$E$9:$SJ$9,'Graph Data'!U$187,'PCO Log'!$E$4:$SJ$4,"&lt;&gt;Bid Package",'PCO Log'!$E$7:$SJ$7,"Approved")</f>
        <v>0</v>
      </c>
      <c r="V196" s="304">
        <f>SUMIFS('PCO Log'!$E20:$SJ20,'PCO Log'!$E$9:$SJ$9,'Graph Data'!V$187,'PCO Log'!$E$4:$SJ$4,"&lt;&gt;Bid Package",'PCO Log'!$E$7:$SJ$7,"Approved")</f>
        <v>0</v>
      </c>
      <c r="W196" s="304">
        <f>SUMIFS('PCO Log'!$E20:$SJ20,'PCO Log'!$E$9:$SJ$9,'Graph Data'!W$187,'PCO Log'!$E$4:$SJ$4,"&lt;&gt;Bid Package",'PCO Log'!$E$7:$SJ$7,"Approved")</f>
        <v>0</v>
      </c>
      <c r="X196" s="304">
        <f>SUMIFS('PCO Log'!$E20:$SJ20,'PCO Log'!$E$9:$SJ$9,'Graph Data'!X$187,'PCO Log'!$E$4:$SJ$4,"&lt;&gt;Bid Package",'PCO Log'!$E$7:$SJ$7,"Approved")</f>
        <v>0</v>
      </c>
      <c r="Y196" s="304">
        <f>SUMIFS('PCO Log'!$E20:$SJ20,'PCO Log'!$E$9:$SJ$9,'Graph Data'!Y$187,'PCO Log'!$E$4:$SJ$4,"&lt;&gt;Bid Package",'PCO Log'!$E$7:$SJ$7,"Approved")</f>
        <v>0</v>
      </c>
      <c r="Z196" s="304">
        <f>SUMIFS('PCO Log'!$E20:$SJ20,'PCO Log'!$E$9:$SJ$9,'Graph Data'!Z$187,'PCO Log'!$E$4:$SJ$4,"&lt;&gt;Bid Package",'PCO Log'!$E$7:$SJ$7,"Approved")</f>
        <v>0</v>
      </c>
      <c r="AA196" s="304">
        <f>SUMIFS('PCO Log'!$E20:$SJ20,'PCO Log'!$E$9:$SJ$9,'Graph Data'!AA$187,'PCO Log'!$E$4:$SJ$4,"&lt;&gt;Bid Package",'PCO Log'!$E$7:$SJ$7,"Approved")</f>
        <v>0</v>
      </c>
      <c r="AB196" s="304">
        <f>SUMIFS('PCO Log'!$E20:$SJ20,'PCO Log'!$E$9:$SJ$9,'Graph Data'!AB$187,'PCO Log'!$E$4:$SJ$4,"&lt;&gt;Bid Package",'PCO Log'!$E$7:$SJ$7,"Approved")</f>
        <v>0</v>
      </c>
      <c r="AC196" s="304">
        <f>SUMIFS('PCO Log'!$E20:$SJ20,'PCO Log'!$E$9:$SJ$9,'Graph Data'!AC$187,'PCO Log'!$E$4:$SJ$4,"&lt;&gt;Bid Package",'PCO Log'!$E$7:$SJ$7,"Approved")</f>
        <v>0</v>
      </c>
      <c r="AD196" s="304">
        <f>SUMIFS('PCO Log'!$E20:$SJ20,'PCO Log'!$E$9:$SJ$9,'Graph Data'!AD$187,'PCO Log'!$E$4:$SJ$4,"&lt;&gt;Bid Package",'PCO Log'!$E$7:$SJ$7,"Approved")</f>
        <v>0</v>
      </c>
      <c r="AE196" s="304">
        <f>SUMIFS('PCO Log'!$E20:$SJ20,'PCO Log'!$E$9:$SJ$9,'Graph Data'!AE$187,'PCO Log'!$E$4:$SJ$4,"&lt;&gt;Bid Package",'PCO Log'!$E$7:$SJ$7,"Approved")</f>
        <v>0</v>
      </c>
      <c r="AF196" s="304">
        <f>SUMIFS('PCO Log'!$E20:$SJ20,'PCO Log'!$E$9:$SJ$9,'Graph Data'!AF$187,'PCO Log'!$E$4:$SJ$4,"&lt;&gt;Bid Package",'PCO Log'!$E$7:$SJ$7,"Approved")</f>
        <v>0</v>
      </c>
      <c r="AG196" s="304">
        <f>SUMIFS('PCO Log'!$E20:$SJ20,'PCO Log'!$E$9:$SJ$9,'Graph Data'!AG$187,'PCO Log'!$E$4:$SJ$4,"&lt;&gt;Bid Package",'PCO Log'!$E$7:$SJ$7,"Approved")</f>
        <v>0</v>
      </c>
      <c r="AH196" s="304">
        <f>SUMIFS('PCO Log'!$E20:$SJ20,'PCO Log'!$E$9:$SJ$9,'Graph Data'!AH$187,'PCO Log'!$E$4:$SJ$4,"&lt;&gt;Bid Package",'PCO Log'!$E$7:$SJ$7,"Approved")</f>
        <v>0</v>
      </c>
      <c r="AI196" s="304">
        <f>SUMIFS('PCO Log'!$E20:$SJ20,'PCO Log'!$E$9:$SJ$9,'Graph Data'!AI$187,'PCO Log'!$E$4:$SJ$4,"&lt;&gt;Bid Package",'PCO Log'!$E$7:$SJ$7,"Approved")</f>
        <v>0</v>
      </c>
      <c r="AJ196" s="304">
        <f>SUMIFS('PCO Log'!$E20:$SJ20,'PCO Log'!$E$9:$SJ$9,'Graph Data'!AJ$187,'PCO Log'!$E$4:$SJ$4,"&lt;&gt;Bid Package",'PCO Log'!$E$7:$SJ$7,"Approved")</f>
        <v>0</v>
      </c>
      <c r="AK196" s="304">
        <f>SUMIFS('PCO Log'!$E20:$SJ20,'PCO Log'!$E$9:$SJ$9,'Graph Data'!AK$187,'PCO Log'!$E$4:$SJ$4,"&lt;&gt;Bid Package",'PCO Log'!$E$7:$SJ$7,"Approved")</f>
        <v>0</v>
      </c>
      <c r="AL196" s="304">
        <f>SUMIFS('PCO Log'!$E20:$SJ20,'PCO Log'!$E$9:$SJ$9,'Graph Data'!AL$187,'PCO Log'!$E$4:$SJ$4,"&lt;&gt;Bid Package",'PCO Log'!$E$7:$SJ$7,"Approved")</f>
        <v>0</v>
      </c>
      <c r="AM196" s="304">
        <f>SUMIFS('PCO Log'!$E20:$SJ20,'PCO Log'!$E$9:$SJ$9,'Graph Data'!AM$187,'PCO Log'!$E$4:$SJ$4,"&lt;&gt;Bid Package",'PCO Log'!$E$7:$SJ$7,"Approved")</f>
        <v>0</v>
      </c>
      <c r="AN196" s="304">
        <f>SUMIFS('PCO Log'!$E20:$SJ20,'PCO Log'!$E$9:$SJ$9,'Graph Data'!AN$187,'PCO Log'!$E$4:$SJ$4,"&lt;&gt;Bid Package",'PCO Log'!$E$7:$SJ$7,"Approved")</f>
        <v>0</v>
      </c>
      <c r="AO196" s="304">
        <f>SUMIFS('PCO Log'!$E20:$SJ20,'PCO Log'!$E$9:$SJ$9,'Graph Data'!AO$187,'PCO Log'!$E$4:$SJ$4,"&lt;&gt;Bid Package",'PCO Log'!$E$7:$SJ$7,"Approved")</f>
        <v>0</v>
      </c>
      <c r="AP196" s="304">
        <f>SUMIFS('PCO Log'!$E20:$SJ20,'PCO Log'!$E$9:$SJ$9,'Graph Data'!AP$187,'PCO Log'!$E$4:$SJ$4,"&lt;&gt;Bid Package",'PCO Log'!$E$7:$SJ$7,"Approved")</f>
        <v>0</v>
      </c>
      <c r="AQ196" s="304">
        <f>SUMIFS('PCO Log'!$E20:$SJ20,'PCO Log'!$E$9:$SJ$9,'Graph Data'!AQ$187,'PCO Log'!$E$4:$SJ$4,"&lt;&gt;Bid Package",'PCO Log'!$E$7:$SJ$7,"Approved")</f>
        <v>0</v>
      </c>
      <c r="AR196" s="304">
        <f>SUMIFS('PCO Log'!$E20:$SJ20,'PCO Log'!$E$9:$SJ$9,'Graph Data'!AR$187,'PCO Log'!$E$4:$SJ$4,"&lt;&gt;Bid Package",'PCO Log'!$E$7:$SJ$7,"Approved")</f>
        <v>0</v>
      </c>
      <c r="AS196" s="304">
        <f>SUMIFS('PCO Log'!$E20:$SJ20,'PCO Log'!$E$9:$SJ$9,'Graph Data'!AS$187,'PCO Log'!$E$4:$SJ$4,"&lt;&gt;Bid Package",'PCO Log'!$E$7:$SJ$7,"Approved")</f>
        <v>0</v>
      </c>
      <c r="AT196" s="304">
        <f>SUMIFS('PCO Log'!$E20:$SJ20,'PCO Log'!$E$9:$SJ$9,'Graph Data'!AT$187,'PCO Log'!$E$4:$SJ$4,"&lt;&gt;Bid Package",'PCO Log'!$E$7:$SJ$7,"Approved")</f>
        <v>0</v>
      </c>
      <c r="AU196" s="304">
        <f>SUMIFS('PCO Log'!$E20:$SJ20,'PCO Log'!$E$9:$SJ$9,'Graph Data'!AU$187,'PCO Log'!$E$4:$SJ$4,"&lt;&gt;Bid Package",'PCO Log'!$E$7:$SJ$7,"Approved")</f>
        <v>0</v>
      </c>
      <c r="AV196" s="304">
        <f>SUMIFS('PCO Log'!$E20:$SJ20,'PCO Log'!$E$9:$SJ$9,'Graph Data'!AV$187,'PCO Log'!$E$4:$SJ$4,"&lt;&gt;Bid Package",'PCO Log'!$E$7:$SJ$7,"Approved")</f>
        <v>0</v>
      </c>
      <c r="AW196" s="304">
        <f>SUMIFS('PCO Log'!$E20:$SJ20,'PCO Log'!$E$9:$SJ$9,'Graph Data'!AW$187,'PCO Log'!$E$4:$SJ$4,"&lt;&gt;Bid Package",'PCO Log'!$E$7:$SJ$7,"Approved")</f>
        <v>0</v>
      </c>
      <c r="AX196" s="304">
        <f>SUMIFS('PCO Log'!$E20:$SJ20,'PCO Log'!$E$9:$SJ$9,'Graph Data'!AX$187,'PCO Log'!$E$4:$SJ$4,"&lt;&gt;Bid Package",'PCO Log'!$E$7:$SJ$7,"Approved")</f>
        <v>0</v>
      </c>
      <c r="AY196" s="304">
        <f>SUMIFS('PCO Log'!$E20:$SJ20,'PCO Log'!$E$9:$SJ$9,'Graph Data'!AY$187,'PCO Log'!$E$4:$SJ$4,"&lt;&gt;Bid Package",'PCO Log'!$E$7:$SJ$7,"Approved")</f>
        <v>0</v>
      </c>
      <c r="AZ196" s="304">
        <f>SUMIFS('PCO Log'!$E20:$SJ20,'PCO Log'!$E$9:$SJ$9,'Graph Data'!AZ$187,'PCO Log'!$E$4:$SJ$4,"&lt;&gt;Bid Package",'PCO Log'!$E$7:$SJ$7,"Approved")</f>
        <v>0</v>
      </c>
      <c r="BA196" s="304">
        <f>SUMIFS('PCO Log'!$E20:$SJ20,'PCO Log'!$E$9:$SJ$9,'Graph Data'!BA$187,'PCO Log'!$E$4:$SJ$4,"&lt;&gt;Bid Package",'PCO Log'!$E$7:$SJ$7,"Approved")</f>
        <v>0</v>
      </c>
      <c r="BB196" s="304">
        <f>SUMIFS('PCO Log'!$E20:$SJ20,'PCO Log'!$E$9:$SJ$9,'Graph Data'!BB$187,'PCO Log'!$E$4:$SJ$4,"&lt;&gt;Bid Package",'PCO Log'!$E$7:$SJ$7,"Approved")</f>
        <v>0</v>
      </c>
      <c r="BC196" s="304">
        <f>SUMIFS('PCO Log'!$E20:$SJ20,'PCO Log'!$E$9:$SJ$9,'Graph Data'!BC$187,'PCO Log'!$E$4:$SJ$4,"&lt;&gt;Bid Package",'PCO Log'!$E$7:$SJ$7,"Approved")</f>
        <v>0</v>
      </c>
      <c r="BD196" s="304">
        <f>SUMIFS('PCO Log'!$E20:$SJ20,'PCO Log'!$E$9:$SJ$9,'Graph Data'!BD$187,'PCO Log'!$E$4:$SJ$4,"&lt;&gt;Bid Package",'PCO Log'!$E$7:$SJ$7,"Approved")</f>
        <v>0</v>
      </c>
      <c r="BE196" s="304">
        <f>SUMIFS('PCO Log'!$E20:$SJ20,'PCO Log'!$E$9:$SJ$9,'Graph Data'!BE$187,'PCO Log'!$E$4:$SJ$4,"&lt;&gt;Bid Package",'PCO Log'!$E$7:$SJ$7,"Approved")</f>
        <v>0</v>
      </c>
      <c r="BF196" s="304">
        <f>SUMIFS('PCO Log'!$E20:$SJ20,'PCO Log'!$E$9:$SJ$9,'Graph Data'!BF$187,'PCO Log'!$E$4:$SJ$4,"&lt;&gt;Bid Package",'PCO Log'!$E$7:$SJ$7,"Approved")</f>
        <v>0</v>
      </c>
      <c r="BG196" s="304">
        <f>SUMIFS('PCO Log'!$E20:$SJ20,'PCO Log'!$E$9:$SJ$9,'Graph Data'!BG$187,'PCO Log'!$E$4:$SJ$4,"&lt;&gt;Bid Package",'PCO Log'!$E$7:$SJ$7,"Approved")</f>
        <v>0</v>
      </c>
      <c r="BH196" s="304">
        <f>SUMIFS('PCO Log'!$E20:$SJ20,'PCO Log'!$E$9:$SJ$9,'Graph Data'!BH$187,'PCO Log'!$E$4:$SJ$4,"&lt;&gt;Bid Package",'PCO Log'!$E$7:$SJ$7,"Approved")</f>
        <v>0</v>
      </c>
      <c r="BI196" s="304">
        <f>SUMIFS('PCO Log'!$E20:$SJ20,'PCO Log'!$E$9:$SJ$9,'Graph Data'!BI$187,'PCO Log'!$E$4:$SJ$4,"&lt;&gt;Bid Package",'PCO Log'!$E$7:$SJ$7,"Approved")</f>
        <v>0</v>
      </c>
      <c r="BJ196" s="304">
        <f>SUMIFS('PCO Log'!$E20:$SJ20,'PCO Log'!$E$9:$SJ$9,'Graph Data'!BJ$187,'PCO Log'!$E$4:$SJ$4,"&lt;&gt;Bid Package",'PCO Log'!$E$7:$SJ$7,"Approved")</f>
        <v>0</v>
      </c>
      <c r="BK196" s="304">
        <f>SUMIFS('PCO Log'!$E20:$SJ20,'PCO Log'!$E$9:$SJ$9,'Graph Data'!BK$187,'PCO Log'!$E$4:$SJ$4,"&lt;&gt;Bid Package",'PCO Log'!$E$7:$SJ$7,"Approved")</f>
        <v>0</v>
      </c>
      <c r="BL196" s="304">
        <f>SUMIFS('PCO Log'!$E20:$SJ20,'PCO Log'!$E$9:$SJ$9,'Graph Data'!BL$187,'PCO Log'!$E$4:$SJ$4,"&lt;&gt;Bid Package",'PCO Log'!$E$7:$SJ$7,"Approved")</f>
        <v>0</v>
      </c>
      <c r="BM196" s="304">
        <f>SUMIFS('PCO Log'!$E20:$SJ20,'PCO Log'!$E$9:$SJ$9,'Graph Data'!BM$187,'PCO Log'!$E$4:$SJ$4,"&lt;&gt;Bid Package",'PCO Log'!$E$7:$SJ$7,"Approved")</f>
        <v>0</v>
      </c>
      <c r="BN196" s="304">
        <f>SUMIFS('PCO Log'!$E20:$SJ20,'PCO Log'!$E$9:$SJ$9,'Graph Data'!BN$187,'PCO Log'!$E$4:$SJ$4,"&lt;&gt;Bid Package",'PCO Log'!$E$7:$SJ$7,"Approved")</f>
        <v>0</v>
      </c>
      <c r="BO196" s="304">
        <f>SUMIFS('PCO Log'!$E20:$SJ20,'PCO Log'!$E$9:$SJ$9,'Graph Data'!BO$187,'PCO Log'!$E$4:$SJ$4,"&lt;&gt;Bid Package",'PCO Log'!$E$7:$SJ$7,"Approved")</f>
        <v>0</v>
      </c>
      <c r="BP196" s="304">
        <f>SUMIFS('PCO Log'!$E20:$SJ20,'PCO Log'!$E$9:$SJ$9,'Graph Data'!BP$187,'PCO Log'!$E$4:$SJ$4,"&lt;&gt;Bid Package",'PCO Log'!$E$7:$SJ$7,"Approved")</f>
        <v>0</v>
      </c>
      <c r="BQ196" s="304">
        <f>SUMIFS('PCO Log'!$E20:$SJ20,'PCO Log'!$E$9:$SJ$9,'Graph Data'!BQ$187,'PCO Log'!$E$4:$SJ$4,"&lt;&gt;Bid Package",'PCO Log'!$E$7:$SJ$7,"Approved")</f>
        <v>0</v>
      </c>
      <c r="BR196" s="304">
        <f>SUMIFS('PCO Log'!$E20:$SJ20,'PCO Log'!$E$9:$SJ$9,'Graph Data'!BR$187,'PCO Log'!$E$4:$SJ$4,"&lt;&gt;Bid Package",'PCO Log'!$E$7:$SJ$7,"Approved")</f>
        <v>0</v>
      </c>
      <c r="BS196" s="304">
        <f>SUMIFS('PCO Log'!$E20:$SJ20,'PCO Log'!$E$9:$SJ$9,'Graph Data'!BS$187,'PCO Log'!$E$4:$SJ$4,"&lt;&gt;Bid Package",'PCO Log'!$E$7:$SJ$7,"Approved")</f>
        <v>0</v>
      </c>
      <c r="BT196" s="304">
        <f>SUMIFS('PCO Log'!$E20:$SJ20,'PCO Log'!$E$9:$SJ$9,'Graph Data'!BT$187,'PCO Log'!$E$4:$SJ$4,"&lt;&gt;Bid Package",'PCO Log'!$E$7:$SJ$7,"Approved")</f>
        <v>0</v>
      </c>
      <c r="BU196" s="304">
        <f>SUMIFS('PCO Log'!$E20:$SJ20,'PCO Log'!$E$9:$SJ$9,'Graph Data'!BU$187,'PCO Log'!$E$4:$SJ$4,"&lt;&gt;Bid Package",'PCO Log'!$E$7:$SJ$7,"Approved")</f>
        <v>0</v>
      </c>
      <c r="BV196" s="304">
        <f>SUMIFS('PCO Log'!$E20:$SJ20,'PCO Log'!$E$9:$SJ$9,'Graph Data'!BV$187,'PCO Log'!$E$4:$SJ$4,"&lt;&gt;Bid Package",'PCO Log'!$E$7:$SJ$7,"Approved")</f>
        <v>0</v>
      </c>
      <c r="BW196" s="304">
        <f>SUMIFS('PCO Log'!$E20:$SJ20,'PCO Log'!$E$9:$SJ$9,'Graph Data'!BW$187,'PCO Log'!$E$4:$SJ$4,"&lt;&gt;Bid Package",'PCO Log'!$E$7:$SJ$7,"Approved")</f>
        <v>0</v>
      </c>
      <c r="BX196" s="304">
        <f>SUMIFS('PCO Log'!$E20:$SJ20,'PCO Log'!$E$9:$SJ$9,'Graph Data'!BX$187,'PCO Log'!$E$4:$SJ$4,"&lt;&gt;Bid Package",'PCO Log'!$E$7:$SJ$7,"Approved")</f>
        <v>0</v>
      </c>
    </row>
    <row r="197" spans="1:76" x14ac:dyDescent="0.25">
      <c r="A197" s="303" t="s">
        <v>547</v>
      </c>
      <c r="B197" s="303">
        <f>'PCO Log'!GR7</f>
        <v>0</v>
      </c>
      <c r="C197" s="303">
        <f>'PCO Log'!GR4</f>
        <v>0</v>
      </c>
      <c r="D197" s="303" cm="1">
        <f t="array" ref="D197">INDEX('PCO Log'!$E$5:$SJ$5, 1, ROWS('Graph Data'!$D$2:D197))</f>
        <v>0</v>
      </c>
      <c r="E197" s="303">
        <f>'PCO Log'!GR8</f>
        <v>0</v>
      </c>
      <c r="F197" s="303">
        <f>'PCO Log'!GR3</f>
        <v>0</v>
      </c>
      <c r="G197" s="304">
        <f>'PCO Log'!GR10</f>
        <v>0</v>
      </c>
      <c r="H197" s="305">
        <f>'PCO Log'!GR6</f>
        <v>0</v>
      </c>
      <c r="K197" s="307"/>
      <c r="P197" s="303" t="str">
        <f t="shared" si="2"/>
        <v>Subcontractor Default Insurance</v>
      </c>
      <c r="Q197" s="304">
        <f>SUMIFS('PCO Log'!$E21:$SJ21,'PCO Log'!$E$9:$SJ$9,'Graph Data'!Q$187,'PCO Log'!$E$4:$SJ$4,"&lt;&gt;Bid Package",'PCO Log'!$E$7:$SJ$7,"Approved")</f>
        <v>0</v>
      </c>
      <c r="R197" s="304">
        <f>SUMIFS('PCO Log'!$E21:$SJ21,'PCO Log'!$E$9:$SJ$9,'Graph Data'!R$187,'PCO Log'!$E$4:$SJ$4,"&lt;&gt;Bid Package",'PCO Log'!$E$7:$SJ$7,"Approved")</f>
        <v>0</v>
      </c>
      <c r="S197" s="304">
        <f>SUMIFS('PCO Log'!$E21:$SJ21,'PCO Log'!$E$9:$SJ$9,'Graph Data'!S$187,'PCO Log'!$E$4:$SJ$4,"&lt;&gt;Bid Package",'PCO Log'!$E$7:$SJ$7,"Approved")</f>
        <v>0</v>
      </c>
      <c r="T197" s="304">
        <f>SUMIFS('PCO Log'!$E21:$SJ21,'PCO Log'!$E$9:$SJ$9,'Graph Data'!T$187,'PCO Log'!$E$4:$SJ$4,"&lt;&gt;Bid Package",'PCO Log'!$E$7:$SJ$7,"Approved")</f>
        <v>0</v>
      </c>
      <c r="U197" s="304">
        <f>SUMIFS('PCO Log'!$E21:$SJ21,'PCO Log'!$E$9:$SJ$9,'Graph Data'!U$187,'PCO Log'!$E$4:$SJ$4,"&lt;&gt;Bid Package",'PCO Log'!$E$7:$SJ$7,"Approved")</f>
        <v>0</v>
      </c>
      <c r="V197" s="304">
        <f>SUMIFS('PCO Log'!$E21:$SJ21,'PCO Log'!$E$9:$SJ$9,'Graph Data'!V$187,'PCO Log'!$E$4:$SJ$4,"&lt;&gt;Bid Package",'PCO Log'!$E$7:$SJ$7,"Approved")</f>
        <v>0</v>
      </c>
      <c r="W197" s="304">
        <f>SUMIFS('PCO Log'!$E21:$SJ21,'PCO Log'!$E$9:$SJ$9,'Graph Data'!W$187,'PCO Log'!$E$4:$SJ$4,"&lt;&gt;Bid Package",'PCO Log'!$E$7:$SJ$7,"Approved")</f>
        <v>0</v>
      </c>
      <c r="X197" s="304">
        <f>SUMIFS('PCO Log'!$E21:$SJ21,'PCO Log'!$E$9:$SJ$9,'Graph Data'!X$187,'PCO Log'!$E$4:$SJ$4,"&lt;&gt;Bid Package",'PCO Log'!$E$7:$SJ$7,"Approved")</f>
        <v>0</v>
      </c>
      <c r="Y197" s="304">
        <f>SUMIFS('PCO Log'!$E21:$SJ21,'PCO Log'!$E$9:$SJ$9,'Graph Data'!Y$187,'PCO Log'!$E$4:$SJ$4,"&lt;&gt;Bid Package",'PCO Log'!$E$7:$SJ$7,"Approved")</f>
        <v>0</v>
      </c>
      <c r="Z197" s="304">
        <f>SUMIFS('PCO Log'!$E21:$SJ21,'PCO Log'!$E$9:$SJ$9,'Graph Data'!Z$187,'PCO Log'!$E$4:$SJ$4,"&lt;&gt;Bid Package",'PCO Log'!$E$7:$SJ$7,"Approved")</f>
        <v>0</v>
      </c>
      <c r="AA197" s="304">
        <f>SUMIFS('PCO Log'!$E21:$SJ21,'PCO Log'!$E$9:$SJ$9,'Graph Data'!AA$187,'PCO Log'!$E$4:$SJ$4,"&lt;&gt;Bid Package",'PCO Log'!$E$7:$SJ$7,"Approved")</f>
        <v>0</v>
      </c>
      <c r="AB197" s="304">
        <f>SUMIFS('PCO Log'!$E21:$SJ21,'PCO Log'!$E$9:$SJ$9,'Graph Data'!AB$187,'PCO Log'!$E$4:$SJ$4,"&lt;&gt;Bid Package",'PCO Log'!$E$7:$SJ$7,"Approved")</f>
        <v>0</v>
      </c>
      <c r="AC197" s="304">
        <f>SUMIFS('PCO Log'!$E21:$SJ21,'PCO Log'!$E$9:$SJ$9,'Graph Data'!AC$187,'PCO Log'!$E$4:$SJ$4,"&lt;&gt;Bid Package",'PCO Log'!$E$7:$SJ$7,"Approved")</f>
        <v>0</v>
      </c>
      <c r="AD197" s="304">
        <f>SUMIFS('PCO Log'!$E21:$SJ21,'PCO Log'!$E$9:$SJ$9,'Graph Data'!AD$187,'PCO Log'!$E$4:$SJ$4,"&lt;&gt;Bid Package",'PCO Log'!$E$7:$SJ$7,"Approved")</f>
        <v>0</v>
      </c>
      <c r="AE197" s="304">
        <f>SUMIFS('PCO Log'!$E21:$SJ21,'PCO Log'!$E$9:$SJ$9,'Graph Data'!AE$187,'PCO Log'!$E$4:$SJ$4,"&lt;&gt;Bid Package",'PCO Log'!$E$7:$SJ$7,"Approved")</f>
        <v>0</v>
      </c>
      <c r="AF197" s="304">
        <f>SUMIFS('PCO Log'!$E21:$SJ21,'PCO Log'!$E$9:$SJ$9,'Graph Data'!AF$187,'PCO Log'!$E$4:$SJ$4,"&lt;&gt;Bid Package",'PCO Log'!$E$7:$SJ$7,"Approved")</f>
        <v>0</v>
      </c>
      <c r="AG197" s="304">
        <f>SUMIFS('PCO Log'!$E21:$SJ21,'PCO Log'!$E$9:$SJ$9,'Graph Data'!AG$187,'PCO Log'!$E$4:$SJ$4,"&lt;&gt;Bid Package",'PCO Log'!$E$7:$SJ$7,"Approved")</f>
        <v>0</v>
      </c>
      <c r="AH197" s="304">
        <f>SUMIFS('PCO Log'!$E21:$SJ21,'PCO Log'!$E$9:$SJ$9,'Graph Data'!AH$187,'PCO Log'!$E$4:$SJ$4,"&lt;&gt;Bid Package",'PCO Log'!$E$7:$SJ$7,"Approved")</f>
        <v>0</v>
      </c>
      <c r="AI197" s="304">
        <f>SUMIFS('PCO Log'!$E21:$SJ21,'PCO Log'!$E$9:$SJ$9,'Graph Data'!AI$187,'PCO Log'!$E$4:$SJ$4,"&lt;&gt;Bid Package",'PCO Log'!$E$7:$SJ$7,"Approved")</f>
        <v>0</v>
      </c>
      <c r="AJ197" s="304">
        <f>SUMIFS('PCO Log'!$E21:$SJ21,'PCO Log'!$E$9:$SJ$9,'Graph Data'!AJ$187,'PCO Log'!$E$4:$SJ$4,"&lt;&gt;Bid Package",'PCO Log'!$E$7:$SJ$7,"Approved")</f>
        <v>0</v>
      </c>
      <c r="AK197" s="304">
        <f>SUMIFS('PCO Log'!$E21:$SJ21,'PCO Log'!$E$9:$SJ$9,'Graph Data'!AK$187,'PCO Log'!$E$4:$SJ$4,"&lt;&gt;Bid Package",'PCO Log'!$E$7:$SJ$7,"Approved")</f>
        <v>0</v>
      </c>
      <c r="AL197" s="304">
        <f>SUMIFS('PCO Log'!$E21:$SJ21,'PCO Log'!$E$9:$SJ$9,'Graph Data'!AL$187,'PCO Log'!$E$4:$SJ$4,"&lt;&gt;Bid Package",'PCO Log'!$E$7:$SJ$7,"Approved")</f>
        <v>0</v>
      </c>
      <c r="AM197" s="304">
        <f>SUMIFS('PCO Log'!$E21:$SJ21,'PCO Log'!$E$9:$SJ$9,'Graph Data'!AM$187,'PCO Log'!$E$4:$SJ$4,"&lt;&gt;Bid Package",'PCO Log'!$E$7:$SJ$7,"Approved")</f>
        <v>0</v>
      </c>
      <c r="AN197" s="304">
        <f>SUMIFS('PCO Log'!$E21:$SJ21,'PCO Log'!$E$9:$SJ$9,'Graph Data'!AN$187,'PCO Log'!$E$4:$SJ$4,"&lt;&gt;Bid Package",'PCO Log'!$E$7:$SJ$7,"Approved")</f>
        <v>0</v>
      </c>
      <c r="AO197" s="304">
        <f>SUMIFS('PCO Log'!$E21:$SJ21,'PCO Log'!$E$9:$SJ$9,'Graph Data'!AO$187,'PCO Log'!$E$4:$SJ$4,"&lt;&gt;Bid Package",'PCO Log'!$E$7:$SJ$7,"Approved")</f>
        <v>0</v>
      </c>
      <c r="AP197" s="304">
        <f>SUMIFS('PCO Log'!$E21:$SJ21,'PCO Log'!$E$9:$SJ$9,'Graph Data'!AP$187,'PCO Log'!$E$4:$SJ$4,"&lt;&gt;Bid Package",'PCO Log'!$E$7:$SJ$7,"Approved")</f>
        <v>0</v>
      </c>
      <c r="AQ197" s="304">
        <f>SUMIFS('PCO Log'!$E21:$SJ21,'PCO Log'!$E$9:$SJ$9,'Graph Data'!AQ$187,'PCO Log'!$E$4:$SJ$4,"&lt;&gt;Bid Package",'PCO Log'!$E$7:$SJ$7,"Approved")</f>
        <v>0</v>
      </c>
      <c r="AR197" s="304">
        <f>SUMIFS('PCO Log'!$E21:$SJ21,'PCO Log'!$E$9:$SJ$9,'Graph Data'!AR$187,'PCO Log'!$E$4:$SJ$4,"&lt;&gt;Bid Package",'PCO Log'!$E$7:$SJ$7,"Approved")</f>
        <v>0</v>
      </c>
      <c r="AS197" s="304">
        <f>SUMIFS('PCO Log'!$E21:$SJ21,'PCO Log'!$E$9:$SJ$9,'Graph Data'!AS$187,'PCO Log'!$E$4:$SJ$4,"&lt;&gt;Bid Package",'PCO Log'!$E$7:$SJ$7,"Approved")</f>
        <v>0</v>
      </c>
      <c r="AT197" s="304">
        <f>SUMIFS('PCO Log'!$E21:$SJ21,'PCO Log'!$E$9:$SJ$9,'Graph Data'!AT$187,'PCO Log'!$E$4:$SJ$4,"&lt;&gt;Bid Package",'PCO Log'!$E$7:$SJ$7,"Approved")</f>
        <v>0</v>
      </c>
      <c r="AU197" s="304">
        <f>SUMIFS('PCO Log'!$E21:$SJ21,'PCO Log'!$E$9:$SJ$9,'Graph Data'!AU$187,'PCO Log'!$E$4:$SJ$4,"&lt;&gt;Bid Package",'PCO Log'!$E$7:$SJ$7,"Approved")</f>
        <v>0</v>
      </c>
      <c r="AV197" s="304">
        <f>SUMIFS('PCO Log'!$E21:$SJ21,'PCO Log'!$E$9:$SJ$9,'Graph Data'!AV$187,'PCO Log'!$E$4:$SJ$4,"&lt;&gt;Bid Package",'PCO Log'!$E$7:$SJ$7,"Approved")</f>
        <v>0</v>
      </c>
      <c r="AW197" s="304">
        <f>SUMIFS('PCO Log'!$E21:$SJ21,'PCO Log'!$E$9:$SJ$9,'Graph Data'!AW$187,'PCO Log'!$E$4:$SJ$4,"&lt;&gt;Bid Package",'PCO Log'!$E$7:$SJ$7,"Approved")</f>
        <v>0</v>
      </c>
      <c r="AX197" s="304">
        <f>SUMIFS('PCO Log'!$E21:$SJ21,'PCO Log'!$E$9:$SJ$9,'Graph Data'!AX$187,'PCO Log'!$E$4:$SJ$4,"&lt;&gt;Bid Package",'PCO Log'!$E$7:$SJ$7,"Approved")</f>
        <v>0</v>
      </c>
      <c r="AY197" s="304">
        <f>SUMIFS('PCO Log'!$E21:$SJ21,'PCO Log'!$E$9:$SJ$9,'Graph Data'!AY$187,'PCO Log'!$E$4:$SJ$4,"&lt;&gt;Bid Package",'PCO Log'!$E$7:$SJ$7,"Approved")</f>
        <v>0</v>
      </c>
      <c r="AZ197" s="304">
        <f>SUMIFS('PCO Log'!$E21:$SJ21,'PCO Log'!$E$9:$SJ$9,'Graph Data'!AZ$187,'PCO Log'!$E$4:$SJ$4,"&lt;&gt;Bid Package",'PCO Log'!$E$7:$SJ$7,"Approved")</f>
        <v>0</v>
      </c>
      <c r="BA197" s="304">
        <f>SUMIFS('PCO Log'!$E21:$SJ21,'PCO Log'!$E$9:$SJ$9,'Graph Data'!BA$187,'PCO Log'!$E$4:$SJ$4,"&lt;&gt;Bid Package",'PCO Log'!$E$7:$SJ$7,"Approved")</f>
        <v>0</v>
      </c>
      <c r="BB197" s="304">
        <f>SUMIFS('PCO Log'!$E21:$SJ21,'PCO Log'!$E$9:$SJ$9,'Graph Data'!BB$187,'PCO Log'!$E$4:$SJ$4,"&lt;&gt;Bid Package",'PCO Log'!$E$7:$SJ$7,"Approved")</f>
        <v>0</v>
      </c>
      <c r="BC197" s="304">
        <f>SUMIFS('PCO Log'!$E21:$SJ21,'PCO Log'!$E$9:$SJ$9,'Graph Data'!BC$187,'PCO Log'!$E$4:$SJ$4,"&lt;&gt;Bid Package",'PCO Log'!$E$7:$SJ$7,"Approved")</f>
        <v>0</v>
      </c>
      <c r="BD197" s="304">
        <f>SUMIFS('PCO Log'!$E21:$SJ21,'PCO Log'!$E$9:$SJ$9,'Graph Data'!BD$187,'PCO Log'!$E$4:$SJ$4,"&lt;&gt;Bid Package",'PCO Log'!$E$7:$SJ$7,"Approved")</f>
        <v>0</v>
      </c>
      <c r="BE197" s="304">
        <f>SUMIFS('PCO Log'!$E21:$SJ21,'PCO Log'!$E$9:$SJ$9,'Graph Data'!BE$187,'PCO Log'!$E$4:$SJ$4,"&lt;&gt;Bid Package",'PCO Log'!$E$7:$SJ$7,"Approved")</f>
        <v>0</v>
      </c>
      <c r="BF197" s="304">
        <f>SUMIFS('PCO Log'!$E21:$SJ21,'PCO Log'!$E$9:$SJ$9,'Graph Data'!BF$187,'PCO Log'!$E$4:$SJ$4,"&lt;&gt;Bid Package",'PCO Log'!$E$7:$SJ$7,"Approved")</f>
        <v>0</v>
      </c>
      <c r="BG197" s="304">
        <f>SUMIFS('PCO Log'!$E21:$SJ21,'PCO Log'!$E$9:$SJ$9,'Graph Data'!BG$187,'PCO Log'!$E$4:$SJ$4,"&lt;&gt;Bid Package",'PCO Log'!$E$7:$SJ$7,"Approved")</f>
        <v>0</v>
      </c>
      <c r="BH197" s="304">
        <f>SUMIFS('PCO Log'!$E21:$SJ21,'PCO Log'!$E$9:$SJ$9,'Graph Data'!BH$187,'PCO Log'!$E$4:$SJ$4,"&lt;&gt;Bid Package",'PCO Log'!$E$7:$SJ$7,"Approved")</f>
        <v>0</v>
      </c>
      <c r="BI197" s="304">
        <f>SUMIFS('PCO Log'!$E21:$SJ21,'PCO Log'!$E$9:$SJ$9,'Graph Data'!BI$187,'PCO Log'!$E$4:$SJ$4,"&lt;&gt;Bid Package",'PCO Log'!$E$7:$SJ$7,"Approved")</f>
        <v>0</v>
      </c>
      <c r="BJ197" s="304">
        <f>SUMIFS('PCO Log'!$E21:$SJ21,'PCO Log'!$E$9:$SJ$9,'Graph Data'!BJ$187,'PCO Log'!$E$4:$SJ$4,"&lt;&gt;Bid Package",'PCO Log'!$E$7:$SJ$7,"Approved")</f>
        <v>0</v>
      </c>
      <c r="BK197" s="304">
        <f>SUMIFS('PCO Log'!$E21:$SJ21,'PCO Log'!$E$9:$SJ$9,'Graph Data'!BK$187,'PCO Log'!$E$4:$SJ$4,"&lt;&gt;Bid Package",'PCO Log'!$E$7:$SJ$7,"Approved")</f>
        <v>0</v>
      </c>
      <c r="BL197" s="304">
        <f>SUMIFS('PCO Log'!$E21:$SJ21,'PCO Log'!$E$9:$SJ$9,'Graph Data'!BL$187,'PCO Log'!$E$4:$SJ$4,"&lt;&gt;Bid Package",'PCO Log'!$E$7:$SJ$7,"Approved")</f>
        <v>0</v>
      </c>
      <c r="BM197" s="304">
        <f>SUMIFS('PCO Log'!$E21:$SJ21,'PCO Log'!$E$9:$SJ$9,'Graph Data'!BM$187,'PCO Log'!$E$4:$SJ$4,"&lt;&gt;Bid Package",'PCO Log'!$E$7:$SJ$7,"Approved")</f>
        <v>0</v>
      </c>
      <c r="BN197" s="304">
        <f>SUMIFS('PCO Log'!$E21:$SJ21,'PCO Log'!$E$9:$SJ$9,'Graph Data'!BN$187,'PCO Log'!$E$4:$SJ$4,"&lt;&gt;Bid Package",'PCO Log'!$E$7:$SJ$7,"Approved")</f>
        <v>0</v>
      </c>
      <c r="BO197" s="304">
        <f>SUMIFS('PCO Log'!$E21:$SJ21,'PCO Log'!$E$9:$SJ$9,'Graph Data'!BO$187,'PCO Log'!$E$4:$SJ$4,"&lt;&gt;Bid Package",'PCO Log'!$E$7:$SJ$7,"Approved")</f>
        <v>0</v>
      </c>
      <c r="BP197" s="304">
        <f>SUMIFS('PCO Log'!$E21:$SJ21,'PCO Log'!$E$9:$SJ$9,'Graph Data'!BP$187,'PCO Log'!$E$4:$SJ$4,"&lt;&gt;Bid Package",'PCO Log'!$E$7:$SJ$7,"Approved")</f>
        <v>0</v>
      </c>
      <c r="BQ197" s="304">
        <f>SUMIFS('PCO Log'!$E21:$SJ21,'PCO Log'!$E$9:$SJ$9,'Graph Data'!BQ$187,'PCO Log'!$E$4:$SJ$4,"&lt;&gt;Bid Package",'PCO Log'!$E$7:$SJ$7,"Approved")</f>
        <v>0</v>
      </c>
      <c r="BR197" s="304">
        <f>SUMIFS('PCO Log'!$E21:$SJ21,'PCO Log'!$E$9:$SJ$9,'Graph Data'!BR$187,'PCO Log'!$E$4:$SJ$4,"&lt;&gt;Bid Package",'PCO Log'!$E$7:$SJ$7,"Approved")</f>
        <v>0</v>
      </c>
      <c r="BS197" s="304">
        <f>SUMIFS('PCO Log'!$E21:$SJ21,'PCO Log'!$E$9:$SJ$9,'Graph Data'!BS$187,'PCO Log'!$E$4:$SJ$4,"&lt;&gt;Bid Package",'PCO Log'!$E$7:$SJ$7,"Approved")</f>
        <v>0</v>
      </c>
      <c r="BT197" s="304">
        <f>SUMIFS('PCO Log'!$E21:$SJ21,'PCO Log'!$E$9:$SJ$9,'Graph Data'!BT$187,'PCO Log'!$E$4:$SJ$4,"&lt;&gt;Bid Package",'PCO Log'!$E$7:$SJ$7,"Approved")</f>
        <v>0</v>
      </c>
      <c r="BU197" s="304">
        <f>SUMIFS('PCO Log'!$E21:$SJ21,'PCO Log'!$E$9:$SJ$9,'Graph Data'!BU$187,'PCO Log'!$E$4:$SJ$4,"&lt;&gt;Bid Package",'PCO Log'!$E$7:$SJ$7,"Approved")</f>
        <v>0</v>
      </c>
      <c r="BV197" s="304">
        <f>SUMIFS('PCO Log'!$E21:$SJ21,'PCO Log'!$E$9:$SJ$9,'Graph Data'!BV$187,'PCO Log'!$E$4:$SJ$4,"&lt;&gt;Bid Package",'PCO Log'!$E$7:$SJ$7,"Approved")</f>
        <v>0</v>
      </c>
      <c r="BW197" s="304">
        <f>SUMIFS('PCO Log'!$E21:$SJ21,'PCO Log'!$E$9:$SJ$9,'Graph Data'!BW$187,'PCO Log'!$E$4:$SJ$4,"&lt;&gt;Bid Package",'PCO Log'!$E$7:$SJ$7,"Approved")</f>
        <v>0</v>
      </c>
      <c r="BX197" s="304">
        <f>SUMIFS('PCO Log'!$E21:$SJ21,'PCO Log'!$E$9:$SJ$9,'Graph Data'!BX$187,'PCO Log'!$E$4:$SJ$4,"&lt;&gt;Bid Package",'PCO Log'!$E$7:$SJ$7,"Approved")</f>
        <v>0</v>
      </c>
    </row>
    <row r="198" spans="1:76" x14ac:dyDescent="0.25">
      <c r="A198" s="303" t="s">
        <v>548</v>
      </c>
      <c r="B198" s="303">
        <f>'PCO Log'!GS7</f>
        <v>0</v>
      </c>
      <c r="C198" s="303">
        <f>'PCO Log'!GS4</f>
        <v>0</v>
      </c>
      <c r="D198" s="303" cm="1">
        <f t="array" ref="D198">INDEX('PCO Log'!$E$5:$SJ$5, 1, ROWS('Graph Data'!$D$2:D198))</f>
        <v>0</v>
      </c>
      <c r="E198" s="303">
        <f>'PCO Log'!GS8</f>
        <v>0</v>
      </c>
      <c r="F198" s="303">
        <f>'PCO Log'!GS3</f>
        <v>0</v>
      </c>
      <c r="G198" s="304">
        <f>'PCO Log'!GS10</f>
        <v>0</v>
      </c>
      <c r="H198" s="305">
        <f>'PCO Log'!GS6</f>
        <v>0</v>
      </c>
      <c r="K198" s="307"/>
      <c r="P198" s="303" t="str">
        <f t="shared" si="2"/>
        <v>Construction Management Fee</v>
      </c>
      <c r="Q198" s="304">
        <f>SUMIFS('PCO Log'!$E22:$SJ22,'PCO Log'!$E$9:$SJ$9,'Graph Data'!Q$187,'PCO Log'!$E$4:$SJ$4,"&lt;&gt;Bid Package",'PCO Log'!$E$7:$SJ$7,"Approved")</f>
        <v>0</v>
      </c>
      <c r="R198" s="304">
        <f>SUMIFS('PCO Log'!$E22:$SJ22,'PCO Log'!$E$9:$SJ$9,'Graph Data'!R$187,'PCO Log'!$E$4:$SJ$4,"&lt;&gt;Bid Package",'PCO Log'!$E$7:$SJ$7,"Approved")</f>
        <v>0</v>
      </c>
      <c r="S198" s="304">
        <f>SUMIFS('PCO Log'!$E22:$SJ22,'PCO Log'!$E$9:$SJ$9,'Graph Data'!S$187,'PCO Log'!$E$4:$SJ$4,"&lt;&gt;Bid Package",'PCO Log'!$E$7:$SJ$7,"Approved")</f>
        <v>0</v>
      </c>
      <c r="T198" s="304">
        <f>SUMIFS('PCO Log'!$E22:$SJ22,'PCO Log'!$E$9:$SJ$9,'Graph Data'!T$187,'PCO Log'!$E$4:$SJ$4,"&lt;&gt;Bid Package",'PCO Log'!$E$7:$SJ$7,"Approved")</f>
        <v>0</v>
      </c>
      <c r="U198" s="304">
        <f>SUMIFS('PCO Log'!$E22:$SJ22,'PCO Log'!$E$9:$SJ$9,'Graph Data'!U$187,'PCO Log'!$E$4:$SJ$4,"&lt;&gt;Bid Package",'PCO Log'!$E$7:$SJ$7,"Approved")</f>
        <v>0</v>
      </c>
      <c r="V198" s="304">
        <f>SUMIFS('PCO Log'!$E22:$SJ22,'PCO Log'!$E$9:$SJ$9,'Graph Data'!V$187,'PCO Log'!$E$4:$SJ$4,"&lt;&gt;Bid Package",'PCO Log'!$E$7:$SJ$7,"Approved")</f>
        <v>0</v>
      </c>
      <c r="W198" s="304">
        <f>SUMIFS('PCO Log'!$E22:$SJ22,'PCO Log'!$E$9:$SJ$9,'Graph Data'!W$187,'PCO Log'!$E$4:$SJ$4,"&lt;&gt;Bid Package",'PCO Log'!$E$7:$SJ$7,"Approved")</f>
        <v>0</v>
      </c>
      <c r="X198" s="304">
        <f>SUMIFS('PCO Log'!$E22:$SJ22,'PCO Log'!$E$9:$SJ$9,'Graph Data'!X$187,'PCO Log'!$E$4:$SJ$4,"&lt;&gt;Bid Package",'PCO Log'!$E$7:$SJ$7,"Approved")</f>
        <v>0</v>
      </c>
      <c r="Y198" s="304">
        <f>SUMIFS('PCO Log'!$E22:$SJ22,'PCO Log'!$E$9:$SJ$9,'Graph Data'!Y$187,'PCO Log'!$E$4:$SJ$4,"&lt;&gt;Bid Package",'PCO Log'!$E$7:$SJ$7,"Approved")</f>
        <v>0</v>
      </c>
      <c r="Z198" s="304">
        <f>SUMIFS('PCO Log'!$E22:$SJ22,'PCO Log'!$E$9:$SJ$9,'Graph Data'!Z$187,'PCO Log'!$E$4:$SJ$4,"&lt;&gt;Bid Package",'PCO Log'!$E$7:$SJ$7,"Approved")</f>
        <v>0</v>
      </c>
      <c r="AA198" s="304">
        <f>SUMIFS('PCO Log'!$E22:$SJ22,'PCO Log'!$E$9:$SJ$9,'Graph Data'!AA$187,'PCO Log'!$E$4:$SJ$4,"&lt;&gt;Bid Package",'PCO Log'!$E$7:$SJ$7,"Approved")</f>
        <v>0</v>
      </c>
      <c r="AB198" s="304">
        <f>SUMIFS('PCO Log'!$E22:$SJ22,'PCO Log'!$E$9:$SJ$9,'Graph Data'!AB$187,'PCO Log'!$E$4:$SJ$4,"&lt;&gt;Bid Package",'PCO Log'!$E$7:$SJ$7,"Approved")</f>
        <v>0</v>
      </c>
      <c r="AC198" s="304">
        <f>SUMIFS('PCO Log'!$E22:$SJ22,'PCO Log'!$E$9:$SJ$9,'Graph Data'!AC$187,'PCO Log'!$E$4:$SJ$4,"&lt;&gt;Bid Package",'PCO Log'!$E$7:$SJ$7,"Approved")</f>
        <v>0</v>
      </c>
      <c r="AD198" s="304">
        <f>SUMIFS('PCO Log'!$E22:$SJ22,'PCO Log'!$E$9:$SJ$9,'Graph Data'!AD$187,'PCO Log'!$E$4:$SJ$4,"&lt;&gt;Bid Package",'PCO Log'!$E$7:$SJ$7,"Approved")</f>
        <v>0</v>
      </c>
      <c r="AE198" s="304">
        <f>SUMIFS('PCO Log'!$E22:$SJ22,'PCO Log'!$E$9:$SJ$9,'Graph Data'!AE$187,'PCO Log'!$E$4:$SJ$4,"&lt;&gt;Bid Package",'PCO Log'!$E$7:$SJ$7,"Approved")</f>
        <v>0</v>
      </c>
      <c r="AF198" s="304">
        <f>SUMIFS('PCO Log'!$E22:$SJ22,'PCO Log'!$E$9:$SJ$9,'Graph Data'!AF$187,'PCO Log'!$E$4:$SJ$4,"&lt;&gt;Bid Package",'PCO Log'!$E$7:$SJ$7,"Approved")</f>
        <v>0</v>
      </c>
      <c r="AG198" s="304">
        <f>SUMIFS('PCO Log'!$E22:$SJ22,'PCO Log'!$E$9:$SJ$9,'Graph Data'!AG$187,'PCO Log'!$E$4:$SJ$4,"&lt;&gt;Bid Package",'PCO Log'!$E$7:$SJ$7,"Approved")</f>
        <v>0</v>
      </c>
      <c r="AH198" s="304">
        <f>SUMIFS('PCO Log'!$E22:$SJ22,'PCO Log'!$E$9:$SJ$9,'Graph Data'!AH$187,'PCO Log'!$E$4:$SJ$4,"&lt;&gt;Bid Package",'PCO Log'!$E$7:$SJ$7,"Approved")</f>
        <v>0</v>
      </c>
      <c r="AI198" s="304">
        <f>SUMIFS('PCO Log'!$E22:$SJ22,'PCO Log'!$E$9:$SJ$9,'Graph Data'!AI$187,'PCO Log'!$E$4:$SJ$4,"&lt;&gt;Bid Package",'PCO Log'!$E$7:$SJ$7,"Approved")</f>
        <v>0</v>
      </c>
      <c r="AJ198" s="304">
        <f>SUMIFS('PCO Log'!$E22:$SJ22,'PCO Log'!$E$9:$SJ$9,'Graph Data'!AJ$187,'PCO Log'!$E$4:$SJ$4,"&lt;&gt;Bid Package",'PCO Log'!$E$7:$SJ$7,"Approved")</f>
        <v>0</v>
      </c>
      <c r="AK198" s="304">
        <f>SUMIFS('PCO Log'!$E22:$SJ22,'PCO Log'!$E$9:$SJ$9,'Graph Data'!AK$187,'PCO Log'!$E$4:$SJ$4,"&lt;&gt;Bid Package",'PCO Log'!$E$7:$SJ$7,"Approved")</f>
        <v>0</v>
      </c>
      <c r="AL198" s="304">
        <f>SUMIFS('PCO Log'!$E22:$SJ22,'PCO Log'!$E$9:$SJ$9,'Graph Data'!AL$187,'PCO Log'!$E$4:$SJ$4,"&lt;&gt;Bid Package",'PCO Log'!$E$7:$SJ$7,"Approved")</f>
        <v>0</v>
      </c>
      <c r="AM198" s="304">
        <f>SUMIFS('PCO Log'!$E22:$SJ22,'PCO Log'!$E$9:$SJ$9,'Graph Data'!AM$187,'PCO Log'!$E$4:$SJ$4,"&lt;&gt;Bid Package",'PCO Log'!$E$7:$SJ$7,"Approved")</f>
        <v>0</v>
      </c>
      <c r="AN198" s="304">
        <f>SUMIFS('PCO Log'!$E22:$SJ22,'PCO Log'!$E$9:$SJ$9,'Graph Data'!AN$187,'PCO Log'!$E$4:$SJ$4,"&lt;&gt;Bid Package",'PCO Log'!$E$7:$SJ$7,"Approved")</f>
        <v>0</v>
      </c>
      <c r="AO198" s="304">
        <f>SUMIFS('PCO Log'!$E22:$SJ22,'PCO Log'!$E$9:$SJ$9,'Graph Data'!AO$187,'PCO Log'!$E$4:$SJ$4,"&lt;&gt;Bid Package",'PCO Log'!$E$7:$SJ$7,"Approved")</f>
        <v>0</v>
      </c>
      <c r="AP198" s="304">
        <f>SUMIFS('PCO Log'!$E22:$SJ22,'PCO Log'!$E$9:$SJ$9,'Graph Data'!AP$187,'PCO Log'!$E$4:$SJ$4,"&lt;&gt;Bid Package",'PCO Log'!$E$7:$SJ$7,"Approved")</f>
        <v>0</v>
      </c>
      <c r="AQ198" s="304">
        <f>SUMIFS('PCO Log'!$E22:$SJ22,'PCO Log'!$E$9:$SJ$9,'Graph Data'!AQ$187,'PCO Log'!$E$4:$SJ$4,"&lt;&gt;Bid Package",'PCO Log'!$E$7:$SJ$7,"Approved")</f>
        <v>0</v>
      </c>
      <c r="AR198" s="304">
        <f>SUMIFS('PCO Log'!$E22:$SJ22,'PCO Log'!$E$9:$SJ$9,'Graph Data'!AR$187,'PCO Log'!$E$4:$SJ$4,"&lt;&gt;Bid Package",'PCO Log'!$E$7:$SJ$7,"Approved")</f>
        <v>0</v>
      </c>
      <c r="AS198" s="304">
        <f>SUMIFS('PCO Log'!$E22:$SJ22,'PCO Log'!$E$9:$SJ$9,'Graph Data'!AS$187,'PCO Log'!$E$4:$SJ$4,"&lt;&gt;Bid Package",'PCO Log'!$E$7:$SJ$7,"Approved")</f>
        <v>0</v>
      </c>
      <c r="AT198" s="304">
        <f>SUMIFS('PCO Log'!$E22:$SJ22,'PCO Log'!$E$9:$SJ$9,'Graph Data'!AT$187,'PCO Log'!$E$4:$SJ$4,"&lt;&gt;Bid Package",'PCO Log'!$E$7:$SJ$7,"Approved")</f>
        <v>0</v>
      </c>
      <c r="AU198" s="304">
        <f>SUMIFS('PCO Log'!$E22:$SJ22,'PCO Log'!$E$9:$SJ$9,'Graph Data'!AU$187,'PCO Log'!$E$4:$SJ$4,"&lt;&gt;Bid Package",'PCO Log'!$E$7:$SJ$7,"Approved")</f>
        <v>0</v>
      </c>
      <c r="AV198" s="304">
        <f>SUMIFS('PCO Log'!$E22:$SJ22,'PCO Log'!$E$9:$SJ$9,'Graph Data'!AV$187,'PCO Log'!$E$4:$SJ$4,"&lt;&gt;Bid Package",'PCO Log'!$E$7:$SJ$7,"Approved")</f>
        <v>0</v>
      </c>
      <c r="AW198" s="304">
        <f>SUMIFS('PCO Log'!$E22:$SJ22,'PCO Log'!$E$9:$SJ$9,'Graph Data'!AW$187,'PCO Log'!$E$4:$SJ$4,"&lt;&gt;Bid Package",'PCO Log'!$E$7:$SJ$7,"Approved")</f>
        <v>0</v>
      </c>
      <c r="AX198" s="304">
        <f>SUMIFS('PCO Log'!$E22:$SJ22,'PCO Log'!$E$9:$SJ$9,'Graph Data'!AX$187,'PCO Log'!$E$4:$SJ$4,"&lt;&gt;Bid Package",'PCO Log'!$E$7:$SJ$7,"Approved")</f>
        <v>0</v>
      </c>
      <c r="AY198" s="304">
        <f>SUMIFS('PCO Log'!$E22:$SJ22,'PCO Log'!$E$9:$SJ$9,'Graph Data'!AY$187,'PCO Log'!$E$4:$SJ$4,"&lt;&gt;Bid Package",'PCO Log'!$E$7:$SJ$7,"Approved")</f>
        <v>0</v>
      </c>
      <c r="AZ198" s="304">
        <f>SUMIFS('PCO Log'!$E22:$SJ22,'PCO Log'!$E$9:$SJ$9,'Graph Data'!AZ$187,'PCO Log'!$E$4:$SJ$4,"&lt;&gt;Bid Package",'PCO Log'!$E$7:$SJ$7,"Approved")</f>
        <v>0</v>
      </c>
      <c r="BA198" s="304">
        <f>SUMIFS('PCO Log'!$E22:$SJ22,'PCO Log'!$E$9:$SJ$9,'Graph Data'!BA$187,'PCO Log'!$E$4:$SJ$4,"&lt;&gt;Bid Package",'PCO Log'!$E$7:$SJ$7,"Approved")</f>
        <v>0</v>
      </c>
      <c r="BB198" s="304">
        <f>SUMIFS('PCO Log'!$E22:$SJ22,'PCO Log'!$E$9:$SJ$9,'Graph Data'!BB$187,'PCO Log'!$E$4:$SJ$4,"&lt;&gt;Bid Package",'PCO Log'!$E$7:$SJ$7,"Approved")</f>
        <v>0</v>
      </c>
      <c r="BC198" s="304">
        <f>SUMIFS('PCO Log'!$E22:$SJ22,'PCO Log'!$E$9:$SJ$9,'Graph Data'!BC$187,'PCO Log'!$E$4:$SJ$4,"&lt;&gt;Bid Package",'PCO Log'!$E$7:$SJ$7,"Approved")</f>
        <v>0</v>
      </c>
      <c r="BD198" s="304">
        <f>SUMIFS('PCO Log'!$E22:$SJ22,'PCO Log'!$E$9:$SJ$9,'Graph Data'!BD$187,'PCO Log'!$E$4:$SJ$4,"&lt;&gt;Bid Package",'PCO Log'!$E$7:$SJ$7,"Approved")</f>
        <v>0</v>
      </c>
      <c r="BE198" s="304">
        <f>SUMIFS('PCO Log'!$E22:$SJ22,'PCO Log'!$E$9:$SJ$9,'Graph Data'!BE$187,'PCO Log'!$E$4:$SJ$4,"&lt;&gt;Bid Package",'PCO Log'!$E$7:$SJ$7,"Approved")</f>
        <v>0</v>
      </c>
      <c r="BF198" s="304">
        <f>SUMIFS('PCO Log'!$E22:$SJ22,'PCO Log'!$E$9:$SJ$9,'Graph Data'!BF$187,'PCO Log'!$E$4:$SJ$4,"&lt;&gt;Bid Package",'PCO Log'!$E$7:$SJ$7,"Approved")</f>
        <v>0</v>
      </c>
      <c r="BG198" s="304">
        <f>SUMIFS('PCO Log'!$E22:$SJ22,'PCO Log'!$E$9:$SJ$9,'Graph Data'!BG$187,'PCO Log'!$E$4:$SJ$4,"&lt;&gt;Bid Package",'PCO Log'!$E$7:$SJ$7,"Approved")</f>
        <v>0</v>
      </c>
      <c r="BH198" s="304">
        <f>SUMIFS('PCO Log'!$E22:$SJ22,'PCO Log'!$E$9:$SJ$9,'Graph Data'!BH$187,'PCO Log'!$E$4:$SJ$4,"&lt;&gt;Bid Package",'PCO Log'!$E$7:$SJ$7,"Approved")</f>
        <v>0</v>
      </c>
      <c r="BI198" s="304">
        <f>SUMIFS('PCO Log'!$E22:$SJ22,'PCO Log'!$E$9:$SJ$9,'Graph Data'!BI$187,'PCO Log'!$E$4:$SJ$4,"&lt;&gt;Bid Package",'PCO Log'!$E$7:$SJ$7,"Approved")</f>
        <v>0</v>
      </c>
      <c r="BJ198" s="304">
        <f>SUMIFS('PCO Log'!$E22:$SJ22,'PCO Log'!$E$9:$SJ$9,'Graph Data'!BJ$187,'PCO Log'!$E$4:$SJ$4,"&lt;&gt;Bid Package",'PCO Log'!$E$7:$SJ$7,"Approved")</f>
        <v>0</v>
      </c>
      <c r="BK198" s="304">
        <f>SUMIFS('PCO Log'!$E22:$SJ22,'PCO Log'!$E$9:$SJ$9,'Graph Data'!BK$187,'PCO Log'!$E$4:$SJ$4,"&lt;&gt;Bid Package",'PCO Log'!$E$7:$SJ$7,"Approved")</f>
        <v>0</v>
      </c>
      <c r="BL198" s="304">
        <f>SUMIFS('PCO Log'!$E22:$SJ22,'PCO Log'!$E$9:$SJ$9,'Graph Data'!BL$187,'PCO Log'!$E$4:$SJ$4,"&lt;&gt;Bid Package",'PCO Log'!$E$7:$SJ$7,"Approved")</f>
        <v>0</v>
      </c>
      <c r="BM198" s="304">
        <f>SUMIFS('PCO Log'!$E22:$SJ22,'PCO Log'!$E$9:$SJ$9,'Graph Data'!BM$187,'PCO Log'!$E$4:$SJ$4,"&lt;&gt;Bid Package",'PCO Log'!$E$7:$SJ$7,"Approved")</f>
        <v>0</v>
      </c>
      <c r="BN198" s="304">
        <f>SUMIFS('PCO Log'!$E22:$SJ22,'PCO Log'!$E$9:$SJ$9,'Graph Data'!BN$187,'PCO Log'!$E$4:$SJ$4,"&lt;&gt;Bid Package",'PCO Log'!$E$7:$SJ$7,"Approved")</f>
        <v>0</v>
      </c>
      <c r="BO198" s="304">
        <f>SUMIFS('PCO Log'!$E22:$SJ22,'PCO Log'!$E$9:$SJ$9,'Graph Data'!BO$187,'PCO Log'!$E$4:$SJ$4,"&lt;&gt;Bid Package",'PCO Log'!$E$7:$SJ$7,"Approved")</f>
        <v>0</v>
      </c>
      <c r="BP198" s="304">
        <f>SUMIFS('PCO Log'!$E22:$SJ22,'PCO Log'!$E$9:$SJ$9,'Graph Data'!BP$187,'PCO Log'!$E$4:$SJ$4,"&lt;&gt;Bid Package",'PCO Log'!$E$7:$SJ$7,"Approved")</f>
        <v>0</v>
      </c>
      <c r="BQ198" s="304">
        <f>SUMIFS('PCO Log'!$E22:$SJ22,'PCO Log'!$E$9:$SJ$9,'Graph Data'!BQ$187,'PCO Log'!$E$4:$SJ$4,"&lt;&gt;Bid Package",'PCO Log'!$E$7:$SJ$7,"Approved")</f>
        <v>0</v>
      </c>
      <c r="BR198" s="304">
        <f>SUMIFS('PCO Log'!$E22:$SJ22,'PCO Log'!$E$9:$SJ$9,'Graph Data'!BR$187,'PCO Log'!$E$4:$SJ$4,"&lt;&gt;Bid Package",'PCO Log'!$E$7:$SJ$7,"Approved")</f>
        <v>0</v>
      </c>
      <c r="BS198" s="304">
        <f>SUMIFS('PCO Log'!$E22:$SJ22,'PCO Log'!$E$9:$SJ$9,'Graph Data'!BS$187,'PCO Log'!$E$4:$SJ$4,"&lt;&gt;Bid Package",'PCO Log'!$E$7:$SJ$7,"Approved")</f>
        <v>0</v>
      </c>
      <c r="BT198" s="304">
        <f>SUMIFS('PCO Log'!$E22:$SJ22,'PCO Log'!$E$9:$SJ$9,'Graph Data'!BT$187,'PCO Log'!$E$4:$SJ$4,"&lt;&gt;Bid Package",'PCO Log'!$E$7:$SJ$7,"Approved")</f>
        <v>0</v>
      </c>
      <c r="BU198" s="304">
        <f>SUMIFS('PCO Log'!$E22:$SJ22,'PCO Log'!$E$9:$SJ$9,'Graph Data'!BU$187,'PCO Log'!$E$4:$SJ$4,"&lt;&gt;Bid Package",'PCO Log'!$E$7:$SJ$7,"Approved")</f>
        <v>0</v>
      </c>
      <c r="BV198" s="304">
        <f>SUMIFS('PCO Log'!$E22:$SJ22,'PCO Log'!$E$9:$SJ$9,'Graph Data'!BV$187,'PCO Log'!$E$4:$SJ$4,"&lt;&gt;Bid Package",'PCO Log'!$E$7:$SJ$7,"Approved")</f>
        <v>0</v>
      </c>
      <c r="BW198" s="304">
        <f>SUMIFS('PCO Log'!$E22:$SJ22,'PCO Log'!$E$9:$SJ$9,'Graph Data'!BW$187,'PCO Log'!$E$4:$SJ$4,"&lt;&gt;Bid Package",'PCO Log'!$E$7:$SJ$7,"Approved")</f>
        <v>0</v>
      </c>
      <c r="BX198" s="304">
        <f>SUMIFS('PCO Log'!$E22:$SJ22,'PCO Log'!$E$9:$SJ$9,'Graph Data'!BX$187,'PCO Log'!$E$4:$SJ$4,"&lt;&gt;Bid Package",'PCO Log'!$E$7:$SJ$7,"Approved")</f>
        <v>0</v>
      </c>
    </row>
    <row r="199" spans="1:76" x14ac:dyDescent="0.25">
      <c r="A199" s="303" t="s">
        <v>549</v>
      </c>
      <c r="B199" s="303">
        <f>'PCO Log'!GT7</f>
        <v>0</v>
      </c>
      <c r="C199" s="303">
        <f>'PCO Log'!GT4</f>
        <v>0</v>
      </c>
      <c r="D199" s="303" cm="1">
        <f t="array" ref="D199">INDEX('PCO Log'!$E$5:$SJ$5, 1, ROWS('Graph Data'!$D$2:D199))</f>
        <v>0</v>
      </c>
      <c r="E199" s="303">
        <f>'PCO Log'!GT8</f>
        <v>0</v>
      </c>
      <c r="F199" s="303">
        <f>'PCO Log'!GT3</f>
        <v>0</v>
      </c>
      <c r="G199" s="304">
        <f>'PCO Log'!GT10</f>
        <v>0</v>
      </c>
      <c r="H199" s="305">
        <f>'PCO Log'!GT6</f>
        <v>0</v>
      </c>
      <c r="K199" s="307"/>
      <c r="P199" s="303" t="str">
        <f t="shared" si="2"/>
        <v>Contingency</v>
      </c>
      <c r="Q199" s="304">
        <f>SUMIFS('PCO Log'!$E23:$SJ23,'PCO Log'!$E$9:$SJ$9,'Graph Data'!Q$187,'PCO Log'!$E$4:$SJ$4,"&lt;&gt;Bid Package",'PCO Log'!$E$7:$SJ$7,"Approved")</f>
        <v>0</v>
      </c>
      <c r="R199" s="304">
        <f>SUMIFS('PCO Log'!$E23:$SJ23,'PCO Log'!$E$9:$SJ$9,'Graph Data'!R$187,'PCO Log'!$E$4:$SJ$4,"&lt;&gt;Bid Package",'PCO Log'!$E$7:$SJ$7,"Approved")</f>
        <v>0</v>
      </c>
      <c r="S199" s="304">
        <f>SUMIFS('PCO Log'!$E23:$SJ23,'PCO Log'!$E$9:$SJ$9,'Graph Data'!S$187,'PCO Log'!$E$4:$SJ$4,"&lt;&gt;Bid Package",'PCO Log'!$E$7:$SJ$7,"Approved")</f>
        <v>0</v>
      </c>
      <c r="T199" s="304">
        <f>SUMIFS('PCO Log'!$E23:$SJ23,'PCO Log'!$E$9:$SJ$9,'Graph Data'!T$187,'PCO Log'!$E$4:$SJ$4,"&lt;&gt;Bid Package",'PCO Log'!$E$7:$SJ$7,"Approved")</f>
        <v>0</v>
      </c>
      <c r="U199" s="304">
        <f>SUMIFS('PCO Log'!$E23:$SJ23,'PCO Log'!$E$9:$SJ$9,'Graph Data'!U$187,'PCO Log'!$E$4:$SJ$4,"&lt;&gt;Bid Package",'PCO Log'!$E$7:$SJ$7,"Approved")</f>
        <v>0</v>
      </c>
      <c r="V199" s="304">
        <f>SUMIFS('PCO Log'!$E23:$SJ23,'PCO Log'!$E$9:$SJ$9,'Graph Data'!V$187,'PCO Log'!$E$4:$SJ$4,"&lt;&gt;Bid Package",'PCO Log'!$E$7:$SJ$7,"Approved")</f>
        <v>0</v>
      </c>
      <c r="W199" s="304">
        <f>SUMIFS('PCO Log'!$E23:$SJ23,'PCO Log'!$E$9:$SJ$9,'Graph Data'!W$187,'PCO Log'!$E$4:$SJ$4,"&lt;&gt;Bid Package",'PCO Log'!$E$7:$SJ$7,"Approved")</f>
        <v>0</v>
      </c>
      <c r="X199" s="304">
        <f>SUMIFS('PCO Log'!$E23:$SJ23,'PCO Log'!$E$9:$SJ$9,'Graph Data'!X$187,'PCO Log'!$E$4:$SJ$4,"&lt;&gt;Bid Package",'PCO Log'!$E$7:$SJ$7,"Approved")</f>
        <v>0</v>
      </c>
      <c r="Y199" s="304">
        <f>SUMIFS('PCO Log'!$E23:$SJ23,'PCO Log'!$E$9:$SJ$9,'Graph Data'!Y$187,'PCO Log'!$E$4:$SJ$4,"&lt;&gt;Bid Package",'PCO Log'!$E$7:$SJ$7,"Approved")</f>
        <v>0</v>
      </c>
      <c r="Z199" s="304">
        <f>SUMIFS('PCO Log'!$E23:$SJ23,'PCO Log'!$E$9:$SJ$9,'Graph Data'!Z$187,'PCO Log'!$E$4:$SJ$4,"&lt;&gt;Bid Package",'PCO Log'!$E$7:$SJ$7,"Approved")</f>
        <v>0</v>
      </c>
      <c r="AA199" s="304">
        <f>SUMIFS('PCO Log'!$E23:$SJ23,'PCO Log'!$E$9:$SJ$9,'Graph Data'!AA$187,'PCO Log'!$E$4:$SJ$4,"&lt;&gt;Bid Package",'PCO Log'!$E$7:$SJ$7,"Approved")</f>
        <v>0</v>
      </c>
      <c r="AB199" s="304">
        <f>SUMIFS('PCO Log'!$E23:$SJ23,'PCO Log'!$E$9:$SJ$9,'Graph Data'!AB$187,'PCO Log'!$E$4:$SJ$4,"&lt;&gt;Bid Package",'PCO Log'!$E$7:$SJ$7,"Approved")</f>
        <v>0</v>
      </c>
      <c r="AC199" s="304">
        <f>SUMIFS('PCO Log'!$E23:$SJ23,'PCO Log'!$E$9:$SJ$9,'Graph Data'!AC$187,'PCO Log'!$E$4:$SJ$4,"&lt;&gt;Bid Package",'PCO Log'!$E$7:$SJ$7,"Approved")</f>
        <v>0</v>
      </c>
      <c r="AD199" s="304">
        <f>SUMIFS('PCO Log'!$E23:$SJ23,'PCO Log'!$E$9:$SJ$9,'Graph Data'!AD$187,'PCO Log'!$E$4:$SJ$4,"&lt;&gt;Bid Package",'PCO Log'!$E$7:$SJ$7,"Approved")</f>
        <v>0</v>
      </c>
      <c r="AE199" s="304">
        <f>SUMIFS('PCO Log'!$E23:$SJ23,'PCO Log'!$E$9:$SJ$9,'Graph Data'!AE$187,'PCO Log'!$E$4:$SJ$4,"&lt;&gt;Bid Package",'PCO Log'!$E$7:$SJ$7,"Approved")</f>
        <v>0</v>
      </c>
      <c r="AF199" s="304">
        <f>SUMIFS('PCO Log'!$E23:$SJ23,'PCO Log'!$E$9:$SJ$9,'Graph Data'!AF$187,'PCO Log'!$E$4:$SJ$4,"&lt;&gt;Bid Package",'PCO Log'!$E$7:$SJ$7,"Approved")</f>
        <v>0</v>
      </c>
      <c r="AG199" s="304">
        <f>SUMIFS('PCO Log'!$E23:$SJ23,'PCO Log'!$E$9:$SJ$9,'Graph Data'!AG$187,'PCO Log'!$E$4:$SJ$4,"&lt;&gt;Bid Package",'PCO Log'!$E$7:$SJ$7,"Approved")</f>
        <v>0</v>
      </c>
      <c r="AH199" s="304">
        <f>SUMIFS('PCO Log'!$E23:$SJ23,'PCO Log'!$E$9:$SJ$9,'Graph Data'!AH$187,'PCO Log'!$E$4:$SJ$4,"&lt;&gt;Bid Package",'PCO Log'!$E$7:$SJ$7,"Approved")</f>
        <v>0</v>
      </c>
      <c r="AI199" s="304">
        <f>SUMIFS('PCO Log'!$E23:$SJ23,'PCO Log'!$E$9:$SJ$9,'Graph Data'!AI$187,'PCO Log'!$E$4:$SJ$4,"&lt;&gt;Bid Package",'PCO Log'!$E$7:$SJ$7,"Approved")</f>
        <v>0</v>
      </c>
      <c r="AJ199" s="304">
        <f>SUMIFS('PCO Log'!$E23:$SJ23,'PCO Log'!$E$9:$SJ$9,'Graph Data'!AJ$187,'PCO Log'!$E$4:$SJ$4,"&lt;&gt;Bid Package",'PCO Log'!$E$7:$SJ$7,"Approved")</f>
        <v>0</v>
      </c>
      <c r="AK199" s="304">
        <f>SUMIFS('PCO Log'!$E23:$SJ23,'PCO Log'!$E$9:$SJ$9,'Graph Data'!AK$187,'PCO Log'!$E$4:$SJ$4,"&lt;&gt;Bid Package",'PCO Log'!$E$7:$SJ$7,"Approved")</f>
        <v>0</v>
      </c>
      <c r="AL199" s="304">
        <f>SUMIFS('PCO Log'!$E23:$SJ23,'PCO Log'!$E$9:$SJ$9,'Graph Data'!AL$187,'PCO Log'!$E$4:$SJ$4,"&lt;&gt;Bid Package",'PCO Log'!$E$7:$SJ$7,"Approved")</f>
        <v>0</v>
      </c>
      <c r="AM199" s="304">
        <f>SUMIFS('PCO Log'!$E23:$SJ23,'PCO Log'!$E$9:$SJ$9,'Graph Data'!AM$187,'PCO Log'!$E$4:$SJ$4,"&lt;&gt;Bid Package",'PCO Log'!$E$7:$SJ$7,"Approved")</f>
        <v>0</v>
      </c>
      <c r="AN199" s="304">
        <f>SUMIFS('PCO Log'!$E23:$SJ23,'PCO Log'!$E$9:$SJ$9,'Graph Data'!AN$187,'PCO Log'!$E$4:$SJ$4,"&lt;&gt;Bid Package",'PCO Log'!$E$7:$SJ$7,"Approved")</f>
        <v>0</v>
      </c>
      <c r="AO199" s="304">
        <f>SUMIFS('PCO Log'!$E23:$SJ23,'PCO Log'!$E$9:$SJ$9,'Graph Data'!AO$187,'PCO Log'!$E$4:$SJ$4,"&lt;&gt;Bid Package",'PCO Log'!$E$7:$SJ$7,"Approved")</f>
        <v>0</v>
      </c>
      <c r="AP199" s="304">
        <f>SUMIFS('PCO Log'!$E23:$SJ23,'PCO Log'!$E$9:$SJ$9,'Graph Data'!AP$187,'PCO Log'!$E$4:$SJ$4,"&lt;&gt;Bid Package",'PCO Log'!$E$7:$SJ$7,"Approved")</f>
        <v>0</v>
      </c>
      <c r="AQ199" s="304">
        <f>SUMIFS('PCO Log'!$E23:$SJ23,'PCO Log'!$E$9:$SJ$9,'Graph Data'!AQ$187,'PCO Log'!$E$4:$SJ$4,"&lt;&gt;Bid Package",'PCO Log'!$E$7:$SJ$7,"Approved")</f>
        <v>0</v>
      </c>
      <c r="AR199" s="304">
        <f>SUMIFS('PCO Log'!$E23:$SJ23,'PCO Log'!$E$9:$SJ$9,'Graph Data'!AR$187,'PCO Log'!$E$4:$SJ$4,"&lt;&gt;Bid Package",'PCO Log'!$E$7:$SJ$7,"Approved")</f>
        <v>0</v>
      </c>
      <c r="AS199" s="304">
        <f>SUMIFS('PCO Log'!$E23:$SJ23,'PCO Log'!$E$9:$SJ$9,'Graph Data'!AS$187,'PCO Log'!$E$4:$SJ$4,"&lt;&gt;Bid Package",'PCO Log'!$E$7:$SJ$7,"Approved")</f>
        <v>0</v>
      </c>
      <c r="AT199" s="304">
        <f>SUMIFS('PCO Log'!$E23:$SJ23,'PCO Log'!$E$9:$SJ$9,'Graph Data'!AT$187,'PCO Log'!$E$4:$SJ$4,"&lt;&gt;Bid Package",'PCO Log'!$E$7:$SJ$7,"Approved")</f>
        <v>0</v>
      </c>
      <c r="AU199" s="304">
        <f>SUMIFS('PCO Log'!$E23:$SJ23,'PCO Log'!$E$9:$SJ$9,'Graph Data'!AU$187,'PCO Log'!$E$4:$SJ$4,"&lt;&gt;Bid Package",'PCO Log'!$E$7:$SJ$7,"Approved")</f>
        <v>0</v>
      </c>
      <c r="AV199" s="304">
        <f>SUMIFS('PCO Log'!$E23:$SJ23,'PCO Log'!$E$9:$SJ$9,'Graph Data'!AV$187,'PCO Log'!$E$4:$SJ$4,"&lt;&gt;Bid Package",'PCO Log'!$E$7:$SJ$7,"Approved")</f>
        <v>0</v>
      </c>
      <c r="AW199" s="304">
        <f>SUMIFS('PCO Log'!$E23:$SJ23,'PCO Log'!$E$9:$SJ$9,'Graph Data'!AW$187,'PCO Log'!$E$4:$SJ$4,"&lt;&gt;Bid Package",'PCO Log'!$E$7:$SJ$7,"Approved")</f>
        <v>0</v>
      </c>
      <c r="AX199" s="304">
        <f>SUMIFS('PCO Log'!$E23:$SJ23,'PCO Log'!$E$9:$SJ$9,'Graph Data'!AX$187,'PCO Log'!$E$4:$SJ$4,"&lt;&gt;Bid Package",'PCO Log'!$E$7:$SJ$7,"Approved")</f>
        <v>0</v>
      </c>
      <c r="AY199" s="304">
        <f>SUMIFS('PCO Log'!$E23:$SJ23,'PCO Log'!$E$9:$SJ$9,'Graph Data'!AY$187,'PCO Log'!$E$4:$SJ$4,"&lt;&gt;Bid Package",'PCO Log'!$E$7:$SJ$7,"Approved")</f>
        <v>0</v>
      </c>
      <c r="AZ199" s="304">
        <f>SUMIFS('PCO Log'!$E23:$SJ23,'PCO Log'!$E$9:$SJ$9,'Graph Data'!AZ$187,'PCO Log'!$E$4:$SJ$4,"&lt;&gt;Bid Package",'PCO Log'!$E$7:$SJ$7,"Approved")</f>
        <v>0</v>
      </c>
      <c r="BA199" s="304">
        <f>SUMIFS('PCO Log'!$E23:$SJ23,'PCO Log'!$E$9:$SJ$9,'Graph Data'!BA$187,'PCO Log'!$E$4:$SJ$4,"&lt;&gt;Bid Package",'PCO Log'!$E$7:$SJ$7,"Approved")</f>
        <v>0</v>
      </c>
      <c r="BB199" s="304">
        <f>SUMIFS('PCO Log'!$E23:$SJ23,'PCO Log'!$E$9:$SJ$9,'Graph Data'!BB$187,'PCO Log'!$E$4:$SJ$4,"&lt;&gt;Bid Package",'PCO Log'!$E$7:$SJ$7,"Approved")</f>
        <v>0</v>
      </c>
      <c r="BC199" s="304">
        <f>SUMIFS('PCO Log'!$E23:$SJ23,'PCO Log'!$E$9:$SJ$9,'Graph Data'!BC$187,'PCO Log'!$E$4:$SJ$4,"&lt;&gt;Bid Package",'PCO Log'!$E$7:$SJ$7,"Approved")</f>
        <v>0</v>
      </c>
      <c r="BD199" s="304">
        <f>SUMIFS('PCO Log'!$E23:$SJ23,'PCO Log'!$E$9:$SJ$9,'Graph Data'!BD$187,'PCO Log'!$E$4:$SJ$4,"&lt;&gt;Bid Package",'PCO Log'!$E$7:$SJ$7,"Approved")</f>
        <v>0</v>
      </c>
      <c r="BE199" s="304">
        <f>SUMIFS('PCO Log'!$E23:$SJ23,'PCO Log'!$E$9:$SJ$9,'Graph Data'!BE$187,'PCO Log'!$E$4:$SJ$4,"&lt;&gt;Bid Package",'PCO Log'!$E$7:$SJ$7,"Approved")</f>
        <v>0</v>
      </c>
      <c r="BF199" s="304">
        <f>SUMIFS('PCO Log'!$E23:$SJ23,'PCO Log'!$E$9:$SJ$9,'Graph Data'!BF$187,'PCO Log'!$E$4:$SJ$4,"&lt;&gt;Bid Package",'PCO Log'!$E$7:$SJ$7,"Approved")</f>
        <v>0</v>
      </c>
      <c r="BG199" s="304">
        <f>SUMIFS('PCO Log'!$E23:$SJ23,'PCO Log'!$E$9:$SJ$9,'Graph Data'!BG$187,'PCO Log'!$E$4:$SJ$4,"&lt;&gt;Bid Package",'PCO Log'!$E$7:$SJ$7,"Approved")</f>
        <v>0</v>
      </c>
      <c r="BH199" s="304">
        <f>SUMIFS('PCO Log'!$E23:$SJ23,'PCO Log'!$E$9:$SJ$9,'Graph Data'!BH$187,'PCO Log'!$E$4:$SJ$4,"&lt;&gt;Bid Package",'PCO Log'!$E$7:$SJ$7,"Approved")</f>
        <v>0</v>
      </c>
      <c r="BI199" s="304">
        <f>SUMIFS('PCO Log'!$E23:$SJ23,'PCO Log'!$E$9:$SJ$9,'Graph Data'!BI$187,'PCO Log'!$E$4:$SJ$4,"&lt;&gt;Bid Package",'PCO Log'!$E$7:$SJ$7,"Approved")</f>
        <v>0</v>
      </c>
      <c r="BJ199" s="304">
        <f>SUMIFS('PCO Log'!$E23:$SJ23,'PCO Log'!$E$9:$SJ$9,'Graph Data'!BJ$187,'PCO Log'!$E$4:$SJ$4,"&lt;&gt;Bid Package",'PCO Log'!$E$7:$SJ$7,"Approved")</f>
        <v>0</v>
      </c>
      <c r="BK199" s="304">
        <f>SUMIFS('PCO Log'!$E23:$SJ23,'PCO Log'!$E$9:$SJ$9,'Graph Data'!BK$187,'PCO Log'!$E$4:$SJ$4,"&lt;&gt;Bid Package",'PCO Log'!$E$7:$SJ$7,"Approved")</f>
        <v>0</v>
      </c>
      <c r="BL199" s="304">
        <f>SUMIFS('PCO Log'!$E23:$SJ23,'PCO Log'!$E$9:$SJ$9,'Graph Data'!BL$187,'PCO Log'!$E$4:$SJ$4,"&lt;&gt;Bid Package",'PCO Log'!$E$7:$SJ$7,"Approved")</f>
        <v>0</v>
      </c>
      <c r="BM199" s="304">
        <f>SUMIFS('PCO Log'!$E23:$SJ23,'PCO Log'!$E$9:$SJ$9,'Graph Data'!BM$187,'PCO Log'!$E$4:$SJ$4,"&lt;&gt;Bid Package",'PCO Log'!$E$7:$SJ$7,"Approved")</f>
        <v>0</v>
      </c>
      <c r="BN199" s="304">
        <f>SUMIFS('PCO Log'!$E23:$SJ23,'PCO Log'!$E$9:$SJ$9,'Graph Data'!BN$187,'PCO Log'!$E$4:$SJ$4,"&lt;&gt;Bid Package",'PCO Log'!$E$7:$SJ$7,"Approved")</f>
        <v>0</v>
      </c>
      <c r="BO199" s="304">
        <f>SUMIFS('PCO Log'!$E23:$SJ23,'PCO Log'!$E$9:$SJ$9,'Graph Data'!BO$187,'PCO Log'!$E$4:$SJ$4,"&lt;&gt;Bid Package",'PCO Log'!$E$7:$SJ$7,"Approved")</f>
        <v>0</v>
      </c>
      <c r="BP199" s="304">
        <f>SUMIFS('PCO Log'!$E23:$SJ23,'PCO Log'!$E$9:$SJ$9,'Graph Data'!BP$187,'PCO Log'!$E$4:$SJ$4,"&lt;&gt;Bid Package",'PCO Log'!$E$7:$SJ$7,"Approved")</f>
        <v>0</v>
      </c>
      <c r="BQ199" s="304">
        <f>SUMIFS('PCO Log'!$E23:$SJ23,'PCO Log'!$E$9:$SJ$9,'Graph Data'!BQ$187,'PCO Log'!$E$4:$SJ$4,"&lt;&gt;Bid Package",'PCO Log'!$E$7:$SJ$7,"Approved")</f>
        <v>0</v>
      </c>
      <c r="BR199" s="304">
        <f>SUMIFS('PCO Log'!$E23:$SJ23,'PCO Log'!$E$9:$SJ$9,'Graph Data'!BR$187,'PCO Log'!$E$4:$SJ$4,"&lt;&gt;Bid Package",'PCO Log'!$E$7:$SJ$7,"Approved")</f>
        <v>0</v>
      </c>
      <c r="BS199" s="304">
        <f>SUMIFS('PCO Log'!$E23:$SJ23,'PCO Log'!$E$9:$SJ$9,'Graph Data'!BS$187,'PCO Log'!$E$4:$SJ$4,"&lt;&gt;Bid Package",'PCO Log'!$E$7:$SJ$7,"Approved")</f>
        <v>0</v>
      </c>
      <c r="BT199" s="304">
        <f>SUMIFS('PCO Log'!$E23:$SJ23,'PCO Log'!$E$9:$SJ$9,'Graph Data'!BT$187,'PCO Log'!$E$4:$SJ$4,"&lt;&gt;Bid Package",'PCO Log'!$E$7:$SJ$7,"Approved")</f>
        <v>0</v>
      </c>
      <c r="BU199" s="304">
        <f>SUMIFS('PCO Log'!$E23:$SJ23,'PCO Log'!$E$9:$SJ$9,'Graph Data'!BU$187,'PCO Log'!$E$4:$SJ$4,"&lt;&gt;Bid Package",'PCO Log'!$E$7:$SJ$7,"Approved")</f>
        <v>0</v>
      </c>
      <c r="BV199" s="304">
        <f>SUMIFS('PCO Log'!$E23:$SJ23,'PCO Log'!$E$9:$SJ$9,'Graph Data'!BV$187,'PCO Log'!$E$4:$SJ$4,"&lt;&gt;Bid Package",'PCO Log'!$E$7:$SJ$7,"Approved")</f>
        <v>0</v>
      </c>
      <c r="BW199" s="304">
        <f>SUMIFS('PCO Log'!$E23:$SJ23,'PCO Log'!$E$9:$SJ$9,'Graph Data'!BW$187,'PCO Log'!$E$4:$SJ$4,"&lt;&gt;Bid Package",'PCO Log'!$E$7:$SJ$7,"Approved")</f>
        <v>0</v>
      </c>
      <c r="BX199" s="304">
        <f>SUMIFS('PCO Log'!$E23:$SJ23,'PCO Log'!$E$9:$SJ$9,'Graph Data'!BX$187,'PCO Log'!$E$4:$SJ$4,"&lt;&gt;Bid Package",'PCO Log'!$E$7:$SJ$7,"Approved")</f>
        <v>0</v>
      </c>
    </row>
    <row r="200" spans="1:76" x14ac:dyDescent="0.25">
      <c r="A200" s="303" t="s">
        <v>550</v>
      </c>
      <c r="B200" s="303">
        <f>'PCO Log'!GU7</f>
        <v>0</v>
      </c>
      <c r="C200" s="303">
        <f>'PCO Log'!GU4</f>
        <v>0</v>
      </c>
      <c r="D200" s="303" cm="1">
        <f t="array" ref="D200">INDEX('PCO Log'!$E$5:$SJ$5, 1, ROWS('Graph Data'!$D$2:D200))</f>
        <v>0</v>
      </c>
      <c r="E200" s="303">
        <f>'PCO Log'!GU8</f>
        <v>0</v>
      </c>
      <c r="F200" s="303">
        <f>'PCO Log'!GU3</f>
        <v>0</v>
      </c>
      <c r="G200" s="304">
        <f>'PCO Log'!GU10</f>
        <v>0</v>
      </c>
      <c r="H200" s="305">
        <f>'PCO Log'!GU6</f>
        <v>0</v>
      </c>
      <c r="K200" s="307"/>
      <c r="P200" s="303" t="str">
        <f t="shared" si="2"/>
        <v>Weather Allowance (All Trades)</v>
      </c>
      <c r="Q200" s="304">
        <f>SUMIFS('PCO Log'!$E24:$SJ24,'PCO Log'!$E$9:$SJ$9,'Graph Data'!Q$187,'PCO Log'!$E$4:$SJ$4,"&lt;&gt;Bid Package",'PCO Log'!$E$7:$SJ$7,"Approved")</f>
        <v>0</v>
      </c>
      <c r="R200" s="304">
        <f>SUMIFS('PCO Log'!$E24:$SJ24,'PCO Log'!$E$9:$SJ$9,'Graph Data'!R$187,'PCO Log'!$E$4:$SJ$4,"&lt;&gt;Bid Package",'PCO Log'!$E$7:$SJ$7,"Approved")</f>
        <v>0</v>
      </c>
      <c r="S200" s="304">
        <f>SUMIFS('PCO Log'!$E24:$SJ24,'PCO Log'!$E$9:$SJ$9,'Graph Data'!S$187,'PCO Log'!$E$4:$SJ$4,"&lt;&gt;Bid Package",'PCO Log'!$E$7:$SJ$7,"Approved")</f>
        <v>0</v>
      </c>
      <c r="T200" s="304">
        <f>SUMIFS('PCO Log'!$E24:$SJ24,'PCO Log'!$E$9:$SJ$9,'Graph Data'!T$187,'PCO Log'!$E$4:$SJ$4,"&lt;&gt;Bid Package",'PCO Log'!$E$7:$SJ$7,"Approved")</f>
        <v>0</v>
      </c>
      <c r="U200" s="304">
        <f>SUMIFS('PCO Log'!$E24:$SJ24,'PCO Log'!$E$9:$SJ$9,'Graph Data'!U$187,'PCO Log'!$E$4:$SJ$4,"&lt;&gt;Bid Package",'PCO Log'!$E$7:$SJ$7,"Approved")</f>
        <v>0</v>
      </c>
      <c r="V200" s="304">
        <f>SUMIFS('PCO Log'!$E24:$SJ24,'PCO Log'!$E$9:$SJ$9,'Graph Data'!V$187,'PCO Log'!$E$4:$SJ$4,"&lt;&gt;Bid Package",'PCO Log'!$E$7:$SJ$7,"Approved")</f>
        <v>0</v>
      </c>
      <c r="W200" s="304">
        <f>SUMIFS('PCO Log'!$E24:$SJ24,'PCO Log'!$E$9:$SJ$9,'Graph Data'!W$187,'PCO Log'!$E$4:$SJ$4,"&lt;&gt;Bid Package",'PCO Log'!$E$7:$SJ$7,"Approved")</f>
        <v>0</v>
      </c>
      <c r="X200" s="304">
        <f>SUMIFS('PCO Log'!$E24:$SJ24,'PCO Log'!$E$9:$SJ$9,'Graph Data'!X$187,'PCO Log'!$E$4:$SJ$4,"&lt;&gt;Bid Package",'PCO Log'!$E$7:$SJ$7,"Approved")</f>
        <v>0</v>
      </c>
      <c r="Y200" s="304">
        <f>SUMIFS('PCO Log'!$E24:$SJ24,'PCO Log'!$E$9:$SJ$9,'Graph Data'!Y$187,'PCO Log'!$E$4:$SJ$4,"&lt;&gt;Bid Package",'PCO Log'!$E$7:$SJ$7,"Approved")</f>
        <v>0</v>
      </c>
      <c r="Z200" s="304">
        <f>SUMIFS('PCO Log'!$E24:$SJ24,'PCO Log'!$E$9:$SJ$9,'Graph Data'!Z$187,'PCO Log'!$E$4:$SJ$4,"&lt;&gt;Bid Package",'PCO Log'!$E$7:$SJ$7,"Approved")</f>
        <v>0</v>
      </c>
      <c r="AA200" s="304">
        <f>SUMIFS('PCO Log'!$E24:$SJ24,'PCO Log'!$E$9:$SJ$9,'Graph Data'!AA$187,'PCO Log'!$E$4:$SJ$4,"&lt;&gt;Bid Package",'PCO Log'!$E$7:$SJ$7,"Approved")</f>
        <v>0</v>
      </c>
      <c r="AB200" s="304">
        <f>SUMIFS('PCO Log'!$E24:$SJ24,'PCO Log'!$E$9:$SJ$9,'Graph Data'!AB$187,'PCO Log'!$E$4:$SJ$4,"&lt;&gt;Bid Package",'PCO Log'!$E$7:$SJ$7,"Approved")</f>
        <v>0</v>
      </c>
      <c r="AC200" s="304">
        <f>SUMIFS('PCO Log'!$E24:$SJ24,'PCO Log'!$E$9:$SJ$9,'Graph Data'!AC$187,'PCO Log'!$E$4:$SJ$4,"&lt;&gt;Bid Package",'PCO Log'!$E$7:$SJ$7,"Approved")</f>
        <v>0</v>
      </c>
      <c r="AD200" s="304">
        <f>SUMIFS('PCO Log'!$E24:$SJ24,'PCO Log'!$E$9:$SJ$9,'Graph Data'!AD$187,'PCO Log'!$E$4:$SJ$4,"&lt;&gt;Bid Package",'PCO Log'!$E$7:$SJ$7,"Approved")</f>
        <v>0</v>
      </c>
      <c r="AE200" s="304">
        <f>SUMIFS('PCO Log'!$E24:$SJ24,'PCO Log'!$E$9:$SJ$9,'Graph Data'!AE$187,'PCO Log'!$E$4:$SJ$4,"&lt;&gt;Bid Package",'PCO Log'!$E$7:$SJ$7,"Approved")</f>
        <v>0</v>
      </c>
      <c r="AF200" s="304">
        <f>SUMIFS('PCO Log'!$E24:$SJ24,'PCO Log'!$E$9:$SJ$9,'Graph Data'!AF$187,'PCO Log'!$E$4:$SJ$4,"&lt;&gt;Bid Package",'PCO Log'!$E$7:$SJ$7,"Approved")</f>
        <v>0</v>
      </c>
      <c r="AG200" s="304">
        <f>SUMIFS('PCO Log'!$E24:$SJ24,'PCO Log'!$E$9:$SJ$9,'Graph Data'!AG$187,'PCO Log'!$E$4:$SJ$4,"&lt;&gt;Bid Package",'PCO Log'!$E$7:$SJ$7,"Approved")</f>
        <v>0</v>
      </c>
      <c r="AH200" s="304">
        <f>SUMIFS('PCO Log'!$E24:$SJ24,'PCO Log'!$E$9:$SJ$9,'Graph Data'!AH$187,'PCO Log'!$E$4:$SJ$4,"&lt;&gt;Bid Package",'PCO Log'!$E$7:$SJ$7,"Approved")</f>
        <v>0</v>
      </c>
      <c r="AI200" s="304">
        <f>SUMIFS('PCO Log'!$E24:$SJ24,'PCO Log'!$E$9:$SJ$9,'Graph Data'!AI$187,'PCO Log'!$E$4:$SJ$4,"&lt;&gt;Bid Package",'PCO Log'!$E$7:$SJ$7,"Approved")</f>
        <v>0</v>
      </c>
      <c r="AJ200" s="304">
        <f>SUMIFS('PCO Log'!$E24:$SJ24,'PCO Log'!$E$9:$SJ$9,'Graph Data'!AJ$187,'PCO Log'!$E$4:$SJ$4,"&lt;&gt;Bid Package",'PCO Log'!$E$7:$SJ$7,"Approved")</f>
        <v>0</v>
      </c>
      <c r="AK200" s="304">
        <f>SUMIFS('PCO Log'!$E24:$SJ24,'PCO Log'!$E$9:$SJ$9,'Graph Data'!AK$187,'PCO Log'!$E$4:$SJ$4,"&lt;&gt;Bid Package",'PCO Log'!$E$7:$SJ$7,"Approved")</f>
        <v>0</v>
      </c>
      <c r="AL200" s="304">
        <f>SUMIFS('PCO Log'!$E24:$SJ24,'PCO Log'!$E$9:$SJ$9,'Graph Data'!AL$187,'PCO Log'!$E$4:$SJ$4,"&lt;&gt;Bid Package",'PCO Log'!$E$7:$SJ$7,"Approved")</f>
        <v>0</v>
      </c>
      <c r="AM200" s="304">
        <f>SUMIFS('PCO Log'!$E24:$SJ24,'PCO Log'!$E$9:$SJ$9,'Graph Data'!AM$187,'PCO Log'!$E$4:$SJ$4,"&lt;&gt;Bid Package",'PCO Log'!$E$7:$SJ$7,"Approved")</f>
        <v>0</v>
      </c>
      <c r="AN200" s="304">
        <f>SUMIFS('PCO Log'!$E24:$SJ24,'PCO Log'!$E$9:$SJ$9,'Graph Data'!AN$187,'PCO Log'!$E$4:$SJ$4,"&lt;&gt;Bid Package",'PCO Log'!$E$7:$SJ$7,"Approved")</f>
        <v>0</v>
      </c>
      <c r="AO200" s="304">
        <f>SUMIFS('PCO Log'!$E24:$SJ24,'PCO Log'!$E$9:$SJ$9,'Graph Data'!AO$187,'PCO Log'!$E$4:$SJ$4,"&lt;&gt;Bid Package",'PCO Log'!$E$7:$SJ$7,"Approved")</f>
        <v>0</v>
      </c>
      <c r="AP200" s="304">
        <f>SUMIFS('PCO Log'!$E24:$SJ24,'PCO Log'!$E$9:$SJ$9,'Graph Data'!AP$187,'PCO Log'!$E$4:$SJ$4,"&lt;&gt;Bid Package",'PCO Log'!$E$7:$SJ$7,"Approved")</f>
        <v>0</v>
      </c>
      <c r="AQ200" s="304">
        <f>SUMIFS('PCO Log'!$E24:$SJ24,'PCO Log'!$E$9:$SJ$9,'Graph Data'!AQ$187,'PCO Log'!$E$4:$SJ$4,"&lt;&gt;Bid Package",'PCO Log'!$E$7:$SJ$7,"Approved")</f>
        <v>0</v>
      </c>
      <c r="AR200" s="304">
        <f>SUMIFS('PCO Log'!$E24:$SJ24,'PCO Log'!$E$9:$SJ$9,'Graph Data'!AR$187,'PCO Log'!$E$4:$SJ$4,"&lt;&gt;Bid Package",'PCO Log'!$E$7:$SJ$7,"Approved")</f>
        <v>0</v>
      </c>
      <c r="AS200" s="304">
        <f>SUMIFS('PCO Log'!$E24:$SJ24,'PCO Log'!$E$9:$SJ$9,'Graph Data'!AS$187,'PCO Log'!$E$4:$SJ$4,"&lt;&gt;Bid Package",'PCO Log'!$E$7:$SJ$7,"Approved")</f>
        <v>0</v>
      </c>
      <c r="AT200" s="304">
        <f>SUMIFS('PCO Log'!$E24:$SJ24,'PCO Log'!$E$9:$SJ$9,'Graph Data'!AT$187,'PCO Log'!$E$4:$SJ$4,"&lt;&gt;Bid Package",'PCO Log'!$E$7:$SJ$7,"Approved")</f>
        <v>0</v>
      </c>
      <c r="AU200" s="304">
        <f>SUMIFS('PCO Log'!$E24:$SJ24,'PCO Log'!$E$9:$SJ$9,'Graph Data'!AU$187,'PCO Log'!$E$4:$SJ$4,"&lt;&gt;Bid Package",'PCO Log'!$E$7:$SJ$7,"Approved")</f>
        <v>0</v>
      </c>
      <c r="AV200" s="304">
        <f>SUMIFS('PCO Log'!$E24:$SJ24,'PCO Log'!$E$9:$SJ$9,'Graph Data'!AV$187,'PCO Log'!$E$4:$SJ$4,"&lt;&gt;Bid Package",'PCO Log'!$E$7:$SJ$7,"Approved")</f>
        <v>0</v>
      </c>
      <c r="AW200" s="304">
        <f>SUMIFS('PCO Log'!$E24:$SJ24,'PCO Log'!$E$9:$SJ$9,'Graph Data'!AW$187,'PCO Log'!$E$4:$SJ$4,"&lt;&gt;Bid Package",'PCO Log'!$E$7:$SJ$7,"Approved")</f>
        <v>0</v>
      </c>
      <c r="AX200" s="304">
        <f>SUMIFS('PCO Log'!$E24:$SJ24,'PCO Log'!$E$9:$SJ$9,'Graph Data'!AX$187,'PCO Log'!$E$4:$SJ$4,"&lt;&gt;Bid Package",'PCO Log'!$E$7:$SJ$7,"Approved")</f>
        <v>0</v>
      </c>
      <c r="AY200" s="304">
        <f>SUMIFS('PCO Log'!$E24:$SJ24,'PCO Log'!$E$9:$SJ$9,'Graph Data'!AY$187,'PCO Log'!$E$4:$SJ$4,"&lt;&gt;Bid Package",'PCO Log'!$E$7:$SJ$7,"Approved")</f>
        <v>0</v>
      </c>
      <c r="AZ200" s="304">
        <f>SUMIFS('PCO Log'!$E24:$SJ24,'PCO Log'!$E$9:$SJ$9,'Graph Data'!AZ$187,'PCO Log'!$E$4:$SJ$4,"&lt;&gt;Bid Package",'PCO Log'!$E$7:$SJ$7,"Approved")</f>
        <v>0</v>
      </c>
      <c r="BA200" s="304">
        <f>SUMIFS('PCO Log'!$E24:$SJ24,'PCO Log'!$E$9:$SJ$9,'Graph Data'!BA$187,'PCO Log'!$E$4:$SJ$4,"&lt;&gt;Bid Package",'PCO Log'!$E$7:$SJ$7,"Approved")</f>
        <v>0</v>
      </c>
      <c r="BB200" s="304">
        <f>SUMIFS('PCO Log'!$E24:$SJ24,'PCO Log'!$E$9:$SJ$9,'Graph Data'!BB$187,'PCO Log'!$E$4:$SJ$4,"&lt;&gt;Bid Package",'PCO Log'!$E$7:$SJ$7,"Approved")</f>
        <v>0</v>
      </c>
      <c r="BC200" s="304">
        <f>SUMIFS('PCO Log'!$E24:$SJ24,'PCO Log'!$E$9:$SJ$9,'Graph Data'!BC$187,'PCO Log'!$E$4:$SJ$4,"&lt;&gt;Bid Package",'PCO Log'!$E$7:$SJ$7,"Approved")</f>
        <v>0</v>
      </c>
      <c r="BD200" s="304">
        <f>SUMIFS('PCO Log'!$E24:$SJ24,'PCO Log'!$E$9:$SJ$9,'Graph Data'!BD$187,'PCO Log'!$E$4:$SJ$4,"&lt;&gt;Bid Package",'PCO Log'!$E$7:$SJ$7,"Approved")</f>
        <v>0</v>
      </c>
      <c r="BE200" s="304">
        <f>SUMIFS('PCO Log'!$E24:$SJ24,'PCO Log'!$E$9:$SJ$9,'Graph Data'!BE$187,'PCO Log'!$E$4:$SJ$4,"&lt;&gt;Bid Package",'PCO Log'!$E$7:$SJ$7,"Approved")</f>
        <v>0</v>
      </c>
      <c r="BF200" s="304">
        <f>SUMIFS('PCO Log'!$E24:$SJ24,'PCO Log'!$E$9:$SJ$9,'Graph Data'!BF$187,'PCO Log'!$E$4:$SJ$4,"&lt;&gt;Bid Package",'PCO Log'!$E$7:$SJ$7,"Approved")</f>
        <v>0</v>
      </c>
      <c r="BG200" s="304">
        <f>SUMIFS('PCO Log'!$E24:$SJ24,'PCO Log'!$E$9:$SJ$9,'Graph Data'!BG$187,'PCO Log'!$E$4:$SJ$4,"&lt;&gt;Bid Package",'PCO Log'!$E$7:$SJ$7,"Approved")</f>
        <v>0</v>
      </c>
      <c r="BH200" s="304">
        <f>SUMIFS('PCO Log'!$E24:$SJ24,'PCO Log'!$E$9:$SJ$9,'Graph Data'!BH$187,'PCO Log'!$E$4:$SJ$4,"&lt;&gt;Bid Package",'PCO Log'!$E$7:$SJ$7,"Approved")</f>
        <v>0</v>
      </c>
      <c r="BI200" s="304">
        <f>SUMIFS('PCO Log'!$E24:$SJ24,'PCO Log'!$E$9:$SJ$9,'Graph Data'!BI$187,'PCO Log'!$E$4:$SJ$4,"&lt;&gt;Bid Package",'PCO Log'!$E$7:$SJ$7,"Approved")</f>
        <v>0</v>
      </c>
      <c r="BJ200" s="304">
        <f>SUMIFS('PCO Log'!$E24:$SJ24,'PCO Log'!$E$9:$SJ$9,'Graph Data'!BJ$187,'PCO Log'!$E$4:$SJ$4,"&lt;&gt;Bid Package",'PCO Log'!$E$7:$SJ$7,"Approved")</f>
        <v>0</v>
      </c>
      <c r="BK200" s="304">
        <f>SUMIFS('PCO Log'!$E24:$SJ24,'PCO Log'!$E$9:$SJ$9,'Graph Data'!BK$187,'PCO Log'!$E$4:$SJ$4,"&lt;&gt;Bid Package",'PCO Log'!$E$7:$SJ$7,"Approved")</f>
        <v>0</v>
      </c>
      <c r="BL200" s="304">
        <f>SUMIFS('PCO Log'!$E24:$SJ24,'PCO Log'!$E$9:$SJ$9,'Graph Data'!BL$187,'PCO Log'!$E$4:$SJ$4,"&lt;&gt;Bid Package",'PCO Log'!$E$7:$SJ$7,"Approved")</f>
        <v>0</v>
      </c>
      <c r="BM200" s="304">
        <f>SUMIFS('PCO Log'!$E24:$SJ24,'PCO Log'!$E$9:$SJ$9,'Graph Data'!BM$187,'PCO Log'!$E$4:$SJ$4,"&lt;&gt;Bid Package",'PCO Log'!$E$7:$SJ$7,"Approved")</f>
        <v>0</v>
      </c>
      <c r="BN200" s="304">
        <f>SUMIFS('PCO Log'!$E24:$SJ24,'PCO Log'!$E$9:$SJ$9,'Graph Data'!BN$187,'PCO Log'!$E$4:$SJ$4,"&lt;&gt;Bid Package",'PCO Log'!$E$7:$SJ$7,"Approved")</f>
        <v>0</v>
      </c>
      <c r="BO200" s="304">
        <f>SUMIFS('PCO Log'!$E24:$SJ24,'PCO Log'!$E$9:$SJ$9,'Graph Data'!BO$187,'PCO Log'!$E$4:$SJ$4,"&lt;&gt;Bid Package",'PCO Log'!$E$7:$SJ$7,"Approved")</f>
        <v>0</v>
      </c>
      <c r="BP200" s="304">
        <f>SUMIFS('PCO Log'!$E24:$SJ24,'PCO Log'!$E$9:$SJ$9,'Graph Data'!BP$187,'PCO Log'!$E$4:$SJ$4,"&lt;&gt;Bid Package",'PCO Log'!$E$7:$SJ$7,"Approved")</f>
        <v>0</v>
      </c>
      <c r="BQ200" s="304">
        <f>SUMIFS('PCO Log'!$E24:$SJ24,'PCO Log'!$E$9:$SJ$9,'Graph Data'!BQ$187,'PCO Log'!$E$4:$SJ$4,"&lt;&gt;Bid Package",'PCO Log'!$E$7:$SJ$7,"Approved")</f>
        <v>0</v>
      </c>
      <c r="BR200" s="304">
        <f>SUMIFS('PCO Log'!$E24:$SJ24,'PCO Log'!$E$9:$SJ$9,'Graph Data'!BR$187,'PCO Log'!$E$4:$SJ$4,"&lt;&gt;Bid Package",'PCO Log'!$E$7:$SJ$7,"Approved")</f>
        <v>0</v>
      </c>
      <c r="BS200" s="304">
        <f>SUMIFS('PCO Log'!$E24:$SJ24,'PCO Log'!$E$9:$SJ$9,'Graph Data'!BS$187,'PCO Log'!$E$4:$SJ$4,"&lt;&gt;Bid Package",'PCO Log'!$E$7:$SJ$7,"Approved")</f>
        <v>0</v>
      </c>
      <c r="BT200" s="304">
        <f>SUMIFS('PCO Log'!$E24:$SJ24,'PCO Log'!$E$9:$SJ$9,'Graph Data'!BT$187,'PCO Log'!$E$4:$SJ$4,"&lt;&gt;Bid Package",'PCO Log'!$E$7:$SJ$7,"Approved")</f>
        <v>0</v>
      </c>
      <c r="BU200" s="304">
        <f>SUMIFS('PCO Log'!$E24:$SJ24,'PCO Log'!$E$9:$SJ$9,'Graph Data'!BU$187,'PCO Log'!$E$4:$SJ$4,"&lt;&gt;Bid Package",'PCO Log'!$E$7:$SJ$7,"Approved")</f>
        <v>0</v>
      </c>
      <c r="BV200" s="304">
        <f>SUMIFS('PCO Log'!$E24:$SJ24,'PCO Log'!$E$9:$SJ$9,'Graph Data'!BV$187,'PCO Log'!$E$4:$SJ$4,"&lt;&gt;Bid Package",'PCO Log'!$E$7:$SJ$7,"Approved")</f>
        <v>0</v>
      </c>
      <c r="BW200" s="304">
        <f>SUMIFS('PCO Log'!$E24:$SJ24,'PCO Log'!$E$9:$SJ$9,'Graph Data'!BW$187,'PCO Log'!$E$4:$SJ$4,"&lt;&gt;Bid Package",'PCO Log'!$E$7:$SJ$7,"Approved")</f>
        <v>0</v>
      </c>
      <c r="BX200" s="304">
        <f>SUMIFS('PCO Log'!$E24:$SJ24,'PCO Log'!$E$9:$SJ$9,'Graph Data'!BX$187,'PCO Log'!$E$4:$SJ$4,"&lt;&gt;Bid Package",'PCO Log'!$E$7:$SJ$7,"Approved")</f>
        <v>0</v>
      </c>
    </row>
    <row r="201" spans="1:76" x14ac:dyDescent="0.25">
      <c r="A201" s="303" t="s">
        <v>551</v>
      </c>
      <c r="B201" s="303">
        <f>'PCO Log'!GV7</f>
        <v>0</v>
      </c>
      <c r="C201" s="303">
        <f>'PCO Log'!GV4</f>
        <v>0</v>
      </c>
      <c r="D201" s="303" cm="1">
        <f t="array" ref="D201">INDEX('PCO Log'!$E$5:$SJ$5, 1, ROWS('Graph Data'!$D$2:D201))</f>
        <v>0</v>
      </c>
      <c r="E201" s="303">
        <f>'PCO Log'!GV8</f>
        <v>0</v>
      </c>
      <c r="F201" s="303">
        <f>'PCO Log'!GV3</f>
        <v>0</v>
      </c>
      <c r="G201" s="304">
        <f>'PCO Log'!GV10</f>
        <v>0</v>
      </c>
      <c r="H201" s="305">
        <f>'PCO Log'!GV6</f>
        <v>0</v>
      </c>
      <c r="K201" s="307"/>
      <c r="P201" s="303" t="str">
        <f t="shared" si="2"/>
        <v>Cleaning (Final)</v>
      </c>
      <c r="Q201" s="304">
        <f>SUMIFS('PCO Log'!$E25:$SJ25,'PCO Log'!$E$9:$SJ$9,'Graph Data'!Q$187,'PCO Log'!$E$4:$SJ$4,"&lt;&gt;Bid Package",'PCO Log'!$E$7:$SJ$7,"Approved")</f>
        <v>0</v>
      </c>
      <c r="R201" s="304">
        <f>SUMIFS('PCO Log'!$E25:$SJ25,'PCO Log'!$E$9:$SJ$9,'Graph Data'!R$187,'PCO Log'!$E$4:$SJ$4,"&lt;&gt;Bid Package",'PCO Log'!$E$7:$SJ$7,"Approved")</f>
        <v>0</v>
      </c>
      <c r="S201" s="304">
        <f>SUMIFS('PCO Log'!$E25:$SJ25,'PCO Log'!$E$9:$SJ$9,'Graph Data'!S$187,'PCO Log'!$E$4:$SJ$4,"&lt;&gt;Bid Package",'PCO Log'!$E$7:$SJ$7,"Approved")</f>
        <v>0</v>
      </c>
      <c r="T201" s="304">
        <f>SUMIFS('PCO Log'!$E25:$SJ25,'PCO Log'!$E$9:$SJ$9,'Graph Data'!T$187,'PCO Log'!$E$4:$SJ$4,"&lt;&gt;Bid Package",'PCO Log'!$E$7:$SJ$7,"Approved")</f>
        <v>0</v>
      </c>
      <c r="U201" s="304">
        <f>SUMIFS('PCO Log'!$E25:$SJ25,'PCO Log'!$E$9:$SJ$9,'Graph Data'!U$187,'PCO Log'!$E$4:$SJ$4,"&lt;&gt;Bid Package",'PCO Log'!$E$7:$SJ$7,"Approved")</f>
        <v>0</v>
      </c>
      <c r="V201" s="304">
        <f>SUMIFS('PCO Log'!$E25:$SJ25,'PCO Log'!$E$9:$SJ$9,'Graph Data'!V$187,'PCO Log'!$E$4:$SJ$4,"&lt;&gt;Bid Package",'PCO Log'!$E$7:$SJ$7,"Approved")</f>
        <v>0</v>
      </c>
      <c r="W201" s="304">
        <f>SUMIFS('PCO Log'!$E25:$SJ25,'PCO Log'!$E$9:$SJ$9,'Graph Data'!W$187,'PCO Log'!$E$4:$SJ$4,"&lt;&gt;Bid Package",'PCO Log'!$E$7:$SJ$7,"Approved")</f>
        <v>0</v>
      </c>
      <c r="X201" s="304">
        <f>SUMIFS('PCO Log'!$E25:$SJ25,'PCO Log'!$E$9:$SJ$9,'Graph Data'!X$187,'PCO Log'!$E$4:$SJ$4,"&lt;&gt;Bid Package",'PCO Log'!$E$7:$SJ$7,"Approved")</f>
        <v>0</v>
      </c>
      <c r="Y201" s="304">
        <f>SUMIFS('PCO Log'!$E25:$SJ25,'PCO Log'!$E$9:$SJ$9,'Graph Data'!Y$187,'PCO Log'!$E$4:$SJ$4,"&lt;&gt;Bid Package",'PCO Log'!$E$7:$SJ$7,"Approved")</f>
        <v>0</v>
      </c>
      <c r="Z201" s="304">
        <f>SUMIFS('PCO Log'!$E25:$SJ25,'PCO Log'!$E$9:$SJ$9,'Graph Data'!Z$187,'PCO Log'!$E$4:$SJ$4,"&lt;&gt;Bid Package",'PCO Log'!$E$7:$SJ$7,"Approved")</f>
        <v>0</v>
      </c>
      <c r="AA201" s="304">
        <f>SUMIFS('PCO Log'!$E25:$SJ25,'PCO Log'!$E$9:$SJ$9,'Graph Data'!AA$187,'PCO Log'!$E$4:$SJ$4,"&lt;&gt;Bid Package",'PCO Log'!$E$7:$SJ$7,"Approved")</f>
        <v>0</v>
      </c>
      <c r="AB201" s="304">
        <f>SUMIFS('PCO Log'!$E25:$SJ25,'PCO Log'!$E$9:$SJ$9,'Graph Data'!AB$187,'PCO Log'!$E$4:$SJ$4,"&lt;&gt;Bid Package",'PCO Log'!$E$7:$SJ$7,"Approved")</f>
        <v>0</v>
      </c>
      <c r="AC201" s="304">
        <f>SUMIFS('PCO Log'!$E25:$SJ25,'PCO Log'!$E$9:$SJ$9,'Graph Data'!AC$187,'PCO Log'!$E$4:$SJ$4,"&lt;&gt;Bid Package",'PCO Log'!$E$7:$SJ$7,"Approved")</f>
        <v>0</v>
      </c>
      <c r="AD201" s="304">
        <f>SUMIFS('PCO Log'!$E25:$SJ25,'PCO Log'!$E$9:$SJ$9,'Graph Data'!AD$187,'PCO Log'!$E$4:$SJ$4,"&lt;&gt;Bid Package",'PCO Log'!$E$7:$SJ$7,"Approved")</f>
        <v>0</v>
      </c>
      <c r="AE201" s="304">
        <f>SUMIFS('PCO Log'!$E25:$SJ25,'PCO Log'!$E$9:$SJ$9,'Graph Data'!AE$187,'PCO Log'!$E$4:$SJ$4,"&lt;&gt;Bid Package",'PCO Log'!$E$7:$SJ$7,"Approved")</f>
        <v>0</v>
      </c>
      <c r="AF201" s="304">
        <f>SUMIFS('PCO Log'!$E25:$SJ25,'PCO Log'!$E$9:$SJ$9,'Graph Data'!AF$187,'PCO Log'!$E$4:$SJ$4,"&lt;&gt;Bid Package",'PCO Log'!$E$7:$SJ$7,"Approved")</f>
        <v>0</v>
      </c>
      <c r="AG201" s="304">
        <f>SUMIFS('PCO Log'!$E25:$SJ25,'PCO Log'!$E$9:$SJ$9,'Graph Data'!AG$187,'PCO Log'!$E$4:$SJ$4,"&lt;&gt;Bid Package",'PCO Log'!$E$7:$SJ$7,"Approved")</f>
        <v>0</v>
      </c>
      <c r="AH201" s="304">
        <f>SUMIFS('PCO Log'!$E25:$SJ25,'PCO Log'!$E$9:$SJ$9,'Graph Data'!AH$187,'PCO Log'!$E$4:$SJ$4,"&lt;&gt;Bid Package",'PCO Log'!$E$7:$SJ$7,"Approved")</f>
        <v>0</v>
      </c>
      <c r="AI201" s="304">
        <f>SUMIFS('PCO Log'!$E25:$SJ25,'PCO Log'!$E$9:$SJ$9,'Graph Data'!AI$187,'PCO Log'!$E$4:$SJ$4,"&lt;&gt;Bid Package",'PCO Log'!$E$7:$SJ$7,"Approved")</f>
        <v>0</v>
      </c>
      <c r="AJ201" s="304">
        <f>SUMIFS('PCO Log'!$E25:$SJ25,'PCO Log'!$E$9:$SJ$9,'Graph Data'!AJ$187,'PCO Log'!$E$4:$SJ$4,"&lt;&gt;Bid Package",'PCO Log'!$E$7:$SJ$7,"Approved")</f>
        <v>0</v>
      </c>
      <c r="AK201" s="304">
        <f>SUMIFS('PCO Log'!$E25:$SJ25,'PCO Log'!$E$9:$SJ$9,'Graph Data'!AK$187,'PCO Log'!$E$4:$SJ$4,"&lt;&gt;Bid Package",'PCO Log'!$E$7:$SJ$7,"Approved")</f>
        <v>0</v>
      </c>
      <c r="AL201" s="304">
        <f>SUMIFS('PCO Log'!$E25:$SJ25,'PCO Log'!$E$9:$SJ$9,'Graph Data'!AL$187,'PCO Log'!$E$4:$SJ$4,"&lt;&gt;Bid Package",'PCO Log'!$E$7:$SJ$7,"Approved")</f>
        <v>0</v>
      </c>
      <c r="AM201" s="304">
        <f>SUMIFS('PCO Log'!$E25:$SJ25,'PCO Log'!$E$9:$SJ$9,'Graph Data'!AM$187,'PCO Log'!$E$4:$SJ$4,"&lt;&gt;Bid Package",'PCO Log'!$E$7:$SJ$7,"Approved")</f>
        <v>0</v>
      </c>
      <c r="AN201" s="304">
        <f>SUMIFS('PCO Log'!$E25:$SJ25,'PCO Log'!$E$9:$SJ$9,'Graph Data'!AN$187,'PCO Log'!$E$4:$SJ$4,"&lt;&gt;Bid Package",'PCO Log'!$E$7:$SJ$7,"Approved")</f>
        <v>0</v>
      </c>
      <c r="AO201" s="304">
        <f>SUMIFS('PCO Log'!$E25:$SJ25,'PCO Log'!$E$9:$SJ$9,'Graph Data'!AO$187,'PCO Log'!$E$4:$SJ$4,"&lt;&gt;Bid Package",'PCO Log'!$E$7:$SJ$7,"Approved")</f>
        <v>0</v>
      </c>
      <c r="AP201" s="304">
        <f>SUMIFS('PCO Log'!$E25:$SJ25,'PCO Log'!$E$9:$SJ$9,'Graph Data'!AP$187,'PCO Log'!$E$4:$SJ$4,"&lt;&gt;Bid Package",'PCO Log'!$E$7:$SJ$7,"Approved")</f>
        <v>0</v>
      </c>
      <c r="AQ201" s="304">
        <f>SUMIFS('PCO Log'!$E25:$SJ25,'PCO Log'!$E$9:$SJ$9,'Graph Data'!AQ$187,'PCO Log'!$E$4:$SJ$4,"&lt;&gt;Bid Package",'PCO Log'!$E$7:$SJ$7,"Approved")</f>
        <v>0</v>
      </c>
      <c r="AR201" s="304">
        <f>SUMIFS('PCO Log'!$E25:$SJ25,'PCO Log'!$E$9:$SJ$9,'Graph Data'!AR$187,'PCO Log'!$E$4:$SJ$4,"&lt;&gt;Bid Package",'PCO Log'!$E$7:$SJ$7,"Approved")</f>
        <v>0</v>
      </c>
      <c r="AS201" s="304">
        <f>SUMIFS('PCO Log'!$E25:$SJ25,'PCO Log'!$E$9:$SJ$9,'Graph Data'!AS$187,'PCO Log'!$E$4:$SJ$4,"&lt;&gt;Bid Package",'PCO Log'!$E$7:$SJ$7,"Approved")</f>
        <v>0</v>
      </c>
      <c r="AT201" s="304">
        <f>SUMIFS('PCO Log'!$E25:$SJ25,'PCO Log'!$E$9:$SJ$9,'Graph Data'!AT$187,'PCO Log'!$E$4:$SJ$4,"&lt;&gt;Bid Package",'PCO Log'!$E$7:$SJ$7,"Approved")</f>
        <v>0</v>
      </c>
      <c r="AU201" s="304">
        <f>SUMIFS('PCO Log'!$E25:$SJ25,'PCO Log'!$E$9:$SJ$9,'Graph Data'!AU$187,'PCO Log'!$E$4:$SJ$4,"&lt;&gt;Bid Package",'PCO Log'!$E$7:$SJ$7,"Approved")</f>
        <v>0</v>
      </c>
      <c r="AV201" s="304">
        <f>SUMIFS('PCO Log'!$E25:$SJ25,'PCO Log'!$E$9:$SJ$9,'Graph Data'!AV$187,'PCO Log'!$E$4:$SJ$4,"&lt;&gt;Bid Package",'PCO Log'!$E$7:$SJ$7,"Approved")</f>
        <v>0</v>
      </c>
      <c r="AW201" s="304">
        <f>SUMIFS('PCO Log'!$E25:$SJ25,'PCO Log'!$E$9:$SJ$9,'Graph Data'!AW$187,'PCO Log'!$E$4:$SJ$4,"&lt;&gt;Bid Package",'PCO Log'!$E$7:$SJ$7,"Approved")</f>
        <v>0</v>
      </c>
      <c r="AX201" s="304">
        <f>SUMIFS('PCO Log'!$E25:$SJ25,'PCO Log'!$E$9:$SJ$9,'Graph Data'!AX$187,'PCO Log'!$E$4:$SJ$4,"&lt;&gt;Bid Package",'PCO Log'!$E$7:$SJ$7,"Approved")</f>
        <v>0</v>
      </c>
      <c r="AY201" s="304">
        <f>SUMIFS('PCO Log'!$E25:$SJ25,'PCO Log'!$E$9:$SJ$9,'Graph Data'!AY$187,'PCO Log'!$E$4:$SJ$4,"&lt;&gt;Bid Package",'PCO Log'!$E$7:$SJ$7,"Approved")</f>
        <v>0</v>
      </c>
      <c r="AZ201" s="304">
        <f>SUMIFS('PCO Log'!$E25:$SJ25,'PCO Log'!$E$9:$SJ$9,'Graph Data'!AZ$187,'PCO Log'!$E$4:$SJ$4,"&lt;&gt;Bid Package",'PCO Log'!$E$7:$SJ$7,"Approved")</f>
        <v>0</v>
      </c>
      <c r="BA201" s="304">
        <f>SUMIFS('PCO Log'!$E25:$SJ25,'PCO Log'!$E$9:$SJ$9,'Graph Data'!BA$187,'PCO Log'!$E$4:$SJ$4,"&lt;&gt;Bid Package",'PCO Log'!$E$7:$SJ$7,"Approved")</f>
        <v>0</v>
      </c>
      <c r="BB201" s="304">
        <f>SUMIFS('PCO Log'!$E25:$SJ25,'PCO Log'!$E$9:$SJ$9,'Graph Data'!BB$187,'PCO Log'!$E$4:$SJ$4,"&lt;&gt;Bid Package",'PCO Log'!$E$7:$SJ$7,"Approved")</f>
        <v>0</v>
      </c>
      <c r="BC201" s="304">
        <f>SUMIFS('PCO Log'!$E25:$SJ25,'PCO Log'!$E$9:$SJ$9,'Graph Data'!BC$187,'PCO Log'!$E$4:$SJ$4,"&lt;&gt;Bid Package",'PCO Log'!$E$7:$SJ$7,"Approved")</f>
        <v>0</v>
      </c>
      <c r="BD201" s="304">
        <f>SUMIFS('PCO Log'!$E25:$SJ25,'PCO Log'!$E$9:$SJ$9,'Graph Data'!BD$187,'PCO Log'!$E$4:$SJ$4,"&lt;&gt;Bid Package",'PCO Log'!$E$7:$SJ$7,"Approved")</f>
        <v>0</v>
      </c>
      <c r="BE201" s="304">
        <f>SUMIFS('PCO Log'!$E25:$SJ25,'PCO Log'!$E$9:$SJ$9,'Graph Data'!BE$187,'PCO Log'!$E$4:$SJ$4,"&lt;&gt;Bid Package",'PCO Log'!$E$7:$SJ$7,"Approved")</f>
        <v>0</v>
      </c>
      <c r="BF201" s="304">
        <f>SUMIFS('PCO Log'!$E25:$SJ25,'PCO Log'!$E$9:$SJ$9,'Graph Data'!BF$187,'PCO Log'!$E$4:$SJ$4,"&lt;&gt;Bid Package",'PCO Log'!$E$7:$SJ$7,"Approved")</f>
        <v>0</v>
      </c>
      <c r="BG201" s="304">
        <f>SUMIFS('PCO Log'!$E25:$SJ25,'PCO Log'!$E$9:$SJ$9,'Graph Data'!BG$187,'PCO Log'!$E$4:$SJ$4,"&lt;&gt;Bid Package",'PCO Log'!$E$7:$SJ$7,"Approved")</f>
        <v>0</v>
      </c>
      <c r="BH201" s="304">
        <f>SUMIFS('PCO Log'!$E25:$SJ25,'PCO Log'!$E$9:$SJ$9,'Graph Data'!BH$187,'PCO Log'!$E$4:$SJ$4,"&lt;&gt;Bid Package",'PCO Log'!$E$7:$SJ$7,"Approved")</f>
        <v>0</v>
      </c>
      <c r="BI201" s="304">
        <f>SUMIFS('PCO Log'!$E25:$SJ25,'PCO Log'!$E$9:$SJ$9,'Graph Data'!BI$187,'PCO Log'!$E$4:$SJ$4,"&lt;&gt;Bid Package",'PCO Log'!$E$7:$SJ$7,"Approved")</f>
        <v>0</v>
      </c>
      <c r="BJ201" s="304">
        <f>SUMIFS('PCO Log'!$E25:$SJ25,'PCO Log'!$E$9:$SJ$9,'Graph Data'!BJ$187,'PCO Log'!$E$4:$SJ$4,"&lt;&gt;Bid Package",'PCO Log'!$E$7:$SJ$7,"Approved")</f>
        <v>0</v>
      </c>
      <c r="BK201" s="304">
        <f>SUMIFS('PCO Log'!$E25:$SJ25,'PCO Log'!$E$9:$SJ$9,'Graph Data'!BK$187,'PCO Log'!$E$4:$SJ$4,"&lt;&gt;Bid Package",'PCO Log'!$E$7:$SJ$7,"Approved")</f>
        <v>0</v>
      </c>
      <c r="BL201" s="304">
        <f>SUMIFS('PCO Log'!$E25:$SJ25,'PCO Log'!$E$9:$SJ$9,'Graph Data'!BL$187,'PCO Log'!$E$4:$SJ$4,"&lt;&gt;Bid Package",'PCO Log'!$E$7:$SJ$7,"Approved")</f>
        <v>0</v>
      </c>
      <c r="BM201" s="304">
        <f>SUMIFS('PCO Log'!$E25:$SJ25,'PCO Log'!$E$9:$SJ$9,'Graph Data'!BM$187,'PCO Log'!$E$4:$SJ$4,"&lt;&gt;Bid Package",'PCO Log'!$E$7:$SJ$7,"Approved")</f>
        <v>0</v>
      </c>
      <c r="BN201" s="304">
        <f>SUMIFS('PCO Log'!$E25:$SJ25,'PCO Log'!$E$9:$SJ$9,'Graph Data'!BN$187,'PCO Log'!$E$4:$SJ$4,"&lt;&gt;Bid Package",'PCO Log'!$E$7:$SJ$7,"Approved")</f>
        <v>0</v>
      </c>
      <c r="BO201" s="304">
        <f>SUMIFS('PCO Log'!$E25:$SJ25,'PCO Log'!$E$9:$SJ$9,'Graph Data'!BO$187,'PCO Log'!$E$4:$SJ$4,"&lt;&gt;Bid Package",'PCO Log'!$E$7:$SJ$7,"Approved")</f>
        <v>0</v>
      </c>
      <c r="BP201" s="304">
        <f>SUMIFS('PCO Log'!$E25:$SJ25,'PCO Log'!$E$9:$SJ$9,'Graph Data'!BP$187,'PCO Log'!$E$4:$SJ$4,"&lt;&gt;Bid Package",'PCO Log'!$E$7:$SJ$7,"Approved")</f>
        <v>0</v>
      </c>
      <c r="BQ201" s="304">
        <f>SUMIFS('PCO Log'!$E25:$SJ25,'PCO Log'!$E$9:$SJ$9,'Graph Data'!BQ$187,'PCO Log'!$E$4:$SJ$4,"&lt;&gt;Bid Package",'PCO Log'!$E$7:$SJ$7,"Approved")</f>
        <v>0</v>
      </c>
      <c r="BR201" s="304">
        <f>SUMIFS('PCO Log'!$E25:$SJ25,'PCO Log'!$E$9:$SJ$9,'Graph Data'!BR$187,'PCO Log'!$E$4:$SJ$4,"&lt;&gt;Bid Package",'PCO Log'!$E$7:$SJ$7,"Approved")</f>
        <v>0</v>
      </c>
      <c r="BS201" s="304">
        <f>SUMIFS('PCO Log'!$E25:$SJ25,'PCO Log'!$E$9:$SJ$9,'Graph Data'!BS$187,'PCO Log'!$E$4:$SJ$4,"&lt;&gt;Bid Package",'PCO Log'!$E$7:$SJ$7,"Approved")</f>
        <v>0</v>
      </c>
      <c r="BT201" s="304">
        <f>SUMIFS('PCO Log'!$E25:$SJ25,'PCO Log'!$E$9:$SJ$9,'Graph Data'!BT$187,'PCO Log'!$E$4:$SJ$4,"&lt;&gt;Bid Package",'PCO Log'!$E$7:$SJ$7,"Approved")</f>
        <v>0</v>
      </c>
      <c r="BU201" s="304">
        <f>SUMIFS('PCO Log'!$E25:$SJ25,'PCO Log'!$E$9:$SJ$9,'Graph Data'!BU$187,'PCO Log'!$E$4:$SJ$4,"&lt;&gt;Bid Package",'PCO Log'!$E$7:$SJ$7,"Approved")</f>
        <v>0</v>
      </c>
      <c r="BV201" s="304">
        <f>SUMIFS('PCO Log'!$E25:$SJ25,'PCO Log'!$E$9:$SJ$9,'Graph Data'!BV$187,'PCO Log'!$E$4:$SJ$4,"&lt;&gt;Bid Package",'PCO Log'!$E$7:$SJ$7,"Approved")</f>
        <v>0</v>
      </c>
      <c r="BW201" s="304">
        <f>SUMIFS('PCO Log'!$E25:$SJ25,'PCO Log'!$E$9:$SJ$9,'Graph Data'!BW$187,'PCO Log'!$E$4:$SJ$4,"&lt;&gt;Bid Package",'PCO Log'!$E$7:$SJ$7,"Approved")</f>
        <v>0</v>
      </c>
      <c r="BX201" s="304">
        <f>SUMIFS('PCO Log'!$E25:$SJ25,'PCO Log'!$E$9:$SJ$9,'Graph Data'!BX$187,'PCO Log'!$E$4:$SJ$4,"&lt;&gt;Bid Package",'PCO Log'!$E$7:$SJ$7,"Approved")</f>
        <v>0</v>
      </c>
    </row>
    <row r="202" spans="1:76" x14ac:dyDescent="0.25">
      <c r="A202" s="303" t="s">
        <v>552</v>
      </c>
      <c r="B202" s="303">
        <f>'PCO Log'!GW7</f>
        <v>0</v>
      </c>
      <c r="C202" s="303">
        <f>'PCO Log'!GW4</f>
        <v>0</v>
      </c>
      <c r="D202" s="303" cm="1">
        <f t="array" ref="D202">INDEX('PCO Log'!$E$5:$SJ$5, 1, ROWS('Graph Data'!$D$2:D202))</f>
        <v>0</v>
      </c>
      <c r="E202" s="303">
        <f>'PCO Log'!GW8</f>
        <v>0</v>
      </c>
      <c r="F202" s="303">
        <f>'PCO Log'!GW3</f>
        <v>0</v>
      </c>
      <c r="G202" s="304">
        <f>'PCO Log'!GW10</f>
        <v>0</v>
      </c>
      <c r="H202" s="305">
        <f>'PCO Log'!GW6</f>
        <v>0</v>
      </c>
      <c r="K202" s="307"/>
      <c r="P202" s="303" t="str">
        <f t="shared" si="2"/>
        <v>Survey/Engineering</v>
      </c>
      <c r="Q202" s="304">
        <f>SUMIFS('PCO Log'!$E26:$SJ26,'PCO Log'!$E$9:$SJ$9,'Graph Data'!Q$187,'PCO Log'!$E$4:$SJ$4,"&lt;&gt;Bid Package",'PCO Log'!$E$7:$SJ$7,"Approved")</f>
        <v>0</v>
      </c>
      <c r="R202" s="304">
        <f>SUMIFS('PCO Log'!$E26:$SJ26,'PCO Log'!$E$9:$SJ$9,'Graph Data'!R$187,'PCO Log'!$E$4:$SJ$4,"&lt;&gt;Bid Package",'PCO Log'!$E$7:$SJ$7,"Approved")</f>
        <v>0</v>
      </c>
      <c r="S202" s="304">
        <f>SUMIFS('PCO Log'!$E26:$SJ26,'PCO Log'!$E$9:$SJ$9,'Graph Data'!S$187,'PCO Log'!$E$4:$SJ$4,"&lt;&gt;Bid Package",'PCO Log'!$E$7:$SJ$7,"Approved")</f>
        <v>0</v>
      </c>
      <c r="T202" s="304">
        <f>SUMIFS('PCO Log'!$E26:$SJ26,'PCO Log'!$E$9:$SJ$9,'Graph Data'!T$187,'PCO Log'!$E$4:$SJ$4,"&lt;&gt;Bid Package",'PCO Log'!$E$7:$SJ$7,"Approved")</f>
        <v>0</v>
      </c>
      <c r="U202" s="304">
        <f>SUMIFS('PCO Log'!$E26:$SJ26,'PCO Log'!$E$9:$SJ$9,'Graph Data'!U$187,'PCO Log'!$E$4:$SJ$4,"&lt;&gt;Bid Package",'PCO Log'!$E$7:$SJ$7,"Approved")</f>
        <v>0</v>
      </c>
      <c r="V202" s="304">
        <f>SUMIFS('PCO Log'!$E26:$SJ26,'PCO Log'!$E$9:$SJ$9,'Graph Data'!V$187,'PCO Log'!$E$4:$SJ$4,"&lt;&gt;Bid Package",'PCO Log'!$E$7:$SJ$7,"Approved")</f>
        <v>0</v>
      </c>
      <c r="W202" s="304">
        <f>SUMIFS('PCO Log'!$E26:$SJ26,'PCO Log'!$E$9:$SJ$9,'Graph Data'!W$187,'PCO Log'!$E$4:$SJ$4,"&lt;&gt;Bid Package",'PCO Log'!$E$7:$SJ$7,"Approved")</f>
        <v>0</v>
      </c>
      <c r="X202" s="304">
        <f>SUMIFS('PCO Log'!$E26:$SJ26,'PCO Log'!$E$9:$SJ$9,'Graph Data'!X$187,'PCO Log'!$E$4:$SJ$4,"&lt;&gt;Bid Package",'PCO Log'!$E$7:$SJ$7,"Approved")</f>
        <v>0</v>
      </c>
      <c r="Y202" s="304">
        <f>SUMIFS('PCO Log'!$E26:$SJ26,'PCO Log'!$E$9:$SJ$9,'Graph Data'!Y$187,'PCO Log'!$E$4:$SJ$4,"&lt;&gt;Bid Package",'PCO Log'!$E$7:$SJ$7,"Approved")</f>
        <v>0</v>
      </c>
      <c r="Z202" s="304">
        <f>SUMIFS('PCO Log'!$E26:$SJ26,'PCO Log'!$E$9:$SJ$9,'Graph Data'!Z$187,'PCO Log'!$E$4:$SJ$4,"&lt;&gt;Bid Package",'PCO Log'!$E$7:$SJ$7,"Approved")</f>
        <v>0</v>
      </c>
      <c r="AA202" s="304">
        <f>SUMIFS('PCO Log'!$E26:$SJ26,'PCO Log'!$E$9:$SJ$9,'Graph Data'!AA$187,'PCO Log'!$E$4:$SJ$4,"&lt;&gt;Bid Package",'PCO Log'!$E$7:$SJ$7,"Approved")</f>
        <v>0</v>
      </c>
      <c r="AB202" s="304">
        <f>SUMIFS('PCO Log'!$E26:$SJ26,'PCO Log'!$E$9:$SJ$9,'Graph Data'!AB$187,'PCO Log'!$E$4:$SJ$4,"&lt;&gt;Bid Package",'PCO Log'!$E$7:$SJ$7,"Approved")</f>
        <v>0</v>
      </c>
      <c r="AC202" s="304">
        <f>SUMIFS('PCO Log'!$E26:$SJ26,'PCO Log'!$E$9:$SJ$9,'Graph Data'!AC$187,'PCO Log'!$E$4:$SJ$4,"&lt;&gt;Bid Package",'PCO Log'!$E$7:$SJ$7,"Approved")</f>
        <v>0</v>
      </c>
      <c r="AD202" s="304">
        <f>SUMIFS('PCO Log'!$E26:$SJ26,'PCO Log'!$E$9:$SJ$9,'Graph Data'!AD$187,'PCO Log'!$E$4:$SJ$4,"&lt;&gt;Bid Package",'PCO Log'!$E$7:$SJ$7,"Approved")</f>
        <v>0</v>
      </c>
      <c r="AE202" s="304">
        <f>SUMIFS('PCO Log'!$E26:$SJ26,'PCO Log'!$E$9:$SJ$9,'Graph Data'!AE$187,'PCO Log'!$E$4:$SJ$4,"&lt;&gt;Bid Package",'PCO Log'!$E$7:$SJ$7,"Approved")</f>
        <v>0</v>
      </c>
      <c r="AF202" s="304">
        <f>SUMIFS('PCO Log'!$E26:$SJ26,'PCO Log'!$E$9:$SJ$9,'Graph Data'!AF$187,'PCO Log'!$E$4:$SJ$4,"&lt;&gt;Bid Package",'PCO Log'!$E$7:$SJ$7,"Approved")</f>
        <v>0</v>
      </c>
      <c r="AG202" s="304">
        <f>SUMIFS('PCO Log'!$E26:$SJ26,'PCO Log'!$E$9:$SJ$9,'Graph Data'!AG$187,'PCO Log'!$E$4:$SJ$4,"&lt;&gt;Bid Package",'PCO Log'!$E$7:$SJ$7,"Approved")</f>
        <v>0</v>
      </c>
      <c r="AH202" s="304">
        <f>SUMIFS('PCO Log'!$E26:$SJ26,'PCO Log'!$E$9:$SJ$9,'Graph Data'!AH$187,'PCO Log'!$E$4:$SJ$4,"&lt;&gt;Bid Package",'PCO Log'!$E$7:$SJ$7,"Approved")</f>
        <v>0</v>
      </c>
      <c r="AI202" s="304">
        <f>SUMIFS('PCO Log'!$E26:$SJ26,'PCO Log'!$E$9:$SJ$9,'Graph Data'!AI$187,'PCO Log'!$E$4:$SJ$4,"&lt;&gt;Bid Package",'PCO Log'!$E$7:$SJ$7,"Approved")</f>
        <v>0</v>
      </c>
      <c r="AJ202" s="304">
        <f>SUMIFS('PCO Log'!$E26:$SJ26,'PCO Log'!$E$9:$SJ$9,'Graph Data'!AJ$187,'PCO Log'!$E$4:$SJ$4,"&lt;&gt;Bid Package",'PCO Log'!$E$7:$SJ$7,"Approved")</f>
        <v>0</v>
      </c>
      <c r="AK202" s="304">
        <f>SUMIFS('PCO Log'!$E26:$SJ26,'PCO Log'!$E$9:$SJ$9,'Graph Data'!AK$187,'PCO Log'!$E$4:$SJ$4,"&lt;&gt;Bid Package",'PCO Log'!$E$7:$SJ$7,"Approved")</f>
        <v>0</v>
      </c>
      <c r="AL202" s="304">
        <f>SUMIFS('PCO Log'!$E26:$SJ26,'PCO Log'!$E$9:$SJ$9,'Graph Data'!AL$187,'PCO Log'!$E$4:$SJ$4,"&lt;&gt;Bid Package",'PCO Log'!$E$7:$SJ$7,"Approved")</f>
        <v>0</v>
      </c>
      <c r="AM202" s="304">
        <f>SUMIFS('PCO Log'!$E26:$SJ26,'PCO Log'!$E$9:$SJ$9,'Graph Data'!AM$187,'PCO Log'!$E$4:$SJ$4,"&lt;&gt;Bid Package",'PCO Log'!$E$7:$SJ$7,"Approved")</f>
        <v>0</v>
      </c>
      <c r="AN202" s="304">
        <f>SUMIFS('PCO Log'!$E26:$SJ26,'PCO Log'!$E$9:$SJ$9,'Graph Data'!AN$187,'PCO Log'!$E$4:$SJ$4,"&lt;&gt;Bid Package",'PCO Log'!$E$7:$SJ$7,"Approved")</f>
        <v>0</v>
      </c>
      <c r="AO202" s="304">
        <f>SUMIFS('PCO Log'!$E26:$SJ26,'PCO Log'!$E$9:$SJ$9,'Graph Data'!AO$187,'PCO Log'!$E$4:$SJ$4,"&lt;&gt;Bid Package",'PCO Log'!$E$7:$SJ$7,"Approved")</f>
        <v>0</v>
      </c>
      <c r="AP202" s="304">
        <f>SUMIFS('PCO Log'!$E26:$SJ26,'PCO Log'!$E$9:$SJ$9,'Graph Data'!AP$187,'PCO Log'!$E$4:$SJ$4,"&lt;&gt;Bid Package",'PCO Log'!$E$7:$SJ$7,"Approved")</f>
        <v>0</v>
      </c>
      <c r="AQ202" s="304">
        <f>SUMIFS('PCO Log'!$E26:$SJ26,'PCO Log'!$E$9:$SJ$9,'Graph Data'!AQ$187,'PCO Log'!$E$4:$SJ$4,"&lt;&gt;Bid Package",'PCO Log'!$E$7:$SJ$7,"Approved")</f>
        <v>0</v>
      </c>
      <c r="AR202" s="304">
        <f>SUMIFS('PCO Log'!$E26:$SJ26,'PCO Log'!$E$9:$SJ$9,'Graph Data'!AR$187,'PCO Log'!$E$4:$SJ$4,"&lt;&gt;Bid Package",'PCO Log'!$E$7:$SJ$7,"Approved")</f>
        <v>0</v>
      </c>
      <c r="AS202" s="304">
        <f>SUMIFS('PCO Log'!$E26:$SJ26,'PCO Log'!$E$9:$SJ$9,'Graph Data'!AS$187,'PCO Log'!$E$4:$SJ$4,"&lt;&gt;Bid Package",'PCO Log'!$E$7:$SJ$7,"Approved")</f>
        <v>0</v>
      </c>
      <c r="AT202" s="304">
        <f>SUMIFS('PCO Log'!$E26:$SJ26,'PCO Log'!$E$9:$SJ$9,'Graph Data'!AT$187,'PCO Log'!$E$4:$SJ$4,"&lt;&gt;Bid Package",'PCO Log'!$E$7:$SJ$7,"Approved")</f>
        <v>0</v>
      </c>
      <c r="AU202" s="304">
        <f>SUMIFS('PCO Log'!$E26:$SJ26,'PCO Log'!$E$9:$SJ$9,'Graph Data'!AU$187,'PCO Log'!$E$4:$SJ$4,"&lt;&gt;Bid Package",'PCO Log'!$E$7:$SJ$7,"Approved")</f>
        <v>0</v>
      </c>
      <c r="AV202" s="304">
        <f>SUMIFS('PCO Log'!$E26:$SJ26,'PCO Log'!$E$9:$SJ$9,'Graph Data'!AV$187,'PCO Log'!$E$4:$SJ$4,"&lt;&gt;Bid Package",'PCO Log'!$E$7:$SJ$7,"Approved")</f>
        <v>0</v>
      </c>
      <c r="AW202" s="304">
        <f>SUMIFS('PCO Log'!$E26:$SJ26,'PCO Log'!$E$9:$SJ$9,'Graph Data'!AW$187,'PCO Log'!$E$4:$SJ$4,"&lt;&gt;Bid Package",'PCO Log'!$E$7:$SJ$7,"Approved")</f>
        <v>0</v>
      </c>
      <c r="AX202" s="304">
        <f>SUMIFS('PCO Log'!$E26:$SJ26,'PCO Log'!$E$9:$SJ$9,'Graph Data'!AX$187,'PCO Log'!$E$4:$SJ$4,"&lt;&gt;Bid Package",'PCO Log'!$E$7:$SJ$7,"Approved")</f>
        <v>0</v>
      </c>
      <c r="AY202" s="304">
        <f>SUMIFS('PCO Log'!$E26:$SJ26,'PCO Log'!$E$9:$SJ$9,'Graph Data'!AY$187,'PCO Log'!$E$4:$SJ$4,"&lt;&gt;Bid Package",'PCO Log'!$E$7:$SJ$7,"Approved")</f>
        <v>0</v>
      </c>
      <c r="AZ202" s="304">
        <f>SUMIFS('PCO Log'!$E26:$SJ26,'PCO Log'!$E$9:$SJ$9,'Graph Data'!AZ$187,'PCO Log'!$E$4:$SJ$4,"&lt;&gt;Bid Package",'PCO Log'!$E$7:$SJ$7,"Approved")</f>
        <v>0</v>
      </c>
      <c r="BA202" s="304">
        <f>SUMIFS('PCO Log'!$E26:$SJ26,'PCO Log'!$E$9:$SJ$9,'Graph Data'!BA$187,'PCO Log'!$E$4:$SJ$4,"&lt;&gt;Bid Package",'PCO Log'!$E$7:$SJ$7,"Approved")</f>
        <v>0</v>
      </c>
      <c r="BB202" s="304">
        <f>SUMIFS('PCO Log'!$E26:$SJ26,'PCO Log'!$E$9:$SJ$9,'Graph Data'!BB$187,'PCO Log'!$E$4:$SJ$4,"&lt;&gt;Bid Package",'PCO Log'!$E$7:$SJ$7,"Approved")</f>
        <v>0</v>
      </c>
      <c r="BC202" s="304">
        <f>SUMIFS('PCO Log'!$E26:$SJ26,'PCO Log'!$E$9:$SJ$9,'Graph Data'!BC$187,'PCO Log'!$E$4:$SJ$4,"&lt;&gt;Bid Package",'PCO Log'!$E$7:$SJ$7,"Approved")</f>
        <v>0</v>
      </c>
      <c r="BD202" s="304">
        <f>SUMIFS('PCO Log'!$E26:$SJ26,'PCO Log'!$E$9:$SJ$9,'Graph Data'!BD$187,'PCO Log'!$E$4:$SJ$4,"&lt;&gt;Bid Package",'PCO Log'!$E$7:$SJ$7,"Approved")</f>
        <v>0</v>
      </c>
      <c r="BE202" s="304">
        <f>SUMIFS('PCO Log'!$E26:$SJ26,'PCO Log'!$E$9:$SJ$9,'Graph Data'!BE$187,'PCO Log'!$E$4:$SJ$4,"&lt;&gt;Bid Package",'PCO Log'!$E$7:$SJ$7,"Approved")</f>
        <v>0</v>
      </c>
      <c r="BF202" s="304">
        <f>SUMIFS('PCO Log'!$E26:$SJ26,'PCO Log'!$E$9:$SJ$9,'Graph Data'!BF$187,'PCO Log'!$E$4:$SJ$4,"&lt;&gt;Bid Package",'PCO Log'!$E$7:$SJ$7,"Approved")</f>
        <v>0</v>
      </c>
      <c r="BG202" s="304">
        <f>SUMIFS('PCO Log'!$E26:$SJ26,'PCO Log'!$E$9:$SJ$9,'Graph Data'!BG$187,'PCO Log'!$E$4:$SJ$4,"&lt;&gt;Bid Package",'PCO Log'!$E$7:$SJ$7,"Approved")</f>
        <v>0</v>
      </c>
      <c r="BH202" s="304">
        <f>SUMIFS('PCO Log'!$E26:$SJ26,'PCO Log'!$E$9:$SJ$9,'Graph Data'!BH$187,'PCO Log'!$E$4:$SJ$4,"&lt;&gt;Bid Package",'PCO Log'!$E$7:$SJ$7,"Approved")</f>
        <v>0</v>
      </c>
      <c r="BI202" s="304">
        <f>SUMIFS('PCO Log'!$E26:$SJ26,'PCO Log'!$E$9:$SJ$9,'Graph Data'!BI$187,'PCO Log'!$E$4:$SJ$4,"&lt;&gt;Bid Package",'PCO Log'!$E$7:$SJ$7,"Approved")</f>
        <v>0</v>
      </c>
      <c r="BJ202" s="304">
        <f>SUMIFS('PCO Log'!$E26:$SJ26,'PCO Log'!$E$9:$SJ$9,'Graph Data'!BJ$187,'PCO Log'!$E$4:$SJ$4,"&lt;&gt;Bid Package",'PCO Log'!$E$7:$SJ$7,"Approved")</f>
        <v>0</v>
      </c>
      <c r="BK202" s="304">
        <f>SUMIFS('PCO Log'!$E26:$SJ26,'PCO Log'!$E$9:$SJ$9,'Graph Data'!BK$187,'PCO Log'!$E$4:$SJ$4,"&lt;&gt;Bid Package",'PCO Log'!$E$7:$SJ$7,"Approved")</f>
        <v>0</v>
      </c>
      <c r="BL202" s="304">
        <f>SUMIFS('PCO Log'!$E26:$SJ26,'PCO Log'!$E$9:$SJ$9,'Graph Data'!BL$187,'PCO Log'!$E$4:$SJ$4,"&lt;&gt;Bid Package",'PCO Log'!$E$7:$SJ$7,"Approved")</f>
        <v>0</v>
      </c>
      <c r="BM202" s="304">
        <f>SUMIFS('PCO Log'!$E26:$SJ26,'PCO Log'!$E$9:$SJ$9,'Graph Data'!BM$187,'PCO Log'!$E$4:$SJ$4,"&lt;&gt;Bid Package",'PCO Log'!$E$7:$SJ$7,"Approved")</f>
        <v>0</v>
      </c>
      <c r="BN202" s="304">
        <f>SUMIFS('PCO Log'!$E26:$SJ26,'PCO Log'!$E$9:$SJ$9,'Graph Data'!BN$187,'PCO Log'!$E$4:$SJ$4,"&lt;&gt;Bid Package",'PCO Log'!$E$7:$SJ$7,"Approved")</f>
        <v>0</v>
      </c>
      <c r="BO202" s="304">
        <f>SUMIFS('PCO Log'!$E26:$SJ26,'PCO Log'!$E$9:$SJ$9,'Graph Data'!BO$187,'PCO Log'!$E$4:$SJ$4,"&lt;&gt;Bid Package",'PCO Log'!$E$7:$SJ$7,"Approved")</f>
        <v>0</v>
      </c>
      <c r="BP202" s="304">
        <f>SUMIFS('PCO Log'!$E26:$SJ26,'PCO Log'!$E$9:$SJ$9,'Graph Data'!BP$187,'PCO Log'!$E$4:$SJ$4,"&lt;&gt;Bid Package",'PCO Log'!$E$7:$SJ$7,"Approved")</f>
        <v>0</v>
      </c>
      <c r="BQ202" s="304">
        <f>SUMIFS('PCO Log'!$E26:$SJ26,'PCO Log'!$E$9:$SJ$9,'Graph Data'!BQ$187,'PCO Log'!$E$4:$SJ$4,"&lt;&gt;Bid Package",'PCO Log'!$E$7:$SJ$7,"Approved")</f>
        <v>0</v>
      </c>
      <c r="BR202" s="304">
        <f>SUMIFS('PCO Log'!$E26:$SJ26,'PCO Log'!$E$9:$SJ$9,'Graph Data'!BR$187,'PCO Log'!$E$4:$SJ$4,"&lt;&gt;Bid Package",'PCO Log'!$E$7:$SJ$7,"Approved")</f>
        <v>0</v>
      </c>
      <c r="BS202" s="304">
        <f>SUMIFS('PCO Log'!$E26:$SJ26,'PCO Log'!$E$9:$SJ$9,'Graph Data'!BS$187,'PCO Log'!$E$4:$SJ$4,"&lt;&gt;Bid Package",'PCO Log'!$E$7:$SJ$7,"Approved")</f>
        <v>0</v>
      </c>
      <c r="BT202" s="304">
        <f>SUMIFS('PCO Log'!$E26:$SJ26,'PCO Log'!$E$9:$SJ$9,'Graph Data'!BT$187,'PCO Log'!$E$4:$SJ$4,"&lt;&gt;Bid Package",'PCO Log'!$E$7:$SJ$7,"Approved")</f>
        <v>0</v>
      </c>
      <c r="BU202" s="304">
        <f>SUMIFS('PCO Log'!$E26:$SJ26,'PCO Log'!$E$9:$SJ$9,'Graph Data'!BU$187,'PCO Log'!$E$4:$SJ$4,"&lt;&gt;Bid Package",'PCO Log'!$E$7:$SJ$7,"Approved")</f>
        <v>0</v>
      </c>
      <c r="BV202" s="304">
        <f>SUMIFS('PCO Log'!$E26:$SJ26,'PCO Log'!$E$9:$SJ$9,'Graph Data'!BV$187,'PCO Log'!$E$4:$SJ$4,"&lt;&gt;Bid Package",'PCO Log'!$E$7:$SJ$7,"Approved")</f>
        <v>0</v>
      </c>
      <c r="BW202" s="304">
        <f>SUMIFS('PCO Log'!$E26:$SJ26,'PCO Log'!$E$9:$SJ$9,'Graph Data'!BW$187,'PCO Log'!$E$4:$SJ$4,"&lt;&gt;Bid Package",'PCO Log'!$E$7:$SJ$7,"Approved")</f>
        <v>0</v>
      </c>
      <c r="BX202" s="304">
        <f>SUMIFS('PCO Log'!$E26:$SJ26,'PCO Log'!$E$9:$SJ$9,'Graph Data'!BX$187,'PCO Log'!$E$4:$SJ$4,"&lt;&gt;Bid Package",'PCO Log'!$E$7:$SJ$7,"Approved")</f>
        <v>0</v>
      </c>
    </row>
    <row r="203" spans="1:76" x14ac:dyDescent="0.25">
      <c r="A203" s="303" t="s">
        <v>553</v>
      </c>
      <c r="B203" s="303">
        <f>'PCO Log'!GX7</f>
        <v>0</v>
      </c>
      <c r="C203" s="303">
        <f>'PCO Log'!GX4</f>
        <v>0</v>
      </c>
      <c r="D203" s="303" cm="1">
        <f t="array" ref="D203">INDEX('PCO Log'!$E$5:$SJ$5, 1, ROWS('Graph Data'!$D$2:D203))</f>
        <v>0</v>
      </c>
      <c r="E203" s="303">
        <f>'PCO Log'!GX8</f>
        <v>0</v>
      </c>
      <c r="F203" s="303">
        <f>'PCO Log'!GX3</f>
        <v>0</v>
      </c>
      <c r="G203" s="304">
        <f>'PCO Log'!GX10</f>
        <v>0</v>
      </c>
      <c r="H203" s="305">
        <f>'PCO Log'!GX6</f>
        <v>0</v>
      </c>
      <c r="K203" s="307"/>
      <c r="P203" s="303" t="str">
        <f t="shared" si="2"/>
        <v>Demolition</v>
      </c>
      <c r="Q203" s="304">
        <f>SUMIFS('PCO Log'!$E27:$SJ27,'PCO Log'!$E$9:$SJ$9,'Graph Data'!Q$187,'PCO Log'!$E$4:$SJ$4,"&lt;&gt;Bid Package",'PCO Log'!$E$7:$SJ$7,"Approved")</f>
        <v>0</v>
      </c>
      <c r="R203" s="304">
        <f>SUMIFS('PCO Log'!$E27:$SJ27,'PCO Log'!$E$9:$SJ$9,'Graph Data'!R$187,'PCO Log'!$E$4:$SJ$4,"&lt;&gt;Bid Package",'PCO Log'!$E$7:$SJ$7,"Approved")</f>
        <v>0</v>
      </c>
      <c r="S203" s="304">
        <f>SUMIFS('PCO Log'!$E27:$SJ27,'PCO Log'!$E$9:$SJ$9,'Graph Data'!S$187,'PCO Log'!$E$4:$SJ$4,"&lt;&gt;Bid Package",'PCO Log'!$E$7:$SJ$7,"Approved")</f>
        <v>0</v>
      </c>
      <c r="T203" s="304">
        <f>SUMIFS('PCO Log'!$E27:$SJ27,'PCO Log'!$E$9:$SJ$9,'Graph Data'!T$187,'PCO Log'!$E$4:$SJ$4,"&lt;&gt;Bid Package",'PCO Log'!$E$7:$SJ$7,"Approved")</f>
        <v>0</v>
      </c>
      <c r="U203" s="304">
        <f>SUMIFS('PCO Log'!$E27:$SJ27,'PCO Log'!$E$9:$SJ$9,'Graph Data'!U$187,'PCO Log'!$E$4:$SJ$4,"&lt;&gt;Bid Package",'PCO Log'!$E$7:$SJ$7,"Approved")</f>
        <v>0</v>
      </c>
      <c r="V203" s="304">
        <f>SUMIFS('PCO Log'!$E27:$SJ27,'PCO Log'!$E$9:$SJ$9,'Graph Data'!V$187,'PCO Log'!$E$4:$SJ$4,"&lt;&gt;Bid Package",'PCO Log'!$E$7:$SJ$7,"Approved")</f>
        <v>0</v>
      </c>
      <c r="W203" s="304">
        <f>SUMIFS('PCO Log'!$E27:$SJ27,'PCO Log'!$E$9:$SJ$9,'Graph Data'!W$187,'PCO Log'!$E$4:$SJ$4,"&lt;&gt;Bid Package",'PCO Log'!$E$7:$SJ$7,"Approved")</f>
        <v>0</v>
      </c>
      <c r="X203" s="304">
        <f>SUMIFS('PCO Log'!$E27:$SJ27,'PCO Log'!$E$9:$SJ$9,'Graph Data'!X$187,'PCO Log'!$E$4:$SJ$4,"&lt;&gt;Bid Package",'PCO Log'!$E$7:$SJ$7,"Approved")</f>
        <v>0</v>
      </c>
      <c r="Y203" s="304">
        <f>SUMIFS('PCO Log'!$E27:$SJ27,'PCO Log'!$E$9:$SJ$9,'Graph Data'!Y$187,'PCO Log'!$E$4:$SJ$4,"&lt;&gt;Bid Package",'PCO Log'!$E$7:$SJ$7,"Approved")</f>
        <v>0</v>
      </c>
      <c r="Z203" s="304">
        <f>SUMIFS('PCO Log'!$E27:$SJ27,'PCO Log'!$E$9:$SJ$9,'Graph Data'!Z$187,'PCO Log'!$E$4:$SJ$4,"&lt;&gt;Bid Package",'PCO Log'!$E$7:$SJ$7,"Approved")</f>
        <v>0</v>
      </c>
      <c r="AA203" s="304">
        <f>SUMIFS('PCO Log'!$E27:$SJ27,'PCO Log'!$E$9:$SJ$9,'Graph Data'!AA$187,'PCO Log'!$E$4:$SJ$4,"&lt;&gt;Bid Package",'PCO Log'!$E$7:$SJ$7,"Approved")</f>
        <v>0</v>
      </c>
      <c r="AB203" s="304">
        <f>SUMIFS('PCO Log'!$E27:$SJ27,'PCO Log'!$E$9:$SJ$9,'Graph Data'!AB$187,'PCO Log'!$E$4:$SJ$4,"&lt;&gt;Bid Package",'PCO Log'!$E$7:$SJ$7,"Approved")</f>
        <v>0</v>
      </c>
      <c r="AC203" s="304">
        <f>SUMIFS('PCO Log'!$E27:$SJ27,'PCO Log'!$E$9:$SJ$9,'Graph Data'!AC$187,'PCO Log'!$E$4:$SJ$4,"&lt;&gt;Bid Package",'PCO Log'!$E$7:$SJ$7,"Approved")</f>
        <v>0</v>
      </c>
      <c r="AD203" s="304">
        <f>SUMIFS('PCO Log'!$E27:$SJ27,'PCO Log'!$E$9:$SJ$9,'Graph Data'!AD$187,'PCO Log'!$E$4:$SJ$4,"&lt;&gt;Bid Package",'PCO Log'!$E$7:$SJ$7,"Approved")</f>
        <v>0</v>
      </c>
      <c r="AE203" s="304">
        <f>SUMIFS('PCO Log'!$E27:$SJ27,'PCO Log'!$E$9:$SJ$9,'Graph Data'!AE$187,'PCO Log'!$E$4:$SJ$4,"&lt;&gt;Bid Package",'PCO Log'!$E$7:$SJ$7,"Approved")</f>
        <v>0</v>
      </c>
      <c r="AF203" s="304">
        <f>SUMIFS('PCO Log'!$E27:$SJ27,'PCO Log'!$E$9:$SJ$9,'Graph Data'!AF$187,'PCO Log'!$E$4:$SJ$4,"&lt;&gt;Bid Package",'PCO Log'!$E$7:$SJ$7,"Approved")</f>
        <v>0</v>
      </c>
      <c r="AG203" s="304">
        <f>SUMIFS('PCO Log'!$E27:$SJ27,'PCO Log'!$E$9:$SJ$9,'Graph Data'!AG$187,'PCO Log'!$E$4:$SJ$4,"&lt;&gt;Bid Package",'PCO Log'!$E$7:$SJ$7,"Approved")</f>
        <v>0</v>
      </c>
      <c r="AH203" s="304">
        <f>SUMIFS('PCO Log'!$E27:$SJ27,'PCO Log'!$E$9:$SJ$9,'Graph Data'!AH$187,'PCO Log'!$E$4:$SJ$4,"&lt;&gt;Bid Package",'PCO Log'!$E$7:$SJ$7,"Approved")</f>
        <v>0</v>
      </c>
      <c r="AI203" s="304">
        <f>SUMIFS('PCO Log'!$E27:$SJ27,'PCO Log'!$E$9:$SJ$9,'Graph Data'!AI$187,'PCO Log'!$E$4:$SJ$4,"&lt;&gt;Bid Package",'PCO Log'!$E$7:$SJ$7,"Approved")</f>
        <v>0</v>
      </c>
      <c r="AJ203" s="304">
        <f>SUMIFS('PCO Log'!$E27:$SJ27,'PCO Log'!$E$9:$SJ$9,'Graph Data'!AJ$187,'PCO Log'!$E$4:$SJ$4,"&lt;&gt;Bid Package",'PCO Log'!$E$7:$SJ$7,"Approved")</f>
        <v>0</v>
      </c>
      <c r="AK203" s="304">
        <f>SUMIFS('PCO Log'!$E27:$SJ27,'PCO Log'!$E$9:$SJ$9,'Graph Data'!AK$187,'PCO Log'!$E$4:$SJ$4,"&lt;&gt;Bid Package",'PCO Log'!$E$7:$SJ$7,"Approved")</f>
        <v>0</v>
      </c>
      <c r="AL203" s="304">
        <f>SUMIFS('PCO Log'!$E27:$SJ27,'PCO Log'!$E$9:$SJ$9,'Graph Data'!AL$187,'PCO Log'!$E$4:$SJ$4,"&lt;&gt;Bid Package",'PCO Log'!$E$7:$SJ$7,"Approved")</f>
        <v>0</v>
      </c>
      <c r="AM203" s="304">
        <f>SUMIFS('PCO Log'!$E27:$SJ27,'PCO Log'!$E$9:$SJ$9,'Graph Data'!AM$187,'PCO Log'!$E$4:$SJ$4,"&lt;&gt;Bid Package",'PCO Log'!$E$7:$SJ$7,"Approved")</f>
        <v>0</v>
      </c>
      <c r="AN203" s="304">
        <f>SUMIFS('PCO Log'!$E27:$SJ27,'PCO Log'!$E$9:$SJ$9,'Graph Data'!AN$187,'PCO Log'!$E$4:$SJ$4,"&lt;&gt;Bid Package",'PCO Log'!$E$7:$SJ$7,"Approved")</f>
        <v>0</v>
      </c>
      <c r="AO203" s="304">
        <f>SUMIFS('PCO Log'!$E27:$SJ27,'PCO Log'!$E$9:$SJ$9,'Graph Data'!AO$187,'PCO Log'!$E$4:$SJ$4,"&lt;&gt;Bid Package",'PCO Log'!$E$7:$SJ$7,"Approved")</f>
        <v>0</v>
      </c>
      <c r="AP203" s="304">
        <f>SUMIFS('PCO Log'!$E27:$SJ27,'PCO Log'!$E$9:$SJ$9,'Graph Data'!AP$187,'PCO Log'!$E$4:$SJ$4,"&lt;&gt;Bid Package",'PCO Log'!$E$7:$SJ$7,"Approved")</f>
        <v>0</v>
      </c>
      <c r="AQ203" s="304">
        <f>SUMIFS('PCO Log'!$E27:$SJ27,'PCO Log'!$E$9:$SJ$9,'Graph Data'!AQ$187,'PCO Log'!$E$4:$SJ$4,"&lt;&gt;Bid Package",'PCO Log'!$E$7:$SJ$7,"Approved")</f>
        <v>0</v>
      </c>
      <c r="AR203" s="304">
        <f>SUMIFS('PCO Log'!$E27:$SJ27,'PCO Log'!$E$9:$SJ$9,'Graph Data'!AR$187,'PCO Log'!$E$4:$SJ$4,"&lt;&gt;Bid Package",'PCO Log'!$E$7:$SJ$7,"Approved")</f>
        <v>0</v>
      </c>
      <c r="AS203" s="304">
        <f>SUMIFS('PCO Log'!$E27:$SJ27,'PCO Log'!$E$9:$SJ$9,'Graph Data'!AS$187,'PCO Log'!$E$4:$SJ$4,"&lt;&gt;Bid Package",'PCO Log'!$E$7:$SJ$7,"Approved")</f>
        <v>0</v>
      </c>
      <c r="AT203" s="304">
        <f>SUMIFS('PCO Log'!$E27:$SJ27,'PCO Log'!$E$9:$SJ$9,'Graph Data'!AT$187,'PCO Log'!$E$4:$SJ$4,"&lt;&gt;Bid Package",'PCO Log'!$E$7:$SJ$7,"Approved")</f>
        <v>0</v>
      </c>
      <c r="AU203" s="304">
        <f>SUMIFS('PCO Log'!$E27:$SJ27,'PCO Log'!$E$9:$SJ$9,'Graph Data'!AU$187,'PCO Log'!$E$4:$SJ$4,"&lt;&gt;Bid Package",'PCO Log'!$E$7:$SJ$7,"Approved")</f>
        <v>0</v>
      </c>
      <c r="AV203" s="304">
        <f>SUMIFS('PCO Log'!$E27:$SJ27,'PCO Log'!$E$9:$SJ$9,'Graph Data'!AV$187,'PCO Log'!$E$4:$SJ$4,"&lt;&gt;Bid Package",'PCO Log'!$E$7:$SJ$7,"Approved")</f>
        <v>0</v>
      </c>
      <c r="AW203" s="304">
        <f>SUMIFS('PCO Log'!$E27:$SJ27,'PCO Log'!$E$9:$SJ$9,'Graph Data'!AW$187,'PCO Log'!$E$4:$SJ$4,"&lt;&gt;Bid Package",'PCO Log'!$E$7:$SJ$7,"Approved")</f>
        <v>0</v>
      </c>
      <c r="AX203" s="304">
        <f>SUMIFS('PCO Log'!$E27:$SJ27,'PCO Log'!$E$9:$SJ$9,'Graph Data'!AX$187,'PCO Log'!$E$4:$SJ$4,"&lt;&gt;Bid Package",'PCO Log'!$E$7:$SJ$7,"Approved")</f>
        <v>0</v>
      </c>
      <c r="AY203" s="304">
        <f>SUMIFS('PCO Log'!$E27:$SJ27,'PCO Log'!$E$9:$SJ$9,'Graph Data'!AY$187,'PCO Log'!$E$4:$SJ$4,"&lt;&gt;Bid Package",'PCO Log'!$E$7:$SJ$7,"Approved")</f>
        <v>0</v>
      </c>
      <c r="AZ203" s="304">
        <f>SUMIFS('PCO Log'!$E27:$SJ27,'PCO Log'!$E$9:$SJ$9,'Graph Data'!AZ$187,'PCO Log'!$E$4:$SJ$4,"&lt;&gt;Bid Package",'PCO Log'!$E$7:$SJ$7,"Approved")</f>
        <v>0</v>
      </c>
      <c r="BA203" s="304">
        <f>SUMIFS('PCO Log'!$E27:$SJ27,'PCO Log'!$E$9:$SJ$9,'Graph Data'!BA$187,'PCO Log'!$E$4:$SJ$4,"&lt;&gt;Bid Package",'PCO Log'!$E$7:$SJ$7,"Approved")</f>
        <v>0</v>
      </c>
      <c r="BB203" s="304">
        <f>SUMIFS('PCO Log'!$E27:$SJ27,'PCO Log'!$E$9:$SJ$9,'Graph Data'!BB$187,'PCO Log'!$E$4:$SJ$4,"&lt;&gt;Bid Package",'PCO Log'!$E$7:$SJ$7,"Approved")</f>
        <v>0</v>
      </c>
      <c r="BC203" s="304">
        <f>SUMIFS('PCO Log'!$E27:$SJ27,'PCO Log'!$E$9:$SJ$9,'Graph Data'!BC$187,'PCO Log'!$E$4:$SJ$4,"&lt;&gt;Bid Package",'PCO Log'!$E$7:$SJ$7,"Approved")</f>
        <v>0</v>
      </c>
      <c r="BD203" s="304">
        <f>SUMIFS('PCO Log'!$E27:$SJ27,'PCO Log'!$E$9:$SJ$9,'Graph Data'!BD$187,'PCO Log'!$E$4:$SJ$4,"&lt;&gt;Bid Package",'PCO Log'!$E$7:$SJ$7,"Approved")</f>
        <v>0</v>
      </c>
      <c r="BE203" s="304">
        <f>SUMIFS('PCO Log'!$E27:$SJ27,'PCO Log'!$E$9:$SJ$9,'Graph Data'!BE$187,'PCO Log'!$E$4:$SJ$4,"&lt;&gt;Bid Package",'PCO Log'!$E$7:$SJ$7,"Approved")</f>
        <v>0</v>
      </c>
      <c r="BF203" s="304">
        <f>SUMIFS('PCO Log'!$E27:$SJ27,'PCO Log'!$E$9:$SJ$9,'Graph Data'!BF$187,'PCO Log'!$E$4:$SJ$4,"&lt;&gt;Bid Package",'PCO Log'!$E$7:$SJ$7,"Approved")</f>
        <v>0</v>
      </c>
      <c r="BG203" s="304">
        <f>SUMIFS('PCO Log'!$E27:$SJ27,'PCO Log'!$E$9:$SJ$9,'Graph Data'!BG$187,'PCO Log'!$E$4:$SJ$4,"&lt;&gt;Bid Package",'PCO Log'!$E$7:$SJ$7,"Approved")</f>
        <v>0</v>
      </c>
      <c r="BH203" s="304">
        <f>SUMIFS('PCO Log'!$E27:$SJ27,'PCO Log'!$E$9:$SJ$9,'Graph Data'!BH$187,'PCO Log'!$E$4:$SJ$4,"&lt;&gt;Bid Package",'PCO Log'!$E$7:$SJ$7,"Approved")</f>
        <v>0</v>
      </c>
      <c r="BI203" s="304">
        <f>SUMIFS('PCO Log'!$E27:$SJ27,'PCO Log'!$E$9:$SJ$9,'Graph Data'!BI$187,'PCO Log'!$E$4:$SJ$4,"&lt;&gt;Bid Package",'PCO Log'!$E$7:$SJ$7,"Approved")</f>
        <v>0</v>
      </c>
      <c r="BJ203" s="304">
        <f>SUMIFS('PCO Log'!$E27:$SJ27,'PCO Log'!$E$9:$SJ$9,'Graph Data'!BJ$187,'PCO Log'!$E$4:$SJ$4,"&lt;&gt;Bid Package",'PCO Log'!$E$7:$SJ$7,"Approved")</f>
        <v>0</v>
      </c>
      <c r="BK203" s="304">
        <f>SUMIFS('PCO Log'!$E27:$SJ27,'PCO Log'!$E$9:$SJ$9,'Graph Data'!BK$187,'PCO Log'!$E$4:$SJ$4,"&lt;&gt;Bid Package",'PCO Log'!$E$7:$SJ$7,"Approved")</f>
        <v>0</v>
      </c>
      <c r="BL203" s="304">
        <f>SUMIFS('PCO Log'!$E27:$SJ27,'PCO Log'!$E$9:$SJ$9,'Graph Data'!BL$187,'PCO Log'!$E$4:$SJ$4,"&lt;&gt;Bid Package",'PCO Log'!$E$7:$SJ$7,"Approved")</f>
        <v>0</v>
      </c>
      <c r="BM203" s="304">
        <f>SUMIFS('PCO Log'!$E27:$SJ27,'PCO Log'!$E$9:$SJ$9,'Graph Data'!BM$187,'PCO Log'!$E$4:$SJ$4,"&lt;&gt;Bid Package",'PCO Log'!$E$7:$SJ$7,"Approved")</f>
        <v>0</v>
      </c>
      <c r="BN203" s="304">
        <f>SUMIFS('PCO Log'!$E27:$SJ27,'PCO Log'!$E$9:$SJ$9,'Graph Data'!BN$187,'PCO Log'!$E$4:$SJ$4,"&lt;&gt;Bid Package",'PCO Log'!$E$7:$SJ$7,"Approved")</f>
        <v>0</v>
      </c>
      <c r="BO203" s="304">
        <f>SUMIFS('PCO Log'!$E27:$SJ27,'PCO Log'!$E$9:$SJ$9,'Graph Data'!BO$187,'PCO Log'!$E$4:$SJ$4,"&lt;&gt;Bid Package",'PCO Log'!$E$7:$SJ$7,"Approved")</f>
        <v>0</v>
      </c>
      <c r="BP203" s="304">
        <f>SUMIFS('PCO Log'!$E27:$SJ27,'PCO Log'!$E$9:$SJ$9,'Graph Data'!BP$187,'PCO Log'!$E$4:$SJ$4,"&lt;&gt;Bid Package",'PCO Log'!$E$7:$SJ$7,"Approved")</f>
        <v>0</v>
      </c>
      <c r="BQ203" s="304">
        <f>SUMIFS('PCO Log'!$E27:$SJ27,'PCO Log'!$E$9:$SJ$9,'Graph Data'!BQ$187,'PCO Log'!$E$4:$SJ$4,"&lt;&gt;Bid Package",'PCO Log'!$E$7:$SJ$7,"Approved")</f>
        <v>0</v>
      </c>
      <c r="BR203" s="304">
        <f>SUMIFS('PCO Log'!$E27:$SJ27,'PCO Log'!$E$9:$SJ$9,'Graph Data'!BR$187,'PCO Log'!$E$4:$SJ$4,"&lt;&gt;Bid Package",'PCO Log'!$E$7:$SJ$7,"Approved")</f>
        <v>0</v>
      </c>
      <c r="BS203" s="304">
        <f>SUMIFS('PCO Log'!$E27:$SJ27,'PCO Log'!$E$9:$SJ$9,'Graph Data'!BS$187,'PCO Log'!$E$4:$SJ$4,"&lt;&gt;Bid Package",'PCO Log'!$E$7:$SJ$7,"Approved")</f>
        <v>0</v>
      </c>
      <c r="BT203" s="304">
        <f>SUMIFS('PCO Log'!$E27:$SJ27,'PCO Log'!$E$9:$SJ$9,'Graph Data'!BT$187,'PCO Log'!$E$4:$SJ$4,"&lt;&gt;Bid Package",'PCO Log'!$E$7:$SJ$7,"Approved")</f>
        <v>0</v>
      </c>
      <c r="BU203" s="304">
        <f>SUMIFS('PCO Log'!$E27:$SJ27,'PCO Log'!$E$9:$SJ$9,'Graph Data'!BU$187,'PCO Log'!$E$4:$SJ$4,"&lt;&gt;Bid Package",'PCO Log'!$E$7:$SJ$7,"Approved")</f>
        <v>0</v>
      </c>
      <c r="BV203" s="304">
        <f>SUMIFS('PCO Log'!$E27:$SJ27,'PCO Log'!$E$9:$SJ$9,'Graph Data'!BV$187,'PCO Log'!$E$4:$SJ$4,"&lt;&gt;Bid Package",'PCO Log'!$E$7:$SJ$7,"Approved")</f>
        <v>0</v>
      </c>
      <c r="BW203" s="304">
        <f>SUMIFS('PCO Log'!$E27:$SJ27,'PCO Log'!$E$9:$SJ$9,'Graph Data'!BW$187,'PCO Log'!$E$4:$SJ$4,"&lt;&gt;Bid Package",'PCO Log'!$E$7:$SJ$7,"Approved")</f>
        <v>0</v>
      </c>
      <c r="BX203" s="304">
        <f>SUMIFS('PCO Log'!$E27:$SJ27,'PCO Log'!$E$9:$SJ$9,'Graph Data'!BX$187,'PCO Log'!$E$4:$SJ$4,"&lt;&gt;Bid Package",'PCO Log'!$E$7:$SJ$7,"Approved")</f>
        <v>0</v>
      </c>
    </row>
    <row r="204" spans="1:76" x14ac:dyDescent="0.25">
      <c r="A204" s="303" t="s">
        <v>554</v>
      </c>
      <c r="B204" s="303">
        <f>'PCO Log'!GY7</f>
        <v>0</v>
      </c>
      <c r="C204" s="303">
        <f>'PCO Log'!GY4</f>
        <v>0</v>
      </c>
      <c r="D204" s="303" cm="1">
        <f t="array" ref="D204">INDEX('PCO Log'!$E$5:$SJ$5, 1, ROWS('Graph Data'!$D$2:D204))</f>
        <v>0</v>
      </c>
      <c r="E204" s="303">
        <f>'PCO Log'!GY8</f>
        <v>0</v>
      </c>
      <c r="F204" s="303">
        <f>'PCO Log'!GY3</f>
        <v>0</v>
      </c>
      <c r="G204" s="304">
        <f>'PCO Log'!GY10</f>
        <v>0</v>
      </c>
      <c r="H204" s="305">
        <f>'PCO Log'!GY6</f>
        <v>0</v>
      </c>
      <c r="K204" s="307"/>
      <c r="P204" s="303" t="str">
        <f t="shared" si="2"/>
        <v>Asbestos Abatement</v>
      </c>
      <c r="Q204" s="304">
        <f>SUMIFS('PCO Log'!$E28:$SJ28,'PCO Log'!$E$9:$SJ$9,'Graph Data'!Q$187,'PCO Log'!$E$4:$SJ$4,"&lt;&gt;Bid Package",'PCO Log'!$E$7:$SJ$7,"Approved")</f>
        <v>0</v>
      </c>
      <c r="R204" s="304">
        <f>SUMIFS('PCO Log'!$E28:$SJ28,'PCO Log'!$E$9:$SJ$9,'Graph Data'!R$187,'PCO Log'!$E$4:$SJ$4,"&lt;&gt;Bid Package",'PCO Log'!$E$7:$SJ$7,"Approved")</f>
        <v>0</v>
      </c>
      <c r="S204" s="304">
        <f>SUMIFS('PCO Log'!$E28:$SJ28,'PCO Log'!$E$9:$SJ$9,'Graph Data'!S$187,'PCO Log'!$E$4:$SJ$4,"&lt;&gt;Bid Package",'PCO Log'!$E$7:$SJ$7,"Approved")</f>
        <v>0</v>
      </c>
      <c r="T204" s="304">
        <f>SUMIFS('PCO Log'!$E28:$SJ28,'PCO Log'!$E$9:$SJ$9,'Graph Data'!T$187,'PCO Log'!$E$4:$SJ$4,"&lt;&gt;Bid Package",'PCO Log'!$E$7:$SJ$7,"Approved")</f>
        <v>0</v>
      </c>
      <c r="U204" s="304">
        <f>SUMIFS('PCO Log'!$E28:$SJ28,'PCO Log'!$E$9:$SJ$9,'Graph Data'!U$187,'PCO Log'!$E$4:$SJ$4,"&lt;&gt;Bid Package",'PCO Log'!$E$7:$SJ$7,"Approved")</f>
        <v>0</v>
      </c>
      <c r="V204" s="304">
        <f>SUMIFS('PCO Log'!$E28:$SJ28,'PCO Log'!$E$9:$SJ$9,'Graph Data'!V$187,'PCO Log'!$E$4:$SJ$4,"&lt;&gt;Bid Package",'PCO Log'!$E$7:$SJ$7,"Approved")</f>
        <v>0</v>
      </c>
      <c r="W204" s="304">
        <f>SUMIFS('PCO Log'!$E28:$SJ28,'PCO Log'!$E$9:$SJ$9,'Graph Data'!W$187,'PCO Log'!$E$4:$SJ$4,"&lt;&gt;Bid Package",'PCO Log'!$E$7:$SJ$7,"Approved")</f>
        <v>0</v>
      </c>
      <c r="X204" s="304">
        <f>SUMIFS('PCO Log'!$E28:$SJ28,'PCO Log'!$E$9:$SJ$9,'Graph Data'!X$187,'PCO Log'!$E$4:$SJ$4,"&lt;&gt;Bid Package",'PCO Log'!$E$7:$SJ$7,"Approved")</f>
        <v>0</v>
      </c>
      <c r="Y204" s="304">
        <f>SUMIFS('PCO Log'!$E28:$SJ28,'PCO Log'!$E$9:$SJ$9,'Graph Data'!Y$187,'PCO Log'!$E$4:$SJ$4,"&lt;&gt;Bid Package",'PCO Log'!$E$7:$SJ$7,"Approved")</f>
        <v>0</v>
      </c>
      <c r="Z204" s="304">
        <f>SUMIFS('PCO Log'!$E28:$SJ28,'PCO Log'!$E$9:$SJ$9,'Graph Data'!Z$187,'PCO Log'!$E$4:$SJ$4,"&lt;&gt;Bid Package",'PCO Log'!$E$7:$SJ$7,"Approved")</f>
        <v>0</v>
      </c>
      <c r="AA204" s="304">
        <f>SUMIFS('PCO Log'!$E28:$SJ28,'PCO Log'!$E$9:$SJ$9,'Graph Data'!AA$187,'PCO Log'!$E$4:$SJ$4,"&lt;&gt;Bid Package",'PCO Log'!$E$7:$SJ$7,"Approved")</f>
        <v>0</v>
      </c>
      <c r="AB204" s="304">
        <f>SUMIFS('PCO Log'!$E28:$SJ28,'PCO Log'!$E$9:$SJ$9,'Graph Data'!AB$187,'PCO Log'!$E$4:$SJ$4,"&lt;&gt;Bid Package",'PCO Log'!$E$7:$SJ$7,"Approved")</f>
        <v>0</v>
      </c>
      <c r="AC204" s="304">
        <f>SUMIFS('PCO Log'!$E28:$SJ28,'PCO Log'!$E$9:$SJ$9,'Graph Data'!AC$187,'PCO Log'!$E$4:$SJ$4,"&lt;&gt;Bid Package",'PCO Log'!$E$7:$SJ$7,"Approved")</f>
        <v>0</v>
      </c>
      <c r="AD204" s="304">
        <f>SUMIFS('PCO Log'!$E28:$SJ28,'PCO Log'!$E$9:$SJ$9,'Graph Data'!AD$187,'PCO Log'!$E$4:$SJ$4,"&lt;&gt;Bid Package",'PCO Log'!$E$7:$SJ$7,"Approved")</f>
        <v>0</v>
      </c>
      <c r="AE204" s="304">
        <f>SUMIFS('PCO Log'!$E28:$SJ28,'PCO Log'!$E$9:$SJ$9,'Graph Data'!AE$187,'PCO Log'!$E$4:$SJ$4,"&lt;&gt;Bid Package",'PCO Log'!$E$7:$SJ$7,"Approved")</f>
        <v>0</v>
      </c>
      <c r="AF204" s="304">
        <f>SUMIFS('PCO Log'!$E28:$SJ28,'PCO Log'!$E$9:$SJ$9,'Graph Data'!AF$187,'PCO Log'!$E$4:$SJ$4,"&lt;&gt;Bid Package",'PCO Log'!$E$7:$SJ$7,"Approved")</f>
        <v>0</v>
      </c>
      <c r="AG204" s="304">
        <f>SUMIFS('PCO Log'!$E28:$SJ28,'PCO Log'!$E$9:$SJ$9,'Graph Data'!AG$187,'PCO Log'!$E$4:$SJ$4,"&lt;&gt;Bid Package",'PCO Log'!$E$7:$SJ$7,"Approved")</f>
        <v>0</v>
      </c>
      <c r="AH204" s="304">
        <f>SUMIFS('PCO Log'!$E28:$SJ28,'PCO Log'!$E$9:$SJ$9,'Graph Data'!AH$187,'PCO Log'!$E$4:$SJ$4,"&lt;&gt;Bid Package",'PCO Log'!$E$7:$SJ$7,"Approved")</f>
        <v>0</v>
      </c>
      <c r="AI204" s="304">
        <f>SUMIFS('PCO Log'!$E28:$SJ28,'PCO Log'!$E$9:$SJ$9,'Graph Data'!AI$187,'PCO Log'!$E$4:$SJ$4,"&lt;&gt;Bid Package",'PCO Log'!$E$7:$SJ$7,"Approved")</f>
        <v>0</v>
      </c>
      <c r="AJ204" s="304">
        <f>SUMIFS('PCO Log'!$E28:$SJ28,'PCO Log'!$E$9:$SJ$9,'Graph Data'!AJ$187,'PCO Log'!$E$4:$SJ$4,"&lt;&gt;Bid Package",'PCO Log'!$E$7:$SJ$7,"Approved")</f>
        <v>0</v>
      </c>
      <c r="AK204" s="304">
        <f>SUMIFS('PCO Log'!$E28:$SJ28,'PCO Log'!$E$9:$SJ$9,'Graph Data'!AK$187,'PCO Log'!$E$4:$SJ$4,"&lt;&gt;Bid Package",'PCO Log'!$E$7:$SJ$7,"Approved")</f>
        <v>0</v>
      </c>
      <c r="AL204" s="304">
        <f>SUMIFS('PCO Log'!$E28:$SJ28,'PCO Log'!$E$9:$SJ$9,'Graph Data'!AL$187,'PCO Log'!$E$4:$SJ$4,"&lt;&gt;Bid Package",'PCO Log'!$E$7:$SJ$7,"Approved")</f>
        <v>0</v>
      </c>
      <c r="AM204" s="304">
        <f>SUMIFS('PCO Log'!$E28:$SJ28,'PCO Log'!$E$9:$SJ$9,'Graph Data'!AM$187,'PCO Log'!$E$4:$SJ$4,"&lt;&gt;Bid Package",'PCO Log'!$E$7:$SJ$7,"Approved")</f>
        <v>0</v>
      </c>
      <c r="AN204" s="304">
        <f>SUMIFS('PCO Log'!$E28:$SJ28,'PCO Log'!$E$9:$SJ$9,'Graph Data'!AN$187,'PCO Log'!$E$4:$SJ$4,"&lt;&gt;Bid Package",'PCO Log'!$E$7:$SJ$7,"Approved")</f>
        <v>0</v>
      </c>
      <c r="AO204" s="304">
        <f>SUMIFS('PCO Log'!$E28:$SJ28,'PCO Log'!$E$9:$SJ$9,'Graph Data'!AO$187,'PCO Log'!$E$4:$SJ$4,"&lt;&gt;Bid Package",'PCO Log'!$E$7:$SJ$7,"Approved")</f>
        <v>0</v>
      </c>
      <c r="AP204" s="304">
        <f>SUMIFS('PCO Log'!$E28:$SJ28,'PCO Log'!$E$9:$SJ$9,'Graph Data'!AP$187,'PCO Log'!$E$4:$SJ$4,"&lt;&gt;Bid Package",'PCO Log'!$E$7:$SJ$7,"Approved")</f>
        <v>0</v>
      </c>
      <c r="AQ204" s="304">
        <f>SUMIFS('PCO Log'!$E28:$SJ28,'PCO Log'!$E$9:$SJ$9,'Graph Data'!AQ$187,'PCO Log'!$E$4:$SJ$4,"&lt;&gt;Bid Package",'PCO Log'!$E$7:$SJ$7,"Approved")</f>
        <v>0</v>
      </c>
      <c r="AR204" s="304">
        <f>SUMIFS('PCO Log'!$E28:$SJ28,'PCO Log'!$E$9:$SJ$9,'Graph Data'!AR$187,'PCO Log'!$E$4:$SJ$4,"&lt;&gt;Bid Package",'PCO Log'!$E$7:$SJ$7,"Approved")</f>
        <v>0</v>
      </c>
      <c r="AS204" s="304">
        <f>SUMIFS('PCO Log'!$E28:$SJ28,'PCO Log'!$E$9:$SJ$9,'Graph Data'!AS$187,'PCO Log'!$E$4:$SJ$4,"&lt;&gt;Bid Package",'PCO Log'!$E$7:$SJ$7,"Approved")</f>
        <v>0</v>
      </c>
      <c r="AT204" s="304">
        <f>SUMIFS('PCO Log'!$E28:$SJ28,'PCO Log'!$E$9:$SJ$9,'Graph Data'!AT$187,'PCO Log'!$E$4:$SJ$4,"&lt;&gt;Bid Package",'PCO Log'!$E$7:$SJ$7,"Approved")</f>
        <v>0</v>
      </c>
      <c r="AU204" s="304">
        <f>SUMIFS('PCO Log'!$E28:$SJ28,'PCO Log'!$E$9:$SJ$9,'Graph Data'!AU$187,'PCO Log'!$E$4:$SJ$4,"&lt;&gt;Bid Package",'PCO Log'!$E$7:$SJ$7,"Approved")</f>
        <v>0</v>
      </c>
      <c r="AV204" s="304">
        <f>SUMIFS('PCO Log'!$E28:$SJ28,'PCO Log'!$E$9:$SJ$9,'Graph Data'!AV$187,'PCO Log'!$E$4:$SJ$4,"&lt;&gt;Bid Package",'PCO Log'!$E$7:$SJ$7,"Approved")</f>
        <v>0</v>
      </c>
      <c r="AW204" s="304">
        <f>SUMIFS('PCO Log'!$E28:$SJ28,'PCO Log'!$E$9:$SJ$9,'Graph Data'!AW$187,'PCO Log'!$E$4:$SJ$4,"&lt;&gt;Bid Package",'PCO Log'!$E$7:$SJ$7,"Approved")</f>
        <v>0</v>
      </c>
      <c r="AX204" s="304">
        <f>SUMIFS('PCO Log'!$E28:$SJ28,'PCO Log'!$E$9:$SJ$9,'Graph Data'!AX$187,'PCO Log'!$E$4:$SJ$4,"&lt;&gt;Bid Package",'PCO Log'!$E$7:$SJ$7,"Approved")</f>
        <v>0</v>
      </c>
      <c r="AY204" s="304">
        <f>SUMIFS('PCO Log'!$E28:$SJ28,'PCO Log'!$E$9:$SJ$9,'Graph Data'!AY$187,'PCO Log'!$E$4:$SJ$4,"&lt;&gt;Bid Package",'PCO Log'!$E$7:$SJ$7,"Approved")</f>
        <v>0</v>
      </c>
      <c r="AZ204" s="304">
        <f>SUMIFS('PCO Log'!$E28:$SJ28,'PCO Log'!$E$9:$SJ$9,'Graph Data'!AZ$187,'PCO Log'!$E$4:$SJ$4,"&lt;&gt;Bid Package",'PCO Log'!$E$7:$SJ$7,"Approved")</f>
        <v>0</v>
      </c>
      <c r="BA204" s="304">
        <f>SUMIFS('PCO Log'!$E28:$SJ28,'PCO Log'!$E$9:$SJ$9,'Graph Data'!BA$187,'PCO Log'!$E$4:$SJ$4,"&lt;&gt;Bid Package",'PCO Log'!$E$7:$SJ$7,"Approved")</f>
        <v>0</v>
      </c>
      <c r="BB204" s="304">
        <f>SUMIFS('PCO Log'!$E28:$SJ28,'PCO Log'!$E$9:$SJ$9,'Graph Data'!BB$187,'PCO Log'!$E$4:$SJ$4,"&lt;&gt;Bid Package",'PCO Log'!$E$7:$SJ$7,"Approved")</f>
        <v>0</v>
      </c>
      <c r="BC204" s="304">
        <f>SUMIFS('PCO Log'!$E28:$SJ28,'PCO Log'!$E$9:$SJ$9,'Graph Data'!BC$187,'PCO Log'!$E$4:$SJ$4,"&lt;&gt;Bid Package",'PCO Log'!$E$7:$SJ$7,"Approved")</f>
        <v>0</v>
      </c>
      <c r="BD204" s="304">
        <f>SUMIFS('PCO Log'!$E28:$SJ28,'PCO Log'!$E$9:$SJ$9,'Graph Data'!BD$187,'PCO Log'!$E$4:$SJ$4,"&lt;&gt;Bid Package",'PCO Log'!$E$7:$SJ$7,"Approved")</f>
        <v>0</v>
      </c>
      <c r="BE204" s="304">
        <f>SUMIFS('PCO Log'!$E28:$SJ28,'PCO Log'!$E$9:$SJ$9,'Graph Data'!BE$187,'PCO Log'!$E$4:$SJ$4,"&lt;&gt;Bid Package",'PCO Log'!$E$7:$SJ$7,"Approved")</f>
        <v>0</v>
      </c>
      <c r="BF204" s="304">
        <f>SUMIFS('PCO Log'!$E28:$SJ28,'PCO Log'!$E$9:$SJ$9,'Graph Data'!BF$187,'PCO Log'!$E$4:$SJ$4,"&lt;&gt;Bid Package",'PCO Log'!$E$7:$SJ$7,"Approved")</f>
        <v>0</v>
      </c>
      <c r="BG204" s="304">
        <f>SUMIFS('PCO Log'!$E28:$SJ28,'PCO Log'!$E$9:$SJ$9,'Graph Data'!BG$187,'PCO Log'!$E$4:$SJ$4,"&lt;&gt;Bid Package",'PCO Log'!$E$7:$SJ$7,"Approved")</f>
        <v>0</v>
      </c>
      <c r="BH204" s="304">
        <f>SUMIFS('PCO Log'!$E28:$SJ28,'PCO Log'!$E$9:$SJ$9,'Graph Data'!BH$187,'PCO Log'!$E$4:$SJ$4,"&lt;&gt;Bid Package",'PCO Log'!$E$7:$SJ$7,"Approved")</f>
        <v>0</v>
      </c>
      <c r="BI204" s="304">
        <f>SUMIFS('PCO Log'!$E28:$SJ28,'PCO Log'!$E$9:$SJ$9,'Graph Data'!BI$187,'PCO Log'!$E$4:$SJ$4,"&lt;&gt;Bid Package",'PCO Log'!$E$7:$SJ$7,"Approved")</f>
        <v>0</v>
      </c>
      <c r="BJ204" s="304">
        <f>SUMIFS('PCO Log'!$E28:$SJ28,'PCO Log'!$E$9:$SJ$9,'Graph Data'!BJ$187,'PCO Log'!$E$4:$SJ$4,"&lt;&gt;Bid Package",'PCO Log'!$E$7:$SJ$7,"Approved")</f>
        <v>0</v>
      </c>
      <c r="BK204" s="304">
        <f>SUMIFS('PCO Log'!$E28:$SJ28,'PCO Log'!$E$9:$SJ$9,'Graph Data'!BK$187,'PCO Log'!$E$4:$SJ$4,"&lt;&gt;Bid Package",'PCO Log'!$E$7:$SJ$7,"Approved")</f>
        <v>0</v>
      </c>
      <c r="BL204" s="304">
        <f>SUMIFS('PCO Log'!$E28:$SJ28,'PCO Log'!$E$9:$SJ$9,'Graph Data'!BL$187,'PCO Log'!$E$4:$SJ$4,"&lt;&gt;Bid Package",'PCO Log'!$E$7:$SJ$7,"Approved")</f>
        <v>0</v>
      </c>
      <c r="BM204" s="304">
        <f>SUMIFS('PCO Log'!$E28:$SJ28,'PCO Log'!$E$9:$SJ$9,'Graph Data'!BM$187,'PCO Log'!$E$4:$SJ$4,"&lt;&gt;Bid Package",'PCO Log'!$E$7:$SJ$7,"Approved")</f>
        <v>0</v>
      </c>
      <c r="BN204" s="304">
        <f>SUMIFS('PCO Log'!$E28:$SJ28,'PCO Log'!$E$9:$SJ$9,'Graph Data'!BN$187,'PCO Log'!$E$4:$SJ$4,"&lt;&gt;Bid Package",'PCO Log'!$E$7:$SJ$7,"Approved")</f>
        <v>0</v>
      </c>
      <c r="BO204" s="304">
        <f>SUMIFS('PCO Log'!$E28:$SJ28,'PCO Log'!$E$9:$SJ$9,'Graph Data'!BO$187,'PCO Log'!$E$4:$SJ$4,"&lt;&gt;Bid Package",'PCO Log'!$E$7:$SJ$7,"Approved")</f>
        <v>0</v>
      </c>
      <c r="BP204" s="304">
        <f>SUMIFS('PCO Log'!$E28:$SJ28,'PCO Log'!$E$9:$SJ$9,'Graph Data'!BP$187,'PCO Log'!$E$4:$SJ$4,"&lt;&gt;Bid Package",'PCO Log'!$E$7:$SJ$7,"Approved")</f>
        <v>0</v>
      </c>
      <c r="BQ204" s="304">
        <f>SUMIFS('PCO Log'!$E28:$SJ28,'PCO Log'!$E$9:$SJ$9,'Graph Data'!BQ$187,'PCO Log'!$E$4:$SJ$4,"&lt;&gt;Bid Package",'PCO Log'!$E$7:$SJ$7,"Approved")</f>
        <v>0</v>
      </c>
      <c r="BR204" s="304">
        <f>SUMIFS('PCO Log'!$E28:$SJ28,'PCO Log'!$E$9:$SJ$9,'Graph Data'!BR$187,'PCO Log'!$E$4:$SJ$4,"&lt;&gt;Bid Package",'PCO Log'!$E$7:$SJ$7,"Approved")</f>
        <v>0</v>
      </c>
      <c r="BS204" s="304">
        <f>SUMIFS('PCO Log'!$E28:$SJ28,'PCO Log'!$E$9:$SJ$9,'Graph Data'!BS$187,'PCO Log'!$E$4:$SJ$4,"&lt;&gt;Bid Package",'PCO Log'!$E$7:$SJ$7,"Approved")</f>
        <v>0</v>
      </c>
      <c r="BT204" s="304">
        <f>SUMIFS('PCO Log'!$E28:$SJ28,'PCO Log'!$E$9:$SJ$9,'Graph Data'!BT$187,'PCO Log'!$E$4:$SJ$4,"&lt;&gt;Bid Package",'PCO Log'!$E$7:$SJ$7,"Approved")</f>
        <v>0</v>
      </c>
      <c r="BU204" s="304">
        <f>SUMIFS('PCO Log'!$E28:$SJ28,'PCO Log'!$E$9:$SJ$9,'Graph Data'!BU$187,'PCO Log'!$E$4:$SJ$4,"&lt;&gt;Bid Package",'PCO Log'!$E$7:$SJ$7,"Approved")</f>
        <v>0</v>
      </c>
      <c r="BV204" s="304">
        <f>SUMIFS('PCO Log'!$E28:$SJ28,'PCO Log'!$E$9:$SJ$9,'Graph Data'!BV$187,'PCO Log'!$E$4:$SJ$4,"&lt;&gt;Bid Package",'PCO Log'!$E$7:$SJ$7,"Approved")</f>
        <v>0</v>
      </c>
      <c r="BW204" s="304">
        <f>SUMIFS('PCO Log'!$E28:$SJ28,'PCO Log'!$E$9:$SJ$9,'Graph Data'!BW$187,'PCO Log'!$E$4:$SJ$4,"&lt;&gt;Bid Package",'PCO Log'!$E$7:$SJ$7,"Approved")</f>
        <v>0</v>
      </c>
      <c r="BX204" s="304">
        <f>SUMIFS('PCO Log'!$E28:$SJ28,'PCO Log'!$E$9:$SJ$9,'Graph Data'!BX$187,'PCO Log'!$E$4:$SJ$4,"&lt;&gt;Bid Package",'PCO Log'!$E$7:$SJ$7,"Approved")</f>
        <v>0</v>
      </c>
    </row>
    <row r="205" spans="1:76" x14ac:dyDescent="0.25">
      <c r="A205" s="303" t="s">
        <v>555</v>
      </c>
      <c r="B205" s="303">
        <f>'PCO Log'!GZ7</f>
        <v>0</v>
      </c>
      <c r="C205" s="303">
        <f>'PCO Log'!GZ4</f>
        <v>0</v>
      </c>
      <c r="D205" s="303" cm="1">
        <f t="array" ref="D205">INDEX('PCO Log'!$E$5:$SJ$5, 1, ROWS('Graph Data'!$D$2:D205))</f>
        <v>0</v>
      </c>
      <c r="E205" s="303">
        <f>'PCO Log'!GZ8</f>
        <v>0</v>
      </c>
      <c r="F205" s="303">
        <f>'PCO Log'!GZ3</f>
        <v>0</v>
      </c>
      <c r="G205" s="304">
        <f>'PCO Log'!GZ10</f>
        <v>0</v>
      </c>
      <c r="H205" s="305">
        <f>'PCO Log'!GZ6</f>
        <v>0</v>
      </c>
      <c r="K205" s="307"/>
      <c r="P205" s="303" t="str">
        <f t="shared" si="2"/>
        <v>Building Concrete</v>
      </c>
      <c r="Q205" s="304">
        <f>SUMIFS('PCO Log'!$E29:$SJ29,'PCO Log'!$E$9:$SJ$9,'Graph Data'!Q$187,'PCO Log'!$E$4:$SJ$4,"&lt;&gt;Bid Package",'PCO Log'!$E$7:$SJ$7,"Approved")</f>
        <v>0</v>
      </c>
      <c r="R205" s="304">
        <f>SUMIFS('PCO Log'!$E29:$SJ29,'PCO Log'!$E$9:$SJ$9,'Graph Data'!R$187,'PCO Log'!$E$4:$SJ$4,"&lt;&gt;Bid Package",'PCO Log'!$E$7:$SJ$7,"Approved")</f>
        <v>0</v>
      </c>
      <c r="S205" s="304">
        <f>SUMIFS('PCO Log'!$E29:$SJ29,'PCO Log'!$E$9:$SJ$9,'Graph Data'!S$187,'PCO Log'!$E$4:$SJ$4,"&lt;&gt;Bid Package",'PCO Log'!$E$7:$SJ$7,"Approved")</f>
        <v>0</v>
      </c>
      <c r="T205" s="304">
        <f>SUMIFS('PCO Log'!$E29:$SJ29,'PCO Log'!$E$9:$SJ$9,'Graph Data'!T$187,'PCO Log'!$E$4:$SJ$4,"&lt;&gt;Bid Package",'PCO Log'!$E$7:$SJ$7,"Approved")</f>
        <v>0</v>
      </c>
      <c r="U205" s="304">
        <f>SUMIFS('PCO Log'!$E29:$SJ29,'PCO Log'!$E$9:$SJ$9,'Graph Data'!U$187,'PCO Log'!$E$4:$SJ$4,"&lt;&gt;Bid Package",'PCO Log'!$E$7:$SJ$7,"Approved")</f>
        <v>0</v>
      </c>
      <c r="V205" s="304">
        <f>SUMIFS('PCO Log'!$E29:$SJ29,'PCO Log'!$E$9:$SJ$9,'Graph Data'!V$187,'PCO Log'!$E$4:$SJ$4,"&lt;&gt;Bid Package",'PCO Log'!$E$7:$SJ$7,"Approved")</f>
        <v>0</v>
      </c>
      <c r="W205" s="304">
        <f>SUMIFS('PCO Log'!$E29:$SJ29,'PCO Log'!$E$9:$SJ$9,'Graph Data'!W$187,'PCO Log'!$E$4:$SJ$4,"&lt;&gt;Bid Package",'PCO Log'!$E$7:$SJ$7,"Approved")</f>
        <v>0</v>
      </c>
      <c r="X205" s="304">
        <f>SUMIFS('PCO Log'!$E29:$SJ29,'PCO Log'!$E$9:$SJ$9,'Graph Data'!X$187,'PCO Log'!$E$4:$SJ$4,"&lt;&gt;Bid Package",'PCO Log'!$E$7:$SJ$7,"Approved")</f>
        <v>0</v>
      </c>
      <c r="Y205" s="304">
        <f>SUMIFS('PCO Log'!$E29:$SJ29,'PCO Log'!$E$9:$SJ$9,'Graph Data'!Y$187,'PCO Log'!$E$4:$SJ$4,"&lt;&gt;Bid Package",'PCO Log'!$E$7:$SJ$7,"Approved")</f>
        <v>0</v>
      </c>
      <c r="Z205" s="304">
        <f>SUMIFS('PCO Log'!$E29:$SJ29,'PCO Log'!$E$9:$SJ$9,'Graph Data'!Z$187,'PCO Log'!$E$4:$SJ$4,"&lt;&gt;Bid Package",'PCO Log'!$E$7:$SJ$7,"Approved")</f>
        <v>0</v>
      </c>
      <c r="AA205" s="304">
        <f>SUMIFS('PCO Log'!$E29:$SJ29,'PCO Log'!$E$9:$SJ$9,'Graph Data'!AA$187,'PCO Log'!$E$4:$SJ$4,"&lt;&gt;Bid Package",'PCO Log'!$E$7:$SJ$7,"Approved")</f>
        <v>0</v>
      </c>
      <c r="AB205" s="304">
        <f>SUMIFS('PCO Log'!$E29:$SJ29,'PCO Log'!$E$9:$SJ$9,'Graph Data'!AB$187,'PCO Log'!$E$4:$SJ$4,"&lt;&gt;Bid Package",'PCO Log'!$E$7:$SJ$7,"Approved")</f>
        <v>0</v>
      </c>
      <c r="AC205" s="304">
        <f>SUMIFS('PCO Log'!$E29:$SJ29,'PCO Log'!$E$9:$SJ$9,'Graph Data'!AC$187,'PCO Log'!$E$4:$SJ$4,"&lt;&gt;Bid Package",'PCO Log'!$E$7:$SJ$7,"Approved")</f>
        <v>0</v>
      </c>
      <c r="AD205" s="304">
        <f>SUMIFS('PCO Log'!$E29:$SJ29,'PCO Log'!$E$9:$SJ$9,'Graph Data'!AD$187,'PCO Log'!$E$4:$SJ$4,"&lt;&gt;Bid Package",'PCO Log'!$E$7:$SJ$7,"Approved")</f>
        <v>0</v>
      </c>
      <c r="AE205" s="304">
        <f>SUMIFS('PCO Log'!$E29:$SJ29,'PCO Log'!$E$9:$SJ$9,'Graph Data'!AE$187,'PCO Log'!$E$4:$SJ$4,"&lt;&gt;Bid Package",'PCO Log'!$E$7:$SJ$7,"Approved")</f>
        <v>0</v>
      </c>
      <c r="AF205" s="304">
        <f>SUMIFS('PCO Log'!$E29:$SJ29,'PCO Log'!$E$9:$SJ$9,'Graph Data'!AF$187,'PCO Log'!$E$4:$SJ$4,"&lt;&gt;Bid Package",'PCO Log'!$E$7:$SJ$7,"Approved")</f>
        <v>0</v>
      </c>
      <c r="AG205" s="304">
        <f>SUMIFS('PCO Log'!$E29:$SJ29,'PCO Log'!$E$9:$SJ$9,'Graph Data'!AG$187,'PCO Log'!$E$4:$SJ$4,"&lt;&gt;Bid Package",'PCO Log'!$E$7:$SJ$7,"Approved")</f>
        <v>0</v>
      </c>
      <c r="AH205" s="304">
        <f>SUMIFS('PCO Log'!$E29:$SJ29,'PCO Log'!$E$9:$SJ$9,'Graph Data'!AH$187,'PCO Log'!$E$4:$SJ$4,"&lt;&gt;Bid Package",'PCO Log'!$E$7:$SJ$7,"Approved")</f>
        <v>0</v>
      </c>
      <c r="AI205" s="304">
        <f>SUMIFS('PCO Log'!$E29:$SJ29,'PCO Log'!$E$9:$SJ$9,'Graph Data'!AI$187,'PCO Log'!$E$4:$SJ$4,"&lt;&gt;Bid Package",'PCO Log'!$E$7:$SJ$7,"Approved")</f>
        <v>0</v>
      </c>
      <c r="AJ205" s="304">
        <f>SUMIFS('PCO Log'!$E29:$SJ29,'PCO Log'!$E$9:$SJ$9,'Graph Data'!AJ$187,'PCO Log'!$E$4:$SJ$4,"&lt;&gt;Bid Package",'PCO Log'!$E$7:$SJ$7,"Approved")</f>
        <v>0</v>
      </c>
      <c r="AK205" s="304">
        <f>SUMIFS('PCO Log'!$E29:$SJ29,'PCO Log'!$E$9:$SJ$9,'Graph Data'!AK$187,'PCO Log'!$E$4:$SJ$4,"&lt;&gt;Bid Package",'PCO Log'!$E$7:$SJ$7,"Approved")</f>
        <v>0</v>
      </c>
      <c r="AL205" s="304">
        <f>SUMIFS('PCO Log'!$E29:$SJ29,'PCO Log'!$E$9:$SJ$9,'Graph Data'!AL$187,'PCO Log'!$E$4:$SJ$4,"&lt;&gt;Bid Package",'PCO Log'!$E$7:$SJ$7,"Approved")</f>
        <v>0</v>
      </c>
      <c r="AM205" s="304">
        <f>SUMIFS('PCO Log'!$E29:$SJ29,'PCO Log'!$E$9:$SJ$9,'Graph Data'!AM$187,'PCO Log'!$E$4:$SJ$4,"&lt;&gt;Bid Package",'PCO Log'!$E$7:$SJ$7,"Approved")</f>
        <v>0</v>
      </c>
      <c r="AN205" s="304">
        <f>SUMIFS('PCO Log'!$E29:$SJ29,'PCO Log'!$E$9:$SJ$9,'Graph Data'!AN$187,'PCO Log'!$E$4:$SJ$4,"&lt;&gt;Bid Package",'PCO Log'!$E$7:$SJ$7,"Approved")</f>
        <v>0</v>
      </c>
      <c r="AO205" s="304">
        <f>SUMIFS('PCO Log'!$E29:$SJ29,'PCO Log'!$E$9:$SJ$9,'Graph Data'!AO$187,'PCO Log'!$E$4:$SJ$4,"&lt;&gt;Bid Package",'PCO Log'!$E$7:$SJ$7,"Approved")</f>
        <v>0</v>
      </c>
      <c r="AP205" s="304">
        <f>SUMIFS('PCO Log'!$E29:$SJ29,'PCO Log'!$E$9:$SJ$9,'Graph Data'!AP$187,'PCO Log'!$E$4:$SJ$4,"&lt;&gt;Bid Package",'PCO Log'!$E$7:$SJ$7,"Approved")</f>
        <v>0</v>
      </c>
      <c r="AQ205" s="304">
        <f>SUMIFS('PCO Log'!$E29:$SJ29,'PCO Log'!$E$9:$SJ$9,'Graph Data'!AQ$187,'PCO Log'!$E$4:$SJ$4,"&lt;&gt;Bid Package",'PCO Log'!$E$7:$SJ$7,"Approved")</f>
        <v>0</v>
      </c>
      <c r="AR205" s="304">
        <f>SUMIFS('PCO Log'!$E29:$SJ29,'PCO Log'!$E$9:$SJ$9,'Graph Data'!AR$187,'PCO Log'!$E$4:$SJ$4,"&lt;&gt;Bid Package",'PCO Log'!$E$7:$SJ$7,"Approved")</f>
        <v>0</v>
      </c>
      <c r="AS205" s="304">
        <f>SUMIFS('PCO Log'!$E29:$SJ29,'PCO Log'!$E$9:$SJ$9,'Graph Data'!AS$187,'PCO Log'!$E$4:$SJ$4,"&lt;&gt;Bid Package",'PCO Log'!$E$7:$SJ$7,"Approved")</f>
        <v>0</v>
      </c>
      <c r="AT205" s="304">
        <f>SUMIFS('PCO Log'!$E29:$SJ29,'PCO Log'!$E$9:$SJ$9,'Graph Data'!AT$187,'PCO Log'!$E$4:$SJ$4,"&lt;&gt;Bid Package",'PCO Log'!$E$7:$SJ$7,"Approved")</f>
        <v>0</v>
      </c>
      <c r="AU205" s="304">
        <f>SUMIFS('PCO Log'!$E29:$SJ29,'PCO Log'!$E$9:$SJ$9,'Graph Data'!AU$187,'PCO Log'!$E$4:$SJ$4,"&lt;&gt;Bid Package",'PCO Log'!$E$7:$SJ$7,"Approved")</f>
        <v>0</v>
      </c>
      <c r="AV205" s="304">
        <f>SUMIFS('PCO Log'!$E29:$SJ29,'PCO Log'!$E$9:$SJ$9,'Graph Data'!AV$187,'PCO Log'!$E$4:$SJ$4,"&lt;&gt;Bid Package",'PCO Log'!$E$7:$SJ$7,"Approved")</f>
        <v>0</v>
      </c>
      <c r="AW205" s="304">
        <f>SUMIFS('PCO Log'!$E29:$SJ29,'PCO Log'!$E$9:$SJ$9,'Graph Data'!AW$187,'PCO Log'!$E$4:$SJ$4,"&lt;&gt;Bid Package",'PCO Log'!$E$7:$SJ$7,"Approved")</f>
        <v>0</v>
      </c>
      <c r="AX205" s="304">
        <f>SUMIFS('PCO Log'!$E29:$SJ29,'PCO Log'!$E$9:$SJ$9,'Graph Data'!AX$187,'PCO Log'!$E$4:$SJ$4,"&lt;&gt;Bid Package",'PCO Log'!$E$7:$SJ$7,"Approved")</f>
        <v>0</v>
      </c>
      <c r="AY205" s="304">
        <f>SUMIFS('PCO Log'!$E29:$SJ29,'PCO Log'!$E$9:$SJ$9,'Graph Data'!AY$187,'PCO Log'!$E$4:$SJ$4,"&lt;&gt;Bid Package",'PCO Log'!$E$7:$SJ$7,"Approved")</f>
        <v>0</v>
      </c>
      <c r="AZ205" s="304">
        <f>SUMIFS('PCO Log'!$E29:$SJ29,'PCO Log'!$E$9:$SJ$9,'Graph Data'!AZ$187,'PCO Log'!$E$4:$SJ$4,"&lt;&gt;Bid Package",'PCO Log'!$E$7:$SJ$7,"Approved")</f>
        <v>0</v>
      </c>
      <c r="BA205" s="304">
        <f>SUMIFS('PCO Log'!$E29:$SJ29,'PCO Log'!$E$9:$SJ$9,'Graph Data'!BA$187,'PCO Log'!$E$4:$SJ$4,"&lt;&gt;Bid Package",'PCO Log'!$E$7:$SJ$7,"Approved")</f>
        <v>0</v>
      </c>
      <c r="BB205" s="304">
        <f>SUMIFS('PCO Log'!$E29:$SJ29,'PCO Log'!$E$9:$SJ$9,'Graph Data'!BB$187,'PCO Log'!$E$4:$SJ$4,"&lt;&gt;Bid Package",'PCO Log'!$E$7:$SJ$7,"Approved")</f>
        <v>0</v>
      </c>
      <c r="BC205" s="304">
        <f>SUMIFS('PCO Log'!$E29:$SJ29,'PCO Log'!$E$9:$SJ$9,'Graph Data'!BC$187,'PCO Log'!$E$4:$SJ$4,"&lt;&gt;Bid Package",'PCO Log'!$E$7:$SJ$7,"Approved")</f>
        <v>0</v>
      </c>
      <c r="BD205" s="304">
        <f>SUMIFS('PCO Log'!$E29:$SJ29,'PCO Log'!$E$9:$SJ$9,'Graph Data'!BD$187,'PCO Log'!$E$4:$SJ$4,"&lt;&gt;Bid Package",'PCO Log'!$E$7:$SJ$7,"Approved")</f>
        <v>0</v>
      </c>
      <c r="BE205" s="304">
        <f>SUMIFS('PCO Log'!$E29:$SJ29,'PCO Log'!$E$9:$SJ$9,'Graph Data'!BE$187,'PCO Log'!$E$4:$SJ$4,"&lt;&gt;Bid Package",'PCO Log'!$E$7:$SJ$7,"Approved")</f>
        <v>0</v>
      </c>
      <c r="BF205" s="304">
        <f>SUMIFS('PCO Log'!$E29:$SJ29,'PCO Log'!$E$9:$SJ$9,'Graph Data'!BF$187,'PCO Log'!$E$4:$SJ$4,"&lt;&gt;Bid Package",'PCO Log'!$E$7:$SJ$7,"Approved")</f>
        <v>0</v>
      </c>
      <c r="BG205" s="304">
        <f>SUMIFS('PCO Log'!$E29:$SJ29,'PCO Log'!$E$9:$SJ$9,'Graph Data'!BG$187,'PCO Log'!$E$4:$SJ$4,"&lt;&gt;Bid Package",'PCO Log'!$E$7:$SJ$7,"Approved")</f>
        <v>0</v>
      </c>
      <c r="BH205" s="304">
        <f>SUMIFS('PCO Log'!$E29:$SJ29,'PCO Log'!$E$9:$SJ$9,'Graph Data'!BH$187,'PCO Log'!$E$4:$SJ$4,"&lt;&gt;Bid Package",'PCO Log'!$E$7:$SJ$7,"Approved")</f>
        <v>0</v>
      </c>
      <c r="BI205" s="304">
        <f>SUMIFS('PCO Log'!$E29:$SJ29,'PCO Log'!$E$9:$SJ$9,'Graph Data'!BI$187,'PCO Log'!$E$4:$SJ$4,"&lt;&gt;Bid Package",'PCO Log'!$E$7:$SJ$7,"Approved")</f>
        <v>0</v>
      </c>
      <c r="BJ205" s="304">
        <f>SUMIFS('PCO Log'!$E29:$SJ29,'PCO Log'!$E$9:$SJ$9,'Graph Data'!BJ$187,'PCO Log'!$E$4:$SJ$4,"&lt;&gt;Bid Package",'PCO Log'!$E$7:$SJ$7,"Approved")</f>
        <v>0</v>
      </c>
      <c r="BK205" s="304">
        <f>SUMIFS('PCO Log'!$E29:$SJ29,'PCO Log'!$E$9:$SJ$9,'Graph Data'!BK$187,'PCO Log'!$E$4:$SJ$4,"&lt;&gt;Bid Package",'PCO Log'!$E$7:$SJ$7,"Approved")</f>
        <v>0</v>
      </c>
      <c r="BL205" s="304">
        <f>SUMIFS('PCO Log'!$E29:$SJ29,'PCO Log'!$E$9:$SJ$9,'Graph Data'!BL$187,'PCO Log'!$E$4:$SJ$4,"&lt;&gt;Bid Package",'PCO Log'!$E$7:$SJ$7,"Approved")</f>
        <v>0</v>
      </c>
      <c r="BM205" s="304">
        <f>SUMIFS('PCO Log'!$E29:$SJ29,'PCO Log'!$E$9:$SJ$9,'Graph Data'!BM$187,'PCO Log'!$E$4:$SJ$4,"&lt;&gt;Bid Package",'PCO Log'!$E$7:$SJ$7,"Approved")</f>
        <v>0</v>
      </c>
      <c r="BN205" s="304">
        <f>SUMIFS('PCO Log'!$E29:$SJ29,'PCO Log'!$E$9:$SJ$9,'Graph Data'!BN$187,'PCO Log'!$E$4:$SJ$4,"&lt;&gt;Bid Package",'PCO Log'!$E$7:$SJ$7,"Approved")</f>
        <v>0</v>
      </c>
      <c r="BO205" s="304">
        <f>SUMIFS('PCO Log'!$E29:$SJ29,'PCO Log'!$E$9:$SJ$9,'Graph Data'!BO$187,'PCO Log'!$E$4:$SJ$4,"&lt;&gt;Bid Package",'PCO Log'!$E$7:$SJ$7,"Approved")</f>
        <v>0</v>
      </c>
      <c r="BP205" s="304">
        <f>SUMIFS('PCO Log'!$E29:$SJ29,'PCO Log'!$E$9:$SJ$9,'Graph Data'!BP$187,'PCO Log'!$E$4:$SJ$4,"&lt;&gt;Bid Package",'PCO Log'!$E$7:$SJ$7,"Approved")</f>
        <v>0</v>
      </c>
      <c r="BQ205" s="304">
        <f>SUMIFS('PCO Log'!$E29:$SJ29,'PCO Log'!$E$9:$SJ$9,'Graph Data'!BQ$187,'PCO Log'!$E$4:$SJ$4,"&lt;&gt;Bid Package",'PCO Log'!$E$7:$SJ$7,"Approved")</f>
        <v>0</v>
      </c>
      <c r="BR205" s="304">
        <f>SUMIFS('PCO Log'!$E29:$SJ29,'PCO Log'!$E$9:$SJ$9,'Graph Data'!BR$187,'PCO Log'!$E$4:$SJ$4,"&lt;&gt;Bid Package",'PCO Log'!$E$7:$SJ$7,"Approved")</f>
        <v>0</v>
      </c>
      <c r="BS205" s="304">
        <f>SUMIFS('PCO Log'!$E29:$SJ29,'PCO Log'!$E$9:$SJ$9,'Graph Data'!BS$187,'PCO Log'!$E$4:$SJ$4,"&lt;&gt;Bid Package",'PCO Log'!$E$7:$SJ$7,"Approved")</f>
        <v>0</v>
      </c>
      <c r="BT205" s="304">
        <f>SUMIFS('PCO Log'!$E29:$SJ29,'PCO Log'!$E$9:$SJ$9,'Graph Data'!BT$187,'PCO Log'!$E$4:$SJ$4,"&lt;&gt;Bid Package",'PCO Log'!$E$7:$SJ$7,"Approved")</f>
        <v>0</v>
      </c>
      <c r="BU205" s="304">
        <f>SUMIFS('PCO Log'!$E29:$SJ29,'PCO Log'!$E$9:$SJ$9,'Graph Data'!BU$187,'PCO Log'!$E$4:$SJ$4,"&lt;&gt;Bid Package",'PCO Log'!$E$7:$SJ$7,"Approved")</f>
        <v>0</v>
      </c>
      <c r="BV205" s="304">
        <f>SUMIFS('PCO Log'!$E29:$SJ29,'PCO Log'!$E$9:$SJ$9,'Graph Data'!BV$187,'PCO Log'!$E$4:$SJ$4,"&lt;&gt;Bid Package",'PCO Log'!$E$7:$SJ$7,"Approved")</f>
        <v>0</v>
      </c>
      <c r="BW205" s="304">
        <f>SUMIFS('PCO Log'!$E29:$SJ29,'PCO Log'!$E$9:$SJ$9,'Graph Data'!BW$187,'PCO Log'!$E$4:$SJ$4,"&lt;&gt;Bid Package",'PCO Log'!$E$7:$SJ$7,"Approved")</f>
        <v>0</v>
      </c>
      <c r="BX205" s="304">
        <f>SUMIFS('PCO Log'!$E29:$SJ29,'PCO Log'!$E$9:$SJ$9,'Graph Data'!BX$187,'PCO Log'!$E$4:$SJ$4,"&lt;&gt;Bid Package",'PCO Log'!$E$7:$SJ$7,"Approved")</f>
        <v>0</v>
      </c>
    </row>
    <row r="206" spans="1:76" x14ac:dyDescent="0.25">
      <c r="A206" s="303" t="s">
        <v>556</v>
      </c>
      <c r="B206" s="303">
        <f>'PCO Log'!HA7</f>
        <v>0</v>
      </c>
      <c r="C206" s="303">
        <f>'PCO Log'!HA4</f>
        <v>0</v>
      </c>
      <c r="D206" s="303" cm="1">
        <f t="array" ref="D206">INDEX('PCO Log'!$E$5:$SJ$5, 1, ROWS('Graph Data'!$D$2:D206))</f>
        <v>0</v>
      </c>
      <c r="E206" s="303">
        <f>'PCO Log'!HA8</f>
        <v>0</v>
      </c>
      <c r="F206" s="303">
        <f>'PCO Log'!HA3</f>
        <v>0</v>
      </c>
      <c r="G206" s="304">
        <f>'PCO Log'!HA10</f>
        <v>0</v>
      </c>
      <c r="H206" s="305">
        <f>'PCO Log'!HA6</f>
        <v>0</v>
      </c>
      <c r="K206" s="307"/>
      <c r="P206" s="303" t="str">
        <f t="shared" si="2"/>
        <v>Building Concrete Reinforcing</v>
      </c>
      <c r="Q206" s="304">
        <f>SUMIFS('PCO Log'!$E30:$SJ30,'PCO Log'!$E$9:$SJ$9,'Graph Data'!Q$187,'PCO Log'!$E$4:$SJ$4,"&lt;&gt;Bid Package",'PCO Log'!$E$7:$SJ$7,"Approved")</f>
        <v>0</v>
      </c>
      <c r="R206" s="304">
        <f>SUMIFS('PCO Log'!$E30:$SJ30,'PCO Log'!$E$9:$SJ$9,'Graph Data'!R$187,'PCO Log'!$E$4:$SJ$4,"&lt;&gt;Bid Package",'PCO Log'!$E$7:$SJ$7,"Approved")</f>
        <v>0</v>
      </c>
      <c r="S206" s="304">
        <f>SUMIFS('PCO Log'!$E30:$SJ30,'PCO Log'!$E$9:$SJ$9,'Graph Data'!S$187,'PCO Log'!$E$4:$SJ$4,"&lt;&gt;Bid Package",'PCO Log'!$E$7:$SJ$7,"Approved")</f>
        <v>0</v>
      </c>
      <c r="T206" s="304">
        <f>SUMIFS('PCO Log'!$E30:$SJ30,'PCO Log'!$E$9:$SJ$9,'Graph Data'!T$187,'PCO Log'!$E$4:$SJ$4,"&lt;&gt;Bid Package",'PCO Log'!$E$7:$SJ$7,"Approved")</f>
        <v>0</v>
      </c>
      <c r="U206" s="304">
        <f>SUMIFS('PCO Log'!$E30:$SJ30,'PCO Log'!$E$9:$SJ$9,'Graph Data'!U$187,'PCO Log'!$E$4:$SJ$4,"&lt;&gt;Bid Package",'PCO Log'!$E$7:$SJ$7,"Approved")</f>
        <v>0</v>
      </c>
      <c r="V206" s="304">
        <f>SUMIFS('PCO Log'!$E30:$SJ30,'PCO Log'!$E$9:$SJ$9,'Graph Data'!V$187,'PCO Log'!$E$4:$SJ$4,"&lt;&gt;Bid Package",'PCO Log'!$E$7:$SJ$7,"Approved")</f>
        <v>0</v>
      </c>
      <c r="W206" s="304">
        <f>SUMIFS('PCO Log'!$E30:$SJ30,'PCO Log'!$E$9:$SJ$9,'Graph Data'!W$187,'PCO Log'!$E$4:$SJ$4,"&lt;&gt;Bid Package",'PCO Log'!$E$7:$SJ$7,"Approved")</f>
        <v>0</v>
      </c>
      <c r="X206" s="304">
        <f>SUMIFS('PCO Log'!$E30:$SJ30,'PCO Log'!$E$9:$SJ$9,'Graph Data'!X$187,'PCO Log'!$E$4:$SJ$4,"&lt;&gt;Bid Package",'PCO Log'!$E$7:$SJ$7,"Approved")</f>
        <v>0</v>
      </c>
      <c r="Y206" s="304">
        <f>SUMIFS('PCO Log'!$E30:$SJ30,'PCO Log'!$E$9:$SJ$9,'Graph Data'!Y$187,'PCO Log'!$E$4:$SJ$4,"&lt;&gt;Bid Package",'PCO Log'!$E$7:$SJ$7,"Approved")</f>
        <v>0</v>
      </c>
      <c r="Z206" s="304">
        <f>SUMIFS('PCO Log'!$E30:$SJ30,'PCO Log'!$E$9:$SJ$9,'Graph Data'!Z$187,'PCO Log'!$E$4:$SJ$4,"&lt;&gt;Bid Package",'PCO Log'!$E$7:$SJ$7,"Approved")</f>
        <v>0</v>
      </c>
      <c r="AA206" s="304">
        <f>SUMIFS('PCO Log'!$E30:$SJ30,'PCO Log'!$E$9:$SJ$9,'Graph Data'!AA$187,'PCO Log'!$E$4:$SJ$4,"&lt;&gt;Bid Package",'PCO Log'!$E$7:$SJ$7,"Approved")</f>
        <v>0</v>
      </c>
      <c r="AB206" s="304">
        <f>SUMIFS('PCO Log'!$E30:$SJ30,'PCO Log'!$E$9:$SJ$9,'Graph Data'!AB$187,'PCO Log'!$E$4:$SJ$4,"&lt;&gt;Bid Package",'PCO Log'!$E$7:$SJ$7,"Approved")</f>
        <v>0</v>
      </c>
      <c r="AC206" s="304">
        <f>SUMIFS('PCO Log'!$E30:$SJ30,'PCO Log'!$E$9:$SJ$9,'Graph Data'!AC$187,'PCO Log'!$E$4:$SJ$4,"&lt;&gt;Bid Package",'PCO Log'!$E$7:$SJ$7,"Approved")</f>
        <v>0</v>
      </c>
      <c r="AD206" s="304">
        <f>SUMIFS('PCO Log'!$E30:$SJ30,'PCO Log'!$E$9:$SJ$9,'Graph Data'!AD$187,'PCO Log'!$E$4:$SJ$4,"&lt;&gt;Bid Package",'PCO Log'!$E$7:$SJ$7,"Approved")</f>
        <v>0</v>
      </c>
      <c r="AE206" s="304">
        <f>SUMIFS('PCO Log'!$E30:$SJ30,'PCO Log'!$E$9:$SJ$9,'Graph Data'!AE$187,'PCO Log'!$E$4:$SJ$4,"&lt;&gt;Bid Package",'PCO Log'!$E$7:$SJ$7,"Approved")</f>
        <v>0</v>
      </c>
      <c r="AF206" s="304">
        <f>SUMIFS('PCO Log'!$E30:$SJ30,'PCO Log'!$E$9:$SJ$9,'Graph Data'!AF$187,'PCO Log'!$E$4:$SJ$4,"&lt;&gt;Bid Package",'PCO Log'!$E$7:$SJ$7,"Approved")</f>
        <v>0</v>
      </c>
      <c r="AG206" s="304">
        <f>SUMIFS('PCO Log'!$E30:$SJ30,'PCO Log'!$E$9:$SJ$9,'Graph Data'!AG$187,'PCO Log'!$E$4:$SJ$4,"&lt;&gt;Bid Package",'PCO Log'!$E$7:$SJ$7,"Approved")</f>
        <v>0</v>
      </c>
      <c r="AH206" s="304">
        <f>SUMIFS('PCO Log'!$E30:$SJ30,'PCO Log'!$E$9:$SJ$9,'Graph Data'!AH$187,'PCO Log'!$E$4:$SJ$4,"&lt;&gt;Bid Package",'PCO Log'!$E$7:$SJ$7,"Approved")</f>
        <v>0</v>
      </c>
      <c r="AI206" s="304">
        <f>SUMIFS('PCO Log'!$E30:$SJ30,'PCO Log'!$E$9:$SJ$9,'Graph Data'!AI$187,'PCO Log'!$E$4:$SJ$4,"&lt;&gt;Bid Package",'PCO Log'!$E$7:$SJ$7,"Approved")</f>
        <v>0</v>
      </c>
      <c r="AJ206" s="304">
        <f>SUMIFS('PCO Log'!$E30:$SJ30,'PCO Log'!$E$9:$SJ$9,'Graph Data'!AJ$187,'PCO Log'!$E$4:$SJ$4,"&lt;&gt;Bid Package",'PCO Log'!$E$7:$SJ$7,"Approved")</f>
        <v>0</v>
      </c>
      <c r="AK206" s="304">
        <f>SUMIFS('PCO Log'!$E30:$SJ30,'PCO Log'!$E$9:$SJ$9,'Graph Data'!AK$187,'PCO Log'!$E$4:$SJ$4,"&lt;&gt;Bid Package",'PCO Log'!$E$7:$SJ$7,"Approved")</f>
        <v>0</v>
      </c>
      <c r="AL206" s="304">
        <f>SUMIFS('PCO Log'!$E30:$SJ30,'PCO Log'!$E$9:$SJ$9,'Graph Data'!AL$187,'PCO Log'!$E$4:$SJ$4,"&lt;&gt;Bid Package",'PCO Log'!$E$7:$SJ$7,"Approved")</f>
        <v>0</v>
      </c>
      <c r="AM206" s="304">
        <f>SUMIFS('PCO Log'!$E30:$SJ30,'PCO Log'!$E$9:$SJ$9,'Graph Data'!AM$187,'PCO Log'!$E$4:$SJ$4,"&lt;&gt;Bid Package",'PCO Log'!$E$7:$SJ$7,"Approved")</f>
        <v>0</v>
      </c>
      <c r="AN206" s="304">
        <f>SUMIFS('PCO Log'!$E30:$SJ30,'PCO Log'!$E$9:$SJ$9,'Graph Data'!AN$187,'PCO Log'!$E$4:$SJ$4,"&lt;&gt;Bid Package",'PCO Log'!$E$7:$SJ$7,"Approved")</f>
        <v>0</v>
      </c>
      <c r="AO206" s="304">
        <f>SUMIFS('PCO Log'!$E30:$SJ30,'PCO Log'!$E$9:$SJ$9,'Graph Data'!AO$187,'PCO Log'!$E$4:$SJ$4,"&lt;&gt;Bid Package",'PCO Log'!$E$7:$SJ$7,"Approved")</f>
        <v>0</v>
      </c>
      <c r="AP206" s="304">
        <f>SUMIFS('PCO Log'!$E30:$SJ30,'PCO Log'!$E$9:$SJ$9,'Graph Data'!AP$187,'PCO Log'!$E$4:$SJ$4,"&lt;&gt;Bid Package",'PCO Log'!$E$7:$SJ$7,"Approved")</f>
        <v>0</v>
      </c>
      <c r="AQ206" s="304">
        <f>SUMIFS('PCO Log'!$E30:$SJ30,'PCO Log'!$E$9:$SJ$9,'Graph Data'!AQ$187,'PCO Log'!$E$4:$SJ$4,"&lt;&gt;Bid Package",'PCO Log'!$E$7:$SJ$7,"Approved")</f>
        <v>0</v>
      </c>
      <c r="AR206" s="304">
        <f>SUMIFS('PCO Log'!$E30:$SJ30,'PCO Log'!$E$9:$SJ$9,'Graph Data'!AR$187,'PCO Log'!$E$4:$SJ$4,"&lt;&gt;Bid Package",'PCO Log'!$E$7:$SJ$7,"Approved")</f>
        <v>0</v>
      </c>
      <c r="AS206" s="304">
        <f>SUMIFS('PCO Log'!$E30:$SJ30,'PCO Log'!$E$9:$SJ$9,'Graph Data'!AS$187,'PCO Log'!$E$4:$SJ$4,"&lt;&gt;Bid Package",'PCO Log'!$E$7:$SJ$7,"Approved")</f>
        <v>0</v>
      </c>
      <c r="AT206" s="304">
        <f>SUMIFS('PCO Log'!$E30:$SJ30,'PCO Log'!$E$9:$SJ$9,'Graph Data'!AT$187,'PCO Log'!$E$4:$SJ$4,"&lt;&gt;Bid Package",'PCO Log'!$E$7:$SJ$7,"Approved")</f>
        <v>0</v>
      </c>
      <c r="AU206" s="304">
        <f>SUMIFS('PCO Log'!$E30:$SJ30,'PCO Log'!$E$9:$SJ$9,'Graph Data'!AU$187,'PCO Log'!$E$4:$SJ$4,"&lt;&gt;Bid Package",'PCO Log'!$E$7:$SJ$7,"Approved")</f>
        <v>0</v>
      </c>
      <c r="AV206" s="304">
        <f>SUMIFS('PCO Log'!$E30:$SJ30,'PCO Log'!$E$9:$SJ$9,'Graph Data'!AV$187,'PCO Log'!$E$4:$SJ$4,"&lt;&gt;Bid Package",'PCO Log'!$E$7:$SJ$7,"Approved")</f>
        <v>0</v>
      </c>
      <c r="AW206" s="304">
        <f>SUMIFS('PCO Log'!$E30:$SJ30,'PCO Log'!$E$9:$SJ$9,'Graph Data'!AW$187,'PCO Log'!$E$4:$SJ$4,"&lt;&gt;Bid Package",'PCO Log'!$E$7:$SJ$7,"Approved")</f>
        <v>0</v>
      </c>
      <c r="AX206" s="304">
        <f>SUMIFS('PCO Log'!$E30:$SJ30,'PCO Log'!$E$9:$SJ$9,'Graph Data'!AX$187,'PCO Log'!$E$4:$SJ$4,"&lt;&gt;Bid Package",'PCO Log'!$E$7:$SJ$7,"Approved")</f>
        <v>0</v>
      </c>
      <c r="AY206" s="304">
        <f>SUMIFS('PCO Log'!$E30:$SJ30,'PCO Log'!$E$9:$SJ$9,'Graph Data'!AY$187,'PCO Log'!$E$4:$SJ$4,"&lt;&gt;Bid Package",'PCO Log'!$E$7:$SJ$7,"Approved")</f>
        <v>0</v>
      </c>
      <c r="AZ206" s="304">
        <f>SUMIFS('PCO Log'!$E30:$SJ30,'PCO Log'!$E$9:$SJ$9,'Graph Data'!AZ$187,'PCO Log'!$E$4:$SJ$4,"&lt;&gt;Bid Package",'PCO Log'!$E$7:$SJ$7,"Approved")</f>
        <v>0</v>
      </c>
      <c r="BA206" s="304">
        <f>SUMIFS('PCO Log'!$E30:$SJ30,'PCO Log'!$E$9:$SJ$9,'Graph Data'!BA$187,'PCO Log'!$E$4:$SJ$4,"&lt;&gt;Bid Package",'PCO Log'!$E$7:$SJ$7,"Approved")</f>
        <v>0</v>
      </c>
      <c r="BB206" s="304">
        <f>SUMIFS('PCO Log'!$E30:$SJ30,'PCO Log'!$E$9:$SJ$9,'Graph Data'!BB$187,'PCO Log'!$E$4:$SJ$4,"&lt;&gt;Bid Package",'PCO Log'!$E$7:$SJ$7,"Approved")</f>
        <v>0</v>
      </c>
      <c r="BC206" s="304">
        <f>SUMIFS('PCO Log'!$E30:$SJ30,'PCO Log'!$E$9:$SJ$9,'Graph Data'!BC$187,'PCO Log'!$E$4:$SJ$4,"&lt;&gt;Bid Package",'PCO Log'!$E$7:$SJ$7,"Approved")</f>
        <v>0</v>
      </c>
      <c r="BD206" s="304">
        <f>SUMIFS('PCO Log'!$E30:$SJ30,'PCO Log'!$E$9:$SJ$9,'Graph Data'!BD$187,'PCO Log'!$E$4:$SJ$4,"&lt;&gt;Bid Package",'PCO Log'!$E$7:$SJ$7,"Approved")</f>
        <v>0</v>
      </c>
      <c r="BE206" s="304">
        <f>SUMIFS('PCO Log'!$E30:$SJ30,'PCO Log'!$E$9:$SJ$9,'Graph Data'!BE$187,'PCO Log'!$E$4:$SJ$4,"&lt;&gt;Bid Package",'PCO Log'!$E$7:$SJ$7,"Approved")</f>
        <v>0</v>
      </c>
      <c r="BF206" s="304">
        <f>SUMIFS('PCO Log'!$E30:$SJ30,'PCO Log'!$E$9:$SJ$9,'Graph Data'!BF$187,'PCO Log'!$E$4:$SJ$4,"&lt;&gt;Bid Package",'PCO Log'!$E$7:$SJ$7,"Approved")</f>
        <v>0</v>
      </c>
      <c r="BG206" s="304">
        <f>SUMIFS('PCO Log'!$E30:$SJ30,'PCO Log'!$E$9:$SJ$9,'Graph Data'!BG$187,'PCO Log'!$E$4:$SJ$4,"&lt;&gt;Bid Package",'PCO Log'!$E$7:$SJ$7,"Approved")</f>
        <v>0</v>
      </c>
      <c r="BH206" s="304">
        <f>SUMIFS('PCO Log'!$E30:$SJ30,'PCO Log'!$E$9:$SJ$9,'Graph Data'!BH$187,'PCO Log'!$E$4:$SJ$4,"&lt;&gt;Bid Package",'PCO Log'!$E$7:$SJ$7,"Approved")</f>
        <v>0</v>
      </c>
      <c r="BI206" s="304">
        <f>SUMIFS('PCO Log'!$E30:$SJ30,'PCO Log'!$E$9:$SJ$9,'Graph Data'!BI$187,'PCO Log'!$E$4:$SJ$4,"&lt;&gt;Bid Package",'PCO Log'!$E$7:$SJ$7,"Approved")</f>
        <v>0</v>
      </c>
      <c r="BJ206" s="304">
        <f>SUMIFS('PCO Log'!$E30:$SJ30,'PCO Log'!$E$9:$SJ$9,'Graph Data'!BJ$187,'PCO Log'!$E$4:$SJ$4,"&lt;&gt;Bid Package",'PCO Log'!$E$7:$SJ$7,"Approved")</f>
        <v>0</v>
      </c>
      <c r="BK206" s="304">
        <f>SUMIFS('PCO Log'!$E30:$SJ30,'PCO Log'!$E$9:$SJ$9,'Graph Data'!BK$187,'PCO Log'!$E$4:$SJ$4,"&lt;&gt;Bid Package",'PCO Log'!$E$7:$SJ$7,"Approved")</f>
        <v>0</v>
      </c>
      <c r="BL206" s="304">
        <f>SUMIFS('PCO Log'!$E30:$SJ30,'PCO Log'!$E$9:$SJ$9,'Graph Data'!BL$187,'PCO Log'!$E$4:$SJ$4,"&lt;&gt;Bid Package",'PCO Log'!$E$7:$SJ$7,"Approved")</f>
        <v>0</v>
      </c>
      <c r="BM206" s="304">
        <f>SUMIFS('PCO Log'!$E30:$SJ30,'PCO Log'!$E$9:$SJ$9,'Graph Data'!BM$187,'PCO Log'!$E$4:$SJ$4,"&lt;&gt;Bid Package",'PCO Log'!$E$7:$SJ$7,"Approved")</f>
        <v>0</v>
      </c>
      <c r="BN206" s="304">
        <f>SUMIFS('PCO Log'!$E30:$SJ30,'PCO Log'!$E$9:$SJ$9,'Graph Data'!BN$187,'PCO Log'!$E$4:$SJ$4,"&lt;&gt;Bid Package",'PCO Log'!$E$7:$SJ$7,"Approved")</f>
        <v>0</v>
      </c>
      <c r="BO206" s="304">
        <f>SUMIFS('PCO Log'!$E30:$SJ30,'PCO Log'!$E$9:$SJ$9,'Graph Data'!BO$187,'PCO Log'!$E$4:$SJ$4,"&lt;&gt;Bid Package",'PCO Log'!$E$7:$SJ$7,"Approved")</f>
        <v>0</v>
      </c>
      <c r="BP206" s="304">
        <f>SUMIFS('PCO Log'!$E30:$SJ30,'PCO Log'!$E$9:$SJ$9,'Graph Data'!BP$187,'PCO Log'!$E$4:$SJ$4,"&lt;&gt;Bid Package",'PCO Log'!$E$7:$SJ$7,"Approved")</f>
        <v>0</v>
      </c>
      <c r="BQ206" s="304">
        <f>SUMIFS('PCO Log'!$E30:$SJ30,'PCO Log'!$E$9:$SJ$9,'Graph Data'!BQ$187,'PCO Log'!$E$4:$SJ$4,"&lt;&gt;Bid Package",'PCO Log'!$E$7:$SJ$7,"Approved")</f>
        <v>0</v>
      </c>
      <c r="BR206" s="304">
        <f>SUMIFS('PCO Log'!$E30:$SJ30,'PCO Log'!$E$9:$SJ$9,'Graph Data'!BR$187,'PCO Log'!$E$4:$SJ$4,"&lt;&gt;Bid Package",'PCO Log'!$E$7:$SJ$7,"Approved")</f>
        <v>0</v>
      </c>
      <c r="BS206" s="304">
        <f>SUMIFS('PCO Log'!$E30:$SJ30,'PCO Log'!$E$9:$SJ$9,'Graph Data'!BS$187,'PCO Log'!$E$4:$SJ$4,"&lt;&gt;Bid Package",'PCO Log'!$E$7:$SJ$7,"Approved")</f>
        <v>0</v>
      </c>
      <c r="BT206" s="304">
        <f>SUMIFS('PCO Log'!$E30:$SJ30,'PCO Log'!$E$9:$SJ$9,'Graph Data'!BT$187,'PCO Log'!$E$4:$SJ$4,"&lt;&gt;Bid Package",'PCO Log'!$E$7:$SJ$7,"Approved")</f>
        <v>0</v>
      </c>
      <c r="BU206" s="304">
        <f>SUMIFS('PCO Log'!$E30:$SJ30,'PCO Log'!$E$9:$SJ$9,'Graph Data'!BU$187,'PCO Log'!$E$4:$SJ$4,"&lt;&gt;Bid Package",'PCO Log'!$E$7:$SJ$7,"Approved")</f>
        <v>0</v>
      </c>
      <c r="BV206" s="304">
        <f>SUMIFS('PCO Log'!$E30:$SJ30,'PCO Log'!$E$9:$SJ$9,'Graph Data'!BV$187,'PCO Log'!$E$4:$SJ$4,"&lt;&gt;Bid Package",'PCO Log'!$E$7:$SJ$7,"Approved")</f>
        <v>0</v>
      </c>
      <c r="BW206" s="304">
        <f>SUMIFS('PCO Log'!$E30:$SJ30,'PCO Log'!$E$9:$SJ$9,'Graph Data'!BW$187,'PCO Log'!$E$4:$SJ$4,"&lt;&gt;Bid Package",'PCO Log'!$E$7:$SJ$7,"Approved")</f>
        <v>0</v>
      </c>
      <c r="BX206" s="304">
        <f>SUMIFS('PCO Log'!$E30:$SJ30,'PCO Log'!$E$9:$SJ$9,'Graph Data'!BX$187,'PCO Log'!$E$4:$SJ$4,"&lt;&gt;Bid Package",'PCO Log'!$E$7:$SJ$7,"Approved")</f>
        <v>0</v>
      </c>
    </row>
    <row r="207" spans="1:76" x14ac:dyDescent="0.25">
      <c r="A207" s="303" t="s">
        <v>557</v>
      </c>
      <c r="B207" s="303">
        <f>'PCO Log'!HB7</f>
        <v>0</v>
      </c>
      <c r="C207" s="303">
        <f>'PCO Log'!HB4</f>
        <v>0</v>
      </c>
      <c r="D207" s="303" cm="1">
        <f t="array" ref="D207">INDEX('PCO Log'!$E$5:$SJ$5, 1, ROWS('Graph Data'!$D$2:D207))</f>
        <v>0</v>
      </c>
      <c r="E207" s="303">
        <f>'PCO Log'!HB8</f>
        <v>0</v>
      </c>
      <c r="F207" s="303">
        <f>'PCO Log'!HB3</f>
        <v>0</v>
      </c>
      <c r="G207" s="304">
        <f>'PCO Log'!HB10</f>
        <v>0</v>
      </c>
      <c r="H207" s="305">
        <f>'PCO Log'!HB6</f>
        <v>0</v>
      </c>
      <c r="K207" s="307"/>
      <c r="P207" s="303" t="str">
        <f t="shared" si="2"/>
        <v>Precast</v>
      </c>
      <c r="Q207" s="304">
        <f>SUMIFS('PCO Log'!$E31:$SJ31,'PCO Log'!$E$9:$SJ$9,'Graph Data'!Q$187,'PCO Log'!$E$4:$SJ$4,"&lt;&gt;Bid Package",'PCO Log'!$E$7:$SJ$7,"Approved")</f>
        <v>0</v>
      </c>
      <c r="R207" s="304">
        <f>SUMIFS('PCO Log'!$E31:$SJ31,'PCO Log'!$E$9:$SJ$9,'Graph Data'!R$187,'PCO Log'!$E$4:$SJ$4,"&lt;&gt;Bid Package",'PCO Log'!$E$7:$SJ$7,"Approved")</f>
        <v>0</v>
      </c>
      <c r="S207" s="304">
        <f>SUMIFS('PCO Log'!$E31:$SJ31,'PCO Log'!$E$9:$SJ$9,'Graph Data'!S$187,'PCO Log'!$E$4:$SJ$4,"&lt;&gt;Bid Package",'PCO Log'!$E$7:$SJ$7,"Approved")</f>
        <v>0</v>
      </c>
      <c r="T207" s="304">
        <f>SUMIFS('PCO Log'!$E31:$SJ31,'PCO Log'!$E$9:$SJ$9,'Graph Data'!T$187,'PCO Log'!$E$4:$SJ$4,"&lt;&gt;Bid Package",'PCO Log'!$E$7:$SJ$7,"Approved")</f>
        <v>0</v>
      </c>
      <c r="U207" s="304">
        <f>SUMIFS('PCO Log'!$E31:$SJ31,'PCO Log'!$E$9:$SJ$9,'Graph Data'!U$187,'PCO Log'!$E$4:$SJ$4,"&lt;&gt;Bid Package",'PCO Log'!$E$7:$SJ$7,"Approved")</f>
        <v>0</v>
      </c>
      <c r="V207" s="304">
        <f>SUMIFS('PCO Log'!$E31:$SJ31,'PCO Log'!$E$9:$SJ$9,'Graph Data'!V$187,'PCO Log'!$E$4:$SJ$4,"&lt;&gt;Bid Package",'PCO Log'!$E$7:$SJ$7,"Approved")</f>
        <v>0</v>
      </c>
      <c r="W207" s="304">
        <f>SUMIFS('PCO Log'!$E31:$SJ31,'PCO Log'!$E$9:$SJ$9,'Graph Data'!W$187,'PCO Log'!$E$4:$SJ$4,"&lt;&gt;Bid Package",'PCO Log'!$E$7:$SJ$7,"Approved")</f>
        <v>0</v>
      </c>
      <c r="X207" s="304">
        <f>SUMIFS('PCO Log'!$E31:$SJ31,'PCO Log'!$E$9:$SJ$9,'Graph Data'!X$187,'PCO Log'!$E$4:$SJ$4,"&lt;&gt;Bid Package",'PCO Log'!$E$7:$SJ$7,"Approved")</f>
        <v>0</v>
      </c>
      <c r="Y207" s="304">
        <f>SUMIFS('PCO Log'!$E31:$SJ31,'PCO Log'!$E$9:$SJ$9,'Graph Data'!Y$187,'PCO Log'!$E$4:$SJ$4,"&lt;&gt;Bid Package",'PCO Log'!$E$7:$SJ$7,"Approved")</f>
        <v>0</v>
      </c>
      <c r="Z207" s="304">
        <f>SUMIFS('PCO Log'!$E31:$SJ31,'PCO Log'!$E$9:$SJ$9,'Graph Data'!Z$187,'PCO Log'!$E$4:$SJ$4,"&lt;&gt;Bid Package",'PCO Log'!$E$7:$SJ$7,"Approved")</f>
        <v>0</v>
      </c>
      <c r="AA207" s="304">
        <f>SUMIFS('PCO Log'!$E31:$SJ31,'PCO Log'!$E$9:$SJ$9,'Graph Data'!AA$187,'PCO Log'!$E$4:$SJ$4,"&lt;&gt;Bid Package",'PCO Log'!$E$7:$SJ$7,"Approved")</f>
        <v>0</v>
      </c>
      <c r="AB207" s="304">
        <f>SUMIFS('PCO Log'!$E31:$SJ31,'PCO Log'!$E$9:$SJ$9,'Graph Data'!AB$187,'PCO Log'!$E$4:$SJ$4,"&lt;&gt;Bid Package",'PCO Log'!$E$7:$SJ$7,"Approved")</f>
        <v>0</v>
      </c>
      <c r="AC207" s="304">
        <f>SUMIFS('PCO Log'!$E31:$SJ31,'PCO Log'!$E$9:$SJ$9,'Graph Data'!AC$187,'PCO Log'!$E$4:$SJ$4,"&lt;&gt;Bid Package",'PCO Log'!$E$7:$SJ$7,"Approved")</f>
        <v>0</v>
      </c>
      <c r="AD207" s="304">
        <f>SUMIFS('PCO Log'!$E31:$SJ31,'PCO Log'!$E$9:$SJ$9,'Graph Data'!AD$187,'PCO Log'!$E$4:$SJ$4,"&lt;&gt;Bid Package",'PCO Log'!$E$7:$SJ$7,"Approved")</f>
        <v>0</v>
      </c>
      <c r="AE207" s="304">
        <f>SUMIFS('PCO Log'!$E31:$SJ31,'PCO Log'!$E$9:$SJ$9,'Graph Data'!AE$187,'PCO Log'!$E$4:$SJ$4,"&lt;&gt;Bid Package",'PCO Log'!$E$7:$SJ$7,"Approved")</f>
        <v>0</v>
      </c>
      <c r="AF207" s="304">
        <f>SUMIFS('PCO Log'!$E31:$SJ31,'PCO Log'!$E$9:$SJ$9,'Graph Data'!AF$187,'PCO Log'!$E$4:$SJ$4,"&lt;&gt;Bid Package",'PCO Log'!$E$7:$SJ$7,"Approved")</f>
        <v>0</v>
      </c>
      <c r="AG207" s="304">
        <f>SUMIFS('PCO Log'!$E31:$SJ31,'PCO Log'!$E$9:$SJ$9,'Graph Data'!AG$187,'PCO Log'!$E$4:$SJ$4,"&lt;&gt;Bid Package",'PCO Log'!$E$7:$SJ$7,"Approved")</f>
        <v>0</v>
      </c>
      <c r="AH207" s="304">
        <f>SUMIFS('PCO Log'!$E31:$SJ31,'PCO Log'!$E$9:$SJ$9,'Graph Data'!AH$187,'PCO Log'!$E$4:$SJ$4,"&lt;&gt;Bid Package",'PCO Log'!$E$7:$SJ$7,"Approved")</f>
        <v>0</v>
      </c>
      <c r="AI207" s="304">
        <f>SUMIFS('PCO Log'!$E31:$SJ31,'PCO Log'!$E$9:$SJ$9,'Graph Data'!AI$187,'PCO Log'!$E$4:$SJ$4,"&lt;&gt;Bid Package",'PCO Log'!$E$7:$SJ$7,"Approved")</f>
        <v>0</v>
      </c>
      <c r="AJ207" s="304">
        <f>SUMIFS('PCO Log'!$E31:$SJ31,'PCO Log'!$E$9:$SJ$9,'Graph Data'!AJ$187,'PCO Log'!$E$4:$SJ$4,"&lt;&gt;Bid Package",'PCO Log'!$E$7:$SJ$7,"Approved")</f>
        <v>0</v>
      </c>
      <c r="AK207" s="304">
        <f>SUMIFS('PCO Log'!$E31:$SJ31,'PCO Log'!$E$9:$SJ$9,'Graph Data'!AK$187,'PCO Log'!$E$4:$SJ$4,"&lt;&gt;Bid Package",'PCO Log'!$E$7:$SJ$7,"Approved")</f>
        <v>0</v>
      </c>
      <c r="AL207" s="304">
        <f>SUMIFS('PCO Log'!$E31:$SJ31,'PCO Log'!$E$9:$SJ$9,'Graph Data'!AL$187,'PCO Log'!$E$4:$SJ$4,"&lt;&gt;Bid Package",'PCO Log'!$E$7:$SJ$7,"Approved")</f>
        <v>0</v>
      </c>
      <c r="AM207" s="304">
        <f>SUMIFS('PCO Log'!$E31:$SJ31,'PCO Log'!$E$9:$SJ$9,'Graph Data'!AM$187,'PCO Log'!$E$4:$SJ$4,"&lt;&gt;Bid Package",'PCO Log'!$E$7:$SJ$7,"Approved")</f>
        <v>0</v>
      </c>
      <c r="AN207" s="304">
        <f>SUMIFS('PCO Log'!$E31:$SJ31,'PCO Log'!$E$9:$SJ$9,'Graph Data'!AN$187,'PCO Log'!$E$4:$SJ$4,"&lt;&gt;Bid Package",'PCO Log'!$E$7:$SJ$7,"Approved")</f>
        <v>0</v>
      </c>
      <c r="AO207" s="304">
        <f>SUMIFS('PCO Log'!$E31:$SJ31,'PCO Log'!$E$9:$SJ$9,'Graph Data'!AO$187,'PCO Log'!$E$4:$SJ$4,"&lt;&gt;Bid Package",'PCO Log'!$E$7:$SJ$7,"Approved")</f>
        <v>0</v>
      </c>
      <c r="AP207" s="304">
        <f>SUMIFS('PCO Log'!$E31:$SJ31,'PCO Log'!$E$9:$SJ$9,'Graph Data'!AP$187,'PCO Log'!$E$4:$SJ$4,"&lt;&gt;Bid Package",'PCO Log'!$E$7:$SJ$7,"Approved")</f>
        <v>0</v>
      </c>
      <c r="AQ207" s="304">
        <f>SUMIFS('PCO Log'!$E31:$SJ31,'PCO Log'!$E$9:$SJ$9,'Graph Data'!AQ$187,'PCO Log'!$E$4:$SJ$4,"&lt;&gt;Bid Package",'PCO Log'!$E$7:$SJ$7,"Approved")</f>
        <v>0</v>
      </c>
      <c r="AR207" s="304">
        <f>SUMIFS('PCO Log'!$E31:$SJ31,'PCO Log'!$E$9:$SJ$9,'Graph Data'!AR$187,'PCO Log'!$E$4:$SJ$4,"&lt;&gt;Bid Package",'PCO Log'!$E$7:$SJ$7,"Approved")</f>
        <v>0</v>
      </c>
      <c r="AS207" s="304">
        <f>SUMIFS('PCO Log'!$E31:$SJ31,'PCO Log'!$E$9:$SJ$9,'Graph Data'!AS$187,'PCO Log'!$E$4:$SJ$4,"&lt;&gt;Bid Package",'PCO Log'!$E$7:$SJ$7,"Approved")</f>
        <v>0</v>
      </c>
      <c r="AT207" s="304">
        <f>SUMIFS('PCO Log'!$E31:$SJ31,'PCO Log'!$E$9:$SJ$9,'Graph Data'!AT$187,'PCO Log'!$E$4:$SJ$4,"&lt;&gt;Bid Package",'PCO Log'!$E$7:$SJ$7,"Approved")</f>
        <v>0</v>
      </c>
      <c r="AU207" s="304">
        <f>SUMIFS('PCO Log'!$E31:$SJ31,'PCO Log'!$E$9:$SJ$9,'Graph Data'!AU$187,'PCO Log'!$E$4:$SJ$4,"&lt;&gt;Bid Package",'PCO Log'!$E$7:$SJ$7,"Approved")</f>
        <v>0</v>
      </c>
      <c r="AV207" s="304">
        <f>SUMIFS('PCO Log'!$E31:$SJ31,'PCO Log'!$E$9:$SJ$9,'Graph Data'!AV$187,'PCO Log'!$E$4:$SJ$4,"&lt;&gt;Bid Package",'PCO Log'!$E$7:$SJ$7,"Approved")</f>
        <v>0</v>
      </c>
      <c r="AW207" s="304">
        <f>SUMIFS('PCO Log'!$E31:$SJ31,'PCO Log'!$E$9:$SJ$9,'Graph Data'!AW$187,'PCO Log'!$E$4:$SJ$4,"&lt;&gt;Bid Package",'PCO Log'!$E$7:$SJ$7,"Approved")</f>
        <v>0</v>
      </c>
      <c r="AX207" s="304">
        <f>SUMIFS('PCO Log'!$E31:$SJ31,'PCO Log'!$E$9:$SJ$9,'Graph Data'!AX$187,'PCO Log'!$E$4:$SJ$4,"&lt;&gt;Bid Package",'PCO Log'!$E$7:$SJ$7,"Approved")</f>
        <v>0</v>
      </c>
      <c r="AY207" s="304">
        <f>SUMIFS('PCO Log'!$E31:$SJ31,'PCO Log'!$E$9:$SJ$9,'Graph Data'!AY$187,'PCO Log'!$E$4:$SJ$4,"&lt;&gt;Bid Package",'PCO Log'!$E$7:$SJ$7,"Approved")</f>
        <v>0</v>
      </c>
      <c r="AZ207" s="304">
        <f>SUMIFS('PCO Log'!$E31:$SJ31,'PCO Log'!$E$9:$SJ$9,'Graph Data'!AZ$187,'PCO Log'!$E$4:$SJ$4,"&lt;&gt;Bid Package",'PCO Log'!$E$7:$SJ$7,"Approved")</f>
        <v>0</v>
      </c>
      <c r="BA207" s="304">
        <f>SUMIFS('PCO Log'!$E31:$SJ31,'PCO Log'!$E$9:$SJ$9,'Graph Data'!BA$187,'PCO Log'!$E$4:$SJ$4,"&lt;&gt;Bid Package",'PCO Log'!$E$7:$SJ$7,"Approved")</f>
        <v>0</v>
      </c>
      <c r="BB207" s="304">
        <f>SUMIFS('PCO Log'!$E31:$SJ31,'PCO Log'!$E$9:$SJ$9,'Graph Data'!BB$187,'PCO Log'!$E$4:$SJ$4,"&lt;&gt;Bid Package",'PCO Log'!$E$7:$SJ$7,"Approved")</f>
        <v>0</v>
      </c>
      <c r="BC207" s="304">
        <f>SUMIFS('PCO Log'!$E31:$SJ31,'PCO Log'!$E$9:$SJ$9,'Graph Data'!BC$187,'PCO Log'!$E$4:$SJ$4,"&lt;&gt;Bid Package",'PCO Log'!$E$7:$SJ$7,"Approved")</f>
        <v>0</v>
      </c>
      <c r="BD207" s="304">
        <f>SUMIFS('PCO Log'!$E31:$SJ31,'PCO Log'!$E$9:$SJ$9,'Graph Data'!BD$187,'PCO Log'!$E$4:$SJ$4,"&lt;&gt;Bid Package",'PCO Log'!$E$7:$SJ$7,"Approved")</f>
        <v>0</v>
      </c>
      <c r="BE207" s="304">
        <f>SUMIFS('PCO Log'!$E31:$SJ31,'PCO Log'!$E$9:$SJ$9,'Graph Data'!BE$187,'PCO Log'!$E$4:$SJ$4,"&lt;&gt;Bid Package",'PCO Log'!$E$7:$SJ$7,"Approved")</f>
        <v>0</v>
      </c>
      <c r="BF207" s="304">
        <f>SUMIFS('PCO Log'!$E31:$SJ31,'PCO Log'!$E$9:$SJ$9,'Graph Data'!BF$187,'PCO Log'!$E$4:$SJ$4,"&lt;&gt;Bid Package",'PCO Log'!$E$7:$SJ$7,"Approved")</f>
        <v>0</v>
      </c>
      <c r="BG207" s="304">
        <f>SUMIFS('PCO Log'!$E31:$SJ31,'PCO Log'!$E$9:$SJ$9,'Graph Data'!BG$187,'PCO Log'!$E$4:$SJ$4,"&lt;&gt;Bid Package",'PCO Log'!$E$7:$SJ$7,"Approved")</f>
        <v>0</v>
      </c>
      <c r="BH207" s="304">
        <f>SUMIFS('PCO Log'!$E31:$SJ31,'PCO Log'!$E$9:$SJ$9,'Graph Data'!BH$187,'PCO Log'!$E$4:$SJ$4,"&lt;&gt;Bid Package",'PCO Log'!$E$7:$SJ$7,"Approved")</f>
        <v>0</v>
      </c>
      <c r="BI207" s="304">
        <f>SUMIFS('PCO Log'!$E31:$SJ31,'PCO Log'!$E$9:$SJ$9,'Graph Data'!BI$187,'PCO Log'!$E$4:$SJ$4,"&lt;&gt;Bid Package",'PCO Log'!$E$7:$SJ$7,"Approved")</f>
        <v>0</v>
      </c>
      <c r="BJ207" s="304">
        <f>SUMIFS('PCO Log'!$E31:$SJ31,'PCO Log'!$E$9:$SJ$9,'Graph Data'!BJ$187,'PCO Log'!$E$4:$SJ$4,"&lt;&gt;Bid Package",'PCO Log'!$E$7:$SJ$7,"Approved")</f>
        <v>0</v>
      </c>
      <c r="BK207" s="304">
        <f>SUMIFS('PCO Log'!$E31:$SJ31,'PCO Log'!$E$9:$SJ$9,'Graph Data'!BK$187,'PCO Log'!$E$4:$SJ$4,"&lt;&gt;Bid Package",'PCO Log'!$E$7:$SJ$7,"Approved")</f>
        <v>0</v>
      </c>
      <c r="BL207" s="304">
        <f>SUMIFS('PCO Log'!$E31:$SJ31,'PCO Log'!$E$9:$SJ$9,'Graph Data'!BL$187,'PCO Log'!$E$4:$SJ$4,"&lt;&gt;Bid Package",'PCO Log'!$E$7:$SJ$7,"Approved")</f>
        <v>0</v>
      </c>
      <c r="BM207" s="304">
        <f>SUMIFS('PCO Log'!$E31:$SJ31,'PCO Log'!$E$9:$SJ$9,'Graph Data'!BM$187,'PCO Log'!$E$4:$SJ$4,"&lt;&gt;Bid Package",'PCO Log'!$E$7:$SJ$7,"Approved")</f>
        <v>0</v>
      </c>
      <c r="BN207" s="304">
        <f>SUMIFS('PCO Log'!$E31:$SJ31,'PCO Log'!$E$9:$SJ$9,'Graph Data'!BN$187,'PCO Log'!$E$4:$SJ$4,"&lt;&gt;Bid Package",'PCO Log'!$E$7:$SJ$7,"Approved")</f>
        <v>0</v>
      </c>
      <c r="BO207" s="304">
        <f>SUMIFS('PCO Log'!$E31:$SJ31,'PCO Log'!$E$9:$SJ$9,'Graph Data'!BO$187,'PCO Log'!$E$4:$SJ$4,"&lt;&gt;Bid Package",'PCO Log'!$E$7:$SJ$7,"Approved")</f>
        <v>0</v>
      </c>
      <c r="BP207" s="304">
        <f>SUMIFS('PCO Log'!$E31:$SJ31,'PCO Log'!$E$9:$SJ$9,'Graph Data'!BP$187,'PCO Log'!$E$4:$SJ$4,"&lt;&gt;Bid Package",'PCO Log'!$E$7:$SJ$7,"Approved")</f>
        <v>0</v>
      </c>
      <c r="BQ207" s="304">
        <f>SUMIFS('PCO Log'!$E31:$SJ31,'PCO Log'!$E$9:$SJ$9,'Graph Data'!BQ$187,'PCO Log'!$E$4:$SJ$4,"&lt;&gt;Bid Package",'PCO Log'!$E$7:$SJ$7,"Approved")</f>
        <v>0</v>
      </c>
      <c r="BR207" s="304">
        <f>SUMIFS('PCO Log'!$E31:$SJ31,'PCO Log'!$E$9:$SJ$9,'Graph Data'!BR$187,'PCO Log'!$E$4:$SJ$4,"&lt;&gt;Bid Package",'PCO Log'!$E$7:$SJ$7,"Approved")</f>
        <v>0</v>
      </c>
      <c r="BS207" s="304">
        <f>SUMIFS('PCO Log'!$E31:$SJ31,'PCO Log'!$E$9:$SJ$9,'Graph Data'!BS$187,'PCO Log'!$E$4:$SJ$4,"&lt;&gt;Bid Package",'PCO Log'!$E$7:$SJ$7,"Approved")</f>
        <v>0</v>
      </c>
      <c r="BT207" s="304">
        <f>SUMIFS('PCO Log'!$E31:$SJ31,'PCO Log'!$E$9:$SJ$9,'Graph Data'!BT$187,'PCO Log'!$E$4:$SJ$4,"&lt;&gt;Bid Package",'PCO Log'!$E$7:$SJ$7,"Approved")</f>
        <v>0</v>
      </c>
      <c r="BU207" s="304">
        <f>SUMIFS('PCO Log'!$E31:$SJ31,'PCO Log'!$E$9:$SJ$9,'Graph Data'!BU$187,'PCO Log'!$E$4:$SJ$4,"&lt;&gt;Bid Package",'PCO Log'!$E$7:$SJ$7,"Approved")</f>
        <v>0</v>
      </c>
      <c r="BV207" s="304">
        <f>SUMIFS('PCO Log'!$E31:$SJ31,'PCO Log'!$E$9:$SJ$9,'Graph Data'!BV$187,'PCO Log'!$E$4:$SJ$4,"&lt;&gt;Bid Package",'PCO Log'!$E$7:$SJ$7,"Approved")</f>
        <v>0</v>
      </c>
      <c r="BW207" s="304">
        <f>SUMIFS('PCO Log'!$E31:$SJ31,'PCO Log'!$E$9:$SJ$9,'Graph Data'!BW$187,'PCO Log'!$E$4:$SJ$4,"&lt;&gt;Bid Package",'PCO Log'!$E$7:$SJ$7,"Approved")</f>
        <v>0</v>
      </c>
      <c r="BX207" s="304">
        <f>SUMIFS('PCO Log'!$E31:$SJ31,'PCO Log'!$E$9:$SJ$9,'Graph Data'!BX$187,'PCO Log'!$E$4:$SJ$4,"&lt;&gt;Bid Package",'PCO Log'!$E$7:$SJ$7,"Approved")</f>
        <v>0</v>
      </c>
    </row>
    <row r="208" spans="1:76" x14ac:dyDescent="0.25">
      <c r="A208" s="303" t="s">
        <v>558</v>
      </c>
      <c r="B208" s="303">
        <f>'PCO Log'!HC7</f>
        <v>0</v>
      </c>
      <c r="C208" s="303">
        <f>'PCO Log'!HC4</f>
        <v>0</v>
      </c>
      <c r="D208" s="303" cm="1">
        <f t="array" ref="D208">INDEX('PCO Log'!$E$5:$SJ$5, 1, ROWS('Graph Data'!$D$2:D208))</f>
        <v>0</v>
      </c>
      <c r="E208" s="303">
        <f>'PCO Log'!HC8</f>
        <v>0</v>
      </c>
      <c r="F208" s="303">
        <f>'PCO Log'!HC3</f>
        <v>0</v>
      </c>
      <c r="G208" s="304">
        <f>'PCO Log'!HC10</f>
        <v>0</v>
      </c>
      <c r="H208" s="305">
        <f>'PCO Log'!HC6</f>
        <v>0</v>
      </c>
      <c r="K208" s="307"/>
      <c r="P208" s="303" t="str">
        <f t="shared" si="2"/>
        <v>Masonry</v>
      </c>
      <c r="Q208" s="304">
        <f>SUMIFS('PCO Log'!$E32:$SJ32,'PCO Log'!$E$9:$SJ$9,'Graph Data'!Q$187,'PCO Log'!$E$4:$SJ$4,"&lt;&gt;Bid Package",'PCO Log'!$E$7:$SJ$7,"Approved")</f>
        <v>0</v>
      </c>
      <c r="R208" s="304">
        <f>SUMIFS('PCO Log'!$E32:$SJ32,'PCO Log'!$E$9:$SJ$9,'Graph Data'!R$187,'PCO Log'!$E$4:$SJ$4,"&lt;&gt;Bid Package",'PCO Log'!$E$7:$SJ$7,"Approved")</f>
        <v>0</v>
      </c>
      <c r="S208" s="304">
        <f>SUMIFS('PCO Log'!$E32:$SJ32,'PCO Log'!$E$9:$SJ$9,'Graph Data'!S$187,'PCO Log'!$E$4:$SJ$4,"&lt;&gt;Bid Package",'PCO Log'!$E$7:$SJ$7,"Approved")</f>
        <v>0</v>
      </c>
      <c r="T208" s="304">
        <f>SUMIFS('PCO Log'!$E32:$SJ32,'PCO Log'!$E$9:$SJ$9,'Graph Data'!T$187,'PCO Log'!$E$4:$SJ$4,"&lt;&gt;Bid Package",'PCO Log'!$E$7:$SJ$7,"Approved")</f>
        <v>0</v>
      </c>
      <c r="U208" s="304">
        <f>SUMIFS('PCO Log'!$E32:$SJ32,'PCO Log'!$E$9:$SJ$9,'Graph Data'!U$187,'PCO Log'!$E$4:$SJ$4,"&lt;&gt;Bid Package",'PCO Log'!$E$7:$SJ$7,"Approved")</f>
        <v>0</v>
      </c>
      <c r="V208" s="304">
        <f>SUMIFS('PCO Log'!$E32:$SJ32,'PCO Log'!$E$9:$SJ$9,'Graph Data'!V$187,'PCO Log'!$E$4:$SJ$4,"&lt;&gt;Bid Package",'PCO Log'!$E$7:$SJ$7,"Approved")</f>
        <v>0</v>
      </c>
      <c r="W208" s="304">
        <f>SUMIFS('PCO Log'!$E32:$SJ32,'PCO Log'!$E$9:$SJ$9,'Graph Data'!W$187,'PCO Log'!$E$4:$SJ$4,"&lt;&gt;Bid Package",'PCO Log'!$E$7:$SJ$7,"Approved")</f>
        <v>0</v>
      </c>
      <c r="X208" s="304">
        <f>SUMIFS('PCO Log'!$E32:$SJ32,'PCO Log'!$E$9:$SJ$9,'Graph Data'!X$187,'PCO Log'!$E$4:$SJ$4,"&lt;&gt;Bid Package",'PCO Log'!$E$7:$SJ$7,"Approved")</f>
        <v>0</v>
      </c>
      <c r="Y208" s="304">
        <f>SUMIFS('PCO Log'!$E32:$SJ32,'PCO Log'!$E$9:$SJ$9,'Graph Data'!Y$187,'PCO Log'!$E$4:$SJ$4,"&lt;&gt;Bid Package",'PCO Log'!$E$7:$SJ$7,"Approved")</f>
        <v>0</v>
      </c>
      <c r="Z208" s="304">
        <f>SUMIFS('PCO Log'!$E32:$SJ32,'PCO Log'!$E$9:$SJ$9,'Graph Data'!Z$187,'PCO Log'!$E$4:$SJ$4,"&lt;&gt;Bid Package",'PCO Log'!$E$7:$SJ$7,"Approved")</f>
        <v>0</v>
      </c>
      <c r="AA208" s="304">
        <f>SUMIFS('PCO Log'!$E32:$SJ32,'PCO Log'!$E$9:$SJ$9,'Graph Data'!AA$187,'PCO Log'!$E$4:$SJ$4,"&lt;&gt;Bid Package",'PCO Log'!$E$7:$SJ$7,"Approved")</f>
        <v>0</v>
      </c>
      <c r="AB208" s="304">
        <f>SUMIFS('PCO Log'!$E32:$SJ32,'PCO Log'!$E$9:$SJ$9,'Graph Data'!AB$187,'PCO Log'!$E$4:$SJ$4,"&lt;&gt;Bid Package",'PCO Log'!$E$7:$SJ$7,"Approved")</f>
        <v>0</v>
      </c>
      <c r="AC208" s="304">
        <f>SUMIFS('PCO Log'!$E32:$SJ32,'PCO Log'!$E$9:$SJ$9,'Graph Data'!AC$187,'PCO Log'!$E$4:$SJ$4,"&lt;&gt;Bid Package",'PCO Log'!$E$7:$SJ$7,"Approved")</f>
        <v>0</v>
      </c>
      <c r="AD208" s="304">
        <f>SUMIFS('PCO Log'!$E32:$SJ32,'PCO Log'!$E$9:$SJ$9,'Graph Data'!AD$187,'PCO Log'!$E$4:$SJ$4,"&lt;&gt;Bid Package",'PCO Log'!$E$7:$SJ$7,"Approved")</f>
        <v>0</v>
      </c>
      <c r="AE208" s="304">
        <f>SUMIFS('PCO Log'!$E32:$SJ32,'PCO Log'!$E$9:$SJ$9,'Graph Data'!AE$187,'PCO Log'!$E$4:$SJ$4,"&lt;&gt;Bid Package",'PCO Log'!$E$7:$SJ$7,"Approved")</f>
        <v>0</v>
      </c>
      <c r="AF208" s="304">
        <f>SUMIFS('PCO Log'!$E32:$SJ32,'PCO Log'!$E$9:$SJ$9,'Graph Data'!AF$187,'PCO Log'!$E$4:$SJ$4,"&lt;&gt;Bid Package",'PCO Log'!$E$7:$SJ$7,"Approved")</f>
        <v>0</v>
      </c>
      <c r="AG208" s="304">
        <f>SUMIFS('PCO Log'!$E32:$SJ32,'PCO Log'!$E$9:$SJ$9,'Graph Data'!AG$187,'PCO Log'!$E$4:$SJ$4,"&lt;&gt;Bid Package",'PCO Log'!$E$7:$SJ$7,"Approved")</f>
        <v>0</v>
      </c>
      <c r="AH208" s="304">
        <f>SUMIFS('PCO Log'!$E32:$SJ32,'PCO Log'!$E$9:$SJ$9,'Graph Data'!AH$187,'PCO Log'!$E$4:$SJ$4,"&lt;&gt;Bid Package",'PCO Log'!$E$7:$SJ$7,"Approved")</f>
        <v>0</v>
      </c>
      <c r="AI208" s="304">
        <f>SUMIFS('PCO Log'!$E32:$SJ32,'PCO Log'!$E$9:$SJ$9,'Graph Data'!AI$187,'PCO Log'!$E$4:$SJ$4,"&lt;&gt;Bid Package",'PCO Log'!$E$7:$SJ$7,"Approved")</f>
        <v>0</v>
      </c>
      <c r="AJ208" s="304">
        <f>SUMIFS('PCO Log'!$E32:$SJ32,'PCO Log'!$E$9:$SJ$9,'Graph Data'!AJ$187,'PCO Log'!$E$4:$SJ$4,"&lt;&gt;Bid Package",'PCO Log'!$E$7:$SJ$7,"Approved")</f>
        <v>0</v>
      </c>
      <c r="AK208" s="304">
        <f>SUMIFS('PCO Log'!$E32:$SJ32,'PCO Log'!$E$9:$SJ$9,'Graph Data'!AK$187,'PCO Log'!$E$4:$SJ$4,"&lt;&gt;Bid Package",'PCO Log'!$E$7:$SJ$7,"Approved")</f>
        <v>0</v>
      </c>
      <c r="AL208" s="304">
        <f>SUMIFS('PCO Log'!$E32:$SJ32,'PCO Log'!$E$9:$SJ$9,'Graph Data'!AL$187,'PCO Log'!$E$4:$SJ$4,"&lt;&gt;Bid Package",'PCO Log'!$E$7:$SJ$7,"Approved")</f>
        <v>0</v>
      </c>
      <c r="AM208" s="304">
        <f>SUMIFS('PCO Log'!$E32:$SJ32,'PCO Log'!$E$9:$SJ$9,'Graph Data'!AM$187,'PCO Log'!$E$4:$SJ$4,"&lt;&gt;Bid Package",'PCO Log'!$E$7:$SJ$7,"Approved")</f>
        <v>0</v>
      </c>
      <c r="AN208" s="304">
        <f>SUMIFS('PCO Log'!$E32:$SJ32,'PCO Log'!$E$9:$SJ$9,'Graph Data'!AN$187,'PCO Log'!$E$4:$SJ$4,"&lt;&gt;Bid Package",'PCO Log'!$E$7:$SJ$7,"Approved")</f>
        <v>0</v>
      </c>
      <c r="AO208" s="304">
        <f>SUMIFS('PCO Log'!$E32:$SJ32,'PCO Log'!$E$9:$SJ$9,'Graph Data'!AO$187,'PCO Log'!$E$4:$SJ$4,"&lt;&gt;Bid Package",'PCO Log'!$E$7:$SJ$7,"Approved")</f>
        <v>0</v>
      </c>
      <c r="AP208" s="304">
        <f>SUMIFS('PCO Log'!$E32:$SJ32,'PCO Log'!$E$9:$SJ$9,'Graph Data'!AP$187,'PCO Log'!$E$4:$SJ$4,"&lt;&gt;Bid Package",'PCO Log'!$E$7:$SJ$7,"Approved")</f>
        <v>0</v>
      </c>
      <c r="AQ208" s="304">
        <f>SUMIFS('PCO Log'!$E32:$SJ32,'PCO Log'!$E$9:$SJ$9,'Graph Data'!AQ$187,'PCO Log'!$E$4:$SJ$4,"&lt;&gt;Bid Package",'PCO Log'!$E$7:$SJ$7,"Approved")</f>
        <v>0</v>
      </c>
      <c r="AR208" s="304">
        <f>SUMIFS('PCO Log'!$E32:$SJ32,'PCO Log'!$E$9:$SJ$9,'Graph Data'!AR$187,'PCO Log'!$E$4:$SJ$4,"&lt;&gt;Bid Package",'PCO Log'!$E$7:$SJ$7,"Approved")</f>
        <v>0</v>
      </c>
      <c r="AS208" s="304">
        <f>SUMIFS('PCO Log'!$E32:$SJ32,'PCO Log'!$E$9:$SJ$9,'Graph Data'!AS$187,'PCO Log'!$E$4:$SJ$4,"&lt;&gt;Bid Package",'PCO Log'!$E$7:$SJ$7,"Approved")</f>
        <v>0</v>
      </c>
      <c r="AT208" s="304">
        <f>SUMIFS('PCO Log'!$E32:$SJ32,'PCO Log'!$E$9:$SJ$9,'Graph Data'!AT$187,'PCO Log'!$E$4:$SJ$4,"&lt;&gt;Bid Package",'PCO Log'!$E$7:$SJ$7,"Approved")</f>
        <v>0</v>
      </c>
      <c r="AU208" s="304">
        <f>SUMIFS('PCO Log'!$E32:$SJ32,'PCO Log'!$E$9:$SJ$9,'Graph Data'!AU$187,'PCO Log'!$E$4:$SJ$4,"&lt;&gt;Bid Package",'PCO Log'!$E$7:$SJ$7,"Approved")</f>
        <v>0</v>
      </c>
      <c r="AV208" s="304">
        <f>SUMIFS('PCO Log'!$E32:$SJ32,'PCO Log'!$E$9:$SJ$9,'Graph Data'!AV$187,'PCO Log'!$E$4:$SJ$4,"&lt;&gt;Bid Package",'PCO Log'!$E$7:$SJ$7,"Approved")</f>
        <v>0</v>
      </c>
      <c r="AW208" s="304">
        <f>SUMIFS('PCO Log'!$E32:$SJ32,'PCO Log'!$E$9:$SJ$9,'Graph Data'!AW$187,'PCO Log'!$E$4:$SJ$4,"&lt;&gt;Bid Package",'PCO Log'!$E$7:$SJ$7,"Approved")</f>
        <v>0</v>
      </c>
      <c r="AX208" s="304">
        <f>SUMIFS('PCO Log'!$E32:$SJ32,'PCO Log'!$E$9:$SJ$9,'Graph Data'!AX$187,'PCO Log'!$E$4:$SJ$4,"&lt;&gt;Bid Package",'PCO Log'!$E$7:$SJ$7,"Approved")</f>
        <v>0</v>
      </c>
      <c r="AY208" s="304">
        <f>SUMIFS('PCO Log'!$E32:$SJ32,'PCO Log'!$E$9:$SJ$9,'Graph Data'!AY$187,'PCO Log'!$E$4:$SJ$4,"&lt;&gt;Bid Package",'PCO Log'!$E$7:$SJ$7,"Approved")</f>
        <v>0</v>
      </c>
      <c r="AZ208" s="304">
        <f>SUMIFS('PCO Log'!$E32:$SJ32,'PCO Log'!$E$9:$SJ$9,'Graph Data'!AZ$187,'PCO Log'!$E$4:$SJ$4,"&lt;&gt;Bid Package",'PCO Log'!$E$7:$SJ$7,"Approved")</f>
        <v>0</v>
      </c>
      <c r="BA208" s="304">
        <f>SUMIFS('PCO Log'!$E32:$SJ32,'PCO Log'!$E$9:$SJ$9,'Graph Data'!BA$187,'PCO Log'!$E$4:$SJ$4,"&lt;&gt;Bid Package",'PCO Log'!$E$7:$SJ$7,"Approved")</f>
        <v>0</v>
      </c>
      <c r="BB208" s="304">
        <f>SUMIFS('PCO Log'!$E32:$SJ32,'PCO Log'!$E$9:$SJ$9,'Graph Data'!BB$187,'PCO Log'!$E$4:$SJ$4,"&lt;&gt;Bid Package",'PCO Log'!$E$7:$SJ$7,"Approved")</f>
        <v>0</v>
      </c>
      <c r="BC208" s="304">
        <f>SUMIFS('PCO Log'!$E32:$SJ32,'PCO Log'!$E$9:$SJ$9,'Graph Data'!BC$187,'PCO Log'!$E$4:$SJ$4,"&lt;&gt;Bid Package",'PCO Log'!$E$7:$SJ$7,"Approved")</f>
        <v>0</v>
      </c>
      <c r="BD208" s="304">
        <f>SUMIFS('PCO Log'!$E32:$SJ32,'PCO Log'!$E$9:$SJ$9,'Graph Data'!BD$187,'PCO Log'!$E$4:$SJ$4,"&lt;&gt;Bid Package",'PCO Log'!$E$7:$SJ$7,"Approved")</f>
        <v>0</v>
      </c>
      <c r="BE208" s="304">
        <f>SUMIFS('PCO Log'!$E32:$SJ32,'PCO Log'!$E$9:$SJ$9,'Graph Data'!BE$187,'PCO Log'!$E$4:$SJ$4,"&lt;&gt;Bid Package",'PCO Log'!$E$7:$SJ$7,"Approved")</f>
        <v>0</v>
      </c>
      <c r="BF208" s="304">
        <f>SUMIFS('PCO Log'!$E32:$SJ32,'PCO Log'!$E$9:$SJ$9,'Graph Data'!BF$187,'PCO Log'!$E$4:$SJ$4,"&lt;&gt;Bid Package",'PCO Log'!$E$7:$SJ$7,"Approved")</f>
        <v>0</v>
      </c>
      <c r="BG208" s="304">
        <f>SUMIFS('PCO Log'!$E32:$SJ32,'PCO Log'!$E$9:$SJ$9,'Graph Data'!BG$187,'PCO Log'!$E$4:$SJ$4,"&lt;&gt;Bid Package",'PCO Log'!$E$7:$SJ$7,"Approved")</f>
        <v>0</v>
      </c>
      <c r="BH208" s="304">
        <f>SUMIFS('PCO Log'!$E32:$SJ32,'PCO Log'!$E$9:$SJ$9,'Graph Data'!BH$187,'PCO Log'!$E$4:$SJ$4,"&lt;&gt;Bid Package",'PCO Log'!$E$7:$SJ$7,"Approved")</f>
        <v>0</v>
      </c>
      <c r="BI208" s="304">
        <f>SUMIFS('PCO Log'!$E32:$SJ32,'PCO Log'!$E$9:$SJ$9,'Graph Data'!BI$187,'PCO Log'!$E$4:$SJ$4,"&lt;&gt;Bid Package",'PCO Log'!$E$7:$SJ$7,"Approved")</f>
        <v>0</v>
      </c>
      <c r="BJ208" s="304">
        <f>SUMIFS('PCO Log'!$E32:$SJ32,'PCO Log'!$E$9:$SJ$9,'Graph Data'!BJ$187,'PCO Log'!$E$4:$SJ$4,"&lt;&gt;Bid Package",'PCO Log'!$E$7:$SJ$7,"Approved")</f>
        <v>0</v>
      </c>
      <c r="BK208" s="304">
        <f>SUMIFS('PCO Log'!$E32:$SJ32,'PCO Log'!$E$9:$SJ$9,'Graph Data'!BK$187,'PCO Log'!$E$4:$SJ$4,"&lt;&gt;Bid Package",'PCO Log'!$E$7:$SJ$7,"Approved")</f>
        <v>0</v>
      </c>
      <c r="BL208" s="304">
        <f>SUMIFS('PCO Log'!$E32:$SJ32,'PCO Log'!$E$9:$SJ$9,'Graph Data'!BL$187,'PCO Log'!$E$4:$SJ$4,"&lt;&gt;Bid Package",'PCO Log'!$E$7:$SJ$7,"Approved")</f>
        <v>0</v>
      </c>
      <c r="BM208" s="304">
        <f>SUMIFS('PCO Log'!$E32:$SJ32,'PCO Log'!$E$9:$SJ$9,'Graph Data'!BM$187,'PCO Log'!$E$4:$SJ$4,"&lt;&gt;Bid Package",'PCO Log'!$E$7:$SJ$7,"Approved")</f>
        <v>0</v>
      </c>
      <c r="BN208" s="304">
        <f>SUMIFS('PCO Log'!$E32:$SJ32,'PCO Log'!$E$9:$SJ$9,'Graph Data'!BN$187,'PCO Log'!$E$4:$SJ$4,"&lt;&gt;Bid Package",'PCO Log'!$E$7:$SJ$7,"Approved")</f>
        <v>0</v>
      </c>
      <c r="BO208" s="304">
        <f>SUMIFS('PCO Log'!$E32:$SJ32,'PCO Log'!$E$9:$SJ$9,'Graph Data'!BO$187,'PCO Log'!$E$4:$SJ$4,"&lt;&gt;Bid Package",'PCO Log'!$E$7:$SJ$7,"Approved")</f>
        <v>0</v>
      </c>
      <c r="BP208" s="304">
        <f>SUMIFS('PCO Log'!$E32:$SJ32,'PCO Log'!$E$9:$SJ$9,'Graph Data'!BP$187,'PCO Log'!$E$4:$SJ$4,"&lt;&gt;Bid Package",'PCO Log'!$E$7:$SJ$7,"Approved")</f>
        <v>0</v>
      </c>
      <c r="BQ208" s="304">
        <f>SUMIFS('PCO Log'!$E32:$SJ32,'PCO Log'!$E$9:$SJ$9,'Graph Data'!BQ$187,'PCO Log'!$E$4:$SJ$4,"&lt;&gt;Bid Package",'PCO Log'!$E$7:$SJ$7,"Approved")</f>
        <v>0</v>
      </c>
      <c r="BR208" s="304">
        <f>SUMIFS('PCO Log'!$E32:$SJ32,'PCO Log'!$E$9:$SJ$9,'Graph Data'!BR$187,'PCO Log'!$E$4:$SJ$4,"&lt;&gt;Bid Package",'PCO Log'!$E$7:$SJ$7,"Approved")</f>
        <v>0</v>
      </c>
      <c r="BS208" s="304">
        <f>SUMIFS('PCO Log'!$E32:$SJ32,'PCO Log'!$E$9:$SJ$9,'Graph Data'!BS$187,'PCO Log'!$E$4:$SJ$4,"&lt;&gt;Bid Package",'PCO Log'!$E$7:$SJ$7,"Approved")</f>
        <v>0</v>
      </c>
      <c r="BT208" s="304">
        <f>SUMIFS('PCO Log'!$E32:$SJ32,'PCO Log'!$E$9:$SJ$9,'Graph Data'!BT$187,'PCO Log'!$E$4:$SJ$4,"&lt;&gt;Bid Package",'PCO Log'!$E$7:$SJ$7,"Approved")</f>
        <v>0</v>
      </c>
      <c r="BU208" s="304">
        <f>SUMIFS('PCO Log'!$E32:$SJ32,'PCO Log'!$E$9:$SJ$9,'Graph Data'!BU$187,'PCO Log'!$E$4:$SJ$4,"&lt;&gt;Bid Package",'PCO Log'!$E$7:$SJ$7,"Approved")</f>
        <v>0</v>
      </c>
      <c r="BV208" s="304">
        <f>SUMIFS('PCO Log'!$E32:$SJ32,'PCO Log'!$E$9:$SJ$9,'Graph Data'!BV$187,'PCO Log'!$E$4:$SJ$4,"&lt;&gt;Bid Package",'PCO Log'!$E$7:$SJ$7,"Approved")</f>
        <v>0</v>
      </c>
      <c r="BW208" s="304">
        <f>SUMIFS('PCO Log'!$E32:$SJ32,'PCO Log'!$E$9:$SJ$9,'Graph Data'!BW$187,'PCO Log'!$E$4:$SJ$4,"&lt;&gt;Bid Package",'PCO Log'!$E$7:$SJ$7,"Approved")</f>
        <v>0</v>
      </c>
      <c r="BX208" s="304">
        <f>SUMIFS('PCO Log'!$E32:$SJ32,'PCO Log'!$E$9:$SJ$9,'Graph Data'!BX$187,'PCO Log'!$E$4:$SJ$4,"&lt;&gt;Bid Package",'PCO Log'!$E$7:$SJ$7,"Approved")</f>
        <v>0</v>
      </c>
    </row>
    <row r="209" spans="1:76" x14ac:dyDescent="0.25">
      <c r="A209" s="303" t="s">
        <v>559</v>
      </c>
      <c r="B209" s="303">
        <f>'PCO Log'!HD7</f>
        <v>0</v>
      </c>
      <c r="C209" s="303">
        <f>'PCO Log'!HD4</f>
        <v>0</v>
      </c>
      <c r="D209" s="303" cm="1">
        <f t="array" ref="D209">INDEX('PCO Log'!$E$5:$SJ$5, 1, ROWS('Graph Data'!$D$2:D209))</f>
        <v>0</v>
      </c>
      <c r="E209" s="303">
        <f>'PCO Log'!HD8</f>
        <v>0</v>
      </c>
      <c r="F209" s="303">
        <f>'PCO Log'!HD3</f>
        <v>0</v>
      </c>
      <c r="G209" s="304">
        <f>'PCO Log'!HD10</f>
        <v>0</v>
      </c>
      <c r="H209" s="305">
        <f>'PCO Log'!HD6</f>
        <v>0</v>
      </c>
      <c r="K209" s="307"/>
      <c r="P209" s="303" t="str">
        <f t="shared" si="2"/>
        <v>Masonry Reinforcing</v>
      </c>
      <c r="Q209" s="304">
        <f>SUMIFS('PCO Log'!$E33:$SJ33,'PCO Log'!$E$9:$SJ$9,'Graph Data'!Q$187,'PCO Log'!$E$4:$SJ$4,"&lt;&gt;Bid Package",'PCO Log'!$E$7:$SJ$7,"Approved")</f>
        <v>0</v>
      </c>
      <c r="R209" s="304">
        <f>SUMIFS('PCO Log'!$E33:$SJ33,'PCO Log'!$E$9:$SJ$9,'Graph Data'!R$187,'PCO Log'!$E$4:$SJ$4,"&lt;&gt;Bid Package",'PCO Log'!$E$7:$SJ$7,"Approved")</f>
        <v>0</v>
      </c>
      <c r="S209" s="304">
        <f>SUMIFS('PCO Log'!$E33:$SJ33,'PCO Log'!$E$9:$SJ$9,'Graph Data'!S$187,'PCO Log'!$E$4:$SJ$4,"&lt;&gt;Bid Package",'PCO Log'!$E$7:$SJ$7,"Approved")</f>
        <v>0</v>
      </c>
      <c r="T209" s="304">
        <f>SUMIFS('PCO Log'!$E33:$SJ33,'PCO Log'!$E$9:$SJ$9,'Graph Data'!T$187,'PCO Log'!$E$4:$SJ$4,"&lt;&gt;Bid Package",'PCO Log'!$E$7:$SJ$7,"Approved")</f>
        <v>0</v>
      </c>
      <c r="U209" s="304">
        <f>SUMIFS('PCO Log'!$E33:$SJ33,'PCO Log'!$E$9:$SJ$9,'Graph Data'!U$187,'PCO Log'!$E$4:$SJ$4,"&lt;&gt;Bid Package",'PCO Log'!$E$7:$SJ$7,"Approved")</f>
        <v>0</v>
      </c>
      <c r="V209" s="304">
        <f>SUMIFS('PCO Log'!$E33:$SJ33,'PCO Log'!$E$9:$SJ$9,'Graph Data'!V$187,'PCO Log'!$E$4:$SJ$4,"&lt;&gt;Bid Package",'PCO Log'!$E$7:$SJ$7,"Approved")</f>
        <v>0</v>
      </c>
      <c r="W209" s="304">
        <f>SUMIFS('PCO Log'!$E33:$SJ33,'PCO Log'!$E$9:$SJ$9,'Graph Data'!W$187,'PCO Log'!$E$4:$SJ$4,"&lt;&gt;Bid Package",'PCO Log'!$E$7:$SJ$7,"Approved")</f>
        <v>0</v>
      </c>
      <c r="X209" s="304">
        <f>SUMIFS('PCO Log'!$E33:$SJ33,'PCO Log'!$E$9:$SJ$9,'Graph Data'!X$187,'PCO Log'!$E$4:$SJ$4,"&lt;&gt;Bid Package",'PCO Log'!$E$7:$SJ$7,"Approved")</f>
        <v>0</v>
      </c>
      <c r="Y209" s="304">
        <f>SUMIFS('PCO Log'!$E33:$SJ33,'PCO Log'!$E$9:$SJ$9,'Graph Data'!Y$187,'PCO Log'!$E$4:$SJ$4,"&lt;&gt;Bid Package",'PCO Log'!$E$7:$SJ$7,"Approved")</f>
        <v>0</v>
      </c>
      <c r="Z209" s="304">
        <f>SUMIFS('PCO Log'!$E33:$SJ33,'PCO Log'!$E$9:$SJ$9,'Graph Data'!Z$187,'PCO Log'!$E$4:$SJ$4,"&lt;&gt;Bid Package",'PCO Log'!$E$7:$SJ$7,"Approved")</f>
        <v>0</v>
      </c>
      <c r="AA209" s="304">
        <f>SUMIFS('PCO Log'!$E33:$SJ33,'PCO Log'!$E$9:$SJ$9,'Graph Data'!AA$187,'PCO Log'!$E$4:$SJ$4,"&lt;&gt;Bid Package",'PCO Log'!$E$7:$SJ$7,"Approved")</f>
        <v>0</v>
      </c>
      <c r="AB209" s="304">
        <f>SUMIFS('PCO Log'!$E33:$SJ33,'PCO Log'!$E$9:$SJ$9,'Graph Data'!AB$187,'PCO Log'!$E$4:$SJ$4,"&lt;&gt;Bid Package",'PCO Log'!$E$7:$SJ$7,"Approved")</f>
        <v>0</v>
      </c>
      <c r="AC209" s="304">
        <f>SUMIFS('PCO Log'!$E33:$SJ33,'PCO Log'!$E$9:$SJ$9,'Graph Data'!AC$187,'PCO Log'!$E$4:$SJ$4,"&lt;&gt;Bid Package",'PCO Log'!$E$7:$SJ$7,"Approved")</f>
        <v>0</v>
      </c>
      <c r="AD209" s="304">
        <f>SUMIFS('PCO Log'!$E33:$SJ33,'PCO Log'!$E$9:$SJ$9,'Graph Data'!AD$187,'PCO Log'!$E$4:$SJ$4,"&lt;&gt;Bid Package",'PCO Log'!$E$7:$SJ$7,"Approved")</f>
        <v>0</v>
      </c>
      <c r="AE209" s="304">
        <f>SUMIFS('PCO Log'!$E33:$SJ33,'PCO Log'!$E$9:$SJ$9,'Graph Data'!AE$187,'PCO Log'!$E$4:$SJ$4,"&lt;&gt;Bid Package",'PCO Log'!$E$7:$SJ$7,"Approved")</f>
        <v>0</v>
      </c>
      <c r="AF209" s="304">
        <f>SUMIFS('PCO Log'!$E33:$SJ33,'PCO Log'!$E$9:$SJ$9,'Graph Data'!AF$187,'PCO Log'!$E$4:$SJ$4,"&lt;&gt;Bid Package",'PCO Log'!$E$7:$SJ$7,"Approved")</f>
        <v>0</v>
      </c>
      <c r="AG209" s="304">
        <f>SUMIFS('PCO Log'!$E33:$SJ33,'PCO Log'!$E$9:$SJ$9,'Graph Data'!AG$187,'PCO Log'!$E$4:$SJ$4,"&lt;&gt;Bid Package",'PCO Log'!$E$7:$SJ$7,"Approved")</f>
        <v>0</v>
      </c>
      <c r="AH209" s="304">
        <f>SUMIFS('PCO Log'!$E33:$SJ33,'PCO Log'!$E$9:$SJ$9,'Graph Data'!AH$187,'PCO Log'!$E$4:$SJ$4,"&lt;&gt;Bid Package",'PCO Log'!$E$7:$SJ$7,"Approved")</f>
        <v>0</v>
      </c>
      <c r="AI209" s="304">
        <f>SUMIFS('PCO Log'!$E33:$SJ33,'PCO Log'!$E$9:$SJ$9,'Graph Data'!AI$187,'PCO Log'!$E$4:$SJ$4,"&lt;&gt;Bid Package",'PCO Log'!$E$7:$SJ$7,"Approved")</f>
        <v>0</v>
      </c>
      <c r="AJ209" s="304">
        <f>SUMIFS('PCO Log'!$E33:$SJ33,'PCO Log'!$E$9:$SJ$9,'Graph Data'!AJ$187,'PCO Log'!$E$4:$SJ$4,"&lt;&gt;Bid Package",'PCO Log'!$E$7:$SJ$7,"Approved")</f>
        <v>0</v>
      </c>
      <c r="AK209" s="304">
        <f>SUMIFS('PCO Log'!$E33:$SJ33,'PCO Log'!$E$9:$SJ$9,'Graph Data'!AK$187,'PCO Log'!$E$4:$SJ$4,"&lt;&gt;Bid Package",'PCO Log'!$E$7:$SJ$7,"Approved")</f>
        <v>0</v>
      </c>
      <c r="AL209" s="304">
        <f>SUMIFS('PCO Log'!$E33:$SJ33,'PCO Log'!$E$9:$SJ$9,'Graph Data'!AL$187,'PCO Log'!$E$4:$SJ$4,"&lt;&gt;Bid Package",'PCO Log'!$E$7:$SJ$7,"Approved")</f>
        <v>0</v>
      </c>
      <c r="AM209" s="304">
        <f>SUMIFS('PCO Log'!$E33:$SJ33,'PCO Log'!$E$9:$SJ$9,'Graph Data'!AM$187,'PCO Log'!$E$4:$SJ$4,"&lt;&gt;Bid Package",'PCO Log'!$E$7:$SJ$7,"Approved")</f>
        <v>0</v>
      </c>
      <c r="AN209" s="304">
        <f>SUMIFS('PCO Log'!$E33:$SJ33,'PCO Log'!$E$9:$SJ$9,'Graph Data'!AN$187,'PCO Log'!$E$4:$SJ$4,"&lt;&gt;Bid Package",'PCO Log'!$E$7:$SJ$7,"Approved")</f>
        <v>0</v>
      </c>
      <c r="AO209" s="304">
        <f>SUMIFS('PCO Log'!$E33:$SJ33,'PCO Log'!$E$9:$SJ$9,'Graph Data'!AO$187,'PCO Log'!$E$4:$SJ$4,"&lt;&gt;Bid Package",'PCO Log'!$E$7:$SJ$7,"Approved")</f>
        <v>0</v>
      </c>
      <c r="AP209" s="304">
        <f>SUMIFS('PCO Log'!$E33:$SJ33,'PCO Log'!$E$9:$SJ$9,'Graph Data'!AP$187,'PCO Log'!$E$4:$SJ$4,"&lt;&gt;Bid Package",'PCO Log'!$E$7:$SJ$7,"Approved")</f>
        <v>0</v>
      </c>
      <c r="AQ209" s="304">
        <f>SUMIFS('PCO Log'!$E33:$SJ33,'PCO Log'!$E$9:$SJ$9,'Graph Data'!AQ$187,'PCO Log'!$E$4:$SJ$4,"&lt;&gt;Bid Package",'PCO Log'!$E$7:$SJ$7,"Approved")</f>
        <v>0</v>
      </c>
      <c r="AR209" s="304">
        <f>SUMIFS('PCO Log'!$E33:$SJ33,'PCO Log'!$E$9:$SJ$9,'Graph Data'!AR$187,'PCO Log'!$E$4:$SJ$4,"&lt;&gt;Bid Package",'PCO Log'!$E$7:$SJ$7,"Approved")</f>
        <v>0</v>
      </c>
      <c r="AS209" s="304">
        <f>SUMIFS('PCO Log'!$E33:$SJ33,'PCO Log'!$E$9:$SJ$9,'Graph Data'!AS$187,'PCO Log'!$E$4:$SJ$4,"&lt;&gt;Bid Package",'PCO Log'!$E$7:$SJ$7,"Approved")</f>
        <v>0</v>
      </c>
      <c r="AT209" s="304">
        <f>SUMIFS('PCO Log'!$E33:$SJ33,'PCO Log'!$E$9:$SJ$9,'Graph Data'!AT$187,'PCO Log'!$E$4:$SJ$4,"&lt;&gt;Bid Package",'PCO Log'!$E$7:$SJ$7,"Approved")</f>
        <v>0</v>
      </c>
      <c r="AU209" s="304">
        <f>SUMIFS('PCO Log'!$E33:$SJ33,'PCO Log'!$E$9:$SJ$9,'Graph Data'!AU$187,'PCO Log'!$E$4:$SJ$4,"&lt;&gt;Bid Package",'PCO Log'!$E$7:$SJ$7,"Approved")</f>
        <v>0</v>
      </c>
      <c r="AV209" s="304">
        <f>SUMIFS('PCO Log'!$E33:$SJ33,'PCO Log'!$E$9:$SJ$9,'Graph Data'!AV$187,'PCO Log'!$E$4:$SJ$4,"&lt;&gt;Bid Package",'PCO Log'!$E$7:$SJ$7,"Approved")</f>
        <v>0</v>
      </c>
      <c r="AW209" s="304">
        <f>SUMIFS('PCO Log'!$E33:$SJ33,'PCO Log'!$E$9:$SJ$9,'Graph Data'!AW$187,'PCO Log'!$E$4:$SJ$4,"&lt;&gt;Bid Package",'PCO Log'!$E$7:$SJ$7,"Approved")</f>
        <v>0</v>
      </c>
      <c r="AX209" s="304">
        <f>SUMIFS('PCO Log'!$E33:$SJ33,'PCO Log'!$E$9:$SJ$9,'Graph Data'!AX$187,'PCO Log'!$E$4:$SJ$4,"&lt;&gt;Bid Package",'PCO Log'!$E$7:$SJ$7,"Approved")</f>
        <v>0</v>
      </c>
      <c r="AY209" s="304">
        <f>SUMIFS('PCO Log'!$E33:$SJ33,'PCO Log'!$E$9:$SJ$9,'Graph Data'!AY$187,'PCO Log'!$E$4:$SJ$4,"&lt;&gt;Bid Package",'PCO Log'!$E$7:$SJ$7,"Approved")</f>
        <v>0</v>
      </c>
      <c r="AZ209" s="304">
        <f>SUMIFS('PCO Log'!$E33:$SJ33,'PCO Log'!$E$9:$SJ$9,'Graph Data'!AZ$187,'PCO Log'!$E$4:$SJ$4,"&lt;&gt;Bid Package",'PCO Log'!$E$7:$SJ$7,"Approved")</f>
        <v>0</v>
      </c>
      <c r="BA209" s="304">
        <f>SUMIFS('PCO Log'!$E33:$SJ33,'PCO Log'!$E$9:$SJ$9,'Graph Data'!BA$187,'PCO Log'!$E$4:$SJ$4,"&lt;&gt;Bid Package",'PCO Log'!$E$7:$SJ$7,"Approved")</f>
        <v>0</v>
      </c>
      <c r="BB209" s="304">
        <f>SUMIFS('PCO Log'!$E33:$SJ33,'PCO Log'!$E$9:$SJ$9,'Graph Data'!BB$187,'PCO Log'!$E$4:$SJ$4,"&lt;&gt;Bid Package",'PCO Log'!$E$7:$SJ$7,"Approved")</f>
        <v>0</v>
      </c>
      <c r="BC209" s="304">
        <f>SUMIFS('PCO Log'!$E33:$SJ33,'PCO Log'!$E$9:$SJ$9,'Graph Data'!BC$187,'PCO Log'!$E$4:$SJ$4,"&lt;&gt;Bid Package",'PCO Log'!$E$7:$SJ$7,"Approved")</f>
        <v>0</v>
      </c>
      <c r="BD209" s="304">
        <f>SUMIFS('PCO Log'!$E33:$SJ33,'PCO Log'!$E$9:$SJ$9,'Graph Data'!BD$187,'PCO Log'!$E$4:$SJ$4,"&lt;&gt;Bid Package",'PCO Log'!$E$7:$SJ$7,"Approved")</f>
        <v>0</v>
      </c>
      <c r="BE209" s="304">
        <f>SUMIFS('PCO Log'!$E33:$SJ33,'PCO Log'!$E$9:$SJ$9,'Graph Data'!BE$187,'PCO Log'!$E$4:$SJ$4,"&lt;&gt;Bid Package",'PCO Log'!$E$7:$SJ$7,"Approved")</f>
        <v>0</v>
      </c>
      <c r="BF209" s="304">
        <f>SUMIFS('PCO Log'!$E33:$SJ33,'PCO Log'!$E$9:$SJ$9,'Graph Data'!BF$187,'PCO Log'!$E$4:$SJ$4,"&lt;&gt;Bid Package",'PCO Log'!$E$7:$SJ$7,"Approved")</f>
        <v>0</v>
      </c>
      <c r="BG209" s="304">
        <f>SUMIFS('PCO Log'!$E33:$SJ33,'PCO Log'!$E$9:$SJ$9,'Graph Data'!BG$187,'PCO Log'!$E$4:$SJ$4,"&lt;&gt;Bid Package",'PCO Log'!$E$7:$SJ$7,"Approved")</f>
        <v>0</v>
      </c>
      <c r="BH209" s="304">
        <f>SUMIFS('PCO Log'!$E33:$SJ33,'PCO Log'!$E$9:$SJ$9,'Graph Data'!BH$187,'PCO Log'!$E$4:$SJ$4,"&lt;&gt;Bid Package",'PCO Log'!$E$7:$SJ$7,"Approved")</f>
        <v>0</v>
      </c>
      <c r="BI209" s="304">
        <f>SUMIFS('PCO Log'!$E33:$SJ33,'PCO Log'!$E$9:$SJ$9,'Graph Data'!BI$187,'PCO Log'!$E$4:$SJ$4,"&lt;&gt;Bid Package",'PCO Log'!$E$7:$SJ$7,"Approved")</f>
        <v>0</v>
      </c>
      <c r="BJ209" s="304">
        <f>SUMIFS('PCO Log'!$E33:$SJ33,'PCO Log'!$E$9:$SJ$9,'Graph Data'!BJ$187,'PCO Log'!$E$4:$SJ$4,"&lt;&gt;Bid Package",'PCO Log'!$E$7:$SJ$7,"Approved")</f>
        <v>0</v>
      </c>
      <c r="BK209" s="304">
        <f>SUMIFS('PCO Log'!$E33:$SJ33,'PCO Log'!$E$9:$SJ$9,'Graph Data'!BK$187,'PCO Log'!$E$4:$SJ$4,"&lt;&gt;Bid Package",'PCO Log'!$E$7:$SJ$7,"Approved")</f>
        <v>0</v>
      </c>
      <c r="BL209" s="304">
        <f>SUMIFS('PCO Log'!$E33:$SJ33,'PCO Log'!$E$9:$SJ$9,'Graph Data'!BL$187,'PCO Log'!$E$4:$SJ$4,"&lt;&gt;Bid Package",'PCO Log'!$E$7:$SJ$7,"Approved")</f>
        <v>0</v>
      </c>
      <c r="BM209" s="304">
        <f>SUMIFS('PCO Log'!$E33:$SJ33,'PCO Log'!$E$9:$SJ$9,'Graph Data'!BM$187,'PCO Log'!$E$4:$SJ$4,"&lt;&gt;Bid Package",'PCO Log'!$E$7:$SJ$7,"Approved")</f>
        <v>0</v>
      </c>
      <c r="BN209" s="304">
        <f>SUMIFS('PCO Log'!$E33:$SJ33,'PCO Log'!$E$9:$SJ$9,'Graph Data'!BN$187,'PCO Log'!$E$4:$SJ$4,"&lt;&gt;Bid Package",'PCO Log'!$E$7:$SJ$7,"Approved")</f>
        <v>0</v>
      </c>
      <c r="BO209" s="304">
        <f>SUMIFS('PCO Log'!$E33:$SJ33,'PCO Log'!$E$9:$SJ$9,'Graph Data'!BO$187,'PCO Log'!$E$4:$SJ$4,"&lt;&gt;Bid Package",'PCO Log'!$E$7:$SJ$7,"Approved")</f>
        <v>0</v>
      </c>
      <c r="BP209" s="304">
        <f>SUMIFS('PCO Log'!$E33:$SJ33,'PCO Log'!$E$9:$SJ$9,'Graph Data'!BP$187,'PCO Log'!$E$4:$SJ$4,"&lt;&gt;Bid Package",'PCO Log'!$E$7:$SJ$7,"Approved")</f>
        <v>0</v>
      </c>
      <c r="BQ209" s="304">
        <f>SUMIFS('PCO Log'!$E33:$SJ33,'PCO Log'!$E$9:$SJ$9,'Graph Data'!BQ$187,'PCO Log'!$E$4:$SJ$4,"&lt;&gt;Bid Package",'PCO Log'!$E$7:$SJ$7,"Approved")</f>
        <v>0</v>
      </c>
      <c r="BR209" s="304">
        <f>SUMIFS('PCO Log'!$E33:$SJ33,'PCO Log'!$E$9:$SJ$9,'Graph Data'!BR$187,'PCO Log'!$E$4:$SJ$4,"&lt;&gt;Bid Package",'PCO Log'!$E$7:$SJ$7,"Approved")</f>
        <v>0</v>
      </c>
      <c r="BS209" s="304">
        <f>SUMIFS('PCO Log'!$E33:$SJ33,'PCO Log'!$E$9:$SJ$9,'Graph Data'!BS$187,'PCO Log'!$E$4:$SJ$4,"&lt;&gt;Bid Package",'PCO Log'!$E$7:$SJ$7,"Approved")</f>
        <v>0</v>
      </c>
      <c r="BT209" s="304">
        <f>SUMIFS('PCO Log'!$E33:$SJ33,'PCO Log'!$E$9:$SJ$9,'Graph Data'!BT$187,'PCO Log'!$E$4:$SJ$4,"&lt;&gt;Bid Package",'PCO Log'!$E$7:$SJ$7,"Approved")</f>
        <v>0</v>
      </c>
      <c r="BU209" s="304">
        <f>SUMIFS('PCO Log'!$E33:$SJ33,'PCO Log'!$E$9:$SJ$9,'Graph Data'!BU$187,'PCO Log'!$E$4:$SJ$4,"&lt;&gt;Bid Package",'PCO Log'!$E$7:$SJ$7,"Approved")</f>
        <v>0</v>
      </c>
      <c r="BV209" s="304">
        <f>SUMIFS('PCO Log'!$E33:$SJ33,'PCO Log'!$E$9:$SJ$9,'Graph Data'!BV$187,'PCO Log'!$E$4:$SJ$4,"&lt;&gt;Bid Package",'PCO Log'!$E$7:$SJ$7,"Approved")</f>
        <v>0</v>
      </c>
      <c r="BW209" s="304">
        <f>SUMIFS('PCO Log'!$E33:$SJ33,'PCO Log'!$E$9:$SJ$9,'Graph Data'!BW$187,'PCO Log'!$E$4:$SJ$4,"&lt;&gt;Bid Package",'PCO Log'!$E$7:$SJ$7,"Approved")</f>
        <v>0</v>
      </c>
      <c r="BX209" s="304">
        <f>SUMIFS('PCO Log'!$E33:$SJ33,'PCO Log'!$E$9:$SJ$9,'Graph Data'!BX$187,'PCO Log'!$E$4:$SJ$4,"&lt;&gt;Bid Package",'PCO Log'!$E$7:$SJ$7,"Approved")</f>
        <v>0</v>
      </c>
    </row>
    <row r="210" spans="1:76" x14ac:dyDescent="0.25">
      <c r="A210" s="303" t="s">
        <v>560</v>
      </c>
      <c r="B210" s="303">
        <f>'PCO Log'!HE7</f>
        <v>0</v>
      </c>
      <c r="C210" s="303">
        <f>'PCO Log'!HE4</f>
        <v>0</v>
      </c>
      <c r="D210" s="303" cm="1">
        <f t="array" ref="D210">INDEX('PCO Log'!$E$5:$SJ$5, 1, ROWS('Graph Data'!$D$2:D210))</f>
        <v>0</v>
      </c>
      <c r="E210" s="303">
        <f>'PCO Log'!HE8</f>
        <v>0</v>
      </c>
      <c r="F210" s="303">
        <f>'PCO Log'!HE3</f>
        <v>0</v>
      </c>
      <c r="G210" s="304">
        <f>'PCO Log'!HE10</f>
        <v>0</v>
      </c>
      <c r="H210" s="305">
        <f>'PCO Log'!HE6</f>
        <v>0</v>
      </c>
      <c r="K210" s="307"/>
      <c r="P210" s="303" t="str">
        <f t="shared" si="2"/>
        <v>Structural Steel/Misc. Steel Fab</v>
      </c>
      <c r="Q210" s="304">
        <f>SUMIFS('PCO Log'!$E34:$SJ34,'PCO Log'!$E$9:$SJ$9,'Graph Data'!Q$187,'PCO Log'!$E$4:$SJ$4,"&lt;&gt;Bid Package",'PCO Log'!$E$7:$SJ$7,"Approved")</f>
        <v>0</v>
      </c>
      <c r="R210" s="304">
        <f>SUMIFS('PCO Log'!$E34:$SJ34,'PCO Log'!$E$9:$SJ$9,'Graph Data'!R$187,'PCO Log'!$E$4:$SJ$4,"&lt;&gt;Bid Package",'PCO Log'!$E$7:$SJ$7,"Approved")</f>
        <v>0</v>
      </c>
      <c r="S210" s="304">
        <f>SUMIFS('PCO Log'!$E34:$SJ34,'PCO Log'!$E$9:$SJ$9,'Graph Data'!S$187,'PCO Log'!$E$4:$SJ$4,"&lt;&gt;Bid Package",'PCO Log'!$E$7:$SJ$7,"Approved")</f>
        <v>0</v>
      </c>
      <c r="T210" s="304">
        <f>SUMIFS('PCO Log'!$E34:$SJ34,'PCO Log'!$E$9:$SJ$9,'Graph Data'!T$187,'PCO Log'!$E$4:$SJ$4,"&lt;&gt;Bid Package",'PCO Log'!$E$7:$SJ$7,"Approved")</f>
        <v>0</v>
      </c>
      <c r="U210" s="304">
        <f>SUMIFS('PCO Log'!$E34:$SJ34,'PCO Log'!$E$9:$SJ$9,'Graph Data'!U$187,'PCO Log'!$E$4:$SJ$4,"&lt;&gt;Bid Package",'PCO Log'!$E$7:$SJ$7,"Approved")</f>
        <v>0</v>
      </c>
      <c r="V210" s="304">
        <f>SUMIFS('PCO Log'!$E34:$SJ34,'PCO Log'!$E$9:$SJ$9,'Graph Data'!V$187,'PCO Log'!$E$4:$SJ$4,"&lt;&gt;Bid Package",'PCO Log'!$E$7:$SJ$7,"Approved")</f>
        <v>0</v>
      </c>
      <c r="W210" s="304">
        <f>SUMIFS('PCO Log'!$E34:$SJ34,'PCO Log'!$E$9:$SJ$9,'Graph Data'!W$187,'PCO Log'!$E$4:$SJ$4,"&lt;&gt;Bid Package",'PCO Log'!$E$7:$SJ$7,"Approved")</f>
        <v>0</v>
      </c>
      <c r="X210" s="304">
        <f>SUMIFS('PCO Log'!$E34:$SJ34,'PCO Log'!$E$9:$SJ$9,'Graph Data'!X$187,'PCO Log'!$E$4:$SJ$4,"&lt;&gt;Bid Package",'PCO Log'!$E$7:$SJ$7,"Approved")</f>
        <v>0</v>
      </c>
      <c r="Y210" s="304">
        <f>SUMIFS('PCO Log'!$E34:$SJ34,'PCO Log'!$E$9:$SJ$9,'Graph Data'!Y$187,'PCO Log'!$E$4:$SJ$4,"&lt;&gt;Bid Package",'PCO Log'!$E$7:$SJ$7,"Approved")</f>
        <v>0</v>
      </c>
      <c r="Z210" s="304">
        <f>SUMIFS('PCO Log'!$E34:$SJ34,'PCO Log'!$E$9:$SJ$9,'Graph Data'!Z$187,'PCO Log'!$E$4:$SJ$4,"&lt;&gt;Bid Package",'PCO Log'!$E$7:$SJ$7,"Approved")</f>
        <v>0</v>
      </c>
      <c r="AA210" s="304">
        <f>SUMIFS('PCO Log'!$E34:$SJ34,'PCO Log'!$E$9:$SJ$9,'Graph Data'!AA$187,'PCO Log'!$E$4:$SJ$4,"&lt;&gt;Bid Package",'PCO Log'!$E$7:$SJ$7,"Approved")</f>
        <v>0</v>
      </c>
      <c r="AB210" s="304">
        <f>SUMIFS('PCO Log'!$E34:$SJ34,'PCO Log'!$E$9:$SJ$9,'Graph Data'!AB$187,'PCO Log'!$E$4:$SJ$4,"&lt;&gt;Bid Package",'PCO Log'!$E$7:$SJ$7,"Approved")</f>
        <v>0</v>
      </c>
      <c r="AC210" s="304">
        <f>SUMIFS('PCO Log'!$E34:$SJ34,'PCO Log'!$E$9:$SJ$9,'Graph Data'!AC$187,'PCO Log'!$E$4:$SJ$4,"&lt;&gt;Bid Package",'PCO Log'!$E$7:$SJ$7,"Approved")</f>
        <v>0</v>
      </c>
      <c r="AD210" s="304">
        <f>SUMIFS('PCO Log'!$E34:$SJ34,'PCO Log'!$E$9:$SJ$9,'Graph Data'!AD$187,'PCO Log'!$E$4:$SJ$4,"&lt;&gt;Bid Package",'PCO Log'!$E$7:$SJ$7,"Approved")</f>
        <v>0</v>
      </c>
      <c r="AE210" s="304">
        <f>SUMIFS('PCO Log'!$E34:$SJ34,'PCO Log'!$E$9:$SJ$9,'Graph Data'!AE$187,'PCO Log'!$E$4:$SJ$4,"&lt;&gt;Bid Package",'PCO Log'!$E$7:$SJ$7,"Approved")</f>
        <v>0</v>
      </c>
      <c r="AF210" s="304">
        <f>SUMIFS('PCO Log'!$E34:$SJ34,'PCO Log'!$E$9:$SJ$9,'Graph Data'!AF$187,'PCO Log'!$E$4:$SJ$4,"&lt;&gt;Bid Package",'PCO Log'!$E$7:$SJ$7,"Approved")</f>
        <v>0</v>
      </c>
      <c r="AG210" s="304">
        <f>SUMIFS('PCO Log'!$E34:$SJ34,'PCO Log'!$E$9:$SJ$9,'Graph Data'!AG$187,'PCO Log'!$E$4:$SJ$4,"&lt;&gt;Bid Package",'PCO Log'!$E$7:$SJ$7,"Approved")</f>
        <v>0</v>
      </c>
      <c r="AH210" s="304">
        <f>SUMIFS('PCO Log'!$E34:$SJ34,'PCO Log'!$E$9:$SJ$9,'Graph Data'!AH$187,'PCO Log'!$E$4:$SJ$4,"&lt;&gt;Bid Package",'PCO Log'!$E$7:$SJ$7,"Approved")</f>
        <v>0</v>
      </c>
      <c r="AI210" s="304">
        <f>SUMIFS('PCO Log'!$E34:$SJ34,'PCO Log'!$E$9:$SJ$9,'Graph Data'!AI$187,'PCO Log'!$E$4:$SJ$4,"&lt;&gt;Bid Package",'PCO Log'!$E$7:$SJ$7,"Approved")</f>
        <v>0</v>
      </c>
      <c r="AJ210" s="304">
        <f>SUMIFS('PCO Log'!$E34:$SJ34,'PCO Log'!$E$9:$SJ$9,'Graph Data'!AJ$187,'PCO Log'!$E$4:$SJ$4,"&lt;&gt;Bid Package",'PCO Log'!$E$7:$SJ$7,"Approved")</f>
        <v>0</v>
      </c>
      <c r="AK210" s="304">
        <f>SUMIFS('PCO Log'!$E34:$SJ34,'PCO Log'!$E$9:$SJ$9,'Graph Data'!AK$187,'PCO Log'!$E$4:$SJ$4,"&lt;&gt;Bid Package",'PCO Log'!$E$7:$SJ$7,"Approved")</f>
        <v>0</v>
      </c>
      <c r="AL210" s="304">
        <f>SUMIFS('PCO Log'!$E34:$SJ34,'PCO Log'!$E$9:$SJ$9,'Graph Data'!AL$187,'PCO Log'!$E$4:$SJ$4,"&lt;&gt;Bid Package",'PCO Log'!$E$7:$SJ$7,"Approved")</f>
        <v>0</v>
      </c>
      <c r="AM210" s="304">
        <f>SUMIFS('PCO Log'!$E34:$SJ34,'PCO Log'!$E$9:$SJ$9,'Graph Data'!AM$187,'PCO Log'!$E$4:$SJ$4,"&lt;&gt;Bid Package",'PCO Log'!$E$7:$SJ$7,"Approved")</f>
        <v>0</v>
      </c>
      <c r="AN210" s="304">
        <f>SUMIFS('PCO Log'!$E34:$SJ34,'PCO Log'!$E$9:$SJ$9,'Graph Data'!AN$187,'PCO Log'!$E$4:$SJ$4,"&lt;&gt;Bid Package",'PCO Log'!$E$7:$SJ$7,"Approved")</f>
        <v>0</v>
      </c>
      <c r="AO210" s="304">
        <f>SUMIFS('PCO Log'!$E34:$SJ34,'PCO Log'!$E$9:$SJ$9,'Graph Data'!AO$187,'PCO Log'!$E$4:$SJ$4,"&lt;&gt;Bid Package",'PCO Log'!$E$7:$SJ$7,"Approved")</f>
        <v>0</v>
      </c>
      <c r="AP210" s="304">
        <f>SUMIFS('PCO Log'!$E34:$SJ34,'PCO Log'!$E$9:$SJ$9,'Graph Data'!AP$187,'PCO Log'!$E$4:$SJ$4,"&lt;&gt;Bid Package",'PCO Log'!$E$7:$SJ$7,"Approved")</f>
        <v>0</v>
      </c>
      <c r="AQ210" s="304">
        <f>SUMIFS('PCO Log'!$E34:$SJ34,'PCO Log'!$E$9:$SJ$9,'Graph Data'!AQ$187,'PCO Log'!$E$4:$SJ$4,"&lt;&gt;Bid Package",'PCO Log'!$E$7:$SJ$7,"Approved")</f>
        <v>0</v>
      </c>
      <c r="AR210" s="304">
        <f>SUMIFS('PCO Log'!$E34:$SJ34,'PCO Log'!$E$9:$SJ$9,'Graph Data'!AR$187,'PCO Log'!$E$4:$SJ$4,"&lt;&gt;Bid Package",'PCO Log'!$E$7:$SJ$7,"Approved")</f>
        <v>0</v>
      </c>
      <c r="AS210" s="304">
        <f>SUMIFS('PCO Log'!$E34:$SJ34,'PCO Log'!$E$9:$SJ$9,'Graph Data'!AS$187,'PCO Log'!$E$4:$SJ$4,"&lt;&gt;Bid Package",'PCO Log'!$E$7:$SJ$7,"Approved")</f>
        <v>0</v>
      </c>
      <c r="AT210" s="304">
        <f>SUMIFS('PCO Log'!$E34:$SJ34,'PCO Log'!$E$9:$SJ$9,'Graph Data'!AT$187,'PCO Log'!$E$4:$SJ$4,"&lt;&gt;Bid Package",'PCO Log'!$E$7:$SJ$7,"Approved")</f>
        <v>0</v>
      </c>
      <c r="AU210" s="304">
        <f>SUMIFS('PCO Log'!$E34:$SJ34,'PCO Log'!$E$9:$SJ$9,'Graph Data'!AU$187,'PCO Log'!$E$4:$SJ$4,"&lt;&gt;Bid Package",'PCO Log'!$E$7:$SJ$7,"Approved")</f>
        <v>0</v>
      </c>
      <c r="AV210" s="304">
        <f>SUMIFS('PCO Log'!$E34:$SJ34,'PCO Log'!$E$9:$SJ$9,'Graph Data'!AV$187,'PCO Log'!$E$4:$SJ$4,"&lt;&gt;Bid Package",'PCO Log'!$E$7:$SJ$7,"Approved")</f>
        <v>0</v>
      </c>
      <c r="AW210" s="304">
        <f>SUMIFS('PCO Log'!$E34:$SJ34,'PCO Log'!$E$9:$SJ$9,'Graph Data'!AW$187,'PCO Log'!$E$4:$SJ$4,"&lt;&gt;Bid Package",'PCO Log'!$E$7:$SJ$7,"Approved")</f>
        <v>0</v>
      </c>
      <c r="AX210" s="304">
        <f>SUMIFS('PCO Log'!$E34:$SJ34,'PCO Log'!$E$9:$SJ$9,'Graph Data'!AX$187,'PCO Log'!$E$4:$SJ$4,"&lt;&gt;Bid Package",'PCO Log'!$E$7:$SJ$7,"Approved")</f>
        <v>0</v>
      </c>
      <c r="AY210" s="304">
        <f>SUMIFS('PCO Log'!$E34:$SJ34,'PCO Log'!$E$9:$SJ$9,'Graph Data'!AY$187,'PCO Log'!$E$4:$SJ$4,"&lt;&gt;Bid Package",'PCO Log'!$E$7:$SJ$7,"Approved")</f>
        <v>0</v>
      </c>
      <c r="AZ210" s="304">
        <f>SUMIFS('PCO Log'!$E34:$SJ34,'PCO Log'!$E$9:$SJ$9,'Graph Data'!AZ$187,'PCO Log'!$E$4:$SJ$4,"&lt;&gt;Bid Package",'PCO Log'!$E$7:$SJ$7,"Approved")</f>
        <v>0</v>
      </c>
      <c r="BA210" s="304">
        <f>SUMIFS('PCO Log'!$E34:$SJ34,'PCO Log'!$E$9:$SJ$9,'Graph Data'!BA$187,'PCO Log'!$E$4:$SJ$4,"&lt;&gt;Bid Package",'PCO Log'!$E$7:$SJ$7,"Approved")</f>
        <v>0</v>
      </c>
      <c r="BB210" s="304">
        <f>SUMIFS('PCO Log'!$E34:$SJ34,'PCO Log'!$E$9:$SJ$9,'Graph Data'!BB$187,'PCO Log'!$E$4:$SJ$4,"&lt;&gt;Bid Package",'PCO Log'!$E$7:$SJ$7,"Approved")</f>
        <v>0</v>
      </c>
      <c r="BC210" s="304">
        <f>SUMIFS('PCO Log'!$E34:$SJ34,'PCO Log'!$E$9:$SJ$9,'Graph Data'!BC$187,'PCO Log'!$E$4:$SJ$4,"&lt;&gt;Bid Package",'PCO Log'!$E$7:$SJ$7,"Approved")</f>
        <v>0</v>
      </c>
      <c r="BD210" s="304">
        <f>SUMIFS('PCO Log'!$E34:$SJ34,'PCO Log'!$E$9:$SJ$9,'Graph Data'!BD$187,'PCO Log'!$E$4:$SJ$4,"&lt;&gt;Bid Package",'PCO Log'!$E$7:$SJ$7,"Approved")</f>
        <v>0</v>
      </c>
      <c r="BE210" s="304">
        <f>SUMIFS('PCO Log'!$E34:$SJ34,'PCO Log'!$E$9:$SJ$9,'Graph Data'!BE$187,'PCO Log'!$E$4:$SJ$4,"&lt;&gt;Bid Package",'PCO Log'!$E$7:$SJ$7,"Approved")</f>
        <v>0</v>
      </c>
      <c r="BF210" s="304">
        <f>SUMIFS('PCO Log'!$E34:$SJ34,'PCO Log'!$E$9:$SJ$9,'Graph Data'!BF$187,'PCO Log'!$E$4:$SJ$4,"&lt;&gt;Bid Package",'PCO Log'!$E$7:$SJ$7,"Approved")</f>
        <v>0</v>
      </c>
      <c r="BG210" s="304">
        <f>SUMIFS('PCO Log'!$E34:$SJ34,'PCO Log'!$E$9:$SJ$9,'Graph Data'!BG$187,'PCO Log'!$E$4:$SJ$4,"&lt;&gt;Bid Package",'PCO Log'!$E$7:$SJ$7,"Approved")</f>
        <v>0</v>
      </c>
      <c r="BH210" s="304">
        <f>SUMIFS('PCO Log'!$E34:$SJ34,'PCO Log'!$E$9:$SJ$9,'Graph Data'!BH$187,'PCO Log'!$E$4:$SJ$4,"&lt;&gt;Bid Package",'PCO Log'!$E$7:$SJ$7,"Approved")</f>
        <v>0</v>
      </c>
      <c r="BI210" s="304">
        <f>SUMIFS('PCO Log'!$E34:$SJ34,'PCO Log'!$E$9:$SJ$9,'Graph Data'!BI$187,'PCO Log'!$E$4:$SJ$4,"&lt;&gt;Bid Package",'PCO Log'!$E$7:$SJ$7,"Approved")</f>
        <v>0</v>
      </c>
      <c r="BJ210" s="304">
        <f>SUMIFS('PCO Log'!$E34:$SJ34,'PCO Log'!$E$9:$SJ$9,'Graph Data'!BJ$187,'PCO Log'!$E$4:$SJ$4,"&lt;&gt;Bid Package",'PCO Log'!$E$7:$SJ$7,"Approved")</f>
        <v>0</v>
      </c>
      <c r="BK210" s="304">
        <f>SUMIFS('PCO Log'!$E34:$SJ34,'PCO Log'!$E$9:$SJ$9,'Graph Data'!BK$187,'PCO Log'!$E$4:$SJ$4,"&lt;&gt;Bid Package",'PCO Log'!$E$7:$SJ$7,"Approved")</f>
        <v>0</v>
      </c>
      <c r="BL210" s="304">
        <f>SUMIFS('PCO Log'!$E34:$SJ34,'PCO Log'!$E$9:$SJ$9,'Graph Data'!BL$187,'PCO Log'!$E$4:$SJ$4,"&lt;&gt;Bid Package",'PCO Log'!$E$7:$SJ$7,"Approved")</f>
        <v>0</v>
      </c>
      <c r="BM210" s="304">
        <f>SUMIFS('PCO Log'!$E34:$SJ34,'PCO Log'!$E$9:$SJ$9,'Graph Data'!BM$187,'PCO Log'!$E$4:$SJ$4,"&lt;&gt;Bid Package",'PCO Log'!$E$7:$SJ$7,"Approved")</f>
        <v>0</v>
      </c>
      <c r="BN210" s="304">
        <f>SUMIFS('PCO Log'!$E34:$SJ34,'PCO Log'!$E$9:$SJ$9,'Graph Data'!BN$187,'PCO Log'!$E$4:$SJ$4,"&lt;&gt;Bid Package",'PCO Log'!$E$7:$SJ$7,"Approved")</f>
        <v>0</v>
      </c>
      <c r="BO210" s="304">
        <f>SUMIFS('PCO Log'!$E34:$SJ34,'PCO Log'!$E$9:$SJ$9,'Graph Data'!BO$187,'PCO Log'!$E$4:$SJ$4,"&lt;&gt;Bid Package",'PCO Log'!$E$7:$SJ$7,"Approved")</f>
        <v>0</v>
      </c>
      <c r="BP210" s="304">
        <f>SUMIFS('PCO Log'!$E34:$SJ34,'PCO Log'!$E$9:$SJ$9,'Graph Data'!BP$187,'PCO Log'!$E$4:$SJ$4,"&lt;&gt;Bid Package",'PCO Log'!$E$7:$SJ$7,"Approved")</f>
        <v>0</v>
      </c>
      <c r="BQ210" s="304">
        <f>SUMIFS('PCO Log'!$E34:$SJ34,'PCO Log'!$E$9:$SJ$9,'Graph Data'!BQ$187,'PCO Log'!$E$4:$SJ$4,"&lt;&gt;Bid Package",'PCO Log'!$E$7:$SJ$7,"Approved")</f>
        <v>0</v>
      </c>
      <c r="BR210" s="304">
        <f>SUMIFS('PCO Log'!$E34:$SJ34,'PCO Log'!$E$9:$SJ$9,'Graph Data'!BR$187,'PCO Log'!$E$4:$SJ$4,"&lt;&gt;Bid Package",'PCO Log'!$E$7:$SJ$7,"Approved")</f>
        <v>0</v>
      </c>
      <c r="BS210" s="304">
        <f>SUMIFS('PCO Log'!$E34:$SJ34,'PCO Log'!$E$9:$SJ$9,'Graph Data'!BS$187,'PCO Log'!$E$4:$SJ$4,"&lt;&gt;Bid Package",'PCO Log'!$E$7:$SJ$7,"Approved")</f>
        <v>0</v>
      </c>
      <c r="BT210" s="304">
        <f>SUMIFS('PCO Log'!$E34:$SJ34,'PCO Log'!$E$9:$SJ$9,'Graph Data'!BT$187,'PCO Log'!$E$4:$SJ$4,"&lt;&gt;Bid Package",'PCO Log'!$E$7:$SJ$7,"Approved")</f>
        <v>0</v>
      </c>
      <c r="BU210" s="304">
        <f>SUMIFS('PCO Log'!$E34:$SJ34,'PCO Log'!$E$9:$SJ$9,'Graph Data'!BU$187,'PCO Log'!$E$4:$SJ$4,"&lt;&gt;Bid Package",'PCO Log'!$E$7:$SJ$7,"Approved")</f>
        <v>0</v>
      </c>
      <c r="BV210" s="304">
        <f>SUMIFS('PCO Log'!$E34:$SJ34,'PCO Log'!$E$9:$SJ$9,'Graph Data'!BV$187,'PCO Log'!$E$4:$SJ$4,"&lt;&gt;Bid Package",'PCO Log'!$E$7:$SJ$7,"Approved")</f>
        <v>0</v>
      </c>
      <c r="BW210" s="304">
        <f>SUMIFS('PCO Log'!$E34:$SJ34,'PCO Log'!$E$9:$SJ$9,'Graph Data'!BW$187,'PCO Log'!$E$4:$SJ$4,"&lt;&gt;Bid Package",'PCO Log'!$E$7:$SJ$7,"Approved")</f>
        <v>0</v>
      </c>
      <c r="BX210" s="304">
        <f>SUMIFS('PCO Log'!$E34:$SJ34,'PCO Log'!$E$9:$SJ$9,'Graph Data'!BX$187,'PCO Log'!$E$4:$SJ$4,"&lt;&gt;Bid Package",'PCO Log'!$E$7:$SJ$7,"Approved")</f>
        <v>0</v>
      </c>
    </row>
    <row r="211" spans="1:76" x14ac:dyDescent="0.25">
      <c r="A211" s="303" t="s">
        <v>561</v>
      </c>
      <c r="B211" s="303">
        <f>'PCO Log'!HF7</f>
        <v>0</v>
      </c>
      <c r="C211" s="303">
        <f>'PCO Log'!HF4</f>
        <v>0</v>
      </c>
      <c r="D211" s="303" cm="1">
        <f t="array" ref="D211">INDEX('PCO Log'!$E$5:$SJ$5, 1, ROWS('Graph Data'!$D$2:D211))</f>
        <v>0</v>
      </c>
      <c r="E211" s="303">
        <f>'PCO Log'!HF8</f>
        <v>0</v>
      </c>
      <c r="F211" s="303">
        <f>'PCO Log'!HF3</f>
        <v>0</v>
      </c>
      <c r="G211" s="304">
        <f>'PCO Log'!HF10</f>
        <v>0</v>
      </c>
      <c r="H211" s="305">
        <f>'PCO Log'!HF6</f>
        <v>0</v>
      </c>
      <c r="K211" s="307"/>
      <c r="P211" s="303" t="str">
        <f t="shared" si="2"/>
        <v>Joists &amp; Deck</v>
      </c>
      <c r="Q211" s="304">
        <f>SUMIFS('PCO Log'!$E35:$SJ35,'PCO Log'!$E$9:$SJ$9,'Graph Data'!Q$187,'PCO Log'!$E$4:$SJ$4,"&lt;&gt;Bid Package",'PCO Log'!$E$7:$SJ$7,"Approved")</f>
        <v>0</v>
      </c>
      <c r="R211" s="304">
        <f>SUMIFS('PCO Log'!$E35:$SJ35,'PCO Log'!$E$9:$SJ$9,'Graph Data'!R$187,'PCO Log'!$E$4:$SJ$4,"&lt;&gt;Bid Package",'PCO Log'!$E$7:$SJ$7,"Approved")</f>
        <v>0</v>
      </c>
      <c r="S211" s="304">
        <f>SUMIFS('PCO Log'!$E35:$SJ35,'PCO Log'!$E$9:$SJ$9,'Graph Data'!S$187,'PCO Log'!$E$4:$SJ$4,"&lt;&gt;Bid Package",'PCO Log'!$E$7:$SJ$7,"Approved")</f>
        <v>0</v>
      </c>
      <c r="T211" s="304">
        <f>SUMIFS('PCO Log'!$E35:$SJ35,'PCO Log'!$E$9:$SJ$9,'Graph Data'!T$187,'PCO Log'!$E$4:$SJ$4,"&lt;&gt;Bid Package",'PCO Log'!$E$7:$SJ$7,"Approved")</f>
        <v>0</v>
      </c>
      <c r="U211" s="304">
        <f>SUMIFS('PCO Log'!$E35:$SJ35,'PCO Log'!$E$9:$SJ$9,'Graph Data'!U$187,'PCO Log'!$E$4:$SJ$4,"&lt;&gt;Bid Package",'PCO Log'!$E$7:$SJ$7,"Approved")</f>
        <v>0</v>
      </c>
      <c r="V211" s="304">
        <f>SUMIFS('PCO Log'!$E35:$SJ35,'PCO Log'!$E$9:$SJ$9,'Graph Data'!V$187,'PCO Log'!$E$4:$SJ$4,"&lt;&gt;Bid Package",'PCO Log'!$E$7:$SJ$7,"Approved")</f>
        <v>0</v>
      </c>
      <c r="W211" s="304">
        <f>SUMIFS('PCO Log'!$E35:$SJ35,'PCO Log'!$E$9:$SJ$9,'Graph Data'!W$187,'PCO Log'!$E$4:$SJ$4,"&lt;&gt;Bid Package",'PCO Log'!$E$7:$SJ$7,"Approved")</f>
        <v>0</v>
      </c>
      <c r="X211" s="304">
        <f>SUMIFS('PCO Log'!$E35:$SJ35,'PCO Log'!$E$9:$SJ$9,'Graph Data'!X$187,'PCO Log'!$E$4:$SJ$4,"&lt;&gt;Bid Package",'PCO Log'!$E$7:$SJ$7,"Approved")</f>
        <v>0</v>
      </c>
      <c r="Y211" s="304">
        <f>SUMIFS('PCO Log'!$E35:$SJ35,'PCO Log'!$E$9:$SJ$9,'Graph Data'!Y$187,'PCO Log'!$E$4:$SJ$4,"&lt;&gt;Bid Package",'PCO Log'!$E$7:$SJ$7,"Approved")</f>
        <v>0</v>
      </c>
      <c r="Z211" s="304">
        <f>SUMIFS('PCO Log'!$E35:$SJ35,'PCO Log'!$E$9:$SJ$9,'Graph Data'!Z$187,'PCO Log'!$E$4:$SJ$4,"&lt;&gt;Bid Package",'PCO Log'!$E$7:$SJ$7,"Approved")</f>
        <v>0</v>
      </c>
      <c r="AA211" s="304">
        <f>SUMIFS('PCO Log'!$E35:$SJ35,'PCO Log'!$E$9:$SJ$9,'Graph Data'!AA$187,'PCO Log'!$E$4:$SJ$4,"&lt;&gt;Bid Package",'PCO Log'!$E$7:$SJ$7,"Approved")</f>
        <v>0</v>
      </c>
      <c r="AB211" s="304">
        <f>SUMIFS('PCO Log'!$E35:$SJ35,'PCO Log'!$E$9:$SJ$9,'Graph Data'!AB$187,'PCO Log'!$E$4:$SJ$4,"&lt;&gt;Bid Package",'PCO Log'!$E$7:$SJ$7,"Approved")</f>
        <v>0</v>
      </c>
      <c r="AC211" s="304">
        <f>SUMIFS('PCO Log'!$E35:$SJ35,'PCO Log'!$E$9:$SJ$9,'Graph Data'!AC$187,'PCO Log'!$E$4:$SJ$4,"&lt;&gt;Bid Package",'PCO Log'!$E$7:$SJ$7,"Approved")</f>
        <v>0</v>
      </c>
      <c r="AD211" s="304">
        <f>SUMIFS('PCO Log'!$E35:$SJ35,'PCO Log'!$E$9:$SJ$9,'Graph Data'!AD$187,'PCO Log'!$E$4:$SJ$4,"&lt;&gt;Bid Package",'PCO Log'!$E$7:$SJ$7,"Approved")</f>
        <v>0</v>
      </c>
      <c r="AE211" s="304">
        <f>SUMIFS('PCO Log'!$E35:$SJ35,'PCO Log'!$E$9:$SJ$9,'Graph Data'!AE$187,'PCO Log'!$E$4:$SJ$4,"&lt;&gt;Bid Package",'PCO Log'!$E$7:$SJ$7,"Approved")</f>
        <v>0</v>
      </c>
      <c r="AF211" s="304">
        <f>SUMIFS('PCO Log'!$E35:$SJ35,'PCO Log'!$E$9:$SJ$9,'Graph Data'!AF$187,'PCO Log'!$E$4:$SJ$4,"&lt;&gt;Bid Package",'PCO Log'!$E$7:$SJ$7,"Approved")</f>
        <v>0</v>
      </c>
      <c r="AG211" s="304">
        <f>SUMIFS('PCO Log'!$E35:$SJ35,'PCO Log'!$E$9:$SJ$9,'Graph Data'!AG$187,'PCO Log'!$E$4:$SJ$4,"&lt;&gt;Bid Package",'PCO Log'!$E$7:$SJ$7,"Approved")</f>
        <v>0</v>
      </c>
      <c r="AH211" s="304">
        <f>SUMIFS('PCO Log'!$E35:$SJ35,'PCO Log'!$E$9:$SJ$9,'Graph Data'!AH$187,'PCO Log'!$E$4:$SJ$4,"&lt;&gt;Bid Package",'PCO Log'!$E$7:$SJ$7,"Approved")</f>
        <v>0</v>
      </c>
      <c r="AI211" s="304">
        <f>SUMIFS('PCO Log'!$E35:$SJ35,'PCO Log'!$E$9:$SJ$9,'Graph Data'!AI$187,'PCO Log'!$E$4:$SJ$4,"&lt;&gt;Bid Package",'PCO Log'!$E$7:$SJ$7,"Approved")</f>
        <v>0</v>
      </c>
      <c r="AJ211" s="304">
        <f>SUMIFS('PCO Log'!$E35:$SJ35,'PCO Log'!$E$9:$SJ$9,'Graph Data'!AJ$187,'PCO Log'!$E$4:$SJ$4,"&lt;&gt;Bid Package",'PCO Log'!$E$7:$SJ$7,"Approved")</f>
        <v>0</v>
      </c>
      <c r="AK211" s="304">
        <f>SUMIFS('PCO Log'!$E35:$SJ35,'PCO Log'!$E$9:$SJ$9,'Graph Data'!AK$187,'PCO Log'!$E$4:$SJ$4,"&lt;&gt;Bid Package",'PCO Log'!$E$7:$SJ$7,"Approved")</f>
        <v>0</v>
      </c>
      <c r="AL211" s="304">
        <f>SUMIFS('PCO Log'!$E35:$SJ35,'PCO Log'!$E$9:$SJ$9,'Graph Data'!AL$187,'PCO Log'!$E$4:$SJ$4,"&lt;&gt;Bid Package",'PCO Log'!$E$7:$SJ$7,"Approved")</f>
        <v>0</v>
      </c>
      <c r="AM211" s="304">
        <f>SUMIFS('PCO Log'!$E35:$SJ35,'PCO Log'!$E$9:$SJ$9,'Graph Data'!AM$187,'PCO Log'!$E$4:$SJ$4,"&lt;&gt;Bid Package",'PCO Log'!$E$7:$SJ$7,"Approved")</f>
        <v>0</v>
      </c>
      <c r="AN211" s="304">
        <f>SUMIFS('PCO Log'!$E35:$SJ35,'PCO Log'!$E$9:$SJ$9,'Graph Data'!AN$187,'PCO Log'!$E$4:$SJ$4,"&lt;&gt;Bid Package",'PCO Log'!$E$7:$SJ$7,"Approved")</f>
        <v>0</v>
      </c>
      <c r="AO211" s="304">
        <f>SUMIFS('PCO Log'!$E35:$SJ35,'PCO Log'!$E$9:$SJ$9,'Graph Data'!AO$187,'PCO Log'!$E$4:$SJ$4,"&lt;&gt;Bid Package",'PCO Log'!$E$7:$SJ$7,"Approved")</f>
        <v>0</v>
      </c>
      <c r="AP211" s="304">
        <f>SUMIFS('PCO Log'!$E35:$SJ35,'PCO Log'!$E$9:$SJ$9,'Graph Data'!AP$187,'PCO Log'!$E$4:$SJ$4,"&lt;&gt;Bid Package",'PCO Log'!$E$7:$SJ$7,"Approved")</f>
        <v>0</v>
      </c>
      <c r="AQ211" s="304">
        <f>SUMIFS('PCO Log'!$E35:$SJ35,'PCO Log'!$E$9:$SJ$9,'Graph Data'!AQ$187,'PCO Log'!$E$4:$SJ$4,"&lt;&gt;Bid Package",'PCO Log'!$E$7:$SJ$7,"Approved")</f>
        <v>0</v>
      </c>
      <c r="AR211" s="304">
        <f>SUMIFS('PCO Log'!$E35:$SJ35,'PCO Log'!$E$9:$SJ$9,'Graph Data'!AR$187,'PCO Log'!$E$4:$SJ$4,"&lt;&gt;Bid Package",'PCO Log'!$E$7:$SJ$7,"Approved")</f>
        <v>0</v>
      </c>
      <c r="AS211" s="304">
        <f>SUMIFS('PCO Log'!$E35:$SJ35,'PCO Log'!$E$9:$SJ$9,'Graph Data'!AS$187,'PCO Log'!$E$4:$SJ$4,"&lt;&gt;Bid Package",'PCO Log'!$E$7:$SJ$7,"Approved")</f>
        <v>0</v>
      </c>
      <c r="AT211" s="304">
        <f>SUMIFS('PCO Log'!$E35:$SJ35,'PCO Log'!$E$9:$SJ$9,'Graph Data'!AT$187,'PCO Log'!$E$4:$SJ$4,"&lt;&gt;Bid Package",'PCO Log'!$E$7:$SJ$7,"Approved")</f>
        <v>0</v>
      </c>
      <c r="AU211" s="304">
        <f>SUMIFS('PCO Log'!$E35:$SJ35,'PCO Log'!$E$9:$SJ$9,'Graph Data'!AU$187,'PCO Log'!$E$4:$SJ$4,"&lt;&gt;Bid Package",'PCO Log'!$E$7:$SJ$7,"Approved")</f>
        <v>0</v>
      </c>
      <c r="AV211" s="304">
        <f>SUMIFS('PCO Log'!$E35:$SJ35,'PCO Log'!$E$9:$SJ$9,'Graph Data'!AV$187,'PCO Log'!$E$4:$SJ$4,"&lt;&gt;Bid Package",'PCO Log'!$E$7:$SJ$7,"Approved")</f>
        <v>0</v>
      </c>
      <c r="AW211" s="304">
        <f>SUMIFS('PCO Log'!$E35:$SJ35,'PCO Log'!$E$9:$SJ$9,'Graph Data'!AW$187,'PCO Log'!$E$4:$SJ$4,"&lt;&gt;Bid Package",'PCO Log'!$E$7:$SJ$7,"Approved")</f>
        <v>0</v>
      </c>
      <c r="AX211" s="304">
        <f>SUMIFS('PCO Log'!$E35:$SJ35,'PCO Log'!$E$9:$SJ$9,'Graph Data'!AX$187,'PCO Log'!$E$4:$SJ$4,"&lt;&gt;Bid Package",'PCO Log'!$E$7:$SJ$7,"Approved")</f>
        <v>0</v>
      </c>
      <c r="AY211" s="304">
        <f>SUMIFS('PCO Log'!$E35:$SJ35,'PCO Log'!$E$9:$SJ$9,'Graph Data'!AY$187,'PCO Log'!$E$4:$SJ$4,"&lt;&gt;Bid Package",'PCO Log'!$E$7:$SJ$7,"Approved")</f>
        <v>0</v>
      </c>
      <c r="AZ211" s="304">
        <f>SUMIFS('PCO Log'!$E35:$SJ35,'PCO Log'!$E$9:$SJ$9,'Graph Data'!AZ$187,'PCO Log'!$E$4:$SJ$4,"&lt;&gt;Bid Package",'PCO Log'!$E$7:$SJ$7,"Approved")</f>
        <v>0</v>
      </c>
      <c r="BA211" s="304">
        <f>SUMIFS('PCO Log'!$E35:$SJ35,'PCO Log'!$E$9:$SJ$9,'Graph Data'!BA$187,'PCO Log'!$E$4:$SJ$4,"&lt;&gt;Bid Package",'PCO Log'!$E$7:$SJ$7,"Approved")</f>
        <v>0</v>
      </c>
      <c r="BB211" s="304">
        <f>SUMIFS('PCO Log'!$E35:$SJ35,'PCO Log'!$E$9:$SJ$9,'Graph Data'!BB$187,'PCO Log'!$E$4:$SJ$4,"&lt;&gt;Bid Package",'PCO Log'!$E$7:$SJ$7,"Approved")</f>
        <v>0</v>
      </c>
      <c r="BC211" s="304">
        <f>SUMIFS('PCO Log'!$E35:$SJ35,'PCO Log'!$E$9:$SJ$9,'Graph Data'!BC$187,'PCO Log'!$E$4:$SJ$4,"&lt;&gt;Bid Package",'PCO Log'!$E$7:$SJ$7,"Approved")</f>
        <v>0</v>
      </c>
      <c r="BD211" s="304">
        <f>SUMIFS('PCO Log'!$E35:$SJ35,'PCO Log'!$E$9:$SJ$9,'Graph Data'!BD$187,'PCO Log'!$E$4:$SJ$4,"&lt;&gt;Bid Package",'PCO Log'!$E$7:$SJ$7,"Approved")</f>
        <v>0</v>
      </c>
      <c r="BE211" s="304">
        <f>SUMIFS('PCO Log'!$E35:$SJ35,'PCO Log'!$E$9:$SJ$9,'Graph Data'!BE$187,'PCO Log'!$E$4:$SJ$4,"&lt;&gt;Bid Package",'PCO Log'!$E$7:$SJ$7,"Approved")</f>
        <v>0</v>
      </c>
      <c r="BF211" s="304">
        <f>SUMIFS('PCO Log'!$E35:$SJ35,'PCO Log'!$E$9:$SJ$9,'Graph Data'!BF$187,'PCO Log'!$E$4:$SJ$4,"&lt;&gt;Bid Package",'PCO Log'!$E$7:$SJ$7,"Approved")</f>
        <v>0</v>
      </c>
      <c r="BG211" s="304">
        <f>SUMIFS('PCO Log'!$E35:$SJ35,'PCO Log'!$E$9:$SJ$9,'Graph Data'!BG$187,'PCO Log'!$E$4:$SJ$4,"&lt;&gt;Bid Package",'PCO Log'!$E$7:$SJ$7,"Approved")</f>
        <v>0</v>
      </c>
      <c r="BH211" s="304">
        <f>SUMIFS('PCO Log'!$E35:$SJ35,'PCO Log'!$E$9:$SJ$9,'Graph Data'!BH$187,'PCO Log'!$E$4:$SJ$4,"&lt;&gt;Bid Package",'PCO Log'!$E$7:$SJ$7,"Approved")</f>
        <v>0</v>
      </c>
      <c r="BI211" s="304">
        <f>SUMIFS('PCO Log'!$E35:$SJ35,'PCO Log'!$E$9:$SJ$9,'Graph Data'!BI$187,'PCO Log'!$E$4:$SJ$4,"&lt;&gt;Bid Package",'PCO Log'!$E$7:$SJ$7,"Approved")</f>
        <v>0</v>
      </c>
      <c r="BJ211" s="304">
        <f>SUMIFS('PCO Log'!$E35:$SJ35,'PCO Log'!$E$9:$SJ$9,'Graph Data'!BJ$187,'PCO Log'!$E$4:$SJ$4,"&lt;&gt;Bid Package",'PCO Log'!$E$7:$SJ$7,"Approved")</f>
        <v>0</v>
      </c>
      <c r="BK211" s="304">
        <f>SUMIFS('PCO Log'!$E35:$SJ35,'PCO Log'!$E$9:$SJ$9,'Graph Data'!BK$187,'PCO Log'!$E$4:$SJ$4,"&lt;&gt;Bid Package",'PCO Log'!$E$7:$SJ$7,"Approved")</f>
        <v>0</v>
      </c>
      <c r="BL211" s="304">
        <f>SUMIFS('PCO Log'!$E35:$SJ35,'PCO Log'!$E$9:$SJ$9,'Graph Data'!BL$187,'PCO Log'!$E$4:$SJ$4,"&lt;&gt;Bid Package",'PCO Log'!$E$7:$SJ$7,"Approved")</f>
        <v>0</v>
      </c>
      <c r="BM211" s="304">
        <f>SUMIFS('PCO Log'!$E35:$SJ35,'PCO Log'!$E$9:$SJ$9,'Graph Data'!BM$187,'PCO Log'!$E$4:$SJ$4,"&lt;&gt;Bid Package",'PCO Log'!$E$7:$SJ$7,"Approved")</f>
        <v>0</v>
      </c>
      <c r="BN211" s="304">
        <f>SUMIFS('PCO Log'!$E35:$SJ35,'PCO Log'!$E$9:$SJ$9,'Graph Data'!BN$187,'PCO Log'!$E$4:$SJ$4,"&lt;&gt;Bid Package",'PCO Log'!$E$7:$SJ$7,"Approved")</f>
        <v>0</v>
      </c>
      <c r="BO211" s="304">
        <f>SUMIFS('PCO Log'!$E35:$SJ35,'PCO Log'!$E$9:$SJ$9,'Graph Data'!BO$187,'PCO Log'!$E$4:$SJ$4,"&lt;&gt;Bid Package",'PCO Log'!$E$7:$SJ$7,"Approved")</f>
        <v>0</v>
      </c>
      <c r="BP211" s="304">
        <f>SUMIFS('PCO Log'!$E35:$SJ35,'PCO Log'!$E$9:$SJ$9,'Graph Data'!BP$187,'PCO Log'!$E$4:$SJ$4,"&lt;&gt;Bid Package",'PCO Log'!$E$7:$SJ$7,"Approved")</f>
        <v>0</v>
      </c>
      <c r="BQ211" s="304">
        <f>SUMIFS('PCO Log'!$E35:$SJ35,'PCO Log'!$E$9:$SJ$9,'Graph Data'!BQ$187,'PCO Log'!$E$4:$SJ$4,"&lt;&gt;Bid Package",'PCO Log'!$E$7:$SJ$7,"Approved")</f>
        <v>0</v>
      </c>
      <c r="BR211" s="304">
        <f>SUMIFS('PCO Log'!$E35:$SJ35,'PCO Log'!$E$9:$SJ$9,'Graph Data'!BR$187,'PCO Log'!$E$4:$SJ$4,"&lt;&gt;Bid Package",'PCO Log'!$E$7:$SJ$7,"Approved")</f>
        <v>0</v>
      </c>
      <c r="BS211" s="304">
        <f>SUMIFS('PCO Log'!$E35:$SJ35,'PCO Log'!$E$9:$SJ$9,'Graph Data'!BS$187,'PCO Log'!$E$4:$SJ$4,"&lt;&gt;Bid Package",'PCO Log'!$E$7:$SJ$7,"Approved")</f>
        <v>0</v>
      </c>
      <c r="BT211" s="304">
        <f>SUMIFS('PCO Log'!$E35:$SJ35,'PCO Log'!$E$9:$SJ$9,'Graph Data'!BT$187,'PCO Log'!$E$4:$SJ$4,"&lt;&gt;Bid Package",'PCO Log'!$E$7:$SJ$7,"Approved")</f>
        <v>0</v>
      </c>
      <c r="BU211" s="304">
        <f>SUMIFS('PCO Log'!$E35:$SJ35,'PCO Log'!$E$9:$SJ$9,'Graph Data'!BU$187,'PCO Log'!$E$4:$SJ$4,"&lt;&gt;Bid Package",'PCO Log'!$E$7:$SJ$7,"Approved")</f>
        <v>0</v>
      </c>
      <c r="BV211" s="304">
        <f>SUMIFS('PCO Log'!$E35:$SJ35,'PCO Log'!$E$9:$SJ$9,'Graph Data'!BV$187,'PCO Log'!$E$4:$SJ$4,"&lt;&gt;Bid Package",'PCO Log'!$E$7:$SJ$7,"Approved")</f>
        <v>0</v>
      </c>
      <c r="BW211" s="304">
        <f>SUMIFS('PCO Log'!$E35:$SJ35,'PCO Log'!$E$9:$SJ$9,'Graph Data'!BW$187,'PCO Log'!$E$4:$SJ$4,"&lt;&gt;Bid Package",'PCO Log'!$E$7:$SJ$7,"Approved")</f>
        <v>0</v>
      </c>
      <c r="BX211" s="304">
        <f>SUMIFS('PCO Log'!$E35:$SJ35,'PCO Log'!$E$9:$SJ$9,'Graph Data'!BX$187,'PCO Log'!$E$4:$SJ$4,"&lt;&gt;Bid Package",'PCO Log'!$E$7:$SJ$7,"Approved")</f>
        <v>0</v>
      </c>
    </row>
    <row r="212" spans="1:76" x14ac:dyDescent="0.25">
      <c r="A212" s="303" t="s">
        <v>562</v>
      </c>
      <c r="B212" s="303">
        <f>'PCO Log'!HG7</f>
        <v>0</v>
      </c>
      <c r="C212" s="303">
        <f>'PCO Log'!HG4</f>
        <v>0</v>
      </c>
      <c r="D212" s="303" cm="1">
        <f t="array" ref="D212">INDEX('PCO Log'!$E$5:$SJ$5, 1, ROWS('Graph Data'!$D$2:D212))</f>
        <v>0</v>
      </c>
      <c r="E212" s="303">
        <f>'PCO Log'!HG8</f>
        <v>0</v>
      </c>
      <c r="F212" s="303">
        <f>'PCO Log'!HG3</f>
        <v>0</v>
      </c>
      <c r="G212" s="304">
        <f>'PCO Log'!HG10</f>
        <v>0</v>
      </c>
      <c r="H212" s="305">
        <f>'PCO Log'!HG6</f>
        <v>0</v>
      </c>
      <c r="K212" s="307"/>
      <c r="P212" s="303" t="str">
        <f t="shared" si="2"/>
        <v>Ornamental Metal</v>
      </c>
      <c r="Q212" s="304">
        <f>SUMIFS('PCO Log'!$E36:$SJ36,'PCO Log'!$E$9:$SJ$9,'Graph Data'!Q$187,'PCO Log'!$E$4:$SJ$4,"&lt;&gt;Bid Package",'PCO Log'!$E$7:$SJ$7,"Approved")</f>
        <v>0</v>
      </c>
      <c r="R212" s="304">
        <f>SUMIFS('PCO Log'!$E36:$SJ36,'PCO Log'!$E$9:$SJ$9,'Graph Data'!R$187,'PCO Log'!$E$4:$SJ$4,"&lt;&gt;Bid Package",'PCO Log'!$E$7:$SJ$7,"Approved")</f>
        <v>0</v>
      </c>
      <c r="S212" s="304">
        <f>SUMIFS('PCO Log'!$E36:$SJ36,'PCO Log'!$E$9:$SJ$9,'Graph Data'!S$187,'PCO Log'!$E$4:$SJ$4,"&lt;&gt;Bid Package",'PCO Log'!$E$7:$SJ$7,"Approved")</f>
        <v>0</v>
      </c>
      <c r="T212" s="304">
        <f>SUMIFS('PCO Log'!$E36:$SJ36,'PCO Log'!$E$9:$SJ$9,'Graph Data'!T$187,'PCO Log'!$E$4:$SJ$4,"&lt;&gt;Bid Package",'PCO Log'!$E$7:$SJ$7,"Approved")</f>
        <v>0</v>
      </c>
      <c r="U212" s="304">
        <f>SUMIFS('PCO Log'!$E36:$SJ36,'PCO Log'!$E$9:$SJ$9,'Graph Data'!U$187,'PCO Log'!$E$4:$SJ$4,"&lt;&gt;Bid Package",'PCO Log'!$E$7:$SJ$7,"Approved")</f>
        <v>0</v>
      </c>
      <c r="V212" s="304">
        <f>SUMIFS('PCO Log'!$E36:$SJ36,'PCO Log'!$E$9:$SJ$9,'Graph Data'!V$187,'PCO Log'!$E$4:$SJ$4,"&lt;&gt;Bid Package",'PCO Log'!$E$7:$SJ$7,"Approved")</f>
        <v>0</v>
      </c>
      <c r="W212" s="304">
        <f>SUMIFS('PCO Log'!$E36:$SJ36,'PCO Log'!$E$9:$SJ$9,'Graph Data'!W$187,'PCO Log'!$E$4:$SJ$4,"&lt;&gt;Bid Package",'PCO Log'!$E$7:$SJ$7,"Approved")</f>
        <v>0</v>
      </c>
      <c r="X212" s="304">
        <f>SUMIFS('PCO Log'!$E36:$SJ36,'PCO Log'!$E$9:$SJ$9,'Graph Data'!X$187,'PCO Log'!$E$4:$SJ$4,"&lt;&gt;Bid Package",'PCO Log'!$E$7:$SJ$7,"Approved")</f>
        <v>0</v>
      </c>
      <c r="Y212" s="304">
        <f>SUMIFS('PCO Log'!$E36:$SJ36,'PCO Log'!$E$9:$SJ$9,'Graph Data'!Y$187,'PCO Log'!$E$4:$SJ$4,"&lt;&gt;Bid Package",'PCO Log'!$E$7:$SJ$7,"Approved")</f>
        <v>0</v>
      </c>
      <c r="Z212" s="304">
        <f>SUMIFS('PCO Log'!$E36:$SJ36,'PCO Log'!$E$9:$SJ$9,'Graph Data'!Z$187,'PCO Log'!$E$4:$SJ$4,"&lt;&gt;Bid Package",'PCO Log'!$E$7:$SJ$7,"Approved")</f>
        <v>0</v>
      </c>
      <c r="AA212" s="304">
        <f>SUMIFS('PCO Log'!$E36:$SJ36,'PCO Log'!$E$9:$SJ$9,'Graph Data'!AA$187,'PCO Log'!$E$4:$SJ$4,"&lt;&gt;Bid Package",'PCO Log'!$E$7:$SJ$7,"Approved")</f>
        <v>0</v>
      </c>
      <c r="AB212" s="304">
        <f>SUMIFS('PCO Log'!$E36:$SJ36,'PCO Log'!$E$9:$SJ$9,'Graph Data'!AB$187,'PCO Log'!$E$4:$SJ$4,"&lt;&gt;Bid Package",'PCO Log'!$E$7:$SJ$7,"Approved")</f>
        <v>0</v>
      </c>
      <c r="AC212" s="304">
        <f>SUMIFS('PCO Log'!$E36:$SJ36,'PCO Log'!$E$9:$SJ$9,'Graph Data'!AC$187,'PCO Log'!$E$4:$SJ$4,"&lt;&gt;Bid Package",'PCO Log'!$E$7:$SJ$7,"Approved")</f>
        <v>0</v>
      </c>
      <c r="AD212" s="304">
        <f>SUMIFS('PCO Log'!$E36:$SJ36,'PCO Log'!$E$9:$SJ$9,'Graph Data'!AD$187,'PCO Log'!$E$4:$SJ$4,"&lt;&gt;Bid Package",'PCO Log'!$E$7:$SJ$7,"Approved")</f>
        <v>0</v>
      </c>
      <c r="AE212" s="304">
        <f>SUMIFS('PCO Log'!$E36:$SJ36,'PCO Log'!$E$9:$SJ$9,'Graph Data'!AE$187,'PCO Log'!$E$4:$SJ$4,"&lt;&gt;Bid Package",'PCO Log'!$E$7:$SJ$7,"Approved")</f>
        <v>0</v>
      </c>
      <c r="AF212" s="304">
        <f>SUMIFS('PCO Log'!$E36:$SJ36,'PCO Log'!$E$9:$SJ$9,'Graph Data'!AF$187,'PCO Log'!$E$4:$SJ$4,"&lt;&gt;Bid Package",'PCO Log'!$E$7:$SJ$7,"Approved")</f>
        <v>0</v>
      </c>
      <c r="AG212" s="304">
        <f>SUMIFS('PCO Log'!$E36:$SJ36,'PCO Log'!$E$9:$SJ$9,'Graph Data'!AG$187,'PCO Log'!$E$4:$SJ$4,"&lt;&gt;Bid Package",'PCO Log'!$E$7:$SJ$7,"Approved")</f>
        <v>0</v>
      </c>
      <c r="AH212" s="304">
        <f>SUMIFS('PCO Log'!$E36:$SJ36,'PCO Log'!$E$9:$SJ$9,'Graph Data'!AH$187,'PCO Log'!$E$4:$SJ$4,"&lt;&gt;Bid Package",'PCO Log'!$E$7:$SJ$7,"Approved")</f>
        <v>0</v>
      </c>
      <c r="AI212" s="304">
        <f>SUMIFS('PCO Log'!$E36:$SJ36,'PCO Log'!$E$9:$SJ$9,'Graph Data'!AI$187,'PCO Log'!$E$4:$SJ$4,"&lt;&gt;Bid Package",'PCO Log'!$E$7:$SJ$7,"Approved")</f>
        <v>0</v>
      </c>
      <c r="AJ212" s="304">
        <f>SUMIFS('PCO Log'!$E36:$SJ36,'PCO Log'!$E$9:$SJ$9,'Graph Data'!AJ$187,'PCO Log'!$E$4:$SJ$4,"&lt;&gt;Bid Package",'PCO Log'!$E$7:$SJ$7,"Approved")</f>
        <v>0</v>
      </c>
      <c r="AK212" s="304">
        <f>SUMIFS('PCO Log'!$E36:$SJ36,'PCO Log'!$E$9:$SJ$9,'Graph Data'!AK$187,'PCO Log'!$E$4:$SJ$4,"&lt;&gt;Bid Package",'PCO Log'!$E$7:$SJ$7,"Approved")</f>
        <v>0</v>
      </c>
      <c r="AL212" s="304">
        <f>SUMIFS('PCO Log'!$E36:$SJ36,'PCO Log'!$E$9:$SJ$9,'Graph Data'!AL$187,'PCO Log'!$E$4:$SJ$4,"&lt;&gt;Bid Package",'PCO Log'!$E$7:$SJ$7,"Approved")</f>
        <v>0</v>
      </c>
      <c r="AM212" s="304">
        <f>SUMIFS('PCO Log'!$E36:$SJ36,'PCO Log'!$E$9:$SJ$9,'Graph Data'!AM$187,'PCO Log'!$E$4:$SJ$4,"&lt;&gt;Bid Package",'PCO Log'!$E$7:$SJ$7,"Approved")</f>
        <v>0</v>
      </c>
      <c r="AN212" s="304">
        <f>SUMIFS('PCO Log'!$E36:$SJ36,'PCO Log'!$E$9:$SJ$9,'Graph Data'!AN$187,'PCO Log'!$E$4:$SJ$4,"&lt;&gt;Bid Package",'PCO Log'!$E$7:$SJ$7,"Approved")</f>
        <v>0</v>
      </c>
      <c r="AO212" s="304">
        <f>SUMIFS('PCO Log'!$E36:$SJ36,'PCO Log'!$E$9:$SJ$9,'Graph Data'!AO$187,'PCO Log'!$E$4:$SJ$4,"&lt;&gt;Bid Package",'PCO Log'!$E$7:$SJ$7,"Approved")</f>
        <v>0</v>
      </c>
      <c r="AP212" s="304">
        <f>SUMIFS('PCO Log'!$E36:$SJ36,'PCO Log'!$E$9:$SJ$9,'Graph Data'!AP$187,'PCO Log'!$E$4:$SJ$4,"&lt;&gt;Bid Package",'PCO Log'!$E$7:$SJ$7,"Approved")</f>
        <v>0</v>
      </c>
      <c r="AQ212" s="304">
        <f>SUMIFS('PCO Log'!$E36:$SJ36,'PCO Log'!$E$9:$SJ$9,'Graph Data'!AQ$187,'PCO Log'!$E$4:$SJ$4,"&lt;&gt;Bid Package",'PCO Log'!$E$7:$SJ$7,"Approved")</f>
        <v>0</v>
      </c>
      <c r="AR212" s="304">
        <f>SUMIFS('PCO Log'!$E36:$SJ36,'PCO Log'!$E$9:$SJ$9,'Graph Data'!AR$187,'PCO Log'!$E$4:$SJ$4,"&lt;&gt;Bid Package",'PCO Log'!$E$7:$SJ$7,"Approved")</f>
        <v>0</v>
      </c>
      <c r="AS212" s="304">
        <f>SUMIFS('PCO Log'!$E36:$SJ36,'PCO Log'!$E$9:$SJ$9,'Graph Data'!AS$187,'PCO Log'!$E$4:$SJ$4,"&lt;&gt;Bid Package",'PCO Log'!$E$7:$SJ$7,"Approved")</f>
        <v>0</v>
      </c>
      <c r="AT212" s="304">
        <f>SUMIFS('PCO Log'!$E36:$SJ36,'PCO Log'!$E$9:$SJ$9,'Graph Data'!AT$187,'PCO Log'!$E$4:$SJ$4,"&lt;&gt;Bid Package",'PCO Log'!$E$7:$SJ$7,"Approved")</f>
        <v>0</v>
      </c>
      <c r="AU212" s="304">
        <f>SUMIFS('PCO Log'!$E36:$SJ36,'PCO Log'!$E$9:$SJ$9,'Graph Data'!AU$187,'PCO Log'!$E$4:$SJ$4,"&lt;&gt;Bid Package",'PCO Log'!$E$7:$SJ$7,"Approved")</f>
        <v>0</v>
      </c>
      <c r="AV212" s="304">
        <f>SUMIFS('PCO Log'!$E36:$SJ36,'PCO Log'!$E$9:$SJ$9,'Graph Data'!AV$187,'PCO Log'!$E$4:$SJ$4,"&lt;&gt;Bid Package",'PCO Log'!$E$7:$SJ$7,"Approved")</f>
        <v>0</v>
      </c>
      <c r="AW212" s="304">
        <f>SUMIFS('PCO Log'!$E36:$SJ36,'PCO Log'!$E$9:$SJ$9,'Graph Data'!AW$187,'PCO Log'!$E$4:$SJ$4,"&lt;&gt;Bid Package",'PCO Log'!$E$7:$SJ$7,"Approved")</f>
        <v>0</v>
      </c>
      <c r="AX212" s="304">
        <f>SUMIFS('PCO Log'!$E36:$SJ36,'PCO Log'!$E$9:$SJ$9,'Graph Data'!AX$187,'PCO Log'!$E$4:$SJ$4,"&lt;&gt;Bid Package",'PCO Log'!$E$7:$SJ$7,"Approved")</f>
        <v>0</v>
      </c>
      <c r="AY212" s="304">
        <f>SUMIFS('PCO Log'!$E36:$SJ36,'PCO Log'!$E$9:$SJ$9,'Graph Data'!AY$187,'PCO Log'!$E$4:$SJ$4,"&lt;&gt;Bid Package",'PCO Log'!$E$7:$SJ$7,"Approved")</f>
        <v>0</v>
      </c>
      <c r="AZ212" s="304">
        <f>SUMIFS('PCO Log'!$E36:$SJ36,'PCO Log'!$E$9:$SJ$9,'Graph Data'!AZ$187,'PCO Log'!$E$4:$SJ$4,"&lt;&gt;Bid Package",'PCO Log'!$E$7:$SJ$7,"Approved")</f>
        <v>0</v>
      </c>
      <c r="BA212" s="304">
        <f>SUMIFS('PCO Log'!$E36:$SJ36,'PCO Log'!$E$9:$SJ$9,'Graph Data'!BA$187,'PCO Log'!$E$4:$SJ$4,"&lt;&gt;Bid Package",'PCO Log'!$E$7:$SJ$7,"Approved")</f>
        <v>0</v>
      </c>
      <c r="BB212" s="304">
        <f>SUMIFS('PCO Log'!$E36:$SJ36,'PCO Log'!$E$9:$SJ$9,'Graph Data'!BB$187,'PCO Log'!$E$4:$SJ$4,"&lt;&gt;Bid Package",'PCO Log'!$E$7:$SJ$7,"Approved")</f>
        <v>0</v>
      </c>
      <c r="BC212" s="304">
        <f>SUMIFS('PCO Log'!$E36:$SJ36,'PCO Log'!$E$9:$SJ$9,'Graph Data'!BC$187,'PCO Log'!$E$4:$SJ$4,"&lt;&gt;Bid Package",'PCO Log'!$E$7:$SJ$7,"Approved")</f>
        <v>0</v>
      </c>
      <c r="BD212" s="304">
        <f>SUMIFS('PCO Log'!$E36:$SJ36,'PCO Log'!$E$9:$SJ$9,'Graph Data'!BD$187,'PCO Log'!$E$4:$SJ$4,"&lt;&gt;Bid Package",'PCO Log'!$E$7:$SJ$7,"Approved")</f>
        <v>0</v>
      </c>
      <c r="BE212" s="304">
        <f>SUMIFS('PCO Log'!$E36:$SJ36,'PCO Log'!$E$9:$SJ$9,'Graph Data'!BE$187,'PCO Log'!$E$4:$SJ$4,"&lt;&gt;Bid Package",'PCO Log'!$E$7:$SJ$7,"Approved")</f>
        <v>0</v>
      </c>
      <c r="BF212" s="304">
        <f>SUMIFS('PCO Log'!$E36:$SJ36,'PCO Log'!$E$9:$SJ$9,'Graph Data'!BF$187,'PCO Log'!$E$4:$SJ$4,"&lt;&gt;Bid Package",'PCO Log'!$E$7:$SJ$7,"Approved")</f>
        <v>0</v>
      </c>
      <c r="BG212" s="304">
        <f>SUMIFS('PCO Log'!$E36:$SJ36,'PCO Log'!$E$9:$SJ$9,'Graph Data'!BG$187,'PCO Log'!$E$4:$SJ$4,"&lt;&gt;Bid Package",'PCO Log'!$E$7:$SJ$7,"Approved")</f>
        <v>0</v>
      </c>
      <c r="BH212" s="304">
        <f>SUMIFS('PCO Log'!$E36:$SJ36,'PCO Log'!$E$9:$SJ$9,'Graph Data'!BH$187,'PCO Log'!$E$4:$SJ$4,"&lt;&gt;Bid Package",'PCO Log'!$E$7:$SJ$7,"Approved")</f>
        <v>0</v>
      </c>
      <c r="BI212" s="304">
        <f>SUMIFS('PCO Log'!$E36:$SJ36,'PCO Log'!$E$9:$SJ$9,'Graph Data'!BI$187,'PCO Log'!$E$4:$SJ$4,"&lt;&gt;Bid Package",'PCO Log'!$E$7:$SJ$7,"Approved")</f>
        <v>0</v>
      </c>
      <c r="BJ212" s="304">
        <f>SUMIFS('PCO Log'!$E36:$SJ36,'PCO Log'!$E$9:$SJ$9,'Graph Data'!BJ$187,'PCO Log'!$E$4:$SJ$4,"&lt;&gt;Bid Package",'PCO Log'!$E$7:$SJ$7,"Approved")</f>
        <v>0</v>
      </c>
      <c r="BK212" s="304">
        <f>SUMIFS('PCO Log'!$E36:$SJ36,'PCO Log'!$E$9:$SJ$9,'Graph Data'!BK$187,'PCO Log'!$E$4:$SJ$4,"&lt;&gt;Bid Package",'PCO Log'!$E$7:$SJ$7,"Approved")</f>
        <v>0</v>
      </c>
      <c r="BL212" s="304">
        <f>SUMIFS('PCO Log'!$E36:$SJ36,'PCO Log'!$E$9:$SJ$9,'Graph Data'!BL$187,'PCO Log'!$E$4:$SJ$4,"&lt;&gt;Bid Package",'PCO Log'!$E$7:$SJ$7,"Approved")</f>
        <v>0</v>
      </c>
      <c r="BM212" s="304">
        <f>SUMIFS('PCO Log'!$E36:$SJ36,'PCO Log'!$E$9:$SJ$9,'Graph Data'!BM$187,'PCO Log'!$E$4:$SJ$4,"&lt;&gt;Bid Package",'PCO Log'!$E$7:$SJ$7,"Approved")</f>
        <v>0</v>
      </c>
      <c r="BN212" s="304">
        <f>SUMIFS('PCO Log'!$E36:$SJ36,'PCO Log'!$E$9:$SJ$9,'Graph Data'!BN$187,'PCO Log'!$E$4:$SJ$4,"&lt;&gt;Bid Package",'PCO Log'!$E$7:$SJ$7,"Approved")</f>
        <v>0</v>
      </c>
      <c r="BO212" s="304">
        <f>SUMIFS('PCO Log'!$E36:$SJ36,'PCO Log'!$E$9:$SJ$9,'Graph Data'!BO$187,'PCO Log'!$E$4:$SJ$4,"&lt;&gt;Bid Package",'PCO Log'!$E$7:$SJ$7,"Approved")</f>
        <v>0</v>
      </c>
      <c r="BP212" s="304">
        <f>SUMIFS('PCO Log'!$E36:$SJ36,'PCO Log'!$E$9:$SJ$9,'Graph Data'!BP$187,'PCO Log'!$E$4:$SJ$4,"&lt;&gt;Bid Package",'PCO Log'!$E$7:$SJ$7,"Approved")</f>
        <v>0</v>
      </c>
      <c r="BQ212" s="304">
        <f>SUMIFS('PCO Log'!$E36:$SJ36,'PCO Log'!$E$9:$SJ$9,'Graph Data'!BQ$187,'PCO Log'!$E$4:$SJ$4,"&lt;&gt;Bid Package",'PCO Log'!$E$7:$SJ$7,"Approved")</f>
        <v>0</v>
      </c>
      <c r="BR212" s="304">
        <f>SUMIFS('PCO Log'!$E36:$SJ36,'PCO Log'!$E$9:$SJ$9,'Graph Data'!BR$187,'PCO Log'!$E$4:$SJ$4,"&lt;&gt;Bid Package",'PCO Log'!$E$7:$SJ$7,"Approved")</f>
        <v>0</v>
      </c>
      <c r="BS212" s="304">
        <f>SUMIFS('PCO Log'!$E36:$SJ36,'PCO Log'!$E$9:$SJ$9,'Graph Data'!BS$187,'PCO Log'!$E$4:$SJ$4,"&lt;&gt;Bid Package",'PCO Log'!$E$7:$SJ$7,"Approved")</f>
        <v>0</v>
      </c>
      <c r="BT212" s="304">
        <f>SUMIFS('PCO Log'!$E36:$SJ36,'PCO Log'!$E$9:$SJ$9,'Graph Data'!BT$187,'PCO Log'!$E$4:$SJ$4,"&lt;&gt;Bid Package",'PCO Log'!$E$7:$SJ$7,"Approved")</f>
        <v>0</v>
      </c>
      <c r="BU212" s="304">
        <f>SUMIFS('PCO Log'!$E36:$SJ36,'PCO Log'!$E$9:$SJ$9,'Graph Data'!BU$187,'PCO Log'!$E$4:$SJ$4,"&lt;&gt;Bid Package",'PCO Log'!$E$7:$SJ$7,"Approved")</f>
        <v>0</v>
      </c>
      <c r="BV212" s="304">
        <f>SUMIFS('PCO Log'!$E36:$SJ36,'PCO Log'!$E$9:$SJ$9,'Graph Data'!BV$187,'PCO Log'!$E$4:$SJ$4,"&lt;&gt;Bid Package",'PCO Log'!$E$7:$SJ$7,"Approved")</f>
        <v>0</v>
      </c>
      <c r="BW212" s="304">
        <f>SUMIFS('PCO Log'!$E36:$SJ36,'PCO Log'!$E$9:$SJ$9,'Graph Data'!BW$187,'PCO Log'!$E$4:$SJ$4,"&lt;&gt;Bid Package",'PCO Log'!$E$7:$SJ$7,"Approved")</f>
        <v>0</v>
      </c>
      <c r="BX212" s="304">
        <f>SUMIFS('PCO Log'!$E36:$SJ36,'PCO Log'!$E$9:$SJ$9,'Graph Data'!BX$187,'PCO Log'!$E$4:$SJ$4,"&lt;&gt;Bid Package",'PCO Log'!$E$7:$SJ$7,"Approved")</f>
        <v>0</v>
      </c>
    </row>
    <row r="213" spans="1:76" x14ac:dyDescent="0.25">
      <c r="A213" s="303" t="s">
        <v>563</v>
      </c>
      <c r="B213" s="303">
        <f>'PCO Log'!HH7</f>
        <v>0</v>
      </c>
      <c r="C213" s="303">
        <f>'PCO Log'!HH4</f>
        <v>0</v>
      </c>
      <c r="D213" s="303" cm="1">
        <f t="array" ref="D213">INDEX('PCO Log'!$E$5:$SJ$5, 1, ROWS('Graph Data'!$D$2:D213))</f>
        <v>0</v>
      </c>
      <c r="E213" s="303">
        <f>'PCO Log'!HH8</f>
        <v>0</v>
      </c>
      <c r="F213" s="303">
        <f>'PCO Log'!HH3</f>
        <v>0</v>
      </c>
      <c r="G213" s="304">
        <f>'PCO Log'!HH10</f>
        <v>0</v>
      </c>
      <c r="H213" s="305">
        <f>'PCO Log'!HH6</f>
        <v>0</v>
      </c>
      <c r="K213" s="307"/>
      <c r="P213" s="303" t="str">
        <f t="shared" si="2"/>
        <v>Rough Carpentry</v>
      </c>
      <c r="Q213" s="304">
        <f>SUMIFS('PCO Log'!$E37:$SJ37,'PCO Log'!$E$9:$SJ$9,'Graph Data'!Q$187,'PCO Log'!$E$4:$SJ$4,"&lt;&gt;Bid Package",'PCO Log'!$E$7:$SJ$7,"Approved")</f>
        <v>0</v>
      </c>
      <c r="R213" s="304">
        <f>SUMIFS('PCO Log'!$E37:$SJ37,'PCO Log'!$E$9:$SJ$9,'Graph Data'!R$187,'PCO Log'!$E$4:$SJ$4,"&lt;&gt;Bid Package",'PCO Log'!$E$7:$SJ$7,"Approved")</f>
        <v>0</v>
      </c>
      <c r="S213" s="304">
        <f>SUMIFS('PCO Log'!$E37:$SJ37,'PCO Log'!$E$9:$SJ$9,'Graph Data'!S$187,'PCO Log'!$E$4:$SJ$4,"&lt;&gt;Bid Package",'PCO Log'!$E$7:$SJ$7,"Approved")</f>
        <v>0</v>
      </c>
      <c r="T213" s="304">
        <f>SUMIFS('PCO Log'!$E37:$SJ37,'PCO Log'!$E$9:$SJ$9,'Graph Data'!T$187,'PCO Log'!$E$4:$SJ$4,"&lt;&gt;Bid Package",'PCO Log'!$E$7:$SJ$7,"Approved")</f>
        <v>0</v>
      </c>
      <c r="U213" s="304">
        <f>SUMIFS('PCO Log'!$E37:$SJ37,'PCO Log'!$E$9:$SJ$9,'Graph Data'!U$187,'PCO Log'!$E$4:$SJ$4,"&lt;&gt;Bid Package",'PCO Log'!$E$7:$SJ$7,"Approved")</f>
        <v>0</v>
      </c>
      <c r="V213" s="304">
        <f>SUMIFS('PCO Log'!$E37:$SJ37,'PCO Log'!$E$9:$SJ$9,'Graph Data'!V$187,'PCO Log'!$E$4:$SJ$4,"&lt;&gt;Bid Package",'PCO Log'!$E$7:$SJ$7,"Approved")</f>
        <v>0</v>
      </c>
      <c r="W213" s="304">
        <f>SUMIFS('PCO Log'!$E37:$SJ37,'PCO Log'!$E$9:$SJ$9,'Graph Data'!W$187,'PCO Log'!$E$4:$SJ$4,"&lt;&gt;Bid Package",'PCO Log'!$E$7:$SJ$7,"Approved")</f>
        <v>0</v>
      </c>
      <c r="X213" s="304">
        <f>SUMIFS('PCO Log'!$E37:$SJ37,'PCO Log'!$E$9:$SJ$9,'Graph Data'!X$187,'PCO Log'!$E$4:$SJ$4,"&lt;&gt;Bid Package",'PCO Log'!$E$7:$SJ$7,"Approved")</f>
        <v>0</v>
      </c>
      <c r="Y213" s="304">
        <f>SUMIFS('PCO Log'!$E37:$SJ37,'PCO Log'!$E$9:$SJ$9,'Graph Data'!Y$187,'PCO Log'!$E$4:$SJ$4,"&lt;&gt;Bid Package",'PCO Log'!$E$7:$SJ$7,"Approved")</f>
        <v>0</v>
      </c>
      <c r="Z213" s="304">
        <f>SUMIFS('PCO Log'!$E37:$SJ37,'PCO Log'!$E$9:$SJ$9,'Graph Data'!Z$187,'PCO Log'!$E$4:$SJ$4,"&lt;&gt;Bid Package",'PCO Log'!$E$7:$SJ$7,"Approved")</f>
        <v>0</v>
      </c>
      <c r="AA213" s="304">
        <f>SUMIFS('PCO Log'!$E37:$SJ37,'PCO Log'!$E$9:$SJ$9,'Graph Data'!AA$187,'PCO Log'!$E$4:$SJ$4,"&lt;&gt;Bid Package",'PCO Log'!$E$7:$SJ$7,"Approved")</f>
        <v>0</v>
      </c>
      <c r="AB213" s="304">
        <f>SUMIFS('PCO Log'!$E37:$SJ37,'PCO Log'!$E$9:$SJ$9,'Graph Data'!AB$187,'PCO Log'!$E$4:$SJ$4,"&lt;&gt;Bid Package",'PCO Log'!$E$7:$SJ$7,"Approved")</f>
        <v>0</v>
      </c>
      <c r="AC213" s="304">
        <f>SUMIFS('PCO Log'!$E37:$SJ37,'PCO Log'!$E$9:$SJ$9,'Graph Data'!AC$187,'PCO Log'!$E$4:$SJ$4,"&lt;&gt;Bid Package",'PCO Log'!$E$7:$SJ$7,"Approved")</f>
        <v>0</v>
      </c>
      <c r="AD213" s="304">
        <f>SUMIFS('PCO Log'!$E37:$SJ37,'PCO Log'!$E$9:$SJ$9,'Graph Data'!AD$187,'PCO Log'!$E$4:$SJ$4,"&lt;&gt;Bid Package",'PCO Log'!$E$7:$SJ$7,"Approved")</f>
        <v>0</v>
      </c>
      <c r="AE213" s="304">
        <f>SUMIFS('PCO Log'!$E37:$SJ37,'PCO Log'!$E$9:$SJ$9,'Graph Data'!AE$187,'PCO Log'!$E$4:$SJ$4,"&lt;&gt;Bid Package",'PCO Log'!$E$7:$SJ$7,"Approved")</f>
        <v>0</v>
      </c>
      <c r="AF213" s="304">
        <f>SUMIFS('PCO Log'!$E37:$SJ37,'PCO Log'!$E$9:$SJ$9,'Graph Data'!AF$187,'PCO Log'!$E$4:$SJ$4,"&lt;&gt;Bid Package",'PCO Log'!$E$7:$SJ$7,"Approved")</f>
        <v>0</v>
      </c>
      <c r="AG213" s="304">
        <f>SUMIFS('PCO Log'!$E37:$SJ37,'PCO Log'!$E$9:$SJ$9,'Graph Data'!AG$187,'PCO Log'!$E$4:$SJ$4,"&lt;&gt;Bid Package",'PCO Log'!$E$7:$SJ$7,"Approved")</f>
        <v>0</v>
      </c>
      <c r="AH213" s="304">
        <f>SUMIFS('PCO Log'!$E37:$SJ37,'PCO Log'!$E$9:$SJ$9,'Graph Data'!AH$187,'PCO Log'!$E$4:$SJ$4,"&lt;&gt;Bid Package",'PCO Log'!$E$7:$SJ$7,"Approved")</f>
        <v>0</v>
      </c>
      <c r="AI213" s="304">
        <f>SUMIFS('PCO Log'!$E37:$SJ37,'PCO Log'!$E$9:$SJ$9,'Graph Data'!AI$187,'PCO Log'!$E$4:$SJ$4,"&lt;&gt;Bid Package",'PCO Log'!$E$7:$SJ$7,"Approved")</f>
        <v>0</v>
      </c>
      <c r="AJ213" s="304">
        <f>SUMIFS('PCO Log'!$E37:$SJ37,'PCO Log'!$E$9:$SJ$9,'Graph Data'!AJ$187,'PCO Log'!$E$4:$SJ$4,"&lt;&gt;Bid Package",'PCO Log'!$E$7:$SJ$7,"Approved")</f>
        <v>0</v>
      </c>
      <c r="AK213" s="304">
        <f>SUMIFS('PCO Log'!$E37:$SJ37,'PCO Log'!$E$9:$SJ$9,'Graph Data'!AK$187,'PCO Log'!$E$4:$SJ$4,"&lt;&gt;Bid Package",'PCO Log'!$E$7:$SJ$7,"Approved")</f>
        <v>0</v>
      </c>
      <c r="AL213" s="304">
        <f>SUMIFS('PCO Log'!$E37:$SJ37,'PCO Log'!$E$9:$SJ$9,'Graph Data'!AL$187,'PCO Log'!$E$4:$SJ$4,"&lt;&gt;Bid Package",'PCO Log'!$E$7:$SJ$7,"Approved")</f>
        <v>0</v>
      </c>
      <c r="AM213" s="304">
        <f>SUMIFS('PCO Log'!$E37:$SJ37,'PCO Log'!$E$9:$SJ$9,'Graph Data'!AM$187,'PCO Log'!$E$4:$SJ$4,"&lt;&gt;Bid Package",'PCO Log'!$E$7:$SJ$7,"Approved")</f>
        <v>0</v>
      </c>
      <c r="AN213" s="304">
        <f>SUMIFS('PCO Log'!$E37:$SJ37,'PCO Log'!$E$9:$SJ$9,'Graph Data'!AN$187,'PCO Log'!$E$4:$SJ$4,"&lt;&gt;Bid Package",'PCO Log'!$E$7:$SJ$7,"Approved")</f>
        <v>0</v>
      </c>
      <c r="AO213" s="304">
        <f>SUMIFS('PCO Log'!$E37:$SJ37,'PCO Log'!$E$9:$SJ$9,'Graph Data'!AO$187,'PCO Log'!$E$4:$SJ$4,"&lt;&gt;Bid Package",'PCO Log'!$E$7:$SJ$7,"Approved")</f>
        <v>0</v>
      </c>
      <c r="AP213" s="304">
        <f>SUMIFS('PCO Log'!$E37:$SJ37,'PCO Log'!$E$9:$SJ$9,'Graph Data'!AP$187,'PCO Log'!$E$4:$SJ$4,"&lt;&gt;Bid Package",'PCO Log'!$E$7:$SJ$7,"Approved")</f>
        <v>0</v>
      </c>
      <c r="AQ213" s="304">
        <f>SUMIFS('PCO Log'!$E37:$SJ37,'PCO Log'!$E$9:$SJ$9,'Graph Data'!AQ$187,'PCO Log'!$E$4:$SJ$4,"&lt;&gt;Bid Package",'PCO Log'!$E$7:$SJ$7,"Approved")</f>
        <v>0</v>
      </c>
      <c r="AR213" s="304">
        <f>SUMIFS('PCO Log'!$E37:$SJ37,'PCO Log'!$E$9:$SJ$9,'Graph Data'!AR$187,'PCO Log'!$E$4:$SJ$4,"&lt;&gt;Bid Package",'PCO Log'!$E$7:$SJ$7,"Approved")</f>
        <v>0</v>
      </c>
      <c r="AS213" s="304">
        <f>SUMIFS('PCO Log'!$E37:$SJ37,'PCO Log'!$E$9:$SJ$9,'Graph Data'!AS$187,'PCO Log'!$E$4:$SJ$4,"&lt;&gt;Bid Package",'PCO Log'!$E$7:$SJ$7,"Approved")</f>
        <v>0</v>
      </c>
      <c r="AT213" s="304">
        <f>SUMIFS('PCO Log'!$E37:$SJ37,'PCO Log'!$E$9:$SJ$9,'Graph Data'!AT$187,'PCO Log'!$E$4:$SJ$4,"&lt;&gt;Bid Package",'PCO Log'!$E$7:$SJ$7,"Approved")</f>
        <v>0</v>
      </c>
      <c r="AU213" s="304">
        <f>SUMIFS('PCO Log'!$E37:$SJ37,'PCO Log'!$E$9:$SJ$9,'Graph Data'!AU$187,'PCO Log'!$E$4:$SJ$4,"&lt;&gt;Bid Package",'PCO Log'!$E$7:$SJ$7,"Approved")</f>
        <v>0</v>
      </c>
      <c r="AV213" s="304">
        <f>SUMIFS('PCO Log'!$E37:$SJ37,'PCO Log'!$E$9:$SJ$9,'Graph Data'!AV$187,'PCO Log'!$E$4:$SJ$4,"&lt;&gt;Bid Package",'PCO Log'!$E$7:$SJ$7,"Approved")</f>
        <v>0</v>
      </c>
      <c r="AW213" s="304">
        <f>SUMIFS('PCO Log'!$E37:$SJ37,'PCO Log'!$E$9:$SJ$9,'Graph Data'!AW$187,'PCO Log'!$E$4:$SJ$4,"&lt;&gt;Bid Package",'PCO Log'!$E$7:$SJ$7,"Approved")</f>
        <v>0</v>
      </c>
      <c r="AX213" s="304">
        <f>SUMIFS('PCO Log'!$E37:$SJ37,'PCO Log'!$E$9:$SJ$9,'Graph Data'!AX$187,'PCO Log'!$E$4:$SJ$4,"&lt;&gt;Bid Package",'PCO Log'!$E$7:$SJ$7,"Approved")</f>
        <v>0</v>
      </c>
      <c r="AY213" s="304">
        <f>SUMIFS('PCO Log'!$E37:$SJ37,'PCO Log'!$E$9:$SJ$9,'Graph Data'!AY$187,'PCO Log'!$E$4:$SJ$4,"&lt;&gt;Bid Package",'PCO Log'!$E$7:$SJ$7,"Approved")</f>
        <v>0</v>
      </c>
      <c r="AZ213" s="304">
        <f>SUMIFS('PCO Log'!$E37:$SJ37,'PCO Log'!$E$9:$SJ$9,'Graph Data'!AZ$187,'PCO Log'!$E$4:$SJ$4,"&lt;&gt;Bid Package",'PCO Log'!$E$7:$SJ$7,"Approved")</f>
        <v>0</v>
      </c>
      <c r="BA213" s="304">
        <f>SUMIFS('PCO Log'!$E37:$SJ37,'PCO Log'!$E$9:$SJ$9,'Graph Data'!BA$187,'PCO Log'!$E$4:$SJ$4,"&lt;&gt;Bid Package",'PCO Log'!$E$7:$SJ$7,"Approved")</f>
        <v>0</v>
      </c>
      <c r="BB213" s="304">
        <f>SUMIFS('PCO Log'!$E37:$SJ37,'PCO Log'!$E$9:$SJ$9,'Graph Data'!BB$187,'PCO Log'!$E$4:$SJ$4,"&lt;&gt;Bid Package",'PCO Log'!$E$7:$SJ$7,"Approved")</f>
        <v>0</v>
      </c>
      <c r="BC213" s="304">
        <f>SUMIFS('PCO Log'!$E37:$SJ37,'PCO Log'!$E$9:$SJ$9,'Graph Data'!BC$187,'PCO Log'!$E$4:$SJ$4,"&lt;&gt;Bid Package",'PCO Log'!$E$7:$SJ$7,"Approved")</f>
        <v>0</v>
      </c>
      <c r="BD213" s="304">
        <f>SUMIFS('PCO Log'!$E37:$SJ37,'PCO Log'!$E$9:$SJ$9,'Graph Data'!BD$187,'PCO Log'!$E$4:$SJ$4,"&lt;&gt;Bid Package",'PCO Log'!$E$7:$SJ$7,"Approved")</f>
        <v>0</v>
      </c>
      <c r="BE213" s="304">
        <f>SUMIFS('PCO Log'!$E37:$SJ37,'PCO Log'!$E$9:$SJ$9,'Graph Data'!BE$187,'PCO Log'!$E$4:$SJ$4,"&lt;&gt;Bid Package",'PCO Log'!$E$7:$SJ$7,"Approved")</f>
        <v>0</v>
      </c>
      <c r="BF213" s="304">
        <f>SUMIFS('PCO Log'!$E37:$SJ37,'PCO Log'!$E$9:$SJ$9,'Graph Data'!BF$187,'PCO Log'!$E$4:$SJ$4,"&lt;&gt;Bid Package",'PCO Log'!$E$7:$SJ$7,"Approved")</f>
        <v>0</v>
      </c>
      <c r="BG213" s="304">
        <f>SUMIFS('PCO Log'!$E37:$SJ37,'PCO Log'!$E$9:$SJ$9,'Graph Data'!BG$187,'PCO Log'!$E$4:$SJ$4,"&lt;&gt;Bid Package",'PCO Log'!$E$7:$SJ$7,"Approved")</f>
        <v>0</v>
      </c>
      <c r="BH213" s="304">
        <f>SUMIFS('PCO Log'!$E37:$SJ37,'PCO Log'!$E$9:$SJ$9,'Graph Data'!BH$187,'PCO Log'!$E$4:$SJ$4,"&lt;&gt;Bid Package",'PCO Log'!$E$7:$SJ$7,"Approved")</f>
        <v>0</v>
      </c>
      <c r="BI213" s="304">
        <f>SUMIFS('PCO Log'!$E37:$SJ37,'PCO Log'!$E$9:$SJ$9,'Graph Data'!BI$187,'PCO Log'!$E$4:$SJ$4,"&lt;&gt;Bid Package",'PCO Log'!$E$7:$SJ$7,"Approved")</f>
        <v>0</v>
      </c>
      <c r="BJ213" s="304">
        <f>SUMIFS('PCO Log'!$E37:$SJ37,'PCO Log'!$E$9:$SJ$9,'Graph Data'!BJ$187,'PCO Log'!$E$4:$SJ$4,"&lt;&gt;Bid Package",'PCO Log'!$E$7:$SJ$7,"Approved")</f>
        <v>0</v>
      </c>
      <c r="BK213" s="304">
        <f>SUMIFS('PCO Log'!$E37:$SJ37,'PCO Log'!$E$9:$SJ$9,'Graph Data'!BK$187,'PCO Log'!$E$4:$SJ$4,"&lt;&gt;Bid Package",'PCO Log'!$E$7:$SJ$7,"Approved")</f>
        <v>0</v>
      </c>
      <c r="BL213" s="304">
        <f>SUMIFS('PCO Log'!$E37:$SJ37,'PCO Log'!$E$9:$SJ$9,'Graph Data'!BL$187,'PCO Log'!$E$4:$SJ$4,"&lt;&gt;Bid Package",'PCO Log'!$E$7:$SJ$7,"Approved")</f>
        <v>0</v>
      </c>
      <c r="BM213" s="304">
        <f>SUMIFS('PCO Log'!$E37:$SJ37,'PCO Log'!$E$9:$SJ$9,'Graph Data'!BM$187,'PCO Log'!$E$4:$SJ$4,"&lt;&gt;Bid Package",'PCO Log'!$E$7:$SJ$7,"Approved")</f>
        <v>0</v>
      </c>
      <c r="BN213" s="304">
        <f>SUMIFS('PCO Log'!$E37:$SJ37,'PCO Log'!$E$9:$SJ$9,'Graph Data'!BN$187,'PCO Log'!$E$4:$SJ$4,"&lt;&gt;Bid Package",'PCO Log'!$E$7:$SJ$7,"Approved")</f>
        <v>0</v>
      </c>
      <c r="BO213" s="304">
        <f>SUMIFS('PCO Log'!$E37:$SJ37,'PCO Log'!$E$9:$SJ$9,'Graph Data'!BO$187,'PCO Log'!$E$4:$SJ$4,"&lt;&gt;Bid Package",'PCO Log'!$E$7:$SJ$7,"Approved")</f>
        <v>0</v>
      </c>
      <c r="BP213" s="304">
        <f>SUMIFS('PCO Log'!$E37:$SJ37,'PCO Log'!$E$9:$SJ$9,'Graph Data'!BP$187,'PCO Log'!$E$4:$SJ$4,"&lt;&gt;Bid Package",'PCO Log'!$E$7:$SJ$7,"Approved")</f>
        <v>0</v>
      </c>
      <c r="BQ213" s="304">
        <f>SUMIFS('PCO Log'!$E37:$SJ37,'PCO Log'!$E$9:$SJ$9,'Graph Data'!BQ$187,'PCO Log'!$E$4:$SJ$4,"&lt;&gt;Bid Package",'PCO Log'!$E$7:$SJ$7,"Approved")</f>
        <v>0</v>
      </c>
      <c r="BR213" s="304">
        <f>SUMIFS('PCO Log'!$E37:$SJ37,'PCO Log'!$E$9:$SJ$9,'Graph Data'!BR$187,'PCO Log'!$E$4:$SJ$4,"&lt;&gt;Bid Package",'PCO Log'!$E$7:$SJ$7,"Approved")</f>
        <v>0</v>
      </c>
      <c r="BS213" s="304">
        <f>SUMIFS('PCO Log'!$E37:$SJ37,'PCO Log'!$E$9:$SJ$9,'Graph Data'!BS$187,'PCO Log'!$E$4:$SJ$4,"&lt;&gt;Bid Package",'PCO Log'!$E$7:$SJ$7,"Approved")</f>
        <v>0</v>
      </c>
      <c r="BT213" s="304">
        <f>SUMIFS('PCO Log'!$E37:$SJ37,'PCO Log'!$E$9:$SJ$9,'Graph Data'!BT$187,'PCO Log'!$E$4:$SJ$4,"&lt;&gt;Bid Package",'PCO Log'!$E$7:$SJ$7,"Approved")</f>
        <v>0</v>
      </c>
      <c r="BU213" s="304">
        <f>SUMIFS('PCO Log'!$E37:$SJ37,'PCO Log'!$E$9:$SJ$9,'Graph Data'!BU$187,'PCO Log'!$E$4:$SJ$4,"&lt;&gt;Bid Package",'PCO Log'!$E$7:$SJ$7,"Approved")</f>
        <v>0</v>
      </c>
      <c r="BV213" s="304">
        <f>SUMIFS('PCO Log'!$E37:$SJ37,'PCO Log'!$E$9:$SJ$9,'Graph Data'!BV$187,'PCO Log'!$E$4:$SJ$4,"&lt;&gt;Bid Package",'PCO Log'!$E$7:$SJ$7,"Approved")</f>
        <v>0</v>
      </c>
      <c r="BW213" s="304">
        <f>SUMIFS('PCO Log'!$E37:$SJ37,'PCO Log'!$E$9:$SJ$9,'Graph Data'!BW$187,'PCO Log'!$E$4:$SJ$4,"&lt;&gt;Bid Package",'PCO Log'!$E$7:$SJ$7,"Approved")</f>
        <v>0</v>
      </c>
      <c r="BX213" s="304">
        <f>SUMIFS('PCO Log'!$E37:$SJ37,'PCO Log'!$E$9:$SJ$9,'Graph Data'!BX$187,'PCO Log'!$E$4:$SJ$4,"&lt;&gt;Bid Package",'PCO Log'!$E$7:$SJ$7,"Approved")</f>
        <v>0</v>
      </c>
    </row>
    <row r="214" spans="1:76" x14ac:dyDescent="0.25">
      <c r="A214" s="303" t="s">
        <v>564</v>
      </c>
      <c r="B214" s="303">
        <f>'PCO Log'!HI7</f>
        <v>0</v>
      </c>
      <c r="C214" s="303">
        <f>'PCO Log'!HI4</f>
        <v>0</v>
      </c>
      <c r="D214" s="303" cm="1">
        <f t="array" ref="D214">INDEX('PCO Log'!$E$5:$SJ$5, 1, ROWS('Graph Data'!$D$2:D214))</f>
        <v>0</v>
      </c>
      <c r="E214" s="303">
        <f>'PCO Log'!HI8</f>
        <v>0</v>
      </c>
      <c r="F214" s="303">
        <f>'PCO Log'!HI3</f>
        <v>0</v>
      </c>
      <c r="G214" s="304">
        <f>'PCO Log'!HI10</f>
        <v>0</v>
      </c>
      <c r="H214" s="305">
        <f>'PCO Log'!HI6</f>
        <v>0</v>
      </c>
      <c r="K214" s="307"/>
      <c r="P214" s="303" t="str">
        <f t="shared" si="2"/>
        <v>Arch. Woodwork &amp; Finish Carp.</v>
      </c>
      <c r="Q214" s="304">
        <f>SUMIFS('PCO Log'!$E38:$SJ38,'PCO Log'!$E$9:$SJ$9,'Graph Data'!Q$187,'PCO Log'!$E$4:$SJ$4,"&lt;&gt;Bid Package",'PCO Log'!$E$7:$SJ$7,"Approved")</f>
        <v>0</v>
      </c>
      <c r="R214" s="304">
        <f>SUMIFS('PCO Log'!$E38:$SJ38,'PCO Log'!$E$9:$SJ$9,'Graph Data'!R$187,'PCO Log'!$E$4:$SJ$4,"&lt;&gt;Bid Package",'PCO Log'!$E$7:$SJ$7,"Approved")</f>
        <v>0</v>
      </c>
      <c r="S214" s="304">
        <f>SUMIFS('PCO Log'!$E38:$SJ38,'PCO Log'!$E$9:$SJ$9,'Graph Data'!S$187,'PCO Log'!$E$4:$SJ$4,"&lt;&gt;Bid Package",'PCO Log'!$E$7:$SJ$7,"Approved")</f>
        <v>0</v>
      </c>
      <c r="T214" s="304">
        <f>SUMIFS('PCO Log'!$E38:$SJ38,'PCO Log'!$E$9:$SJ$9,'Graph Data'!T$187,'PCO Log'!$E$4:$SJ$4,"&lt;&gt;Bid Package",'PCO Log'!$E$7:$SJ$7,"Approved")</f>
        <v>0</v>
      </c>
      <c r="U214" s="304">
        <f>SUMIFS('PCO Log'!$E38:$SJ38,'PCO Log'!$E$9:$SJ$9,'Graph Data'!U$187,'PCO Log'!$E$4:$SJ$4,"&lt;&gt;Bid Package",'PCO Log'!$E$7:$SJ$7,"Approved")</f>
        <v>0</v>
      </c>
      <c r="V214" s="304">
        <f>SUMIFS('PCO Log'!$E38:$SJ38,'PCO Log'!$E$9:$SJ$9,'Graph Data'!V$187,'PCO Log'!$E$4:$SJ$4,"&lt;&gt;Bid Package",'PCO Log'!$E$7:$SJ$7,"Approved")</f>
        <v>0</v>
      </c>
      <c r="W214" s="304">
        <f>SUMIFS('PCO Log'!$E38:$SJ38,'PCO Log'!$E$9:$SJ$9,'Graph Data'!W$187,'PCO Log'!$E$4:$SJ$4,"&lt;&gt;Bid Package",'PCO Log'!$E$7:$SJ$7,"Approved")</f>
        <v>0</v>
      </c>
      <c r="X214" s="304">
        <f>SUMIFS('PCO Log'!$E38:$SJ38,'PCO Log'!$E$9:$SJ$9,'Graph Data'!X$187,'PCO Log'!$E$4:$SJ$4,"&lt;&gt;Bid Package",'PCO Log'!$E$7:$SJ$7,"Approved")</f>
        <v>0</v>
      </c>
      <c r="Y214" s="304">
        <f>SUMIFS('PCO Log'!$E38:$SJ38,'PCO Log'!$E$9:$SJ$9,'Graph Data'!Y$187,'PCO Log'!$E$4:$SJ$4,"&lt;&gt;Bid Package",'PCO Log'!$E$7:$SJ$7,"Approved")</f>
        <v>0</v>
      </c>
      <c r="Z214" s="304">
        <f>SUMIFS('PCO Log'!$E38:$SJ38,'PCO Log'!$E$9:$SJ$9,'Graph Data'!Z$187,'PCO Log'!$E$4:$SJ$4,"&lt;&gt;Bid Package",'PCO Log'!$E$7:$SJ$7,"Approved")</f>
        <v>0</v>
      </c>
      <c r="AA214" s="304">
        <f>SUMIFS('PCO Log'!$E38:$SJ38,'PCO Log'!$E$9:$SJ$9,'Graph Data'!AA$187,'PCO Log'!$E$4:$SJ$4,"&lt;&gt;Bid Package",'PCO Log'!$E$7:$SJ$7,"Approved")</f>
        <v>0</v>
      </c>
      <c r="AB214" s="304">
        <f>SUMIFS('PCO Log'!$E38:$SJ38,'PCO Log'!$E$9:$SJ$9,'Graph Data'!AB$187,'PCO Log'!$E$4:$SJ$4,"&lt;&gt;Bid Package",'PCO Log'!$E$7:$SJ$7,"Approved")</f>
        <v>0</v>
      </c>
      <c r="AC214" s="304">
        <f>SUMIFS('PCO Log'!$E38:$SJ38,'PCO Log'!$E$9:$SJ$9,'Graph Data'!AC$187,'PCO Log'!$E$4:$SJ$4,"&lt;&gt;Bid Package",'PCO Log'!$E$7:$SJ$7,"Approved")</f>
        <v>0</v>
      </c>
      <c r="AD214" s="304">
        <f>SUMIFS('PCO Log'!$E38:$SJ38,'PCO Log'!$E$9:$SJ$9,'Graph Data'!AD$187,'PCO Log'!$E$4:$SJ$4,"&lt;&gt;Bid Package",'PCO Log'!$E$7:$SJ$7,"Approved")</f>
        <v>0</v>
      </c>
      <c r="AE214" s="304">
        <f>SUMIFS('PCO Log'!$E38:$SJ38,'PCO Log'!$E$9:$SJ$9,'Graph Data'!AE$187,'PCO Log'!$E$4:$SJ$4,"&lt;&gt;Bid Package",'PCO Log'!$E$7:$SJ$7,"Approved")</f>
        <v>0</v>
      </c>
      <c r="AF214" s="304">
        <f>SUMIFS('PCO Log'!$E38:$SJ38,'PCO Log'!$E$9:$SJ$9,'Graph Data'!AF$187,'PCO Log'!$E$4:$SJ$4,"&lt;&gt;Bid Package",'PCO Log'!$E$7:$SJ$7,"Approved")</f>
        <v>0</v>
      </c>
      <c r="AG214" s="304">
        <f>SUMIFS('PCO Log'!$E38:$SJ38,'PCO Log'!$E$9:$SJ$9,'Graph Data'!AG$187,'PCO Log'!$E$4:$SJ$4,"&lt;&gt;Bid Package",'PCO Log'!$E$7:$SJ$7,"Approved")</f>
        <v>0</v>
      </c>
      <c r="AH214" s="304">
        <f>SUMIFS('PCO Log'!$E38:$SJ38,'PCO Log'!$E$9:$SJ$9,'Graph Data'!AH$187,'PCO Log'!$E$4:$SJ$4,"&lt;&gt;Bid Package",'PCO Log'!$E$7:$SJ$7,"Approved")</f>
        <v>0</v>
      </c>
      <c r="AI214" s="304">
        <f>SUMIFS('PCO Log'!$E38:$SJ38,'PCO Log'!$E$9:$SJ$9,'Graph Data'!AI$187,'PCO Log'!$E$4:$SJ$4,"&lt;&gt;Bid Package",'PCO Log'!$E$7:$SJ$7,"Approved")</f>
        <v>0</v>
      </c>
      <c r="AJ214" s="304">
        <f>SUMIFS('PCO Log'!$E38:$SJ38,'PCO Log'!$E$9:$SJ$9,'Graph Data'!AJ$187,'PCO Log'!$E$4:$SJ$4,"&lt;&gt;Bid Package",'PCO Log'!$E$7:$SJ$7,"Approved")</f>
        <v>0</v>
      </c>
      <c r="AK214" s="304">
        <f>SUMIFS('PCO Log'!$E38:$SJ38,'PCO Log'!$E$9:$SJ$9,'Graph Data'!AK$187,'PCO Log'!$E$4:$SJ$4,"&lt;&gt;Bid Package",'PCO Log'!$E$7:$SJ$7,"Approved")</f>
        <v>0</v>
      </c>
      <c r="AL214" s="304">
        <f>SUMIFS('PCO Log'!$E38:$SJ38,'PCO Log'!$E$9:$SJ$9,'Graph Data'!AL$187,'PCO Log'!$E$4:$SJ$4,"&lt;&gt;Bid Package",'PCO Log'!$E$7:$SJ$7,"Approved")</f>
        <v>0</v>
      </c>
      <c r="AM214" s="304">
        <f>SUMIFS('PCO Log'!$E38:$SJ38,'PCO Log'!$E$9:$SJ$9,'Graph Data'!AM$187,'PCO Log'!$E$4:$SJ$4,"&lt;&gt;Bid Package",'PCO Log'!$E$7:$SJ$7,"Approved")</f>
        <v>0</v>
      </c>
      <c r="AN214" s="304">
        <f>SUMIFS('PCO Log'!$E38:$SJ38,'PCO Log'!$E$9:$SJ$9,'Graph Data'!AN$187,'PCO Log'!$E$4:$SJ$4,"&lt;&gt;Bid Package",'PCO Log'!$E$7:$SJ$7,"Approved")</f>
        <v>0</v>
      </c>
      <c r="AO214" s="304">
        <f>SUMIFS('PCO Log'!$E38:$SJ38,'PCO Log'!$E$9:$SJ$9,'Graph Data'!AO$187,'PCO Log'!$E$4:$SJ$4,"&lt;&gt;Bid Package",'PCO Log'!$E$7:$SJ$7,"Approved")</f>
        <v>0</v>
      </c>
      <c r="AP214" s="304">
        <f>SUMIFS('PCO Log'!$E38:$SJ38,'PCO Log'!$E$9:$SJ$9,'Graph Data'!AP$187,'PCO Log'!$E$4:$SJ$4,"&lt;&gt;Bid Package",'PCO Log'!$E$7:$SJ$7,"Approved")</f>
        <v>0</v>
      </c>
      <c r="AQ214" s="304">
        <f>SUMIFS('PCO Log'!$E38:$SJ38,'PCO Log'!$E$9:$SJ$9,'Graph Data'!AQ$187,'PCO Log'!$E$4:$SJ$4,"&lt;&gt;Bid Package",'PCO Log'!$E$7:$SJ$7,"Approved")</f>
        <v>0</v>
      </c>
      <c r="AR214" s="304">
        <f>SUMIFS('PCO Log'!$E38:$SJ38,'PCO Log'!$E$9:$SJ$9,'Graph Data'!AR$187,'PCO Log'!$E$4:$SJ$4,"&lt;&gt;Bid Package",'PCO Log'!$E$7:$SJ$7,"Approved")</f>
        <v>0</v>
      </c>
      <c r="AS214" s="304">
        <f>SUMIFS('PCO Log'!$E38:$SJ38,'PCO Log'!$E$9:$SJ$9,'Graph Data'!AS$187,'PCO Log'!$E$4:$SJ$4,"&lt;&gt;Bid Package",'PCO Log'!$E$7:$SJ$7,"Approved")</f>
        <v>0</v>
      </c>
      <c r="AT214" s="304">
        <f>SUMIFS('PCO Log'!$E38:$SJ38,'PCO Log'!$E$9:$SJ$9,'Graph Data'!AT$187,'PCO Log'!$E$4:$SJ$4,"&lt;&gt;Bid Package",'PCO Log'!$E$7:$SJ$7,"Approved")</f>
        <v>0</v>
      </c>
      <c r="AU214" s="304">
        <f>SUMIFS('PCO Log'!$E38:$SJ38,'PCO Log'!$E$9:$SJ$9,'Graph Data'!AU$187,'PCO Log'!$E$4:$SJ$4,"&lt;&gt;Bid Package",'PCO Log'!$E$7:$SJ$7,"Approved")</f>
        <v>0</v>
      </c>
      <c r="AV214" s="304">
        <f>SUMIFS('PCO Log'!$E38:$SJ38,'PCO Log'!$E$9:$SJ$9,'Graph Data'!AV$187,'PCO Log'!$E$4:$SJ$4,"&lt;&gt;Bid Package",'PCO Log'!$E$7:$SJ$7,"Approved")</f>
        <v>0</v>
      </c>
      <c r="AW214" s="304">
        <f>SUMIFS('PCO Log'!$E38:$SJ38,'PCO Log'!$E$9:$SJ$9,'Graph Data'!AW$187,'PCO Log'!$E$4:$SJ$4,"&lt;&gt;Bid Package",'PCO Log'!$E$7:$SJ$7,"Approved")</f>
        <v>0</v>
      </c>
      <c r="AX214" s="304">
        <f>SUMIFS('PCO Log'!$E38:$SJ38,'PCO Log'!$E$9:$SJ$9,'Graph Data'!AX$187,'PCO Log'!$E$4:$SJ$4,"&lt;&gt;Bid Package",'PCO Log'!$E$7:$SJ$7,"Approved")</f>
        <v>0</v>
      </c>
      <c r="AY214" s="304">
        <f>SUMIFS('PCO Log'!$E38:$SJ38,'PCO Log'!$E$9:$SJ$9,'Graph Data'!AY$187,'PCO Log'!$E$4:$SJ$4,"&lt;&gt;Bid Package",'PCO Log'!$E$7:$SJ$7,"Approved")</f>
        <v>0</v>
      </c>
      <c r="AZ214" s="304">
        <f>SUMIFS('PCO Log'!$E38:$SJ38,'PCO Log'!$E$9:$SJ$9,'Graph Data'!AZ$187,'PCO Log'!$E$4:$SJ$4,"&lt;&gt;Bid Package",'PCO Log'!$E$7:$SJ$7,"Approved")</f>
        <v>0</v>
      </c>
      <c r="BA214" s="304">
        <f>SUMIFS('PCO Log'!$E38:$SJ38,'PCO Log'!$E$9:$SJ$9,'Graph Data'!BA$187,'PCO Log'!$E$4:$SJ$4,"&lt;&gt;Bid Package",'PCO Log'!$E$7:$SJ$7,"Approved")</f>
        <v>0</v>
      </c>
      <c r="BB214" s="304">
        <f>SUMIFS('PCO Log'!$E38:$SJ38,'PCO Log'!$E$9:$SJ$9,'Graph Data'!BB$187,'PCO Log'!$E$4:$SJ$4,"&lt;&gt;Bid Package",'PCO Log'!$E$7:$SJ$7,"Approved")</f>
        <v>0</v>
      </c>
      <c r="BC214" s="304">
        <f>SUMIFS('PCO Log'!$E38:$SJ38,'PCO Log'!$E$9:$SJ$9,'Graph Data'!BC$187,'PCO Log'!$E$4:$SJ$4,"&lt;&gt;Bid Package",'PCO Log'!$E$7:$SJ$7,"Approved")</f>
        <v>0</v>
      </c>
      <c r="BD214" s="304">
        <f>SUMIFS('PCO Log'!$E38:$SJ38,'PCO Log'!$E$9:$SJ$9,'Graph Data'!BD$187,'PCO Log'!$E$4:$SJ$4,"&lt;&gt;Bid Package",'PCO Log'!$E$7:$SJ$7,"Approved")</f>
        <v>0</v>
      </c>
      <c r="BE214" s="304">
        <f>SUMIFS('PCO Log'!$E38:$SJ38,'PCO Log'!$E$9:$SJ$9,'Graph Data'!BE$187,'PCO Log'!$E$4:$SJ$4,"&lt;&gt;Bid Package",'PCO Log'!$E$7:$SJ$7,"Approved")</f>
        <v>0</v>
      </c>
      <c r="BF214" s="304">
        <f>SUMIFS('PCO Log'!$E38:$SJ38,'PCO Log'!$E$9:$SJ$9,'Graph Data'!BF$187,'PCO Log'!$E$4:$SJ$4,"&lt;&gt;Bid Package",'PCO Log'!$E$7:$SJ$7,"Approved")</f>
        <v>0</v>
      </c>
      <c r="BG214" s="304">
        <f>SUMIFS('PCO Log'!$E38:$SJ38,'PCO Log'!$E$9:$SJ$9,'Graph Data'!BG$187,'PCO Log'!$E$4:$SJ$4,"&lt;&gt;Bid Package",'PCO Log'!$E$7:$SJ$7,"Approved")</f>
        <v>0</v>
      </c>
      <c r="BH214" s="304">
        <f>SUMIFS('PCO Log'!$E38:$SJ38,'PCO Log'!$E$9:$SJ$9,'Graph Data'!BH$187,'PCO Log'!$E$4:$SJ$4,"&lt;&gt;Bid Package",'PCO Log'!$E$7:$SJ$7,"Approved")</f>
        <v>0</v>
      </c>
      <c r="BI214" s="304">
        <f>SUMIFS('PCO Log'!$E38:$SJ38,'PCO Log'!$E$9:$SJ$9,'Graph Data'!BI$187,'PCO Log'!$E$4:$SJ$4,"&lt;&gt;Bid Package",'PCO Log'!$E$7:$SJ$7,"Approved")</f>
        <v>0</v>
      </c>
      <c r="BJ214" s="304">
        <f>SUMIFS('PCO Log'!$E38:$SJ38,'PCO Log'!$E$9:$SJ$9,'Graph Data'!BJ$187,'PCO Log'!$E$4:$SJ$4,"&lt;&gt;Bid Package",'PCO Log'!$E$7:$SJ$7,"Approved")</f>
        <v>0</v>
      </c>
      <c r="BK214" s="304">
        <f>SUMIFS('PCO Log'!$E38:$SJ38,'PCO Log'!$E$9:$SJ$9,'Graph Data'!BK$187,'PCO Log'!$E$4:$SJ$4,"&lt;&gt;Bid Package",'PCO Log'!$E$7:$SJ$7,"Approved")</f>
        <v>0</v>
      </c>
      <c r="BL214" s="304">
        <f>SUMIFS('PCO Log'!$E38:$SJ38,'PCO Log'!$E$9:$SJ$9,'Graph Data'!BL$187,'PCO Log'!$E$4:$SJ$4,"&lt;&gt;Bid Package",'PCO Log'!$E$7:$SJ$7,"Approved")</f>
        <v>0</v>
      </c>
      <c r="BM214" s="304">
        <f>SUMIFS('PCO Log'!$E38:$SJ38,'PCO Log'!$E$9:$SJ$9,'Graph Data'!BM$187,'PCO Log'!$E$4:$SJ$4,"&lt;&gt;Bid Package",'PCO Log'!$E$7:$SJ$7,"Approved")</f>
        <v>0</v>
      </c>
      <c r="BN214" s="304">
        <f>SUMIFS('PCO Log'!$E38:$SJ38,'PCO Log'!$E$9:$SJ$9,'Graph Data'!BN$187,'PCO Log'!$E$4:$SJ$4,"&lt;&gt;Bid Package",'PCO Log'!$E$7:$SJ$7,"Approved")</f>
        <v>0</v>
      </c>
      <c r="BO214" s="304">
        <f>SUMIFS('PCO Log'!$E38:$SJ38,'PCO Log'!$E$9:$SJ$9,'Graph Data'!BO$187,'PCO Log'!$E$4:$SJ$4,"&lt;&gt;Bid Package",'PCO Log'!$E$7:$SJ$7,"Approved")</f>
        <v>0</v>
      </c>
      <c r="BP214" s="304">
        <f>SUMIFS('PCO Log'!$E38:$SJ38,'PCO Log'!$E$9:$SJ$9,'Graph Data'!BP$187,'PCO Log'!$E$4:$SJ$4,"&lt;&gt;Bid Package",'PCO Log'!$E$7:$SJ$7,"Approved")</f>
        <v>0</v>
      </c>
      <c r="BQ214" s="304">
        <f>SUMIFS('PCO Log'!$E38:$SJ38,'PCO Log'!$E$9:$SJ$9,'Graph Data'!BQ$187,'PCO Log'!$E$4:$SJ$4,"&lt;&gt;Bid Package",'PCO Log'!$E$7:$SJ$7,"Approved")</f>
        <v>0</v>
      </c>
      <c r="BR214" s="304">
        <f>SUMIFS('PCO Log'!$E38:$SJ38,'PCO Log'!$E$9:$SJ$9,'Graph Data'!BR$187,'PCO Log'!$E$4:$SJ$4,"&lt;&gt;Bid Package",'PCO Log'!$E$7:$SJ$7,"Approved")</f>
        <v>0</v>
      </c>
      <c r="BS214" s="304">
        <f>SUMIFS('PCO Log'!$E38:$SJ38,'PCO Log'!$E$9:$SJ$9,'Graph Data'!BS$187,'PCO Log'!$E$4:$SJ$4,"&lt;&gt;Bid Package",'PCO Log'!$E$7:$SJ$7,"Approved")</f>
        <v>0</v>
      </c>
      <c r="BT214" s="304">
        <f>SUMIFS('PCO Log'!$E38:$SJ38,'PCO Log'!$E$9:$SJ$9,'Graph Data'!BT$187,'PCO Log'!$E$4:$SJ$4,"&lt;&gt;Bid Package",'PCO Log'!$E$7:$SJ$7,"Approved")</f>
        <v>0</v>
      </c>
      <c r="BU214" s="304">
        <f>SUMIFS('PCO Log'!$E38:$SJ38,'PCO Log'!$E$9:$SJ$9,'Graph Data'!BU$187,'PCO Log'!$E$4:$SJ$4,"&lt;&gt;Bid Package",'PCO Log'!$E$7:$SJ$7,"Approved")</f>
        <v>0</v>
      </c>
      <c r="BV214" s="304">
        <f>SUMIFS('PCO Log'!$E38:$SJ38,'PCO Log'!$E$9:$SJ$9,'Graph Data'!BV$187,'PCO Log'!$E$4:$SJ$4,"&lt;&gt;Bid Package",'PCO Log'!$E$7:$SJ$7,"Approved")</f>
        <v>0</v>
      </c>
      <c r="BW214" s="304">
        <f>SUMIFS('PCO Log'!$E38:$SJ38,'PCO Log'!$E$9:$SJ$9,'Graph Data'!BW$187,'PCO Log'!$E$4:$SJ$4,"&lt;&gt;Bid Package",'PCO Log'!$E$7:$SJ$7,"Approved")</f>
        <v>0</v>
      </c>
      <c r="BX214" s="304">
        <f>SUMIFS('PCO Log'!$E38:$SJ38,'PCO Log'!$E$9:$SJ$9,'Graph Data'!BX$187,'PCO Log'!$E$4:$SJ$4,"&lt;&gt;Bid Package",'PCO Log'!$E$7:$SJ$7,"Approved")</f>
        <v>0</v>
      </c>
    </row>
    <row r="215" spans="1:76" x14ac:dyDescent="0.25">
      <c r="A215" s="303" t="s">
        <v>565</v>
      </c>
      <c r="B215" s="303">
        <f>'PCO Log'!HJ7</f>
        <v>0</v>
      </c>
      <c r="C215" s="303">
        <f>'PCO Log'!HJ4</f>
        <v>0</v>
      </c>
      <c r="D215" s="303" cm="1">
        <f t="array" ref="D215">INDEX('PCO Log'!$E$5:$SJ$5, 1, ROWS('Graph Data'!$D$2:D215))</f>
        <v>0</v>
      </c>
      <c r="E215" s="303">
        <f>'PCO Log'!HJ8</f>
        <v>0</v>
      </c>
      <c r="F215" s="303">
        <f>'PCO Log'!HJ3</f>
        <v>0</v>
      </c>
      <c r="G215" s="304">
        <f>'PCO Log'!HJ10</f>
        <v>0</v>
      </c>
      <c r="H215" s="305">
        <f>'PCO Log'!HJ6</f>
        <v>0</v>
      </c>
      <c r="K215" s="307"/>
      <c r="P215" s="303" t="str">
        <f t="shared" si="2"/>
        <v>Waterproofing/Water Repellents</v>
      </c>
      <c r="Q215" s="304">
        <f>SUMIFS('PCO Log'!$E39:$SJ39,'PCO Log'!$E$9:$SJ$9,'Graph Data'!Q$187,'PCO Log'!$E$4:$SJ$4,"&lt;&gt;Bid Package",'PCO Log'!$E$7:$SJ$7,"Approved")</f>
        <v>0</v>
      </c>
      <c r="R215" s="304">
        <f>SUMIFS('PCO Log'!$E39:$SJ39,'PCO Log'!$E$9:$SJ$9,'Graph Data'!R$187,'PCO Log'!$E$4:$SJ$4,"&lt;&gt;Bid Package",'PCO Log'!$E$7:$SJ$7,"Approved")</f>
        <v>0</v>
      </c>
      <c r="S215" s="304">
        <f>SUMIFS('PCO Log'!$E39:$SJ39,'PCO Log'!$E$9:$SJ$9,'Graph Data'!S$187,'PCO Log'!$E$4:$SJ$4,"&lt;&gt;Bid Package",'PCO Log'!$E$7:$SJ$7,"Approved")</f>
        <v>0</v>
      </c>
      <c r="T215" s="304">
        <f>SUMIFS('PCO Log'!$E39:$SJ39,'PCO Log'!$E$9:$SJ$9,'Graph Data'!T$187,'PCO Log'!$E$4:$SJ$4,"&lt;&gt;Bid Package",'PCO Log'!$E$7:$SJ$7,"Approved")</f>
        <v>0</v>
      </c>
      <c r="U215" s="304">
        <f>SUMIFS('PCO Log'!$E39:$SJ39,'PCO Log'!$E$9:$SJ$9,'Graph Data'!U$187,'PCO Log'!$E$4:$SJ$4,"&lt;&gt;Bid Package",'PCO Log'!$E$7:$SJ$7,"Approved")</f>
        <v>0</v>
      </c>
      <c r="V215" s="304">
        <f>SUMIFS('PCO Log'!$E39:$SJ39,'PCO Log'!$E$9:$SJ$9,'Graph Data'!V$187,'PCO Log'!$E$4:$SJ$4,"&lt;&gt;Bid Package",'PCO Log'!$E$7:$SJ$7,"Approved")</f>
        <v>0</v>
      </c>
      <c r="W215" s="304">
        <f>SUMIFS('PCO Log'!$E39:$SJ39,'PCO Log'!$E$9:$SJ$9,'Graph Data'!W$187,'PCO Log'!$E$4:$SJ$4,"&lt;&gt;Bid Package",'PCO Log'!$E$7:$SJ$7,"Approved")</f>
        <v>0</v>
      </c>
      <c r="X215" s="304">
        <f>SUMIFS('PCO Log'!$E39:$SJ39,'PCO Log'!$E$9:$SJ$9,'Graph Data'!X$187,'PCO Log'!$E$4:$SJ$4,"&lt;&gt;Bid Package",'PCO Log'!$E$7:$SJ$7,"Approved")</f>
        <v>0</v>
      </c>
      <c r="Y215" s="304">
        <f>SUMIFS('PCO Log'!$E39:$SJ39,'PCO Log'!$E$9:$SJ$9,'Graph Data'!Y$187,'PCO Log'!$E$4:$SJ$4,"&lt;&gt;Bid Package",'PCO Log'!$E$7:$SJ$7,"Approved")</f>
        <v>0</v>
      </c>
      <c r="Z215" s="304">
        <f>SUMIFS('PCO Log'!$E39:$SJ39,'PCO Log'!$E$9:$SJ$9,'Graph Data'!Z$187,'PCO Log'!$E$4:$SJ$4,"&lt;&gt;Bid Package",'PCO Log'!$E$7:$SJ$7,"Approved")</f>
        <v>0</v>
      </c>
      <c r="AA215" s="304">
        <f>SUMIFS('PCO Log'!$E39:$SJ39,'PCO Log'!$E$9:$SJ$9,'Graph Data'!AA$187,'PCO Log'!$E$4:$SJ$4,"&lt;&gt;Bid Package",'PCO Log'!$E$7:$SJ$7,"Approved")</f>
        <v>0</v>
      </c>
      <c r="AB215" s="304">
        <f>SUMIFS('PCO Log'!$E39:$SJ39,'PCO Log'!$E$9:$SJ$9,'Graph Data'!AB$187,'PCO Log'!$E$4:$SJ$4,"&lt;&gt;Bid Package",'PCO Log'!$E$7:$SJ$7,"Approved")</f>
        <v>0</v>
      </c>
      <c r="AC215" s="304">
        <f>SUMIFS('PCO Log'!$E39:$SJ39,'PCO Log'!$E$9:$SJ$9,'Graph Data'!AC$187,'PCO Log'!$E$4:$SJ$4,"&lt;&gt;Bid Package",'PCO Log'!$E$7:$SJ$7,"Approved")</f>
        <v>0</v>
      </c>
      <c r="AD215" s="304">
        <f>SUMIFS('PCO Log'!$E39:$SJ39,'PCO Log'!$E$9:$SJ$9,'Graph Data'!AD$187,'PCO Log'!$E$4:$SJ$4,"&lt;&gt;Bid Package",'PCO Log'!$E$7:$SJ$7,"Approved")</f>
        <v>0</v>
      </c>
      <c r="AE215" s="304">
        <f>SUMIFS('PCO Log'!$E39:$SJ39,'PCO Log'!$E$9:$SJ$9,'Graph Data'!AE$187,'PCO Log'!$E$4:$SJ$4,"&lt;&gt;Bid Package",'PCO Log'!$E$7:$SJ$7,"Approved")</f>
        <v>0</v>
      </c>
      <c r="AF215" s="304">
        <f>SUMIFS('PCO Log'!$E39:$SJ39,'PCO Log'!$E$9:$SJ$9,'Graph Data'!AF$187,'PCO Log'!$E$4:$SJ$4,"&lt;&gt;Bid Package",'PCO Log'!$E$7:$SJ$7,"Approved")</f>
        <v>0</v>
      </c>
      <c r="AG215" s="304">
        <f>SUMIFS('PCO Log'!$E39:$SJ39,'PCO Log'!$E$9:$SJ$9,'Graph Data'!AG$187,'PCO Log'!$E$4:$SJ$4,"&lt;&gt;Bid Package",'PCO Log'!$E$7:$SJ$7,"Approved")</f>
        <v>0</v>
      </c>
      <c r="AH215" s="304">
        <f>SUMIFS('PCO Log'!$E39:$SJ39,'PCO Log'!$E$9:$SJ$9,'Graph Data'!AH$187,'PCO Log'!$E$4:$SJ$4,"&lt;&gt;Bid Package",'PCO Log'!$E$7:$SJ$7,"Approved")</f>
        <v>0</v>
      </c>
      <c r="AI215" s="304">
        <f>SUMIFS('PCO Log'!$E39:$SJ39,'PCO Log'!$E$9:$SJ$9,'Graph Data'!AI$187,'PCO Log'!$E$4:$SJ$4,"&lt;&gt;Bid Package",'PCO Log'!$E$7:$SJ$7,"Approved")</f>
        <v>0</v>
      </c>
      <c r="AJ215" s="304">
        <f>SUMIFS('PCO Log'!$E39:$SJ39,'PCO Log'!$E$9:$SJ$9,'Graph Data'!AJ$187,'PCO Log'!$E$4:$SJ$4,"&lt;&gt;Bid Package",'PCO Log'!$E$7:$SJ$7,"Approved")</f>
        <v>0</v>
      </c>
      <c r="AK215" s="304">
        <f>SUMIFS('PCO Log'!$E39:$SJ39,'PCO Log'!$E$9:$SJ$9,'Graph Data'!AK$187,'PCO Log'!$E$4:$SJ$4,"&lt;&gt;Bid Package",'PCO Log'!$E$7:$SJ$7,"Approved")</f>
        <v>0</v>
      </c>
      <c r="AL215" s="304">
        <f>SUMIFS('PCO Log'!$E39:$SJ39,'PCO Log'!$E$9:$SJ$9,'Graph Data'!AL$187,'PCO Log'!$E$4:$SJ$4,"&lt;&gt;Bid Package",'PCO Log'!$E$7:$SJ$7,"Approved")</f>
        <v>0</v>
      </c>
      <c r="AM215" s="304">
        <f>SUMIFS('PCO Log'!$E39:$SJ39,'PCO Log'!$E$9:$SJ$9,'Graph Data'!AM$187,'PCO Log'!$E$4:$SJ$4,"&lt;&gt;Bid Package",'PCO Log'!$E$7:$SJ$7,"Approved")</f>
        <v>0</v>
      </c>
      <c r="AN215" s="304">
        <f>SUMIFS('PCO Log'!$E39:$SJ39,'PCO Log'!$E$9:$SJ$9,'Graph Data'!AN$187,'PCO Log'!$E$4:$SJ$4,"&lt;&gt;Bid Package",'PCO Log'!$E$7:$SJ$7,"Approved")</f>
        <v>0</v>
      </c>
      <c r="AO215" s="304">
        <f>SUMIFS('PCO Log'!$E39:$SJ39,'PCO Log'!$E$9:$SJ$9,'Graph Data'!AO$187,'PCO Log'!$E$4:$SJ$4,"&lt;&gt;Bid Package",'PCO Log'!$E$7:$SJ$7,"Approved")</f>
        <v>0</v>
      </c>
      <c r="AP215" s="304">
        <f>SUMIFS('PCO Log'!$E39:$SJ39,'PCO Log'!$E$9:$SJ$9,'Graph Data'!AP$187,'PCO Log'!$E$4:$SJ$4,"&lt;&gt;Bid Package",'PCO Log'!$E$7:$SJ$7,"Approved")</f>
        <v>0</v>
      </c>
      <c r="AQ215" s="304">
        <f>SUMIFS('PCO Log'!$E39:$SJ39,'PCO Log'!$E$9:$SJ$9,'Graph Data'!AQ$187,'PCO Log'!$E$4:$SJ$4,"&lt;&gt;Bid Package",'PCO Log'!$E$7:$SJ$7,"Approved")</f>
        <v>0</v>
      </c>
      <c r="AR215" s="304">
        <f>SUMIFS('PCO Log'!$E39:$SJ39,'PCO Log'!$E$9:$SJ$9,'Graph Data'!AR$187,'PCO Log'!$E$4:$SJ$4,"&lt;&gt;Bid Package",'PCO Log'!$E$7:$SJ$7,"Approved")</f>
        <v>0</v>
      </c>
      <c r="AS215" s="304">
        <f>SUMIFS('PCO Log'!$E39:$SJ39,'PCO Log'!$E$9:$SJ$9,'Graph Data'!AS$187,'PCO Log'!$E$4:$SJ$4,"&lt;&gt;Bid Package",'PCO Log'!$E$7:$SJ$7,"Approved")</f>
        <v>0</v>
      </c>
      <c r="AT215" s="304">
        <f>SUMIFS('PCO Log'!$E39:$SJ39,'PCO Log'!$E$9:$SJ$9,'Graph Data'!AT$187,'PCO Log'!$E$4:$SJ$4,"&lt;&gt;Bid Package",'PCO Log'!$E$7:$SJ$7,"Approved")</f>
        <v>0</v>
      </c>
      <c r="AU215" s="304">
        <f>SUMIFS('PCO Log'!$E39:$SJ39,'PCO Log'!$E$9:$SJ$9,'Graph Data'!AU$187,'PCO Log'!$E$4:$SJ$4,"&lt;&gt;Bid Package",'PCO Log'!$E$7:$SJ$7,"Approved")</f>
        <v>0</v>
      </c>
      <c r="AV215" s="304">
        <f>SUMIFS('PCO Log'!$E39:$SJ39,'PCO Log'!$E$9:$SJ$9,'Graph Data'!AV$187,'PCO Log'!$E$4:$SJ$4,"&lt;&gt;Bid Package",'PCO Log'!$E$7:$SJ$7,"Approved")</f>
        <v>0</v>
      </c>
      <c r="AW215" s="304">
        <f>SUMIFS('PCO Log'!$E39:$SJ39,'PCO Log'!$E$9:$SJ$9,'Graph Data'!AW$187,'PCO Log'!$E$4:$SJ$4,"&lt;&gt;Bid Package",'PCO Log'!$E$7:$SJ$7,"Approved")</f>
        <v>0</v>
      </c>
      <c r="AX215" s="304">
        <f>SUMIFS('PCO Log'!$E39:$SJ39,'PCO Log'!$E$9:$SJ$9,'Graph Data'!AX$187,'PCO Log'!$E$4:$SJ$4,"&lt;&gt;Bid Package",'PCO Log'!$E$7:$SJ$7,"Approved")</f>
        <v>0</v>
      </c>
      <c r="AY215" s="304">
        <f>SUMIFS('PCO Log'!$E39:$SJ39,'PCO Log'!$E$9:$SJ$9,'Graph Data'!AY$187,'PCO Log'!$E$4:$SJ$4,"&lt;&gt;Bid Package",'PCO Log'!$E$7:$SJ$7,"Approved")</f>
        <v>0</v>
      </c>
      <c r="AZ215" s="304">
        <f>SUMIFS('PCO Log'!$E39:$SJ39,'PCO Log'!$E$9:$SJ$9,'Graph Data'!AZ$187,'PCO Log'!$E$4:$SJ$4,"&lt;&gt;Bid Package",'PCO Log'!$E$7:$SJ$7,"Approved")</f>
        <v>0</v>
      </c>
      <c r="BA215" s="304">
        <f>SUMIFS('PCO Log'!$E39:$SJ39,'PCO Log'!$E$9:$SJ$9,'Graph Data'!BA$187,'PCO Log'!$E$4:$SJ$4,"&lt;&gt;Bid Package",'PCO Log'!$E$7:$SJ$7,"Approved")</f>
        <v>0</v>
      </c>
      <c r="BB215" s="304">
        <f>SUMIFS('PCO Log'!$E39:$SJ39,'PCO Log'!$E$9:$SJ$9,'Graph Data'!BB$187,'PCO Log'!$E$4:$SJ$4,"&lt;&gt;Bid Package",'PCO Log'!$E$7:$SJ$7,"Approved")</f>
        <v>0</v>
      </c>
      <c r="BC215" s="304">
        <f>SUMIFS('PCO Log'!$E39:$SJ39,'PCO Log'!$E$9:$SJ$9,'Graph Data'!BC$187,'PCO Log'!$E$4:$SJ$4,"&lt;&gt;Bid Package",'PCO Log'!$E$7:$SJ$7,"Approved")</f>
        <v>0</v>
      </c>
      <c r="BD215" s="304">
        <f>SUMIFS('PCO Log'!$E39:$SJ39,'PCO Log'!$E$9:$SJ$9,'Graph Data'!BD$187,'PCO Log'!$E$4:$SJ$4,"&lt;&gt;Bid Package",'PCO Log'!$E$7:$SJ$7,"Approved")</f>
        <v>0</v>
      </c>
      <c r="BE215" s="304">
        <f>SUMIFS('PCO Log'!$E39:$SJ39,'PCO Log'!$E$9:$SJ$9,'Graph Data'!BE$187,'PCO Log'!$E$4:$SJ$4,"&lt;&gt;Bid Package",'PCO Log'!$E$7:$SJ$7,"Approved")</f>
        <v>0</v>
      </c>
      <c r="BF215" s="304">
        <f>SUMIFS('PCO Log'!$E39:$SJ39,'PCO Log'!$E$9:$SJ$9,'Graph Data'!BF$187,'PCO Log'!$E$4:$SJ$4,"&lt;&gt;Bid Package",'PCO Log'!$E$7:$SJ$7,"Approved")</f>
        <v>0</v>
      </c>
      <c r="BG215" s="304">
        <f>SUMIFS('PCO Log'!$E39:$SJ39,'PCO Log'!$E$9:$SJ$9,'Graph Data'!BG$187,'PCO Log'!$E$4:$SJ$4,"&lt;&gt;Bid Package",'PCO Log'!$E$7:$SJ$7,"Approved")</f>
        <v>0</v>
      </c>
      <c r="BH215" s="304">
        <f>SUMIFS('PCO Log'!$E39:$SJ39,'PCO Log'!$E$9:$SJ$9,'Graph Data'!BH$187,'PCO Log'!$E$4:$SJ$4,"&lt;&gt;Bid Package",'PCO Log'!$E$7:$SJ$7,"Approved")</f>
        <v>0</v>
      </c>
      <c r="BI215" s="304">
        <f>SUMIFS('PCO Log'!$E39:$SJ39,'PCO Log'!$E$9:$SJ$9,'Graph Data'!BI$187,'PCO Log'!$E$4:$SJ$4,"&lt;&gt;Bid Package",'PCO Log'!$E$7:$SJ$7,"Approved")</f>
        <v>0</v>
      </c>
      <c r="BJ215" s="304">
        <f>SUMIFS('PCO Log'!$E39:$SJ39,'PCO Log'!$E$9:$SJ$9,'Graph Data'!BJ$187,'PCO Log'!$E$4:$SJ$4,"&lt;&gt;Bid Package",'PCO Log'!$E$7:$SJ$7,"Approved")</f>
        <v>0</v>
      </c>
      <c r="BK215" s="304">
        <f>SUMIFS('PCO Log'!$E39:$SJ39,'PCO Log'!$E$9:$SJ$9,'Graph Data'!BK$187,'PCO Log'!$E$4:$SJ$4,"&lt;&gt;Bid Package",'PCO Log'!$E$7:$SJ$7,"Approved")</f>
        <v>0</v>
      </c>
      <c r="BL215" s="304">
        <f>SUMIFS('PCO Log'!$E39:$SJ39,'PCO Log'!$E$9:$SJ$9,'Graph Data'!BL$187,'PCO Log'!$E$4:$SJ$4,"&lt;&gt;Bid Package",'PCO Log'!$E$7:$SJ$7,"Approved")</f>
        <v>0</v>
      </c>
      <c r="BM215" s="304">
        <f>SUMIFS('PCO Log'!$E39:$SJ39,'PCO Log'!$E$9:$SJ$9,'Graph Data'!BM$187,'PCO Log'!$E$4:$SJ$4,"&lt;&gt;Bid Package",'PCO Log'!$E$7:$SJ$7,"Approved")</f>
        <v>0</v>
      </c>
      <c r="BN215" s="304">
        <f>SUMIFS('PCO Log'!$E39:$SJ39,'PCO Log'!$E$9:$SJ$9,'Graph Data'!BN$187,'PCO Log'!$E$4:$SJ$4,"&lt;&gt;Bid Package",'PCO Log'!$E$7:$SJ$7,"Approved")</f>
        <v>0</v>
      </c>
      <c r="BO215" s="304">
        <f>SUMIFS('PCO Log'!$E39:$SJ39,'PCO Log'!$E$9:$SJ$9,'Graph Data'!BO$187,'PCO Log'!$E$4:$SJ$4,"&lt;&gt;Bid Package",'PCO Log'!$E$7:$SJ$7,"Approved")</f>
        <v>0</v>
      </c>
      <c r="BP215" s="304">
        <f>SUMIFS('PCO Log'!$E39:$SJ39,'PCO Log'!$E$9:$SJ$9,'Graph Data'!BP$187,'PCO Log'!$E$4:$SJ$4,"&lt;&gt;Bid Package",'PCO Log'!$E$7:$SJ$7,"Approved")</f>
        <v>0</v>
      </c>
      <c r="BQ215" s="304">
        <f>SUMIFS('PCO Log'!$E39:$SJ39,'PCO Log'!$E$9:$SJ$9,'Graph Data'!BQ$187,'PCO Log'!$E$4:$SJ$4,"&lt;&gt;Bid Package",'PCO Log'!$E$7:$SJ$7,"Approved")</f>
        <v>0</v>
      </c>
      <c r="BR215" s="304">
        <f>SUMIFS('PCO Log'!$E39:$SJ39,'PCO Log'!$E$9:$SJ$9,'Graph Data'!BR$187,'PCO Log'!$E$4:$SJ$4,"&lt;&gt;Bid Package",'PCO Log'!$E$7:$SJ$7,"Approved")</f>
        <v>0</v>
      </c>
      <c r="BS215" s="304">
        <f>SUMIFS('PCO Log'!$E39:$SJ39,'PCO Log'!$E$9:$SJ$9,'Graph Data'!BS$187,'PCO Log'!$E$4:$SJ$4,"&lt;&gt;Bid Package",'PCO Log'!$E$7:$SJ$7,"Approved")</f>
        <v>0</v>
      </c>
      <c r="BT215" s="304">
        <f>SUMIFS('PCO Log'!$E39:$SJ39,'PCO Log'!$E$9:$SJ$9,'Graph Data'!BT$187,'PCO Log'!$E$4:$SJ$4,"&lt;&gt;Bid Package",'PCO Log'!$E$7:$SJ$7,"Approved")</f>
        <v>0</v>
      </c>
      <c r="BU215" s="304">
        <f>SUMIFS('PCO Log'!$E39:$SJ39,'PCO Log'!$E$9:$SJ$9,'Graph Data'!BU$187,'PCO Log'!$E$4:$SJ$4,"&lt;&gt;Bid Package",'PCO Log'!$E$7:$SJ$7,"Approved")</f>
        <v>0</v>
      </c>
      <c r="BV215" s="304">
        <f>SUMIFS('PCO Log'!$E39:$SJ39,'PCO Log'!$E$9:$SJ$9,'Graph Data'!BV$187,'PCO Log'!$E$4:$SJ$4,"&lt;&gt;Bid Package",'PCO Log'!$E$7:$SJ$7,"Approved")</f>
        <v>0</v>
      </c>
      <c r="BW215" s="304">
        <f>SUMIFS('PCO Log'!$E39:$SJ39,'PCO Log'!$E$9:$SJ$9,'Graph Data'!BW$187,'PCO Log'!$E$4:$SJ$4,"&lt;&gt;Bid Package",'PCO Log'!$E$7:$SJ$7,"Approved")</f>
        <v>0</v>
      </c>
      <c r="BX215" s="304">
        <f>SUMIFS('PCO Log'!$E39:$SJ39,'PCO Log'!$E$9:$SJ$9,'Graph Data'!BX$187,'PCO Log'!$E$4:$SJ$4,"&lt;&gt;Bid Package",'PCO Log'!$E$7:$SJ$7,"Approved")</f>
        <v>0</v>
      </c>
    </row>
    <row r="216" spans="1:76" x14ac:dyDescent="0.25">
      <c r="A216" s="303" t="s">
        <v>566</v>
      </c>
      <c r="B216" s="303">
        <f>'PCO Log'!HK7</f>
        <v>0</v>
      </c>
      <c r="C216" s="303">
        <f>'PCO Log'!HK4</f>
        <v>0</v>
      </c>
      <c r="D216" s="303" cm="1">
        <f t="array" ref="D216">INDEX('PCO Log'!$E$5:$SJ$5, 1, ROWS('Graph Data'!$D$2:D216))</f>
        <v>0</v>
      </c>
      <c r="E216" s="303">
        <f>'PCO Log'!HK8</f>
        <v>0</v>
      </c>
      <c r="F216" s="303">
        <f>'PCO Log'!HK3</f>
        <v>0</v>
      </c>
      <c r="G216" s="304">
        <f>'PCO Log'!HK10</f>
        <v>0</v>
      </c>
      <c r="H216" s="305">
        <f>'PCO Log'!HK6</f>
        <v>0</v>
      </c>
      <c r="K216" s="307"/>
      <c r="P216" s="303" t="str">
        <f t="shared" si="2"/>
        <v>Insulation</v>
      </c>
      <c r="Q216" s="304">
        <f>SUMIFS('PCO Log'!$E40:$SJ40,'PCO Log'!$E$9:$SJ$9,'Graph Data'!Q$187,'PCO Log'!$E$4:$SJ$4,"&lt;&gt;Bid Package",'PCO Log'!$E$7:$SJ$7,"Approved")</f>
        <v>0</v>
      </c>
      <c r="R216" s="304">
        <f>SUMIFS('PCO Log'!$E40:$SJ40,'PCO Log'!$E$9:$SJ$9,'Graph Data'!R$187,'PCO Log'!$E$4:$SJ$4,"&lt;&gt;Bid Package",'PCO Log'!$E$7:$SJ$7,"Approved")</f>
        <v>0</v>
      </c>
      <c r="S216" s="304">
        <f>SUMIFS('PCO Log'!$E40:$SJ40,'PCO Log'!$E$9:$SJ$9,'Graph Data'!S$187,'PCO Log'!$E$4:$SJ$4,"&lt;&gt;Bid Package",'PCO Log'!$E$7:$SJ$7,"Approved")</f>
        <v>0</v>
      </c>
      <c r="T216" s="304">
        <f>SUMIFS('PCO Log'!$E40:$SJ40,'PCO Log'!$E$9:$SJ$9,'Graph Data'!T$187,'PCO Log'!$E$4:$SJ$4,"&lt;&gt;Bid Package",'PCO Log'!$E$7:$SJ$7,"Approved")</f>
        <v>0</v>
      </c>
      <c r="U216" s="304">
        <f>SUMIFS('PCO Log'!$E40:$SJ40,'PCO Log'!$E$9:$SJ$9,'Graph Data'!U$187,'PCO Log'!$E$4:$SJ$4,"&lt;&gt;Bid Package",'PCO Log'!$E$7:$SJ$7,"Approved")</f>
        <v>0</v>
      </c>
      <c r="V216" s="304">
        <f>SUMIFS('PCO Log'!$E40:$SJ40,'PCO Log'!$E$9:$SJ$9,'Graph Data'!V$187,'PCO Log'!$E$4:$SJ$4,"&lt;&gt;Bid Package",'PCO Log'!$E$7:$SJ$7,"Approved")</f>
        <v>0</v>
      </c>
      <c r="W216" s="304">
        <f>SUMIFS('PCO Log'!$E40:$SJ40,'PCO Log'!$E$9:$SJ$9,'Graph Data'!W$187,'PCO Log'!$E$4:$SJ$4,"&lt;&gt;Bid Package",'PCO Log'!$E$7:$SJ$7,"Approved")</f>
        <v>0</v>
      </c>
      <c r="X216" s="304">
        <f>SUMIFS('PCO Log'!$E40:$SJ40,'PCO Log'!$E$9:$SJ$9,'Graph Data'!X$187,'PCO Log'!$E$4:$SJ$4,"&lt;&gt;Bid Package",'PCO Log'!$E$7:$SJ$7,"Approved")</f>
        <v>0</v>
      </c>
      <c r="Y216" s="304">
        <f>SUMIFS('PCO Log'!$E40:$SJ40,'PCO Log'!$E$9:$SJ$9,'Graph Data'!Y$187,'PCO Log'!$E$4:$SJ$4,"&lt;&gt;Bid Package",'PCO Log'!$E$7:$SJ$7,"Approved")</f>
        <v>0</v>
      </c>
      <c r="Z216" s="304">
        <f>SUMIFS('PCO Log'!$E40:$SJ40,'PCO Log'!$E$9:$SJ$9,'Graph Data'!Z$187,'PCO Log'!$E$4:$SJ$4,"&lt;&gt;Bid Package",'PCO Log'!$E$7:$SJ$7,"Approved")</f>
        <v>0</v>
      </c>
      <c r="AA216" s="304">
        <f>SUMIFS('PCO Log'!$E40:$SJ40,'PCO Log'!$E$9:$SJ$9,'Graph Data'!AA$187,'PCO Log'!$E$4:$SJ$4,"&lt;&gt;Bid Package",'PCO Log'!$E$7:$SJ$7,"Approved")</f>
        <v>0</v>
      </c>
      <c r="AB216" s="304">
        <f>SUMIFS('PCO Log'!$E40:$SJ40,'PCO Log'!$E$9:$SJ$9,'Graph Data'!AB$187,'PCO Log'!$E$4:$SJ$4,"&lt;&gt;Bid Package",'PCO Log'!$E$7:$SJ$7,"Approved")</f>
        <v>0</v>
      </c>
      <c r="AC216" s="304">
        <f>SUMIFS('PCO Log'!$E40:$SJ40,'PCO Log'!$E$9:$SJ$9,'Graph Data'!AC$187,'PCO Log'!$E$4:$SJ$4,"&lt;&gt;Bid Package",'PCO Log'!$E$7:$SJ$7,"Approved")</f>
        <v>0</v>
      </c>
      <c r="AD216" s="304">
        <f>SUMIFS('PCO Log'!$E40:$SJ40,'PCO Log'!$E$9:$SJ$9,'Graph Data'!AD$187,'PCO Log'!$E$4:$SJ$4,"&lt;&gt;Bid Package",'PCO Log'!$E$7:$SJ$7,"Approved")</f>
        <v>0</v>
      </c>
      <c r="AE216" s="304">
        <f>SUMIFS('PCO Log'!$E40:$SJ40,'PCO Log'!$E$9:$SJ$9,'Graph Data'!AE$187,'PCO Log'!$E$4:$SJ$4,"&lt;&gt;Bid Package",'PCO Log'!$E$7:$SJ$7,"Approved")</f>
        <v>0</v>
      </c>
      <c r="AF216" s="304">
        <f>SUMIFS('PCO Log'!$E40:$SJ40,'PCO Log'!$E$9:$SJ$9,'Graph Data'!AF$187,'PCO Log'!$E$4:$SJ$4,"&lt;&gt;Bid Package",'PCO Log'!$E$7:$SJ$7,"Approved")</f>
        <v>0</v>
      </c>
      <c r="AG216" s="304">
        <f>SUMIFS('PCO Log'!$E40:$SJ40,'PCO Log'!$E$9:$SJ$9,'Graph Data'!AG$187,'PCO Log'!$E$4:$SJ$4,"&lt;&gt;Bid Package",'PCO Log'!$E$7:$SJ$7,"Approved")</f>
        <v>0</v>
      </c>
      <c r="AH216" s="304">
        <f>SUMIFS('PCO Log'!$E40:$SJ40,'PCO Log'!$E$9:$SJ$9,'Graph Data'!AH$187,'PCO Log'!$E$4:$SJ$4,"&lt;&gt;Bid Package",'PCO Log'!$E$7:$SJ$7,"Approved")</f>
        <v>0</v>
      </c>
      <c r="AI216" s="304">
        <f>SUMIFS('PCO Log'!$E40:$SJ40,'PCO Log'!$E$9:$SJ$9,'Graph Data'!AI$187,'PCO Log'!$E$4:$SJ$4,"&lt;&gt;Bid Package",'PCO Log'!$E$7:$SJ$7,"Approved")</f>
        <v>0</v>
      </c>
      <c r="AJ216" s="304">
        <f>SUMIFS('PCO Log'!$E40:$SJ40,'PCO Log'!$E$9:$SJ$9,'Graph Data'!AJ$187,'PCO Log'!$E$4:$SJ$4,"&lt;&gt;Bid Package",'PCO Log'!$E$7:$SJ$7,"Approved")</f>
        <v>0</v>
      </c>
      <c r="AK216" s="304">
        <f>SUMIFS('PCO Log'!$E40:$SJ40,'PCO Log'!$E$9:$SJ$9,'Graph Data'!AK$187,'PCO Log'!$E$4:$SJ$4,"&lt;&gt;Bid Package",'PCO Log'!$E$7:$SJ$7,"Approved")</f>
        <v>0</v>
      </c>
      <c r="AL216" s="304">
        <f>SUMIFS('PCO Log'!$E40:$SJ40,'PCO Log'!$E$9:$SJ$9,'Graph Data'!AL$187,'PCO Log'!$E$4:$SJ$4,"&lt;&gt;Bid Package",'PCO Log'!$E$7:$SJ$7,"Approved")</f>
        <v>0</v>
      </c>
      <c r="AM216" s="304">
        <f>SUMIFS('PCO Log'!$E40:$SJ40,'PCO Log'!$E$9:$SJ$9,'Graph Data'!AM$187,'PCO Log'!$E$4:$SJ$4,"&lt;&gt;Bid Package",'PCO Log'!$E$7:$SJ$7,"Approved")</f>
        <v>0</v>
      </c>
      <c r="AN216" s="304">
        <f>SUMIFS('PCO Log'!$E40:$SJ40,'PCO Log'!$E$9:$SJ$9,'Graph Data'!AN$187,'PCO Log'!$E$4:$SJ$4,"&lt;&gt;Bid Package",'PCO Log'!$E$7:$SJ$7,"Approved")</f>
        <v>0</v>
      </c>
      <c r="AO216" s="304">
        <f>SUMIFS('PCO Log'!$E40:$SJ40,'PCO Log'!$E$9:$SJ$9,'Graph Data'!AO$187,'PCO Log'!$E$4:$SJ$4,"&lt;&gt;Bid Package",'PCO Log'!$E$7:$SJ$7,"Approved")</f>
        <v>0</v>
      </c>
      <c r="AP216" s="304">
        <f>SUMIFS('PCO Log'!$E40:$SJ40,'PCO Log'!$E$9:$SJ$9,'Graph Data'!AP$187,'PCO Log'!$E$4:$SJ$4,"&lt;&gt;Bid Package",'PCO Log'!$E$7:$SJ$7,"Approved")</f>
        <v>0</v>
      </c>
      <c r="AQ216" s="304">
        <f>SUMIFS('PCO Log'!$E40:$SJ40,'PCO Log'!$E$9:$SJ$9,'Graph Data'!AQ$187,'PCO Log'!$E$4:$SJ$4,"&lt;&gt;Bid Package",'PCO Log'!$E$7:$SJ$7,"Approved")</f>
        <v>0</v>
      </c>
      <c r="AR216" s="304">
        <f>SUMIFS('PCO Log'!$E40:$SJ40,'PCO Log'!$E$9:$SJ$9,'Graph Data'!AR$187,'PCO Log'!$E$4:$SJ$4,"&lt;&gt;Bid Package",'PCO Log'!$E$7:$SJ$7,"Approved")</f>
        <v>0</v>
      </c>
      <c r="AS216" s="304">
        <f>SUMIFS('PCO Log'!$E40:$SJ40,'PCO Log'!$E$9:$SJ$9,'Graph Data'!AS$187,'PCO Log'!$E$4:$SJ$4,"&lt;&gt;Bid Package",'PCO Log'!$E$7:$SJ$7,"Approved")</f>
        <v>0</v>
      </c>
      <c r="AT216" s="304">
        <f>SUMIFS('PCO Log'!$E40:$SJ40,'PCO Log'!$E$9:$SJ$9,'Graph Data'!AT$187,'PCO Log'!$E$4:$SJ$4,"&lt;&gt;Bid Package",'PCO Log'!$E$7:$SJ$7,"Approved")</f>
        <v>0</v>
      </c>
      <c r="AU216" s="304">
        <f>SUMIFS('PCO Log'!$E40:$SJ40,'PCO Log'!$E$9:$SJ$9,'Graph Data'!AU$187,'PCO Log'!$E$4:$SJ$4,"&lt;&gt;Bid Package",'PCO Log'!$E$7:$SJ$7,"Approved")</f>
        <v>0</v>
      </c>
      <c r="AV216" s="304">
        <f>SUMIFS('PCO Log'!$E40:$SJ40,'PCO Log'!$E$9:$SJ$9,'Graph Data'!AV$187,'PCO Log'!$E$4:$SJ$4,"&lt;&gt;Bid Package",'PCO Log'!$E$7:$SJ$7,"Approved")</f>
        <v>0</v>
      </c>
      <c r="AW216" s="304">
        <f>SUMIFS('PCO Log'!$E40:$SJ40,'PCO Log'!$E$9:$SJ$9,'Graph Data'!AW$187,'PCO Log'!$E$4:$SJ$4,"&lt;&gt;Bid Package",'PCO Log'!$E$7:$SJ$7,"Approved")</f>
        <v>0</v>
      </c>
      <c r="AX216" s="304">
        <f>SUMIFS('PCO Log'!$E40:$SJ40,'PCO Log'!$E$9:$SJ$9,'Graph Data'!AX$187,'PCO Log'!$E$4:$SJ$4,"&lt;&gt;Bid Package",'PCO Log'!$E$7:$SJ$7,"Approved")</f>
        <v>0</v>
      </c>
      <c r="AY216" s="304">
        <f>SUMIFS('PCO Log'!$E40:$SJ40,'PCO Log'!$E$9:$SJ$9,'Graph Data'!AY$187,'PCO Log'!$E$4:$SJ$4,"&lt;&gt;Bid Package",'PCO Log'!$E$7:$SJ$7,"Approved")</f>
        <v>0</v>
      </c>
      <c r="AZ216" s="304">
        <f>SUMIFS('PCO Log'!$E40:$SJ40,'PCO Log'!$E$9:$SJ$9,'Graph Data'!AZ$187,'PCO Log'!$E$4:$SJ$4,"&lt;&gt;Bid Package",'PCO Log'!$E$7:$SJ$7,"Approved")</f>
        <v>0</v>
      </c>
      <c r="BA216" s="304">
        <f>SUMIFS('PCO Log'!$E40:$SJ40,'PCO Log'!$E$9:$SJ$9,'Graph Data'!BA$187,'PCO Log'!$E$4:$SJ$4,"&lt;&gt;Bid Package",'PCO Log'!$E$7:$SJ$7,"Approved")</f>
        <v>0</v>
      </c>
      <c r="BB216" s="304">
        <f>SUMIFS('PCO Log'!$E40:$SJ40,'PCO Log'!$E$9:$SJ$9,'Graph Data'!BB$187,'PCO Log'!$E$4:$SJ$4,"&lt;&gt;Bid Package",'PCO Log'!$E$7:$SJ$7,"Approved")</f>
        <v>0</v>
      </c>
      <c r="BC216" s="304">
        <f>SUMIFS('PCO Log'!$E40:$SJ40,'PCO Log'!$E$9:$SJ$9,'Graph Data'!BC$187,'PCO Log'!$E$4:$SJ$4,"&lt;&gt;Bid Package",'PCO Log'!$E$7:$SJ$7,"Approved")</f>
        <v>0</v>
      </c>
      <c r="BD216" s="304">
        <f>SUMIFS('PCO Log'!$E40:$SJ40,'PCO Log'!$E$9:$SJ$9,'Graph Data'!BD$187,'PCO Log'!$E$4:$SJ$4,"&lt;&gt;Bid Package",'PCO Log'!$E$7:$SJ$7,"Approved")</f>
        <v>0</v>
      </c>
      <c r="BE216" s="304">
        <f>SUMIFS('PCO Log'!$E40:$SJ40,'PCO Log'!$E$9:$SJ$9,'Graph Data'!BE$187,'PCO Log'!$E$4:$SJ$4,"&lt;&gt;Bid Package",'PCO Log'!$E$7:$SJ$7,"Approved")</f>
        <v>0</v>
      </c>
      <c r="BF216" s="304">
        <f>SUMIFS('PCO Log'!$E40:$SJ40,'PCO Log'!$E$9:$SJ$9,'Graph Data'!BF$187,'PCO Log'!$E$4:$SJ$4,"&lt;&gt;Bid Package",'PCO Log'!$E$7:$SJ$7,"Approved")</f>
        <v>0</v>
      </c>
      <c r="BG216" s="304">
        <f>SUMIFS('PCO Log'!$E40:$SJ40,'PCO Log'!$E$9:$SJ$9,'Graph Data'!BG$187,'PCO Log'!$E$4:$SJ$4,"&lt;&gt;Bid Package",'PCO Log'!$E$7:$SJ$7,"Approved")</f>
        <v>0</v>
      </c>
      <c r="BH216" s="304">
        <f>SUMIFS('PCO Log'!$E40:$SJ40,'PCO Log'!$E$9:$SJ$9,'Graph Data'!BH$187,'PCO Log'!$E$4:$SJ$4,"&lt;&gt;Bid Package",'PCO Log'!$E$7:$SJ$7,"Approved")</f>
        <v>0</v>
      </c>
      <c r="BI216" s="304">
        <f>SUMIFS('PCO Log'!$E40:$SJ40,'PCO Log'!$E$9:$SJ$9,'Graph Data'!BI$187,'PCO Log'!$E$4:$SJ$4,"&lt;&gt;Bid Package",'PCO Log'!$E$7:$SJ$7,"Approved")</f>
        <v>0</v>
      </c>
      <c r="BJ216" s="304">
        <f>SUMIFS('PCO Log'!$E40:$SJ40,'PCO Log'!$E$9:$SJ$9,'Graph Data'!BJ$187,'PCO Log'!$E$4:$SJ$4,"&lt;&gt;Bid Package",'PCO Log'!$E$7:$SJ$7,"Approved")</f>
        <v>0</v>
      </c>
      <c r="BK216" s="304">
        <f>SUMIFS('PCO Log'!$E40:$SJ40,'PCO Log'!$E$9:$SJ$9,'Graph Data'!BK$187,'PCO Log'!$E$4:$SJ$4,"&lt;&gt;Bid Package",'PCO Log'!$E$7:$SJ$7,"Approved")</f>
        <v>0</v>
      </c>
      <c r="BL216" s="304">
        <f>SUMIFS('PCO Log'!$E40:$SJ40,'PCO Log'!$E$9:$SJ$9,'Graph Data'!BL$187,'PCO Log'!$E$4:$SJ$4,"&lt;&gt;Bid Package",'PCO Log'!$E$7:$SJ$7,"Approved")</f>
        <v>0</v>
      </c>
      <c r="BM216" s="304">
        <f>SUMIFS('PCO Log'!$E40:$SJ40,'PCO Log'!$E$9:$SJ$9,'Graph Data'!BM$187,'PCO Log'!$E$4:$SJ$4,"&lt;&gt;Bid Package",'PCO Log'!$E$7:$SJ$7,"Approved")</f>
        <v>0</v>
      </c>
      <c r="BN216" s="304">
        <f>SUMIFS('PCO Log'!$E40:$SJ40,'PCO Log'!$E$9:$SJ$9,'Graph Data'!BN$187,'PCO Log'!$E$4:$SJ$4,"&lt;&gt;Bid Package",'PCO Log'!$E$7:$SJ$7,"Approved")</f>
        <v>0</v>
      </c>
      <c r="BO216" s="304">
        <f>SUMIFS('PCO Log'!$E40:$SJ40,'PCO Log'!$E$9:$SJ$9,'Graph Data'!BO$187,'PCO Log'!$E$4:$SJ$4,"&lt;&gt;Bid Package",'PCO Log'!$E$7:$SJ$7,"Approved")</f>
        <v>0</v>
      </c>
      <c r="BP216" s="304">
        <f>SUMIFS('PCO Log'!$E40:$SJ40,'PCO Log'!$E$9:$SJ$9,'Graph Data'!BP$187,'PCO Log'!$E$4:$SJ$4,"&lt;&gt;Bid Package",'PCO Log'!$E$7:$SJ$7,"Approved")</f>
        <v>0</v>
      </c>
      <c r="BQ216" s="304">
        <f>SUMIFS('PCO Log'!$E40:$SJ40,'PCO Log'!$E$9:$SJ$9,'Graph Data'!BQ$187,'PCO Log'!$E$4:$SJ$4,"&lt;&gt;Bid Package",'PCO Log'!$E$7:$SJ$7,"Approved")</f>
        <v>0</v>
      </c>
      <c r="BR216" s="304">
        <f>SUMIFS('PCO Log'!$E40:$SJ40,'PCO Log'!$E$9:$SJ$9,'Graph Data'!BR$187,'PCO Log'!$E$4:$SJ$4,"&lt;&gt;Bid Package",'PCO Log'!$E$7:$SJ$7,"Approved")</f>
        <v>0</v>
      </c>
      <c r="BS216" s="304">
        <f>SUMIFS('PCO Log'!$E40:$SJ40,'PCO Log'!$E$9:$SJ$9,'Graph Data'!BS$187,'PCO Log'!$E$4:$SJ$4,"&lt;&gt;Bid Package",'PCO Log'!$E$7:$SJ$7,"Approved")</f>
        <v>0</v>
      </c>
      <c r="BT216" s="304">
        <f>SUMIFS('PCO Log'!$E40:$SJ40,'PCO Log'!$E$9:$SJ$9,'Graph Data'!BT$187,'PCO Log'!$E$4:$SJ$4,"&lt;&gt;Bid Package",'PCO Log'!$E$7:$SJ$7,"Approved")</f>
        <v>0</v>
      </c>
      <c r="BU216" s="304">
        <f>SUMIFS('PCO Log'!$E40:$SJ40,'PCO Log'!$E$9:$SJ$9,'Graph Data'!BU$187,'PCO Log'!$E$4:$SJ$4,"&lt;&gt;Bid Package",'PCO Log'!$E$7:$SJ$7,"Approved")</f>
        <v>0</v>
      </c>
      <c r="BV216" s="304">
        <f>SUMIFS('PCO Log'!$E40:$SJ40,'PCO Log'!$E$9:$SJ$9,'Graph Data'!BV$187,'PCO Log'!$E$4:$SJ$4,"&lt;&gt;Bid Package",'PCO Log'!$E$7:$SJ$7,"Approved")</f>
        <v>0</v>
      </c>
      <c r="BW216" s="304">
        <f>SUMIFS('PCO Log'!$E40:$SJ40,'PCO Log'!$E$9:$SJ$9,'Graph Data'!BW$187,'PCO Log'!$E$4:$SJ$4,"&lt;&gt;Bid Package",'PCO Log'!$E$7:$SJ$7,"Approved")</f>
        <v>0</v>
      </c>
      <c r="BX216" s="304">
        <f>SUMIFS('PCO Log'!$E40:$SJ40,'PCO Log'!$E$9:$SJ$9,'Graph Data'!BX$187,'PCO Log'!$E$4:$SJ$4,"&lt;&gt;Bid Package",'PCO Log'!$E$7:$SJ$7,"Approved")</f>
        <v>0</v>
      </c>
    </row>
    <row r="217" spans="1:76" x14ac:dyDescent="0.25">
      <c r="A217" s="303" t="s">
        <v>567</v>
      </c>
      <c r="B217" s="303">
        <f>'PCO Log'!HL7</f>
        <v>0</v>
      </c>
      <c r="C217" s="303">
        <f>'PCO Log'!HL4</f>
        <v>0</v>
      </c>
      <c r="D217" s="303" cm="1">
        <f t="array" ref="D217">INDEX('PCO Log'!$E$5:$SJ$5, 1, ROWS('Graph Data'!$D$2:D217))</f>
        <v>0</v>
      </c>
      <c r="E217" s="303">
        <f>'PCO Log'!HL8</f>
        <v>0</v>
      </c>
      <c r="F217" s="303">
        <f>'PCO Log'!HL3</f>
        <v>0</v>
      </c>
      <c r="G217" s="304">
        <f>'PCO Log'!HL10</f>
        <v>0</v>
      </c>
      <c r="H217" s="305">
        <f>'PCO Log'!HL6</f>
        <v>0</v>
      </c>
      <c r="K217" s="307"/>
      <c r="P217" s="303" t="str">
        <f t="shared" si="2"/>
        <v>EIFS</v>
      </c>
      <c r="Q217" s="304">
        <f>SUMIFS('PCO Log'!$E41:$SJ41,'PCO Log'!$E$9:$SJ$9,'Graph Data'!Q$187,'PCO Log'!$E$4:$SJ$4,"&lt;&gt;Bid Package",'PCO Log'!$E$7:$SJ$7,"Approved")</f>
        <v>0</v>
      </c>
      <c r="R217" s="304">
        <f>SUMIFS('PCO Log'!$E41:$SJ41,'PCO Log'!$E$9:$SJ$9,'Graph Data'!R$187,'PCO Log'!$E$4:$SJ$4,"&lt;&gt;Bid Package",'PCO Log'!$E$7:$SJ$7,"Approved")</f>
        <v>0</v>
      </c>
      <c r="S217" s="304">
        <f>SUMIFS('PCO Log'!$E41:$SJ41,'PCO Log'!$E$9:$SJ$9,'Graph Data'!S$187,'PCO Log'!$E$4:$SJ$4,"&lt;&gt;Bid Package",'PCO Log'!$E$7:$SJ$7,"Approved")</f>
        <v>0</v>
      </c>
      <c r="T217" s="304">
        <f>SUMIFS('PCO Log'!$E41:$SJ41,'PCO Log'!$E$9:$SJ$9,'Graph Data'!T$187,'PCO Log'!$E$4:$SJ$4,"&lt;&gt;Bid Package",'PCO Log'!$E$7:$SJ$7,"Approved")</f>
        <v>0</v>
      </c>
      <c r="U217" s="304">
        <f>SUMIFS('PCO Log'!$E41:$SJ41,'PCO Log'!$E$9:$SJ$9,'Graph Data'!U$187,'PCO Log'!$E$4:$SJ$4,"&lt;&gt;Bid Package",'PCO Log'!$E$7:$SJ$7,"Approved")</f>
        <v>0</v>
      </c>
      <c r="V217" s="304">
        <f>SUMIFS('PCO Log'!$E41:$SJ41,'PCO Log'!$E$9:$SJ$9,'Graph Data'!V$187,'PCO Log'!$E$4:$SJ$4,"&lt;&gt;Bid Package",'PCO Log'!$E$7:$SJ$7,"Approved")</f>
        <v>0</v>
      </c>
      <c r="W217" s="304">
        <f>SUMIFS('PCO Log'!$E41:$SJ41,'PCO Log'!$E$9:$SJ$9,'Graph Data'!W$187,'PCO Log'!$E$4:$SJ$4,"&lt;&gt;Bid Package",'PCO Log'!$E$7:$SJ$7,"Approved")</f>
        <v>0</v>
      </c>
      <c r="X217" s="304">
        <f>SUMIFS('PCO Log'!$E41:$SJ41,'PCO Log'!$E$9:$SJ$9,'Graph Data'!X$187,'PCO Log'!$E$4:$SJ$4,"&lt;&gt;Bid Package",'PCO Log'!$E$7:$SJ$7,"Approved")</f>
        <v>0</v>
      </c>
      <c r="Y217" s="304">
        <f>SUMIFS('PCO Log'!$E41:$SJ41,'PCO Log'!$E$9:$SJ$9,'Graph Data'!Y$187,'PCO Log'!$E$4:$SJ$4,"&lt;&gt;Bid Package",'PCO Log'!$E$7:$SJ$7,"Approved")</f>
        <v>0</v>
      </c>
      <c r="Z217" s="304">
        <f>SUMIFS('PCO Log'!$E41:$SJ41,'PCO Log'!$E$9:$SJ$9,'Graph Data'!Z$187,'PCO Log'!$E$4:$SJ$4,"&lt;&gt;Bid Package",'PCO Log'!$E$7:$SJ$7,"Approved")</f>
        <v>0</v>
      </c>
      <c r="AA217" s="304">
        <f>SUMIFS('PCO Log'!$E41:$SJ41,'PCO Log'!$E$9:$SJ$9,'Graph Data'!AA$187,'PCO Log'!$E$4:$SJ$4,"&lt;&gt;Bid Package",'PCO Log'!$E$7:$SJ$7,"Approved")</f>
        <v>0</v>
      </c>
      <c r="AB217" s="304">
        <f>SUMIFS('PCO Log'!$E41:$SJ41,'PCO Log'!$E$9:$SJ$9,'Graph Data'!AB$187,'PCO Log'!$E$4:$SJ$4,"&lt;&gt;Bid Package",'PCO Log'!$E$7:$SJ$7,"Approved")</f>
        <v>0</v>
      </c>
      <c r="AC217" s="304">
        <f>SUMIFS('PCO Log'!$E41:$SJ41,'PCO Log'!$E$9:$SJ$9,'Graph Data'!AC$187,'PCO Log'!$E$4:$SJ$4,"&lt;&gt;Bid Package",'PCO Log'!$E$7:$SJ$7,"Approved")</f>
        <v>0</v>
      </c>
      <c r="AD217" s="304">
        <f>SUMIFS('PCO Log'!$E41:$SJ41,'PCO Log'!$E$9:$SJ$9,'Graph Data'!AD$187,'PCO Log'!$E$4:$SJ$4,"&lt;&gt;Bid Package",'PCO Log'!$E$7:$SJ$7,"Approved")</f>
        <v>0</v>
      </c>
      <c r="AE217" s="304">
        <f>SUMIFS('PCO Log'!$E41:$SJ41,'PCO Log'!$E$9:$SJ$9,'Graph Data'!AE$187,'PCO Log'!$E$4:$SJ$4,"&lt;&gt;Bid Package",'PCO Log'!$E$7:$SJ$7,"Approved")</f>
        <v>0</v>
      </c>
      <c r="AF217" s="304">
        <f>SUMIFS('PCO Log'!$E41:$SJ41,'PCO Log'!$E$9:$SJ$9,'Graph Data'!AF$187,'PCO Log'!$E$4:$SJ$4,"&lt;&gt;Bid Package",'PCO Log'!$E$7:$SJ$7,"Approved")</f>
        <v>0</v>
      </c>
      <c r="AG217" s="304">
        <f>SUMIFS('PCO Log'!$E41:$SJ41,'PCO Log'!$E$9:$SJ$9,'Graph Data'!AG$187,'PCO Log'!$E$4:$SJ$4,"&lt;&gt;Bid Package",'PCO Log'!$E$7:$SJ$7,"Approved")</f>
        <v>0</v>
      </c>
      <c r="AH217" s="304">
        <f>SUMIFS('PCO Log'!$E41:$SJ41,'PCO Log'!$E$9:$SJ$9,'Graph Data'!AH$187,'PCO Log'!$E$4:$SJ$4,"&lt;&gt;Bid Package",'PCO Log'!$E$7:$SJ$7,"Approved")</f>
        <v>0</v>
      </c>
      <c r="AI217" s="304">
        <f>SUMIFS('PCO Log'!$E41:$SJ41,'PCO Log'!$E$9:$SJ$9,'Graph Data'!AI$187,'PCO Log'!$E$4:$SJ$4,"&lt;&gt;Bid Package",'PCO Log'!$E$7:$SJ$7,"Approved")</f>
        <v>0</v>
      </c>
      <c r="AJ217" s="304">
        <f>SUMIFS('PCO Log'!$E41:$SJ41,'PCO Log'!$E$9:$SJ$9,'Graph Data'!AJ$187,'PCO Log'!$E$4:$SJ$4,"&lt;&gt;Bid Package",'PCO Log'!$E$7:$SJ$7,"Approved")</f>
        <v>0</v>
      </c>
      <c r="AK217" s="304">
        <f>SUMIFS('PCO Log'!$E41:$SJ41,'PCO Log'!$E$9:$SJ$9,'Graph Data'!AK$187,'PCO Log'!$E$4:$SJ$4,"&lt;&gt;Bid Package",'PCO Log'!$E$7:$SJ$7,"Approved")</f>
        <v>0</v>
      </c>
      <c r="AL217" s="304">
        <f>SUMIFS('PCO Log'!$E41:$SJ41,'PCO Log'!$E$9:$SJ$9,'Graph Data'!AL$187,'PCO Log'!$E$4:$SJ$4,"&lt;&gt;Bid Package",'PCO Log'!$E$7:$SJ$7,"Approved")</f>
        <v>0</v>
      </c>
      <c r="AM217" s="304">
        <f>SUMIFS('PCO Log'!$E41:$SJ41,'PCO Log'!$E$9:$SJ$9,'Graph Data'!AM$187,'PCO Log'!$E$4:$SJ$4,"&lt;&gt;Bid Package",'PCO Log'!$E$7:$SJ$7,"Approved")</f>
        <v>0</v>
      </c>
      <c r="AN217" s="304">
        <f>SUMIFS('PCO Log'!$E41:$SJ41,'PCO Log'!$E$9:$SJ$9,'Graph Data'!AN$187,'PCO Log'!$E$4:$SJ$4,"&lt;&gt;Bid Package",'PCO Log'!$E$7:$SJ$7,"Approved")</f>
        <v>0</v>
      </c>
      <c r="AO217" s="304">
        <f>SUMIFS('PCO Log'!$E41:$SJ41,'PCO Log'!$E$9:$SJ$9,'Graph Data'!AO$187,'PCO Log'!$E$4:$SJ$4,"&lt;&gt;Bid Package",'PCO Log'!$E$7:$SJ$7,"Approved")</f>
        <v>0</v>
      </c>
      <c r="AP217" s="304">
        <f>SUMIFS('PCO Log'!$E41:$SJ41,'PCO Log'!$E$9:$SJ$9,'Graph Data'!AP$187,'PCO Log'!$E$4:$SJ$4,"&lt;&gt;Bid Package",'PCO Log'!$E$7:$SJ$7,"Approved")</f>
        <v>0</v>
      </c>
      <c r="AQ217" s="304">
        <f>SUMIFS('PCO Log'!$E41:$SJ41,'PCO Log'!$E$9:$SJ$9,'Graph Data'!AQ$187,'PCO Log'!$E$4:$SJ$4,"&lt;&gt;Bid Package",'PCO Log'!$E$7:$SJ$7,"Approved")</f>
        <v>0</v>
      </c>
      <c r="AR217" s="304">
        <f>SUMIFS('PCO Log'!$E41:$SJ41,'PCO Log'!$E$9:$SJ$9,'Graph Data'!AR$187,'PCO Log'!$E$4:$SJ$4,"&lt;&gt;Bid Package",'PCO Log'!$E$7:$SJ$7,"Approved")</f>
        <v>0</v>
      </c>
      <c r="AS217" s="304">
        <f>SUMIFS('PCO Log'!$E41:$SJ41,'PCO Log'!$E$9:$SJ$9,'Graph Data'!AS$187,'PCO Log'!$E$4:$SJ$4,"&lt;&gt;Bid Package",'PCO Log'!$E$7:$SJ$7,"Approved")</f>
        <v>0</v>
      </c>
      <c r="AT217" s="304">
        <f>SUMIFS('PCO Log'!$E41:$SJ41,'PCO Log'!$E$9:$SJ$9,'Graph Data'!AT$187,'PCO Log'!$E$4:$SJ$4,"&lt;&gt;Bid Package",'PCO Log'!$E$7:$SJ$7,"Approved")</f>
        <v>0</v>
      </c>
      <c r="AU217" s="304">
        <f>SUMIFS('PCO Log'!$E41:$SJ41,'PCO Log'!$E$9:$SJ$9,'Graph Data'!AU$187,'PCO Log'!$E$4:$SJ$4,"&lt;&gt;Bid Package",'PCO Log'!$E$7:$SJ$7,"Approved")</f>
        <v>0</v>
      </c>
      <c r="AV217" s="304">
        <f>SUMIFS('PCO Log'!$E41:$SJ41,'PCO Log'!$E$9:$SJ$9,'Graph Data'!AV$187,'PCO Log'!$E$4:$SJ$4,"&lt;&gt;Bid Package",'PCO Log'!$E$7:$SJ$7,"Approved")</f>
        <v>0</v>
      </c>
      <c r="AW217" s="304">
        <f>SUMIFS('PCO Log'!$E41:$SJ41,'PCO Log'!$E$9:$SJ$9,'Graph Data'!AW$187,'PCO Log'!$E$4:$SJ$4,"&lt;&gt;Bid Package",'PCO Log'!$E$7:$SJ$7,"Approved")</f>
        <v>0</v>
      </c>
      <c r="AX217" s="304">
        <f>SUMIFS('PCO Log'!$E41:$SJ41,'PCO Log'!$E$9:$SJ$9,'Graph Data'!AX$187,'PCO Log'!$E$4:$SJ$4,"&lt;&gt;Bid Package",'PCO Log'!$E$7:$SJ$7,"Approved")</f>
        <v>0</v>
      </c>
      <c r="AY217" s="304">
        <f>SUMIFS('PCO Log'!$E41:$SJ41,'PCO Log'!$E$9:$SJ$9,'Graph Data'!AY$187,'PCO Log'!$E$4:$SJ$4,"&lt;&gt;Bid Package",'PCO Log'!$E$7:$SJ$7,"Approved")</f>
        <v>0</v>
      </c>
      <c r="AZ217" s="304">
        <f>SUMIFS('PCO Log'!$E41:$SJ41,'PCO Log'!$E$9:$SJ$9,'Graph Data'!AZ$187,'PCO Log'!$E$4:$SJ$4,"&lt;&gt;Bid Package",'PCO Log'!$E$7:$SJ$7,"Approved")</f>
        <v>0</v>
      </c>
      <c r="BA217" s="304">
        <f>SUMIFS('PCO Log'!$E41:$SJ41,'PCO Log'!$E$9:$SJ$9,'Graph Data'!BA$187,'PCO Log'!$E$4:$SJ$4,"&lt;&gt;Bid Package",'PCO Log'!$E$7:$SJ$7,"Approved")</f>
        <v>0</v>
      </c>
      <c r="BB217" s="304">
        <f>SUMIFS('PCO Log'!$E41:$SJ41,'PCO Log'!$E$9:$SJ$9,'Graph Data'!BB$187,'PCO Log'!$E$4:$SJ$4,"&lt;&gt;Bid Package",'PCO Log'!$E$7:$SJ$7,"Approved")</f>
        <v>0</v>
      </c>
      <c r="BC217" s="304">
        <f>SUMIFS('PCO Log'!$E41:$SJ41,'PCO Log'!$E$9:$SJ$9,'Graph Data'!BC$187,'PCO Log'!$E$4:$SJ$4,"&lt;&gt;Bid Package",'PCO Log'!$E$7:$SJ$7,"Approved")</f>
        <v>0</v>
      </c>
      <c r="BD217" s="304">
        <f>SUMIFS('PCO Log'!$E41:$SJ41,'PCO Log'!$E$9:$SJ$9,'Graph Data'!BD$187,'PCO Log'!$E$4:$SJ$4,"&lt;&gt;Bid Package",'PCO Log'!$E$7:$SJ$7,"Approved")</f>
        <v>0</v>
      </c>
      <c r="BE217" s="304">
        <f>SUMIFS('PCO Log'!$E41:$SJ41,'PCO Log'!$E$9:$SJ$9,'Graph Data'!BE$187,'PCO Log'!$E$4:$SJ$4,"&lt;&gt;Bid Package",'PCO Log'!$E$7:$SJ$7,"Approved")</f>
        <v>0</v>
      </c>
      <c r="BF217" s="304">
        <f>SUMIFS('PCO Log'!$E41:$SJ41,'PCO Log'!$E$9:$SJ$9,'Graph Data'!BF$187,'PCO Log'!$E$4:$SJ$4,"&lt;&gt;Bid Package",'PCO Log'!$E$7:$SJ$7,"Approved")</f>
        <v>0</v>
      </c>
      <c r="BG217" s="304">
        <f>SUMIFS('PCO Log'!$E41:$SJ41,'PCO Log'!$E$9:$SJ$9,'Graph Data'!BG$187,'PCO Log'!$E$4:$SJ$4,"&lt;&gt;Bid Package",'PCO Log'!$E$7:$SJ$7,"Approved")</f>
        <v>0</v>
      </c>
      <c r="BH217" s="304">
        <f>SUMIFS('PCO Log'!$E41:$SJ41,'PCO Log'!$E$9:$SJ$9,'Graph Data'!BH$187,'PCO Log'!$E$4:$SJ$4,"&lt;&gt;Bid Package",'PCO Log'!$E$7:$SJ$7,"Approved")</f>
        <v>0</v>
      </c>
      <c r="BI217" s="304">
        <f>SUMIFS('PCO Log'!$E41:$SJ41,'PCO Log'!$E$9:$SJ$9,'Graph Data'!BI$187,'PCO Log'!$E$4:$SJ$4,"&lt;&gt;Bid Package",'PCO Log'!$E$7:$SJ$7,"Approved")</f>
        <v>0</v>
      </c>
      <c r="BJ217" s="304">
        <f>SUMIFS('PCO Log'!$E41:$SJ41,'PCO Log'!$E$9:$SJ$9,'Graph Data'!BJ$187,'PCO Log'!$E$4:$SJ$4,"&lt;&gt;Bid Package",'PCO Log'!$E$7:$SJ$7,"Approved")</f>
        <v>0</v>
      </c>
      <c r="BK217" s="304">
        <f>SUMIFS('PCO Log'!$E41:$SJ41,'PCO Log'!$E$9:$SJ$9,'Graph Data'!BK$187,'PCO Log'!$E$4:$SJ$4,"&lt;&gt;Bid Package",'PCO Log'!$E$7:$SJ$7,"Approved")</f>
        <v>0</v>
      </c>
      <c r="BL217" s="304">
        <f>SUMIFS('PCO Log'!$E41:$SJ41,'PCO Log'!$E$9:$SJ$9,'Graph Data'!BL$187,'PCO Log'!$E$4:$SJ$4,"&lt;&gt;Bid Package",'PCO Log'!$E$7:$SJ$7,"Approved")</f>
        <v>0</v>
      </c>
      <c r="BM217" s="304">
        <f>SUMIFS('PCO Log'!$E41:$SJ41,'PCO Log'!$E$9:$SJ$9,'Graph Data'!BM$187,'PCO Log'!$E$4:$SJ$4,"&lt;&gt;Bid Package",'PCO Log'!$E$7:$SJ$7,"Approved")</f>
        <v>0</v>
      </c>
      <c r="BN217" s="304">
        <f>SUMIFS('PCO Log'!$E41:$SJ41,'PCO Log'!$E$9:$SJ$9,'Graph Data'!BN$187,'PCO Log'!$E$4:$SJ$4,"&lt;&gt;Bid Package",'PCO Log'!$E$7:$SJ$7,"Approved")</f>
        <v>0</v>
      </c>
      <c r="BO217" s="304">
        <f>SUMIFS('PCO Log'!$E41:$SJ41,'PCO Log'!$E$9:$SJ$9,'Graph Data'!BO$187,'PCO Log'!$E$4:$SJ$4,"&lt;&gt;Bid Package",'PCO Log'!$E$7:$SJ$7,"Approved")</f>
        <v>0</v>
      </c>
      <c r="BP217" s="304">
        <f>SUMIFS('PCO Log'!$E41:$SJ41,'PCO Log'!$E$9:$SJ$9,'Graph Data'!BP$187,'PCO Log'!$E$4:$SJ$4,"&lt;&gt;Bid Package",'PCO Log'!$E$7:$SJ$7,"Approved")</f>
        <v>0</v>
      </c>
      <c r="BQ217" s="304">
        <f>SUMIFS('PCO Log'!$E41:$SJ41,'PCO Log'!$E$9:$SJ$9,'Graph Data'!BQ$187,'PCO Log'!$E$4:$SJ$4,"&lt;&gt;Bid Package",'PCO Log'!$E$7:$SJ$7,"Approved")</f>
        <v>0</v>
      </c>
      <c r="BR217" s="304">
        <f>SUMIFS('PCO Log'!$E41:$SJ41,'PCO Log'!$E$9:$SJ$9,'Graph Data'!BR$187,'PCO Log'!$E$4:$SJ$4,"&lt;&gt;Bid Package",'PCO Log'!$E$7:$SJ$7,"Approved")</f>
        <v>0</v>
      </c>
      <c r="BS217" s="304">
        <f>SUMIFS('PCO Log'!$E41:$SJ41,'PCO Log'!$E$9:$SJ$9,'Graph Data'!BS$187,'PCO Log'!$E$4:$SJ$4,"&lt;&gt;Bid Package",'PCO Log'!$E$7:$SJ$7,"Approved")</f>
        <v>0</v>
      </c>
      <c r="BT217" s="304">
        <f>SUMIFS('PCO Log'!$E41:$SJ41,'PCO Log'!$E$9:$SJ$9,'Graph Data'!BT$187,'PCO Log'!$E$4:$SJ$4,"&lt;&gt;Bid Package",'PCO Log'!$E$7:$SJ$7,"Approved")</f>
        <v>0</v>
      </c>
      <c r="BU217" s="304">
        <f>SUMIFS('PCO Log'!$E41:$SJ41,'PCO Log'!$E$9:$SJ$9,'Graph Data'!BU$187,'PCO Log'!$E$4:$SJ$4,"&lt;&gt;Bid Package",'PCO Log'!$E$7:$SJ$7,"Approved")</f>
        <v>0</v>
      </c>
      <c r="BV217" s="304">
        <f>SUMIFS('PCO Log'!$E41:$SJ41,'PCO Log'!$E$9:$SJ$9,'Graph Data'!BV$187,'PCO Log'!$E$4:$SJ$4,"&lt;&gt;Bid Package",'PCO Log'!$E$7:$SJ$7,"Approved")</f>
        <v>0</v>
      </c>
      <c r="BW217" s="304">
        <f>SUMIFS('PCO Log'!$E41:$SJ41,'PCO Log'!$E$9:$SJ$9,'Graph Data'!BW$187,'PCO Log'!$E$4:$SJ$4,"&lt;&gt;Bid Package",'PCO Log'!$E$7:$SJ$7,"Approved")</f>
        <v>0</v>
      </c>
      <c r="BX217" s="304">
        <f>SUMIFS('PCO Log'!$E41:$SJ41,'PCO Log'!$E$9:$SJ$9,'Graph Data'!BX$187,'PCO Log'!$E$4:$SJ$4,"&lt;&gt;Bid Package",'PCO Log'!$E$7:$SJ$7,"Approved")</f>
        <v>0</v>
      </c>
    </row>
    <row r="218" spans="1:76" x14ac:dyDescent="0.25">
      <c r="A218" s="303" t="s">
        <v>568</v>
      </c>
      <c r="B218" s="303">
        <f>'PCO Log'!HM7</f>
        <v>0</v>
      </c>
      <c r="C218" s="303">
        <f>'PCO Log'!HM4</f>
        <v>0</v>
      </c>
      <c r="D218" s="303" cm="1">
        <f t="array" ref="D218">INDEX('PCO Log'!$E$5:$SJ$5, 1, ROWS('Graph Data'!$D$2:D218))</f>
        <v>0</v>
      </c>
      <c r="E218" s="303">
        <f>'PCO Log'!HM8</f>
        <v>0</v>
      </c>
      <c r="F218" s="303">
        <f>'PCO Log'!HM3</f>
        <v>0</v>
      </c>
      <c r="G218" s="304">
        <f>'PCO Log'!HM10</f>
        <v>0</v>
      </c>
      <c r="H218" s="305">
        <f>'PCO Log'!HM6</f>
        <v>0</v>
      </c>
      <c r="K218" s="307"/>
      <c r="P218" s="303" t="str">
        <f t="shared" si="2"/>
        <v>Vapor Retarders</v>
      </c>
      <c r="Q218" s="304">
        <f>SUMIFS('PCO Log'!$E42:$SJ42,'PCO Log'!$E$9:$SJ$9,'Graph Data'!Q$187,'PCO Log'!$E$4:$SJ$4,"&lt;&gt;Bid Package",'PCO Log'!$E$7:$SJ$7,"Approved")</f>
        <v>0</v>
      </c>
      <c r="R218" s="304">
        <f>SUMIFS('PCO Log'!$E42:$SJ42,'PCO Log'!$E$9:$SJ$9,'Graph Data'!R$187,'PCO Log'!$E$4:$SJ$4,"&lt;&gt;Bid Package",'PCO Log'!$E$7:$SJ$7,"Approved")</f>
        <v>0</v>
      </c>
      <c r="S218" s="304">
        <f>SUMIFS('PCO Log'!$E42:$SJ42,'PCO Log'!$E$9:$SJ$9,'Graph Data'!S$187,'PCO Log'!$E$4:$SJ$4,"&lt;&gt;Bid Package",'PCO Log'!$E$7:$SJ$7,"Approved")</f>
        <v>0</v>
      </c>
      <c r="T218" s="304">
        <f>SUMIFS('PCO Log'!$E42:$SJ42,'PCO Log'!$E$9:$SJ$9,'Graph Data'!T$187,'PCO Log'!$E$4:$SJ$4,"&lt;&gt;Bid Package",'PCO Log'!$E$7:$SJ$7,"Approved")</f>
        <v>0</v>
      </c>
      <c r="U218" s="304">
        <f>SUMIFS('PCO Log'!$E42:$SJ42,'PCO Log'!$E$9:$SJ$9,'Graph Data'!U$187,'PCO Log'!$E$4:$SJ$4,"&lt;&gt;Bid Package",'PCO Log'!$E$7:$SJ$7,"Approved")</f>
        <v>0</v>
      </c>
      <c r="V218" s="304">
        <f>SUMIFS('PCO Log'!$E42:$SJ42,'PCO Log'!$E$9:$SJ$9,'Graph Data'!V$187,'PCO Log'!$E$4:$SJ$4,"&lt;&gt;Bid Package",'PCO Log'!$E$7:$SJ$7,"Approved")</f>
        <v>0</v>
      </c>
      <c r="W218" s="304">
        <f>SUMIFS('PCO Log'!$E42:$SJ42,'PCO Log'!$E$9:$SJ$9,'Graph Data'!W$187,'PCO Log'!$E$4:$SJ$4,"&lt;&gt;Bid Package",'PCO Log'!$E$7:$SJ$7,"Approved")</f>
        <v>0</v>
      </c>
      <c r="X218" s="304">
        <f>SUMIFS('PCO Log'!$E42:$SJ42,'PCO Log'!$E$9:$SJ$9,'Graph Data'!X$187,'PCO Log'!$E$4:$SJ$4,"&lt;&gt;Bid Package",'PCO Log'!$E$7:$SJ$7,"Approved")</f>
        <v>0</v>
      </c>
      <c r="Y218" s="304">
        <f>SUMIFS('PCO Log'!$E42:$SJ42,'PCO Log'!$E$9:$SJ$9,'Graph Data'!Y$187,'PCO Log'!$E$4:$SJ$4,"&lt;&gt;Bid Package",'PCO Log'!$E$7:$SJ$7,"Approved")</f>
        <v>0</v>
      </c>
      <c r="Z218" s="304">
        <f>SUMIFS('PCO Log'!$E42:$SJ42,'PCO Log'!$E$9:$SJ$9,'Graph Data'!Z$187,'PCO Log'!$E$4:$SJ$4,"&lt;&gt;Bid Package",'PCO Log'!$E$7:$SJ$7,"Approved")</f>
        <v>0</v>
      </c>
      <c r="AA218" s="304">
        <f>SUMIFS('PCO Log'!$E42:$SJ42,'PCO Log'!$E$9:$SJ$9,'Graph Data'!AA$187,'PCO Log'!$E$4:$SJ$4,"&lt;&gt;Bid Package",'PCO Log'!$E$7:$SJ$7,"Approved")</f>
        <v>0</v>
      </c>
      <c r="AB218" s="304">
        <f>SUMIFS('PCO Log'!$E42:$SJ42,'PCO Log'!$E$9:$SJ$9,'Graph Data'!AB$187,'PCO Log'!$E$4:$SJ$4,"&lt;&gt;Bid Package",'PCO Log'!$E$7:$SJ$7,"Approved")</f>
        <v>0</v>
      </c>
      <c r="AC218" s="304">
        <f>SUMIFS('PCO Log'!$E42:$SJ42,'PCO Log'!$E$9:$SJ$9,'Graph Data'!AC$187,'PCO Log'!$E$4:$SJ$4,"&lt;&gt;Bid Package",'PCO Log'!$E$7:$SJ$7,"Approved")</f>
        <v>0</v>
      </c>
      <c r="AD218" s="304">
        <f>SUMIFS('PCO Log'!$E42:$SJ42,'PCO Log'!$E$9:$SJ$9,'Graph Data'!AD$187,'PCO Log'!$E$4:$SJ$4,"&lt;&gt;Bid Package",'PCO Log'!$E$7:$SJ$7,"Approved")</f>
        <v>0</v>
      </c>
      <c r="AE218" s="304">
        <f>SUMIFS('PCO Log'!$E42:$SJ42,'PCO Log'!$E$9:$SJ$9,'Graph Data'!AE$187,'PCO Log'!$E$4:$SJ$4,"&lt;&gt;Bid Package",'PCO Log'!$E$7:$SJ$7,"Approved")</f>
        <v>0</v>
      </c>
      <c r="AF218" s="304">
        <f>SUMIFS('PCO Log'!$E42:$SJ42,'PCO Log'!$E$9:$SJ$9,'Graph Data'!AF$187,'PCO Log'!$E$4:$SJ$4,"&lt;&gt;Bid Package",'PCO Log'!$E$7:$SJ$7,"Approved")</f>
        <v>0</v>
      </c>
      <c r="AG218" s="304">
        <f>SUMIFS('PCO Log'!$E42:$SJ42,'PCO Log'!$E$9:$SJ$9,'Graph Data'!AG$187,'PCO Log'!$E$4:$SJ$4,"&lt;&gt;Bid Package",'PCO Log'!$E$7:$SJ$7,"Approved")</f>
        <v>0</v>
      </c>
      <c r="AH218" s="304">
        <f>SUMIFS('PCO Log'!$E42:$SJ42,'PCO Log'!$E$9:$SJ$9,'Graph Data'!AH$187,'PCO Log'!$E$4:$SJ$4,"&lt;&gt;Bid Package",'PCO Log'!$E$7:$SJ$7,"Approved")</f>
        <v>0</v>
      </c>
      <c r="AI218" s="304">
        <f>SUMIFS('PCO Log'!$E42:$SJ42,'PCO Log'!$E$9:$SJ$9,'Graph Data'!AI$187,'PCO Log'!$E$4:$SJ$4,"&lt;&gt;Bid Package",'PCO Log'!$E$7:$SJ$7,"Approved")</f>
        <v>0</v>
      </c>
      <c r="AJ218" s="304">
        <f>SUMIFS('PCO Log'!$E42:$SJ42,'PCO Log'!$E$9:$SJ$9,'Graph Data'!AJ$187,'PCO Log'!$E$4:$SJ$4,"&lt;&gt;Bid Package",'PCO Log'!$E$7:$SJ$7,"Approved")</f>
        <v>0</v>
      </c>
      <c r="AK218" s="304">
        <f>SUMIFS('PCO Log'!$E42:$SJ42,'PCO Log'!$E$9:$SJ$9,'Graph Data'!AK$187,'PCO Log'!$E$4:$SJ$4,"&lt;&gt;Bid Package",'PCO Log'!$E$7:$SJ$7,"Approved")</f>
        <v>0</v>
      </c>
      <c r="AL218" s="304">
        <f>SUMIFS('PCO Log'!$E42:$SJ42,'PCO Log'!$E$9:$SJ$9,'Graph Data'!AL$187,'PCO Log'!$E$4:$SJ$4,"&lt;&gt;Bid Package",'PCO Log'!$E$7:$SJ$7,"Approved")</f>
        <v>0</v>
      </c>
      <c r="AM218" s="304">
        <f>SUMIFS('PCO Log'!$E42:$SJ42,'PCO Log'!$E$9:$SJ$9,'Graph Data'!AM$187,'PCO Log'!$E$4:$SJ$4,"&lt;&gt;Bid Package",'PCO Log'!$E$7:$SJ$7,"Approved")</f>
        <v>0</v>
      </c>
      <c r="AN218" s="304">
        <f>SUMIFS('PCO Log'!$E42:$SJ42,'PCO Log'!$E$9:$SJ$9,'Graph Data'!AN$187,'PCO Log'!$E$4:$SJ$4,"&lt;&gt;Bid Package",'PCO Log'!$E$7:$SJ$7,"Approved")</f>
        <v>0</v>
      </c>
      <c r="AO218" s="304">
        <f>SUMIFS('PCO Log'!$E42:$SJ42,'PCO Log'!$E$9:$SJ$9,'Graph Data'!AO$187,'PCO Log'!$E$4:$SJ$4,"&lt;&gt;Bid Package",'PCO Log'!$E$7:$SJ$7,"Approved")</f>
        <v>0</v>
      </c>
      <c r="AP218" s="304">
        <f>SUMIFS('PCO Log'!$E42:$SJ42,'PCO Log'!$E$9:$SJ$9,'Graph Data'!AP$187,'PCO Log'!$E$4:$SJ$4,"&lt;&gt;Bid Package",'PCO Log'!$E$7:$SJ$7,"Approved")</f>
        <v>0</v>
      </c>
      <c r="AQ218" s="304">
        <f>SUMIFS('PCO Log'!$E42:$SJ42,'PCO Log'!$E$9:$SJ$9,'Graph Data'!AQ$187,'PCO Log'!$E$4:$SJ$4,"&lt;&gt;Bid Package",'PCO Log'!$E$7:$SJ$7,"Approved")</f>
        <v>0</v>
      </c>
      <c r="AR218" s="304">
        <f>SUMIFS('PCO Log'!$E42:$SJ42,'PCO Log'!$E$9:$SJ$9,'Graph Data'!AR$187,'PCO Log'!$E$4:$SJ$4,"&lt;&gt;Bid Package",'PCO Log'!$E$7:$SJ$7,"Approved")</f>
        <v>0</v>
      </c>
      <c r="AS218" s="304">
        <f>SUMIFS('PCO Log'!$E42:$SJ42,'PCO Log'!$E$9:$SJ$9,'Graph Data'!AS$187,'PCO Log'!$E$4:$SJ$4,"&lt;&gt;Bid Package",'PCO Log'!$E$7:$SJ$7,"Approved")</f>
        <v>0</v>
      </c>
      <c r="AT218" s="304">
        <f>SUMIFS('PCO Log'!$E42:$SJ42,'PCO Log'!$E$9:$SJ$9,'Graph Data'!AT$187,'PCO Log'!$E$4:$SJ$4,"&lt;&gt;Bid Package",'PCO Log'!$E$7:$SJ$7,"Approved")</f>
        <v>0</v>
      </c>
      <c r="AU218" s="304">
        <f>SUMIFS('PCO Log'!$E42:$SJ42,'PCO Log'!$E$9:$SJ$9,'Graph Data'!AU$187,'PCO Log'!$E$4:$SJ$4,"&lt;&gt;Bid Package",'PCO Log'!$E$7:$SJ$7,"Approved")</f>
        <v>0</v>
      </c>
      <c r="AV218" s="304">
        <f>SUMIFS('PCO Log'!$E42:$SJ42,'PCO Log'!$E$9:$SJ$9,'Graph Data'!AV$187,'PCO Log'!$E$4:$SJ$4,"&lt;&gt;Bid Package",'PCO Log'!$E$7:$SJ$7,"Approved")</f>
        <v>0</v>
      </c>
      <c r="AW218" s="304">
        <f>SUMIFS('PCO Log'!$E42:$SJ42,'PCO Log'!$E$9:$SJ$9,'Graph Data'!AW$187,'PCO Log'!$E$4:$SJ$4,"&lt;&gt;Bid Package",'PCO Log'!$E$7:$SJ$7,"Approved")</f>
        <v>0</v>
      </c>
      <c r="AX218" s="304">
        <f>SUMIFS('PCO Log'!$E42:$SJ42,'PCO Log'!$E$9:$SJ$9,'Graph Data'!AX$187,'PCO Log'!$E$4:$SJ$4,"&lt;&gt;Bid Package",'PCO Log'!$E$7:$SJ$7,"Approved")</f>
        <v>0</v>
      </c>
      <c r="AY218" s="304">
        <f>SUMIFS('PCO Log'!$E42:$SJ42,'PCO Log'!$E$9:$SJ$9,'Graph Data'!AY$187,'PCO Log'!$E$4:$SJ$4,"&lt;&gt;Bid Package",'PCO Log'!$E$7:$SJ$7,"Approved")</f>
        <v>0</v>
      </c>
      <c r="AZ218" s="304">
        <f>SUMIFS('PCO Log'!$E42:$SJ42,'PCO Log'!$E$9:$SJ$9,'Graph Data'!AZ$187,'PCO Log'!$E$4:$SJ$4,"&lt;&gt;Bid Package",'PCO Log'!$E$7:$SJ$7,"Approved")</f>
        <v>0</v>
      </c>
      <c r="BA218" s="304">
        <f>SUMIFS('PCO Log'!$E42:$SJ42,'PCO Log'!$E$9:$SJ$9,'Graph Data'!BA$187,'PCO Log'!$E$4:$SJ$4,"&lt;&gt;Bid Package",'PCO Log'!$E$7:$SJ$7,"Approved")</f>
        <v>0</v>
      </c>
      <c r="BB218" s="304">
        <f>SUMIFS('PCO Log'!$E42:$SJ42,'PCO Log'!$E$9:$SJ$9,'Graph Data'!BB$187,'PCO Log'!$E$4:$SJ$4,"&lt;&gt;Bid Package",'PCO Log'!$E$7:$SJ$7,"Approved")</f>
        <v>0</v>
      </c>
      <c r="BC218" s="304">
        <f>SUMIFS('PCO Log'!$E42:$SJ42,'PCO Log'!$E$9:$SJ$9,'Graph Data'!BC$187,'PCO Log'!$E$4:$SJ$4,"&lt;&gt;Bid Package",'PCO Log'!$E$7:$SJ$7,"Approved")</f>
        <v>0</v>
      </c>
      <c r="BD218" s="304">
        <f>SUMIFS('PCO Log'!$E42:$SJ42,'PCO Log'!$E$9:$SJ$9,'Graph Data'!BD$187,'PCO Log'!$E$4:$SJ$4,"&lt;&gt;Bid Package",'PCO Log'!$E$7:$SJ$7,"Approved")</f>
        <v>0</v>
      </c>
      <c r="BE218" s="304">
        <f>SUMIFS('PCO Log'!$E42:$SJ42,'PCO Log'!$E$9:$SJ$9,'Graph Data'!BE$187,'PCO Log'!$E$4:$SJ$4,"&lt;&gt;Bid Package",'PCO Log'!$E$7:$SJ$7,"Approved")</f>
        <v>0</v>
      </c>
      <c r="BF218" s="304">
        <f>SUMIFS('PCO Log'!$E42:$SJ42,'PCO Log'!$E$9:$SJ$9,'Graph Data'!BF$187,'PCO Log'!$E$4:$SJ$4,"&lt;&gt;Bid Package",'PCO Log'!$E$7:$SJ$7,"Approved")</f>
        <v>0</v>
      </c>
      <c r="BG218" s="304">
        <f>SUMIFS('PCO Log'!$E42:$SJ42,'PCO Log'!$E$9:$SJ$9,'Graph Data'!BG$187,'PCO Log'!$E$4:$SJ$4,"&lt;&gt;Bid Package",'PCO Log'!$E$7:$SJ$7,"Approved")</f>
        <v>0</v>
      </c>
      <c r="BH218" s="304">
        <f>SUMIFS('PCO Log'!$E42:$SJ42,'PCO Log'!$E$9:$SJ$9,'Graph Data'!BH$187,'PCO Log'!$E$4:$SJ$4,"&lt;&gt;Bid Package",'PCO Log'!$E$7:$SJ$7,"Approved")</f>
        <v>0</v>
      </c>
      <c r="BI218" s="304">
        <f>SUMIFS('PCO Log'!$E42:$SJ42,'PCO Log'!$E$9:$SJ$9,'Graph Data'!BI$187,'PCO Log'!$E$4:$SJ$4,"&lt;&gt;Bid Package",'PCO Log'!$E$7:$SJ$7,"Approved")</f>
        <v>0</v>
      </c>
      <c r="BJ218" s="304">
        <f>SUMIFS('PCO Log'!$E42:$SJ42,'PCO Log'!$E$9:$SJ$9,'Graph Data'!BJ$187,'PCO Log'!$E$4:$SJ$4,"&lt;&gt;Bid Package",'PCO Log'!$E$7:$SJ$7,"Approved")</f>
        <v>0</v>
      </c>
      <c r="BK218" s="304">
        <f>SUMIFS('PCO Log'!$E42:$SJ42,'PCO Log'!$E$9:$SJ$9,'Graph Data'!BK$187,'PCO Log'!$E$4:$SJ$4,"&lt;&gt;Bid Package",'PCO Log'!$E$7:$SJ$7,"Approved")</f>
        <v>0</v>
      </c>
      <c r="BL218" s="304">
        <f>SUMIFS('PCO Log'!$E42:$SJ42,'PCO Log'!$E$9:$SJ$9,'Graph Data'!BL$187,'PCO Log'!$E$4:$SJ$4,"&lt;&gt;Bid Package",'PCO Log'!$E$7:$SJ$7,"Approved")</f>
        <v>0</v>
      </c>
      <c r="BM218" s="304">
        <f>SUMIFS('PCO Log'!$E42:$SJ42,'PCO Log'!$E$9:$SJ$9,'Graph Data'!BM$187,'PCO Log'!$E$4:$SJ$4,"&lt;&gt;Bid Package",'PCO Log'!$E$7:$SJ$7,"Approved")</f>
        <v>0</v>
      </c>
      <c r="BN218" s="304">
        <f>SUMIFS('PCO Log'!$E42:$SJ42,'PCO Log'!$E$9:$SJ$9,'Graph Data'!BN$187,'PCO Log'!$E$4:$SJ$4,"&lt;&gt;Bid Package",'PCO Log'!$E$7:$SJ$7,"Approved")</f>
        <v>0</v>
      </c>
      <c r="BO218" s="304">
        <f>SUMIFS('PCO Log'!$E42:$SJ42,'PCO Log'!$E$9:$SJ$9,'Graph Data'!BO$187,'PCO Log'!$E$4:$SJ$4,"&lt;&gt;Bid Package",'PCO Log'!$E$7:$SJ$7,"Approved")</f>
        <v>0</v>
      </c>
      <c r="BP218" s="304">
        <f>SUMIFS('PCO Log'!$E42:$SJ42,'PCO Log'!$E$9:$SJ$9,'Graph Data'!BP$187,'PCO Log'!$E$4:$SJ$4,"&lt;&gt;Bid Package",'PCO Log'!$E$7:$SJ$7,"Approved")</f>
        <v>0</v>
      </c>
      <c r="BQ218" s="304">
        <f>SUMIFS('PCO Log'!$E42:$SJ42,'PCO Log'!$E$9:$SJ$9,'Graph Data'!BQ$187,'PCO Log'!$E$4:$SJ$4,"&lt;&gt;Bid Package",'PCO Log'!$E$7:$SJ$7,"Approved")</f>
        <v>0</v>
      </c>
      <c r="BR218" s="304">
        <f>SUMIFS('PCO Log'!$E42:$SJ42,'PCO Log'!$E$9:$SJ$9,'Graph Data'!BR$187,'PCO Log'!$E$4:$SJ$4,"&lt;&gt;Bid Package",'PCO Log'!$E$7:$SJ$7,"Approved")</f>
        <v>0</v>
      </c>
      <c r="BS218" s="304">
        <f>SUMIFS('PCO Log'!$E42:$SJ42,'PCO Log'!$E$9:$SJ$9,'Graph Data'!BS$187,'PCO Log'!$E$4:$SJ$4,"&lt;&gt;Bid Package",'PCO Log'!$E$7:$SJ$7,"Approved")</f>
        <v>0</v>
      </c>
      <c r="BT218" s="304">
        <f>SUMIFS('PCO Log'!$E42:$SJ42,'PCO Log'!$E$9:$SJ$9,'Graph Data'!BT$187,'PCO Log'!$E$4:$SJ$4,"&lt;&gt;Bid Package",'PCO Log'!$E$7:$SJ$7,"Approved")</f>
        <v>0</v>
      </c>
      <c r="BU218" s="304">
        <f>SUMIFS('PCO Log'!$E42:$SJ42,'PCO Log'!$E$9:$SJ$9,'Graph Data'!BU$187,'PCO Log'!$E$4:$SJ$4,"&lt;&gt;Bid Package",'PCO Log'!$E$7:$SJ$7,"Approved")</f>
        <v>0</v>
      </c>
      <c r="BV218" s="304">
        <f>SUMIFS('PCO Log'!$E42:$SJ42,'PCO Log'!$E$9:$SJ$9,'Graph Data'!BV$187,'PCO Log'!$E$4:$SJ$4,"&lt;&gt;Bid Package",'PCO Log'!$E$7:$SJ$7,"Approved")</f>
        <v>0</v>
      </c>
      <c r="BW218" s="304">
        <f>SUMIFS('PCO Log'!$E42:$SJ42,'PCO Log'!$E$9:$SJ$9,'Graph Data'!BW$187,'PCO Log'!$E$4:$SJ$4,"&lt;&gt;Bid Package",'PCO Log'!$E$7:$SJ$7,"Approved")</f>
        <v>0</v>
      </c>
      <c r="BX218" s="304">
        <f>SUMIFS('PCO Log'!$E42:$SJ42,'PCO Log'!$E$9:$SJ$9,'Graph Data'!BX$187,'PCO Log'!$E$4:$SJ$4,"&lt;&gt;Bid Package",'PCO Log'!$E$7:$SJ$7,"Approved")</f>
        <v>0</v>
      </c>
    </row>
    <row r="219" spans="1:76" x14ac:dyDescent="0.25">
      <c r="A219" s="303" t="s">
        <v>569</v>
      </c>
      <c r="B219" s="303">
        <f>'PCO Log'!HN7</f>
        <v>0</v>
      </c>
      <c r="C219" s="303">
        <f>'PCO Log'!HN4</f>
        <v>0</v>
      </c>
      <c r="D219" s="303" cm="1">
        <f t="array" ref="D219">INDEX('PCO Log'!$E$5:$SJ$5, 1, ROWS('Graph Data'!$D$2:D219))</f>
        <v>0</v>
      </c>
      <c r="E219" s="303">
        <f>'PCO Log'!HN8</f>
        <v>0</v>
      </c>
      <c r="F219" s="303">
        <f>'PCO Log'!HN3</f>
        <v>0</v>
      </c>
      <c r="G219" s="304">
        <f>'PCO Log'!HN10</f>
        <v>0</v>
      </c>
      <c r="H219" s="305">
        <f>'PCO Log'!HN6</f>
        <v>0</v>
      </c>
      <c r="K219" s="307"/>
      <c r="P219" s="303" t="str">
        <f t="shared" si="2"/>
        <v>Roofing</v>
      </c>
      <c r="Q219" s="304">
        <f>SUMIFS('PCO Log'!$E43:$SJ43,'PCO Log'!$E$9:$SJ$9,'Graph Data'!Q$187,'PCO Log'!$E$4:$SJ$4,"&lt;&gt;Bid Package",'PCO Log'!$E$7:$SJ$7,"Approved")</f>
        <v>0</v>
      </c>
      <c r="R219" s="304">
        <f>SUMIFS('PCO Log'!$E43:$SJ43,'PCO Log'!$E$9:$SJ$9,'Graph Data'!R$187,'PCO Log'!$E$4:$SJ$4,"&lt;&gt;Bid Package",'PCO Log'!$E$7:$SJ$7,"Approved")</f>
        <v>0</v>
      </c>
      <c r="S219" s="304">
        <f>SUMIFS('PCO Log'!$E43:$SJ43,'PCO Log'!$E$9:$SJ$9,'Graph Data'!S$187,'PCO Log'!$E$4:$SJ$4,"&lt;&gt;Bid Package",'PCO Log'!$E$7:$SJ$7,"Approved")</f>
        <v>0</v>
      </c>
      <c r="T219" s="304">
        <f>SUMIFS('PCO Log'!$E43:$SJ43,'PCO Log'!$E$9:$SJ$9,'Graph Data'!T$187,'PCO Log'!$E$4:$SJ$4,"&lt;&gt;Bid Package",'PCO Log'!$E$7:$SJ$7,"Approved")</f>
        <v>0</v>
      </c>
      <c r="U219" s="304">
        <f>SUMIFS('PCO Log'!$E43:$SJ43,'PCO Log'!$E$9:$SJ$9,'Graph Data'!U$187,'PCO Log'!$E$4:$SJ$4,"&lt;&gt;Bid Package",'PCO Log'!$E$7:$SJ$7,"Approved")</f>
        <v>0</v>
      </c>
      <c r="V219" s="304">
        <f>SUMIFS('PCO Log'!$E43:$SJ43,'PCO Log'!$E$9:$SJ$9,'Graph Data'!V$187,'PCO Log'!$E$4:$SJ$4,"&lt;&gt;Bid Package",'PCO Log'!$E$7:$SJ$7,"Approved")</f>
        <v>0</v>
      </c>
      <c r="W219" s="304">
        <f>SUMIFS('PCO Log'!$E43:$SJ43,'PCO Log'!$E$9:$SJ$9,'Graph Data'!W$187,'PCO Log'!$E$4:$SJ$4,"&lt;&gt;Bid Package",'PCO Log'!$E$7:$SJ$7,"Approved")</f>
        <v>0</v>
      </c>
      <c r="X219" s="304">
        <f>SUMIFS('PCO Log'!$E43:$SJ43,'PCO Log'!$E$9:$SJ$9,'Graph Data'!X$187,'PCO Log'!$E$4:$SJ$4,"&lt;&gt;Bid Package",'PCO Log'!$E$7:$SJ$7,"Approved")</f>
        <v>0</v>
      </c>
      <c r="Y219" s="304">
        <f>SUMIFS('PCO Log'!$E43:$SJ43,'PCO Log'!$E$9:$SJ$9,'Graph Data'!Y$187,'PCO Log'!$E$4:$SJ$4,"&lt;&gt;Bid Package",'PCO Log'!$E$7:$SJ$7,"Approved")</f>
        <v>0</v>
      </c>
      <c r="Z219" s="304">
        <f>SUMIFS('PCO Log'!$E43:$SJ43,'PCO Log'!$E$9:$SJ$9,'Graph Data'!Z$187,'PCO Log'!$E$4:$SJ$4,"&lt;&gt;Bid Package",'PCO Log'!$E$7:$SJ$7,"Approved")</f>
        <v>0</v>
      </c>
      <c r="AA219" s="304">
        <f>SUMIFS('PCO Log'!$E43:$SJ43,'PCO Log'!$E$9:$SJ$9,'Graph Data'!AA$187,'PCO Log'!$E$4:$SJ$4,"&lt;&gt;Bid Package",'PCO Log'!$E$7:$SJ$7,"Approved")</f>
        <v>0</v>
      </c>
      <c r="AB219" s="304">
        <f>SUMIFS('PCO Log'!$E43:$SJ43,'PCO Log'!$E$9:$SJ$9,'Graph Data'!AB$187,'PCO Log'!$E$4:$SJ$4,"&lt;&gt;Bid Package",'PCO Log'!$E$7:$SJ$7,"Approved")</f>
        <v>0</v>
      </c>
      <c r="AC219" s="304">
        <f>SUMIFS('PCO Log'!$E43:$SJ43,'PCO Log'!$E$9:$SJ$9,'Graph Data'!AC$187,'PCO Log'!$E$4:$SJ$4,"&lt;&gt;Bid Package",'PCO Log'!$E$7:$SJ$7,"Approved")</f>
        <v>0</v>
      </c>
      <c r="AD219" s="304">
        <f>SUMIFS('PCO Log'!$E43:$SJ43,'PCO Log'!$E$9:$SJ$9,'Graph Data'!AD$187,'PCO Log'!$E$4:$SJ$4,"&lt;&gt;Bid Package",'PCO Log'!$E$7:$SJ$7,"Approved")</f>
        <v>0</v>
      </c>
      <c r="AE219" s="304">
        <f>SUMIFS('PCO Log'!$E43:$SJ43,'PCO Log'!$E$9:$SJ$9,'Graph Data'!AE$187,'PCO Log'!$E$4:$SJ$4,"&lt;&gt;Bid Package",'PCO Log'!$E$7:$SJ$7,"Approved")</f>
        <v>0</v>
      </c>
      <c r="AF219" s="304">
        <f>SUMIFS('PCO Log'!$E43:$SJ43,'PCO Log'!$E$9:$SJ$9,'Graph Data'!AF$187,'PCO Log'!$E$4:$SJ$4,"&lt;&gt;Bid Package",'PCO Log'!$E$7:$SJ$7,"Approved")</f>
        <v>0</v>
      </c>
      <c r="AG219" s="304">
        <f>SUMIFS('PCO Log'!$E43:$SJ43,'PCO Log'!$E$9:$SJ$9,'Graph Data'!AG$187,'PCO Log'!$E$4:$SJ$4,"&lt;&gt;Bid Package",'PCO Log'!$E$7:$SJ$7,"Approved")</f>
        <v>0</v>
      </c>
      <c r="AH219" s="304">
        <f>SUMIFS('PCO Log'!$E43:$SJ43,'PCO Log'!$E$9:$SJ$9,'Graph Data'!AH$187,'PCO Log'!$E$4:$SJ$4,"&lt;&gt;Bid Package",'PCO Log'!$E$7:$SJ$7,"Approved")</f>
        <v>0</v>
      </c>
      <c r="AI219" s="304">
        <f>SUMIFS('PCO Log'!$E43:$SJ43,'PCO Log'!$E$9:$SJ$9,'Graph Data'!AI$187,'PCO Log'!$E$4:$SJ$4,"&lt;&gt;Bid Package",'PCO Log'!$E$7:$SJ$7,"Approved")</f>
        <v>0</v>
      </c>
      <c r="AJ219" s="304">
        <f>SUMIFS('PCO Log'!$E43:$SJ43,'PCO Log'!$E$9:$SJ$9,'Graph Data'!AJ$187,'PCO Log'!$E$4:$SJ$4,"&lt;&gt;Bid Package",'PCO Log'!$E$7:$SJ$7,"Approved")</f>
        <v>0</v>
      </c>
      <c r="AK219" s="304">
        <f>SUMIFS('PCO Log'!$E43:$SJ43,'PCO Log'!$E$9:$SJ$9,'Graph Data'!AK$187,'PCO Log'!$E$4:$SJ$4,"&lt;&gt;Bid Package",'PCO Log'!$E$7:$SJ$7,"Approved")</f>
        <v>0</v>
      </c>
      <c r="AL219" s="304">
        <f>SUMIFS('PCO Log'!$E43:$SJ43,'PCO Log'!$E$9:$SJ$9,'Graph Data'!AL$187,'PCO Log'!$E$4:$SJ$4,"&lt;&gt;Bid Package",'PCO Log'!$E$7:$SJ$7,"Approved")</f>
        <v>0</v>
      </c>
      <c r="AM219" s="304">
        <f>SUMIFS('PCO Log'!$E43:$SJ43,'PCO Log'!$E$9:$SJ$9,'Graph Data'!AM$187,'PCO Log'!$E$4:$SJ$4,"&lt;&gt;Bid Package",'PCO Log'!$E$7:$SJ$7,"Approved")</f>
        <v>0</v>
      </c>
      <c r="AN219" s="304">
        <f>SUMIFS('PCO Log'!$E43:$SJ43,'PCO Log'!$E$9:$SJ$9,'Graph Data'!AN$187,'PCO Log'!$E$4:$SJ$4,"&lt;&gt;Bid Package",'PCO Log'!$E$7:$SJ$7,"Approved")</f>
        <v>0</v>
      </c>
      <c r="AO219" s="304">
        <f>SUMIFS('PCO Log'!$E43:$SJ43,'PCO Log'!$E$9:$SJ$9,'Graph Data'!AO$187,'PCO Log'!$E$4:$SJ$4,"&lt;&gt;Bid Package",'PCO Log'!$E$7:$SJ$7,"Approved")</f>
        <v>0</v>
      </c>
      <c r="AP219" s="304">
        <f>SUMIFS('PCO Log'!$E43:$SJ43,'PCO Log'!$E$9:$SJ$9,'Graph Data'!AP$187,'PCO Log'!$E$4:$SJ$4,"&lt;&gt;Bid Package",'PCO Log'!$E$7:$SJ$7,"Approved")</f>
        <v>0</v>
      </c>
      <c r="AQ219" s="304">
        <f>SUMIFS('PCO Log'!$E43:$SJ43,'PCO Log'!$E$9:$SJ$9,'Graph Data'!AQ$187,'PCO Log'!$E$4:$SJ$4,"&lt;&gt;Bid Package",'PCO Log'!$E$7:$SJ$7,"Approved")</f>
        <v>0</v>
      </c>
      <c r="AR219" s="304">
        <f>SUMIFS('PCO Log'!$E43:$SJ43,'PCO Log'!$E$9:$SJ$9,'Graph Data'!AR$187,'PCO Log'!$E$4:$SJ$4,"&lt;&gt;Bid Package",'PCO Log'!$E$7:$SJ$7,"Approved")</f>
        <v>0</v>
      </c>
      <c r="AS219" s="304">
        <f>SUMIFS('PCO Log'!$E43:$SJ43,'PCO Log'!$E$9:$SJ$9,'Graph Data'!AS$187,'PCO Log'!$E$4:$SJ$4,"&lt;&gt;Bid Package",'PCO Log'!$E$7:$SJ$7,"Approved")</f>
        <v>0</v>
      </c>
      <c r="AT219" s="304">
        <f>SUMIFS('PCO Log'!$E43:$SJ43,'PCO Log'!$E$9:$SJ$9,'Graph Data'!AT$187,'PCO Log'!$E$4:$SJ$4,"&lt;&gt;Bid Package",'PCO Log'!$E$7:$SJ$7,"Approved")</f>
        <v>0</v>
      </c>
      <c r="AU219" s="304">
        <f>SUMIFS('PCO Log'!$E43:$SJ43,'PCO Log'!$E$9:$SJ$9,'Graph Data'!AU$187,'PCO Log'!$E$4:$SJ$4,"&lt;&gt;Bid Package",'PCO Log'!$E$7:$SJ$7,"Approved")</f>
        <v>0</v>
      </c>
      <c r="AV219" s="304">
        <f>SUMIFS('PCO Log'!$E43:$SJ43,'PCO Log'!$E$9:$SJ$9,'Graph Data'!AV$187,'PCO Log'!$E$4:$SJ$4,"&lt;&gt;Bid Package",'PCO Log'!$E$7:$SJ$7,"Approved")</f>
        <v>0</v>
      </c>
      <c r="AW219" s="304">
        <f>SUMIFS('PCO Log'!$E43:$SJ43,'PCO Log'!$E$9:$SJ$9,'Graph Data'!AW$187,'PCO Log'!$E$4:$SJ$4,"&lt;&gt;Bid Package",'PCO Log'!$E$7:$SJ$7,"Approved")</f>
        <v>0</v>
      </c>
      <c r="AX219" s="304">
        <f>SUMIFS('PCO Log'!$E43:$SJ43,'PCO Log'!$E$9:$SJ$9,'Graph Data'!AX$187,'PCO Log'!$E$4:$SJ$4,"&lt;&gt;Bid Package",'PCO Log'!$E$7:$SJ$7,"Approved")</f>
        <v>0</v>
      </c>
      <c r="AY219" s="304">
        <f>SUMIFS('PCO Log'!$E43:$SJ43,'PCO Log'!$E$9:$SJ$9,'Graph Data'!AY$187,'PCO Log'!$E$4:$SJ$4,"&lt;&gt;Bid Package",'PCO Log'!$E$7:$SJ$7,"Approved")</f>
        <v>0</v>
      </c>
      <c r="AZ219" s="304">
        <f>SUMIFS('PCO Log'!$E43:$SJ43,'PCO Log'!$E$9:$SJ$9,'Graph Data'!AZ$187,'PCO Log'!$E$4:$SJ$4,"&lt;&gt;Bid Package",'PCO Log'!$E$7:$SJ$7,"Approved")</f>
        <v>0</v>
      </c>
      <c r="BA219" s="304">
        <f>SUMIFS('PCO Log'!$E43:$SJ43,'PCO Log'!$E$9:$SJ$9,'Graph Data'!BA$187,'PCO Log'!$E$4:$SJ$4,"&lt;&gt;Bid Package",'PCO Log'!$E$7:$SJ$7,"Approved")</f>
        <v>0</v>
      </c>
      <c r="BB219" s="304">
        <f>SUMIFS('PCO Log'!$E43:$SJ43,'PCO Log'!$E$9:$SJ$9,'Graph Data'!BB$187,'PCO Log'!$E$4:$SJ$4,"&lt;&gt;Bid Package",'PCO Log'!$E$7:$SJ$7,"Approved")</f>
        <v>0</v>
      </c>
      <c r="BC219" s="304">
        <f>SUMIFS('PCO Log'!$E43:$SJ43,'PCO Log'!$E$9:$SJ$9,'Graph Data'!BC$187,'PCO Log'!$E$4:$SJ$4,"&lt;&gt;Bid Package",'PCO Log'!$E$7:$SJ$7,"Approved")</f>
        <v>0</v>
      </c>
      <c r="BD219" s="304">
        <f>SUMIFS('PCO Log'!$E43:$SJ43,'PCO Log'!$E$9:$SJ$9,'Graph Data'!BD$187,'PCO Log'!$E$4:$SJ$4,"&lt;&gt;Bid Package",'PCO Log'!$E$7:$SJ$7,"Approved")</f>
        <v>0</v>
      </c>
      <c r="BE219" s="304">
        <f>SUMIFS('PCO Log'!$E43:$SJ43,'PCO Log'!$E$9:$SJ$9,'Graph Data'!BE$187,'PCO Log'!$E$4:$SJ$4,"&lt;&gt;Bid Package",'PCO Log'!$E$7:$SJ$7,"Approved")</f>
        <v>0</v>
      </c>
      <c r="BF219" s="304">
        <f>SUMIFS('PCO Log'!$E43:$SJ43,'PCO Log'!$E$9:$SJ$9,'Graph Data'!BF$187,'PCO Log'!$E$4:$SJ$4,"&lt;&gt;Bid Package",'PCO Log'!$E$7:$SJ$7,"Approved")</f>
        <v>0</v>
      </c>
      <c r="BG219" s="304">
        <f>SUMIFS('PCO Log'!$E43:$SJ43,'PCO Log'!$E$9:$SJ$9,'Graph Data'!BG$187,'PCO Log'!$E$4:$SJ$4,"&lt;&gt;Bid Package",'PCO Log'!$E$7:$SJ$7,"Approved")</f>
        <v>0</v>
      </c>
      <c r="BH219" s="304">
        <f>SUMIFS('PCO Log'!$E43:$SJ43,'PCO Log'!$E$9:$SJ$9,'Graph Data'!BH$187,'PCO Log'!$E$4:$SJ$4,"&lt;&gt;Bid Package",'PCO Log'!$E$7:$SJ$7,"Approved")</f>
        <v>0</v>
      </c>
      <c r="BI219" s="304">
        <f>SUMIFS('PCO Log'!$E43:$SJ43,'PCO Log'!$E$9:$SJ$9,'Graph Data'!BI$187,'PCO Log'!$E$4:$SJ$4,"&lt;&gt;Bid Package",'PCO Log'!$E$7:$SJ$7,"Approved")</f>
        <v>0</v>
      </c>
      <c r="BJ219" s="304">
        <f>SUMIFS('PCO Log'!$E43:$SJ43,'PCO Log'!$E$9:$SJ$9,'Graph Data'!BJ$187,'PCO Log'!$E$4:$SJ$4,"&lt;&gt;Bid Package",'PCO Log'!$E$7:$SJ$7,"Approved")</f>
        <v>0</v>
      </c>
      <c r="BK219" s="304">
        <f>SUMIFS('PCO Log'!$E43:$SJ43,'PCO Log'!$E$9:$SJ$9,'Graph Data'!BK$187,'PCO Log'!$E$4:$SJ$4,"&lt;&gt;Bid Package",'PCO Log'!$E$7:$SJ$7,"Approved")</f>
        <v>0</v>
      </c>
      <c r="BL219" s="304">
        <f>SUMIFS('PCO Log'!$E43:$SJ43,'PCO Log'!$E$9:$SJ$9,'Graph Data'!BL$187,'PCO Log'!$E$4:$SJ$4,"&lt;&gt;Bid Package",'PCO Log'!$E$7:$SJ$7,"Approved")</f>
        <v>0</v>
      </c>
      <c r="BM219" s="304">
        <f>SUMIFS('PCO Log'!$E43:$SJ43,'PCO Log'!$E$9:$SJ$9,'Graph Data'!BM$187,'PCO Log'!$E$4:$SJ$4,"&lt;&gt;Bid Package",'PCO Log'!$E$7:$SJ$7,"Approved")</f>
        <v>0</v>
      </c>
      <c r="BN219" s="304">
        <f>SUMIFS('PCO Log'!$E43:$SJ43,'PCO Log'!$E$9:$SJ$9,'Graph Data'!BN$187,'PCO Log'!$E$4:$SJ$4,"&lt;&gt;Bid Package",'PCO Log'!$E$7:$SJ$7,"Approved")</f>
        <v>0</v>
      </c>
      <c r="BO219" s="304">
        <f>SUMIFS('PCO Log'!$E43:$SJ43,'PCO Log'!$E$9:$SJ$9,'Graph Data'!BO$187,'PCO Log'!$E$4:$SJ$4,"&lt;&gt;Bid Package",'PCO Log'!$E$7:$SJ$7,"Approved")</f>
        <v>0</v>
      </c>
      <c r="BP219" s="304">
        <f>SUMIFS('PCO Log'!$E43:$SJ43,'PCO Log'!$E$9:$SJ$9,'Graph Data'!BP$187,'PCO Log'!$E$4:$SJ$4,"&lt;&gt;Bid Package",'PCO Log'!$E$7:$SJ$7,"Approved")</f>
        <v>0</v>
      </c>
      <c r="BQ219" s="304">
        <f>SUMIFS('PCO Log'!$E43:$SJ43,'PCO Log'!$E$9:$SJ$9,'Graph Data'!BQ$187,'PCO Log'!$E$4:$SJ$4,"&lt;&gt;Bid Package",'PCO Log'!$E$7:$SJ$7,"Approved")</f>
        <v>0</v>
      </c>
      <c r="BR219" s="304">
        <f>SUMIFS('PCO Log'!$E43:$SJ43,'PCO Log'!$E$9:$SJ$9,'Graph Data'!BR$187,'PCO Log'!$E$4:$SJ$4,"&lt;&gt;Bid Package",'PCO Log'!$E$7:$SJ$7,"Approved")</f>
        <v>0</v>
      </c>
      <c r="BS219" s="304">
        <f>SUMIFS('PCO Log'!$E43:$SJ43,'PCO Log'!$E$9:$SJ$9,'Graph Data'!BS$187,'PCO Log'!$E$4:$SJ$4,"&lt;&gt;Bid Package",'PCO Log'!$E$7:$SJ$7,"Approved")</f>
        <v>0</v>
      </c>
      <c r="BT219" s="304">
        <f>SUMIFS('PCO Log'!$E43:$SJ43,'PCO Log'!$E$9:$SJ$9,'Graph Data'!BT$187,'PCO Log'!$E$4:$SJ$4,"&lt;&gt;Bid Package",'PCO Log'!$E$7:$SJ$7,"Approved")</f>
        <v>0</v>
      </c>
      <c r="BU219" s="304">
        <f>SUMIFS('PCO Log'!$E43:$SJ43,'PCO Log'!$E$9:$SJ$9,'Graph Data'!BU$187,'PCO Log'!$E$4:$SJ$4,"&lt;&gt;Bid Package",'PCO Log'!$E$7:$SJ$7,"Approved")</f>
        <v>0</v>
      </c>
      <c r="BV219" s="304">
        <f>SUMIFS('PCO Log'!$E43:$SJ43,'PCO Log'!$E$9:$SJ$9,'Graph Data'!BV$187,'PCO Log'!$E$4:$SJ$4,"&lt;&gt;Bid Package",'PCO Log'!$E$7:$SJ$7,"Approved")</f>
        <v>0</v>
      </c>
      <c r="BW219" s="304">
        <f>SUMIFS('PCO Log'!$E43:$SJ43,'PCO Log'!$E$9:$SJ$9,'Graph Data'!BW$187,'PCO Log'!$E$4:$SJ$4,"&lt;&gt;Bid Package",'PCO Log'!$E$7:$SJ$7,"Approved")</f>
        <v>0</v>
      </c>
      <c r="BX219" s="304">
        <f>SUMIFS('PCO Log'!$E43:$SJ43,'PCO Log'!$E$9:$SJ$9,'Graph Data'!BX$187,'PCO Log'!$E$4:$SJ$4,"&lt;&gt;Bid Package",'PCO Log'!$E$7:$SJ$7,"Approved")</f>
        <v>0</v>
      </c>
    </row>
    <row r="220" spans="1:76" x14ac:dyDescent="0.25">
      <c r="A220" s="303" t="s">
        <v>570</v>
      </c>
      <c r="B220" s="303">
        <f>'PCO Log'!HO7</f>
        <v>0</v>
      </c>
      <c r="C220" s="303">
        <f>'PCO Log'!HO4</f>
        <v>0</v>
      </c>
      <c r="D220" s="303" cm="1">
        <f t="array" ref="D220">INDEX('PCO Log'!$E$5:$SJ$5, 1, ROWS('Graph Data'!$D$2:D220))</f>
        <v>0</v>
      </c>
      <c r="E220" s="303">
        <f>'PCO Log'!HO8</f>
        <v>0</v>
      </c>
      <c r="F220" s="303">
        <f>'PCO Log'!HO3</f>
        <v>0</v>
      </c>
      <c r="G220" s="304">
        <f>'PCO Log'!HO10</f>
        <v>0</v>
      </c>
      <c r="H220" s="305">
        <f>'PCO Log'!HO6</f>
        <v>0</v>
      </c>
      <c r="K220" s="307"/>
      <c r="P220" s="303" t="str">
        <f t="shared" ref="P220:P230" si="3">P34</f>
        <v>Metal Panels</v>
      </c>
      <c r="Q220" s="304">
        <f>SUMIFS('PCO Log'!$E44:$SJ44,'PCO Log'!$E$9:$SJ$9,'Graph Data'!Q$187,'PCO Log'!$E$4:$SJ$4,"&lt;&gt;Bid Package",'PCO Log'!$E$7:$SJ$7,"Approved")</f>
        <v>0</v>
      </c>
      <c r="R220" s="304">
        <f>SUMIFS('PCO Log'!$E44:$SJ44,'PCO Log'!$E$9:$SJ$9,'Graph Data'!R$187,'PCO Log'!$E$4:$SJ$4,"&lt;&gt;Bid Package",'PCO Log'!$E$7:$SJ$7,"Approved")</f>
        <v>0</v>
      </c>
      <c r="S220" s="304">
        <f>SUMIFS('PCO Log'!$E44:$SJ44,'PCO Log'!$E$9:$SJ$9,'Graph Data'!S$187,'PCO Log'!$E$4:$SJ$4,"&lt;&gt;Bid Package",'PCO Log'!$E$7:$SJ$7,"Approved")</f>
        <v>0</v>
      </c>
      <c r="T220" s="304">
        <f>SUMIFS('PCO Log'!$E44:$SJ44,'PCO Log'!$E$9:$SJ$9,'Graph Data'!T$187,'PCO Log'!$E$4:$SJ$4,"&lt;&gt;Bid Package",'PCO Log'!$E$7:$SJ$7,"Approved")</f>
        <v>0</v>
      </c>
      <c r="U220" s="304">
        <f>SUMIFS('PCO Log'!$E44:$SJ44,'PCO Log'!$E$9:$SJ$9,'Graph Data'!U$187,'PCO Log'!$E$4:$SJ$4,"&lt;&gt;Bid Package",'PCO Log'!$E$7:$SJ$7,"Approved")</f>
        <v>0</v>
      </c>
      <c r="V220" s="304">
        <f>SUMIFS('PCO Log'!$E44:$SJ44,'PCO Log'!$E$9:$SJ$9,'Graph Data'!V$187,'PCO Log'!$E$4:$SJ$4,"&lt;&gt;Bid Package",'PCO Log'!$E$7:$SJ$7,"Approved")</f>
        <v>0</v>
      </c>
      <c r="W220" s="304">
        <f>SUMIFS('PCO Log'!$E44:$SJ44,'PCO Log'!$E$9:$SJ$9,'Graph Data'!W$187,'PCO Log'!$E$4:$SJ$4,"&lt;&gt;Bid Package",'PCO Log'!$E$7:$SJ$7,"Approved")</f>
        <v>0</v>
      </c>
      <c r="X220" s="304">
        <f>SUMIFS('PCO Log'!$E44:$SJ44,'PCO Log'!$E$9:$SJ$9,'Graph Data'!X$187,'PCO Log'!$E$4:$SJ$4,"&lt;&gt;Bid Package",'PCO Log'!$E$7:$SJ$7,"Approved")</f>
        <v>0</v>
      </c>
      <c r="Y220" s="304">
        <f>SUMIFS('PCO Log'!$E44:$SJ44,'PCO Log'!$E$9:$SJ$9,'Graph Data'!Y$187,'PCO Log'!$E$4:$SJ$4,"&lt;&gt;Bid Package",'PCO Log'!$E$7:$SJ$7,"Approved")</f>
        <v>0</v>
      </c>
      <c r="Z220" s="304">
        <f>SUMIFS('PCO Log'!$E44:$SJ44,'PCO Log'!$E$9:$SJ$9,'Graph Data'!Z$187,'PCO Log'!$E$4:$SJ$4,"&lt;&gt;Bid Package",'PCO Log'!$E$7:$SJ$7,"Approved")</f>
        <v>0</v>
      </c>
      <c r="AA220" s="304">
        <f>SUMIFS('PCO Log'!$E44:$SJ44,'PCO Log'!$E$9:$SJ$9,'Graph Data'!AA$187,'PCO Log'!$E$4:$SJ$4,"&lt;&gt;Bid Package",'PCO Log'!$E$7:$SJ$7,"Approved")</f>
        <v>0</v>
      </c>
      <c r="AB220" s="304">
        <f>SUMIFS('PCO Log'!$E44:$SJ44,'PCO Log'!$E$9:$SJ$9,'Graph Data'!AB$187,'PCO Log'!$E$4:$SJ$4,"&lt;&gt;Bid Package",'PCO Log'!$E$7:$SJ$7,"Approved")</f>
        <v>0</v>
      </c>
      <c r="AC220" s="304">
        <f>SUMIFS('PCO Log'!$E44:$SJ44,'PCO Log'!$E$9:$SJ$9,'Graph Data'!AC$187,'PCO Log'!$E$4:$SJ$4,"&lt;&gt;Bid Package",'PCO Log'!$E$7:$SJ$7,"Approved")</f>
        <v>0</v>
      </c>
      <c r="AD220" s="304">
        <f>SUMIFS('PCO Log'!$E44:$SJ44,'PCO Log'!$E$9:$SJ$9,'Graph Data'!AD$187,'PCO Log'!$E$4:$SJ$4,"&lt;&gt;Bid Package",'PCO Log'!$E$7:$SJ$7,"Approved")</f>
        <v>0</v>
      </c>
      <c r="AE220" s="304">
        <f>SUMIFS('PCO Log'!$E44:$SJ44,'PCO Log'!$E$9:$SJ$9,'Graph Data'!AE$187,'PCO Log'!$E$4:$SJ$4,"&lt;&gt;Bid Package",'PCO Log'!$E$7:$SJ$7,"Approved")</f>
        <v>0</v>
      </c>
      <c r="AF220" s="304">
        <f>SUMIFS('PCO Log'!$E44:$SJ44,'PCO Log'!$E$9:$SJ$9,'Graph Data'!AF$187,'PCO Log'!$E$4:$SJ$4,"&lt;&gt;Bid Package",'PCO Log'!$E$7:$SJ$7,"Approved")</f>
        <v>0</v>
      </c>
      <c r="AG220" s="304">
        <f>SUMIFS('PCO Log'!$E44:$SJ44,'PCO Log'!$E$9:$SJ$9,'Graph Data'!AG$187,'PCO Log'!$E$4:$SJ$4,"&lt;&gt;Bid Package",'PCO Log'!$E$7:$SJ$7,"Approved")</f>
        <v>0</v>
      </c>
      <c r="AH220" s="304">
        <f>SUMIFS('PCO Log'!$E44:$SJ44,'PCO Log'!$E$9:$SJ$9,'Graph Data'!AH$187,'PCO Log'!$E$4:$SJ$4,"&lt;&gt;Bid Package",'PCO Log'!$E$7:$SJ$7,"Approved")</f>
        <v>0</v>
      </c>
      <c r="AI220" s="304">
        <f>SUMIFS('PCO Log'!$E44:$SJ44,'PCO Log'!$E$9:$SJ$9,'Graph Data'!AI$187,'PCO Log'!$E$4:$SJ$4,"&lt;&gt;Bid Package",'PCO Log'!$E$7:$SJ$7,"Approved")</f>
        <v>0</v>
      </c>
      <c r="AJ220" s="304">
        <f>SUMIFS('PCO Log'!$E44:$SJ44,'PCO Log'!$E$9:$SJ$9,'Graph Data'!AJ$187,'PCO Log'!$E$4:$SJ$4,"&lt;&gt;Bid Package",'PCO Log'!$E$7:$SJ$7,"Approved")</f>
        <v>0</v>
      </c>
      <c r="AK220" s="304">
        <f>SUMIFS('PCO Log'!$E44:$SJ44,'PCO Log'!$E$9:$SJ$9,'Graph Data'!AK$187,'PCO Log'!$E$4:$SJ$4,"&lt;&gt;Bid Package",'PCO Log'!$E$7:$SJ$7,"Approved")</f>
        <v>0</v>
      </c>
      <c r="AL220" s="304">
        <f>SUMIFS('PCO Log'!$E44:$SJ44,'PCO Log'!$E$9:$SJ$9,'Graph Data'!AL$187,'PCO Log'!$E$4:$SJ$4,"&lt;&gt;Bid Package",'PCO Log'!$E$7:$SJ$7,"Approved")</f>
        <v>0</v>
      </c>
      <c r="AM220" s="304">
        <f>SUMIFS('PCO Log'!$E44:$SJ44,'PCO Log'!$E$9:$SJ$9,'Graph Data'!AM$187,'PCO Log'!$E$4:$SJ$4,"&lt;&gt;Bid Package",'PCO Log'!$E$7:$SJ$7,"Approved")</f>
        <v>0</v>
      </c>
      <c r="AN220" s="304">
        <f>SUMIFS('PCO Log'!$E44:$SJ44,'PCO Log'!$E$9:$SJ$9,'Graph Data'!AN$187,'PCO Log'!$E$4:$SJ$4,"&lt;&gt;Bid Package",'PCO Log'!$E$7:$SJ$7,"Approved")</f>
        <v>0</v>
      </c>
      <c r="AO220" s="304">
        <f>SUMIFS('PCO Log'!$E44:$SJ44,'PCO Log'!$E$9:$SJ$9,'Graph Data'!AO$187,'PCO Log'!$E$4:$SJ$4,"&lt;&gt;Bid Package",'PCO Log'!$E$7:$SJ$7,"Approved")</f>
        <v>0</v>
      </c>
      <c r="AP220" s="304">
        <f>SUMIFS('PCO Log'!$E44:$SJ44,'PCO Log'!$E$9:$SJ$9,'Graph Data'!AP$187,'PCO Log'!$E$4:$SJ$4,"&lt;&gt;Bid Package",'PCO Log'!$E$7:$SJ$7,"Approved")</f>
        <v>0</v>
      </c>
      <c r="AQ220" s="304">
        <f>SUMIFS('PCO Log'!$E44:$SJ44,'PCO Log'!$E$9:$SJ$9,'Graph Data'!AQ$187,'PCO Log'!$E$4:$SJ$4,"&lt;&gt;Bid Package",'PCO Log'!$E$7:$SJ$7,"Approved")</f>
        <v>0</v>
      </c>
      <c r="AR220" s="304">
        <f>SUMIFS('PCO Log'!$E44:$SJ44,'PCO Log'!$E$9:$SJ$9,'Graph Data'!AR$187,'PCO Log'!$E$4:$SJ$4,"&lt;&gt;Bid Package",'PCO Log'!$E$7:$SJ$7,"Approved")</f>
        <v>0</v>
      </c>
      <c r="AS220" s="304">
        <f>SUMIFS('PCO Log'!$E44:$SJ44,'PCO Log'!$E$9:$SJ$9,'Graph Data'!AS$187,'PCO Log'!$E$4:$SJ$4,"&lt;&gt;Bid Package",'PCO Log'!$E$7:$SJ$7,"Approved")</f>
        <v>0</v>
      </c>
      <c r="AT220" s="304">
        <f>SUMIFS('PCO Log'!$E44:$SJ44,'PCO Log'!$E$9:$SJ$9,'Graph Data'!AT$187,'PCO Log'!$E$4:$SJ$4,"&lt;&gt;Bid Package",'PCO Log'!$E$7:$SJ$7,"Approved")</f>
        <v>0</v>
      </c>
      <c r="AU220" s="304">
        <f>SUMIFS('PCO Log'!$E44:$SJ44,'PCO Log'!$E$9:$SJ$9,'Graph Data'!AU$187,'PCO Log'!$E$4:$SJ$4,"&lt;&gt;Bid Package",'PCO Log'!$E$7:$SJ$7,"Approved")</f>
        <v>0</v>
      </c>
      <c r="AV220" s="304">
        <f>SUMIFS('PCO Log'!$E44:$SJ44,'PCO Log'!$E$9:$SJ$9,'Graph Data'!AV$187,'PCO Log'!$E$4:$SJ$4,"&lt;&gt;Bid Package",'PCO Log'!$E$7:$SJ$7,"Approved")</f>
        <v>0</v>
      </c>
      <c r="AW220" s="304">
        <f>SUMIFS('PCO Log'!$E44:$SJ44,'PCO Log'!$E$9:$SJ$9,'Graph Data'!AW$187,'PCO Log'!$E$4:$SJ$4,"&lt;&gt;Bid Package",'PCO Log'!$E$7:$SJ$7,"Approved")</f>
        <v>0</v>
      </c>
      <c r="AX220" s="304">
        <f>SUMIFS('PCO Log'!$E44:$SJ44,'PCO Log'!$E$9:$SJ$9,'Graph Data'!AX$187,'PCO Log'!$E$4:$SJ$4,"&lt;&gt;Bid Package",'PCO Log'!$E$7:$SJ$7,"Approved")</f>
        <v>0</v>
      </c>
      <c r="AY220" s="304">
        <f>SUMIFS('PCO Log'!$E44:$SJ44,'PCO Log'!$E$9:$SJ$9,'Graph Data'!AY$187,'PCO Log'!$E$4:$SJ$4,"&lt;&gt;Bid Package",'PCO Log'!$E$7:$SJ$7,"Approved")</f>
        <v>0</v>
      </c>
      <c r="AZ220" s="304">
        <f>SUMIFS('PCO Log'!$E44:$SJ44,'PCO Log'!$E$9:$SJ$9,'Graph Data'!AZ$187,'PCO Log'!$E$4:$SJ$4,"&lt;&gt;Bid Package",'PCO Log'!$E$7:$SJ$7,"Approved")</f>
        <v>0</v>
      </c>
      <c r="BA220" s="304">
        <f>SUMIFS('PCO Log'!$E44:$SJ44,'PCO Log'!$E$9:$SJ$9,'Graph Data'!BA$187,'PCO Log'!$E$4:$SJ$4,"&lt;&gt;Bid Package",'PCO Log'!$E$7:$SJ$7,"Approved")</f>
        <v>0</v>
      </c>
      <c r="BB220" s="304">
        <f>SUMIFS('PCO Log'!$E44:$SJ44,'PCO Log'!$E$9:$SJ$9,'Graph Data'!BB$187,'PCO Log'!$E$4:$SJ$4,"&lt;&gt;Bid Package",'PCO Log'!$E$7:$SJ$7,"Approved")</f>
        <v>0</v>
      </c>
      <c r="BC220" s="304">
        <f>SUMIFS('PCO Log'!$E44:$SJ44,'PCO Log'!$E$9:$SJ$9,'Graph Data'!BC$187,'PCO Log'!$E$4:$SJ$4,"&lt;&gt;Bid Package",'PCO Log'!$E$7:$SJ$7,"Approved")</f>
        <v>0</v>
      </c>
      <c r="BD220" s="304">
        <f>SUMIFS('PCO Log'!$E44:$SJ44,'PCO Log'!$E$9:$SJ$9,'Graph Data'!BD$187,'PCO Log'!$E$4:$SJ$4,"&lt;&gt;Bid Package",'PCO Log'!$E$7:$SJ$7,"Approved")</f>
        <v>0</v>
      </c>
      <c r="BE220" s="304">
        <f>SUMIFS('PCO Log'!$E44:$SJ44,'PCO Log'!$E$9:$SJ$9,'Graph Data'!BE$187,'PCO Log'!$E$4:$SJ$4,"&lt;&gt;Bid Package",'PCO Log'!$E$7:$SJ$7,"Approved")</f>
        <v>0</v>
      </c>
      <c r="BF220" s="304">
        <f>SUMIFS('PCO Log'!$E44:$SJ44,'PCO Log'!$E$9:$SJ$9,'Graph Data'!BF$187,'PCO Log'!$E$4:$SJ$4,"&lt;&gt;Bid Package",'PCO Log'!$E$7:$SJ$7,"Approved")</f>
        <v>0</v>
      </c>
      <c r="BG220" s="304">
        <f>SUMIFS('PCO Log'!$E44:$SJ44,'PCO Log'!$E$9:$SJ$9,'Graph Data'!BG$187,'PCO Log'!$E$4:$SJ$4,"&lt;&gt;Bid Package",'PCO Log'!$E$7:$SJ$7,"Approved")</f>
        <v>0</v>
      </c>
      <c r="BH220" s="304">
        <f>SUMIFS('PCO Log'!$E44:$SJ44,'PCO Log'!$E$9:$SJ$9,'Graph Data'!BH$187,'PCO Log'!$E$4:$SJ$4,"&lt;&gt;Bid Package",'PCO Log'!$E$7:$SJ$7,"Approved")</f>
        <v>0</v>
      </c>
      <c r="BI220" s="304">
        <f>SUMIFS('PCO Log'!$E44:$SJ44,'PCO Log'!$E$9:$SJ$9,'Graph Data'!BI$187,'PCO Log'!$E$4:$SJ$4,"&lt;&gt;Bid Package",'PCO Log'!$E$7:$SJ$7,"Approved")</f>
        <v>0</v>
      </c>
      <c r="BJ220" s="304">
        <f>SUMIFS('PCO Log'!$E44:$SJ44,'PCO Log'!$E$9:$SJ$9,'Graph Data'!BJ$187,'PCO Log'!$E$4:$SJ$4,"&lt;&gt;Bid Package",'PCO Log'!$E$7:$SJ$7,"Approved")</f>
        <v>0</v>
      </c>
      <c r="BK220" s="304">
        <f>SUMIFS('PCO Log'!$E44:$SJ44,'PCO Log'!$E$9:$SJ$9,'Graph Data'!BK$187,'PCO Log'!$E$4:$SJ$4,"&lt;&gt;Bid Package",'PCO Log'!$E$7:$SJ$7,"Approved")</f>
        <v>0</v>
      </c>
      <c r="BL220" s="304">
        <f>SUMIFS('PCO Log'!$E44:$SJ44,'PCO Log'!$E$9:$SJ$9,'Graph Data'!BL$187,'PCO Log'!$E$4:$SJ$4,"&lt;&gt;Bid Package",'PCO Log'!$E$7:$SJ$7,"Approved")</f>
        <v>0</v>
      </c>
      <c r="BM220" s="304">
        <f>SUMIFS('PCO Log'!$E44:$SJ44,'PCO Log'!$E$9:$SJ$9,'Graph Data'!BM$187,'PCO Log'!$E$4:$SJ$4,"&lt;&gt;Bid Package",'PCO Log'!$E$7:$SJ$7,"Approved")</f>
        <v>0</v>
      </c>
      <c r="BN220" s="304">
        <f>SUMIFS('PCO Log'!$E44:$SJ44,'PCO Log'!$E$9:$SJ$9,'Graph Data'!BN$187,'PCO Log'!$E$4:$SJ$4,"&lt;&gt;Bid Package",'PCO Log'!$E$7:$SJ$7,"Approved")</f>
        <v>0</v>
      </c>
      <c r="BO220" s="304">
        <f>SUMIFS('PCO Log'!$E44:$SJ44,'PCO Log'!$E$9:$SJ$9,'Graph Data'!BO$187,'PCO Log'!$E$4:$SJ$4,"&lt;&gt;Bid Package",'PCO Log'!$E$7:$SJ$7,"Approved")</f>
        <v>0</v>
      </c>
      <c r="BP220" s="304">
        <f>SUMIFS('PCO Log'!$E44:$SJ44,'PCO Log'!$E$9:$SJ$9,'Graph Data'!BP$187,'PCO Log'!$E$4:$SJ$4,"&lt;&gt;Bid Package",'PCO Log'!$E$7:$SJ$7,"Approved")</f>
        <v>0</v>
      </c>
      <c r="BQ220" s="304">
        <f>SUMIFS('PCO Log'!$E44:$SJ44,'PCO Log'!$E$9:$SJ$9,'Graph Data'!BQ$187,'PCO Log'!$E$4:$SJ$4,"&lt;&gt;Bid Package",'PCO Log'!$E$7:$SJ$7,"Approved")</f>
        <v>0</v>
      </c>
      <c r="BR220" s="304">
        <f>SUMIFS('PCO Log'!$E44:$SJ44,'PCO Log'!$E$9:$SJ$9,'Graph Data'!BR$187,'PCO Log'!$E$4:$SJ$4,"&lt;&gt;Bid Package",'PCO Log'!$E$7:$SJ$7,"Approved")</f>
        <v>0</v>
      </c>
      <c r="BS220" s="304">
        <f>SUMIFS('PCO Log'!$E44:$SJ44,'PCO Log'!$E$9:$SJ$9,'Graph Data'!BS$187,'PCO Log'!$E$4:$SJ$4,"&lt;&gt;Bid Package",'PCO Log'!$E$7:$SJ$7,"Approved")</f>
        <v>0</v>
      </c>
      <c r="BT220" s="304">
        <f>SUMIFS('PCO Log'!$E44:$SJ44,'PCO Log'!$E$9:$SJ$9,'Graph Data'!BT$187,'PCO Log'!$E$4:$SJ$4,"&lt;&gt;Bid Package",'PCO Log'!$E$7:$SJ$7,"Approved")</f>
        <v>0</v>
      </c>
      <c r="BU220" s="304">
        <f>SUMIFS('PCO Log'!$E44:$SJ44,'PCO Log'!$E$9:$SJ$9,'Graph Data'!BU$187,'PCO Log'!$E$4:$SJ$4,"&lt;&gt;Bid Package",'PCO Log'!$E$7:$SJ$7,"Approved")</f>
        <v>0</v>
      </c>
      <c r="BV220" s="304">
        <f>SUMIFS('PCO Log'!$E44:$SJ44,'PCO Log'!$E$9:$SJ$9,'Graph Data'!BV$187,'PCO Log'!$E$4:$SJ$4,"&lt;&gt;Bid Package",'PCO Log'!$E$7:$SJ$7,"Approved")</f>
        <v>0</v>
      </c>
      <c r="BW220" s="304">
        <f>SUMIFS('PCO Log'!$E44:$SJ44,'PCO Log'!$E$9:$SJ$9,'Graph Data'!BW$187,'PCO Log'!$E$4:$SJ$4,"&lt;&gt;Bid Package",'PCO Log'!$E$7:$SJ$7,"Approved")</f>
        <v>0</v>
      </c>
      <c r="BX220" s="304">
        <f>SUMIFS('PCO Log'!$E44:$SJ44,'PCO Log'!$E$9:$SJ$9,'Graph Data'!BX$187,'PCO Log'!$E$4:$SJ$4,"&lt;&gt;Bid Package",'PCO Log'!$E$7:$SJ$7,"Approved")</f>
        <v>0</v>
      </c>
    </row>
    <row r="221" spans="1:76" x14ac:dyDescent="0.25">
      <c r="A221" s="303" t="s">
        <v>571</v>
      </c>
      <c r="B221" s="303">
        <f>'PCO Log'!HP7</f>
        <v>0</v>
      </c>
      <c r="C221" s="303">
        <f>'PCO Log'!HP4</f>
        <v>0</v>
      </c>
      <c r="D221" s="303" cm="1">
        <f t="array" ref="D221">INDEX('PCO Log'!$E$5:$SJ$5, 1, ROWS('Graph Data'!$D$2:D221))</f>
        <v>0</v>
      </c>
      <c r="E221" s="303">
        <f>'PCO Log'!HP8</f>
        <v>0</v>
      </c>
      <c r="F221" s="303">
        <f>'PCO Log'!HP3</f>
        <v>0</v>
      </c>
      <c r="G221" s="304">
        <f>'PCO Log'!HP10</f>
        <v>0</v>
      </c>
      <c r="H221" s="305">
        <f>'PCO Log'!HP6</f>
        <v>0</v>
      </c>
      <c r="K221" s="307"/>
      <c r="P221" s="303" t="str">
        <f t="shared" si="3"/>
        <v>Sheet Metal Flashing &amp; Trim</v>
      </c>
      <c r="Q221" s="304">
        <f>SUMIFS('PCO Log'!$E45:$SJ45,'PCO Log'!$E$9:$SJ$9,'Graph Data'!Q$187,'PCO Log'!$E$4:$SJ$4,"&lt;&gt;Bid Package",'PCO Log'!$E$7:$SJ$7,"Approved")</f>
        <v>0</v>
      </c>
      <c r="R221" s="304">
        <f>SUMIFS('PCO Log'!$E45:$SJ45,'PCO Log'!$E$9:$SJ$9,'Graph Data'!R$187,'PCO Log'!$E$4:$SJ$4,"&lt;&gt;Bid Package",'PCO Log'!$E$7:$SJ$7,"Approved")</f>
        <v>0</v>
      </c>
      <c r="S221" s="304">
        <f>SUMIFS('PCO Log'!$E45:$SJ45,'PCO Log'!$E$9:$SJ$9,'Graph Data'!S$187,'PCO Log'!$E$4:$SJ$4,"&lt;&gt;Bid Package",'PCO Log'!$E$7:$SJ$7,"Approved")</f>
        <v>0</v>
      </c>
      <c r="T221" s="304">
        <f>SUMIFS('PCO Log'!$E45:$SJ45,'PCO Log'!$E$9:$SJ$9,'Graph Data'!T$187,'PCO Log'!$E$4:$SJ$4,"&lt;&gt;Bid Package",'PCO Log'!$E$7:$SJ$7,"Approved")</f>
        <v>0</v>
      </c>
      <c r="U221" s="304">
        <f>SUMIFS('PCO Log'!$E45:$SJ45,'PCO Log'!$E$9:$SJ$9,'Graph Data'!U$187,'PCO Log'!$E$4:$SJ$4,"&lt;&gt;Bid Package",'PCO Log'!$E$7:$SJ$7,"Approved")</f>
        <v>0</v>
      </c>
      <c r="V221" s="304">
        <f>SUMIFS('PCO Log'!$E45:$SJ45,'PCO Log'!$E$9:$SJ$9,'Graph Data'!V$187,'PCO Log'!$E$4:$SJ$4,"&lt;&gt;Bid Package",'PCO Log'!$E$7:$SJ$7,"Approved")</f>
        <v>0</v>
      </c>
      <c r="W221" s="304">
        <f>SUMIFS('PCO Log'!$E45:$SJ45,'PCO Log'!$E$9:$SJ$9,'Graph Data'!W$187,'PCO Log'!$E$4:$SJ$4,"&lt;&gt;Bid Package",'PCO Log'!$E$7:$SJ$7,"Approved")</f>
        <v>0</v>
      </c>
      <c r="X221" s="304">
        <f>SUMIFS('PCO Log'!$E45:$SJ45,'PCO Log'!$E$9:$SJ$9,'Graph Data'!X$187,'PCO Log'!$E$4:$SJ$4,"&lt;&gt;Bid Package",'PCO Log'!$E$7:$SJ$7,"Approved")</f>
        <v>0</v>
      </c>
      <c r="Y221" s="304">
        <f>SUMIFS('PCO Log'!$E45:$SJ45,'PCO Log'!$E$9:$SJ$9,'Graph Data'!Y$187,'PCO Log'!$E$4:$SJ$4,"&lt;&gt;Bid Package",'PCO Log'!$E$7:$SJ$7,"Approved")</f>
        <v>0</v>
      </c>
      <c r="Z221" s="304">
        <f>SUMIFS('PCO Log'!$E45:$SJ45,'PCO Log'!$E$9:$SJ$9,'Graph Data'!Z$187,'PCO Log'!$E$4:$SJ$4,"&lt;&gt;Bid Package",'PCO Log'!$E$7:$SJ$7,"Approved")</f>
        <v>0</v>
      </c>
      <c r="AA221" s="304">
        <f>SUMIFS('PCO Log'!$E45:$SJ45,'PCO Log'!$E$9:$SJ$9,'Graph Data'!AA$187,'PCO Log'!$E$4:$SJ$4,"&lt;&gt;Bid Package",'PCO Log'!$E$7:$SJ$7,"Approved")</f>
        <v>0</v>
      </c>
      <c r="AB221" s="304">
        <f>SUMIFS('PCO Log'!$E45:$SJ45,'PCO Log'!$E$9:$SJ$9,'Graph Data'!AB$187,'PCO Log'!$E$4:$SJ$4,"&lt;&gt;Bid Package",'PCO Log'!$E$7:$SJ$7,"Approved")</f>
        <v>0</v>
      </c>
      <c r="AC221" s="304">
        <f>SUMIFS('PCO Log'!$E45:$SJ45,'PCO Log'!$E$9:$SJ$9,'Graph Data'!AC$187,'PCO Log'!$E$4:$SJ$4,"&lt;&gt;Bid Package",'PCO Log'!$E$7:$SJ$7,"Approved")</f>
        <v>0</v>
      </c>
      <c r="AD221" s="304">
        <f>SUMIFS('PCO Log'!$E45:$SJ45,'PCO Log'!$E$9:$SJ$9,'Graph Data'!AD$187,'PCO Log'!$E$4:$SJ$4,"&lt;&gt;Bid Package",'PCO Log'!$E$7:$SJ$7,"Approved")</f>
        <v>0</v>
      </c>
      <c r="AE221" s="304">
        <f>SUMIFS('PCO Log'!$E45:$SJ45,'PCO Log'!$E$9:$SJ$9,'Graph Data'!AE$187,'PCO Log'!$E$4:$SJ$4,"&lt;&gt;Bid Package",'PCO Log'!$E$7:$SJ$7,"Approved")</f>
        <v>0</v>
      </c>
      <c r="AF221" s="304">
        <f>SUMIFS('PCO Log'!$E45:$SJ45,'PCO Log'!$E$9:$SJ$9,'Graph Data'!AF$187,'PCO Log'!$E$4:$SJ$4,"&lt;&gt;Bid Package",'PCO Log'!$E$7:$SJ$7,"Approved")</f>
        <v>0</v>
      </c>
      <c r="AG221" s="304">
        <f>SUMIFS('PCO Log'!$E45:$SJ45,'PCO Log'!$E$9:$SJ$9,'Graph Data'!AG$187,'PCO Log'!$E$4:$SJ$4,"&lt;&gt;Bid Package",'PCO Log'!$E$7:$SJ$7,"Approved")</f>
        <v>0</v>
      </c>
      <c r="AH221" s="304">
        <f>SUMIFS('PCO Log'!$E45:$SJ45,'PCO Log'!$E$9:$SJ$9,'Graph Data'!AH$187,'PCO Log'!$E$4:$SJ$4,"&lt;&gt;Bid Package",'PCO Log'!$E$7:$SJ$7,"Approved")</f>
        <v>0</v>
      </c>
      <c r="AI221" s="304">
        <f>SUMIFS('PCO Log'!$E45:$SJ45,'PCO Log'!$E$9:$SJ$9,'Graph Data'!AI$187,'PCO Log'!$E$4:$SJ$4,"&lt;&gt;Bid Package",'PCO Log'!$E$7:$SJ$7,"Approved")</f>
        <v>0</v>
      </c>
      <c r="AJ221" s="304">
        <f>SUMIFS('PCO Log'!$E45:$SJ45,'PCO Log'!$E$9:$SJ$9,'Graph Data'!AJ$187,'PCO Log'!$E$4:$SJ$4,"&lt;&gt;Bid Package",'PCO Log'!$E$7:$SJ$7,"Approved")</f>
        <v>0</v>
      </c>
      <c r="AK221" s="304">
        <f>SUMIFS('PCO Log'!$E45:$SJ45,'PCO Log'!$E$9:$SJ$9,'Graph Data'!AK$187,'PCO Log'!$E$4:$SJ$4,"&lt;&gt;Bid Package",'PCO Log'!$E$7:$SJ$7,"Approved")</f>
        <v>0</v>
      </c>
      <c r="AL221" s="304">
        <f>SUMIFS('PCO Log'!$E45:$SJ45,'PCO Log'!$E$9:$SJ$9,'Graph Data'!AL$187,'PCO Log'!$E$4:$SJ$4,"&lt;&gt;Bid Package",'PCO Log'!$E$7:$SJ$7,"Approved")</f>
        <v>0</v>
      </c>
      <c r="AM221" s="304">
        <f>SUMIFS('PCO Log'!$E45:$SJ45,'PCO Log'!$E$9:$SJ$9,'Graph Data'!AM$187,'PCO Log'!$E$4:$SJ$4,"&lt;&gt;Bid Package",'PCO Log'!$E$7:$SJ$7,"Approved")</f>
        <v>0</v>
      </c>
      <c r="AN221" s="304">
        <f>SUMIFS('PCO Log'!$E45:$SJ45,'PCO Log'!$E$9:$SJ$9,'Graph Data'!AN$187,'PCO Log'!$E$4:$SJ$4,"&lt;&gt;Bid Package",'PCO Log'!$E$7:$SJ$7,"Approved")</f>
        <v>0</v>
      </c>
      <c r="AO221" s="304">
        <f>SUMIFS('PCO Log'!$E45:$SJ45,'PCO Log'!$E$9:$SJ$9,'Graph Data'!AO$187,'PCO Log'!$E$4:$SJ$4,"&lt;&gt;Bid Package",'PCO Log'!$E$7:$SJ$7,"Approved")</f>
        <v>0</v>
      </c>
      <c r="AP221" s="304">
        <f>SUMIFS('PCO Log'!$E45:$SJ45,'PCO Log'!$E$9:$SJ$9,'Graph Data'!AP$187,'PCO Log'!$E$4:$SJ$4,"&lt;&gt;Bid Package",'PCO Log'!$E$7:$SJ$7,"Approved")</f>
        <v>0</v>
      </c>
      <c r="AQ221" s="304">
        <f>SUMIFS('PCO Log'!$E45:$SJ45,'PCO Log'!$E$9:$SJ$9,'Graph Data'!AQ$187,'PCO Log'!$E$4:$SJ$4,"&lt;&gt;Bid Package",'PCO Log'!$E$7:$SJ$7,"Approved")</f>
        <v>0</v>
      </c>
      <c r="AR221" s="304">
        <f>SUMIFS('PCO Log'!$E45:$SJ45,'PCO Log'!$E$9:$SJ$9,'Graph Data'!AR$187,'PCO Log'!$E$4:$SJ$4,"&lt;&gt;Bid Package",'PCO Log'!$E$7:$SJ$7,"Approved")</f>
        <v>0</v>
      </c>
      <c r="AS221" s="304">
        <f>SUMIFS('PCO Log'!$E45:$SJ45,'PCO Log'!$E$9:$SJ$9,'Graph Data'!AS$187,'PCO Log'!$E$4:$SJ$4,"&lt;&gt;Bid Package",'PCO Log'!$E$7:$SJ$7,"Approved")</f>
        <v>0</v>
      </c>
      <c r="AT221" s="304">
        <f>SUMIFS('PCO Log'!$E45:$SJ45,'PCO Log'!$E$9:$SJ$9,'Graph Data'!AT$187,'PCO Log'!$E$4:$SJ$4,"&lt;&gt;Bid Package",'PCO Log'!$E$7:$SJ$7,"Approved")</f>
        <v>0</v>
      </c>
      <c r="AU221" s="304">
        <f>SUMIFS('PCO Log'!$E45:$SJ45,'PCO Log'!$E$9:$SJ$9,'Graph Data'!AU$187,'PCO Log'!$E$4:$SJ$4,"&lt;&gt;Bid Package",'PCO Log'!$E$7:$SJ$7,"Approved")</f>
        <v>0</v>
      </c>
      <c r="AV221" s="304">
        <f>SUMIFS('PCO Log'!$E45:$SJ45,'PCO Log'!$E$9:$SJ$9,'Graph Data'!AV$187,'PCO Log'!$E$4:$SJ$4,"&lt;&gt;Bid Package",'PCO Log'!$E$7:$SJ$7,"Approved")</f>
        <v>0</v>
      </c>
      <c r="AW221" s="304">
        <f>SUMIFS('PCO Log'!$E45:$SJ45,'PCO Log'!$E$9:$SJ$9,'Graph Data'!AW$187,'PCO Log'!$E$4:$SJ$4,"&lt;&gt;Bid Package",'PCO Log'!$E$7:$SJ$7,"Approved")</f>
        <v>0</v>
      </c>
      <c r="AX221" s="304">
        <f>SUMIFS('PCO Log'!$E45:$SJ45,'PCO Log'!$E$9:$SJ$9,'Graph Data'!AX$187,'PCO Log'!$E$4:$SJ$4,"&lt;&gt;Bid Package",'PCO Log'!$E$7:$SJ$7,"Approved")</f>
        <v>0</v>
      </c>
      <c r="AY221" s="304">
        <f>SUMIFS('PCO Log'!$E45:$SJ45,'PCO Log'!$E$9:$SJ$9,'Graph Data'!AY$187,'PCO Log'!$E$4:$SJ$4,"&lt;&gt;Bid Package",'PCO Log'!$E$7:$SJ$7,"Approved")</f>
        <v>0</v>
      </c>
      <c r="AZ221" s="304">
        <f>SUMIFS('PCO Log'!$E45:$SJ45,'PCO Log'!$E$9:$SJ$9,'Graph Data'!AZ$187,'PCO Log'!$E$4:$SJ$4,"&lt;&gt;Bid Package",'PCO Log'!$E$7:$SJ$7,"Approved")</f>
        <v>0</v>
      </c>
      <c r="BA221" s="304">
        <f>SUMIFS('PCO Log'!$E45:$SJ45,'PCO Log'!$E$9:$SJ$9,'Graph Data'!BA$187,'PCO Log'!$E$4:$SJ$4,"&lt;&gt;Bid Package",'PCO Log'!$E$7:$SJ$7,"Approved")</f>
        <v>0</v>
      </c>
      <c r="BB221" s="304">
        <f>SUMIFS('PCO Log'!$E45:$SJ45,'PCO Log'!$E$9:$SJ$9,'Graph Data'!BB$187,'PCO Log'!$E$4:$SJ$4,"&lt;&gt;Bid Package",'PCO Log'!$E$7:$SJ$7,"Approved")</f>
        <v>0</v>
      </c>
      <c r="BC221" s="304">
        <f>SUMIFS('PCO Log'!$E45:$SJ45,'PCO Log'!$E$9:$SJ$9,'Graph Data'!BC$187,'PCO Log'!$E$4:$SJ$4,"&lt;&gt;Bid Package",'PCO Log'!$E$7:$SJ$7,"Approved")</f>
        <v>0</v>
      </c>
      <c r="BD221" s="304">
        <f>SUMIFS('PCO Log'!$E45:$SJ45,'PCO Log'!$E$9:$SJ$9,'Graph Data'!BD$187,'PCO Log'!$E$4:$SJ$4,"&lt;&gt;Bid Package",'PCO Log'!$E$7:$SJ$7,"Approved")</f>
        <v>0</v>
      </c>
      <c r="BE221" s="304">
        <f>SUMIFS('PCO Log'!$E45:$SJ45,'PCO Log'!$E$9:$SJ$9,'Graph Data'!BE$187,'PCO Log'!$E$4:$SJ$4,"&lt;&gt;Bid Package",'PCO Log'!$E$7:$SJ$7,"Approved")</f>
        <v>0</v>
      </c>
      <c r="BF221" s="304">
        <f>SUMIFS('PCO Log'!$E45:$SJ45,'PCO Log'!$E$9:$SJ$9,'Graph Data'!BF$187,'PCO Log'!$E$4:$SJ$4,"&lt;&gt;Bid Package",'PCO Log'!$E$7:$SJ$7,"Approved")</f>
        <v>0</v>
      </c>
      <c r="BG221" s="304">
        <f>SUMIFS('PCO Log'!$E45:$SJ45,'PCO Log'!$E$9:$SJ$9,'Graph Data'!BG$187,'PCO Log'!$E$4:$SJ$4,"&lt;&gt;Bid Package",'PCO Log'!$E$7:$SJ$7,"Approved")</f>
        <v>0</v>
      </c>
      <c r="BH221" s="304">
        <f>SUMIFS('PCO Log'!$E45:$SJ45,'PCO Log'!$E$9:$SJ$9,'Graph Data'!BH$187,'PCO Log'!$E$4:$SJ$4,"&lt;&gt;Bid Package",'PCO Log'!$E$7:$SJ$7,"Approved")</f>
        <v>0</v>
      </c>
      <c r="BI221" s="304">
        <f>SUMIFS('PCO Log'!$E45:$SJ45,'PCO Log'!$E$9:$SJ$9,'Graph Data'!BI$187,'PCO Log'!$E$4:$SJ$4,"&lt;&gt;Bid Package",'PCO Log'!$E$7:$SJ$7,"Approved")</f>
        <v>0</v>
      </c>
      <c r="BJ221" s="304">
        <f>SUMIFS('PCO Log'!$E45:$SJ45,'PCO Log'!$E$9:$SJ$9,'Graph Data'!BJ$187,'PCO Log'!$E$4:$SJ$4,"&lt;&gt;Bid Package",'PCO Log'!$E$7:$SJ$7,"Approved")</f>
        <v>0</v>
      </c>
      <c r="BK221" s="304">
        <f>SUMIFS('PCO Log'!$E45:$SJ45,'PCO Log'!$E$9:$SJ$9,'Graph Data'!BK$187,'PCO Log'!$E$4:$SJ$4,"&lt;&gt;Bid Package",'PCO Log'!$E$7:$SJ$7,"Approved")</f>
        <v>0</v>
      </c>
      <c r="BL221" s="304">
        <f>SUMIFS('PCO Log'!$E45:$SJ45,'PCO Log'!$E$9:$SJ$9,'Graph Data'!BL$187,'PCO Log'!$E$4:$SJ$4,"&lt;&gt;Bid Package",'PCO Log'!$E$7:$SJ$7,"Approved")</f>
        <v>0</v>
      </c>
      <c r="BM221" s="304">
        <f>SUMIFS('PCO Log'!$E45:$SJ45,'PCO Log'!$E$9:$SJ$9,'Graph Data'!BM$187,'PCO Log'!$E$4:$SJ$4,"&lt;&gt;Bid Package",'PCO Log'!$E$7:$SJ$7,"Approved")</f>
        <v>0</v>
      </c>
      <c r="BN221" s="304">
        <f>SUMIFS('PCO Log'!$E45:$SJ45,'PCO Log'!$E$9:$SJ$9,'Graph Data'!BN$187,'PCO Log'!$E$4:$SJ$4,"&lt;&gt;Bid Package",'PCO Log'!$E$7:$SJ$7,"Approved")</f>
        <v>0</v>
      </c>
      <c r="BO221" s="304">
        <f>SUMIFS('PCO Log'!$E45:$SJ45,'PCO Log'!$E$9:$SJ$9,'Graph Data'!BO$187,'PCO Log'!$E$4:$SJ$4,"&lt;&gt;Bid Package",'PCO Log'!$E$7:$SJ$7,"Approved")</f>
        <v>0</v>
      </c>
      <c r="BP221" s="304">
        <f>SUMIFS('PCO Log'!$E45:$SJ45,'PCO Log'!$E$9:$SJ$9,'Graph Data'!BP$187,'PCO Log'!$E$4:$SJ$4,"&lt;&gt;Bid Package",'PCO Log'!$E$7:$SJ$7,"Approved")</f>
        <v>0</v>
      </c>
      <c r="BQ221" s="304">
        <f>SUMIFS('PCO Log'!$E45:$SJ45,'PCO Log'!$E$9:$SJ$9,'Graph Data'!BQ$187,'PCO Log'!$E$4:$SJ$4,"&lt;&gt;Bid Package",'PCO Log'!$E$7:$SJ$7,"Approved")</f>
        <v>0</v>
      </c>
      <c r="BR221" s="304">
        <f>SUMIFS('PCO Log'!$E45:$SJ45,'PCO Log'!$E$9:$SJ$9,'Graph Data'!BR$187,'PCO Log'!$E$4:$SJ$4,"&lt;&gt;Bid Package",'PCO Log'!$E$7:$SJ$7,"Approved")</f>
        <v>0</v>
      </c>
      <c r="BS221" s="304">
        <f>SUMIFS('PCO Log'!$E45:$SJ45,'PCO Log'!$E$9:$SJ$9,'Graph Data'!BS$187,'PCO Log'!$E$4:$SJ$4,"&lt;&gt;Bid Package",'PCO Log'!$E$7:$SJ$7,"Approved")</f>
        <v>0</v>
      </c>
      <c r="BT221" s="304">
        <f>SUMIFS('PCO Log'!$E45:$SJ45,'PCO Log'!$E$9:$SJ$9,'Graph Data'!BT$187,'PCO Log'!$E$4:$SJ$4,"&lt;&gt;Bid Package",'PCO Log'!$E$7:$SJ$7,"Approved")</f>
        <v>0</v>
      </c>
      <c r="BU221" s="304">
        <f>SUMIFS('PCO Log'!$E45:$SJ45,'PCO Log'!$E$9:$SJ$9,'Graph Data'!BU$187,'PCO Log'!$E$4:$SJ$4,"&lt;&gt;Bid Package",'PCO Log'!$E$7:$SJ$7,"Approved")</f>
        <v>0</v>
      </c>
      <c r="BV221" s="304">
        <f>SUMIFS('PCO Log'!$E45:$SJ45,'PCO Log'!$E$9:$SJ$9,'Graph Data'!BV$187,'PCO Log'!$E$4:$SJ$4,"&lt;&gt;Bid Package",'PCO Log'!$E$7:$SJ$7,"Approved")</f>
        <v>0</v>
      </c>
      <c r="BW221" s="304">
        <f>SUMIFS('PCO Log'!$E45:$SJ45,'PCO Log'!$E$9:$SJ$9,'Graph Data'!BW$187,'PCO Log'!$E$4:$SJ$4,"&lt;&gt;Bid Package",'PCO Log'!$E$7:$SJ$7,"Approved")</f>
        <v>0</v>
      </c>
      <c r="BX221" s="304">
        <f>SUMIFS('PCO Log'!$E45:$SJ45,'PCO Log'!$E$9:$SJ$9,'Graph Data'!BX$187,'PCO Log'!$E$4:$SJ$4,"&lt;&gt;Bid Package",'PCO Log'!$E$7:$SJ$7,"Approved")</f>
        <v>0</v>
      </c>
    </row>
    <row r="222" spans="1:76" x14ac:dyDescent="0.25">
      <c r="A222" s="303" t="s">
        <v>572</v>
      </c>
      <c r="B222" s="303">
        <f>'PCO Log'!HQ7</f>
        <v>0</v>
      </c>
      <c r="C222" s="303">
        <f>'PCO Log'!HQ4</f>
        <v>0</v>
      </c>
      <c r="D222" s="303" cm="1">
        <f t="array" ref="D222">INDEX('PCO Log'!$E$5:$SJ$5, 1, ROWS('Graph Data'!$D$2:D222))</f>
        <v>0</v>
      </c>
      <c r="E222" s="303">
        <f>'PCO Log'!HQ8</f>
        <v>0</v>
      </c>
      <c r="F222" s="303">
        <f>'PCO Log'!HQ3</f>
        <v>0</v>
      </c>
      <c r="G222" s="304">
        <f>'PCO Log'!HQ10</f>
        <v>0</v>
      </c>
      <c r="H222" s="305">
        <f>'PCO Log'!HQ6</f>
        <v>0</v>
      </c>
      <c r="K222" s="307"/>
      <c r="P222" s="303" t="str">
        <f t="shared" si="3"/>
        <v>Fireproofing</v>
      </c>
      <c r="Q222" s="304">
        <f>SUMIFS('PCO Log'!$E46:$SJ46,'PCO Log'!$E$9:$SJ$9,'Graph Data'!Q$187,'PCO Log'!$E$4:$SJ$4,"&lt;&gt;Bid Package",'PCO Log'!$E$7:$SJ$7,"Approved")</f>
        <v>0</v>
      </c>
      <c r="R222" s="304">
        <f>SUMIFS('PCO Log'!$E46:$SJ46,'PCO Log'!$E$9:$SJ$9,'Graph Data'!R$187,'PCO Log'!$E$4:$SJ$4,"&lt;&gt;Bid Package",'PCO Log'!$E$7:$SJ$7,"Approved")</f>
        <v>0</v>
      </c>
      <c r="S222" s="304">
        <f>SUMIFS('PCO Log'!$E46:$SJ46,'PCO Log'!$E$9:$SJ$9,'Graph Data'!S$187,'PCO Log'!$E$4:$SJ$4,"&lt;&gt;Bid Package",'PCO Log'!$E$7:$SJ$7,"Approved")</f>
        <v>0</v>
      </c>
      <c r="T222" s="304">
        <f>SUMIFS('PCO Log'!$E46:$SJ46,'PCO Log'!$E$9:$SJ$9,'Graph Data'!T$187,'PCO Log'!$E$4:$SJ$4,"&lt;&gt;Bid Package",'PCO Log'!$E$7:$SJ$7,"Approved")</f>
        <v>0</v>
      </c>
      <c r="U222" s="304">
        <f>SUMIFS('PCO Log'!$E46:$SJ46,'PCO Log'!$E$9:$SJ$9,'Graph Data'!U$187,'PCO Log'!$E$4:$SJ$4,"&lt;&gt;Bid Package",'PCO Log'!$E$7:$SJ$7,"Approved")</f>
        <v>0</v>
      </c>
      <c r="V222" s="304">
        <f>SUMIFS('PCO Log'!$E46:$SJ46,'PCO Log'!$E$9:$SJ$9,'Graph Data'!V$187,'PCO Log'!$E$4:$SJ$4,"&lt;&gt;Bid Package",'PCO Log'!$E$7:$SJ$7,"Approved")</f>
        <v>0</v>
      </c>
      <c r="W222" s="304">
        <f>SUMIFS('PCO Log'!$E46:$SJ46,'PCO Log'!$E$9:$SJ$9,'Graph Data'!W$187,'PCO Log'!$E$4:$SJ$4,"&lt;&gt;Bid Package",'PCO Log'!$E$7:$SJ$7,"Approved")</f>
        <v>0</v>
      </c>
      <c r="X222" s="304">
        <f>SUMIFS('PCO Log'!$E46:$SJ46,'PCO Log'!$E$9:$SJ$9,'Graph Data'!X$187,'PCO Log'!$E$4:$SJ$4,"&lt;&gt;Bid Package",'PCO Log'!$E$7:$SJ$7,"Approved")</f>
        <v>0</v>
      </c>
      <c r="Y222" s="304">
        <f>SUMIFS('PCO Log'!$E46:$SJ46,'PCO Log'!$E$9:$SJ$9,'Graph Data'!Y$187,'PCO Log'!$E$4:$SJ$4,"&lt;&gt;Bid Package",'PCO Log'!$E$7:$SJ$7,"Approved")</f>
        <v>0</v>
      </c>
      <c r="Z222" s="304">
        <f>SUMIFS('PCO Log'!$E46:$SJ46,'PCO Log'!$E$9:$SJ$9,'Graph Data'!Z$187,'PCO Log'!$E$4:$SJ$4,"&lt;&gt;Bid Package",'PCO Log'!$E$7:$SJ$7,"Approved")</f>
        <v>0</v>
      </c>
      <c r="AA222" s="304">
        <f>SUMIFS('PCO Log'!$E46:$SJ46,'PCO Log'!$E$9:$SJ$9,'Graph Data'!AA$187,'PCO Log'!$E$4:$SJ$4,"&lt;&gt;Bid Package",'PCO Log'!$E$7:$SJ$7,"Approved")</f>
        <v>0</v>
      </c>
      <c r="AB222" s="304">
        <f>SUMIFS('PCO Log'!$E46:$SJ46,'PCO Log'!$E$9:$SJ$9,'Graph Data'!AB$187,'PCO Log'!$E$4:$SJ$4,"&lt;&gt;Bid Package",'PCO Log'!$E$7:$SJ$7,"Approved")</f>
        <v>0</v>
      </c>
      <c r="AC222" s="304">
        <f>SUMIFS('PCO Log'!$E46:$SJ46,'PCO Log'!$E$9:$SJ$9,'Graph Data'!AC$187,'PCO Log'!$E$4:$SJ$4,"&lt;&gt;Bid Package",'PCO Log'!$E$7:$SJ$7,"Approved")</f>
        <v>0</v>
      </c>
      <c r="AD222" s="304">
        <f>SUMIFS('PCO Log'!$E46:$SJ46,'PCO Log'!$E$9:$SJ$9,'Graph Data'!AD$187,'PCO Log'!$E$4:$SJ$4,"&lt;&gt;Bid Package",'PCO Log'!$E$7:$SJ$7,"Approved")</f>
        <v>0</v>
      </c>
      <c r="AE222" s="304">
        <f>SUMIFS('PCO Log'!$E46:$SJ46,'PCO Log'!$E$9:$SJ$9,'Graph Data'!AE$187,'PCO Log'!$E$4:$SJ$4,"&lt;&gt;Bid Package",'PCO Log'!$E$7:$SJ$7,"Approved")</f>
        <v>0</v>
      </c>
      <c r="AF222" s="304">
        <f>SUMIFS('PCO Log'!$E46:$SJ46,'PCO Log'!$E$9:$SJ$9,'Graph Data'!AF$187,'PCO Log'!$E$4:$SJ$4,"&lt;&gt;Bid Package",'PCO Log'!$E$7:$SJ$7,"Approved")</f>
        <v>0</v>
      </c>
      <c r="AG222" s="304">
        <f>SUMIFS('PCO Log'!$E46:$SJ46,'PCO Log'!$E$9:$SJ$9,'Graph Data'!AG$187,'PCO Log'!$E$4:$SJ$4,"&lt;&gt;Bid Package",'PCO Log'!$E$7:$SJ$7,"Approved")</f>
        <v>0</v>
      </c>
      <c r="AH222" s="304">
        <f>SUMIFS('PCO Log'!$E46:$SJ46,'PCO Log'!$E$9:$SJ$9,'Graph Data'!AH$187,'PCO Log'!$E$4:$SJ$4,"&lt;&gt;Bid Package",'PCO Log'!$E$7:$SJ$7,"Approved")</f>
        <v>0</v>
      </c>
      <c r="AI222" s="304">
        <f>SUMIFS('PCO Log'!$E46:$SJ46,'PCO Log'!$E$9:$SJ$9,'Graph Data'!AI$187,'PCO Log'!$E$4:$SJ$4,"&lt;&gt;Bid Package",'PCO Log'!$E$7:$SJ$7,"Approved")</f>
        <v>0</v>
      </c>
      <c r="AJ222" s="304">
        <f>SUMIFS('PCO Log'!$E46:$SJ46,'PCO Log'!$E$9:$SJ$9,'Graph Data'!AJ$187,'PCO Log'!$E$4:$SJ$4,"&lt;&gt;Bid Package",'PCO Log'!$E$7:$SJ$7,"Approved")</f>
        <v>0</v>
      </c>
      <c r="AK222" s="304">
        <f>SUMIFS('PCO Log'!$E46:$SJ46,'PCO Log'!$E$9:$SJ$9,'Graph Data'!AK$187,'PCO Log'!$E$4:$SJ$4,"&lt;&gt;Bid Package",'PCO Log'!$E$7:$SJ$7,"Approved")</f>
        <v>0</v>
      </c>
      <c r="AL222" s="304">
        <f>SUMIFS('PCO Log'!$E46:$SJ46,'PCO Log'!$E$9:$SJ$9,'Graph Data'!AL$187,'PCO Log'!$E$4:$SJ$4,"&lt;&gt;Bid Package",'PCO Log'!$E$7:$SJ$7,"Approved")</f>
        <v>0</v>
      </c>
      <c r="AM222" s="304">
        <f>SUMIFS('PCO Log'!$E46:$SJ46,'PCO Log'!$E$9:$SJ$9,'Graph Data'!AM$187,'PCO Log'!$E$4:$SJ$4,"&lt;&gt;Bid Package",'PCO Log'!$E$7:$SJ$7,"Approved")</f>
        <v>0</v>
      </c>
      <c r="AN222" s="304">
        <f>SUMIFS('PCO Log'!$E46:$SJ46,'PCO Log'!$E$9:$SJ$9,'Graph Data'!AN$187,'PCO Log'!$E$4:$SJ$4,"&lt;&gt;Bid Package",'PCO Log'!$E$7:$SJ$7,"Approved")</f>
        <v>0</v>
      </c>
      <c r="AO222" s="304">
        <f>SUMIFS('PCO Log'!$E46:$SJ46,'PCO Log'!$E$9:$SJ$9,'Graph Data'!AO$187,'PCO Log'!$E$4:$SJ$4,"&lt;&gt;Bid Package",'PCO Log'!$E$7:$SJ$7,"Approved")</f>
        <v>0</v>
      </c>
      <c r="AP222" s="304">
        <f>SUMIFS('PCO Log'!$E46:$SJ46,'PCO Log'!$E$9:$SJ$9,'Graph Data'!AP$187,'PCO Log'!$E$4:$SJ$4,"&lt;&gt;Bid Package",'PCO Log'!$E$7:$SJ$7,"Approved")</f>
        <v>0</v>
      </c>
      <c r="AQ222" s="304">
        <f>SUMIFS('PCO Log'!$E46:$SJ46,'PCO Log'!$E$9:$SJ$9,'Graph Data'!AQ$187,'PCO Log'!$E$4:$SJ$4,"&lt;&gt;Bid Package",'PCO Log'!$E$7:$SJ$7,"Approved")</f>
        <v>0</v>
      </c>
      <c r="AR222" s="304">
        <f>SUMIFS('PCO Log'!$E46:$SJ46,'PCO Log'!$E$9:$SJ$9,'Graph Data'!AR$187,'PCO Log'!$E$4:$SJ$4,"&lt;&gt;Bid Package",'PCO Log'!$E$7:$SJ$7,"Approved")</f>
        <v>0</v>
      </c>
      <c r="AS222" s="304">
        <f>SUMIFS('PCO Log'!$E46:$SJ46,'PCO Log'!$E$9:$SJ$9,'Graph Data'!AS$187,'PCO Log'!$E$4:$SJ$4,"&lt;&gt;Bid Package",'PCO Log'!$E$7:$SJ$7,"Approved")</f>
        <v>0</v>
      </c>
      <c r="AT222" s="304">
        <f>SUMIFS('PCO Log'!$E46:$SJ46,'PCO Log'!$E$9:$SJ$9,'Graph Data'!AT$187,'PCO Log'!$E$4:$SJ$4,"&lt;&gt;Bid Package",'PCO Log'!$E$7:$SJ$7,"Approved")</f>
        <v>0</v>
      </c>
      <c r="AU222" s="304">
        <f>SUMIFS('PCO Log'!$E46:$SJ46,'PCO Log'!$E$9:$SJ$9,'Graph Data'!AU$187,'PCO Log'!$E$4:$SJ$4,"&lt;&gt;Bid Package",'PCO Log'!$E$7:$SJ$7,"Approved")</f>
        <v>0</v>
      </c>
      <c r="AV222" s="304">
        <f>SUMIFS('PCO Log'!$E46:$SJ46,'PCO Log'!$E$9:$SJ$9,'Graph Data'!AV$187,'PCO Log'!$E$4:$SJ$4,"&lt;&gt;Bid Package",'PCO Log'!$E$7:$SJ$7,"Approved")</f>
        <v>0</v>
      </c>
      <c r="AW222" s="304">
        <f>SUMIFS('PCO Log'!$E46:$SJ46,'PCO Log'!$E$9:$SJ$9,'Graph Data'!AW$187,'PCO Log'!$E$4:$SJ$4,"&lt;&gt;Bid Package",'PCO Log'!$E$7:$SJ$7,"Approved")</f>
        <v>0</v>
      </c>
      <c r="AX222" s="304">
        <f>SUMIFS('PCO Log'!$E46:$SJ46,'PCO Log'!$E$9:$SJ$9,'Graph Data'!AX$187,'PCO Log'!$E$4:$SJ$4,"&lt;&gt;Bid Package",'PCO Log'!$E$7:$SJ$7,"Approved")</f>
        <v>0</v>
      </c>
      <c r="AY222" s="304">
        <f>SUMIFS('PCO Log'!$E46:$SJ46,'PCO Log'!$E$9:$SJ$9,'Graph Data'!AY$187,'PCO Log'!$E$4:$SJ$4,"&lt;&gt;Bid Package",'PCO Log'!$E$7:$SJ$7,"Approved")</f>
        <v>0</v>
      </c>
      <c r="AZ222" s="304">
        <f>SUMIFS('PCO Log'!$E46:$SJ46,'PCO Log'!$E$9:$SJ$9,'Graph Data'!AZ$187,'PCO Log'!$E$4:$SJ$4,"&lt;&gt;Bid Package",'PCO Log'!$E$7:$SJ$7,"Approved")</f>
        <v>0</v>
      </c>
      <c r="BA222" s="304">
        <f>SUMIFS('PCO Log'!$E46:$SJ46,'PCO Log'!$E$9:$SJ$9,'Graph Data'!BA$187,'PCO Log'!$E$4:$SJ$4,"&lt;&gt;Bid Package",'PCO Log'!$E$7:$SJ$7,"Approved")</f>
        <v>0</v>
      </c>
      <c r="BB222" s="304">
        <f>SUMIFS('PCO Log'!$E46:$SJ46,'PCO Log'!$E$9:$SJ$9,'Graph Data'!BB$187,'PCO Log'!$E$4:$SJ$4,"&lt;&gt;Bid Package",'PCO Log'!$E$7:$SJ$7,"Approved")</f>
        <v>0</v>
      </c>
      <c r="BC222" s="304">
        <f>SUMIFS('PCO Log'!$E46:$SJ46,'PCO Log'!$E$9:$SJ$9,'Graph Data'!BC$187,'PCO Log'!$E$4:$SJ$4,"&lt;&gt;Bid Package",'PCO Log'!$E$7:$SJ$7,"Approved")</f>
        <v>0</v>
      </c>
      <c r="BD222" s="304">
        <f>SUMIFS('PCO Log'!$E46:$SJ46,'PCO Log'!$E$9:$SJ$9,'Graph Data'!BD$187,'PCO Log'!$E$4:$SJ$4,"&lt;&gt;Bid Package",'PCO Log'!$E$7:$SJ$7,"Approved")</f>
        <v>0</v>
      </c>
      <c r="BE222" s="304">
        <f>SUMIFS('PCO Log'!$E46:$SJ46,'PCO Log'!$E$9:$SJ$9,'Graph Data'!BE$187,'PCO Log'!$E$4:$SJ$4,"&lt;&gt;Bid Package",'PCO Log'!$E$7:$SJ$7,"Approved")</f>
        <v>0</v>
      </c>
      <c r="BF222" s="304">
        <f>SUMIFS('PCO Log'!$E46:$SJ46,'PCO Log'!$E$9:$SJ$9,'Graph Data'!BF$187,'PCO Log'!$E$4:$SJ$4,"&lt;&gt;Bid Package",'PCO Log'!$E$7:$SJ$7,"Approved")</f>
        <v>0</v>
      </c>
      <c r="BG222" s="304">
        <f>SUMIFS('PCO Log'!$E46:$SJ46,'PCO Log'!$E$9:$SJ$9,'Graph Data'!BG$187,'PCO Log'!$E$4:$SJ$4,"&lt;&gt;Bid Package",'PCO Log'!$E$7:$SJ$7,"Approved")</f>
        <v>0</v>
      </c>
      <c r="BH222" s="304">
        <f>SUMIFS('PCO Log'!$E46:$SJ46,'PCO Log'!$E$9:$SJ$9,'Graph Data'!BH$187,'PCO Log'!$E$4:$SJ$4,"&lt;&gt;Bid Package",'PCO Log'!$E$7:$SJ$7,"Approved")</f>
        <v>0</v>
      </c>
      <c r="BI222" s="304">
        <f>SUMIFS('PCO Log'!$E46:$SJ46,'PCO Log'!$E$9:$SJ$9,'Graph Data'!BI$187,'PCO Log'!$E$4:$SJ$4,"&lt;&gt;Bid Package",'PCO Log'!$E$7:$SJ$7,"Approved")</f>
        <v>0</v>
      </c>
      <c r="BJ222" s="304">
        <f>SUMIFS('PCO Log'!$E46:$SJ46,'PCO Log'!$E$9:$SJ$9,'Graph Data'!BJ$187,'PCO Log'!$E$4:$SJ$4,"&lt;&gt;Bid Package",'PCO Log'!$E$7:$SJ$7,"Approved")</f>
        <v>0</v>
      </c>
      <c r="BK222" s="304">
        <f>SUMIFS('PCO Log'!$E46:$SJ46,'PCO Log'!$E$9:$SJ$9,'Graph Data'!BK$187,'PCO Log'!$E$4:$SJ$4,"&lt;&gt;Bid Package",'PCO Log'!$E$7:$SJ$7,"Approved")</f>
        <v>0</v>
      </c>
      <c r="BL222" s="304">
        <f>SUMIFS('PCO Log'!$E46:$SJ46,'PCO Log'!$E$9:$SJ$9,'Graph Data'!BL$187,'PCO Log'!$E$4:$SJ$4,"&lt;&gt;Bid Package",'PCO Log'!$E$7:$SJ$7,"Approved")</f>
        <v>0</v>
      </c>
      <c r="BM222" s="304">
        <f>SUMIFS('PCO Log'!$E46:$SJ46,'PCO Log'!$E$9:$SJ$9,'Graph Data'!BM$187,'PCO Log'!$E$4:$SJ$4,"&lt;&gt;Bid Package",'PCO Log'!$E$7:$SJ$7,"Approved")</f>
        <v>0</v>
      </c>
      <c r="BN222" s="304">
        <f>SUMIFS('PCO Log'!$E46:$SJ46,'PCO Log'!$E$9:$SJ$9,'Graph Data'!BN$187,'PCO Log'!$E$4:$SJ$4,"&lt;&gt;Bid Package",'PCO Log'!$E$7:$SJ$7,"Approved")</f>
        <v>0</v>
      </c>
      <c r="BO222" s="304">
        <f>SUMIFS('PCO Log'!$E46:$SJ46,'PCO Log'!$E$9:$SJ$9,'Graph Data'!BO$187,'PCO Log'!$E$4:$SJ$4,"&lt;&gt;Bid Package",'PCO Log'!$E$7:$SJ$7,"Approved")</f>
        <v>0</v>
      </c>
      <c r="BP222" s="304">
        <f>SUMIFS('PCO Log'!$E46:$SJ46,'PCO Log'!$E$9:$SJ$9,'Graph Data'!BP$187,'PCO Log'!$E$4:$SJ$4,"&lt;&gt;Bid Package",'PCO Log'!$E$7:$SJ$7,"Approved")</f>
        <v>0</v>
      </c>
      <c r="BQ222" s="304">
        <f>SUMIFS('PCO Log'!$E46:$SJ46,'PCO Log'!$E$9:$SJ$9,'Graph Data'!BQ$187,'PCO Log'!$E$4:$SJ$4,"&lt;&gt;Bid Package",'PCO Log'!$E$7:$SJ$7,"Approved")</f>
        <v>0</v>
      </c>
      <c r="BR222" s="304">
        <f>SUMIFS('PCO Log'!$E46:$SJ46,'PCO Log'!$E$9:$SJ$9,'Graph Data'!BR$187,'PCO Log'!$E$4:$SJ$4,"&lt;&gt;Bid Package",'PCO Log'!$E$7:$SJ$7,"Approved")</f>
        <v>0</v>
      </c>
      <c r="BS222" s="304">
        <f>SUMIFS('PCO Log'!$E46:$SJ46,'PCO Log'!$E$9:$SJ$9,'Graph Data'!BS$187,'PCO Log'!$E$4:$SJ$4,"&lt;&gt;Bid Package",'PCO Log'!$E$7:$SJ$7,"Approved")</f>
        <v>0</v>
      </c>
      <c r="BT222" s="304">
        <f>SUMIFS('PCO Log'!$E46:$SJ46,'PCO Log'!$E$9:$SJ$9,'Graph Data'!BT$187,'PCO Log'!$E$4:$SJ$4,"&lt;&gt;Bid Package",'PCO Log'!$E$7:$SJ$7,"Approved")</f>
        <v>0</v>
      </c>
      <c r="BU222" s="304">
        <f>SUMIFS('PCO Log'!$E46:$SJ46,'PCO Log'!$E$9:$SJ$9,'Graph Data'!BU$187,'PCO Log'!$E$4:$SJ$4,"&lt;&gt;Bid Package",'PCO Log'!$E$7:$SJ$7,"Approved")</f>
        <v>0</v>
      </c>
      <c r="BV222" s="304">
        <f>SUMIFS('PCO Log'!$E46:$SJ46,'PCO Log'!$E$9:$SJ$9,'Graph Data'!BV$187,'PCO Log'!$E$4:$SJ$4,"&lt;&gt;Bid Package",'PCO Log'!$E$7:$SJ$7,"Approved")</f>
        <v>0</v>
      </c>
      <c r="BW222" s="304">
        <f>SUMIFS('PCO Log'!$E46:$SJ46,'PCO Log'!$E$9:$SJ$9,'Graph Data'!BW$187,'PCO Log'!$E$4:$SJ$4,"&lt;&gt;Bid Package",'PCO Log'!$E$7:$SJ$7,"Approved")</f>
        <v>0</v>
      </c>
      <c r="BX222" s="304">
        <f>SUMIFS('PCO Log'!$E46:$SJ46,'PCO Log'!$E$9:$SJ$9,'Graph Data'!BX$187,'PCO Log'!$E$4:$SJ$4,"&lt;&gt;Bid Package",'PCO Log'!$E$7:$SJ$7,"Approved")</f>
        <v>0</v>
      </c>
    </row>
    <row r="223" spans="1:76" x14ac:dyDescent="0.25">
      <c r="A223" s="303" t="s">
        <v>573</v>
      </c>
      <c r="B223" s="303">
        <f>'PCO Log'!HR7</f>
        <v>0</v>
      </c>
      <c r="C223" s="303">
        <f>'PCO Log'!HR4</f>
        <v>0</v>
      </c>
      <c r="D223" s="303" cm="1">
        <f t="array" ref="D223">INDEX('PCO Log'!$E$5:$SJ$5, 1, ROWS('Graph Data'!$D$2:D223))</f>
        <v>0</v>
      </c>
      <c r="E223" s="303">
        <f>'PCO Log'!HR8</f>
        <v>0</v>
      </c>
      <c r="F223" s="303">
        <f>'PCO Log'!HR3</f>
        <v>0</v>
      </c>
      <c r="G223" s="304">
        <f>'PCO Log'!HR10</f>
        <v>0</v>
      </c>
      <c r="H223" s="305">
        <f>'PCO Log'!HR6</f>
        <v>0</v>
      </c>
      <c r="K223" s="307"/>
      <c r="P223" s="303" t="str">
        <f t="shared" si="3"/>
        <v>Joint Sealants</v>
      </c>
      <c r="Q223" s="304">
        <f>SUMIFS('PCO Log'!$E47:$SJ47,'PCO Log'!$E$9:$SJ$9,'Graph Data'!Q$187,'PCO Log'!$E$4:$SJ$4,"&lt;&gt;Bid Package",'PCO Log'!$E$7:$SJ$7,"Approved")</f>
        <v>0</v>
      </c>
      <c r="R223" s="304">
        <f>SUMIFS('PCO Log'!$E47:$SJ47,'PCO Log'!$E$9:$SJ$9,'Graph Data'!R$187,'PCO Log'!$E$4:$SJ$4,"&lt;&gt;Bid Package",'PCO Log'!$E$7:$SJ$7,"Approved")</f>
        <v>0</v>
      </c>
      <c r="S223" s="304">
        <f>SUMIFS('PCO Log'!$E47:$SJ47,'PCO Log'!$E$9:$SJ$9,'Graph Data'!S$187,'PCO Log'!$E$4:$SJ$4,"&lt;&gt;Bid Package",'PCO Log'!$E$7:$SJ$7,"Approved")</f>
        <v>0</v>
      </c>
      <c r="T223" s="304">
        <f>SUMIFS('PCO Log'!$E47:$SJ47,'PCO Log'!$E$9:$SJ$9,'Graph Data'!T$187,'PCO Log'!$E$4:$SJ$4,"&lt;&gt;Bid Package",'PCO Log'!$E$7:$SJ$7,"Approved")</f>
        <v>0</v>
      </c>
      <c r="U223" s="304">
        <f>SUMIFS('PCO Log'!$E47:$SJ47,'PCO Log'!$E$9:$SJ$9,'Graph Data'!U$187,'PCO Log'!$E$4:$SJ$4,"&lt;&gt;Bid Package",'PCO Log'!$E$7:$SJ$7,"Approved")</f>
        <v>0</v>
      </c>
      <c r="V223" s="304">
        <f>SUMIFS('PCO Log'!$E47:$SJ47,'PCO Log'!$E$9:$SJ$9,'Graph Data'!V$187,'PCO Log'!$E$4:$SJ$4,"&lt;&gt;Bid Package",'PCO Log'!$E$7:$SJ$7,"Approved")</f>
        <v>0</v>
      </c>
      <c r="W223" s="304">
        <f>SUMIFS('PCO Log'!$E47:$SJ47,'PCO Log'!$E$9:$SJ$9,'Graph Data'!W$187,'PCO Log'!$E$4:$SJ$4,"&lt;&gt;Bid Package",'PCO Log'!$E$7:$SJ$7,"Approved")</f>
        <v>0</v>
      </c>
      <c r="X223" s="304">
        <f>SUMIFS('PCO Log'!$E47:$SJ47,'PCO Log'!$E$9:$SJ$9,'Graph Data'!X$187,'PCO Log'!$E$4:$SJ$4,"&lt;&gt;Bid Package",'PCO Log'!$E$7:$SJ$7,"Approved")</f>
        <v>0</v>
      </c>
      <c r="Y223" s="304">
        <f>SUMIFS('PCO Log'!$E47:$SJ47,'PCO Log'!$E$9:$SJ$9,'Graph Data'!Y$187,'PCO Log'!$E$4:$SJ$4,"&lt;&gt;Bid Package",'PCO Log'!$E$7:$SJ$7,"Approved")</f>
        <v>0</v>
      </c>
      <c r="Z223" s="304">
        <f>SUMIFS('PCO Log'!$E47:$SJ47,'PCO Log'!$E$9:$SJ$9,'Graph Data'!Z$187,'PCO Log'!$E$4:$SJ$4,"&lt;&gt;Bid Package",'PCO Log'!$E$7:$SJ$7,"Approved")</f>
        <v>0</v>
      </c>
      <c r="AA223" s="304">
        <f>SUMIFS('PCO Log'!$E47:$SJ47,'PCO Log'!$E$9:$SJ$9,'Graph Data'!AA$187,'PCO Log'!$E$4:$SJ$4,"&lt;&gt;Bid Package",'PCO Log'!$E$7:$SJ$7,"Approved")</f>
        <v>0</v>
      </c>
      <c r="AB223" s="304">
        <f>SUMIFS('PCO Log'!$E47:$SJ47,'PCO Log'!$E$9:$SJ$9,'Graph Data'!AB$187,'PCO Log'!$E$4:$SJ$4,"&lt;&gt;Bid Package",'PCO Log'!$E$7:$SJ$7,"Approved")</f>
        <v>0</v>
      </c>
      <c r="AC223" s="304">
        <f>SUMIFS('PCO Log'!$E47:$SJ47,'PCO Log'!$E$9:$SJ$9,'Graph Data'!AC$187,'PCO Log'!$E$4:$SJ$4,"&lt;&gt;Bid Package",'PCO Log'!$E$7:$SJ$7,"Approved")</f>
        <v>0</v>
      </c>
      <c r="AD223" s="304">
        <f>SUMIFS('PCO Log'!$E47:$SJ47,'PCO Log'!$E$9:$SJ$9,'Graph Data'!AD$187,'PCO Log'!$E$4:$SJ$4,"&lt;&gt;Bid Package",'PCO Log'!$E$7:$SJ$7,"Approved")</f>
        <v>0</v>
      </c>
      <c r="AE223" s="304">
        <f>SUMIFS('PCO Log'!$E47:$SJ47,'PCO Log'!$E$9:$SJ$9,'Graph Data'!AE$187,'PCO Log'!$E$4:$SJ$4,"&lt;&gt;Bid Package",'PCO Log'!$E$7:$SJ$7,"Approved")</f>
        <v>0</v>
      </c>
      <c r="AF223" s="304">
        <f>SUMIFS('PCO Log'!$E47:$SJ47,'PCO Log'!$E$9:$SJ$9,'Graph Data'!AF$187,'PCO Log'!$E$4:$SJ$4,"&lt;&gt;Bid Package",'PCO Log'!$E$7:$SJ$7,"Approved")</f>
        <v>0</v>
      </c>
      <c r="AG223" s="304">
        <f>SUMIFS('PCO Log'!$E47:$SJ47,'PCO Log'!$E$9:$SJ$9,'Graph Data'!AG$187,'PCO Log'!$E$4:$SJ$4,"&lt;&gt;Bid Package",'PCO Log'!$E$7:$SJ$7,"Approved")</f>
        <v>0</v>
      </c>
      <c r="AH223" s="304">
        <f>SUMIFS('PCO Log'!$E47:$SJ47,'PCO Log'!$E$9:$SJ$9,'Graph Data'!AH$187,'PCO Log'!$E$4:$SJ$4,"&lt;&gt;Bid Package",'PCO Log'!$E$7:$SJ$7,"Approved")</f>
        <v>0</v>
      </c>
      <c r="AI223" s="304">
        <f>SUMIFS('PCO Log'!$E47:$SJ47,'PCO Log'!$E$9:$SJ$9,'Graph Data'!AI$187,'PCO Log'!$E$4:$SJ$4,"&lt;&gt;Bid Package",'PCO Log'!$E$7:$SJ$7,"Approved")</f>
        <v>0</v>
      </c>
      <c r="AJ223" s="304">
        <f>SUMIFS('PCO Log'!$E47:$SJ47,'PCO Log'!$E$9:$SJ$9,'Graph Data'!AJ$187,'PCO Log'!$E$4:$SJ$4,"&lt;&gt;Bid Package",'PCO Log'!$E$7:$SJ$7,"Approved")</f>
        <v>0</v>
      </c>
      <c r="AK223" s="304">
        <f>SUMIFS('PCO Log'!$E47:$SJ47,'PCO Log'!$E$9:$SJ$9,'Graph Data'!AK$187,'PCO Log'!$E$4:$SJ$4,"&lt;&gt;Bid Package",'PCO Log'!$E$7:$SJ$7,"Approved")</f>
        <v>0</v>
      </c>
      <c r="AL223" s="304">
        <f>SUMIFS('PCO Log'!$E47:$SJ47,'PCO Log'!$E$9:$SJ$9,'Graph Data'!AL$187,'PCO Log'!$E$4:$SJ$4,"&lt;&gt;Bid Package",'PCO Log'!$E$7:$SJ$7,"Approved")</f>
        <v>0</v>
      </c>
      <c r="AM223" s="304">
        <f>SUMIFS('PCO Log'!$E47:$SJ47,'PCO Log'!$E$9:$SJ$9,'Graph Data'!AM$187,'PCO Log'!$E$4:$SJ$4,"&lt;&gt;Bid Package",'PCO Log'!$E$7:$SJ$7,"Approved")</f>
        <v>0</v>
      </c>
      <c r="AN223" s="304">
        <f>SUMIFS('PCO Log'!$E47:$SJ47,'PCO Log'!$E$9:$SJ$9,'Graph Data'!AN$187,'PCO Log'!$E$4:$SJ$4,"&lt;&gt;Bid Package",'PCO Log'!$E$7:$SJ$7,"Approved")</f>
        <v>0</v>
      </c>
      <c r="AO223" s="304">
        <f>SUMIFS('PCO Log'!$E47:$SJ47,'PCO Log'!$E$9:$SJ$9,'Graph Data'!AO$187,'PCO Log'!$E$4:$SJ$4,"&lt;&gt;Bid Package",'PCO Log'!$E$7:$SJ$7,"Approved")</f>
        <v>0</v>
      </c>
      <c r="AP223" s="304">
        <f>SUMIFS('PCO Log'!$E47:$SJ47,'PCO Log'!$E$9:$SJ$9,'Graph Data'!AP$187,'PCO Log'!$E$4:$SJ$4,"&lt;&gt;Bid Package",'PCO Log'!$E$7:$SJ$7,"Approved")</f>
        <v>0</v>
      </c>
      <c r="AQ223" s="304">
        <f>SUMIFS('PCO Log'!$E47:$SJ47,'PCO Log'!$E$9:$SJ$9,'Graph Data'!AQ$187,'PCO Log'!$E$4:$SJ$4,"&lt;&gt;Bid Package",'PCO Log'!$E$7:$SJ$7,"Approved")</f>
        <v>0</v>
      </c>
      <c r="AR223" s="304">
        <f>SUMIFS('PCO Log'!$E47:$SJ47,'PCO Log'!$E$9:$SJ$9,'Graph Data'!AR$187,'PCO Log'!$E$4:$SJ$4,"&lt;&gt;Bid Package",'PCO Log'!$E$7:$SJ$7,"Approved")</f>
        <v>0</v>
      </c>
      <c r="AS223" s="304">
        <f>SUMIFS('PCO Log'!$E47:$SJ47,'PCO Log'!$E$9:$SJ$9,'Graph Data'!AS$187,'PCO Log'!$E$4:$SJ$4,"&lt;&gt;Bid Package",'PCO Log'!$E$7:$SJ$7,"Approved")</f>
        <v>0</v>
      </c>
      <c r="AT223" s="304">
        <f>SUMIFS('PCO Log'!$E47:$SJ47,'PCO Log'!$E$9:$SJ$9,'Graph Data'!AT$187,'PCO Log'!$E$4:$SJ$4,"&lt;&gt;Bid Package",'PCO Log'!$E$7:$SJ$7,"Approved")</f>
        <v>0</v>
      </c>
      <c r="AU223" s="304">
        <f>SUMIFS('PCO Log'!$E47:$SJ47,'PCO Log'!$E$9:$SJ$9,'Graph Data'!AU$187,'PCO Log'!$E$4:$SJ$4,"&lt;&gt;Bid Package",'PCO Log'!$E$7:$SJ$7,"Approved")</f>
        <v>0</v>
      </c>
      <c r="AV223" s="304">
        <f>SUMIFS('PCO Log'!$E47:$SJ47,'PCO Log'!$E$9:$SJ$9,'Graph Data'!AV$187,'PCO Log'!$E$4:$SJ$4,"&lt;&gt;Bid Package",'PCO Log'!$E$7:$SJ$7,"Approved")</f>
        <v>0</v>
      </c>
      <c r="AW223" s="304">
        <f>SUMIFS('PCO Log'!$E47:$SJ47,'PCO Log'!$E$9:$SJ$9,'Graph Data'!AW$187,'PCO Log'!$E$4:$SJ$4,"&lt;&gt;Bid Package",'PCO Log'!$E$7:$SJ$7,"Approved")</f>
        <v>0</v>
      </c>
      <c r="AX223" s="304">
        <f>SUMIFS('PCO Log'!$E47:$SJ47,'PCO Log'!$E$9:$SJ$9,'Graph Data'!AX$187,'PCO Log'!$E$4:$SJ$4,"&lt;&gt;Bid Package",'PCO Log'!$E$7:$SJ$7,"Approved")</f>
        <v>0</v>
      </c>
      <c r="AY223" s="304">
        <f>SUMIFS('PCO Log'!$E47:$SJ47,'PCO Log'!$E$9:$SJ$9,'Graph Data'!AY$187,'PCO Log'!$E$4:$SJ$4,"&lt;&gt;Bid Package",'PCO Log'!$E$7:$SJ$7,"Approved")</f>
        <v>0</v>
      </c>
      <c r="AZ223" s="304">
        <f>SUMIFS('PCO Log'!$E47:$SJ47,'PCO Log'!$E$9:$SJ$9,'Graph Data'!AZ$187,'PCO Log'!$E$4:$SJ$4,"&lt;&gt;Bid Package",'PCO Log'!$E$7:$SJ$7,"Approved")</f>
        <v>0</v>
      </c>
      <c r="BA223" s="304">
        <f>SUMIFS('PCO Log'!$E47:$SJ47,'PCO Log'!$E$9:$SJ$9,'Graph Data'!BA$187,'PCO Log'!$E$4:$SJ$4,"&lt;&gt;Bid Package",'PCO Log'!$E$7:$SJ$7,"Approved")</f>
        <v>0</v>
      </c>
      <c r="BB223" s="304">
        <f>SUMIFS('PCO Log'!$E47:$SJ47,'PCO Log'!$E$9:$SJ$9,'Graph Data'!BB$187,'PCO Log'!$E$4:$SJ$4,"&lt;&gt;Bid Package",'PCO Log'!$E$7:$SJ$7,"Approved")</f>
        <v>0</v>
      </c>
      <c r="BC223" s="304">
        <f>SUMIFS('PCO Log'!$E47:$SJ47,'PCO Log'!$E$9:$SJ$9,'Graph Data'!BC$187,'PCO Log'!$E$4:$SJ$4,"&lt;&gt;Bid Package",'PCO Log'!$E$7:$SJ$7,"Approved")</f>
        <v>0</v>
      </c>
      <c r="BD223" s="304">
        <f>SUMIFS('PCO Log'!$E47:$SJ47,'PCO Log'!$E$9:$SJ$9,'Graph Data'!BD$187,'PCO Log'!$E$4:$SJ$4,"&lt;&gt;Bid Package",'PCO Log'!$E$7:$SJ$7,"Approved")</f>
        <v>0</v>
      </c>
      <c r="BE223" s="304">
        <f>SUMIFS('PCO Log'!$E47:$SJ47,'PCO Log'!$E$9:$SJ$9,'Graph Data'!BE$187,'PCO Log'!$E$4:$SJ$4,"&lt;&gt;Bid Package",'PCO Log'!$E$7:$SJ$7,"Approved")</f>
        <v>0</v>
      </c>
      <c r="BF223" s="304">
        <f>SUMIFS('PCO Log'!$E47:$SJ47,'PCO Log'!$E$9:$SJ$9,'Graph Data'!BF$187,'PCO Log'!$E$4:$SJ$4,"&lt;&gt;Bid Package",'PCO Log'!$E$7:$SJ$7,"Approved")</f>
        <v>0</v>
      </c>
      <c r="BG223" s="304">
        <f>SUMIFS('PCO Log'!$E47:$SJ47,'PCO Log'!$E$9:$SJ$9,'Graph Data'!BG$187,'PCO Log'!$E$4:$SJ$4,"&lt;&gt;Bid Package",'PCO Log'!$E$7:$SJ$7,"Approved")</f>
        <v>0</v>
      </c>
      <c r="BH223" s="304">
        <f>SUMIFS('PCO Log'!$E47:$SJ47,'PCO Log'!$E$9:$SJ$9,'Graph Data'!BH$187,'PCO Log'!$E$4:$SJ$4,"&lt;&gt;Bid Package",'PCO Log'!$E$7:$SJ$7,"Approved")</f>
        <v>0</v>
      </c>
      <c r="BI223" s="304">
        <f>SUMIFS('PCO Log'!$E47:$SJ47,'PCO Log'!$E$9:$SJ$9,'Graph Data'!BI$187,'PCO Log'!$E$4:$SJ$4,"&lt;&gt;Bid Package",'PCO Log'!$E$7:$SJ$7,"Approved")</f>
        <v>0</v>
      </c>
      <c r="BJ223" s="304">
        <f>SUMIFS('PCO Log'!$E47:$SJ47,'PCO Log'!$E$9:$SJ$9,'Graph Data'!BJ$187,'PCO Log'!$E$4:$SJ$4,"&lt;&gt;Bid Package",'PCO Log'!$E$7:$SJ$7,"Approved")</f>
        <v>0</v>
      </c>
      <c r="BK223" s="304">
        <f>SUMIFS('PCO Log'!$E47:$SJ47,'PCO Log'!$E$9:$SJ$9,'Graph Data'!BK$187,'PCO Log'!$E$4:$SJ$4,"&lt;&gt;Bid Package",'PCO Log'!$E$7:$SJ$7,"Approved")</f>
        <v>0</v>
      </c>
      <c r="BL223" s="304">
        <f>SUMIFS('PCO Log'!$E47:$SJ47,'PCO Log'!$E$9:$SJ$9,'Graph Data'!BL$187,'PCO Log'!$E$4:$SJ$4,"&lt;&gt;Bid Package",'PCO Log'!$E$7:$SJ$7,"Approved")</f>
        <v>0</v>
      </c>
      <c r="BM223" s="304">
        <f>SUMIFS('PCO Log'!$E47:$SJ47,'PCO Log'!$E$9:$SJ$9,'Graph Data'!BM$187,'PCO Log'!$E$4:$SJ$4,"&lt;&gt;Bid Package",'PCO Log'!$E$7:$SJ$7,"Approved")</f>
        <v>0</v>
      </c>
      <c r="BN223" s="304">
        <f>SUMIFS('PCO Log'!$E47:$SJ47,'PCO Log'!$E$9:$SJ$9,'Graph Data'!BN$187,'PCO Log'!$E$4:$SJ$4,"&lt;&gt;Bid Package",'PCO Log'!$E$7:$SJ$7,"Approved")</f>
        <v>0</v>
      </c>
      <c r="BO223" s="304">
        <f>SUMIFS('PCO Log'!$E47:$SJ47,'PCO Log'!$E$9:$SJ$9,'Graph Data'!BO$187,'PCO Log'!$E$4:$SJ$4,"&lt;&gt;Bid Package",'PCO Log'!$E$7:$SJ$7,"Approved")</f>
        <v>0</v>
      </c>
      <c r="BP223" s="304">
        <f>SUMIFS('PCO Log'!$E47:$SJ47,'PCO Log'!$E$9:$SJ$9,'Graph Data'!BP$187,'PCO Log'!$E$4:$SJ$4,"&lt;&gt;Bid Package",'PCO Log'!$E$7:$SJ$7,"Approved")</f>
        <v>0</v>
      </c>
      <c r="BQ223" s="304">
        <f>SUMIFS('PCO Log'!$E47:$SJ47,'PCO Log'!$E$9:$SJ$9,'Graph Data'!BQ$187,'PCO Log'!$E$4:$SJ$4,"&lt;&gt;Bid Package",'PCO Log'!$E$7:$SJ$7,"Approved")</f>
        <v>0</v>
      </c>
      <c r="BR223" s="304">
        <f>SUMIFS('PCO Log'!$E47:$SJ47,'PCO Log'!$E$9:$SJ$9,'Graph Data'!BR$187,'PCO Log'!$E$4:$SJ$4,"&lt;&gt;Bid Package",'PCO Log'!$E$7:$SJ$7,"Approved")</f>
        <v>0</v>
      </c>
      <c r="BS223" s="304">
        <f>SUMIFS('PCO Log'!$E47:$SJ47,'PCO Log'!$E$9:$SJ$9,'Graph Data'!BS$187,'PCO Log'!$E$4:$SJ$4,"&lt;&gt;Bid Package",'PCO Log'!$E$7:$SJ$7,"Approved")</f>
        <v>0</v>
      </c>
      <c r="BT223" s="304">
        <f>SUMIFS('PCO Log'!$E47:$SJ47,'PCO Log'!$E$9:$SJ$9,'Graph Data'!BT$187,'PCO Log'!$E$4:$SJ$4,"&lt;&gt;Bid Package",'PCO Log'!$E$7:$SJ$7,"Approved")</f>
        <v>0</v>
      </c>
      <c r="BU223" s="304">
        <f>SUMIFS('PCO Log'!$E47:$SJ47,'PCO Log'!$E$9:$SJ$9,'Graph Data'!BU$187,'PCO Log'!$E$4:$SJ$4,"&lt;&gt;Bid Package",'PCO Log'!$E$7:$SJ$7,"Approved")</f>
        <v>0</v>
      </c>
      <c r="BV223" s="304">
        <f>SUMIFS('PCO Log'!$E47:$SJ47,'PCO Log'!$E$9:$SJ$9,'Graph Data'!BV$187,'PCO Log'!$E$4:$SJ$4,"&lt;&gt;Bid Package",'PCO Log'!$E$7:$SJ$7,"Approved")</f>
        <v>0</v>
      </c>
      <c r="BW223" s="304">
        <f>SUMIFS('PCO Log'!$E47:$SJ47,'PCO Log'!$E$9:$SJ$9,'Graph Data'!BW$187,'PCO Log'!$E$4:$SJ$4,"&lt;&gt;Bid Package",'PCO Log'!$E$7:$SJ$7,"Approved")</f>
        <v>0</v>
      </c>
      <c r="BX223" s="304">
        <f>SUMIFS('PCO Log'!$E47:$SJ47,'PCO Log'!$E$9:$SJ$9,'Graph Data'!BX$187,'PCO Log'!$E$4:$SJ$4,"&lt;&gt;Bid Package",'PCO Log'!$E$7:$SJ$7,"Approved")</f>
        <v>0</v>
      </c>
    </row>
    <row r="224" spans="1:76" x14ac:dyDescent="0.25">
      <c r="A224" s="303" t="s">
        <v>574</v>
      </c>
      <c r="B224" s="303">
        <f>'PCO Log'!HS7</f>
        <v>0</v>
      </c>
      <c r="C224" s="303">
        <f>'PCO Log'!HS4</f>
        <v>0</v>
      </c>
      <c r="D224" s="303" cm="1">
        <f t="array" ref="D224">INDEX('PCO Log'!$E$5:$SJ$5, 1, ROWS('Graph Data'!$D$2:D224))</f>
        <v>0</v>
      </c>
      <c r="E224" s="303">
        <f>'PCO Log'!HS8</f>
        <v>0</v>
      </c>
      <c r="F224" s="303">
        <f>'PCO Log'!HS3</f>
        <v>0</v>
      </c>
      <c r="G224" s="304">
        <f>'PCO Log'!HS10</f>
        <v>0</v>
      </c>
      <c r="H224" s="305">
        <f>'PCO Log'!HS6</f>
        <v>0</v>
      </c>
      <c r="K224" s="307"/>
      <c r="P224" s="303" t="str">
        <f t="shared" si="3"/>
        <v>Expansion Joints</v>
      </c>
      <c r="Q224" s="304">
        <f>SUMIFS('PCO Log'!$E48:$SJ48,'PCO Log'!$E$9:$SJ$9,'Graph Data'!Q$187,'PCO Log'!$E$4:$SJ$4,"&lt;&gt;Bid Package",'PCO Log'!$E$7:$SJ$7,"Approved")</f>
        <v>0</v>
      </c>
      <c r="R224" s="304">
        <f>SUMIFS('PCO Log'!$E48:$SJ48,'PCO Log'!$E$9:$SJ$9,'Graph Data'!R$187,'PCO Log'!$E$4:$SJ$4,"&lt;&gt;Bid Package",'PCO Log'!$E$7:$SJ$7,"Approved")</f>
        <v>0</v>
      </c>
      <c r="S224" s="304">
        <f>SUMIFS('PCO Log'!$E48:$SJ48,'PCO Log'!$E$9:$SJ$9,'Graph Data'!S$187,'PCO Log'!$E$4:$SJ$4,"&lt;&gt;Bid Package",'PCO Log'!$E$7:$SJ$7,"Approved")</f>
        <v>0</v>
      </c>
      <c r="T224" s="304">
        <f>SUMIFS('PCO Log'!$E48:$SJ48,'PCO Log'!$E$9:$SJ$9,'Graph Data'!T$187,'PCO Log'!$E$4:$SJ$4,"&lt;&gt;Bid Package",'PCO Log'!$E$7:$SJ$7,"Approved")</f>
        <v>0</v>
      </c>
      <c r="U224" s="304">
        <f>SUMIFS('PCO Log'!$E48:$SJ48,'PCO Log'!$E$9:$SJ$9,'Graph Data'!U$187,'PCO Log'!$E$4:$SJ$4,"&lt;&gt;Bid Package",'PCO Log'!$E$7:$SJ$7,"Approved")</f>
        <v>0</v>
      </c>
      <c r="V224" s="304">
        <f>SUMIFS('PCO Log'!$E48:$SJ48,'PCO Log'!$E$9:$SJ$9,'Graph Data'!V$187,'PCO Log'!$E$4:$SJ$4,"&lt;&gt;Bid Package",'PCO Log'!$E$7:$SJ$7,"Approved")</f>
        <v>0</v>
      </c>
      <c r="W224" s="304">
        <f>SUMIFS('PCO Log'!$E48:$SJ48,'PCO Log'!$E$9:$SJ$9,'Graph Data'!W$187,'PCO Log'!$E$4:$SJ$4,"&lt;&gt;Bid Package",'PCO Log'!$E$7:$SJ$7,"Approved")</f>
        <v>0</v>
      </c>
      <c r="X224" s="304">
        <f>SUMIFS('PCO Log'!$E48:$SJ48,'PCO Log'!$E$9:$SJ$9,'Graph Data'!X$187,'PCO Log'!$E$4:$SJ$4,"&lt;&gt;Bid Package",'PCO Log'!$E$7:$SJ$7,"Approved")</f>
        <v>0</v>
      </c>
      <c r="Y224" s="304">
        <f>SUMIFS('PCO Log'!$E48:$SJ48,'PCO Log'!$E$9:$SJ$9,'Graph Data'!Y$187,'PCO Log'!$E$4:$SJ$4,"&lt;&gt;Bid Package",'PCO Log'!$E$7:$SJ$7,"Approved")</f>
        <v>0</v>
      </c>
      <c r="Z224" s="304">
        <f>SUMIFS('PCO Log'!$E48:$SJ48,'PCO Log'!$E$9:$SJ$9,'Graph Data'!Z$187,'PCO Log'!$E$4:$SJ$4,"&lt;&gt;Bid Package",'PCO Log'!$E$7:$SJ$7,"Approved")</f>
        <v>0</v>
      </c>
      <c r="AA224" s="304">
        <f>SUMIFS('PCO Log'!$E48:$SJ48,'PCO Log'!$E$9:$SJ$9,'Graph Data'!AA$187,'PCO Log'!$E$4:$SJ$4,"&lt;&gt;Bid Package",'PCO Log'!$E$7:$SJ$7,"Approved")</f>
        <v>0</v>
      </c>
      <c r="AB224" s="304">
        <f>SUMIFS('PCO Log'!$E48:$SJ48,'PCO Log'!$E$9:$SJ$9,'Graph Data'!AB$187,'PCO Log'!$E$4:$SJ$4,"&lt;&gt;Bid Package",'PCO Log'!$E$7:$SJ$7,"Approved")</f>
        <v>0</v>
      </c>
      <c r="AC224" s="304">
        <f>SUMIFS('PCO Log'!$E48:$SJ48,'PCO Log'!$E$9:$SJ$9,'Graph Data'!AC$187,'PCO Log'!$E$4:$SJ$4,"&lt;&gt;Bid Package",'PCO Log'!$E$7:$SJ$7,"Approved")</f>
        <v>0</v>
      </c>
      <c r="AD224" s="304">
        <f>SUMIFS('PCO Log'!$E48:$SJ48,'PCO Log'!$E$9:$SJ$9,'Graph Data'!AD$187,'PCO Log'!$E$4:$SJ$4,"&lt;&gt;Bid Package",'PCO Log'!$E$7:$SJ$7,"Approved")</f>
        <v>0</v>
      </c>
      <c r="AE224" s="304">
        <f>SUMIFS('PCO Log'!$E48:$SJ48,'PCO Log'!$E$9:$SJ$9,'Graph Data'!AE$187,'PCO Log'!$E$4:$SJ$4,"&lt;&gt;Bid Package",'PCO Log'!$E$7:$SJ$7,"Approved")</f>
        <v>0</v>
      </c>
      <c r="AF224" s="304">
        <f>SUMIFS('PCO Log'!$E48:$SJ48,'PCO Log'!$E$9:$SJ$9,'Graph Data'!AF$187,'PCO Log'!$E$4:$SJ$4,"&lt;&gt;Bid Package",'PCO Log'!$E$7:$SJ$7,"Approved")</f>
        <v>0</v>
      </c>
      <c r="AG224" s="304">
        <f>SUMIFS('PCO Log'!$E48:$SJ48,'PCO Log'!$E$9:$SJ$9,'Graph Data'!AG$187,'PCO Log'!$E$4:$SJ$4,"&lt;&gt;Bid Package",'PCO Log'!$E$7:$SJ$7,"Approved")</f>
        <v>0</v>
      </c>
      <c r="AH224" s="304">
        <f>SUMIFS('PCO Log'!$E48:$SJ48,'PCO Log'!$E$9:$SJ$9,'Graph Data'!AH$187,'PCO Log'!$E$4:$SJ$4,"&lt;&gt;Bid Package",'PCO Log'!$E$7:$SJ$7,"Approved")</f>
        <v>0</v>
      </c>
      <c r="AI224" s="304">
        <f>SUMIFS('PCO Log'!$E48:$SJ48,'PCO Log'!$E$9:$SJ$9,'Graph Data'!AI$187,'PCO Log'!$E$4:$SJ$4,"&lt;&gt;Bid Package",'PCO Log'!$E$7:$SJ$7,"Approved")</f>
        <v>0</v>
      </c>
      <c r="AJ224" s="304">
        <f>SUMIFS('PCO Log'!$E48:$SJ48,'PCO Log'!$E$9:$SJ$9,'Graph Data'!AJ$187,'PCO Log'!$E$4:$SJ$4,"&lt;&gt;Bid Package",'PCO Log'!$E$7:$SJ$7,"Approved")</f>
        <v>0</v>
      </c>
      <c r="AK224" s="304">
        <f>SUMIFS('PCO Log'!$E48:$SJ48,'PCO Log'!$E$9:$SJ$9,'Graph Data'!AK$187,'PCO Log'!$E$4:$SJ$4,"&lt;&gt;Bid Package",'PCO Log'!$E$7:$SJ$7,"Approved")</f>
        <v>0</v>
      </c>
      <c r="AL224" s="304">
        <f>SUMIFS('PCO Log'!$E48:$SJ48,'PCO Log'!$E$9:$SJ$9,'Graph Data'!AL$187,'PCO Log'!$E$4:$SJ$4,"&lt;&gt;Bid Package",'PCO Log'!$E$7:$SJ$7,"Approved")</f>
        <v>0</v>
      </c>
      <c r="AM224" s="304">
        <f>SUMIFS('PCO Log'!$E48:$SJ48,'PCO Log'!$E$9:$SJ$9,'Graph Data'!AM$187,'PCO Log'!$E$4:$SJ$4,"&lt;&gt;Bid Package",'PCO Log'!$E$7:$SJ$7,"Approved")</f>
        <v>0</v>
      </c>
      <c r="AN224" s="304">
        <f>SUMIFS('PCO Log'!$E48:$SJ48,'PCO Log'!$E$9:$SJ$9,'Graph Data'!AN$187,'PCO Log'!$E$4:$SJ$4,"&lt;&gt;Bid Package",'PCO Log'!$E$7:$SJ$7,"Approved")</f>
        <v>0</v>
      </c>
      <c r="AO224" s="304">
        <f>SUMIFS('PCO Log'!$E48:$SJ48,'PCO Log'!$E$9:$SJ$9,'Graph Data'!AO$187,'PCO Log'!$E$4:$SJ$4,"&lt;&gt;Bid Package",'PCO Log'!$E$7:$SJ$7,"Approved")</f>
        <v>0</v>
      </c>
      <c r="AP224" s="304">
        <f>SUMIFS('PCO Log'!$E48:$SJ48,'PCO Log'!$E$9:$SJ$9,'Graph Data'!AP$187,'PCO Log'!$E$4:$SJ$4,"&lt;&gt;Bid Package",'PCO Log'!$E$7:$SJ$7,"Approved")</f>
        <v>0</v>
      </c>
      <c r="AQ224" s="304">
        <f>SUMIFS('PCO Log'!$E48:$SJ48,'PCO Log'!$E$9:$SJ$9,'Graph Data'!AQ$187,'PCO Log'!$E$4:$SJ$4,"&lt;&gt;Bid Package",'PCO Log'!$E$7:$SJ$7,"Approved")</f>
        <v>0</v>
      </c>
      <c r="AR224" s="304">
        <f>SUMIFS('PCO Log'!$E48:$SJ48,'PCO Log'!$E$9:$SJ$9,'Graph Data'!AR$187,'PCO Log'!$E$4:$SJ$4,"&lt;&gt;Bid Package",'PCO Log'!$E$7:$SJ$7,"Approved")</f>
        <v>0</v>
      </c>
      <c r="AS224" s="304">
        <f>SUMIFS('PCO Log'!$E48:$SJ48,'PCO Log'!$E$9:$SJ$9,'Graph Data'!AS$187,'PCO Log'!$E$4:$SJ$4,"&lt;&gt;Bid Package",'PCO Log'!$E$7:$SJ$7,"Approved")</f>
        <v>0</v>
      </c>
      <c r="AT224" s="304">
        <f>SUMIFS('PCO Log'!$E48:$SJ48,'PCO Log'!$E$9:$SJ$9,'Graph Data'!AT$187,'PCO Log'!$E$4:$SJ$4,"&lt;&gt;Bid Package",'PCO Log'!$E$7:$SJ$7,"Approved")</f>
        <v>0</v>
      </c>
      <c r="AU224" s="304">
        <f>SUMIFS('PCO Log'!$E48:$SJ48,'PCO Log'!$E$9:$SJ$9,'Graph Data'!AU$187,'PCO Log'!$E$4:$SJ$4,"&lt;&gt;Bid Package",'PCO Log'!$E$7:$SJ$7,"Approved")</f>
        <v>0</v>
      </c>
      <c r="AV224" s="304">
        <f>SUMIFS('PCO Log'!$E48:$SJ48,'PCO Log'!$E$9:$SJ$9,'Graph Data'!AV$187,'PCO Log'!$E$4:$SJ$4,"&lt;&gt;Bid Package",'PCO Log'!$E$7:$SJ$7,"Approved")</f>
        <v>0</v>
      </c>
      <c r="AW224" s="304">
        <f>SUMIFS('PCO Log'!$E48:$SJ48,'PCO Log'!$E$9:$SJ$9,'Graph Data'!AW$187,'PCO Log'!$E$4:$SJ$4,"&lt;&gt;Bid Package",'PCO Log'!$E$7:$SJ$7,"Approved")</f>
        <v>0</v>
      </c>
      <c r="AX224" s="304">
        <f>SUMIFS('PCO Log'!$E48:$SJ48,'PCO Log'!$E$9:$SJ$9,'Graph Data'!AX$187,'PCO Log'!$E$4:$SJ$4,"&lt;&gt;Bid Package",'PCO Log'!$E$7:$SJ$7,"Approved")</f>
        <v>0</v>
      </c>
      <c r="AY224" s="304">
        <f>SUMIFS('PCO Log'!$E48:$SJ48,'PCO Log'!$E$9:$SJ$9,'Graph Data'!AY$187,'PCO Log'!$E$4:$SJ$4,"&lt;&gt;Bid Package",'PCO Log'!$E$7:$SJ$7,"Approved")</f>
        <v>0</v>
      </c>
      <c r="AZ224" s="304">
        <f>SUMIFS('PCO Log'!$E48:$SJ48,'PCO Log'!$E$9:$SJ$9,'Graph Data'!AZ$187,'PCO Log'!$E$4:$SJ$4,"&lt;&gt;Bid Package",'PCO Log'!$E$7:$SJ$7,"Approved")</f>
        <v>0</v>
      </c>
      <c r="BA224" s="304">
        <f>SUMIFS('PCO Log'!$E48:$SJ48,'PCO Log'!$E$9:$SJ$9,'Graph Data'!BA$187,'PCO Log'!$E$4:$SJ$4,"&lt;&gt;Bid Package",'PCO Log'!$E$7:$SJ$7,"Approved")</f>
        <v>0</v>
      </c>
      <c r="BB224" s="304">
        <f>SUMIFS('PCO Log'!$E48:$SJ48,'PCO Log'!$E$9:$SJ$9,'Graph Data'!BB$187,'PCO Log'!$E$4:$SJ$4,"&lt;&gt;Bid Package",'PCO Log'!$E$7:$SJ$7,"Approved")</f>
        <v>0</v>
      </c>
      <c r="BC224" s="304">
        <f>SUMIFS('PCO Log'!$E48:$SJ48,'PCO Log'!$E$9:$SJ$9,'Graph Data'!BC$187,'PCO Log'!$E$4:$SJ$4,"&lt;&gt;Bid Package",'PCO Log'!$E$7:$SJ$7,"Approved")</f>
        <v>0</v>
      </c>
      <c r="BD224" s="304">
        <f>SUMIFS('PCO Log'!$E48:$SJ48,'PCO Log'!$E$9:$SJ$9,'Graph Data'!BD$187,'PCO Log'!$E$4:$SJ$4,"&lt;&gt;Bid Package",'PCO Log'!$E$7:$SJ$7,"Approved")</f>
        <v>0</v>
      </c>
      <c r="BE224" s="304">
        <f>SUMIFS('PCO Log'!$E48:$SJ48,'PCO Log'!$E$9:$SJ$9,'Graph Data'!BE$187,'PCO Log'!$E$4:$SJ$4,"&lt;&gt;Bid Package",'PCO Log'!$E$7:$SJ$7,"Approved")</f>
        <v>0</v>
      </c>
      <c r="BF224" s="304">
        <f>SUMIFS('PCO Log'!$E48:$SJ48,'PCO Log'!$E$9:$SJ$9,'Graph Data'!BF$187,'PCO Log'!$E$4:$SJ$4,"&lt;&gt;Bid Package",'PCO Log'!$E$7:$SJ$7,"Approved")</f>
        <v>0</v>
      </c>
      <c r="BG224" s="304">
        <f>SUMIFS('PCO Log'!$E48:$SJ48,'PCO Log'!$E$9:$SJ$9,'Graph Data'!BG$187,'PCO Log'!$E$4:$SJ$4,"&lt;&gt;Bid Package",'PCO Log'!$E$7:$SJ$7,"Approved")</f>
        <v>0</v>
      </c>
      <c r="BH224" s="304">
        <f>SUMIFS('PCO Log'!$E48:$SJ48,'PCO Log'!$E$9:$SJ$9,'Graph Data'!BH$187,'PCO Log'!$E$4:$SJ$4,"&lt;&gt;Bid Package",'PCO Log'!$E$7:$SJ$7,"Approved")</f>
        <v>0</v>
      </c>
      <c r="BI224" s="304">
        <f>SUMIFS('PCO Log'!$E48:$SJ48,'PCO Log'!$E$9:$SJ$9,'Graph Data'!BI$187,'PCO Log'!$E$4:$SJ$4,"&lt;&gt;Bid Package",'PCO Log'!$E$7:$SJ$7,"Approved")</f>
        <v>0</v>
      </c>
      <c r="BJ224" s="304">
        <f>SUMIFS('PCO Log'!$E48:$SJ48,'PCO Log'!$E$9:$SJ$9,'Graph Data'!BJ$187,'PCO Log'!$E$4:$SJ$4,"&lt;&gt;Bid Package",'PCO Log'!$E$7:$SJ$7,"Approved")</f>
        <v>0</v>
      </c>
      <c r="BK224" s="304">
        <f>SUMIFS('PCO Log'!$E48:$SJ48,'PCO Log'!$E$9:$SJ$9,'Graph Data'!BK$187,'PCO Log'!$E$4:$SJ$4,"&lt;&gt;Bid Package",'PCO Log'!$E$7:$SJ$7,"Approved")</f>
        <v>0</v>
      </c>
      <c r="BL224" s="304">
        <f>SUMIFS('PCO Log'!$E48:$SJ48,'PCO Log'!$E$9:$SJ$9,'Graph Data'!BL$187,'PCO Log'!$E$4:$SJ$4,"&lt;&gt;Bid Package",'PCO Log'!$E$7:$SJ$7,"Approved")</f>
        <v>0</v>
      </c>
      <c r="BM224" s="304">
        <f>SUMIFS('PCO Log'!$E48:$SJ48,'PCO Log'!$E$9:$SJ$9,'Graph Data'!BM$187,'PCO Log'!$E$4:$SJ$4,"&lt;&gt;Bid Package",'PCO Log'!$E$7:$SJ$7,"Approved")</f>
        <v>0</v>
      </c>
      <c r="BN224" s="304">
        <f>SUMIFS('PCO Log'!$E48:$SJ48,'PCO Log'!$E$9:$SJ$9,'Graph Data'!BN$187,'PCO Log'!$E$4:$SJ$4,"&lt;&gt;Bid Package",'PCO Log'!$E$7:$SJ$7,"Approved")</f>
        <v>0</v>
      </c>
      <c r="BO224" s="304">
        <f>SUMIFS('PCO Log'!$E48:$SJ48,'PCO Log'!$E$9:$SJ$9,'Graph Data'!BO$187,'PCO Log'!$E$4:$SJ$4,"&lt;&gt;Bid Package",'PCO Log'!$E$7:$SJ$7,"Approved")</f>
        <v>0</v>
      </c>
      <c r="BP224" s="304">
        <f>SUMIFS('PCO Log'!$E48:$SJ48,'PCO Log'!$E$9:$SJ$9,'Graph Data'!BP$187,'PCO Log'!$E$4:$SJ$4,"&lt;&gt;Bid Package",'PCO Log'!$E$7:$SJ$7,"Approved")</f>
        <v>0</v>
      </c>
      <c r="BQ224" s="304">
        <f>SUMIFS('PCO Log'!$E48:$SJ48,'PCO Log'!$E$9:$SJ$9,'Graph Data'!BQ$187,'PCO Log'!$E$4:$SJ$4,"&lt;&gt;Bid Package",'PCO Log'!$E$7:$SJ$7,"Approved")</f>
        <v>0</v>
      </c>
      <c r="BR224" s="304">
        <f>SUMIFS('PCO Log'!$E48:$SJ48,'PCO Log'!$E$9:$SJ$9,'Graph Data'!BR$187,'PCO Log'!$E$4:$SJ$4,"&lt;&gt;Bid Package",'PCO Log'!$E$7:$SJ$7,"Approved")</f>
        <v>0</v>
      </c>
      <c r="BS224" s="304">
        <f>SUMIFS('PCO Log'!$E48:$SJ48,'PCO Log'!$E$9:$SJ$9,'Graph Data'!BS$187,'PCO Log'!$E$4:$SJ$4,"&lt;&gt;Bid Package",'PCO Log'!$E$7:$SJ$7,"Approved")</f>
        <v>0</v>
      </c>
      <c r="BT224" s="304">
        <f>SUMIFS('PCO Log'!$E48:$SJ48,'PCO Log'!$E$9:$SJ$9,'Graph Data'!BT$187,'PCO Log'!$E$4:$SJ$4,"&lt;&gt;Bid Package",'PCO Log'!$E$7:$SJ$7,"Approved")</f>
        <v>0</v>
      </c>
      <c r="BU224" s="304">
        <f>SUMIFS('PCO Log'!$E48:$SJ48,'PCO Log'!$E$9:$SJ$9,'Graph Data'!BU$187,'PCO Log'!$E$4:$SJ$4,"&lt;&gt;Bid Package",'PCO Log'!$E$7:$SJ$7,"Approved")</f>
        <v>0</v>
      </c>
      <c r="BV224" s="304">
        <f>SUMIFS('PCO Log'!$E48:$SJ48,'PCO Log'!$E$9:$SJ$9,'Graph Data'!BV$187,'PCO Log'!$E$4:$SJ$4,"&lt;&gt;Bid Package",'PCO Log'!$E$7:$SJ$7,"Approved")</f>
        <v>0</v>
      </c>
      <c r="BW224" s="304">
        <f>SUMIFS('PCO Log'!$E48:$SJ48,'PCO Log'!$E$9:$SJ$9,'Graph Data'!BW$187,'PCO Log'!$E$4:$SJ$4,"&lt;&gt;Bid Package",'PCO Log'!$E$7:$SJ$7,"Approved")</f>
        <v>0</v>
      </c>
      <c r="BX224" s="304">
        <f>SUMIFS('PCO Log'!$E48:$SJ48,'PCO Log'!$E$9:$SJ$9,'Graph Data'!BX$187,'PCO Log'!$E$4:$SJ$4,"&lt;&gt;Bid Package",'PCO Log'!$E$7:$SJ$7,"Approved")</f>
        <v>0</v>
      </c>
    </row>
    <row r="225" spans="1:76" x14ac:dyDescent="0.25">
      <c r="A225" s="303" t="s">
        <v>575</v>
      </c>
      <c r="B225" s="303">
        <f>'PCO Log'!HT7</f>
        <v>0</v>
      </c>
      <c r="C225" s="303">
        <f>'PCO Log'!HT4</f>
        <v>0</v>
      </c>
      <c r="D225" s="303" cm="1">
        <f t="array" ref="D225">INDEX('PCO Log'!$E$5:$SJ$5, 1, ROWS('Graph Data'!$D$2:D225))</f>
        <v>0</v>
      </c>
      <c r="E225" s="303">
        <f>'PCO Log'!HT8</f>
        <v>0</v>
      </c>
      <c r="F225" s="303">
        <f>'PCO Log'!HT3</f>
        <v>0</v>
      </c>
      <c r="G225" s="304">
        <f>'PCO Log'!HT10</f>
        <v>0</v>
      </c>
      <c r="H225" s="305">
        <f>'PCO Log'!HT6</f>
        <v>0</v>
      </c>
      <c r="K225" s="307"/>
      <c r="P225" s="303" t="str">
        <f t="shared" si="3"/>
        <v>Doors, Frames &amp; Hardware</v>
      </c>
      <c r="Q225" s="304">
        <f>SUMIFS('PCO Log'!$E49:$SJ49,'PCO Log'!$E$9:$SJ$9,'Graph Data'!Q$187,'PCO Log'!$E$4:$SJ$4,"&lt;&gt;Bid Package",'PCO Log'!$E$7:$SJ$7,"Approved")</f>
        <v>0</v>
      </c>
      <c r="R225" s="304">
        <f>SUMIFS('PCO Log'!$E49:$SJ49,'PCO Log'!$E$9:$SJ$9,'Graph Data'!R$187,'PCO Log'!$E$4:$SJ$4,"&lt;&gt;Bid Package",'PCO Log'!$E$7:$SJ$7,"Approved")</f>
        <v>0</v>
      </c>
      <c r="S225" s="304">
        <f>SUMIFS('PCO Log'!$E49:$SJ49,'PCO Log'!$E$9:$SJ$9,'Graph Data'!S$187,'PCO Log'!$E$4:$SJ$4,"&lt;&gt;Bid Package",'PCO Log'!$E$7:$SJ$7,"Approved")</f>
        <v>0</v>
      </c>
      <c r="T225" s="304">
        <f>SUMIFS('PCO Log'!$E49:$SJ49,'PCO Log'!$E$9:$SJ$9,'Graph Data'!T$187,'PCO Log'!$E$4:$SJ$4,"&lt;&gt;Bid Package",'PCO Log'!$E$7:$SJ$7,"Approved")</f>
        <v>0</v>
      </c>
      <c r="U225" s="304">
        <f>SUMIFS('PCO Log'!$E49:$SJ49,'PCO Log'!$E$9:$SJ$9,'Graph Data'!U$187,'PCO Log'!$E$4:$SJ$4,"&lt;&gt;Bid Package",'PCO Log'!$E$7:$SJ$7,"Approved")</f>
        <v>0</v>
      </c>
      <c r="V225" s="304">
        <f>SUMIFS('PCO Log'!$E49:$SJ49,'PCO Log'!$E$9:$SJ$9,'Graph Data'!V$187,'PCO Log'!$E$4:$SJ$4,"&lt;&gt;Bid Package",'PCO Log'!$E$7:$SJ$7,"Approved")</f>
        <v>0</v>
      </c>
      <c r="W225" s="304">
        <f>SUMIFS('PCO Log'!$E49:$SJ49,'PCO Log'!$E$9:$SJ$9,'Graph Data'!W$187,'PCO Log'!$E$4:$SJ$4,"&lt;&gt;Bid Package",'PCO Log'!$E$7:$SJ$7,"Approved")</f>
        <v>0</v>
      </c>
      <c r="X225" s="304">
        <f>SUMIFS('PCO Log'!$E49:$SJ49,'PCO Log'!$E$9:$SJ$9,'Graph Data'!X$187,'PCO Log'!$E$4:$SJ$4,"&lt;&gt;Bid Package",'PCO Log'!$E$7:$SJ$7,"Approved")</f>
        <v>0</v>
      </c>
      <c r="Y225" s="304">
        <f>SUMIFS('PCO Log'!$E49:$SJ49,'PCO Log'!$E$9:$SJ$9,'Graph Data'!Y$187,'PCO Log'!$E$4:$SJ$4,"&lt;&gt;Bid Package",'PCO Log'!$E$7:$SJ$7,"Approved")</f>
        <v>0</v>
      </c>
      <c r="Z225" s="304">
        <f>SUMIFS('PCO Log'!$E49:$SJ49,'PCO Log'!$E$9:$SJ$9,'Graph Data'!Z$187,'PCO Log'!$E$4:$SJ$4,"&lt;&gt;Bid Package",'PCO Log'!$E$7:$SJ$7,"Approved")</f>
        <v>0</v>
      </c>
      <c r="AA225" s="304">
        <f>SUMIFS('PCO Log'!$E49:$SJ49,'PCO Log'!$E$9:$SJ$9,'Graph Data'!AA$187,'PCO Log'!$E$4:$SJ$4,"&lt;&gt;Bid Package",'PCO Log'!$E$7:$SJ$7,"Approved")</f>
        <v>0</v>
      </c>
      <c r="AB225" s="304">
        <f>SUMIFS('PCO Log'!$E49:$SJ49,'PCO Log'!$E$9:$SJ$9,'Graph Data'!AB$187,'PCO Log'!$E$4:$SJ$4,"&lt;&gt;Bid Package",'PCO Log'!$E$7:$SJ$7,"Approved")</f>
        <v>0</v>
      </c>
      <c r="AC225" s="304">
        <f>SUMIFS('PCO Log'!$E49:$SJ49,'PCO Log'!$E$9:$SJ$9,'Graph Data'!AC$187,'PCO Log'!$E$4:$SJ$4,"&lt;&gt;Bid Package",'PCO Log'!$E$7:$SJ$7,"Approved")</f>
        <v>0</v>
      </c>
      <c r="AD225" s="304">
        <f>SUMIFS('PCO Log'!$E49:$SJ49,'PCO Log'!$E$9:$SJ$9,'Graph Data'!AD$187,'PCO Log'!$E$4:$SJ$4,"&lt;&gt;Bid Package",'PCO Log'!$E$7:$SJ$7,"Approved")</f>
        <v>0</v>
      </c>
      <c r="AE225" s="304">
        <f>SUMIFS('PCO Log'!$E49:$SJ49,'PCO Log'!$E$9:$SJ$9,'Graph Data'!AE$187,'PCO Log'!$E$4:$SJ$4,"&lt;&gt;Bid Package",'PCO Log'!$E$7:$SJ$7,"Approved")</f>
        <v>0</v>
      </c>
      <c r="AF225" s="304">
        <f>SUMIFS('PCO Log'!$E49:$SJ49,'PCO Log'!$E$9:$SJ$9,'Graph Data'!AF$187,'PCO Log'!$E$4:$SJ$4,"&lt;&gt;Bid Package",'PCO Log'!$E$7:$SJ$7,"Approved")</f>
        <v>0</v>
      </c>
      <c r="AG225" s="304">
        <f>SUMIFS('PCO Log'!$E49:$SJ49,'PCO Log'!$E$9:$SJ$9,'Graph Data'!AG$187,'PCO Log'!$E$4:$SJ$4,"&lt;&gt;Bid Package",'PCO Log'!$E$7:$SJ$7,"Approved")</f>
        <v>0</v>
      </c>
      <c r="AH225" s="304">
        <f>SUMIFS('PCO Log'!$E49:$SJ49,'PCO Log'!$E$9:$SJ$9,'Graph Data'!AH$187,'PCO Log'!$E$4:$SJ$4,"&lt;&gt;Bid Package",'PCO Log'!$E$7:$SJ$7,"Approved")</f>
        <v>0</v>
      </c>
      <c r="AI225" s="304">
        <f>SUMIFS('PCO Log'!$E49:$SJ49,'PCO Log'!$E$9:$SJ$9,'Graph Data'!AI$187,'PCO Log'!$E$4:$SJ$4,"&lt;&gt;Bid Package",'PCO Log'!$E$7:$SJ$7,"Approved")</f>
        <v>0</v>
      </c>
      <c r="AJ225" s="304">
        <f>SUMIFS('PCO Log'!$E49:$SJ49,'PCO Log'!$E$9:$SJ$9,'Graph Data'!AJ$187,'PCO Log'!$E$4:$SJ$4,"&lt;&gt;Bid Package",'PCO Log'!$E$7:$SJ$7,"Approved")</f>
        <v>0</v>
      </c>
      <c r="AK225" s="304">
        <f>SUMIFS('PCO Log'!$E49:$SJ49,'PCO Log'!$E$9:$SJ$9,'Graph Data'!AK$187,'PCO Log'!$E$4:$SJ$4,"&lt;&gt;Bid Package",'PCO Log'!$E$7:$SJ$7,"Approved")</f>
        <v>0</v>
      </c>
      <c r="AL225" s="304">
        <f>SUMIFS('PCO Log'!$E49:$SJ49,'PCO Log'!$E$9:$SJ$9,'Graph Data'!AL$187,'PCO Log'!$E$4:$SJ$4,"&lt;&gt;Bid Package",'PCO Log'!$E$7:$SJ$7,"Approved")</f>
        <v>0</v>
      </c>
      <c r="AM225" s="304">
        <f>SUMIFS('PCO Log'!$E49:$SJ49,'PCO Log'!$E$9:$SJ$9,'Graph Data'!AM$187,'PCO Log'!$E$4:$SJ$4,"&lt;&gt;Bid Package",'PCO Log'!$E$7:$SJ$7,"Approved")</f>
        <v>0</v>
      </c>
      <c r="AN225" s="304">
        <f>SUMIFS('PCO Log'!$E49:$SJ49,'PCO Log'!$E$9:$SJ$9,'Graph Data'!AN$187,'PCO Log'!$E$4:$SJ$4,"&lt;&gt;Bid Package",'PCO Log'!$E$7:$SJ$7,"Approved")</f>
        <v>0</v>
      </c>
      <c r="AO225" s="304">
        <f>SUMIFS('PCO Log'!$E49:$SJ49,'PCO Log'!$E$9:$SJ$9,'Graph Data'!AO$187,'PCO Log'!$E$4:$SJ$4,"&lt;&gt;Bid Package",'PCO Log'!$E$7:$SJ$7,"Approved")</f>
        <v>0</v>
      </c>
      <c r="AP225" s="304">
        <f>SUMIFS('PCO Log'!$E49:$SJ49,'PCO Log'!$E$9:$SJ$9,'Graph Data'!AP$187,'PCO Log'!$E$4:$SJ$4,"&lt;&gt;Bid Package",'PCO Log'!$E$7:$SJ$7,"Approved")</f>
        <v>0</v>
      </c>
      <c r="AQ225" s="304">
        <f>SUMIFS('PCO Log'!$E49:$SJ49,'PCO Log'!$E$9:$SJ$9,'Graph Data'!AQ$187,'PCO Log'!$E$4:$SJ$4,"&lt;&gt;Bid Package",'PCO Log'!$E$7:$SJ$7,"Approved")</f>
        <v>0</v>
      </c>
      <c r="AR225" s="304">
        <f>SUMIFS('PCO Log'!$E49:$SJ49,'PCO Log'!$E$9:$SJ$9,'Graph Data'!AR$187,'PCO Log'!$E$4:$SJ$4,"&lt;&gt;Bid Package",'PCO Log'!$E$7:$SJ$7,"Approved")</f>
        <v>0</v>
      </c>
      <c r="AS225" s="304">
        <f>SUMIFS('PCO Log'!$E49:$SJ49,'PCO Log'!$E$9:$SJ$9,'Graph Data'!AS$187,'PCO Log'!$E$4:$SJ$4,"&lt;&gt;Bid Package",'PCO Log'!$E$7:$SJ$7,"Approved")</f>
        <v>0</v>
      </c>
      <c r="AT225" s="304">
        <f>SUMIFS('PCO Log'!$E49:$SJ49,'PCO Log'!$E$9:$SJ$9,'Graph Data'!AT$187,'PCO Log'!$E$4:$SJ$4,"&lt;&gt;Bid Package",'PCO Log'!$E$7:$SJ$7,"Approved")</f>
        <v>0</v>
      </c>
      <c r="AU225" s="304">
        <f>SUMIFS('PCO Log'!$E49:$SJ49,'PCO Log'!$E$9:$SJ$9,'Graph Data'!AU$187,'PCO Log'!$E$4:$SJ$4,"&lt;&gt;Bid Package",'PCO Log'!$E$7:$SJ$7,"Approved")</f>
        <v>0</v>
      </c>
      <c r="AV225" s="304">
        <f>SUMIFS('PCO Log'!$E49:$SJ49,'PCO Log'!$E$9:$SJ$9,'Graph Data'!AV$187,'PCO Log'!$E$4:$SJ$4,"&lt;&gt;Bid Package",'PCO Log'!$E$7:$SJ$7,"Approved")</f>
        <v>0</v>
      </c>
      <c r="AW225" s="304">
        <f>SUMIFS('PCO Log'!$E49:$SJ49,'PCO Log'!$E$9:$SJ$9,'Graph Data'!AW$187,'PCO Log'!$E$4:$SJ$4,"&lt;&gt;Bid Package",'PCO Log'!$E$7:$SJ$7,"Approved")</f>
        <v>0</v>
      </c>
      <c r="AX225" s="304">
        <f>SUMIFS('PCO Log'!$E49:$SJ49,'PCO Log'!$E$9:$SJ$9,'Graph Data'!AX$187,'PCO Log'!$E$4:$SJ$4,"&lt;&gt;Bid Package",'PCO Log'!$E$7:$SJ$7,"Approved")</f>
        <v>0</v>
      </c>
      <c r="AY225" s="304">
        <f>SUMIFS('PCO Log'!$E49:$SJ49,'PCO Log'!$E$9:$SJ$9,'Graph Data'!AY$187,'PCO Log'!$E$4:$SJ$4,"&lt;&gt;Bid Package",'PCO Log'!$E$7:$SJ$7,"Approved")</f>
        <v>0</v>
      </c>
      <c r="AZ225" s="304">
        <f>SUMIFS('PCO Log'!$E49:$SJ49,'PCO Log'!$E$9:$SJ$9,'Graph Data'!AZ$187,'PCO Log'!$E$4:$SJ$4,"&lt;&gt;Bid Package",'PCO Log'!$E$7:$SJ$7,"Approved")</f>
        <v>0</v>
      </c>
      <c r="BA225" s="304">
        <f>SUMIFS('PCO Log'!$E49:$SJ49,'PCO Log'!$E$9:$SJ$9,'Graph Data'!BA$187,'PCO Log'!$E$4:$SJ$4,"&lt;&gt;Bid Package",'PCO Log'!$E$7:$SJ$7,"Approved")</f>
        <v>0</v>
      </c>
      <c r="BB225" s="304">
        <f>SUMIFS('PCO Log'!$E49:$SJ49,'PCO Log'!$E$9:$SJ$9,'Graph Data'!BB$187,'PCO Log'!$E$4:$SJ$4,"&lt;&gt;Bid Package",'PCO Log'!$E$7:$SJ$7,"Approved")</f>
        <v>0</v>
      </c>
      <c r="BC225" s="304">
        <f>SUMIFS('PCO Log'!$E49:$SJ49,'PCO Log'!$E$9:$SJ$9,'Graph Data'!BC$187,'PCO Log'!$E$4:$SJ$4,"&lt;&gt;Bid Package",'PCO Log'!$E$7:$SJ$7,"Approved")</f>
        <v>0</v>
      </c>
      <c r="BD225" s="304">
        <f>SUMIFS('PCO Log'!$E49:$SJ49,'PCO Log'!$E$9:$SJ$9,'Graph Data'!BD$187,'PCO Log'!$E$4:$SJ$4,"&lt;&gt;Bid Package",'PCO Log'!$E$7:$SJ$7,"Approved")</f>
        <v>0</v>
      </c>
      <c r="BE225" s="304">
        <f>SUMIFS('PCO Log'!$E49:$SJ49,'PCO Log'!$E$9:$SJ$9,'Graph Data'!BE$187,'PCO Log'!$E$4:$SJ$4,"&lt;&gt;Bid Package",'PCO Log'!$E$7:$SJ$7,"Approved")</f>
        <v>0</v>
      </c>
      <c r="BF225" s="304">
        <f>SUMIFS('PCO Log'!$E49:$SJ49,'PCO Log'!$E$9:$SJ$9,'Graph Data'!BF$187,'PCO Log'!$E$4:$SJ$4,"&lt;&gt;Bid Package",'PCO Log'!$E$7:$SJ$7,"Approved")</f>
        <v>0</v>
      </c>
      <c r="BG225" s="304">
        <f>SUMIFS('PCO Log'!$E49:$SJ49,'PCO Log'!$E$9:$SJ$9,'Graph Data'!BG$187,'PCO Log'!$E$4:$SJ$4,"&lt;&gt;Bid Package",'PCO Log'!$E$7:$SJ$7,"Approved")</f>
        <v>0</v>
      </c>
      <c r="BH225" s="304">
        <f>SUMIFS('PCO Log'!$E49:$SJ49,'PCO Log'!$E$9:$SJ$9,'Graph Data'!BH$187,'PCO Log'!$E$4:$SJ$4,"&lt;&gt;Bid Package",'PCO Log'!$E$7:$SJ$7,"Approved")</f>
        <v>0</v>
      </c>
      <c r="BI225" s="304">
        <f>SUMIFS('PCO Log'!$E49:$SJ49,'PCO Log'!$E$9:$SJ$9,'Graph Data'!BI$187,'PCO Log'!$E$4:$SJ$4,"&lt;&gt;Bid Package",'PCO Log'!$E$7:$SJ$7,"Approved")</f>
        <v>0</v>
      </c>
      <c r="BJ225" s="304">
        <f>SUMIFS('PCO Log'!$E49:$SJ49,'PCO Log'!$E$9:$SJ$9,'Graph Data'!BJ$187,'PCO Log'!$E$4:$SJ$4,"&lt;&gt;Bid Package",'PCO Log'!$E$7:$SJ$7,"Approved")</f>
        <v>0</v>
      </c>
      <c r="BK225" s="304">
        <f>SUMIFS('PCO Log'!$E49:$SJ49,'PCO Log'!$E$9:$SJ$9,'Graph Data'!BK$187,'PCO Log'!$E$4:$SJ$4,"&lt;&gt;Bid Package",'PCO Log'!$E$7:$SJ$7,"Approved")</f>
        <v>0</v>
      </c>
      <c r="BL225" s="304">
        <f>SUMIFS('PCO Log'!$E49:$SJ49,'PCO Log'!$E$9:$SJ$9,'Graph Data'!BL$187,'PCO Log'!$E$4:$SJ$4,"&lt;&gt;Bid Package",'PCO Log'!$E$7:$SJ$7,"Approved")</f>
        <v>0</v>
      </c>
      <c r="BM225" s="304">
        <f>SUMIFS('PCO Log'!$E49:$SJ49,'PCO Log'!$E$9:$SJ$9,'Graph Data'!BM$187,'PCO Log'!$E$4:$SJ$4,"&lt;&gt;Bid Package",'PCO Log'!$E$7:$SJ$7,"Approved")</f>
        <v>0</v>
      </c>
      <c r="BN225" s="304">
        <f>SUMIFS('PCO Log'!$E49:$SJ49,'PCO Log'!$E$9:$SJ$9,'Graph Data'!BN$187,'PCO Log'!$E$4:$SJ$4,"&lt;&gt;Bid Package",'PCO Log'!$E$7:$SJ$7,"Approved")</f>
        <v>0</v>
      </c>
      <c r="BO225" s="304">
        <f>SUMIFS('PCO Log'!$E49:$SJ49,'PCO Log'!$E$9:$SJ$9,'Graph Data'!BO$187,'PCO Log'!$E$4:$SJ$4,"&lt;&gt;Bid Package",'PCO Log'!$E$7:$SJ$7,"Approved")</f>
        <v>0</v>
      </c>
      <c r="BP225" s="304">
        <f>SUMIFS('PCO Log'!$E49:$SJ49,'PCO Log'!$E$9:$SJ$9,'Graph Data'!BP$187,'PCO Log'!$E$4:$SJ$4,"&lt;&gt;Bid Package",'PCO Log'!$E$7:$SJ$7,"Approved")</f>
        <v>0</v>
      </c>
      <c r="BQ225" s="304">
        <f>SUMIFS('PCO Log'!$E49:$SJ49,'PCO Log'!$E$9:$SJ$9,'Graph Data'!BQ$187,'PCO Log'!$E$4:$SJ$4,"&lt;&gt;Bid Package",'PCO Log'!$E$7:$SJ$7,"Approved")</f>
        <v>0</v>
      </c>
      <c r="BR225" s="304">
        <f>SUMIFS('PCO Log'!$E49:$SJ49,'PCO Log'!$E$9:$SJ$9,'Graph Data'!BR$187,'PCO Log'!$E$4:$SJ$4,"&lt;&gt;Bid Package",'PCO Log'!$E$7:$SJ$7,"Approved")</f>
        <v>0</v>
      </c>
      <c r="BS225" s="304">
        <f>SUMIFS('PCO Log'!$E49:$SJ49,'PCO Log'!$E$9:$SJ$9,'Graph Data'!BS$187,'PCO Log'!$E$4:$SJ$4,"&lt;&gt;Bid Package",'PCO Log'!$E$7:$SJ$7,"Approved")</f>
        <v>0</v>
      </c>
      <c r="BT225" s="304">
        <f>SUMIFS('PCO Log'!$E49:$SJ49,'PCO Log'!$E$9:$SJ$9,'Graph Data'!BT$187,'PCO Log'!$E$4:$SJ$4,"&lt;&gt;Bid Package",'PCO Log'!$E$7:$SJ$7,"Approved")</f>
        <v>0</v>
      </c>
      <c r="BU225" s="304">
        <f>SUMIFS('PCO Log'!$E49:$SJ49,'PCO Log'!$E$9:$SJ$9,'Graph Data'!BU$187,'PCO Log'!$E$4:$SJ$4,"&lt;&gt;Bid Package",'PCO Log'!$E$7:$SJ$7,"Approved")</f>
        <v>0</v>
      </c>
      <c r="BV225" s="304">
        <f>SUMIFS('PCO Log'!$E49:$SJ49,'PCO Log'!$E$9:$SJ$9,'Graph Data'!BV$187,'PCO Log'!$E$4:$SJ$4,"&lt;&gt;Bid Package",'PCO Log'!$E$7:$SJ$7,"Approved")</f>
        <v>0</v>
      </c>
      <c r="BW225" s="304">
        <f>SUMIFS('PCO Log'!$E49:$SJ49,'PCO Log'!$E$9:$SJ$9,'Graph Data'!BW$187,'PCO Log'!$E$4:$SJ$4,"&lt;&gt;Bid Package",'PCO Log'!$E$7:$SJ$7,"Approved")</f>
        <v>0</v>
      </c>
      <c r="BX225" s="304">
        <f>SUMIFS('PCO Log'!$E49:$SJ49,'PCO Log'!$E$9:$SJ$9,'Graph Data'!BX$187,'PCO Log'!$E$4:$SJ$4,"&lt;&gt;Bid Package",'PCO Log'!$E$7:$SJ$7,"Approved")</f>
        <v>0</v>
      </c>
    </row>
    <row r="226" spans="1:76" x14ac:dyDescent="0.25">
      <c r="A226" s="303" t="s">
        <v>576</v>
      </c>
      <c r="B226" s="303">
        <f>'PCO Log'!HU7</f>
        <v>0</v>
      </c>
      <c r="C226" s="303">
        <f>'PCO Log'!HU4</f>
        <v>0</v>
      </c>
      <c r="D226" s="303" cm="1">
        <f t="array" ref="D226">INDEX('PCO Log'!$E$5:$SJ$5, 1, ROWS('Graph Data'!$D$2:D226))</f>
        <v>0</v>
      </c>
      <c r="E226" s="303">
        <f>'PCO Log'!HU8</f>
        <v>0</v>
      </c>
      <c r="F226" s="303">
        <f>'PCO Log'!HU3</f>
        <v>0</v>
      </c>
      <c r="G226" s="304">
        <f>'PCO Log'!HU10</f>
        <v>0</v>
      </c>
      <c r="H226" s="305">
        <f>'PCO Log'!HU6</f>
        <v>0</v>
      </c>
      <c r="K226" s="307"/>
      <c r="P226" s="303" t="str">
        <f t="shared" si="3"/>
        <v>Specialty Doors</v>
      </c>
      <c r="Q226" s="304">
        <f>SUMIFS('PCO Log'!$E50:$SJ50,'PCO Log'!$E$9:$SJ$9,'Graph Data'!Q$187,'PCO Log'!$E$4:$SJ$4,"&lt;&gt;Bid Package",'PCO Log'!$E$7:$SJ$7,"Approved")</f>
        <v>0</v>
      </c>
      <c r="R226" s="304">
        <f>SUMIFS('PCO Log'!$E50:$SJ50,'PCO Log'!$E$9:$SJ$9,'Graph Data'!R$187,'PCO Log'!$E$4:$SJ$4,"&lt;&gt;Bid Package",'PCO Log'!$E$7:$SJ$7,"Approved")</f>
        <v>0</v>
      </c>
      <c r="S226" s="304">
        <f>SUMIFS('PCO Log'!$E50:$SJ50,'PCO Log'!$E$9:$SJ$9,'Graph Data'!S$187,'PCO Log'!$E$4:$SJ$4,"&lt;&gt;Bid Package",'PCO Log'!$E$7:$SJ$7,"Approved")</f>
        <v>0</v>
      </c>
      <c r="T226" s="304">
        <f>SUMIFS('PCO Log'!$E50:$SJ50,'PCO Log'!$E$9:$SJ$9,'Graph Data'!T$187,'PCO Log'!$E$4:$SJ$4,"&lt;&gt;Bid Package",'PCO Log'!$E$7:$SJ$7,"Approved")</f>
        <v>0</v>
      </c>
      <c r="U226" s="304">
        <f>SUMIFS('PCO Log'!$E50:$SJ50,'PCO Log'!$E$9:$SJ$9,'Graph Data'!U$187,'PCO Log'!$E$4:$SJ$4,"&lt;&gt;Bid Package",'PCO Log'!$E$7:$SJ$7,"Approved")</f>
        <v>0</v>
      </c>
      <c r="V226" s="304">
        <f>SUMIFS('PCO Log'!$E50:$SJ50,'PCO Log'!$E$9:$SJ$9,'Graph Data'!V$187,'PCO Log'!$E$4:$SJ$4,"&lt;&gt;Bid Package",'PCO Log'!$E$7:$SJ$7,"Approved")</f>
        <v>0</v>
      </c>
      <c r="W226" s="304">
        <f>SUMIFS('PCO Log'!$E50:$SJ50,'PCO Log'!$E$9:$SJ$9,'Graph Data'!W$187,'PCO Log'!$E$4:$SJ$4,"&lt;&gt;Bid Package",'PCO Log'!$E$7:$SJ$7,"Approved")</f>
        <v>0</v>
      </c>
      <c r="X226" s="304">
        <f>SUMIFS('PCO Log'!$E50:$SJ50,'PCO Log'!$E$9:$SJ$9,'Graph Data'!X$187,'PCO Log'!$E$4:$SJ$4,"&lt;&gt;Bid Package",'PCO Log'!$E$7:$SJ$7,"Approved")</f>
        <v>0</v>
      </c>
      <c r="Y226" s="304">
        <f>SUMIFS('PCO Log'!$E50:$SJ50,'PCO Log'!$E$9:$SJ$9,'Graph Data'!Y$187,'PCO Log'!$E$4:$SJ$4,"&lt;&gt;Bid Package",'PCO Log'!$E$7:$SJ$7,"Approved")</f>
        <v>0</v>
      </c>
      <c r="Z226" s="304">
        <f>SUMIFS('PCO Log'!$E50:$SJ50,'PCO Log'!$E$9:$SJ$9,'Graph Data'!Z$187,'PCO Log'!$E$4:$SJ$4,"&lt;&gt;Bid Package",'PCO Log'!$E$7:$SJ$7,"Approved")</f>
        <v>0</v>
      </c>
      <c r="AA226" s="304">
        <f>SUMIFS('PCO Log'!$E50:$SJ50,'PCO Log'!$E$9:$SJ$9,'Graph Data'!AA$187,'PCO Log'!$E$4:$SJ$4,"&lt;&gt;Bid Package",'PCO Log'!$E$7:$SJ$7,"Approved")</f>
        <v>0</v>
      </c>
      <c r="AB226" s="304">
        <f>SUMIFS('PCO Log'!$E50:$SJ50,'PCO Log'!$E$9:$SJ$9,'Graph Data'!AB$187,'PCO Log'!$E$4:$SJ$4,"&lt;&gt;Bid Package",'PCO Log'!$E$7:$SJ$7,"Approved")</f>
        <v>0</v>
      </c>
      <c r="AC226" s="304">
        <f>SUMIFS('PCO Log'!$E50:$SJ50,'PCO Log'!$E$9:$SJ$9,'Graph Data'!AC$187,'PCO Log'!$E$4:$SJ$4,"&lt;&gt;Bid Package",'PCO Log'!$E$7:$SJ$7,"Approved")</f>
        <v>0</v>
      </c>
      <c r="AD226" s="304">
        <f>SUMIFS('PCO Log'!$E50:$SJ50,'PCO Log'!$E$9:$SJ$9,'Graph Data'!AD$187,'PCO Log'!$E$4:$SJ$4,"&lt;&gt;Bid Package",'PCO Log'!$E$7:$SJ$7,"Approved")</f>
        <v>0</v>
      </c>
      <c r="AE226" s="304">
        <f>SUMIFS('PCO Log'!$E50:$SJ50,'PCO Log'!$E$9:$SJ$9,'Graph Data'!AE$187,'PCO Log'!$E$4:$SJ$4,"&lt;&gt;Bid Package",'PCO Log'!$E$7:$SJ$7,"Approved")</f>
        <v>0</v>
      </c>
      <c r="AF226" s="304">
        <f>SUMIFS('PCO Log'!$E50:$SJ50,'PCO Log'!$E$9:$SJ$9,'Graph Data'!AF$187,'PCO Log'!$E$4:$SJ$4,"&lt;&gt;Bid Package",'PCO Log'!$E$7:$SJ$7,"Approved")</f>
        <v>0</v>
      </c>
      <c r="AG226" s="304">
        <f>SUMIFS('PCO Log'!$E50:$SJ50,'PCO Log'!$E$9:$SJ$9,'Graph Data'!AG$187,'PCO Log'!$E$4:$SJ$4,"&lt;&gt;Bid Package",'PCO Log'!$E$7:$SJ$7,"Approved")</f>
        <v>0</v>
      </c>
      <c r="AH226" s="304">
        <f>SUMIFS('PCO Log'!$E50:$SJ50,'PCO Log'!$E$9:$SJ$9,'Graph Data'!AH$187,'PCO Log'!$E$4:$SJ$4,"&lt;&gt;Bid Package",'PCO Log'!$E$7:$SJ$7,"Approved")</f>
        <v>0</v>
      </c>
      <c r="AI226" s="304">
        <f>SUMIFS('PCO Log'!$E50:$SJ50,'PCO Log'!$E$9:$SJ$9,'Graph Data'!AI$187,'PCO Log'!$E$4:$SJ$4,"&lt;&gt;Bid Package",'PCO Log'!$E$7:$SJ$7,"Approved")</f>
        <v>0</v>
      </c>
      <c r="AJ226" s="304">
        <f>SUMIFS('PCO Log'!$E50:$SJ50,'PCO Log'!$E$9:$SJ$9,'Graph Data'!AJ$187,'PCO Log'!$E$4:$SJ$4,"&lt;&gt;Bid Package",'PCO Log'!$E$7:$SJ$7,"Approved")</f>
        <v>0</v>
      </c>
      <c r="AK226" s="304">
        <f>SUMIFS('PCO Log'!$E50:$SJ50,'PCO Log'!$E$9:$SJ$9,'Graph Data'!AK$187,'PCO Log'!$E$4:$SJ$4,"&lt;&gt;Bid Package",'PCO Log'!$E$7:$SJ$7,"Approved")</f>
        <v>0</v>
      </c>
      <c r="AL226" s="304">
        <f>SUMIFS('PCO Log'!$E50:$SJ50,'PCO Log'!$E$9:$SJ$9,'Graph Data'!AL$187,'PCO Log'!$E$4:$SJ$4,"&lt;&gt;Bid Package",'PCO Log'!$E$7:$SJ$7,"Approved")</f>
        <v>0</v>
      </c>
      <c r="AM226" s="304">
        <f>SUMIFS('PCO Log'!$E50:$SJ50,'PCO Log'!$E$9:$SJ$9,'Graph Data'!AM$187,'PCO Log'!$E$4:$SJ$4,"&lt;&gt;Bid Package",'PCO Log'!$E$7:$SJ$7,"Approved")</f>
        <v>0</v>
      </c>
      <c r="AN226" s="304">
        <f>SUMIFS('PCO Log'!$E50:$SJ50,'PCO Log'!$E$9:$SJ$9,'Graph Data'!AN$187,'PCO Log'!$E$4:$SJ$4,"&lt;&gt;Bid Package",'PCO Log'!$E$7:$SJ$7,"Approved")</f>
        <v>0</v>
      </c>
      <c r="AO226" s="304">
        <f>SUMIFS('PCO Log'!$E50:$SJ50,'PCO Log'!$E$9:$SJ$9,'Graph Data'!AO$187,'PCO Log'!$E$4:$SJ$4,"&lt;&gt;Bid Package",'PCO Log'!$E$7:$SJ$7,"Approved")</f>
        <v>0</v>
      </c>
      <c r="AP226" s="304">
        <f>SUMIFS('PCO Log'!$E50:$SJ50,'PCO Log'!$E$9:$SJ$9,'Graph Data'!AP$187,'PCO Log'!$E$4:$SJ$4,"&lt;&gt;Bid Package",'PCO Log'!$E$7:$SJ$7,"Approved")</f>
        <v>0</v>
      </c>
      <c r="AQ226" s="304">
        <f>SUMIFS('PCO Log'!$E50:$SJ50,'PCO Log'!$E$9:$SJ$9,'Graph Data'!AQ$187,'PCO Log'!$E$4:$SJ$4,"&lt;&gt;Bid Package",'PCO Log'!$E$7:$SJ$7,"Approved")</f>
        <v>0</v>
      </c>
      <c r="AR226" s="304">
        <f>SUMIFS('PCO Log'!$E50:$SJ50,'PCO Log'!$E$9:$SJ$9,'Graph Data'!AR$187,'PCO Log'!$E$4:$SJ$4,"&lt;&gt;Bid Package",'PCO Log'!$E$7:$SJ$7,"Approved")</f>
        <v>0</v>
      </c>
      <c r="AS226" s="304">
        <f>SUMIFS('PCO Log'!$E50:$SJ50,'PCO Log'!$E$9:$SJ$9,'Graph Data'!AS$187,'PCO Log'!$E$4:$SJ$4,"&lt;&gt;Bid Package",'PCO Log'!$E$7:$SJ$7,"Approved")</f>
        <v>0</v>
      </c>
      <c r="AT226" s="304">
        <f>SUMIFS('PCO Log'!$E50:$SJ50,'PCO Log'!$E$9:$SJ$9,'Graph Data'!AT$187,'PCO Log'!$E$4:$SJ$4,"&lt;&gt;Bid Package",'PCO Log'!$E$7:$SJ$7,"Approved")</f>
        <v>0</v>
      </c>
      <c r="AU226" s="304">
        <f>SUMIFS('PCO Log'!$E50:$SJ50,'PCO Log'!$E$9:$SJ$9,'Graph Data'!AU$187,'PCO Log'!$E$4:$SJ$4,"&lt;&gt;Bid Package",'PCO Log'!$E$7:$SJ$7,"Approved")</f>
        <v>0</v>
      </c>
      <c r="AV226" s="304">
        <f>SUMIFS('PCO Log'!$E50:$SJ50,'PCO Log'!$E$9:$SJ$9,'Graph Data'!AV$187,'PCO Log'!$E$4:$SJ$4,"&lt;&gt;Bid Package",'PCO Log'!$E$7:$SJ$7,"Approved")</f>
        <v>0</v>
      </c>
      <c r="AW226" s="304">
        <f>SUMIFS('PCO Log'!$E50:$SJ50,'PCO Log'!$E$9:$SJ$9,'Graph Data'!AW$187,'PCO Log'!$E$4:$SJ$4,"&lt;&gt;Bid Package",'PCO Log'!$E$7:$SJ$7,"Approved")</f>
        <v>0</v>
      </c>
      <c r="AX226" s="304">
        <f>SUMIFS('PCO Log'!$E50:$SJ50,'PCO Log'!$E$9:$SJ$9,'Graph Data'!AX$187,'PCO Log'!$E$4:$SJ$4,"&lt;&gt;Bid Package",'PCO Log'!$E$7:$SJ$7,"Approved")</f>
        <v>0</v>
      </c>
      <c r="AY226" s="304">
        <f>SUMIFS('PCO Log'!$E50:$SJ50,'PCO Log'!$E$9:$SJ$9,'Graph Data'!AY$187,'PCO Log'!$E$4:$SJ$4,"&lt;&gt;Bid Package",'PCO Log'!$E$7:$SJ$7,"Approved")</f>
        <v>0</v>
      </c>
      <c r="AZ226" s="304">
        <f>SUMIFS('PCO Log'!$E50:$SJ50,'PCO Log'!$E$9:$SJ$9,'Graph Data'!AZ$187,'PCO Log'!$E$4:$SJ$4,"&lt;&gt;Bid Package",'PCO Log'!$E$7:$SJ$7,"Approved")</f>
        <v>0</v>
      </c>
      <c r="BA226" s="304">
        <f>SUMIFS('PCO Log'!$E50:$SJ50,'PCO Log'!$E$9:$SJ$9,'Graph Data'!BA$187,'PCO Log'!$E$4:$SJ$4,"&lt;&gt;Bid Package",'PCO Log'!$E$7:$SJ$7,"Approved")</f>
        <v>0</v>
      </c>
      <c r="BB226" s="304">
        <f>SUMIFS('PCO Log'!$E50:$SJ50,'PCO Log'!$E$9:$SJ$9,'Graph Data'!BB$187,'PCO Log'!$E$4:$SJ$4,"&lt;&gt;Bid Package",'PCO Log'!$E$7:$SJ$7,"Approved")</f>
        <v>0</v>
      </c>
      <c r="BC226" s="304">
        <f>SUMIFS('PCO Log'!$E50:$SJ50,'PCO Log'!$E$9:$SJ$9,'Graph Data'!BC$187,'PCO Log'!$E$4:$SJ$4,"&lt;&gt;Bid Package",'PCO Log'!$E$7:$SJ$7,"Approved")</f>
        <v>0</v>
      </c>
      <c r="BD226" s="304">
        <f>SUMIFS('PCO Log'!$E50:$SJ50,'PCO Log'!$E$9:$SJ$9,'Graph Data'!BD$187,'PCO Log'!$E$4:$SJ$4,"&lt;&gt;Bid Package",'PCO Log'!$E$7:$SJ$7,"Approved")</f>
        <v>0</v>
      </c>
      <c r="BE226" s="304">
        <f>SUMIFS('PCO Log'!$E50:$SJ50,'PCO Log'!$E$9:$SJ$9,'Graph Data'!BE$187,'PCO Log'!$E$4:$SJ$4,"&lt;&gt;Bid Package",'PCO Log'!$E$7:$SJ$7,"Approved")</f>
        <v>0</v>
      </c>
      <c r="BF226" s="304">
        <f>SUMIFS('PCO Log'!$E50:$SJ50,'PCO Log'!$E$9:$SJ$9,'Graph Data'!BF$187,'PCO Log'!$E$4:$SJ$4,"&lt;&gt;Bid Package",'PCO Log'!$E$7:$SJ$7,"Approved")</f>
        <v>0</v>
      </c>
      <c r="BG226" s="304">
        <f>SUMIFS('PCO Log'!$E50:$SJ50,'PCO Log'!$E$9:$SJ$9,'Graph Data'!BG$187,'PCO Log'!$E$4:$SJ$4,"&lt;&gt;Bid Package",'PCO Log'!$E$7:$SJ$7,"Approved")</f>
        <v>0</v>
      </c>
      <c r="BH226" s="304">
        <f>SUMIFS('PCO Log'!$E50:$SJ50,'PCO Log'!$E$9:$SJ$9,'Graph Data'!BH$187,'PCO Log'!$E$4:$SJ$4,"&lt;&gt;Bid Package",'PCO Log'!$E$7:$SJ$7,"Approved")</f>
        <v>0</v>
      </c>
      <c r="BI226" s="304">
        <f>SUMIFS('PCO Log'!$E50:$SJ50,'PCO Log'!$E$9:$SJ$9,'Graph Data'!BI$187,'PCO Log'!$E$4:$SJ$4,"&lt;&gt;Bid Package",'PCO Log'!$E$7:$SJ$7,"Approved")</f>
        <v>0</v>
      </c>
      <c r="BJ226" s="304">
        <f>SUMIFS('PCO Log'!$E50:$SJ50,'PCO Log'!$E$9:$SJ$9,'Graph Data'!BJ$187,'PCO Log'!$E$4:$SJ$4,"&lt;&gt;Bid Package",'PCO Log'!$E$7:$SJ$7,"Approved")</f>
        <v>0</v>
      </c>
      <c r="BK226" s="304">
        <f>SUMIFS('PCO Log'!$E50:$SJ50,'PCO Log'!$E$9:$SJ$9,'Graph Data'!BK$187,'PCO Log'!$E$4:$SJ$4,"&lt;&gt;Bid Package",'PCO Log'!$E$7:$SJ$7,"Approved")</f>
        <v>0</v>
      </c>
      <c r="BL226" s="304">
        <f>SUMIFS('PCO Log'!$E50:$SJ50,'PCO Log'!$E$9:$SJ$9,'Graph Data'!BL$187,'PCO Log'!$E$4:$SJ$4,"&lt;&gt;Bid Package",'PCO Log'!$E$7:$SJ$7,"Approved")</f>
        <v>0</v>
      </c>
      <c r="BM226" s="304">
        <f>SUMIFS('PCO Log'!$E50:$SJ50,'PCO Log'!$E$9:$SJ$9,'Graph Data'!BM$187,'PCO Log'!$E$4:$SJ$4,"&lt;&gt;Bid Package",'PCO Log'!$E$7:$SJ$7,"Approved")</f>
        <v>0</v>
      </c>
      <c r="BN226" s="304">
        <f>SUMIFS('PCO Log'!$E50:$SJ50,'PCO Log'!$E$9:$SJ$9,'Graph Data'!BN$187,'PCO Log'!$E$4:$SJ$4,"&lt;&gt;Bid Package",'PCO Log'!$E$7:$SJ$7,"Approved")</f>
        <v>0</v>
      </c>
      <c r="BO226" s="304">
        <f>SUMIFS('PCO Log'!$E50:$SJ50,'PCO Log'!$E$9:$SJ$9,'Graph Data'!BO$187,'PCO Log'!$E$4:$SJ$4,"&lt;&gt;Bid Package",'PCO Log'!$E$7:$SJ$7,"Approved")</f>
        <v>0</v>
      </c>
      <c r="BP226" s="304">
        <f>SUMIFS('PCO Log'!$E50:$SJ50,'PCO Log'!$E$9:$SJ$9,'Graph Data'!BP$187,'PCO Log'!$E$4:$SJ$4,"&lt;&gt;Bid Package",'PCO Log'!$E$7:$SJ$7,"Approved")</f>
        <v>0</v>
      </c>
      <c r="BQ226" s="304">
        <f>SUMIFS('PCO Log'!$E50:$SJ50,'PCO Log'!$E$9:$SJ$9,'Graph Data'!BQ$187,'PCO Log'!$E$4:$SJ$4,"&lt;&gt;Bid Package",'PCO Log'!$E$7:$SJ$7,"Approved")</f>
        <v>0</v>
      </c>
      <c r="BR226" s="304">
        <f>SUMIFS('PCO Log'!$E50:$SJ50,'PCO Log'!$E$9:$SJ$9,'Graph Data'!BR$187,'PCO Log'!$E$4:$SJ$4,"&lt;&gt;Bid Package",'PCO Log'!$E$7:$SJ$7,"Approved")</f>
        <v>0</v>
      </c>
      <c r="BS226" s="304">
        <f>SUMIFS('PCO Log'!$E50:$SJ50,'PCO Log'!$E$9:$SJ$9,'Graph Data'!BS$187,'PCO Log'!$E$4:$SJ$4,"&lt;&gt;Bid Package",'PCO Log'!$E$7:$SJ$7,"Approved")</f>
        <v>0</v>
      </c>
      <c r="BT226" s="304">
        <f>SUMIFS('PCO Log'!$E50:$SJ50,'PCO Log'!$E$9:$SJ$9,'Graph Data'!BT$187,'PCO Log'!$E$4:$SJ$4,"&lt;&gt;Bid Package",'PCO Log'!$E$7:$SJ$7,"Approved")</f>
        <v>0</v>
      </c>
      <c r="BU226" s="304">
        <f>SUMIFS('PCO Log'!$E50:$SJ50,'PCO Log'!$E$9:$SJ$9,'Graph Data'!BU$187,'PCO Log'!$E$4:$SJ$4,"&lt;&gt;Bid Package",'PCO Log'!$E$7:$SJ$7,"Approved")</f>
        <v>0</v>
      </c>
      <c r="BV226" s="304">
        <f>SUMIFS('PCO Log'!$E50:$SJ50,'PCO Log'!$E$9:$SJ$9,'Graph Data'!BV$187,'PCO Log'!$E$4:$SJ$4,"&lt;&gt;Bid Package",'PCO Log'!$E$7:$SJ$7,"Approved")</f>
        <v>0</v>
      </c>
      <c r="BW226" s="304">
        <f>SUMIFS('PCO Log'!$E50:$SJ50,'PCO Log'!$E$9:$SJ$9,'Graph Data'!BW$187,'PCO Log'!$E$4:$SJ$4,"&lt;&gt;Bid Package",'PCO Log'!$E$7:$SJ$7,"Approved")</f>
        <v>0</v>
      </c>
      <c r="BX226" s="304">
        <f>SUMIFS('PCO Log'!$E50:$SJ50,'PCO Log'!$E$9:$SJ$9,'Graph Data'!BX$187,'PCO Log'!$E$4:$SJ$4,"&lt;&gt;Bid Package",'PCO Log'!$E$7:$SJ$7,"Approved")</f>
        <v>0</v>
      </c>
    </row>
    <row r="227" spans="1:76" x14ac:dyDescent="0.25">
      <c r="A227" s="303" t="s">
        <v>577</v>
      </c>
      <c r="B227" s="303">
        <f>'PCO Log'!HV7</f>
        <v>0</v>
      </c>
      <c r="C227" s="303">
        <f>'PCO Log'!HV4</f>
        <v>0</v>
      </c>
      <c r="D227" s="303" cm="1">
        <f t="array" ref="D227">INDEX('PCO Log'!$E$5:$SJ$5, 1, ROWS('Graph Data'!$D$2:D227))</f>
        <v>0</v>
      </c>
      <c r="E227" s="303">
        <f>'PCO Log'!HV8</f>
        <v>0</v>
      </c>
      <c r="F227" s="303">
        <f>'PCO Log'!HV3</f>
        <v>0</v>
      </c>
      <c r="G227" s="304">
        <f>'PCO Log'!HV10</f>
        <v>0</v>
      </c>
      <c r="H227" s="305">
        <f>'PCO Log'!HV6</f>
        <v>0</v>
      </c>
      <c r="K227" s="307"/>
      <c r="P227" s="303" t="str">
        <f t="shared" si="3"/>
        <v>Overhead Doors/Coiling Doors</v>
      </c>
      <c r="Q227" s="304">
        <f>SUMIFS('PCO Log'!$E51:$SJ51,'PCO Log'!$E$9:$SJ$9,'Graph Data'!Q$187,'PCO Log'!$E$4:$SJ$4,"&lt;&gt;Bid Package",'PCO Log'!$E$7:$SJ$7,"Approved")</f>
        <v>0</v>
      </c>
      <c r="R227" s="304">
        <f>SUMIFS('PCO Log'!$E51:$SJ51,'PCO Log'!$E$9:$SJ$9,'Graph Data'!R$187,'PCO Log'!$E$4:$SJ$4,"&lt;&gt;Bid Package",'PCO Log'!$E$7:$SJ$7,"Approved")</f>
        <v>0</v>
      </c>
      <c r="S227" s="304">
        <f>SUMIFS('PCO Log'!$E51:$SJ51,'PCO Log'!$E$9:$SJ$9,'Graph Data'!S$187,'PCO Log'!$E$4:$SJ$4,"&lt;&gt;Bid Package",'PCO Log'!$E$7:$SJ$7,"Approved")</f>
        <v>0</v>
      </c>
      <c r="T227" s="304">
        <f>SUMIFS('PCO Log'!$E51:$SJ51,'PCO Log'!$E$9:$SJ$9,'Graph Data'!T$187,'PCO Log'!$E$4:$SJ$4,"&lt;&gt;Bid Package",'PCO Log'!$E$7:$SJ$7,"Approved")</f>
        <v>0</v>
      </c>
      <c r="U227" s="304">
        <f>SUMIFS('PCO Log'!$E51:$SJ51,'PCO Log'!$E$9:$SJ$9,'Graph Data'!U$187,'PCO Log'!$E$4:$SJ$4,"&lt;&gt;Bid Package",'PCO Log'!$E$7:$SJ$7,"Approved")</f>
        <v>0</v>
      </c>
      <c r="V227" s="304">
        <f>SUMIFS('PCO Log'!$E51:$SJ51,'PCO Log'!$E$9:$SJ$9,'Graph Data'!V$187,'PCO Log'!$E$4:$SJ$4,"&lt;&gt;Bid Package",'PCO Log'!$E$7:$SJ$7,"Approved")</f>
        <v>0</v>
      </c>
      <c r="W227" s="304">
        <f>SUMIFS('PCO Log'!$E51:$SJ51,'PCO Log'!$E$9:$SJ$9,'Graph Data'!W$187,'PCO Log'!$E$4:$SJ$4,"&lt;&gt;Bid Package",'PCO Log'!$E$7:$SJ$7,"Approved")</f>
        <v>0</v>
      </c>
      <c r="X227" s="304">
        <f>SUMIFS('PCO Log'!$E51:$SJ51,'PCO Log'!$E$9:$SJ$9,'Graph Data'!X$187,'PCO Log'!$E$4:$SJ$4,"&lt;&gt;Bid Package",'PCO Log'!$E$7:$SJ$7,"Approved")</f>
        <v>0</v>
      </c>
      <c r="Y227" s="304">
        <f>SUMIFS('PCO Log'!$E51:$SJ51,'PCO Log'!$E$9:$SJ$9,'Graph Data'!Y$187,'PCO Log'!$E$4:$SJ$4,"&lt;&gt;Bid Package",'PCO Log'!$E$7:$SJ$7,"Approved")</f>
        <v>0</v>
      </c>
      <c r="Z227" s="304">
        <f>SUMIFS('PCO Log'!$E51:$SJ51,'PCO Log'!$E$9:$SJ$9,'Graph Data'!Z$187,'PCO Log'!$E$4:$SJ$4,"&lt;&gt;Bid Package",'PCO Log'!$E$7:$SJ$7,"Approved")</f>
        <v>0</v>
      </c>
      <c r="AA227" s="304">
        <f>SUMIFS('PCO Log'!$E51:$SJ51,'PCO Log'!$E$9:$SJ$9,'Graph Data'!AA$187,'PCO Log'!$E$4:$SJ$4,"&lt;&gt;Bid Package",'PCO Log'!$E$7:$SJ$7,"Approved")</f>
        <v>0</v>
      </c>
      <c r="AB227" s="304">
        <f>SUMIFS('PCO Log'!$E51:$SJ51,'PCO Log'!$E$9:$SJ$9,'Graph Data'!AB$187,'PCO Log'!$E$4:$SJ$4,"&lt;&gt;Bid Package",'PCO Log'!$E$7:$SJ$7,"Approved")</f>
        <v>0</v>
      </c>
      <c r="AC227" s="304">
        <f>SUMIFS('PCO Log'!$E51:$SJ51,'PCO Log'!$E$9:$SJ$9,'Graph Data'!AC$187,'PCO Log'!$E$4:$SJ$4,"&lt;&gt;Bid Package",'PCO Log'!$E$7:$SJ$7,"Approved")</f>
        <v>0</v>
      </c>
      <c r="AD227" s="304">
        <f>SUMIFS('PCO Log'!$E51:$SJ51,'PCO Log'!$E$9:$SJ$9,'Graph Data'!AD$187,'PCO Log'!$E$4:$SJ$4,"&lt;&gt;Bid Package",'PCO Log'!$E$7:$SJ$7,"Approved")</f>
        <v>0</v>
      </c>
      <c r="AE227" s="304">
        <f>SUMIFS('PCO Log'!$E51:$SJ51,'PCO Log'!$E$9:$SJ$9,'Graph Data'!AE$187,'PCO Log'!$E$4:$SJ$4,"&lt;&gt;Bid Package",'PCO Log'!$E$7:$SJ$7,"Approved")</f>
        <v>0</v>
      </c>
      <c r="AF227" s="304">
        <f>SUMIFS('PCO Log'!$E51:$SJ51,'PCO Log'!$E$9:$SJ$9,'Graph Data'!AF$187,'PCO Log'!$E$4:$SJ$4,"&lt;&gt;Bid Package",'PCO Log'!$E$7:$SJ$7,"Approved")</f>
        <v>0</v>
      </c>
      <c r="AG227" s="304">
        <f>SUMIFS('PCO Log'!$E51:$SJ51,'PCO Log'!$E$9:$SJ$9,'Graph Data'!AG$187,'PCO Log'!$E$4:$SJ$4,"&lt;&gt;Bid Package",'PCO Log'!$E$7:$SJ$7,"Approved")</f>
        <v>0</v>
      </c>
      <c r="AH227" s="304">
        <f>SUMIFS('PCO Log'!$E51:$SJ51,'PCO Log'!$E$9:$SJ$9,'Graph Data'!AH$187,'PCO Log'!$E$4:$SJ$4,"&lt;&gt;Bid Package",'PCO Log'!$E$7:$SJ$7,"Approved")</f>
        <v>0</v>
      </c>
      <c r="AI227" s="304">
        <f>SUMIFS('PCO Log'!$E51:$SJ51,'PCO Log'!$E$9:$SJ$9,'Graph Data'!AI$187,'PCO Log'!$E$4:$SJ$4,"&lt;&gt;Bid Package",'PCO Log'!$E$7:$SJ$7,"Approved")</f>
        <v>0</v>
      </c>
      <c r="AJ227" s="304">
        <f>SUMIFS('PCO Log'!$E51:$SJ51,'PCO Log'!$E$9:$SJ$9,'Graph Data'!AJ$187,'PCO Log'!$E$4:$SJ$4,"&lt;&gt;Bid Package",'PCO Log'!$E$7:$SJ$7,"Approved")</f>
        <v>0</v>
      </c>
      <c r="AK227" s="304">
        <f>SUMIFS('PCO Log'!$E51:$SJ51,'PCO Log'!$E$9:$SJ$9,'Graph Data'!AK$187,'PCO Log'!$E$4:$SJ$4,"&lt;&gt;Bid Package",'PCO Log'!$E$7:$SJ$7,"Approved")</f>
        <v>0</v>
      </c>
      <c r="AL227" s="304">
        <f>SUMIFS('PCO Log'!$E51:$SJ51,'PCO Log'!$E$9:$SJ$9,'Graph Data'!AL$187,'PCO Log'!$E$4:$SJ$4,"&lt;&gt;Bid Package",'PCO Log'!$E$7:$SJ$7,"Approved")</f>
        <v>0</v>
      </c>
      <c r="AM227" s="304">
        <f>SUMIFS('PCO Log'!$E51:$SJ51,'PCO Log'!$E$9:$SJ$9,'Graph Data'!AM$187,'PCO Log'!$E$4:$SJ$4,"&lt;&gt;Bid Package",'PCO Log'!$E$7:$SJ$7,"Approved")</f>
        <v>0</v>
      </c>
      <c r="AN227" s="304">
        <f>SUMIFS('PCO Log'!$E51:$SJ51,'PCO Log'!$E$9:$SJ$9,'Graph Data'!AN$187,'PCO Log'!$E$4:$SJ$4,"&lt;&gt;Bid Package",'PCO Log'!$E$7:$SJ$7,"Approved")</f>
        <v>0</v>
      </c>
      <c r="AO227" s="304">
        <f>SUMIFS('PCO Log'!$E51:$SJ51,'PCO Log'!$E$9:$SJ$9,'Graph Data'!AO$187,'PCO Log'!$E$4:$SJ$4,"&lt;&gt;Bid Package",'PCO Log'!$E$7:$SJ$7,"Approved")</f>
        <v>0</v>
      </c>
      <c r="AP227" s="304">
        <f>SUMIFS('PCO Log'!$E51:$SJ51,'PCO Log'!$E$9:$SJ$9,'Graph Data'!AP$187,'PCO Log'!$E$4:$SJ$4,"&lt;&gt;Bid Package",'PCO Log'!$E$7:$SJ$7,"Approved")</f>
        <v>0</v>
      </c>
      <c r="AQ227" s="304">
        <f>SUMIFS('PCO Log'!$E51:$SJ51,'PCO Log'!$E$9:$SJ$9,'Graph Data'!AQ$187,'PCO Log'!$E$4:$SJ$4,"&lt;&gt;Bid Package",'PCO Log'!$E$7:$SJ$7,"Approved")</f>
        <v>0</v>
      </c>
      <c r="AR227" s="304">
        <f>SUMIFS('PCO Log'!$E51:$SJ51,'PCO Log'!$E$9:$SJ$9,'Graph Data'!AR$187,'PCO Log'!$E$4:$SJ$4,"&lt;&gt;Bid Package",'PCO Log'!$E$7:$SJ$7,"Approved")</f>
        <v>0</v>
      </c>
      <c r="AS227" s="304">
        <f>SUMIFS('PCO Log'!$E51:$SJ51,'PCO Log'!$E$9:$SJ$9,'Graph Data'!AS$187,'PCO Log'!$E$4:$SJ$4,"&lt;&gt;Bid Package",'PCO Log'!$E$7:$SJ$7,"Approved")</f>
        <v>0</v>
      </c>
      <c r="AT227" s="304">
        <f>SUMIFS('PCO Log'!$E51:$SJ51,'PCO Log'!$E$9:$SJ$9,'Graph Data'!AT$187,'PCO Log'!$E$4:$SJ$4,"&lt;&gt;Bid Package",'PCO Log'!$E$7:$SJ$7,"Approved")</f>
        <v>0</v>
      </c>
      <c r="AU227" s="304">
        <f>SUMIFS('PCO Log'!$E51:$SJ51,'PCO Log'!$E$9:$SJ$9,'Graph Data'!AU$187,'PCO Log'!$E$4:$SJ$4,"&lt;&gt;Bid Package",'PCO Log'!$E$7:$SJ$7,"Approved")</f>
        <v>0</v>
      </c>
      <c r="AV227" s="304">
        <f>SUMIFS('PCO Log'!$E51:$SJ51,'PCO Log'!$E$9:$SJ$9,'Graph Data'!AV$187,'PCO Log'!$E$4:$SJ$4,"&lt;&gt;Bid Package",'PCO Log'!$E$7:$SJ$7,"Approved")</f>
        <v>0</v>
      </c>
      <c r="AW227" s="304">
        <f>SUMIFS('PCO Log'!$E51:$SJ51,'PCO Log'!$E$9:$SJ$9,'Graph Data'!AW$187,'PCO Log'!$E$4:$SJ$4,"&lt;&gt;Bid Package",'PCO Log'!$E$7:$SJ$7,"Approved")</f>
        <v>0</v>
      </c>
      <c r="AX227" s="304">
        <f>SUMIFS('PCO Log'!$E51:$SJ51,'PCO Log'!$E$9:$SJ$9,'Graph Data'!AX$187,'PCO Log'!$E$4:$SJ$4,"&lt;&gt;Bid Package",'PCO Log'!$E$7:$SJ$7,"Approved")</f>
        <v>0</v>
      </c>
      <c r="AY227" s="304">
        <f>SUMIFS('PCO Log'!$E51:$SJ51,'PCO Log'!$E$9:$SJ$9,'Graph Data'!AY$187,'PCO Log'!$E$4:$SJ$4,"&lt;&gt;Bid Package",'PCO Log'!$E$7:$SJ$7,"Approved")</f>
        <v>0</v>
      </c>
      <c r="AZ227" s="304">
        <f>SUMIFS('PCO Log'!$E51:$SJ51,'PCO Log'!$E$9:$SJ$9,'Graph Data'!AZ$187,'PCO Log'!$E$4:$SJ$4,"&lt;&gt;Bid Package",'PCO Log'!$E$7:$SJ$7,"Approved")</f>
        <v>0</v>
      </c>
      <c r="BA227" s="304">
        <f>SUMIFS('PCO Log'!$E51:$SJ51,'PCO Log'!$E$9:$SJ$9,'Graph Data'!BA$187,'PCO Log'!$E$4:$SJ$4,"&lt;&gt;Bid Package",'PCO Log'!$E$7:$SJ$7,"Approved")</f>
        <v>0</v>
      </c>
      <c r="BB227" s="304">
        <f>SUMIFS('PCO Log'!$E51:$SJ51,'PCO Log'!$E$9:$SJ$9,'Graph Data'!BB$187,'PCO Log'!$E$4:$SJ$4,"&lt;&gt;Bid Package",'PCO Log'!$E$7:$SJ$7,"Approved")</f>
        <v>0</v>
      </c>
      <c r="BC227" s="304">
        <f>SUMIFS('PCO Log'!$E51:$SJ51,'PCO Log'!$E$9:$SJ$9,'Graph Data'!BC$187,'PCO Log'!$E$4:$SJ$4,"&lt;&gt;Bid Package",'PCO Log'!$E$7:$SJ$7,"Approved")</f>
        <v>0</v>
      </c>
      <c r="BD227" s="304">
        <f>SUMIFS('PCO Log'!$E51:$SJ51,'PCO Log'!$E$9:$SJ$9,'Graph Data'!BD$187,'PCO Log'!$E$4:$SJ$4,"&lt;&gt;Bid Package",'PCO Log'!$E$7:$SJ$7,"Approved")</f>
        <v>0</v>
      </c>
      <c r="BE227" s="304">
        <f>SUMIFS('PCO Log'!$E51:$SJ51,'PCO Log'!$E$9:$SJ$9,'Graph Data'!BE$187,'PCO Log'!$E$4:$SJ$4,"&lt;&gt;Bid Package",'PCO Log'!$E$7:$SJ$7,"Approved")</f>
        <v>0</v>
      </c>
      <c r="BF227" s="304">
        <f>SUMIFS('PCO Log'!$E51:$SJ51,'PCO Log'!$E$9:$SJ$9,'Graph Data'!BF$187,'PCO Log'!$E$4:$SJ$4,"&lt;&gt;Bid Package",'PCO Log'!$E$7:$SJ$7,"Approved")</f>
        <v>0</v>
      </c>
      <c r="BG227" s="304">
        <f>SUMIFS('PCO Log'!$E51:$SJ51,'PCO Log'!$E$9:$SJ$9,'Graph Data'!BG$187,'PCO Log'!$E$4:$SJ$4,"&lt;&gt;Bid Package",'PCO Log'!$E$7:$SJ$7,"Approved")</f>
        <v>0</v>
      </c>
      <c r="BH227" s="304">
        <f>SUMIFS('PCO Log'!$E51:$SJ51,'PCO Log'!$E$9:$SJ$9,'Graph Data'!BH$187,'PCO Log'!$E$4:$SJ$4,"&lt;&gt;Bid Package",'PCO Log'!$E$7:$SJ$7,"Approved")</f>
        <v>0</v>
      </c>
      <c r="BI227" s="304">
        <f>SUMIFS('PCO Log'!$E51:$SJ51,'PCO Log'!$E$9:$SJ$9,'Graph Data'!BI$187,'PCO Log'!$E$4:$SJ$4,"&lt;&gt;Bid Package",'PCO Log'!$E$7:$SJ$7,"Approved")</f>
        <v>0</v>
      </c>
      <c r="BJ227" s="304">
        <f>SUMIFS('PCO Log'!$E51:$SJ51,'PCO Log'!$E$9:$SJ$9,'Graph Data'!BJ$187,'PCO Log'!$E$4:$SJ$4,"&lt;&gt;Bid Package",'PCO Log'!$E$7:$SJ$7,"Approved")</f>
        <v>0</v>
      </c>
      <c r="BK227" s="304">
        <f>SUMIFS('PCO Log'!$E51:$SJ51,'PCO Log'!$E$9:$SJ$9,'Graph Data'!BK$187,'PCO Log'!$E$4:$SJ$4,"&lt;&gt;Bid Package",'PCO Log'!$E$7:$SJ$7,"Approved")</f>
        <v>0</v>
      </c>
      <c r="BL227" s="304">
        <f>SUMIFS('PCO Log'!$E51:$SJ51,'PCO Log'!$E$9:$SJ$9,'Graph Data'!BL$187,'PCO Log'!$E$4:$SJ$4,"&lt;&gt;Bid Package",'PCO Log'!$E$7:$SJ$7,"Approved")</f>
        <v>0</v>
      </c>
      <c r="BM227" s="304">
        <f>SUMIFS('PCO Log'!$E51:$SJ51,'PCO Log'!$E$9:$SJ$9,'Graph Data'!BM$187,'PCO Log'!$E$4:$SJ$4,"&lt;&gt;Bid Package",'PCO Log'!$E$7:$SJ$7,"Approved")</f>
        <v>0</v>
      </c>
      <c r="BN227" s="304">
        <f>SUMIFS('PCO Log'!$E51:$SJ51,'PCO Log'!$E$9:$SJ$9,'Graph Data'!BN$187,'PCO Log'!$E$4:$SJ$4,"&lt;&gt;Bid Package",'PCO Log'!$E$7:$SJ$7,"Approved")</f>
        <v>0</v>
      </c>
      <c r="BO227" s="304">
        <f>SUMIFS('PCO Log'!$E51:$SJ51,'PCO Log'!$E$9:$SJ$9,'Graph Data'!BO$187,'PCO Log'!$E$4:$SJ$4,"&lt;&gt;Bid Package",'PCO Log'!$E$7:$SJ$7,"Approved")</f>
        <v>0</v>
      </c>
      <c r="BP227" s="304">
        <f>SUMIFS('PCO Log'!$E51:$SJ51,'PCO Log'!$E$9:$SJ$9,'Graph Data'!BP$187,'PCO Log'!$E$4:$SJ$4,"&lt;&gt;Bid Package",'PCO Log'!$E$7:$SJ$7,"Approved")</f>
        <v>0</v>
      </c>
      <c r="BQ227" s="304">
        <f>SUMIFS('PCO Log'!$E51:$SJ51,'PCO Log'!$E$9:$SJ$9,'Graph Data'!BQ$187,'PCO Log'!$E$4:$SJ$4,"&lt;&gt;Bid Package",'PCO Log'!$E$7:$SJ$7,"Approved")</f>
        <v>0</v>
      </c>
      <c r="BR227" s="304">
        <f>SUMIFS('PCO Log'!$E51:$SJ51,'PCO Log'!$E$9:$SJ$9,'Graph Data'!BR$187,'PCO Log'!$E$4:$SJ$4,"&lt;&gt;Bid Package",'PCO Log'!$E$7:$SJ$7,"Approved")</f>
        <v>0</v>
      </c>
      <c r="BS227" s="304">
        <f>SUMIFS('PCO Log'!$E51:$SJ51,'PCO Log'!$E$9:$SJ$9,'Graph Data'!BS$187,'PCO Log'!$E$4:$SJ$4,"&lt;&gt;Bid Package",'PCO Log'!$E$7:$SJ$7,"Approved")</f>
        <v>0</v>
      </c>
      <c r="BT227" s="304">
        <f>SUMIFS('PCO Log'!$E51:$SJ51,'PCO Log'!$E$9:$SJ$9,'Graph Data'!BT$187,'PCO Log'!$E$4:$SJ$4,"&lt;&gt;Bid Package",'PCO Log'!$E$7:$SJ$7,"Approved")</f>
        <v>0</v>
      </c>
      <c r="BU227" s="304">
        <f>SUMIFS('PCO Log'!$E51:$SJ51,'PCO Log'!$E$9:$SJ$9,'Graph Data'!BU$187,'PCO Log'!$E$4:$SJ$4,"&lt;&gt;Bid Package",'PCO Log'!$E$7:$SJ$7,"Approved")</f>
        <v>0</v>
      </c>
      <c r="BV227" s="304">
        <f>SUMIFS('PCO Log'!$E51:$SJ51,'PCO Log'!$E$9:$SJ$9,'Graph Data'!BV$187,'PCO Log'!$E$4:$SJ$4,"&lt;&gt;Bid Package",'PCO Log'!$E$7:$SJ$7,"Approved")</f>
        <v>0</v>
      </c>
      <c r="BW227" s="304">
        <f>SUMIFS('PCO Log'!$E51:$SJ51,'PCO Log'!$E$9:$SJ$9,'Graph Data'!BW$187,'PCO Log'!$E$4:$SJ$4,"&lt;&gt;Bid Package",'PCO Log'!$E$7:$SJ$7,"Approved")</f>
        <v>0</v>
      </c>
      <c r="BX227" s="304">
        <f>SUMIFS('PCO Log'!$E51:$SJ51,'PCO Log'!$E$9:$SJ$9,'Graph Data'!BX$187,'PCO Log'!$E$4:$SJ$4,"&lt;&gt;Bid Package",'PCO Log'!$E$7:$SJ$7,"Approved")</f>
        <v>0</v>
      </c>
    </row>
    <row r="228" spans="1:76" x14ac:dyDescent="0.25">
      <c r="A228" s="303" t="s">
        <v>578</v>
      </c>
      <c r="B228" s="303">
        <f>'PCO Log'!HW7</f>
        <v>0</v>
      </c>
      <c r="C228" s="303">
        <f>'PCO Log'!HW4</f>
        <v>0</v>
      </c>
      <c r="D228" s="303" cm="1">
        <f t="array" ref="D228">INDEX('PCO Log'!$E$5:$SJ$5, 1, ROWS('Graph Data'!$D$2:D228))</f>
        <v>0</v>
      </c>
      <c r="E228" s="303">
        <f>'PCO Log'!HW8</f>
        <v>0</v>
      </c>
      <c r="F228" s="303">
        <f>'PCO Log'!HW3</f>
        <v>0</v>
      </c>
      <c r="G228" s="304">
        <f>'PCO Log'!HW10</f>
        <v>0</v>
      </c>
      <c r="H228" s="305">
        <f>'PCO Log'!HW6</f>
        <v>0</v>
      </c>
      <c r="K228" s="307"/>
      <c r="P228" s="303" t="str">
        <f t="shared" si="3"/>
        <v>Curtain Wall, Glass &amp; Glazing</v>
      </c>
      <c r="Q228" s="304">
        <f>SUMIFS('PCO Log'!$E52:$SJ52,'PCO Log'!$E$9:$SJ$9,'Graph Data'!Q$187,'PCO Log'!$E$4:$SJ$4,"&lt;&gt;Bid Package",'PCO Log'!$E$7:$SJ$7,"Approved")</f>
        <v>0</v>
      </c>
      <c r="R228" s="304">
        <f>SUMIFS('PCO Log'!$E52:$SJ52,'PCO Log'!$E$9:$SJ$9,'Graph Data'!R$187,'PCO Log'!$E$4:$SJ$4,"&lt;&gt;Bid Package",'PCO Log'!$E$7:$SJ$7,"Approved")</f>
        <v>0</v>
      </c>
      <c r="S228" s="304">
        <f>SUMIFS('PCO Log'!$E52:$SJ52,'PCO Log'!$E$9:$SJ$9,'Graph Data'!S$187,'PCO Log'!$E$4:$SJ$4,"&lt;&gt;Bid Package",'PCO Log'!$E$7:$SJ$7,"Approved")</f>
        <v>0</v>
      </c>
      <c r="T228" s="304">
        <f>SUMIFS('PCO Log'!$E52:$SJ52,'PCO Log'!$E$9:$SJ$9,'Graph Data'!T$187,'PCO Log'!$E$4:$SJ$4,"&lt;&gt;Bid Package",'PCO Log'!$E$7:$SJ$7,"Approved")</f>
        <v>0</v>
      </c>
      <c r="U228" s="304">
        <f>SUMIFS('PCO Log'!$E52:$SJ52,'PCO Log'!$E$9:$SJ$9,'Graph Data'!U$187,'PCO Log'!$E$4:$SJ$4,"&lt;&gt;Bid Package",'PCO Log'!$E$7:$SJ$7,"Approved")</f>
        <v>0</v>
      </c>
      <c r="V228" s="304">
        <f>SUMIFS('PCO Log'!$E52:$SJ52,'PCO Log'!$E$9:$SJ$9,'Graph Data'!V$187,'PCO Log'!$E$4:$SJ$4,"&lt;&gt;Bid Package",'PCO Log'!$E$7:$SJ$7,"Approved")</f>
        <v>0</v>
      </c>
      <c r="W228" s="304">
        <f>SUMIFS('PCO Log'!$E52:$SJ52,'PCO Log'!$E$9:$SJ$9,'Graph Data'!W$187,'PCO Log'!$E$4:$SJ$4,"&lt;&gt;Bid Package",'PCO Log'!$E$7:$SJ$7,"Approved")</f>
        <v>0</v>
      </c>
      <c r="X228" s="304">
        <f>SUMIFS('PCO Log'!$E52:$SJ52,'PCO Log'!$E$9:$SJ$9,'Graph Data'!X$187,'PCO Log'!$E$4:$SJ$4,"&lt;&gt;Bid Package",'PCO Log'!$E$7:$SJ$7,"Approved")</f>
        <v>0</v>
      </c>
      <c r="Y228" s="304">
        <f>SUMIFS('PCO Log'!$E52:$SJ52,'PCO Log'!$E$9:$SJ$9,'Graph Data'!Y$187,'PCO Log'!$E$4:$SJ$4,"&lt;&gt;Bid Package",'PCO Log'!$E$7:$SJ$7,"Approved")</f>
        <v>0</v>
      </c>
      <c r="Z228" s="304">
        <f>SUMIFS('PCO Log'!$E52:$SJ52,'PCO Log'!$E$9:$SJ$9,'Graph Data'!Z$187,'PCO Log'!$E$4:$SJ$4,"&lt;&gt;Bid Package",'PCO Log'!$E$7:$SJ$7,"Approved")</f>
        <v>0</v>
      </c>
      <c r="AA228" s="304">
        <f>SUMIFS('PCO Log'!$E52:$SJ52,'PCO Log'!$E$9:$SJ$9,'Graph Data'!AA$187,'PCO Log'!$E$4:$SJ$4,"&lt;&gt;Bid Package",'PCO Log'!$E$7:$SJ$7,"Approved")</f>
        <v>0</v>
      </c>
      <c r="AB228" s="304">
        <f>SUMIFS('PCO Log'!$E52:$SJ52,'PCO Log'!$E$9:$SJ$9,'Graph Data'!AB$187,'PCO Log'!$E$4:$SJ$4,"&lt;&gt;Bid Package",'PCO Log'!$E$7:$SJ$7,"Approved")</f>
        <v>0</v>
      </c>
      <c r="AC228" s="304">
        <f>SUMIFS('PCO Log'!$E52:$SJ52,'PCO Log'!$E$9:$SJ$9,'Graph Data'!AC$187,'PCO Log'!$E$4:$SJ$4,"&lt;&gt;Bid Package",'PCO Log'!$E$7:$SJ$7,"Approved")</f>
        <v>0</v>
      </c>
      <c r="AD228" s="304">
        <f>SUMIFS('PCO Log'!$E52:$SJ52,'PCO Log'!$E$9:$SJ$9,'Graph Data'!AD$187,'PCO Log'!$E$4:$SJ$4,"&lt;&gt;Bid Package",'PCO Log'!$E$7:$SJ$7,"Approved")</f>
        <v>0</v>
      </c>
      <c r="AE228" s="304">
        <f>SUMIFS('PCO Log'!$E52:$SJ52,'PCO Log'!$E$9:$SJ$9,'Graph Data'!AE$187,'PCO Log'!$E$4:$SJ$4,"&lt;&gt;Bid Package",'PCO Log'!$E$7:$SJ$7,"Approved")</f>
        <v>0</v>
      </c>
      <c r="AF228" s="304">
        <f>SUMIFS('PCO Log'!$E52:$SJ52,'PCO Log'!$E$9:$SJ$9,'Graph Data'!AF$187,'PCO Log'!$E$4:$SJ$4,"&lt;&gt;Bid Package",'PCO Log'!$E$7:$SJ$7,"Approved")</f>
        <v>0</v>
      </c>
      <c r="AG228" s="304">
        <f>SUMIFS('PCO Log'!$E52:$SJ52,'PCO Log'!$E$9:$SJ$9,'Graph Data'!AG$187,'PCO Log'!$E$4:$SJ$4,"&lt;&gt;Bid Package",'PCO Log'!$E$7:$SJ$7,"Approved")</f>
        <v>0</v>
      </c>
      <c r="AH228" s="304">
        <f>SUMIFS('PCO Log'!$E52:$SJ52,'PCO Log'!$E$9:$SJ$9,'Graph Data'!AH$187,'PCO Log'!$E$4:$SJ$4,"&lt;&gt;Bid Package",'PCO Log'!$E$7:$SJ$7,"Approved")</f>
        <v>0</v>
      </c>
      <c r="AI228" s="304">
        <f>SUMIFS('PCO Log'!$E52:$SJ52,'PCO Log'!$E$9:$SJ$9,'Graph Data'!AI$187,'PCO Log'!$E$4:$SJ$4,"&lt;&gt;Bid Package",'PCO Log'!$E$7:$SJ$7,"Approved")</f>
        <v>0</v>
      </c>
      <c r="AJ228" s="304">
        <f>SUMIFS('PCO Log'!$E52:$SJ52,'PCO Log'!$E$9:$SJ$9,'Graph Data'!AJ$187,'PCO Log'!$E$4:$SJ$4,"&lt;&gt;Bid Package",'PCO Log'!$E$7:$SJ$7,"Approved")</f>
        <v>0</v>
      </c>
      <c r="AK228" s="304">
        <f>SUMIFS('PCO Log'!$E52:$SJ52,'PCO Log'!$E$9:$SJ$9,'Graph Data'!AK$187,'PCO Log'!$E$4:$SJ$4,"&lt;&gt;Bid Package",'PCO Log'!$E$7:$SJ$7,"Approved")</f>
        <v>0</v>
      </c>
      <c r="AL228" s="304">
        <f>SUMIFS('PCO Log'!$E52:$SJ52,'PCO Log'!$E$9:$SJ$9,'Graph Data'!AL$187,'PCO Log'!$E$4:$SJ$4,"&lt;&gt;Bid Package",'PCO Log'!$E$7:$SJ$7,"Approved")</f>
        <v>0</v>
      </c>
      <c r="AM228" s="304">
        <f>SUMIFS('PCO Log'!$E52:$SJ52,'PCO Log'!$E$9:$SJ$9,'Graph Data'!AM$187,'PCO Log'!$E$4:$SJ$4,"&lt;&gt;Bid Package",'PCO Log'!$E$7:$SJ$7,"Approved")</f>
        <v>0</v>
      </c>
      <c r="AN228" s="304">
        <f>SUMIFS('PCO Log'!$E52:$SJ52,'PCO Log'!$E$9:$SJ$9,'Graph Data'!AN$187,'PCO Log'!$E$4:$SJ$4,"&lt;&gt;Bid Package",'PCO Log'!$E$7:$SJ$7,"Approved")</f>
        <v>0</v>
      </c>
      <c r="AO228" s="304">
        <f>SUMIFS('PCO Log'!$E52:$SJ52,'PCO Log'!$E$9:$SJ$9,'Graph Data'!AO$187,'PCO Log'!$E$4:$SJ$4,"&lt;&gt;Bid Package",'PCO Log'!$E$7:$SJ$7,"Approved")</f>
        <v>0</v>
      </c>
      <c r="AP228" s="304">
        <f>SUMIFS('PCO Log'!$E52:$SJ52,'PCO Log'!$E$9:$SJ$9,'Graph Data'!AP$187,'PCO Log'!$E$4:$SJ$4,"&lt;&gt;Bid Package",'PCO Log'!$E$7:$SJ$7,"Approved")</f>
        <v>0</v>
      </c>
      <c r="AQ228" s="304">
        <f>SUMIFS('PCO Log'!$E52:$SJ52,'PCO Log'!$E$9:$SJ$9,'Graph Data'!AQ$187,'PCO Log'!$E$4:$SJ$4,"&lt;&gt;Bid Package",'PCO Log'!$E$7:$SJ$7,"Approved")</f>
        <v>0</v>
      </c>
      <c r="AR228" s="304">
        <f>SUMIFS('PCO Log'!$E52:$SJ52,'PCO Log'!$E$9:$SJ$9,'Graph Data'!AR$187,'PCO Log'!$E$4:$SJ$4,"&lt;&gt;Bid Package",'PCO Log'!$E$7:$SJ$7,"Approved")</f>
        <v>0</v>
      </c>
      <c r="AS228" s="304">
        <f>SUMIFS('PCO Log'!$E52:$SJ52,'PCO Log'!$E$9:$SJ$9,'Graph Data'!AS$187,'PCO Log'!$E$4:$SJ$4,"&lt;&gt;Bid Package",'PCO Log'!$E$7:$SJ$7,"Approved")</f>
        <v>0</v>
      </c>
      <c r="AT228" s="304">
        <f>SUMIFS('PCO Log'!$E52:$SJ52,'PCO Log'!$E$9:$SJ$9,'Graph Data'!AT$187,'PCO Log'!$E$4:$SJ$4,"&lt;&gt;Bid Package",'PCO Log'!$E$7:$SJ$7,"Approved")</f>
        <v>0</v>
      </c>
      <c r="AU228" s="304">
        <f>SUMIFS('PCO Log'!$E52:$SJ52,'PCO Log'!$E$9:$SJ$9,'Graph Data'!AU$187,'PCO Log'!$E$4:$SJ$4,"&lt;&gt;Bid Package",'PCO Log'!$E$7:$SJ$7,"Approved")</f>
        <v>0</v>
      </c>
      <c r="AV228" s="304">
        <f>SUMIFS('PCO Log'!$E52:$SJ52,'PCO Log'!$E$9:$SJ$9,'Graph Data'!AV$187,'PCO Log'!$E$4:$SJ$4,"&lt;&gt;Bid Package",'PCO Log'!$E$7:$SJ$7,"Approved")</f>
        <v>0</v>
      </c>
      <c r="AW228" s="304">
        <f>SUMIFS('PCO Log'!$E52:$SJ52,'PCO Log'!$E$9:$SJ$9,'Graph Data'!AW$187,'PCO Log'!$E$4:$SJ$4,"&lt;&gt;Bid Package",'PCO Log'!$E$7:$SJ$7,"Approved")</f>
        <v>0</v>
      </c>
      <c r="AX228" s="304">
        <f>SUMIFS('PCO Log'!$E52:$SJ52,'PCO Log'!$E$9:$SJ$9,'Graph Data'!AX$187,'PCO Log'!$E$4:$SJ$4,"&lt;&gt;Bid Package",'PCO Log'!$E$7:$SJ$7,"Approved")</f>
        <v>0</v>
      </c>
      <c r="AY228" s="304">
        <f>SUMIFS('PCO Log'!$E52:$SJ52,'PCO Log'!$E$9:$SJ$9,'Graph Data'!AY$187,'PCO Log'!$E$4:$SJ$4,"&lt;&gt;Bid Package",'PCO Log'!$E$7:$SJ$7,"Approved")</f>
        <v>0</v>
      </c>
      <c r="AZ228" s="304">
        <f>SUMIFS('PCO Log'!$E52:$SJ52,'PCO Log'!$E$9:$SJ$9,'Graph Data'!AZ$187,'PCO Log'!$E$4:$SJ$4,"&lt;&gt;Bid Package",'PCO Log'!$E$7:$SJ$7,"Approved")</f>
        <v>0</v>
      </c>
      <c r="BA228" s="304">
        <f>SUMIFS('PCO Log'!$E52:$SJ52,'PCO Log'!$E$9:$SJ$9,'Graph Data'!BA$187,'PCO Log'!$E$4:$SJ$4,"&lt;&gt;Bid Package",'PCO Log'!$E$7:$SJ$7,"Approved")</f>
        <v>0</v>
      </c>
      <c r="BB228" s="304">
        <f>SUMIFS('PCO Log'!$E52:$SJ52,'PCO Log'!$E$9:$SJ$9,'Graph Data'!BB$187,'PCO Log'!$E$4:$SJ$4,"&lt;&gt;Bid Package",'PCO Log'!$E$7:$SJ$7,"Approved")</f>
        <v>0</v>
      </c>
      <c r="BC228" s="304">
        <f>SUMIFS('PCO Log'!$E52:$SJ52,'PCO Log'!$E$9:$SJ$9,'Graph Data'!BC$187,'PCO Log'!$E$4:$SJ$4,"&lt;&gt;Bid Package",'PCO Log'!$E$7:$SJ$7,"Approved")</f>
        <v>0</v>
      </c>
      <c r="BD228" s="304">
        <f>SUMIFS('PCO Log'!$E52:$SJ52,'PCO Log'!$E$9:$SJ$9,'Graph Data'!BD$187,'PCO Log'!$E$4:$SJ$4,"&lt;&gt;Bid Package",'PCO Log'!$E$7:$SJ$7,"Approved")</f>
        <v>0</v>
      </c>
      <c r="BE228" s="304">
        <f>SUMIFS('PCO Log'!$E52:$SJ52,'PCO Log'!$E$9:$SJ$9,'Graph Data'!BE$187,'PCO Log'!$E$4:$SJ$4,"&lt;&gt;Bid Package",'PCO Log'!$E$7:$SJ$7,"Approved")</f>
        <v>0</v>
      </c>
      <c r="BF228" s="304">
        <f>SUMIFS('PCO Log'!$E52:$SJ52,'PCO Log'!$E$9:$SJ$9,'Graph Data'!BF$187,'PCO Log'!$E$4:$SJ$4,"&lt;&gt;Bid Package",'PCO Log'!$E$7:$SJ$7,"Approved")</f>
        <v>0</v>
      </c>
      <c r="BG228" s="304">
        <f>SUMIFS('PCO Log'!$E52:$SJ52,'PCO Log'!$E$9:$SJ$9,'Graph Data'!BG$187,'PCO Log'!$E$4:$SJ$4,"&lt;&gt;Bid Package",'PCO Log'!$E$7:$SJ$7,"Approved")</f>
        <v>0</v>
      </c>
      <c r="BH228" s="304">
        <f>SUMIFS('PCO Log'!$E52:$SJ52,'PCO Log'!$E$9:$SJ$9,'Graph Data'!BH$187,'PCO Log'!$E$4:$SJ$4,"&lt;&gt;Bid Package",'PCO Log'!$E$7:$SJ$7,"Approved")</f>
        <v>0</v>
      </c>
      <c r="BI228" s="304">
        <f>SUMIFS('PCO Log'!$E52:$SJ52,'PCO Log'!$E$9:$SJ$9,'Graph Data'!BI$187,'PCO Log'!$E$4:$SJ$4,"&lt;&gt;Bid Package",'PCO Log'!$E$7:$SJ$7,"Approved")</f>
        <v>0</v>
      </c>
      <c r="BJ228" s="304">
        <f>SUMIFS('PCO Log'!$E52:$SJ52,'PCO Log'!$E$9:$SJ$9,'Graph Data'!BJ$187,'PCO Log'!$E$4:$SJ$4,"&lt;&gt;Bid Package",'PCO Log'!$E$7:$SJ$7,"Approved")</f>
        <v>0</v>
      </c>
      <c r="BK228" s="304">
        <f>SUMIFS('PCO Log'!$E52:$SJ52,'PCO Log'!$E$9:$SJ$9,'Graph Data'!BK$187,'PCO Log'!$E$4:$SJ$4,"&lt;&gt;Bid Package",'PCO Log'!$E$7:$SJ$7,"Approved")</f>
        <v>0</v>
      </c>
      <c r="BL228" s="304">
        <f>SUMIFS('PCO Log'!$E52:$SJ52,'PCO Log'!$E$9:$SJ$9,'Graph Data'!BL$187,'PCO Log'!$E$4:$SJ$4,"&lt;&gt;Bid Package",'PCO Log'!$E$7:$SJ$7,"Approved")</f>
        <v>0</v>
      </c>
      <c r="BM228" s="304">
        <f>SUMIFS('PCO Log'!$E52:$SJ52,'PCO Log'!$E$9:$SJ$9,'Graph Data'!BM$187,'PCO Log'!$E$4:$SJ$4,"&lt;&gt;Bid Package",'PCO Log'!$E$7:$SJ$7,"Approved")</f>
        <v>0</v>
      </c>
      <c r="BN228" s="304">
        <f>SUMIFS('PCO Log'!$E52:$SJ52,'PCO Log'!$E$9:$SJ$9,'Graph Data'!BN$187,'PCO Log'!$E$4:$SJ$4,"&lt;&gt;Bid Package",'PCO Log'!$E$7:$SJ$7,"Approved")</f>
        <v>0</v>
      </c>
      <c r="BO228" s="304">
        <f>SUMIFS('PCO Log'!$E52:$SJ52,'PCO Log'!$E$9:$SJ$9,'Graph Data'!BO$187,'PCO Log'!$E$4:$SJ$4,"&lt;&gt;Bid Package",'PCO Log'!$E$7:$SJ$7,"Approved")</f>
        <v>0</v>
      </c>
      <c r="BP228" s="304">
        <f>SUMIFS('PCO Log'!$E52:$SJ52,'PCO Log'!$E$9:$SJ$9,'Graph Data'!BP$187,'PCO Log'!$E$4:$SJ$4,"&lt;&gt;Bid Package",'PCO Log'!$E$7:$SJ$7,"Approved")</f>
        <v>0</v>
      </c>
      <c r="BQ228" s="304">
        <f>SUMIFS('PCO Log'!$E52:$SJ52,'PCO Log'!$E$9:$SJ$9,'Graph Data'!BQ$187,'PCO Log'!$E$4:$SJ$4,"&lt;&gt;Bid Package",'PCO Log'!$E$7:$SJ$7,"Approved")</f>
        <v>0</v>
      </c>
      <c r="BR228" s="304">
        <f>SUMIFS('PCO Log'!$E52:$SJ52,'PCO Log'!$E$9:$SJ$9,'Graph Data'!BR$187,'PCO Log'!$E$4:$SJ$4,"&lt;&gt;Bid Package",'PCO Log'!$E$7:$SJ$7,"Approved")</f>
        <v>0</v>
      </c>
      <c r="BS228" s="304">
        <f>SUMIFS('PCO Log'!$E52:$SJ52,'PCO Log'!$E$9:$SJ$9,'Graph Data'!BS$187,'PCO Log'!$E$4:$SJ$4,"&lt;&gt;Bid Package",'PCO Log'!$E$7:$SJ$7,"Approved")</f>
        <v>0</v>
      </c>
      <c r="BT228" s="304">
        <f>SUMIFS('PCO Log'!$E52:$SJ52,'PCO Log'!$E$9:$SJ$9,'Graph Data'!BT$187,'PCO Log'!$E$4:$SJ$4,"&lt;&gt;Bid Package",'PCO Log'!$E$7:$SJ$7,"Approved")</f>
        <v>0</v>
      </c>
      <c r="BU228" s="304">
        <f>SUMIFS('PCO Log'!$E52:$SJ52,'PCO Log'!$E$9:$SJ$9,'Graph Data'!BU$187,'PCO Log'!$E$4:$SJ$4,"&lt;&gt;Bid Package",'PCO Log'!$E$7:$SJ$7,"Approved")</f>
        <v>0</v>
      </c>
      <c r="BV228" s="304">
        <f>SUMIFS('PCO Log'!$E52:$SJ52,'PCO Log'!$E$9:$SJ$9,'Graph Data'!BV$187,'PCO Log'!$E$4:$SJ$4,"&lt;&gt;Bid Package",'PCO Log'!$E$7:$SJ$7,"Approved")</f>
        <v>0</v>
      </c>
      <c r="BW228" s="304">
        <f>SUMIFS('PCO Log'!$E52:$SJ52,'PCO Log'!$E$9:$SJ$9,'Graph Data'!BW$187,'PCO Log'!$E$4:$SJ$4,"&lt;&gt;Bid Package",'PCO Log'!$E$7:$SJ$7,"Approved")</f>
        <v>0</v>
      </c>
      <c r="BX228" s="304">
        <f>SUMIFS('PCO Log'!$E52:$SJ52,'PCO Log'!$E$9:$SJ$9,'Graph Data'!BX$187,'PCO Log'!$E$4:$SJ$4,"&lt;&gt;Bid Package",'PCO Log'!$E$7:$SJ$7,"Approved")</f>
        <v>0</v>
      </c>
    </row>
    <row r="229" spans="1:76" x14ac:dyDescent="0.25">
      <c r="A229" s="303" t="s">
        <v>579</v>
      </c>
      <c r="B229" s="303">
        <f>'PCO Log'!HX7</f>
        <v>0</v>
      </c>
      <c r="C229" s="303">
        <f>'PCO Log'!HX4</f>
        <v>0</v>
      </c>
      <c r="D229" s="303" cm="1">
        <f t="array" ref="D229">INDEX('PCO Log'!$E$5:$SJ$5, 1, ROWS('Graph Data'!$D$2:D229))</f>
        <v>0</v>
      </c>
      <c r="E229" s="303">
        <f>'PCO Log'!HX8</f>
        <v>0</v>
      </c>
      <c r="F229" s="303">
        <f>'PCO Log'!HX3</f>
        <v>0</v>
      </c>
      <c r="G229" s="304">
        <f>'PCO Log'!HX10</f>
        <v>0</v>
      </c>
      <c r="H229" s="305">
        <f>'PCO Log'!HX6</f>
        <v>0</v>
      </c>
      <c r="K229" s="307"/>
      <c r="P229" s="303" t="str">
        <f t="shared" si="3"/>
        <v>Skylights</v>
      </c>
      <c r="Q229" s="304">
        <f>SUMIFS('PCO Log'!$E53:$SJ53,'PCO Log'!$E$9:$SJ$9,'Graph Data'!Q$187,'PCO Log'!$E$4:$SJ$4,"&lt;&gt;Bid Package",'PCO Log'!$E$7:$SJ$7,"Approved")</f>
        <v>0</v>
      </c>
      <c r="R229" s="304">
        <f>SUMIFS('PCO Log'!$E53:$SJ53,'PCO Log'!$E$9:$SJ$9,'Graph Data'!R$187,'PCO Log'!$E$4:$SJ$4,"&lt;&gt;Bid Package",'PCO Log'!$E$7:$SJ$7,"Approved")</f>
        <v>0</v>
      </c>
      <c r="S229" s="304">
        <f>SUMIFS('PCO Log'!$E53:$SJ53,'PCO Log'!$E$9:$SJ$9,'Graph Data'!S$187,'PCO Log'!$E$4:$SJ$4,"&lt;&gt;Bid Package",'PCO Log'!$E$7:$SJ$7,"Approved")</f>
        <v>0</v>
      </c>
      <c r="T229" s="304">
        <f>SUMIFS('PCO Log'!$E53:$SJ53,'PCO Log'!$E$9:$SJ$9,'Graph Data'!T$187,'PCO Log'!$E$4:$SJ$4,"&lt;&gt;Bid Package",'PCO Log'!$E$7:$SJ$7,"Approved")</f>
        <v>0</v>
      </c>
      <c r="U229" s="304">
        <f>SUMIFS('PCO Log'!$E53:$SJ53,'PCO Log'!$E$9:$SJ$9,'Graph Data'!U$187,'PCO Log'!$E$4:$SJ$4,"&lt;&gt;Bid Package",'PCO Log'!$E$7:$SJ$7,"Approved")</f>
        <v>0</v>
      </c>
      <c r="V229" s="304">
        <f>SUMIFS('PCO Log'!$E53:$SJ53,'PCO Log'!$E$9:$SJ$9,'Graph Data'!V$187,'PCO Log'!$E$4:$SJ$4,"&lt;&gt;Bid Package",'PCO Log'!$E$7:$SJ$7,"Approved")</f>
        <v>0</v>
      </c>
      <c r="W229" s="304">
        <f>SUMIFS('PCO Log'!$E53:$SJ53,'PCO Log'!$E$9:$SJ$9,'Graph Data'!W$187,'PCO Log'!$E$4:$SJ$4,"&lt;&gt;Bid Package",'PCO Log'!$E$7:$SJ$7,"Approved")</f>
        <v>0</v>
      </c>
      <c r="X229" s="304">
        <f>SUMIFS('PCO Log'!$E53:$SJ53,'PCO Log'!$E$9:$SJ$9,'Graph Data'!X$187,'PCO Log'!$E$4:$SJ$4,"&lt;&gt;Bid Package",'PCO Log'!$E$7:$SJ$7,"Approved")</f>
        <v>0</v>
      </c>
      <c r="Y229" s="304">
        <f>SUMIFS('PCO Log'!$E53:$SJ53,'PCO Log'!$E$9:$SJ$9,'Graph Data'!Y$187,'PCO Log'!$E$4:$SJ$4,"&lt;&gt;Bid Package",'PCO Log'!$E$7:$SJ$7,"Approved")</f>
        <v>0</v>
      </c>
      <c r="Z229" s="304">
        <f>SUMIFS('PCO Log'!$E53:$SJ53,'PCO Log'!$E$9:$SJ$9,'Graph Data'!Z$187,'PCO Log'!$E$4:$SJ$4,"&lt;&gt;Bid Package",'PCO Log'!$E$7:$SJ$7,"Approved")</f>
        <v>0</v>
      </c>
      <c r="AA229" s="304">
        <f>SUMIFS('PCO Log'!$E53:$SJ53,'PCO Log'!$E$9:$SJ$9,'Graph Data'!AA$187,'PCO Log'!$E$4:$SJ$4,"&lt;&gt;Bid Package",'PCO Log'!$E$7:$SJ$7,"Approved")</f>
        <v>0</v>
      </c>
      <c r="AB229" s="304">
        <f>SUMIFS('PCO Log'!$E53:$SJ53,'PCO Log'!$E$9:$SJ$9,'Graph Data'!AB$187,'PCO Log'!$E$4:$SJ$4,"&lt;&gt;Bid Package",'PCO Log'!$E$7:$SJ$7,"Approved")</f>
        <v>0</v>
      </c>
      <c r="AC229" s="304">
        <f>SUMIFS('PCO Log'!$E53:$SJ53,'PCO Log'!$E$9:$SJ$9,'Graph Data'!AC$187,'PCO Log'!$E$4:$SJ$4,"&lt;&gt;Bid Package",'PCO Log'!$E$7:$SJ$7,"Approved")</f>
        <v>0</v>
      </c>
      <c r="AD229" s="304">
        <f>SUMIFS('PCO Log'!$E53:$SJ53,'PCO Log'!$E$9:$SJ$9,'Graph Data'!AD$187,'PCO Log'!$E$4:$SJ$4,"&lt;&gt;Bid Package",'PCO Log'!$E$7:$SJ$7,"Approved")</f>
        <v>0</v>
      </c>
      <c r="AE229" s="304">
        <f>SUMIFS('PCO Log'!$E53:$SJ53,'PCO Log'!$E$9:$SJ$9,'Graph Data'!AE$187,'PCO Log'!$E$4:$SJ$4,"&lt;&gt;Bid Package",'PCO Log'!$E$7:$SJ$7,"Approved")</f>
        <v>0</v>
      </c>
      <c r="AF229" s="304">
        <f>SUMIFS('PCO Log'!$E53:$SJ53,'PCO Log'!$E$9:$SJ$9,'Graph Data'!AF$187,'PCO Log'!$E$4:$SJ$4,"&lt;&gt;Bid Package",'PCO Log'!$E$7:$SJ$7,"Approved")</f>
        <v>0</v>
      </c>
      <c r="AG229" s="304">
        <f>SUMIFS('PCO Log'!$E53:$SJ53,'PCO Log'!$E$9:$SJ$9,'Graph Data'!AG$187,'PCO Log'!$E$4:$SJ$4,"&lt;&gt;Bid Package",'PCO Log'!$E$7:$SJ$7,"Approved")</f>
        <v>0</v>
      </c>
      <c r="AH229" s="304">
        <f>SUMIFS('PCO Log'!$E53:$SJ53,'PCO Log'!$E$9:$SJ$9,'Graph Data'!AH$187,'PCO Log'!$E$4:$SJ$4,"&lt;&gt;Bid Package",'PCO Log'!$E$7:$SJ$7,"Approved")</f>
        <v>0</v>
      </c>
      <c r="AI229" s="304">
        <f>SUMIFS('PCO Log'!$E53:$SJ53,'PCO Log'!$E$9:$SJ$9,'Graph Data'!AI$187,'PCO Log'!$E$4:$SJ$4,"&lt;&gt;Bid Package",'PCO Log'!$E$7:$SJ$7,"Approved")</f>
        <v>0</v>
      </c>
      <c r="AJ229" s="304">
        <f>SUMIFS('PCO Log'!$E53:$SJ53,'PCO Log'!$E$9:$SJ$9,'Graph Data'!AJ$187,'PCO Log'!$E$4:$SJ$4,"&lt;&gt;Bid Package",'PCO Log'!$E$7:$SJ$7,"Approved")</f>
        <v>0</v>
      </c>
      <c r="AK229" s="304">
        <f>SUMIFS('PCO Log'!$E53:$SJ53,'PCO Log'!$E$9:$SJ$9,'Graph Data'!AK$187,'PCO Log'!$E$4:$SJ$4,"&lt;&gt;Bid Package",'PCO Log'!$E$7:$SJ$7,"Approved")</f>
        <v>0</v>
      </c>
      <c r="AL229" s="304">
        <f>SUMIFS('PCO Log'!$E53:$SJ53,'PCO Log'!$E$9:$SJ$9,'Graph Data'!AL$187,'PCO Log'!$E$4:$SJ$4,"&lt;&gt;Bid Package",'PCO Log'!$E$7:$SJ$7,"Approved")</f>
        <v>0</v>
      </c>
      <c r="AM229" s="304">
        <f>SUMIFS('PCO Log'!$E53:$SJ53,'PCO Log'!$E$9:$SJ$9,'Graph Data'!AM$187,'PCO Log'!$E$4:$SJ$4,"&lt;&gt;Bid Package",'PCO Log'!$E$7:$SJ$7,"Approved")</f>
        <v>0</v>
      </c>
      <c r="AN229" s="304">
        <f>SUMIFS('PCO Log'!$E53:$SJ53,'PCO Log'!$E$9:$SJ$9,'Graph Data'!AN$187,'PCO Log'!$E$4:$SJ$4,"&lt;&gt;Bid Package",'PCO Log'!$E$7:$SJ$7,"Approved")</f>
        <v>0</v>
      </c>
      <c r="AO229" s="304">
        <f>SUMIFS('PCO Log'!$E53:$SJ53,'PCO Log'!$E$9:$SJ$9,'Graph Data'!AO$187,'PCO Log'!$E$4:$SJ$4,"&lt;&gt;Bid Package",'PCO Log'!$E$7:$SJ$7,"Approved")</f>
        <v>0</v>
      </c>
      <c r="AP229" s="304">
        <f>SUMIFS('PCO Log'!$E53:$SJ53,'PCO Log'!$E$9:$SJ$9,'Graph Data'!AP$187,'PCO Log'!$E$4:$SJ$4,"&lt;&gt;Bid Package",'PCO Log'!$E$7:$SJ$7,"Approved")</f>
        <v>0</v>
      </c>
      <c r="AQ229" s="304">
        <f>SUMIFS('PCO Log'!$E53:$SJ53,'PCO Log'!$E$9:$SJ$9,'Graph Data'!AQ$187,'PCO Log'!$E$4:$SJ$4,"&lt;&gt;Bid Package",'PCO Log'!$E$7:$SJ$7,"Approved")</f>
        <v>0</v>
      </c>
      <c r="AR229" s="304">
        <f>SUMIFS('PCO Log'!$E53:$SJ53,'PCO Log'!$E$9:$SJ$9,'Graph Data'!AR$187,'PCO Log'!$E$4:$SJ$4,"&lt;&gt;Bid Package",'PCO Log'!$E$7:$SJ$7,"Approved")</f>
        <v>0</v>
      </c>
      <c r="AS229" s="304">
        <f>SUMIFS('PCO Log'!$E53:$SJ53,'PCO Log'!$E$9:$SJ$9,'Graph Data'!AS$187,'PCO Log'!$E$4:$SJ$4,"&lt;&gt;Bid Package",'PCO Log'!$E$7:$SJ$7,"Approved")</f>
        <v>0</v>
      </c>
      <c r="AT229" s="304">
        <f>SUMIFS('PCO Log'!$E53:$SJ53,'PCO Log'!$E$9:$SJ$9,'Graph Data'!AT$187,'PCO Log'!$E$4:$SJ$4,"&lt;&gt;Bid Package",'PCO Log'!$E$7:$SJ$7,"Approved")</f>
        <v>0</v>
      </c>
      <c r="AU229" s="304">
        <f>SUMIFS('PCO Log'!$E53:$SJ53,'PCO Log'!$E$9:$SJ$9,'Graph Data'!AU$187,'PCO Log'!$E$4:$SJ$4,"&lt;&gt;Bid Package",'PCO Log'!$E$7:$SJ$7,"Approved")</f>
        <v>0</v>
      </c>
      <c r="AV229" s="304">
        <f>SUMIFS('PCO Log'!$E53:$SJ53,'PCO Log'!$E$9:$SJ$9,'Graph Data'!AV$187,'PCO Log'!$E$4:$SJ$4,"&lt;&gt;Bid Package",'PCO Log'!$E$7:$SJ$7,"Approved")</f>
        <v>0</v>
      </c>
      <c r="AW229" s="304">
        <f>SUMIFS('PCO Log'!$E53:$SJ53,'PCO Log'!$E$9:$SJ$9,'Graph Data'!AW$187,'PCO Log'!$E$4:$SJ$4,"&lt;&gt;Bid Package",'PCO Log'!$E$7:$SJ$7,"Approved")</f>
        <v>0</v>
      </c>
      <c r="AX229" s="304">
        <f>SUMIFS('PCO Log'!$E53:$SJ53,'PCO Log'!$E$9:$SJ$9,'Graph Data'!AX$187,'PCO Log'!$E$4:$SJ$4,"&lt;&gt;Bid Package",'PCO Log'!$E$7:$SJ$7,"Approved")</f>
        <v>0</v>
      </c>
      <c r="AY229" s="304">
        <f>SUMIFS('PCO Log'!$E53:$SJ53,'PCO Log'!$E$9:$SJ$9,'Graph Data'!AY$187,'PCO Log'!$E$4:$SJ$4,"&lt;&gt;Bid Package",'PCO Log'!$E$7:$SJ$7,"Approved")</f>
        <v>0</v>
      </c>
      <c r="AZ229" s="304">
        <f>SUMIFS('PCO Log'!$E53:$SJ53,'PCO Log'!$E$9:$SJ$9,'Graph Data'!AZ$187,'PCO Log'!$E$4:$SJ$4,"&lt;&gt;Bid Package",'PCO Log'!$E$7:$SJ$7,"Approved")</f>
        <v>0</v>
      </c>
      <c r="BA229" s="304">
        <f>SUMIFS('PCO Log'!$E53:$SJ53,'PCO Log'!$E$9:$SJ$9,'Graph Data'!BA$187,'PCO Log'!$E$4:$SJ$4,"&lt;&gt;Bid Package",'PCO Log'!$E$7:$SJ$7,"Approved")</f>
        <v>0</v>
      </c>
      <c r="BB229" s="304">
        <f>SUMIFS('PCO Log'!$E53:$SJ53,'PCO Log'!$E$9:$SJ$9,'Graph Data'!BB$187,'PCO Log'!$E$4:$SJ$4,"&lt;&gt;Bid Package",'PCO Log'!$E$7:$SJ$7,"Approved")</f>
        <v>0</v>
      </c>
      <c r="BC229" s="304">
        <f>SUMIFS('PCO Log'!$E53:$SJ53,'PCO Log'!$E$9:$SJ$9,'Graph Data'!BC$187,'PCO Log'!$E$4:$SJ$4,"&lt;&gt;Bid Package",'PCO Log'!$E$7:$SJ$7,"Approved")</f>
        <v>0</v>
      </c>
      <c r="BD229" s="304">
        <f>SUMIFS('PCO Log'!$E53:$SJ53,'PCO Log'!$E$9:$SJ$9,'Graph Data'!BD$187,'PCO Log'!$E$4:$SJ$4,"&lt;&gt;Bid Package",'PCO Log'!$E$7:$SJ$7,"Approved")</f>
        <v>0</v>
      </c>
      <c r="BE229" s="304">
        <f>SUMIFS('PCO Log'!$E53:$SJ53,'PCO Log'!$E$9:$SJ$9,'Graph Data'!BE$187,'PCO Log'!$E$4:$SJ$4,"&lt;&gt;Bid Package",'PCO Log'!$E$7:$SJ$7,"Approved")</f>
        <v>0</v>
      </c>
      <c r="BF229" s="304">
        <f>SUMIFS('PCO Log'!$E53:$SJ53,'PCO Log'!$E$9:$SJ$9,'Graph Data'!BF$187,'PCO Log'!$E$4:$SJ$4,"&lt;&gt;Bid Package",'PCO Log'!$E$7:$SJ$7,"Approved")</f>
        <v>0</v>
      </c>
      <c r="BG229" s="304">
        <f>SUMIFS('PCO Log'!$E53:$SJ53,'PCO Log'!$E$9:$SJ$9,'Graph Data'!BG$187,'PCO Log'!$E$4:$SJ$4,"&lt;&gt;Bid Package",'PCO Log'!$E$7:$SJ$7,"Approved")</f>
        <v>0</v>
      </c>
      <c r="BH229" s="304">
        <f>SUMIFS('PCO Log'!$E53:$SJ53,'PCO Log'!$E$9:$SJ$9,'Graph Data'!BH$187,'PCO Log'!$E$4:$SJ$4,"&lt;&gt;Bid Package",'PCO Log'!$E$7:$SJ$7,"Approved")</f>
        <v>0</v>
      </c>
      <c r="BI229" s="304">
        <f>SUMIFS('PCO Log'!$E53:$SJ53,'PCO Log'!$E$9:$SJ$9,'Graph Data'!BI$187,'PCO Log'!$E$4:$SJ$4,"&lt;&gt;Bid Package",'PCO Log'!$E$7:$SJ$7,"Approved")</f>
        <v>0</v>
      </c>
      <c r="BJ229" s="304">
        <f>SUMIFS('PCO Log'!$E53:$SJ53,'PCO Log'!$E$9:$SJ$9,'Graph Data'!BJ$187,'PCO Log'!$E$4:$SJ$4,"&lt;&gt;Bid Package",'PCO Log'!$E$7:$SJ$7,"Approved")</f>
        <v>0</v>
      </c>
      <c r="BK229" s="304">
        <f>SUMIFS('PCO Log'!$E53:$SJ53,'PCO Log'!$E$9:$SJ$9,'Graph Data'!BK$187,'PCO Log'!$E$4:$SJ$4,"&lt;&gt;Bid Package",'PCO Log'!$E$7:$SJ$7,"Approved")</f>
        <v>0</v>
      </c>
      <c r="BL229" s="304">
        <f>SUMIFS('PCO Log'!$E53:$SJ53,'PCO Log'!$E$9:$SJ$9,'Graph Data'!BL$187,'PCO Log'!$E$4:$SJ$4,"&lt;&gt;Bid Package",'PCO Log'!$E$7:$SJ$7,"Approved")</f>
        <v>0</v>
      </c>
      <c r="BM229" s="304">
        <f>SUMIFS('PCO Log'!$E53:$SJ53,'PCO Log'!$E$9:$SJ$9,'Graph Data'!BM$187,'PCO Log'!$E$4:$SJ$4,"&lt;&gt;Bid Package",'PCO Log'!$E$7:$SJ$7,"Approved")</f>
        <v>0</v>
      </c>
      <c r="BN229" s="304">
        <f>SUMIFS('PCO Log'!$E53:$SJ53,'PCO Log'!$E$9:$SJ$9,'Graph Data'!BN$187,'PCO Log'!$E$4:$SJ$4,"&lt;&gt;Bid Package",'PCO Log'!$E$7:$SJ$7,"Approved")</f>
        <v>0</v>
      </c>
      <c r="BO229" s="304">
        <f>SUMIFS('PCO Log'!$E53:$SJ53,'PCO Log'!$E$9:$SJ$9,'Graph Data'!BO$187,'PCO Log'!$E$4:$SJ$4,"&lt;&gt;Bid Package",'PCO Log'!$E$7:$SJ$7,"Approved")</f>
        <v>0</v>
      </c>
      <c r="BP229" s="304">
        <f>SUMIFS('PCO Log'!$E53:$SJ53,'PCO Log'!$E$9:$SJ$9,'Graph Data'!BP$187,'PCO Log'!$E$4:$SJ$4,"&lt;&gt;Bid Package",'PCO Log'!$E$7:$SJ$7,"Approved")</f>
        <v>0</v>
      </c>
      <c r="BQ229" s="304">
        <f>SUMIFS('PCO Log'!$E53:$SJ53,'PCO Log'!$E$9:$SJ$9,'Graph Data'!BQ$187,'PCO Log'!$E$4:$SJ$4,"&lt;&gt;Bid Package",'PCO Log'!$E$7:$SJ$7,"Approved")</f>
        <v>0</v>
      </c>
      <c r="BR229" s="304">
        <f>SUMIFS('PCO Log'!$E53:$SJ53,'PCO Log'!$E$9:$SJ$9,'Graph Data'!BR$187,'PCO Log'!$E$4:$SJ$4,"&lt;&gt;Bid Package",'PCO Log'!$E$7:$SJ$7,"Approved")</f>
        <v>0</v>
      </c>
      <c r="BS229" s="304">
        <f>SUMIFS('PCO Log'!$E53:$SJ53,'PCO Log'!$E$9:$SJ$9,'Graph Data'!BS$187,'PCO Log'!$E$4:$SJ$4,"&lt;&gt;Bid Package",'PCO Log'!$E$7:$SJ$7,"Approved")</f>
        <v>0</v>
      </c>
      <c r="BT229" s="304">
        <f>SUMIFS('PCO Log'!$E53:$SJ53,'PCO Log'!$E$9:$SJ$9,'Graph Data'!BT$187,'PCO Log'!$E$4:$SJ$4,"&lt;&gt;Bid Package",'PCO Log'!$E$7:$SJ$7,"Approved")</f>
        <v>0</v>
      </c>
      <c r="BU229" s="304">
        <f>SUMIFS('PCO Log'!$E53:$SJ53,'PCO Log'!$E$9:$SJ$9,'Graph Data'!BU$187,'PCO Log'!$E$4:$SJ$4,"&lt;&gt;Bid Package",'PCO Log'!$E$7:$SJ$7,"Approved")</f>
        <v>0</v>
      </c>
      <c r="BV229" s="304">
        <f>SUMIFS('PCO Log'!$E53:$SJ53,'PCO Log'!$E$9:$SJ$9,'Graph Data'!BV$187,'PCO Log'!$E$4:$SJ$4,"&lt;&gt;Bid Package",'PCO Log'!$E$7:$SJ$7,"Approved")</f>
        <v>0</v>
      </c>
      <c r="BW229" s="304">
        <f>SUMIFS('PCO Log'!$E53:$SJ53,'PCO Log'!$E$9:$SJ$9,'Graph Data'!BW$187,'PCO Log'!$E$4:$SJ$4,"&lt;&gt;Bid Package",'PCO Log'!$E$7:$SJ$7,"Approved")</f>
        <v>0</v>
      </c>
      <c r="BX229" s="304">
        <f>SUMIFS('PCO Log'!$E53:$SJ53,'PCO Log'!$E$9:$SJ$9,'Graph Data'!BX$187,'PCO Log'!$E$4:$SJ$4,"&lt;&gt;Bid Package",'PCO Log'!$E$7:$SJ$7,"Approved")</f>
        <v>0</v>
      </c>
    </row>
    <row r="230" spans="1:76" x14ac:dyDescent="0.25">
      <c r="A230" s="303" t="s">
        <v>580</v>
      </c>
      <c r="B230" s="303">
        <f>'PCO Log'!HY7</f>
        <v>0</v>
      </c>
      <c r="C230" s="303">
        <f>'PCO Log'!HY4</f>
        <v>0</v>
      </c>
      <c r="D230" s="303" cm="1">
        <f t="array" ref="D230">INDEX('PCO Log'!$E$5:$SJ$5, 1, ROWS('Graph Data'!$D$2:D230))</f>
        <v>0</v>
      </c>
      <c r="E230" s="303">
        <f>'PCO Log'!HY8</f>
        <v>0</v>
      </c>
      <c r="F230" s="303">
        <f>'PCO Log'!HY3</f>
        <v>0</v>
      </c>
      <c r="G230" s="304">
        <f>'PCO Log'!HY10</f>
        <v>0</v>
      </c>
      <c r="H230" s="305">
        <f>'PCO Log'!HY6</f>
        <v>0</v>
      </c>
      <c r="K230" s="307"/>
      <c r="P230" s="303" t="str">
        <f t="shared" si="3"/>
        <v>Louvers &amp; Vents</v>
      </c>
      <c r="Q230" s="304">
        <f>SUMIFS('PCO Log'!$E54:$SJ54,'PCO Log'!$E$9:$SJ$9,'Graph Data'!Q$187,'PCO Log'!$E$4:$SJ$4,"&lt;&gt;Bid Package",'PCO Log'!$E$7:$SJ$7,"Approved")</f>
        <v>0</v>
      </c>
      <c r="R230" s="304">
        <f>SUMIFS('PCO Log'!$E54:$SJ54,'PCO Log'!$E$9:$SJ$9,'Graph Data'!R$187,'PCO Log'!$E$4:$SJ$4,"&lt;&gt;Bid Package",'PCO Log'!$E$7:$SJ$7,"Approved")</f>
        <v>0</v>
      </c>
      <c r="S230" s="304">
        <f>SUMIFS('PCO Log'!$E54:$SJ54,'PCO Log'!$E$9:$SJ$9,'Graph Data'!S$187,'PCO Log'!$E$4:$SJ$4,"&lt;&gt;Bid Package",'PCO Log'!$E$7:$SJ$7,"Approved")</f>
        <v>0</v>
      </c>
      <c r="T230" s="304">
        <f>SUMIFS('PCO Log'!$E54:$SJ54,'PCO Log'!$E$9:$SJ$9,'Graph Data'!T$187,'PCO Log'!$E$4:$SJ$4,"&lt;&gt;Bid Package",'PCO Log'!$E$7:$SJ$7,"Approved")</f>
        <v>0</v>
      </c>
      <c r="U230" s="304">
        <f>SUMIFS('PCO Log'!$E54:$SJ54,'PCO Log'!$E$9:$SJ$9,'Graph Data'!U$187,'PCO Log'!$E$4:$SJ$4,"&lt;&gt;Bid Package",'PCO Log'!$E$7:$SJ$7,"Approved")</f>
        <v>0</v>
      </c>
      <c r="V230" s="304">
        <f>SUMIFS('PCO Log'!$E54:$SJ54,'PCO Log'!$E$9:$SJ$9,'Graph Data'!V$187,'PCO Log'!$E$4:$SJ$4,"&lt;&gt;Bid Package",'PCO Log'!$E$7:$SJ$7,"Approved")</f>
        <v>0</v>
      </c>
      <c r="W230" s="304">
        <f>SUMIFS('PCO Log'!$E54:$SJ54,'PCO Log'!$E$9:$SJ$9,'Graph Data'!W$187,'PCO Log'!$E$4:$SJ$4,"&lt;&gt;Bid Package",'PCO Log'!$E$7:$SJ$7,"Approved")</f>
        <v>0</v>
      </c>
      <c r="X230" s="304">
        <f>SUMIFS('PCO Log'!$E54:$SJ54,'PCO Log'!$E$9:$SJ$9,'Graph Data'!X$187,'PCO Log'!$E$4:$SJ$4,"&lt;&gt;Bid Package",'PCO Log'!$E$7:$SJ$7,"Approved")</f>
        <v>0</v>
      </c>
      <c r="Y230" s="304">
        <f>SUMIFS('PCO Log'!$E54:$SJ54,'PCO Log'!$E$9:$SJ$9,'Graph Data'!Y$187,'PCO Log'!$E$4:$SJ$4,"&lt;&gt;Bid Package",'PCO Log'!$E$7:$SJ$7,"Approved")</f>
        <v>0</v>
      </c>
      <c r="Z230" s="304">
        <f>SUMIFS('PCO Log'!$E54:$SJ54,'PCO Log'!$E$9:$SJ$9,'Graph Data'!Z$187,'PCO Log'!$E$4:$SJ$4,"&lt;&gt;Bid Package",'PCO Log'!$E$7:$SJ$7,"Approved")</f>
        <v>0</v>
      </c>
      <c r="AA230" s="304">
        <f>SUMIFS('PCO Log'!$E54:$SJ54,'PCO Log'!$E$9:$SJ$9,'Graph Data'!AA$187,'PCO Log'!$E$4:$SJ$4,"&lt;&gt;Bid Package",'PCO Log'!$E$7:$SJ$7,"Approved")</f>
        <v>0</v>
      </c>
      <c r="AB230" s="304">
        <f>SUMIFS('PCO Log'!$E54:$SJ54,'PCO Log'!$E$9:$SJ$9,'Graph Data'!AB$187,'PCO Log'!$E$4:$SJ$4,"&lt;&gt;Bid Package",'PCO Log'!$E$7:$SJ$7,"Approved")</f>
        <v>0</v>
      </c>
      <c r="AC230" s="304">
        <f>SUMIFS('PCO Log'!$E54:$SJ54,'PCO Log'!$E$9:$SJ$9,'Graph Data'!AC$187,'PCO Log'!$E$4:$SJ$4,"&lt;&gt;Bid Package",'PCO Log'!$E$7:$SJ$7,"Approved")</f>
        <v>0</v>
      </c>
      <c r="AD230" s="304">
        <f>SUMIFS('PCO Log'!$E54:$SJ54,'PCO Log'!$E$9:$SJ$9,'Graph Data'!AD$187,'PCO Log'!$E$4:$SJ$4,"&lt;&gt;Bid Package",'PCO Log'!$E$7:$SJ$7,"Approved")</f>
        <v>0</v>
      </c>
      <c r="AE230" s="304">
        <f>SUMIFS('PCO Log'!$E54:$SJ54,'PCO Log'!$E$9:$SJ$9,'Graph Data'!AE$187,'PCO Log'!$E$4:$SJ$4,"&lt;&gt;Bid Package",'PCO Log'!$E$7:$SJ$7,"Approved")</f>
        <v>0</v>
      </c>
      <c r="AF230" s="304">
        <f>SUMIFS('PCO Log'!$E54:$SJ54,'PCO Log'!$E$9:$SJ$9,'Graph Data'!AF$187,'PCO Log'!$E$4:$SJ$4,"&lt;&gt;Bid Package",'PCO Log'!$E$7:$SJ$7,"Approved")</f>
        <v>0</v>
      </c>
      <c r="AG230" s="304">
        <f>SUMIFS('PCO Log'!$E54:$SJ54,'PCO Log'!$E$9:$SJ$9,'Graph Data'!AG$187,'PCO Log'!$E$4:$SJ$4,"&lt;&gt;Bid Package",'PCO Log'!$E$7:$SJ$7,"Approved")</f>
        <v>0</v>
      </c>
      <c r="AH230" s="304">
        <f>SUMIFS('PCO Log'!$E54:$SJ54,'PCO Log'!$E$9:$SJ$9,'Graph Data'!AH$187,'PCO Log'!$E$4:$SJ$4,"&lt;&gt;Bid Package",'PCO Log'!$E$7:$SJ$7,"Approved")</f>
        <v>0</v>
      </c>
      <c r="AI230" s="304">
        <f>SUMIFS('PCO Log'!$E54:$SJ54,'PCO Log'!$E$9:$SJ$9,'Graph Data'!AI$187,'PCO Log'!$E$4:$SJ$4,"&lt;&gt;Bid Package",'PCO Log'!$E$7:$SJ$7,"Approved")</f>
        <v>0</v>
      </c>
      <c r="AJ230" s="304">
        <f>SUMIFS('PCO Log'!$E54:$SJ54,'PCO Log'!$E$9:$SJ$9,'Graph Data'!AJ$187,'PCO Log'!$E$4:$SJ$4,"&lt;&gt;Bid Package",'PCO Log'!$E$7:$SJ$7,"Approved")</f>
        <v>0</v>
      </c>
      <c r="AK230" s="304">
        <f>SUMIFS('PCO Log'!$E54:$SJ54,'PCO Log'!$E$9:$SJ$9,'Graph Data'!AK$187,'PCO Log'!$E$4:$SJ$4,"&lt;&gt;Bid Package",'PCO Log'!$E$7:$SJ$7,"Approved")</f>
        <v>0</v>
      </c>
      <c r="AL230" s="304">
        <f>SUMIFS('PCO Log'!$E54:$SJ54,'PCO Log'!$E$9:$SJ$9,'Graph Data'!AL$187,'PCO Log'!$E$4:$SJ$4,"&lt;&gt;Bid Package",'PCO Log'!$E$7:$SJ$7,"Approved")</f>
        <v>0</v>
      </c>
      <c r="AM230" s="304">
        <f>SUMIFS('PCO Log'!$E54:$SJ54,'PCO Log'!$E$9:$SJ$9,'Graph Data'!AM$187,'PCO Log'!$E$4:$SJ$4,"&lt;&gt;Bid Package",'PCO Log'!$E$7:$SJ$7,"Approved")</f>
        <v>0</v>
      </c>
      <c r="AN230" s="304">
        <f>SUMIFS('PCO Log'!$E54:$SJ54,'PCO Log'!$E$9:$SJ$9,'Graph Data'!AN$187,'PCO Log'!$E$4:$SJ$4,"&lt;&gt;Bid Package",'PCO Log'!$E$7:$SJ$7,"Approved")</f>
        <v>0</v>
      </c>
      <c r="AO230" s="304">
        <f>SUMIFS('PCO Log'!$E54:$SJ54,'PCO Log'!$E$9:$SJ$9,'Graph Data'!AO$187,'PCO Log'!$E$4:$SJ$4,"&lt;&gt;Bid Package",'PCO Log'!$E$7:$SJ$7,"Approved")</f>
        <v>0</v>
      </c>
      <c r="AP230" s="304">
        <f>SUMIFS('PCO Log'!$E54:$SJ54,'PCO Log'!$E$9:$SJ$9,'Graph Data'!AP$187,'PCO Log'!$E$4:$SJ$4,"&lt;&gt;Bid Package",'PCO Log'!$E$7:$SJ$7,"Approved")</f>
        <v>0</v>
      </c>
      <c r="AQ230" s="304">
        <f>SUMIFS('PCO Log'!$E54:$SJ54,'PCO Log'!$E$9:$SJ$9,'Graph Data'!AQ$187,'PCO Log'!$E$4:$SJ$4,"&lt;&gt;Bid Package",'PCO Log'!$E$7:$SJ$7,"Approved")</f>
        <v>0</v>
      </c>
      <c r="AR230" s="304">
        <f>SUMIFS('PCO Log'!$E54:$SJ54,'PCO Log'!$E$9:$SJ$9,'Graph Data'!AR$187,'PCO Log'!$E$4:$SJ$4,"&lt;&gt;Bid Package",'PCO Log'!$E$7:$SJ$7,"Approved")</f>
        <v>0</v>
      </c>
      <c r="AS230" s="304">
        <f>SUMIFS('PCO Log'!$E54:$SJ54,'PCO Log'!$E$9:$SJ$9,'Graph Data'!AS$187,'PCO Log'!$E$4:$SJ$4,"&lt;&gt;Bid Package",'PCO Log'!$E$7:$SJ$7,"Approved")</f>
        <v>0</v>
      </c>
      <c r="AT230" s="304">
        <f>SUMIFS('PCO Log'!$E54:$SJ54,'PCO Log'!$E$9:$SJ$9,'Graph Data'!AT$187,'PCO Log'!$E$4:$SJ$4,"&lt;&gt;Bid Package",'PCO Log'!$E$7:$SJ$7,"Approved")</f>
        <v>0</v>
      </c>
      <c r="AU230" s="304">
        <f>SUMIFS('PCO Log'!$E54:$SJ54,'PCO Log'!$E$9:$SJ$9,'Graph Data'!AU$187,'PCO Log'!$E$4:$SJ$4,"&lt;&gt;Bid Package",'PCO Log'!$E$7:$SJ$7,"Approved")</f>
        <v>0</v>
      </c>
      <c r="AV230" s="304">
        <f>SUMIFS('PCO Log'!$E54:$SJ54,'PCO Log'!$E$9:$SJ$9,'Graph Data'!AV$187,'PCO Log'!$E$4:$SJ$4,"&lt;&gt;Bid Package",'PCO Log'!$E$7:$SJ$7,"Approved")</f>
        <v>0</v>
      </c>
      <c r="AW230" s="304">
        <f>SUMIFS('PCO Log'!$E54:$SJ54,'PCO Log'!$E$9:$SJ$9,'Graph Data'!AW$187,'PCO Log'!$E$4:$SJ$4,"&lt;&gt;Bid Package",'PCO Log'!$E$7:$SJ$7,"Approved")</f>
        <v>0</v>
      </c>
      <c r="AX230" s="304">
        <f>SUMIFS('PCO Log'!$E54:$SJ54,'PCO Log'!$E$9:$SJ$9,'Graph Data'!AX$187,'PCO Log'!$E$4:$SJ$4,"&lt;&gt;Bid Package",'PCO Log'!$E$7:$SJ$7,"Approved")</f>
        <v>0</v>
      </c>
      <c r="AY230" s="304">
        <f>SUMIFS('PCO Log'!$E54:$SJ54,'PCO Log'!$E$9:$SJ$9,'Graph Data'!AY$187,'PCO Log'!$E$4:$SJ$4,"&lt;&gt;Bid Package",'PCO Log'!$E$7:$SJ$7,"Approved")</f>
        <v>0</v>
      </c>
      <c r="AZ230" s="304">
        <f>SUMIFS('PCO Log'!$E54:$SJ54,'PCO Log'!$E$9:$SJ$9,'Graph Data'!AZ$187,'PCO Log'!$E$4:$SJ$4,"&lt;&gt;Bid Package",'PCO Log'!$E$7:$SJ$7,"Approved")</f>
        <v>0</v>
      </c>
      <c r="BA230" s="304">
        <f>SUMIFS('PCO Log'!$E54:$SJ54,'PCO Log'!$E$9:$SJ$9,'Graph Data'!BA$187,'PCO Log'!$E$4:$SJ$4,"&lt;&gt;Bid Package",'PCO Log'!$E$7:$SJ$7,"Approved")</f>
        <v>0</v>
      </c>
      <c r="BB230" s="304">
        <f>SUMIFS('PCO Log'!$E54:$SJ54,'PCO Log'!$E$9:$SJ$9,'Graph Data'!BB$187,'PCO Log'!$E$4:$SJ$4,"&lt;&gt;Bid Package",'PCO Log'!$E$7:$SJ$7,"Approved")</f>
        <v>0</v>
      </c>
      <c r="BC230" s="304">
        <f>SUMIFS('PCO Log'!$E54:$SJ54,'PCO Log'!$E$9:$SJ$9,'Graph Data'!BC$187,'PCO Log'!$E$4:$SJ$4,"&lt;&gt;Bid Package",'PCO Log'!$E$7:$SJ$7,"Approved")</f>
        <v>0</v>
      </c>
      <c r="BD230" s="304">
        <f>SUMIFS('PCO Log'!$E54:$SJ54,'PCO Log'!$E$9:$SJ$9,'Graph Data'!BD$187,'PCO Log'!$E$4:$SJ$4,"&lt;&gt;Bid Package",'PCO Log'!$E$7:$SJ$7,"Approved")</f>
        <v>0</v>
      </c>
      <c r="BE230" s="304">
        <f>SUMIFS('PCO Log'!$E54:$SJ54,'PCO Log'!$E$9:$SJ$9,'Graph Data'!BE$187,'PCO Log'!$E$4:$SJ$4,"&lt;&gt;Bid Package",'PCO Log'!$E$7:$SJ$7,"Approved")</f>
        <v>0</v>
      </c>
      <c r="BF230" s="304">
        <f>SUMIFS('PCO Log'!$E54:$SJ54,'PCO Log'!$E$9:$SJ$9,'Graph Data'!BF$187,'PCO Log'!$E$4:$SJ$4,"&lt;&gt;Bid Package",'PCO Log'!$E$7:$SJ$7,"Approved")</f>
        <v>0</v>
      </c>
      <c r="BG230" s="304">
        <f>SUMIFS('PCO Log'!$E54:$SJ54,'PCO Log'!$E$9:$SJ$9,'Graph Data'!BG$187,'PCO Log'!$E$4:$SJ$4,"&lt;&gt;Bid Package",'PCO Log'!$E$7:$SJ$7,"Approved")</f>
        <v>0</v>
      </c>
      <c r="BH230" s="304">
        <f>SUMIFS('PCO Log'!$E54:$SJ54,'PCO Log'!$E$9:$SJ$9,'Graph Data'!BH$187,'PCO Log'!$E$4:$SJ$4,"&lt;&gt;Bid Package",'PCO Log'!$E$7:$SJ$7,"Approved")</f>
        <v>0</v>
      </c>
      <c r="BI230" s="304">
        <f>SUMIFS('PCO Log'!$E54:$SJ54,'PCO Log'!$E$9:$SJ$9,'Graph Data'!BI$187,'PCO Log'!$E$4:$SJ$4,"&lt;&gt;Bid Package",'PCO Log'!$E$7:$SJ$7,"Approved")</f>
        <v>0</v>
      </c>
      <c r="BJ230" s="304">
        <f>SUMIFS('PCO Log'!$E54:$SJ54,'PCO Log'!$E$9:$SJ$9,'Graph Data'!BJ$187,'PCO Log'!$E$4:$SJ$4,"&lt;&gt;Bid Package",'PCO Log'!$E$7:$SJ$7,"Approved")</f>
        <v>0</v>
      </c>
      <c r="BK230" s="304">
        <f>SUMIFS('PCO Log'!$E54:$SJ54,'PCO Log'!$E$9:$SJ$9,'Graph Data'!BK$187,'PCO Log'!$E$4:$SJ$4,"&lt;&gt;Bid Package",'PCO Log'!$E$7:$SJ$7,"Approved")</f>
        <v>0</v>
      </c>
      <c r="BL230" s="304">
        <f>SUMIFS('PCO Log'!$E54:$SJ54,'PCO Log'!$E$9:$SJ$9,'Graph Data'!BL$187,'PCO Log'!$E$4:$SJ$4,"&lt;&gt;Bid Package",'PCO Log'!$E$7:$SJ$7,"Approved")</f>
        <v>0</v>
      </c>
      <c r="BM230" s="304">
        <f>SUMIFS('PCO Log'!$E54:$SJ54,'PCO Log'!$E$9:$SJ$9,'Graph Data'!BM$187,'PCO Log'!$E$4:$SJ$4,"&lt;&gt;Bid Package",'PCO Log'!$E$7:$SJ$7,"Approved")</f>
        <v>0</v>
      </c>
      <c r="BN230" s="304">
        <f>SUMIFS('PCO Log'!$E54:$SJ54,'PCO Log'!$E$9:$SJ$9,'Graph Data'!BN$187,'PCO Log'!$E$4:$SJ$4,"&lt;&gt;Bid Package",'PCO Log'!$E$7:$SJ$7,"Approved")</f>
        <v>0</v>
      </c>
      <c r="BO230" s="304">
        <f>SUMIFS('PCO Log'!$E54:$SJ54,'PCO Log'!$E$9:$SJ$9,'Graph Data'!BO$187,'PCO Log'!$E$4:$SJ$4,"&lt;&gt;Bid Package",'PCO Log'!$E$7:$SJ$7,"Approved")</f>
        <v>0</v>
      </c>
      <c r="BP230" s="304">
        <f>SUMIFS('PCO Log'!$E54:$SJ54,'PCO Log'!$E$9:$SJ$9,'Graph Data'!BP$187,'PCO Log'!$E$4:$SJ$4,"&lt;&gt;Bid Package",'PCO Log'!$E$7:$SJ$7,"Approved")</f>
        <v>0</v>
      </c>
      <c r="BQ230" s="304">
        <f>SUMIFS('PCO Log'!$E54:$SJ54,'PCO Log'!$E$9:$SJ$9,'Graph Data'!BQ$187,'PCO Log'!$E$4:$SJ$4,"&lt;&gt;Bid Package",'PCO Log'!$E$7:$SJ$7,"Approved")</f>
        <v>0</v>
      </c>
      <c r="BR230" s="304">
        <f>SUMIFS('PCO Log'!$E54:$SJ54,'PCO Log'!$E$9:$SJ$9,'Graph Data'!BR$187,'PCO Log'!$E$4:$SJ$4,"&lt;&gt;Bid Package",'PCO Log'!$E$7:$SJ$7,"Approved")</f>
        <v>0</v>
      </c>
      <c r="BS230" s="304">
        <f>SUMIFS('PCO Log'!$E54:$SJ54,'PCO Log'!$E$9:$SJ$9,'Graph Data'!BS$187,'PCO Log'!$E$4:$SJ$4,"&lt;&gt;Bid Package",'PCO Log'!$E$7:$SJ$7,"Approved")</f>
        <v>0</v>
      </c>
      <c r="BT230" s="304">
        <f>SUMIFS('PCO Log'!$E54:$SJ54,'PCO Log'!$E$9:$SJ$9,'Graph Data'!BT$187,'PCO Log'!$E$4:$SJ$4,"&lt;&gt;Bid Package",'PCO Log'!$E$7:$SJ$7,"Approved")</f>
        <v>0</v>
      </c>
      <c r="BU230" s="304">
        <f>SUMIFS('PCO Log'!$E54:$SJ54,'PCO Log'!$E$9:$SJ$9,'Graph Data'!BU$187,'PCO Log'!$E$4:$SJ$4,"&lt;&gt;Bid Package",'PCO Log'!$E$7:$SJ$7,"Approved")</f>
        <v>0</v>
      </c>
      <c r="BV230" s="304">
        <f>SUMIFS('PCO Log'!$E54:$SJ54,'PCO Log'!$E$9:$SJ$9,'Graph Data'!BV$187,'PCO Log'!$E$4:$SJ$4,"&lt;&gt;Bid Package",'PCO Log'!$E$7:$SJ$7,"Approved")</f>
        <v>0</v>
      </c>
      <c r="BW230" s="304">
        <f>SUMIFS('PCO Log'!$E54:$SJ54,'PCO Log'!$E$9:$SJ$9,'Graph Data'!BW$187,'PCO Log'!$E$4:$SJ$4,"&lt;&gt;Bid Package",'PCO Log'!$E$7:$SJ$7,"Approved")</f>
        <v>0</v>
      </c>
      <c r="BX230" s="304">
        <f>SUMIFS('PCO Log'!$E54:$SJ54,'PCO Log'!$E$9:$SJ$9,'Graph Data'!BX$187,'PCO Log'!$E$4:$SJ$4,"&lt;&gt;Bid Package",'PCO Log'!$E$7:$SJ$7,"Approved")</f>
        <v>0</v>
      </c>
    </row>
    <row r="231" spans="1:76" x14ac:dyDescent="0.25">
      <c r="A231" s="303" t="s">
        <v>581</v>
      </c>
      <c r="B231" s="303">
        <f>'PCO Log'!HZ7</f>
        <v>0</v>
      </c>
      <c r="C231" s="303">
        <f>'PCO Log'!HZ4</f>
        <v>0</v>
      </c>
      <c r="D231" s="303" cm="1">
        <f t="array" ref="D231">INDEX('PCO Log'!$E$5:$SJ$5, 1, ROWS('Graph Data'!$D$2:D231))</f>
        <v>0</v>
      </c>
      <c r="E231" s="303">
        <f>'PCO Log'!HZ8</f>
        <v>0</v>
      </c>
      <c r="F231" s="303">
        <f>'PCO Log'!HZ3</f>
        <v>0</v>
      </c>
      <c r="G231" s="304">
        <f>'PCO Log'!HZ10</f>
        <v>0</v>
      </c>
      <c r="H231" s="305">
        <f>'PCO Log'!HZ6</f>
        <v>0</v>
      </c>
      <c r="K231" s="307"/>
      <c r="P231" s="303" t="str">
        <f t="shared" ref="P231:P274" si="4">P45</f>
        <v>Gypsum Board Systems</v>
      </c>
      <c r="Q231" s="304">
        <f>SUMIFS('PCO Log'!$E55:$SJ55,'PCO Log'!$E$9:$SJ$9,'Graph Data'!Q$187,'PCO Log'!$E$4:$SJ$4,"&lt;&gt;Bid Package",'PCO Log'!$E$7:$SJ$7,"Approved")</f>
        <v>0</v>
      </c>
      <c r="R231" s="304">
        <f>SUMIFS('PCO Log'!$E55:$SJ55,'PCO Log'!$E$9:$SJ$9,'Graph Data'!R$187,'PCO Log'!$E$4:$SJ$4,"&lt;&gt;Bid Package",'PCO Log'!$E$7:$SJ$7,"Approved")</f>
        <v>0</v>
      </c>
      <c r="S231" s="304">
        <f>SUMIFS('PCO Log'!$E55:$SJ55,'PCO Log'!$E$9:$SJ$9,'Graph Data'!S$187,'PCO Log'!$E$4:$SJ$4,"&lt;&gt;Bid Package",'PCO Log'!$E$7:$SJ$7,"Approved")</f>
        <v>0</v>
      </c>
      <c r="T231" s="304">
        <f>SUMIFS('PCO Log'!$E55:$SJ55,'PCO Log'!$E$9:$SJ$9,'Graph Data'!T$187,'PCO Log'!$E$4:$SJ$4,"&lt;&gt;Bid Package",'PCO Log'!$E$7:$SJ$7,"Approved")</f>
        <v>0</v>
      </c>
      <c r="U231" s="304">
        <f>SUMIFS('PCO Log'!$E55:$SJ55,'PCO Log'!$E$9:$SJ$9,'Graph Data'!U$187,'PCO Log'!$E$4:$SJ$4,"&lt;&gt;Bid Package",'PCO Log'!$E$7:$SJ$7,"Approved")</f>
        <v>0</v>
      </c>
      <c r="V231" s="304">
        <f>SUMIFS('PCO Log'!$E55:$SJ55,'PCO Log'!$E$9:$SJ$9,'Graph Data'!V$187,'PCO Log'!$E$4:$SJ$4,"&lt;&gt;Bid Package",'PCO Log'!$E$7:$SJ$7,"Approved")</f>
        <v>0</v>
      </c>
      <c r="W231" s="304">
        <f>SUMIFS('PCO Log'!$E55:$SJ55,'PCO Log'!$E$9:$SJ$9,'Graph Data'!W$187,'PCO Log'!$E$4:$SJ$4,"&lt;&gt;Bid Package",'PCO Log'!$E$7:$SJ$7,"Approved")</f>
        <v>0</v>
      </c>
      <c r="X231" s="304">
        <f>SUMIFS('PCO Log'!$E55:$SJ55,'PCO Log'!$E$9:$SJ$9,'Graph Data'!X$187,'PCO Log'!$E$4:$SJ$4,"&lt;&gt;Bid Package",'PCO Log'!$E$7:$SJ$7,"Approved")</f>
        <v>0</v>
      </c>
      <c r="Y231" s="304">
        <f>SUMIFS('PCO Log'!$E55:$SJ55,'PCO Log'!$E$9:$SJ$9,'Graph Data'!Y$187,'PCO Log'!$E$4:$SJ$4,"&lt;&gt;Bid Package",'PCO Log'!$E$7:$SJ$7,"Approved")</f>
        <v>0</v>
      </c>
      <c r="Z231" s="304">
        <f>SUMIFS('PCO Log'!$E55:$SJ55,'PCO Log'!$E$9:$SJ$9,'Graph Data'!Z$187,'PCO Log'!$E$4:$SJ$4,"&lt;&gt;Bid Package",'PCO Log'!$E$7:$SJ$7,"Approved")</f>
        <v>0</v>
      </c>
      <c r="AA231" s="304">
        <f>SUMIFS('PCO Log'!$E55:$SJ55,'PCO Log'!$E$9:$SJ$9,'Graph Data'!AA$187,'PCO Log'!$E$4:$SJ$4,"&lt;&gt;Bid Package",'PCO Log'!$E$7:$SJ$7,"Approved")</f>
        <v>0</v>
      </c>
      <c r="AB231" s="304">
        <f>SUMIFS('PCO Log'!$E55:$SJ55,'PCO Log'!$E$9:$SJ$9,'Graph Data'!AB$187,'PCO Log'!$E$4:$SJ$4,"&lt;&gt;Bid Package",'PCO Log'!$E$7:$SJ$7,"Approved")</f>
        <v>0</v>
      </c>
      <c r="AC231" s="304">
        <f>SUMIFS('PCO Log'!$E55:$SJ55,'PCO Log'!$E$9:$SJ$9,'Graph Data'!AC$187,'PCO Log'!$E$4:$SJ$4,"&lt;&gt;Bid Package",'PCO Log'!$E$7:$SJ$7,"Approved")</f>
        <v>0</v>
      </c>
      <c r="AD231" s="304">
        <f>SUMIFS('PCO Log'!$E55:$SJ55,'PCO Log'!$E$9:$SJ$9,'Graph Data'!AD$187,'PCO Log'!$E$4:$SJ$4,"&lt;&gt;Bid Package",'PCO Log'!$E$7:$SJ$7,"Approved")</f>
        <v>0</v>
      </c>
      <c r="AE231" s="304">
        <f>SUMIFS('PCO Log'!$E55:$SJ55,'PCO Log'!$E$9:$SJ$9,'Graph Data'!AE$187,'PCO Log'!$E$4:$SJ$4,"&lt;&gt;Bid Package",'PCO Log'!$E$7:$SJ$7,"Approved")</f>
        <v>0</v>
      </c>
      <c r="AF231" s="304">
        <f>SUMIFS('PCO Log'!$E55:$SJ55,'PCO Log'!$E$9:$SJ$9,'Graph Data'!AF$187,'PCO Log'!$E$4:$SJ$4,"&lt;&gt;Bid Package",'PCO Log'!$E$7:$SJ$7,"Approved")</f>
        <v>0</v>
      </c>
      <c r="AG231" s="304">
        <f>SUMIFS('PCO Log'!$E55:$SJ55,'PCO Log'!$E$9:$SJ$9,'Graph Data'!AG$187,'PCO Log'!$E$4:$SJ$4,"&lt;&gt;Bid Package",'PCO Log'!$E$7:$SJ$7,"Approved")</f>
        <v>0</v>
      </c>
      <c r="AH231" s="304">
        <f>SUMIFS('PCO Log'!$E55:$SJ55,'PCO Log'!$E$9:$SJ$9,'Graph Data'!AH$187,'PCO Log'!$E$4:$SJ$4,"&lt;&gt;Bid Package",'PCO Log'!$E$7:$SJ$7,"Approved")</f>
        <v>0</v>
      </c>
      <c r="AI231" s="304">
        <f>SUMIFS('PCO Log'!$E55:$SJ55,'PCO Log'!$E$9:$SJ$9,'Graph Data'!AI$187,'PCO Log'!$E$4:$SJ$4,"&lt;&gt;Bid Package",'PCO Log'!$E$7:$SJ$7,"Approved")</f>
        <v>0</v>
      </c>
      <c r="AJ231" s="304">
        <f>SUMIFS('PCO Log'!$E55:$SJ55,'PCO Log'!$E$9:$SJ$9,'Graph Data'!AJ$187,'PCO Log'!$E$4:$SJ$4,"&lt;&gt;Bid Package",'PCO Log'!$E$7:$SJ$7,"Approved")</f>
        <v>0</v>
      </c>
      <c r="AK231" s="304">
        <f>SUMIFS('PCO Log'!$E55:$SJ55,'PCO Log'!$E$9:$SJ$9,'Graph Data'!AK$187,'PCO Log'!$E$4:$SJ$4,"&lt;&gt;Bid Package",'PCO Log'!$E$7:$SJ$7,"Approved")</f>
        <v>0</v>
      </c>
      <c r="AL231" s="304">
        <f>SUMIFS('PCO Log'!$E55:$SJ55,'PCO Log'!$E$9:$SJ$9,'Graph Data'!AL$187,'PCO Log'!$E$4:$SJ$4,"&lt;&gt;Bid Package",'PCO Log'!$E$7:$SJ$7,"Approved")</f>
        <v>0</v>
      </c>
      <c r="AM231" s="304">
        <f>SUMIFS('PCO Log'!$E55:$SJ55,'PCO Log'!$E$9:$SJ$9,'Graph Data'!AM$187,'PCO Log'!$E$4:$SJ$4,"&lt;&gt;Bid Package",'PCO Log'!$E$7:$SJ$7,"Approved")</f>
        <v>0</v>
      </c>
      <c r="AN231" s="304">
        <f>SUMIFS('PCO Log'!$E55:$SJ55,'PCO Log'!$E$9:$SJ$9,'Graph Data'!AN$187,'PCO Log'!$E$4:$SJ$4,"&lt;&gt;Bid Package",'PCO Log'!$E$7:$SJ$7,"Approved")</f>
        <v>0</v>
      </c>
      <c r="AO231" s="304">
        <f>SUMIFS('PCO Log'!$E55:$SJ55,'PCO Log'!$E$9:$SJ$9,'Graph Data'!AO$187,'PCO Log'!$E$4:$SJ$4,"&lt;&gt;Bid Package",'PCO Log'!$E$7:$SJ$7,"Approved")</f>
        <v>0</v>
      </c>
      <c r="AP231" s="304">
        <f>SUMIFS('PCO Log'!$E55:$SJ55,'PCO Log'!$E$9:$SJ$9,'Graph Data'!AP$187,'PCO Log'!$E$4:$SJ$4,"&lt;&gt;Bid Package",'PCO Log'!$E$7:$SJ$7,"Approved")</f>
        <v>0</v>
      </c>
      <c r="AQ231" s="304">
        <f>SUMIFS('PCO Log'!$E55:$SJ55,'PCO Log'!$E$9:$SJ$9,'Graph Data'!AQ$187,'PCO Log'!$E$4:$SJ$4,"&lt;&gt;Bid Package",'PCO Log'!$E$7:$SJ$7,"Approved")</f>
        <v>0</v>
      </c>
      <c r="AR231" s="304">
        <f>SUMIFS('PCO Log'!$E55:$SJ55,'PCO Log'!$E$9:$SJ$9,'Graph Data'!AR$187,'PCO Log'!$E$4:$SJ$4,"&lt;&gt;Bid Package",'PCO Log'!$E$7:$SJ$7,"Approved")</f>
        <v>0</v>
      </c>
      <c r="AS231" s="304">
        <f>SUMIFS('PCO Log'!$E55:$SJ55,'PCO Log'!$E$9:$SJ$9,'Graph Data'!AS$187,'PCO Log'!$E$4:$SJ$4,"&lt;&gt;Bid Package",'PCO Log'!$E$7:$SJ$7,"Approved")</f>
        <v>0</v>
      </c>
      <c r="AT231" s="304">
        <f>SUMIFS('PCO Log'!$E55:$SJ55,'PCO Log'!$E$9:$SJ$9,'Graph Data'!AT$187,'PCO Log'!$E$4:$SJ$4,"&lt;&gt;Bid Package",'PCO Log'!$E$7:$SJ$7,"Approved")</f>
        <v>0</v>
      </c>
      <c r="AU231" s="304">
        <f>SUMIFS('PCO Log'!$E55:$SJ55,'PCO Log'!$E$9:$SJ$9,'Graph Data'!AU$187,'PCO Log'!$E$4:$SJ$4,"&lt;&gt;Bid Package",'PCO Log'!$E$7:$SJ$7,"Approved")</f>
        <v>0</v>
      </c>
      <c r="AV231" s="304">
        <f>SUMIFS('PCO Log'!$E55:$SJ55,'PCO Log'!$E$9:$SJ$9,'Graph Data'!AV$187,'PCO Log'!$E$4:$SJ$4,"&lt;&gt;Bid Package",'PCO Log'!$E$7:$SJ$7,"Approved")</f>
        <v>0</v>
      </c>
      <c r="AW231" s="304">
        <f>SUMIFS('PCO Log'!$E55:$SJ55,'PCO Log'!$E$9:$SJ$9,'Graph Data'!AW$187,'PCO Log'!$E$4:$SJ$4,"&lt;&gt;Bid Package",'PCO Log'!$E$7:$SJ$7,"Approved")</f>
        <v>0</v>
      </c>
      <c r="AX231" s="304">
        <f>SUMIFS('PCO Log'!$E55:$SJ55,'PCO Log'!$E$9:$SJ$9,'Graph Data'!AX$187,'PCO Log'!$E$4:$SJ$4,"&lt;&gt;Bid Package",'PCO Log'!$E$7:$SJ$7,"Approved")</f>
        <v>0</v>
      </c>
      <c r="AY231" s="304">
        <f>SUMIFS('PCO Log'!$E55:$SJ55,'PCO Log'!$E$9:$SJ$9,'Graph Data'!AY$187,'PCO Log'!$E$4:$SJ$4,"&lt;&gt;Bid Package",'PCO Log'!$E$7:$SJ$7,"Approved")</f>
        <v>0</v>
      </c>
      <c r="AZ231" s="304">
        <f>SUMIFS('PCO Log'!$E55:$SJ55,'PCO Log'!$E$9:$SJ$9,'Graph Data'!AZ$187,'PCO Log'!$E$4:$SJ$4,"&lt;&gt;Bid Package",'PCO Log'!$E$7:$SJ$7,"Approved")</f>
        <v>0</v>
      </c>
      <c r="BA231" s="304">
        <f>SUMIFS('PCO Log'!$E55:$SJ55,'PCO Log'!$E$9:$SJ$9,'Graph Data'!BA$187,'PCO Log'!$E$4:$SJ$4,"&lt;&gt;Bid Package",'PCO Log'!$E$7:$SJ$7,"Approved")</f>
        <v>0</v>
      </c>
      <c r="BB231" s="304">
        <f>SUMIFS('PCO Log'!$E55:$SJ55,'PCO Log'!$E$9:$SJ$9,'Graph Data'!BB$187,'PCO Log'!$E$4:$SJ$4,"&lt;&gt;Bid Package",'PCO Log'!$E$7:$SJ$7,"Approved")</f>
        <v>0</v>
      </c>
      <c r="BC231" s="304">
        <f>SUMIFS('PCO Log'!$E55:$SJ55,'PCO Log'!$E$9:$SJ$9,'Graph Data'!BC$187,'PCO Log'!$E$4:$SJ$4,"&lt;&gt;Bid Package",'PCO Log'!$E$7:$SJ$7,"Approved")</f>
        <v>0</v>
      </c>
      <c r="BD231" s="304">
        <f>SUMIFS('PCO Log'!$E55:$SJ55,'PCO Log'!$E$9:$SJ$9,'Graph Data'!BD$187,'PCO Log'!$E$4:$SJ$4,"&lt;&gt;Bid Package",'PCO Log'!$E$7:$SJ$7,"Approved")</f>
        <v>0</v>
      </c>
      <c r="BE231" s="304">
        <f>SUMIFS('PCO Log'!$E55:$SJ55,'PCO Log'!$E$9:$SJ$9,'Graph Data'!BE$187,'PCO Log'!$E$4:$SJ$4,"&lt;&gt;Bid Package",'PCO Log'!$E$7:$SJ$7,"Approved")</f>
        <v>0</v>
      </c>
      <c r="BF231" s="304">
        <f>SUMIFS('PCO Log'!$E55:$SJ55,'PCO Log'!$E$9:$SJ$9,'Graph Data'!BF$187,'PCO Log'!$E$4:$SJ$4,"&lt;&gt;Bid Package",'PCO Log'!$E$7:$SJ$7,"Approved")</f>
        <v>0</v>
      </c>
      <c r="BG231" s="304">
        <f>SUMIFS('PCO Log'!$E55:$SJ55,'PCO Log'!$E$9:$SJ$9,'Graph Data'!BG$187,'PCO Log'!$E$4:$SJ$4,"&lt;&gt;Bid Package",'PCO Log'!$E$7:$SJ$7,"Approved")</f>
        <v>0</v>
      </c>
      <c r="BH231" s="304">
        <f>SUMIFS('PCO Log'!$E55:$SJ55,'PCO Log'!$E$9:$SJ$9,'Graph Data'!BH$187,'PCO Log'!$E$4:$SJ$4,"&lt;&gt;Bid Package",'PCO Log'!$E$7:$SJ$7,"Approved")</f>
        <v>0</v>
      </c>
      <c r="BI231" s="304">
        <f>SUMIFS('PCO Log'!$E55:$SJ55,'PCO Log'!$E$9:$SJ$9,'Graph Data'!BI$187,'PCO Log'!$E$4:$SJ$4,"&lt;&gt;Bid Package",'PCO Log'!$E$7:$SJ$7,"Approved")</f>
        <v>0</v>
      </c>
      <c r="BJ231" s="304">
        <f>SUMIFS('PCO Log'!$E55:$SJ55,'PCO Log'!$E$9:$SJ$9,'Graph Data'!BJ$187,'PCO Log'!$E$4:$SJ$4,"&lt;&gt;Bid Package",'PCO Log'!$E$7:$SJ$7,"Approved")</f>
        <v>0</v>
      </c>
      <c r="BK231" s="304">
        <f>SUMIFS('PCO Log'!$E55:$SJ55,'PCO Log'!$E$9:$SJ$9,'Graph Data'!BK$187,'PCO Log'!$E$4:$SJ$4,"&lt;&gt;Bid Package",'PCO Log'!$E$7:$SJ$7,"Approved")</f>
        <v>0</v>
      </c>
      <c r="BL231" s="304">
        <f>SUMIFS('PCO Log'!$E55:$SJ55,'PCO Log'!$E$9:$SJ$9,'Graph Data'!BL$187,'PCO Log'!$E$4:$SJ$4,"&lt;&gt;Bid Package",'PCO Log'!$E$7:$SJ$7,"Approved")</f>
        <v>0</v>
      </c>
      <c r="BM231" s="304">
        <f>SUMIFS('PCO Log'!$E55:$SJ55,'PCO Log'!$E$9:$SJ$9,'Graph Data'!BM$187,'PCO Log'!$E$4:$SJ$4,"&lt;&gt;Bid Package",'PCO Log'!$E$7:$SJ$7,"Approved")</f>
        <v>0</v>
      </c>
      <c r="BN231" s="304">
        <f>SUMIFS('PCO Log'!$E55:$SJ55,'PCO Log'!$E$9:$SJ$9,'Graph Data'!BN$187,'PCO Log'!$E$4:$SJ$4,"&lt;&gt;Bid Package",'PCO Log'!$E$7:$SJ$7,"Approved")</f>
        <v>0</v>
      </c>
      <c r="BO231" s="304">
        <f>SUMIFS('PCO Log'!$E55:$SJ55,'PCO Log'!$E$9:$SJ$9,'Graph Data'!BO$187,'PCO Log'!$E$4:$SJ$4,"&lt;&gt;Bid Package",'PCO Log'!$E$7:$SJ$7,"Approved")</f>
        <v>0</v>
      </c>
      <c r="BP231" s="304">
        <f>SUMIFS('PCO Log'!$E55:$SJ55,'PCO Log'!$E$9:$SJ$9,'Graph Data'!BP$187,'PCO Log'!$E$4:$SJ$4,"&lt;&gt;Bid Package",'PCO Log'!$E$7:$SJ$7,"Approved")</f>
        <v>0</v>
      </c>
      <c r="BQ231" s="304">
        <f>SUMIFS('PCO Log'!$E55:$SJ55,'PCO Log'!$E$9:$SJ$9,'Graph Data'!BQ$187,'PCO Log'!$E$4:$SJ$4,"&lt;&gt;Bid Package",'PCO Log'!$E$7:$SJ$7,"Approved")</f>
        <v>0</v>
      </c>
      <c r="BR231" s="304">
        <f>SUMIFS('PCO Log'!$E55:$SJ55,'PCO Log'!$E$9:$SJ$9,'Graph Data'!BR$187,'PCO Log'!$E$4:$SJ$4,"&lt;&gt;Bid Package",'PCO Log'!$E$7:$SJ$7,"Approved")</f>
        <v>0</v>
      </c>
      <c r="BS231" s="304">
        <f>SUMIFS('PCO Log'!$E55:$SJ55,'PCO Log'!$E$9:$SJ$9,'Graph Data'!BS$187,'PCO Log'!$E$4:$SJ$4,"&lt;&gt;Bid Package",'PCO Log'!$E$7:$SJ$7,"Approved")</f>
        <v>0</v>
      </c>
      <c r="BT231" s="304">
        <f>SUMIFS('PCO Log'!$E55:$SJ55,'PCO Log'!$E$9:$SJ$9,'Graph Data'!BT$187,'PCO Log'!$E$4:$SJ$4,"&lt;&gt;Bid Package",'PCO Log'!$E$7:$SJ$7,"Approved")</f>
        <v>0</v>
      </c>
      <c r="BU231" s="304">
        <f>SUMIFS('PCO Log'!$E55:$SJ55,'PCO Log'!$E$9:$SJ$9,'Graph Data'!BU$187,'PCO Log'!$E$4:$SJ$4,"&lt;&gt;Bid Package",'PCO Log'!$E$7:$SJ$7,"Approved")</f>
        <v>0</v>
      </c>
      <c r="BV231" s="304">
        <f>SUMIFS('PCO Log'!$E55:$SJ55,'PCO Log'!$E$9:$SJ$9,'Graph Data'!BV$187,'PCO Log'!$E$4:$SJ$4,"&lt;&gt;Bid Package",'PCO Log'!$E$7:$SJ$7,"Approved")</f>
        <v>0</v>
      </c>
      <c r="BW231" s="304">
        <f>SUMIFS('PCO Log'!$E55:$SJ55,'PCO Log'!$E$9:$SJ$9,'Graph Data'!BW$187,'PCO Log'!$E$4:$SJ$4,"&lt;&gt;Bid Package",'PCO Log'!$E$7:$SJ$7,"Approved")</f>
        <v>0</v>
      </c>
      <c r="BX231" s="304">
        <f>SUMIFS('PCO Log'!$E55:$SJ55,'PCO Log'!$E$9:$SJ$9,'Graph Data'!BX$187,'PCO Log'!$E$4:$SJ$4,"&lt;&gt;Bid Package",'PCO Log'!$E$7:$SJ$7,"Approved")</f>
        <v>0</v>
      </c>
    </row>
    <row r="232" spans="1:76" x14ac:dyDescent="0.25">
      <c r="A232" s="303" t="s">
        <v>582</v>
      </c>
      <c r="B232" s="303">
        <f>'PCO Log'!IA7</f>
        <v>0</v>
      </c>
      <c r="C232" s="303">
        <f>'PCO Log'!IA4</f>
        <v>0</v>
      </c>
      <c r="D232" s="303" cm="1">
        <f t="array" ref="D232">INDEX('PCO Log'!$E$5:$SJ$5, 1, ROWS('Graph Data'!$D$2:D232))</f>
        <v>0</v>
      </c>
      <c r="E232" s="303">
        <f>'PCO Log'!IA8</f>
        <v>0</v>
      </c>
      <c r="F232" s="303">
        <f>'PCO Log'!IA3</f>
        <v>0</v>
      </c>
      <c r="G232" s="304">
        <f>'PCO Log'!IA10</f>
        <v>0</v>
      </c>
      <c r="H232" s="305">
        <f>'PCO Log'!IA6</f>
        <v>0</v>
      </c>
      <c r="K232" s="307"/>
      <c r="P232" s="303" t="str">
        <f t="shared" si="4"/>
        <v>Ceramic Tile</v>
      </c>
      <c r="Q232" s="304">
        <f>SUMIFS('PCO Log'!$E56:$SJ56,'PCO Log'!$E$9:$SJ$9,'Graph Data'!Q$187,'PCO Log'!$E$4:$SJ$4,"&lt;&gt;Bid Package",'PCO Log'!$E$7:$SJ$7,"Approved")</f>
        <v>0</v>
      </c>
      <c r="R232" s="304">
        <f>SUMIFS('PCO Log'!$E56:$SJ56,'PCO Log'!$E$9:$SJ$9,'Graph Data'!R$187,'PCO Log'!$E$4:$SJ$4,"&lt;&gt;Bid Package",'PCO Log'!$E$7:$SJ$7,"Approved")</f>
        <v>0</v>
      </c>
      <c r="S232" s="304">
        <f>SUMIFS('PCO Log'!$E56:$SJ56,'PCO Log'!$E$9:$SJ$9,'Graph Data'!S$187,'PCO Log'!$E$4:$SJ$4,"&lt;&gt;Bid Package",'PCO Log'!$E$7:$SJ$7,"Approved")</f>
        <v>0</v>
      </c>
      <c r="T232" s="304">
        <f>SUMIFS('PCO Log'!$E56:$SJ56,'PCO Log'!$E$9:$SJ$9,'Graph Data'!T$187,'PCO Log'!$E$4:$SJ$4,"&lt;&gt;Bid Package",'PCO Log'!$E$7:$SJ$7,"Approved")</f>
        <v>0</v>
      </c>
      <c r="U232" s="304">
        <f>SUMIFS('PCO Log'!$E56:$SJ56,'PCO Log'!$E$9:$SJ$9,'Graph Data'!U$187,'PCO Log'!$E$4:$SJ$4,"&lt;&gt;Bid Package",'PCO Log'!$E$7:$SJ$7,"Approved")</f>
        <v>0</v>
      </c>
      <c r="V232" s="304">
        <f>SUMIFS('PCO Log'!$E56:$SJ56,'PCO Log'!$E$9:$SJ$9,'Graph Data'!V$187,'PCO Log'!$E$4:$SJ$4,"&lt;&gt;Bid Package",'PCO Log'!$E$7:$SJ$7,"Approved")</f>
        <v>0</v>
      </c>
      <c r="W232" s="304">
        <f>SUMIFS('PCO Log'!$E56:$SJ56,'PCO Log'!$E$9:$SJ$9,'Graph Data'!W$187,'PCO Log'!$E$4:$SJ$4,"&lt;&gt;Bid Package",'PCO Log'!$E$7:$SJ$7,"Approved")</f>
        <v>0</v>
      </c>
      <c r="X232" s="304">
        <f>SUMIFS('PCO Log'!$E56:$SJ56,'PCO Log'!$E$9:$SJ$9,'Graph Data'!X$187,'PCO Log'!$E$4:$SJ$4,"&lt;&gt;Bid Package",'PCO Log'!$E$7:$SJ$7,"Approved")</f>
        <v>0</v>
      </c>
      <c r="Y232" s="304">
        <f>SUMIFS('PCO Log'!$E56:$SJ56,'PCO Log'!$E$9:$SJ$9,'Graph Data'!Y$187,'PCO Log'!$E$4:$SJ$4,"&lt;&gt;Bid Package",'PCO Log'!$E$7:$SJ$7,"Approved")</f>
        <v>0</v>
      </c>
      <c r="Z232" s="304">
        <f>SUMIFS('PCO Log'!$E56:$SJ56,'PCO Log'!$E$9:$SJ$9,'Graph Data'!Z$187,'PCO Log'!$E$4:$SJ$4,"&lt;&gt;Bid Package",'PCO Log'!$E$7:$SJ$7,"Approved")</f>
        <v>0</v>
      </c>
      <c r="AA232" s="304">
        <f>SUMIFS('PCO Log'!$E56:$SJ56,'PCO Log'!$E$9:$SJ$9,'Graph Data'!AA$187,'PCO Log'!$E$4:$SJ$4,"&lt;&gt;Bid Package",'PCO Log'!$E$7:$SJ$7,"Approved")</f>
        <v>0</v>
      </c>
      <c r="AB232" s="304">
        <f>SUMIFS('PCO Log'!$E56:$SJ56,'PCO Log'!$E$9:$SJ$9,'Graph Data'!AB$187,'PCO Log'!$E$4:$SJ$4,"&lt;&gt;Bid Package",'PCO Log'!$E$7:$SJ$7,"Approved")</f>
        <v>0</v>
      </c>
      <c r="AC232" s="304">
        <f>SUMIFS('PCO Log'!$E56:$SJ56,'PCO Log'!$E$9:$SJ$9,'Graph Data'!AC$187,'PCO Log'!$E$4:$SJ$4,"&lt;&gt;Bid Package",'PCO Log'!$E$7:$SJ$7,"Approved")</f>
        <v>0</v>
      </c>
      <c r="AD232" s="304">
        <f>SUMIFS('PCO Log'!$E56:$SJ56,'PCO Log'!$E$9:$SJ$9,'Graph Data'!AD$187,'PCO Log'!$E$4:$SJ$4,"&lt;&gt;Bid Package",'PCO Log'!$E$7:$SJ$7,"Approved")</f>
        <v>0</v>
      </c>
      <c r="AE232" s="304">
        <f>SUMIFS('PCO Log'!$E56:$SJ56,'PCO Log'!$E$9:$SJ$9,'Graph Data'!AE$187,'PCO Log'!$E$4:$SJ$4,"&lt;&gt;Bid Package",'PCO Log'!$E$7:$SJ$7,"Approved")</f>
        <v>0</v>
      </c>
      <c r="AF232" s="304">
        <f>SUMIFS('PCO Log'!$E56:$SJ56,'PCO Log'!$E$9:$SJ$9,'Graph Data'!AF$187,'PCO Log'!$E$4:$SJ$4,"&lt;&gt;Bid Package",'PCO Log'!$E$7:$SJ$7,"Approved")</f>
        <v>0</v>
      </c>
      <c r="AG232" s="304">
        <f>SUMIFS('PCO Log'!$E56:$SJ56,'PCO Log'!$E$9:$SJ$9,'Graph Data'!AG$187,'PCO Log'!$E$4:$SJ$4,"&lt;&gt;Bid Package",'PCO Log'!$E$7:$SJ$7,"Approved")</f>
        <v>0</v>
      </c>
      <c r="AH232" s="304">
        <f>SUMIFS('PCO Log'!$E56:$SJ56,'PCO Log'!$E$9:$SJ$9,'Graph Data'!AH$187,'PCO Log'!$E$4:$SJ$4,"&lt;&gt;Bid Package",'PCO Log'!$E$7:$SJ$7,"Approved")</f>
        <v>0</v>
      </c>
      <c r="AI232" s="304">
        <f>SUMIFS('PCO Log'!$E56:$SJ56,'PCO Log'!$E$9:$SJ$9,'Graph Data'!AI$187,'PCO Log'!$E$4:$SJ$4,"&lt;&gt;Bid Package",'PCO Log'!$E$7:$SJ$7,"Approved")</f>
        <v>0</v>
      </c>
      <c r="AJ232" s="304">
        <f>SUMIFS('PCO Log'!$E56:$SJ56,'PCO Log'!$E$9:$SJ$9,'Graph Data'!AJ$187,'PCO Log'!$E$4:$SJ$4,"&lt;&gt;Bid Package",'PCO Log'!$E$7:$SJ$7,"Approved")</f>
        <v>0</v>
      </c>
      <c r="AK232" s="304">
        <f>SUMIFS('PCO Log'!$E56:$SJ56,'PCO Log'!$E$9:$SJ$9,'Graph Data'!AK$187,'PCO Log'!$E$4:$SJ$4,"&lt;&gt;Bid Package",'PCO Log'!$E$7:$SJ$7,"Approved")</f>
        <v>0</v>
      </c>
      <c r="AL232" s="304">
        <f>SUMIFS('PCO Log'!$E56:$SJ56,'PCO Log'!$E$9:$SJ$9,'Graph Data'!AL$187,'PCO Log'!$E$4:$SJ$4,"&lt;&gt;Bid Package",'PCO Log'!$E$7:$SJ$7,"Approved")</f>
        <v>0</v>
      </c>
      <c r="AM232" s="304">
        <f>SUMIFS('PCO Log'!$E56:$SJ56,'PCO Log'!$E$9:$SJ$9,'Graph Data'!AM$187,'PCO Log'!$E$4:$SJ$4,"&lt;&gt;Bid Package",'PCO Log'!$E$7:$SJ$7,"Approved")</f>
        <v>0</v>
      </c>
      <c r="AN232" s="304">
        <f>SUMIFS('PCO Log'!$E56:$SJ56,'PCO Log'!$E$9:$SJ$9,'Graph Data'!AN$187,'PCO Log'!$E$4:$SJ$4,"&lt;&gt;Bid Package",'PCO Log'!$E$7:$SJ$7,"Approved")</f>
        <v>0</v>
      </c>
      <c r="AO232" s="304">
        <f>SUMIFS('PCO Log'!$E56:$SJ56,'PCO Log'!$E$9:$SJ$9,'Graph Data'!AO$187,'PCO Log'!$E$4:$SJ$4,"&lt;&gt;Bid Package",'PCO Log'!$E$7:$SJ$7,"Approved")</f>
        <v>0</v>
      </c>
      <c r="AP232" s="304">
        <f>SUMIFS('PCO Log'!$E56:$SJ56,'PCO Log'!$E$9:$SJ$9,'Graph Data'!AP$187,'PCO Log'!$E$4:$SJ$4,"&lt;&gt;Bid Package",'PCO Log'!$E$7:$SJ$7,"Approved")</f>
        <v>0</v>
      </c>
      <c r="AQ232" s="304">
        <f>SUMIFS('PCO Log'!$E56:$SJ56,'PCO Log'!$E$9:$SJ$9,'Graph Data'!AQ$187,'PCO Log'!$E$4:$SJ$4,"&lt;&gt;Bid Package",'PCO Log'!$E$7:$SJ$7,"Approved")</f>
        <v>0</v>
      </c>
      <c r="AR232" s="304">
        <f>SUMIFS('PCO Log'!$E56:$SJ56,'PCO Log'!$E$9:$SJ$9,'Graph Data'!AR$187,'PCO Log'!$E$4:$SJ$4,"&lt;&gt;Bid Package",'PCO Log'!$E$7:$SJ$7,"Approved")</f>
        <v>0</v>
      </c>
      <c r="AS232" s="304">
        <f>SUMIFS('PCO Log'!$E56:$SJ56,'PCO Log'!$E$9:$SJ$9,'Graph Data'!AS$187,'PCO Log'!$E$4:$SJ$4,"&lt;&gt;Bid Package",'PCO Log'!$E$7:$SJ$7,"Approved")</f>
        <v>0</v>
      </c>
      <c r="AT232" s="304">
        <f>SUMIFS('PCO Log'!$E56:$SJ56,'PCO Log'!$E$9:$SJ$9,'Graph Data'!AT$187,'PCO Log'!$E$4:$SJ$4,"&lt;&gt;Bid Package",'PCO Log'!$E$7:$SJ$7,"Approved")</f>
        <v>0</v>
      </c>
      <c r="AU232" s="304">
        <f>SUMIFS('PCO Log'!$E56:$SJ56,'PCO Log'!$E$9:$SJ$9,'Graph Data'!AU$187,'PCO Log'!$E$4:$SJ$4,"&lt;&gt;Bid Package",'PCO Log'!$E$7:$SJ$7,"Approved")</f>
        <v>0</v>
      </c>
      <c r="AV232" s="304">
        <f>SUMIFS('PCO Log'!$E56:$SJ56,'PCO Log'!$E$9:$SJ$9,'Graph Data'!AV$187,'PCO Log'!$E$4:$SJ$4,"&lt;&gt;Bid Package",'PCO Log'!$E$7:$SJ$7,"Approved")</f>
        <v>0</v>
      </c>
      <c r="AW232" s="304">
        <f>SUMIFS('PCO Log'!$E56:$SJ56,'PCO Log'!$E$9:$SJ$9,'Graph Data'!AW$187,'PCO Log'!$E$4:$SJ$4,"&lt;&gt;Bid Package",'PCO Log'!$E$7:$SJ$7,"Approved")</f>
        <v>0</v>
      </c>
      <c r="AX232" s="304">
        <f>SUMIFS('PCO Log'!$E56:$SJ56,'PCO Log'!$E$9:$SJ$9,'Graph Data'!AX$187,'PCO Log'!$E$4:$SJ$4,"&lt;&gt;Bid Package",'PCO Log'!$E$7:$SJ$7,"Approved")</f>
        <v>0</v>
      </c>
      <c r="AY232" s="304">
        <f>SUMIFS('PCO Log'!$E56:$SJ56,'PCO Log'!$E$9:$SJ$9,'Graph Data'!AY$187,'PCO Log'!$E$4:$SJ$4,"&lt;&gt;Bid Package",'PCO Log'!$E$7:$SJ$7,"Approved")</f>
        <v>0</v>
      </c>
      <c r="AZ232" s="304">
        <f>SUMIFS('PCO Log'!$E56:$SJ56,'PCO Log'!$E$9:$SJ$9,'Graph Data'!AZ$187,'PCO Log'!$E$4:$SJ$4,"&lt;&gt;Bid Package",'PCO Log'!$E$7:$SJ$7,"Approved")</f>
        <v>0</v>
      </c>
      <c r="BA232" s="304">
        <f>SUMIFS('PCO Log'!$E56:$SJ56,'PCO Log'!$E$9:$SJ$9,'Graph Data'!BA$187,'PCO Log'!$E$4:$SJ$4,"&lt;&gt;Bid Package",'PCO Log'!$E$7:$SJ$7,"Approved")</f>
        <v>0</v>
      </c>
      <c r="BB232" s="304">
        <f>SUMIFS('PCO Log'!$E56:$SJ56,'PCO Log'!$E$9:$SJ$9,'Graph Data'!BB$187,'PCO Log'!$E$4:$SJ$4,"&lt;&gt;Bid Package",'PCO Log'!$E$7:$SJ$7,"Approved")</f>
        <v>0</v>
      </c>
      <c r="BC232" s="304">
        <f>SUMIFS('PCO Log'!$E56:$SJ56,'PCO Log'!$E$9:$SJ$9,'Graph Data'!BC$187,'PCO Log'!$E$4:$SJ$4,"&lt;&gt;Bid Package",'PCO Log'!$E$7:$SJ$7,"Approved")</f>
        <v>0</v>
      </c>
      <c r="BD232" s="304">
        <f>SUMIFS('PCO Log'!$E56:$SJ56,'PCO Log'!$E$9:$SJ$9,'Graph Data'!BD$187,'PCO Log'!$E$4:$SJ$4,"&lt;&gt;Bid Package",'PCO Log'!$E$7:$SJ$7,"Approved")</f>
        <v>0</v>
      </c>
      <c r="BE232" s="304">
        <f>SUMIFS('PCO Log'!$E56:$SJ56,'PCO Log'!$E$9:$SJ$9,'Graph Data'!BE$187,'PCO Log'!$E$4:$SJ$4,"&lt;&gt;Bid Package",'PCO Log'!$E$7:$SJ$7,"Approved")</f>
        <v>0</v>
      </c>
      <c r="BF232" s="304">
        <f>SUMIFS('PCO Log'!$E56:$SJ56,'PCO Log'!$E$9:$SJ$9,'Graph Data'!BF$187,'PCO Log'!$E$4:$SJ$4,"&lt;&gt;Bid Package",'PCO Log'!$E$7:$SJ$7,"Approved")</f>
        <v>0</v>
      </c>
      <c r="BG232" s="304">
        <f>SUMIFS('PCO Log'!$E56:$SJ56,'PCO Log'!$E$9:$SJ$9,'Graph Data'!BG$187,'PCO Log'!$E$4:$SJ$4,"&lt;&gt;Bid Package",'PCO Log'!$E$7:$SJ$7,"Approved")</f>
        <v>0</v>
      </c>
      <c r="BH232" s="304">
        <f>SUMIFS('PCO Log'!$E56:$SJ56,'PCO Log'!$E$9:$SJ$9,'Graph Data'!BH$187,'PCO Log'!$E$4:$SJ$4,"&lt;&gt;Bid Package",'PCO Log'!$E$7:$SJ$7,"Approved")</f>
        <v>0</v>
      </c>
      <c r="BI232" s="304">
        <f>SUMIFS('PCO Log'!$E56:$SJ56,'PCO Log'!$E$9:$SJ$9,'Graph Data'!BI$187,'PCO Log'!$E$4:$SJ$4,"&lt;&gt;Bid Package",'PCO Log'!$E$7:$SJ$7,"Approved")</f>
        <v>0</v>
      </c>
      <c r="BJ232" s="304">
        <f>SUMIFS('PCO Log'!$E56:$SJ56,'PCO Log'!$E$9:$SJ$9,'Graph Data'!BJ$187,'PCO Log'!$E$4:$SJ$4,"&lt;&gt;Bid Package",'PCO Log'!$E$7:$SJ$7,"Approved")</f>
        <v>0</v>
      </c>
      <c r="BK232" s="304">
        <f>SUMIFS('PCO Log'!$E56:$SJ56,'PCO Log'!$E$9:$SJ$9,'Graph Data'!BK$187,'PCO Log'!$E$4:$SJ$4,"&lt;&gt;Bid Package",'PCO Log'!$E$7:$SJ$7,"Approved")</f>
        <v>0</v>
      </c>
      <c r="BL232" s="304">
        <f>SUMIFS('PCO Log'!$E56:$SJ56,'PCO Log'!$E$9:$SJ$9,'Graph Data'!BL$187,'PCO Log'!$E$4:$SJ$4,"&lt;&gt;Bid Package",'PCO Log'!$E$7:$SJ$7,"Approved")</f>
        <v>0</v>
      </c>
      <c r="BM232" s="304">
        <f>SUMIFS('PCO Log'!$E56:$SJ56,'PCO Log'!$E$9:$SJ$9,'Graph Data'!BM$187,'PCO Log'!$E$4:$SJ$4,"&lt;&gt;Bid Package",'PCO Log'!$E$7:$SJ$7,"Approved")</f>
        <v>0</v>
      </c>
      <c r="BN232" s="304">
        <f>SUMIFS('PCO Log'!$E56:$SJ56,'PCO Log'!$E$9:$SJ$9,'Graph Data'!BN$187,'PCO Log'!$E$4:$SJ$4,"&lt;&gt;Bid Package",'PCO Log'!$E$7:$SJ$7,"Approved")</f>
        <v>0</v>
      </c>
      <c r="BO232" s="304">
        <f>SUMIFS('PCO Log'!$E56:$SJ56,'PCO Log'!$E$9:$SJ$9,'Graph Data'!BO$187,'PCO Log'!$E$4:$SJ$4,"&lt;&gt;Bid Package",'PCO Log'!$E$7:$SJ$7,"Approved")</f>
        <v>0</v>
      </c>
      <c r="BP232" s="304">
        <f>SUMIFS('PCO Log'!$E56:$SJ56,'PCO Log'!$E$9:$SJ$9,'Graph Data'!BP$187,'PCO Log'!$E$4:$SJ$4,"&lt;&gt;Bid Package",'PCO Log'!$E$7:$SJ$7,"Approved")</f>
        <v>0</v>
      </c>
      <c r="BQ232" s="304">
        <f>SUMIFS('PCO Log'!$E56:$SJ56,'PCO Log'!$E$9:$SJ$9,'Graph Data'!BQ$187,'PCO Log'!$E$4:$SJ$4,"&lt;&gt;Bid Package",'PCO Log'!$E$7:$SJ$7,"Approved")</f>
        <v>0</v>
      </c>
      <c r="BR232" s="304">
        <f>SUMIFS('PCO Log'!$E56:$SJ56,'PCO Log'!$E$9:$SJ$9,'Graph Data'!BR$187,'PCO Log'!$E$4:$SJ$4,"&lt;&gt;Bid Package",'PCO Log'!$E$7:$SJ$7,"Approved")</f>
        <v>0</v>
      </c>
      <c r="BS232" s="304">
        <f>SUMIFS('PCO Log'!$E56:$SJ56,'PCO Log'!$E$9:$SJ$9,'Graph Data'!BS$187,'PCO Log'!$E$4:$SJ$4,"&lt;&gt;Bid Package",'PCO Log'!$E$7:$SJ$7,"Approved")</f>
        <v>0</v>
      </c>
      <c r="BT232" s="304">
        <f>SUMIFS('PCO Log'!$E56:$SJ56,'PCO Log'!$E$9:$SJ$9,'Graph Data'!BT$187,'PCO Log'!$E$4:$SJ$4,"&lt;&gt;Bid Package",'PCO Log'!$E$7:$SJ$7,"Approved")</f>
        <v>0</v>
      </c>
      <c r="BU232" s="304">
        <f>SUMIFS('PCO Log'!$E56:$SJ56,'PCO Log'!$E$9:$SJ$9,'Graph Data'!BU$187,'PCO Log'!$E$4:$SJ$4,"&lt;&gt;Bid Package",'PCO Log'!$E$7:$SJ$7,"Approved")</f>
        <v>0</v>
      </c>
      <c r="BV232" s="304">
        <f>SUMIFS('PCO Log'!$E56:$SJ56,'PCO Log'!$E$9:$SJ$9,'Graph Data'!BV$187,'PCO Log'!$E$4:$SJ$4,"&lt;&gt;Bid Package",'PCO Log'!$E$7:$SJ$7,"Approved")</f>
        <v>0</v>
      </c>
      <c r="BW232" s="304">
        <f>SUMIFS('PCO Log'!$E56:$SJ56,'PCO Log'!$E$9:$SJ$9,'Graph Data'!BW$187,'PCO Log'!$E$4:$SJ$4,"&lt;&gt;Bid Package",'PCO Log'!$E$7:$SJ$7,"Approved")</f>
        <v>0</v>
      </c>
      <c r="BX232" s="304">
        <f>SUMIFS('PCO Log'!$E56:$SJ56,'PCO Log'!$E$9:$SJ$9,'Graph Data'!BX$187,'PCO Log'!$E$4:$SJ$4,"&lt;&gt;Bid Package",'PCO Log'!$E$7:$SJ$7,"Approved")</f>
        <v>0</v>
      </c>
    </row>
    <row r="233" spans="1:76" x14ac:dyDescent="0.25">
      <c r="A233" s="303" t="s">
        <v>583</v>
      </c>
      <c r="B233" s="303">
        <f>'PCO Log'!IB7</f>
        <v>0</v>
      </c>
      <c r="C233" s="303">
        <f>'PCO Log'!IB4</f>
        <v>0</v>
      </c>
      <c r="D233" s="303" cm="1">
        <f t="array" ref="D233">INDEX('PCO Log'!$E$5:$SJ$5, 1, ROWS('Graph Data'!$D$2:D233))</f>
        <v>0</v>
      </c>
      <c r="E233" s="303">
        <f>'PCO Log'!IB8</f>
        <v>0</v>
      </c>
      <c r="F233" s="303">
        <f>'PCO Log'!IB3</f>
        <v>0</v>
      </c>
      <c r="G233" s="304">
        <f>'PCO Log'!IB10</f>
        <v>0</v>
      </c>
      <c r="H233" s="305">
        <f>'PCO Log'!IB6</f>
        <v>0</v>
      </c>
      <c r="K233" s="307"/>
      <c r="P233" s="303" t="str">
        <f t="shared" si="4"/>
        <v>Acoustical Ceilings</v>
      </c>
      <c r="Q233" s="304">
        <f>SUMIFS('PCO Log'!$E57:$SJ57,'PCO Log'!$E$9:$SJ$9,'Graph Data'!Q$187,'PCO Log'!$E$4:$SJ$4,"&lt;&gt;Bid Package",'PCO Log'!$E$7:$SJ$7,"Approved")</f>
        <v>0</v>
      </c>
      <c r="R233" s="304">
        <f>SUMIFS('PCO Log'!$E57:$SJ57,'PCO Log'!$E$9:$SJ$9,'Graph Data'!R$187,'PCO Log'!$E$4:$SJ$4,"&lt;&gt;Bid Package",'PCO Log'!$E$7:$SJ$7,"Approved")</f>
        <v>0</v>
      </c>
      <c r="S233" s="304">
        <f>SUMIFS('PCO Log'!$E57:$SJ57,'PCO Log'!$E$9:$SJ$9,'Graph Data'!S$187,'PCO Log'!$E$4:$SJ$4,"&lt;&gt;Bid Package",'PCO Log'!$E$7:$SJ$7,"Approved")</f>
        <v>0</v>
      </c>
      <c r="T233" s="304">
        <f>SUMIFS('PCO Log'!$E57:$SJ57,'PCO Log'!$E$9:$SJ$9,'Graph Data'!T$187,'PCO Log'!$E$4:$SJ$4,"&lt;&gt;Bid Package",'PCO Log'!$E$7:$SJ$7,"Approved")</f>
        <v>0</v>
      </c>
      <c r="U233" s="304">
        <f>SUMIFS('PCO Log'!$E57:$SJ57,'PCO Log'!$E$9:$SJ$9,'Graph Data'!U$187,'PCO Log'!$E$4:$SJ$4,"&lt;&gt;Bid Package",'PCO Log'!$E$7:$SJ$7,"Approved")</f>
        <v>0</v>
      </c>
      <c r="V233" s="304">
        <f>SUMIFS('PCO Log'!$E57:$SJ57,'PCO Log'!$E$9:$SJ$9,'Graph Data'!V$187,'PCO Log'!$E$4:$SJ$4,"&lt;&gt;Bid Package",'PCO Log'!$E$7:$SJ$7,"Approved")</f>
        <v>0</v>
      </c>
      <c r="W233" s="304">
        <f>SUMIFS('PCO Log'!$E57:$SJ57,'PCO Log'!$E$9:$SJ$9,'Graph Data'!W$187,'PCO Log'!$E$4:$SJ$4,"&lt;&gt;Bid Package",'PCO Log'!$E$7:$SJ$7,"Approved")</f>
        <v>0</v>
      </c>
      <c r="X233" s="304">
        <f>SUMIFS('PCO Log'!$E57:$SJ57,'PCO Log'!$E$9:$SJ$9,'Graph Data'!X$187,'PCO Log'!$E$4:$SJ$4,"&lt;&gt;Bid Package",'PCO Log'!$E$7:$SJ$7,"Approved")</f>
        <v>0</v>
      </c>
      <c r="Y233" s="304">
        <f>SUMIFS('PCO Log'!$E57:$SJ57,'PCO Log'!$E$9:$SJ$9,'Graph Data'!Y$187,'PCO Log'!$E$4:$SJ$4,"&lt;&gt;Bid Package",'PCO Log'!$E$7:$SJ$7,"Approved")</f>
        <v>0</v>
      </c>
      <c r="Z233" s="304">
        <f>SUMIFS('PCO Log'!$E57:$SJ57,'PCO Log'!$E$9:$SJ$9,'Graph Data'!Z$187,'PCO Log'!$E$4:$SJ$4,"&lt;&gt;Bid Package",'PCO Log'!$E$7:$SJ$7,"Approved")</f>
        <v>0</v>
      </c>
      <c r="AA233" s="304">
        <f>SUMIFS('PCO Log'!$E57:$SJ57,'PCO Log'!$E$9:$SJ$9,'Graph Data'!AA$187,'PCO Log'!$E$4:$SJ$4,"&lt;&gt;Bid Package",'PCO Log'!$E$7:$SJ$7,"Approved")</f>
        <v>0</v>
      </c>
      <c r="AB233" s="304">
        <f>SUMIFS('PCO Log'!$E57:$SJ57,'PCO Log'!$E$9:$SJ$9,'Graph Data'!AB$187,'PCO Log'!$E$4:$SJ$4,"&lt;&gt;Bid Package",'PCO Log'!$E$7:$SJ$7,"Approved")</f>
        <v>0</v>
      </c>
      <c r="AC233" s="304">
        <f>SUMIFS('PCO Log'!$E57:$SJ57,'PCO Log'!$E$9:$SJ$9,'Graph Data'!AC$187,'PCO Log'!$E$4:$SJ$4,"&lt;&gt;Bid Package",'PCO Log'!$E$7:$SJ$7,"Approved")</f>
        <v>0</v>
      </c>
      <c r="AD233" s="304">
        <f>SUMIFS('PCO Log'!$E57:$SJ57,'PCO Log'!$E$9:$SJ$9,'Graph Data'!AD$187,'PCO Log'!$E$4:$SJ$4,"&lt;&gt;Bid Package",'PCO Log'!$E$7:$SJ$7,"Approved")</f>
        <v>0</v>
      </c>
      <c r="AE233" s="304">
        <f>SUMIFS('PCO Log'!$E57:$SJ57,'PCO Log'!$E$9:$SJ$9,'Graph Data'!AE$187,'PCO Log'!$E$4:$SJ$4,"&lt;&gt;Bid Package",'PCO Log'!$E$7:$SJ$7,"Approved")</f>
        <v>0</v>
      </c>
      <c r="AF233" s="304">
        <f>SUMIFS('PCO Log'!$E57:$SJ57,'PCO Log'!$E$9:$SJ$9,'Graph Data'!AF$187,'PCO Log'!$E$4:$SJ$4,"&lt;&gt;Bid Package",'PCO Log'!$E$7:$SJ$7,"Approved")</f>
        <v>0</v>
      </c>
      <c r="AG233" s="304">
        <f>SUMIFS('PCO Log'!$E57:$SJ57,'PCO Log'!$E$9:$SJ$9,'Graph Data'!AG$187,'PCO Log'!$E$4:$SJ$4,"&lt;&gt;Bid Package",'PCO Log'!$E$7:$SJ$7,"Approved")</f>
        <v>0</v>
      </c>
      <c r="AH233" s="304">
        <f>SUMIFS('PCO Log'!$E57:$SJ57,'PCO Log'!$E$9:$SJ$9,'Graph Data'!AH$187,'PCO Log'!$E$4:$SJ$4,"&lt;&gt;Bid Package",'PCO Log'!$E$7:$SJ$7,"Approved")</f>
        <v>0</v>
      </c>
      <c r="AI233" s="304">
        <f>SUMIFS('PCO Log'!$E57:$SJ57,'PCO Log'!$E$9:$SJ$9,'Graph Data'!AI$187,'PCO Log'!$E$4:$SJ$4,"&lt;&gt;Bid Package",'PCO Log'!$E$7:$SJ$7,"Approved")</f>
        <v>0</v>
      </c>
      <c r="AJ233" s="304">
        <f>SUMIFS('PCO Log'!$E57:$SJ57,'PCO Log'!$E$9:$SJ$9,'Graph Data'!AJ$187,'PCO Log'!$E$4:$SJ$4,"&lt;&gt;Bid Package",'PCO Log'!$E$7:$SJ$7,"Approved")</f>
        <v>0</v>
      </c>
      <c r="AK233" s="304">
        <f>SUMIFS('PCO Log'!$E57:$SJ57,'PCO Log'!$E$9:$SJ$9,'Graph Data'!AK$187,'PCO Log'!$E$4:$SJ$4,"&lt;&gt;Bid Package",'PCO Log'!$E$7:$SJ$7,"Approved")</f>
        <v>0</v>
      </c>
      <c r="AL233" s="304">
        <f>SUMIFS('PCO Log'!$E57:$SJ57,'PCO Log'!$E$9:$SJ$9,'Graph Data'!AL$187,'PCO Log'!$E$4:$SJ$4,"&lt;&gt;Bid Package",'PCO Log'!$E$7:$SJ$7,"Approved")</f>
        <v>0</v>
      </c>
      <c r="AM233" s="304">
        <f>SUMIFS('PCO Log'!$E57:$SJ57,'PCO Log'!$E$9:$SJ$9,'Graph Data'!AM$187,'PCO Log'!$E$4:$SJ$4,"&lt;&gt;Bid Package",'PCO Log'!$E$7:$SJ$7,"Approved")</f>
        <v>0</v>
      </c>
      <c r="AN233" s="304">
        <f>SUMIFS('PCO Log'!$E57:$SJ57,'PCO Log'!$E$9:$SJ$9,'Graph Data'!AN$187,'PCO Log'!$E$4:$SJ$4,"&lt;&gt;Bid Package",'PCO Log'!$E$7:$SJ$7,"Approved")</f>
        <v>0</v>
      </c>
      <c r="AO233" s="304">
        <f>SUMIFS('PCO Log'!$E57:$SJ57,'PCO Log'!$E$9:$SJ$9,'Graph Data'!AO$187,'PCO Log'!$E$4:$SJ$4,"&lt;&gt;Bid Package",'PCO Log'!$E$7:$SJ$7,"Approved")</f>
        <v>0</v>
      </c>
      <c r="AP233" s="304">
        <f>SUMIFS('PCO Log'!$E57:$SJ57,'PCO Log'!$E$9:$SJ$9,'Graph Data'!AP$187,'PCO Log'!$E$4:$SJ$4,"&lt;&gt;Bid Package",'PCO Log'!$E$7:$SJ$7,"Approved")</f>
        <v>0</v>
      </c>
      <c r="AQ233" s="304">
        <f>SUMIFS('PCO Log'!$E57:$SJ57,'PCO Log'!$E$9:$SJ$9,'Graph Data'!AQ$187,'PCO Log'!$E$4:$SJ$4,"&lt;&gt;Bid Package",'PCO Log'!$E$7:$SJ$7,"Approved")</f>
        <v>0</v>
      </c>
      <c r="AR233" s="304">
        <f>SUMIFS('PCO Log'!$E57:$SJ57,'PCO Log'!$E$9:$SJ$9,'Graph Data'!AR$187,'PCO Log'!$E$4:$SJ$4,"&lt;&gt;Bid Package",'PCO Log'!$E$7:$SJ$7,"Approved")</f>
        <v>0</v>
      </c>
      <c r="AS233" s="304">
        <f>SUMIFS('PCO Log'!$E57:$SJ57,'PCO Log'!$E$9:$SJ$9,'Graph Data'!AS$187,'PCO Log'!$E$4:$SJ$4,"&lt;&gt;Bid Package",'PCO Log'!$E$7:$SJ$7,"Approved")</f>
        <v>0</v>
      </c>
      <c r="AT233" s="304">
        <f>SUMIFS('PCO Log'!$E57:$SJ57,'PCO Log'!$E$9:$SJ$9,'Graph Data'!AT$187,'PCO Log'!$E$4:$SJ$4,"&lt;&gt;Bid Package",'PCO Log'!$E$7:$SJ$7,"Approved")</f>
        <v>0</v>
      </c>
      <c r="AU233" s="304">
        <f>SUMIFS('PCO Log'!$E57:$SJ57,'PCO Log'!$E$9:$SJ$9,'Graph Data'!AU$187,'PCO Log'!$E$4:$SJ$4,"&lt;&gt;Bid Package",'PCO Log'!$E$7:$SJ$7,"Approved")</f>
        <v>0</v>
      </c>
      <c r="AV233" s="304">
        <f>SUMIFS('PCO Log'!$E57:$SJ57,'PCO Log'!$E$9:$SJ$9,'Graph Data'!AV$187,'PCO Log'!$E$4:$SJ$4,"&lt;&gt;Bid Package",'PCO Log'!$E$7:$SJ$7,"Approved")</f>
        <v>0</v>
      </c>
      <c r="AW233" s="304">
        <f>SUMIFS('PCO Log'!$E57:$SJ57,'PCO Log'!$E$9:$SJ$9,'Graph Data'!AW$187,'PCO Log'!$E$4:$SJ$4,"&lt;&gt;Bid Package",'PCO Log'!$E$7:$SJ$7,"Approved")</f>
        <v>0</v>
      </c>
      <c r="AX233" s="304">
        <f>SUMIFS('PCO Log'!$E57:$SJ57,'PCO Log'!$E$9:$SJ$9,'Graph Data'!AX$187,'PCO Log'!$E$4:$SJ$4,"&lt;&gt;Bid Package",'PCO Log'!$E$7:$SJ$7,"Approved")</f>
        <v>0</v>
      </c>
      <c r="AY233" s="304">
        <f>SUMIFS('PCO Log'!$E57:$SJ57,'PCO Log'!$E$9:$SJ$9,'Graph Data'!AY$187,'PCO Log'!$E$4:$SJ$4,"&lt;&gt;Bid Package",'PCO Log'!$E$7:$SJ$7,"Approved")</f>
        <v>0</v>
      </c>
      <c r="AZ233" s="304">
        <f>SUMIFS('PCO Log'!$E57:$SJ57,'PCO Log'!$E$9:$SJ$9,'Graph Data'!AZ$187,'PCO Log'!$E$4:$SJ$4,"&lt;&gt;Bid Package",'PCO Log'!$E$7:$SJ$7,"Approved")</f>
        <v>0</v>
      </c>
      <c r="BA233" s="304">
        <f>SUMIFS('PCO Log'!$E57:$SJ57,'PCO Log'!$E$9:$SJ$9,'Graph Data'!BA$187,'PCO Log'!$E$4:$SJ$4,"&lt;&gt;Bid Package",'PCO Log'!$E$7:$SJ$7,"Approved")</f>
        <v>0</v>
      </c>
      <c r="BB233" s="304">
        <f>SUMIFS('PCO Log'!$E57:$SJ57,'PCO Log'!$E$9:$SJ$9,'Graph Data'!BB$187,'PCO Log'!$E$4:$SJ$4,"&lt;&gt;Bid Package",'PCO Log'!$E$7:$SJ$7,"Approved")</f>
        <v>0</v>
      </c>
      <c r="BC233" s="304">
        <f>SUMIFS('PCO Log'!$E57:$SJ57,'PCO Log'!$E$9:$SJ$9,'Graph Data'!BC$187,'PCO Log'!$E$4:$SJ$4,"&lt;&gt;Bid Package",'PCO Log'!$E$7:$SJ$7,"Approved")</f>
        <v>0</v>
      </c>
      <c r="BD233" s="304">
        <f>SUMIFS('PCO Log'!$E57:$SJ57,'PCO Log'!$E$9:$SJ$9,'Graph Data'!BD$187,'PCO Log'!$E$4:$SJ$4,"&lt;&gt;Bid Package",'PCO Log'!$E$7:$SJ$7,"Approved")</f>
        <v>0</v>
      </c>
      <c r="BE233" s="304">
        <f>SUMIFS('PCO Log'!$E57:$SJ57,'PCO Log'!$E$9:$SJ$9,'Graph Data'!BE$187,'PCO Log'!$E$4:$SJ$4,"&lt;&gt;Bid Package",'PCO Log'!$E$7:$SJ$7,"Approved")</f>
        <v>0</v>
      </c>
      <c r="BF233" s="304">
        <f>SUMIFS('PCO Log'!$E57:$SJ57,'PCO Log'!$E$9:$SJ$9,'Graph Data'!BF$187,'PCO Log'!$E$4:$SJ$4,"&lt;&gt;Bid Package",'PCO Log'!$E$7:$SJ$7,"Approved")</f>
        <v>0</v>
      </c>
      <c r="BG233" s="304">
        <f>SUMIFS('PCO Log'!$E57:$SJ57,'PCO Log'!$E$9:$SJ$9,'Graph Data'!BG$187,'PCO Log'!$E$4:$SJ$4,"&lt;&gt;Bid Package",'PCO Log'!$E$7:$SJ$7,"Approved")</f>
        <v>0</v>
      </c>
      <c r="BH233" s="304">
        <f>SUMIFS('PCO Log'!$E57:$SJ57,'PCO Log'!$E$9:$SJ$9,'Graph Data'!BH$187,'PCO Log'!$E$4:$SJ$4,"&lt;&gt;Bid Package",'PCO Log'!$E$7:$SJ$7,"Approved")</f>
        <v>0</v>
      </c>
      <c r="BI233" s="304">
        <f>SUMIFS('PCO Log'!$E57:$SJ57,'PCO Log'!$E$9:$SJ$9,'Graph Data'!BI$187,'PCO Log'!$E$4:$SJ$4,"&lt;&gt;Bid Package",'PCO Log'!$E$7:$SJ$7,"Approved")</f>
        <v>0</v>
      </c>
      <c r="BJ233" s="304">
        <f>SUMIFS('PCO Log'!$E57:$SJ57,'PCO Log'!$E$9:$SJ$9,'Graph Data'!BJ$187,'PCO Log'!$E$4:$SJ$4,"&lt;&gt;Bid Package",'PCO Log'!$E$7:$SJ$7,"Approved")</f>
        <v>0</v>
      </c>
      <c r="BK233" s="304">
        <f>SUMIFS('PCO Log'!$E57:$SJ57,'PCO Log'!$E$9:$SJ$9,'Graph Data'!BK$187,'PCO Log'!$E$4:$SJ$4,"&lt;&gt;Bid Package",'PCO Log'!$E$7:$SJ$7,"Approved")</f>
        <v>0</v>
      </c>
      <c r="BL233" s="304">
        <f>SUMIFS('PCO Log'!$E57:$SJ57,'PCO Log'!$E$9:$SJ$9,'Graph Data'!BL$187,'PCO Log'!$E$4:$SJ$4,"&lt;&gt;Bid Package",'PCO Log'!$E$7:$SJ$7,"Approved")</f>
        <v>0</v>
      </c>
      <c r="BM233" s="304">
        <f>SUMIFS('PCO Log'!$E57:$SJ57,'PCO Log'!$E$9:$SJ$9,'Graph Data'!BM$187,'PCO Log'!$E$4:$SJ$4,"&lt;&gt;Bid Package",'PCO Log'!$E$7:$SJ$7,"Approved")</f>
        <v>0</v>
      </c>
      <c r="BN233" s="304">
        <f>SUMIFS('PCO Log'!$E57:$SJ57,'PCO Log'!$E$9:$SJ$9,'Graph Data'!BN$187,'PCO Log'!$E$4:$SJ$4,"&lt;&gt;Bid Package",'PCO Log'!$E$7:$SJ$7,"Approved")</f>
        <v>0</v>
      </c>
      <c r="BO233" s="304">
        <f>SUMIFS('PCO Log'!$E57:$SJ57,'PCO Log'!$E$9:$SJ$9,'Graph Data'!BO$187,'PCO Log'!$E$4:$SJ$4,"&lt;&gt;Bid Package",'PCO Log'!$E$7:$SJ$7,"Approved")</f>
        <v>0</v>
      </c>
      <c r="BP233" s="304">
        <f>SUMIFS('PCO Log'!$E57:$SJ57,'PCO Log'!$E$9:$SJ$9,'Graph Data'!BP$187,'PCO Log'!$E$4:$SJ$4,"&lt;&gt;Bid Package",'PCO Log'!$E$7:$SJ$7,"Approved")</f>
        <v>0</v>
      </c>
      <c r="BQ233" s="304">
        <f>SUMIFS('PCO Log'!$E57:$SJ57,'PCO Log'!$E$9:$SJ$9,'Graph Data'!BQ$187,'PCO Log'!$E$4:$SJ$4,"&lt;&gt;Bid Package",'PCO Log'!$E$7:$SJ$7,"Approved")</f>
        <v>0</v>
      </c>
      <c r="BR233" s="304">
        <f>SUMIFS('PCO Log'!$E57:$SJ57,'PCO Log'!$E$9:$SJ$9,'Graph Data'!BR$187,'PCO Log'!$E$4:$SJ$4,"&lt;&gt;Bid Package",'PCO Log'!$E$7:$SJ$7,"Approved")</f>
        <v>0</v>
      </c>
      <c r="BS233" s="304">
        <f>SUMIFS('PCO Log'!$E57:$SJ57,'PCO Log'!$E$9:$SJ$9,'Graph Data'!BS$187,'PCO Log'!$E$4:$SJ$4,"&lt;&gt;Bid Package",'PCO Log'!$E$7:$SJ$7,"Approved")</f>
        <v>0</v>
      </c>
      <c r="BT233" s="304">
        <f>SUMIFS('PCO Log'!$E57:$SJ57,'PCO Log'!$E$9:$SJ$9,'Graph Data'!BT$187,'PCO Log'!$E$4:$SJ$4,"&lt;&gt;Bid Package",'PCO Log'!$E$7:$SJ$7,"Approved")</f>
        <v>0</v>
      </c>
      <c r="BU233" s="304">
        <f>SUMIFS('PCO Log'!$E57:$SJ57,'PCO Log'!$E$9:$SJ$9,'Graph Data'!BU$187,'PCO Log'!$E$4:$SJ$4,"&lt;&gt;Bid Package",'PCO Log'!$E$7:$SJ$7,"Approved")</f>
        <v>0</v>
      </c>
      <c r="BV233" s="304">
        <f>SUMIFS('PCO Log'!$E57:$SJ57,'PCO Log'!$E$9:$SJ$9,'Graph Data'!BV$187,'PCO Log'!$E$4:$SJ$4,"&lt;&gt;Bid Package",'PCO Log'!$E$7:$SJ$7,"Approved")</f>
        <v>0</v>
      </c>
      <c r="BW233" s="304">
        <f>SUMIFS('PCO Log'!$E57:$SJ57,'PCO Log'!$E$9:$SJ$9,'Graph Data'!BW$187,'PCO Log'!$E$4:$SJ$4,"&lt;&gt;Bid Package",'PCO Log'!$E$7:$SJ$7,"Approved")</f>
        <v>0</v>
      </c>
      <c r="BX233" s="304">
        <f>SUMIFS('PCO Log'!$E57:$SJ57,'PCO Log'!$E$9:$SJ$9,'Graph Data'!BX$187,'PCO Log'!$E$4:$SJ$4,"&lt;&gt;Bid Package",'PCO Log'!$E$7:$SJ$7,"Approved")</f>
        <v>0</v>
      </c>
    </row>
    <row r="234" spans="1:76" x14ac:dyDescent="0.25">
      <c r="A234" s="303" t="s">
        <v>584</v>
      </c>
      <c r="B234" s="303">
        <f>'PCO Log'!IC7</f>
        <v>0</v>
      </c>
      <c r="C234" s="303">
        <f>'PCO Log'!IC4</f>
        <v>0</v>
      </c>
      <c r="D234" s="303" cm="1">
        <f t="array" ref="D234">INDEX('PCO Log'!$E$5:$SJ$5, 1, ROWS('Graph Data'!$D$2:D234))</f>
        <v>0</v>
      </c>
      <c r="E234" s="303">
        <f>'PCO Log'!IC8</f>
        <v>0</v>
      </c>
      <c r="F234" s="303">
        <f>'PCO Log'!IC3</f>
        <v>0</v>
      </c>
      <c r="G234" s="304">
        <f>'PCO Log'!IC10</f>
        <v>0</v>
      </c>
      <c r="H234" s="305">
        <f>'PCO Log'!IC6</f>
        <v>0</v>
      </c>
      <c r="K234" s="307"/>
      <c r="P234" s="303" t="str">
        <f t="shared" si="4"/>
        <v>Specialty Ceilings</v>
      </c>
      <c r="Q234" s="304">
        <f>SUMIFS('PCO Log'!$E58:$SJ58,'PCO Log'!$E$9:$SJ$9,'Graph Data'!Q$187,'PCO Log'!$E$4:$SJ$4,"&lt;&gt;Bid Package",'PCO Log'!$E$7:$SJ$7,"Approved")</f>
        <v>0</v>
      </c>
      <c r="R234" s="304">
        <f>SUMIFS('PCO Log'!$E58:$SJ58,'PCO Log'!$E$9:$SJ$9,'Graph Data'!R$187,'PCO Log'!$E$4:$SJ$4,"&lt;&gt;Bid Package",'PCO Log'!$E$7:$SJ$7,"Approved")</f>
        <v>0</v>
      </c>
      <c r="S234" s="304">
        <f>SUMIFS('PCO Log'!$E58:$SJ58,'PCO Log'!$E$9:$SJ$9,'Graph Data'!S$187,'PCO Log'!$E$4:$SJ$4,"&lt;&gt;Bid Package",'PCO Log'!$E$7:$SJ$7,"Approved")</f>
        <v>0</v>
      </c>
      <c r="T234" s="304">
        <f>SUMIFS('PCO Log'!$E58:$SJ58,'PCO Log'!$E$9:$SJ$9,'Graph Data'!T$187,'PCO Log'!$E$4:$SJ$4,"&lt;&gt;Bid Package",'PCO Log'!$E$7:$SJ$7,"Approved")</f>
        <v>0</v>
      </c>
      <c r="U234" s="304">
        <f>SUMIFS('PCO Log'!$E58:$SJ58,'PCO Log'!$E$9:$SJ$9,'Graph Data'!U$187,'PCO Log'!$E$4:$SJ$4,"&lt;&gt;Bid Package",'PCO Log'!$E$7:$SJ$7,"Approved")</f>
        <v>0</v>
      </c>
      <c r="V234" s="304">
        <f>SUMIFS('PCO Log'!$E58:$SJ58,'PCO Log'!$E$9:$SJ$9,'Graph Data'!V$187,'PCO Log'!$E$4:$SJ$4,"&lt;&gt;Bid Package",'PCO Log'!$E$7:$SJ$7,"Approved")</f>
        <v>0</v>
      </c>
      <c r="W234" s="304">
        <f>SUMIFS('PCO Log'!$E58:$SJ58,'PCO Log'!$E$9:$SJ$9,'Graph Data'!W$187,'PCO Log'!$E$4:$SJ$4,"&lt;&gt;Bid Package",'PCO Log'!$E$7:$SJ$7,"Approved")</f>
        <v>0</v>
      </c>
      <c r="X234" s="304">
        <f>SUMIFS('PCO Log'!$E58:$SJ58,'PCO Log'!$E$9:$SJ$9,'Graph Data'!X$187,'PCO Log'!$E$4:$SJ$4,"&lt;&gt;Bid Package",'PCO Log'!$E$7:$SJ$7,"Approved")</f>
        <v>0</v>
      </c>
      <c r="Y234" s="304">
        <f>SUMIFS('PCO Log'!$E58:$SJ58,'PCO Log'!$E$9:$SJ$9,'Graph Data'!Y$187,'PCO Log'!$E$4:$SJ$4,"&lt;&gt;Bid Package",'PCO Log'!$E$7:$SJ$7,"Approved")</f>
        <v>0</v>
      </c>
      <c r="Z234" s="304">
        <f>SUMIFS('PCO Log'!$E58:$SJ58,'PCO Log'!$E$9:$SJ$9,'Graph Data'!Z$187,'PCO Log'!$E$4:$SJ$4,"&lt;&gt;Bid Package",'PCO Log'!$E$7:$SJ$7,"Approved")</f>
        <v>0</v>
      </c>
      <c r="AA234" s="304">
        <f>SUMIFS('PCO Log'!$E58:$SJ58,'PCO Log'!$E$9:$SJ$9,'Graph Data'!AA$187,'PCO Log'!$E$4:$SJ$4,"&lt;&gt;Bid Package",'PCO Log'!$E$7:$SJ$7,"Approved")</f>
        <v>0</v>
      </c>
      <c r="AB234" s="304">
        <f>SUMIFS('PCO Log'!$E58:$SJ58,'PCO Log'!$E$9:$SJ$9,'Graph Data'!AB$187,'PCO Log'!$E$4:$SJ$4,"&lt;&gt;Bid Package",'PCO Log'!$E$7:$SJ$7,"Approved")</f>
        <v>0</v>
      </c>
      <c r="AC234" s="304">
        <f>SUMIFS('PCO Log'!$E58:$SJ58,'PCO Log'!$E$9:$SJ$9,'Graph Data'!AC$187,'PCO Log'!$E$4:$SJ$4,"&lt;&gt;Bid Package",'PCO Log'!$E$7:$SJ$7,"Approved")</f>
        <v>0</v>
      </c>
      <c r="AD234" s="304">
        <f>SUMIFS('PCO Log'!$E58:$SJ58,'PCO Log'!$E$9:$SJ$9,'Graph Data'!AD$187,'PCO Log'!$E$4:$SJ$4,"&lt;&gt;Bid Package",'PCO Log'!$E$7:$SJ$7,"Approved")</f>
        <v>0</v>
      </c>
      <c r="AE234" s="304">
        <f>SUMIFS('PCO Log'!$E58:$SJ58,'PCO Log'!$E$9:$SJ$9,'Graph Data'!AE$187,'PCO Log'!$E$4:$SJ$4,"&lt;&gt;Bid Package",'PCO Log'!$E$7:$SJ$7,"Approved")</f>
        <v>0</v>
      </c>
      <c r="AF234" s="304">
        <f>SUMIFS('PCO Log'!$E58:$SJ58,'PCO Log'!$E$9:$SJ$9,'Graph Data'!AF$187,'PCO Log'!$E$4:$SJ$4,"&lt;&gt;Bid Package",'PCO Log'!$E$7:$SJ$7,"Approved")</f>
        <v>0</v>
      </c>
      <c r="AG234" s="304">
        <f>SUMIFS('PCO Log'!$E58:$SJ58,'PCO Log'!$E$9:$SJ$9,'Graph Data'!AG$187,'PCO Log'!$E$4:$SJ$4,"&lt;&gt;Bid Package",'PCO Log'!$E$7:$SJ$7,"Approved")</f>
        <v>0</v>
      </c>
      <c r="AH234" s="304">
        <f>SUMIFS('PCO Log'!$E58:$SJ58,'PCO Log'!$E$9:$SJ$9,'Graph Data'!AH$187,'PCO Log'!$E$4:$SJ$4,"&lt;&gt;Bid Package",'PCO Log'!$E$7:$SJ$7,"Approved")</f>
        <v>0</v>
      </c>
      <c r="AI234" s="304">
        <f>SUMIFS('PCO Log'!$E58:$SJ58,'PCO Log'!$E$9:$SJ$9,'Graph Data'!AI$187,'PCO Log'!$E$4:$SJ$4,"&lt;&gt;Bid Package",'PCO Log'!$E$7:$SJ$7,"Approved")</f>
        <v>0</v>
      </c>
      <c r="AJ234" s="304">
        <f>SUMIFS('PCO Log'!$E58:$SJ58,'PCO Log'!$E$9:$SJ$9,'Graph Data'!AJ$187,'PCO Log'!$E$4:$SJ$4,"&lt;&gt;Bid Package",'PCO Log'!$E$7:$SJ$7,"Approved")</f>
        <v>0</v>
      </c>
      <c r="AK234" s="304">
        <f>SUMIFS('PCO Log'!$E58:$SJ58,'PCO Log'!$E$9:$SJ$9,'Graph Data'!AK$187,'PCO Log'!$E$4:$SJ$4,"&lt;&gt;Bid Package",'PCO Log'!$E$7:$SJ$7,"Approved")</f>
        <v>0</v>
      </c>
      <c r="AL234" s="304">
        <f>SUMIFS('PCO Log'!$E58:$SJ58,'PCO Log'!$E$9:$SJ$9,'Graph Data'!AL$187,'PCO Log'!$E$4:$SJ$4,"&lt;&gt;Bid Package",'PCO Log'!$E$7:$SJ$7,"Approved")</f>
        <v>0</v>
      </c>
      <c r="AM234" s="304">
        <f>SUMIFS('PCO Log'!$E58:$SJ58,'PCO Log'!$E$9:$SJ$9,'Graph Data'!AM$187,'PCO Log'!$E$4:$SJ$4,"&lt;&gt;Bid Package",'PCO Log'!$E$7:$SJ$7,"Approved")</f>
        <v>0</v>
      </c>
      <c r="AN234" s="304">
        <f>SUMIFS('PCO Log'!$E58:$SJ58,'PCO Log'!$E$9:$SJ$9,'Graph Data'!AN$187,'PCO Log'!$E$4:$SJ$4,"&lt;&gt;Bid Package",'PCO Log'!$E$7:$SJ$7,"Approved")</f>
        <v>0</v>
      </c>
      <c r="AO234" s="304">
        <f>SUMIFS('PCO Log'!$E58:$SJ58,'PCO Log'!$E$9:$SJ$9,'Graph Data'!AO$187,'PCO Log'!$E$4:$SJ$4,"&lt;&gt;Bid Package",'PCO Log'!$E$7:$SJ$7,"Approved")</f>
        <v>0</v>
      </c>
      <c r="AP234" s="304">
        <f>SUMIFS('PCO Log'!$E58:$SJ58,'PCO Log'!$E$9:$SJ$9,'Graph Data'!AP$187,'PCO Log'!$E$4:$SJ$4,"&lt;&gt;Bid Package",'PCO Log'!$E$7:$SJ$7,"Approved")</f>
        <v>0</v>
      </c>
      <c r="AQ234" s="304">
        <f>SUMIFS('PCO Log'!$E58:$SJ58,'PCO Log'!$E$9:$SJ$9,'Graph Data'!AQ$187,'PCO Log'!$E$4:$SJ$4,"&lt;&gt;Bid Package",'PCO Log'!$E$7:$SJ$7,"Approved")</f>
        <v>0</v>
      </c>
      <c r="AR234" s="304">
        <f>SUMIFS('PCO Log'!$E58:$SJ58,'PCO Log'!$E$9:$SJ$9,'Graph Data'!AR$187,'PCO Log'!$E$4:$SJ$4,"&lt;&gt;Bid Package",'PCO Log'!$E$7:$SJ$7,"Approved")</f>
        <v>0</v>
      </c>
      <c r="AS234" s="304">
        <f>SUMIFS('PCO Log'!$E58:$SJ58,'PCO Log'!$E$9:$SJ$9,'Graph Data'!AS$187,'PCO Log'!$E$4:$SJ$4,"&lt;&gt;Bid Package",'PCO Log'!$E$7:$SJ$7,"Approved")</f>
        <v>0</v>
      </c>
      <c r="AT234" s="304">
        <f>SUMIFS('PCO Log'!$E58:$SJ58,'PCO Log'!$E$9:$SJ$9,'Graph Data'!AT$187,'PCO Log'!$E$4:$SJ$4,"&lt;&gt;Bid Package",'PCO Log'!$E$7:$SJ$7,"Approved")</f>
        <v>0</v>
      </c>
      <c r="AU234" s="304">
        <f>SUMIFS('PCO Log'!$E58:$SJ58,'PCO Log'!$E$9:$SJ$9,'Graph Data'!AU$187,'PCO Log'!$E$4:$SJ$4,"&lt;&gt;Bid Package",'PCO Log'!$E$7:$SJ$7,"Approved")</f>
        <v>0</v>
      </c>
      <c r="AV234" s="304">
        <f>SUMIFS('PCO Log'!$E58:$SJ58,'PCO Log'!$E$9:$SJ$9,'Graph Data'!AV$187,'PCO Log'!$E$4:$SJ$4,"&lt;&gt;Bid Package",'PCO Log'!$E$7:$SJ$7,"Approved")</f>
        <v>0</v>
      </c>
      <c r="AW234" s="304">
        <f>SUMIFS('PCO Log'!$E58:$SJ58,'PCO Log'!$E$9:$SJ$9,'Graph Data'!AW$187,'PCO Log'!$E$4:$SJ$4,"&lt;&gt;Bid Package",'PCO Log'!$E$7:$SJ$7,"Approved")</f>
        <v>0</v>
      </c>
      <c r="AX234" s="304">
        <f>SUMIFS('PCO Log'!$E58:$SJ58,'PCO Log'!$E$9:$SJ$9,'Graph Data'!AX$187,'PCO Log'!$E$4:$SJ$4,"&lt;&gt;Bid Package",'PCO Log'!$E$7:$SJ$7,"Approved")</f>
        <v>0</v>
      </c>
      <c r="AY234" s="304">
        <f>SUMIFS('PCO Log'!$E58:$SJ58,'PCO Log'!$E$9:$SJ$9,'Graph Data'!AY$187,'PCO Log'!$E$4:$SJ$4,"&lt;&gt;Bid Package",'PCO Log'!$E$7:$SJ$7,"Approved")</f>
        <v>0</v>
      </c>
      <c r="AZ234" s="304">
        <f>SUMIFS('PCO Log'!$E58:$SJ58,'PCO Log'!$E$9:$SJ$9,'Graph Data'!AZ$187,'PCO Log'!$E$4:$SJ$4,"&lt;&gt;Bid Package",'PCO Log'!$E$7:$SJ$7,"Approved")</f>
        <v>0</v>
      </c>
      <c r="BA234" s="304">
        <f>SUMIFS('PCO Log'!$E58:$SJ58,'PCO Log'!$E$9:$SJ$9,'Graph Data'!BA$187,'PCO Log'!$E$4:$SJ$4,"&lt;&gt;Bid Package",'PCO Log'!$E$7:$SJ$7,"Approved")</f>
        <v>0</v>
      </c>
      <c r="BB234" s="304">
        <f>SUMIFS('PCO Log'!$E58:$SJ58,'PCO Log'!$E$9:$SJ$9,'Graph Data'!BB$187,'PCO Log'!$E$4:$SJ$4,"&lt;&gt;Bid Package",'PCO Log'!$E$7:$SJ$7,"Approved")</f>
        <v>0</v>
      </c>
      <c r="BC234" s="304">
        <f>SUMIFS('PCO Log'!$E58:$SJ58,'PCO Log'!$E$9:$SJ$9,'Graph Data'!BC$187,'PCO Log'!$E$4:$SJ$4,"&lt;&gt;Bid Package",'PCO Log'!$E$7:$SJ$7,"Approved")</f>
        <v>0</v>
      </c>
      <c r="BD234" s="304">
        <f>SUMIFS('PCO Log'!$E58:$SJ58,'PCO Log'!$E$9:$SJ$9,'Graph Data'!BD$187,'PCO Log'!$E$4:$SJ$4,"&lt;&gt;Bid Package",'PCO Log'!$E$7:$SJ$7,"Approved")</f>
        <v>0</v>
      </c>
      <c r="BE234" s="304">
        <f>SUMIFS('PCO Log'!$E58:$SJ58,'PCO Log'!$E$9:$SJ$9,'Graph Data'!BE$187,'PCO Log'!$E$4:$SJ$4,"&lt;&gt;Bid Package",'PCO Log'!$E$7:$SJ$7,"Approved")</f>
        <v>0</v>
      </c>
      <c r="BF234" s="304">
        <f>SUMIFS('PCO Log'!$E58:$SJ58,'PCO Log'!$E$9:$SJ$9,'Graph Data'!BF$187,'PCO Log'!$E$4:$SJ$4,"&lt;&gt;Bid Package",'PCO Log'!$E$7:$SJ$7,"Approved")</f>
        <v>0</v>
      </c>
      <c r="BG234" s="304">
        <f>SUMIFS('PCO Log'!$E58:$SJ58,'PCO Log'!$E$9:$SJ$9,'Graph Data'!BG$187,'PCO Log'!$E$4:$SJ$4,"&lt;&gt;Bid Package",'PCO Log'!$E$7:$SJ$7,"Approved")</f>
        <v>0</v>
      </c>
      <c r="BH234" s="304">
        <f>SUMIFS('PCO Log'!$E58:$SJ58,'PCO Log'!$E$9:$SJ$9,'Graph Data'!BH$187,'PCO Log'!$E$4:$SJ$4,"&lt;&gt;Bid Package",'PCO Log'!$E$7:$SJ$7,"Approved")</f>
        <v>0</v>
      </c>
      <c r="BI234" s="304">
        <f>SUMIFS('PCO Log'!$E58:$SJ58,'PCO Log'!$E$9:$SJ$9,'Graph Data'!BI$187,'PCO Log'!$E$4:$SJ$4,"&lt;&gt;Bid Package",'PCO Log'!$E$7:$SJ$7,"Approved")</f>
        <v>0</v>
      </c>
      <c r="BJ234" s="304">
        <f>SUMIFS('PCO Log'!$E58:$SJ58,'PCO Log'!$E$9:$SJ$9,'Graph Data'!BJ$187,'PCO Log'!$E$4:$SJ$4,"&lt;&gt;Bid Package",'PCO Log'!$E$7:$SJ$7,"Approved")</f>
        <v>0</v>
      </c>
      <c r="BK234" s="304">
        <f>SUMIFS('PCO Log'!$E58:$SJ58,'PCO Log'!$E$9:$SJ$9,'Graph Data'!BK$187,'PCO Log'!$E$4:$SJ$4,"&lt;&gt;Bid Package",'PCO Log'!$E$7:$SJ$7,"Approved")</f>
        <v>0</v>
      </c>
      <c r="BL234" s="304">
        <f>SUMIFS('PCO Log'!$E58:$SJ58,'PCO Log'!$E$9:$SJ$9,'Graph Data'!BL$187,'PCO Log'!$E$4:$SJ$4,"&lt;&gt;Bid Package",'PCO Log'!$E$7:$SJ$7,"Approved")</f>
        <v>0</v>
      </c>
      <c r="BM234" s="304">
        <f>SUMIFS('PCO Log'!$E58:$SJ58,'PCO Log'!$E$9:$SJ$9,'Graph Data'!BM$187,'PCO Log'!$E$4:$SJ$4,"&lt;&gt;Bid Package",'PCO Log'!$E$7:$SJ$7,"Approved")</f>
        <v>0</v>
      </c>
      <c r="BN234" s="304">
        <f>SUMIFS('PCO Log'!$E58:$SJ58,'PCO Log'!$E$9:$SJ$9,'Graph Data'!BN$187,'PCO Log'!$E$4:$SJ$4,"&lt;&gt;Bid Package",'PCO Log'!$E$7:$SJ$7,"Approved")</f>
        <v>0</v>
      </c>
      <c r="BO234" s="304">
        <f>SUMIFS('PCO Log'!$E58:$SJ58,'PCO Log'!$E$9:$SJ$9,'Graph Data'!BO$187,'PCO Log'!$E$4:$SJ$4,"&lt;&gt;Bid Package",'PCO Log'!$E$7:$SJ$7,"Approved")</f>
        <v>0</v>
      </c>
      <c r="BP234" s="304">
        <f>SUMIFS('PCO Log'!$E58:$SJ58,'PCO Log'!$E$9:$SJ$9,'Graph Data'!BP$187,'PCO Log'!$E$4:$SJ$4,"&lt;&gt;Bid Package",'PCO Log'!$E$7:$SJ$7,"Approved")</f>
        <v>0</v>
      </c>
      <c r="BQ234" s="304">
        <f>SUMIFS('PCO Log'!$E58:$SJ58,'PCO Log'!$E$9:$SJ$9,'Graph Data'!BQ$187,'PCO Log'!$E$4:$SJ$4,"&lt;&gt;Bid Package",'PCO Log'!$E$7:$SJ$7,"Approved")</f>
        <v>0</v>
      </c>
      <c r="BR234" s="304">
        <f>SUMIFS('PCO Log'!$E58:$SJ58,'PCO Log'!$E$9:$SJ$9,'Graph Data'!BR$187,'PCO Log'!$E$4:$SJ$4,"&lt;&gt;Bid Package",'PCO Log'!$E$7:$SJ$7,"Approved")</f>
        <v>0</v>
      </c>
      <c r="BS234" s="304">
        <f>SUMIFS('PCO Log'!$E58:$SJ58,'PCO Log'!$E$9:$SJ$9,'Graph Data'!BS$187,'PCO Log'!$E$4:$SJ$4,"&lt;&gt;Bid Package",'PCO Log'!$E$7:$SJ$7,"Approved")</f>
        <v>0</v>
      </c>
      <c r="BT234" s="304">
        <f>SUMIFS('PCO Log'!$E58:$SJ58,'PCO Log'!$E$9:$SJ$9,'Graph Data'!BT$187,'PCO Log'!$E$4:$SJ$4,"&lt;&gt;Bid Package",'PCO Log'!$E$7:$SJ$7,"Approved")</f>
        <v>0</v>
      </c>
      <c r="BU234" s="304">
        <f>SUMIFS('PCO Log'!$E58:$SJ58,'PCO Log'!$E$9:$SJ$9,'Graph Data'!BU$187,'PCO Log'!$E$4:$SJ$4,"&lt;&gt;Bid Package",'PCO Log'!$E$7:$SJ$7,"Approved")</f>
        <v>0</v>
      </c>
      <c r="BV234" s="304">
        <f>SUMIFS('PCO Log'!$E58:$SJ58,'PCO Log'!$E$9:$SJ$9,'Graph Data'!BV$187,'PCO Log'!$E$4:$SJ$4,"&lt;&gt;Bid Package",'PCO Log'!$E$7:$SJ$7,"Approved")</f>
        <v>0</v>
      </c>
      <c r="BW234" s="304">
        <f>SUMIFS('PCO Log'!$E58:$SJ58,'PCO Log'!$E$9:$SJ$9,'Graph Data'!BW$187,'PCO Log'!$E$4:$SJ$4,"&lt;&gt;Bid Package",'PCO Log'!$E$7:$SJ$7,"Approved")</f>
        <v>0</v>
      </c>
      <c r="BX234" s="304">
        <f>SUMIFS('PCO Log'!$E58:$SJ58,'PCO Log'!$E$9:$SJ$9,'Graph Data'!BX$187,'PCO Log'!$E$4:$SJ$4,"&lt;&gt;Bid Package",'PCO Log'!$E$7:$SJ$7,"Approved")</f>
        <v>0</v>
      </c>
    </row>
    <row r="235" spans="1:76" x14ac:dyDescent="0.25">
      <c r="A235" s="303" t="s">
        <v>585</v>
      </c>
      <c r="B235" s="303">
        <f>'PCO Log'!ID7</f>
        <v>0</v>
      </c>
      <c r="C235" s="303">
        <f>'PCO Log'!ID4</f>
        <v>0</v>
      </c>
      <c r="D235" s="303" cm="1">
        <f t="array" ref="D235">INDEX('PCO Log'!$E$5:$SJ$5, 1, ROWS('Graph Data'!$D$2:D235))</f>
        <v>0</v>
      </c>
      <c r="E235" s="303">
        <f>'PCO Log'!ID8</f>
        <v>0</v>
      </c>
      <c r="F235" s="303">
        <f>'PCO Log'!ID3</f>
        <v>0</v>
      </c>
      <c r="G235" s="304">
        <f>'PCO Log'!ID10</f>
        <v>0</v>
      </c>
      <c r="H235" s="305">
        <f>'PCO Log'!ID6</f>
        <v>0</v>
      </c>
      <c r="K235" s="307"/>
      <c r="P235" s="303" t="str">
        <f t="shared" si="4"/>
        <v>Floor Coverings</v>
      </c>
      <c r="Q235" s="304">
        <f>SUMIFS('PCO Log'!$E59:$SJ59,'PCO Log'!$E$9:$SJ$9,'Graph Data'!Q$187,'PCO Log'!$E$4:$SJ$4,"&lt;&gt;Bid Package",'PCO Log'!$E$7:$SJ$7,"Approved")</f>
        <v>0</v>
      </c>
      <c r="R235" s="304">
        <f>SUMIFS('PCO Log'!$E59:$SJ59,'PCO Log'!$E$9:$SJ$9,'Graph Data'!R$187,'PCO Log'!$E$4:$SJ$4,"&lt;&gt;Bid Package",'PCO Log'!$E$7:$SJ$7,"Approved")</f>
        <v>0</v>
      </c>
      <c r="S235" s="304">
        <f>SUMIFS('PCO Log'!$E59:$SJ59,'PCO Log'!$E$9:$SJ$9,'Graph Data'!S$187,'PCO Log'!$E$4:$SJ$4,"&lt;&gt;Bid Package",'PCO Log'!$E$7:$SJ$7,"Approved")</f>
        <v>0</v>
      </c>
      <c r="T235" s="304">
        <f>SUMIFS('PCO Log'!$E59:$SJ59,'PCO Log'!$E$9:$SJ$9,'Graph Data'!T$187,'PCO Log'!$E$4:$SJ$4,"&lt;&gt;Bid Package",'PCO Log'!$E$7:$SJ$7,"Approved")</f>
        <v>0</v>
      </c>
      <c r="U235" s="304">
        <f>SUMIFS('PCO Log'!$E59:$SJ59,'PCO Log'!$E$9:$SJ$9,'Graph Data'!U$187,'PCO Log'!$E$4:$SJ$4,"&lt;&gt;Bid Package",'PCO Log'!$E$7:$SJ$7,"Approved")</f>
        <v>0</v>
      </c>
      <c r="V235" s="304">
        <f>SUMIFS('PCO Log'!$E59:$SJ59,'PCO Log'!$E$9:$SJ$9,'Graph Data'!V$187,'PCO Log'!$E$4:$SJ$4,"&lt;&gt;Bid Package",'PCO Log'!$E$7:$SJ$7,"Approved")</f>
        <v>0</v>
      </c>
      <c r="W235" s="304">
        <f>SUMIFS('PCO Log'!$E59:$SJ59,'PCO Log'!$E$9:$SJ$9,'Graph Data'!W$187,'PCO Log'!$E$4:$SJ$4,"&lt;&gt;Bid Package",'PCO Log'!$E$7:$SJ$7,"Approved")</f>
        <v>0</v>
      </c>
      <c r="X235" s="304">
        <f>SUMIFS('PCO Log'!$E59:$SJ59,'PCO Log'!$E$9:$SJ$9,'Graph Data'!X$187,'PCO Log'!$E$4:$SJ$4,"&lt;&gt;Bid Package",'PCO Log'!$E$7:$SJ$7,"Approved")</f>
        <v>0</v>
      </c>
      <c r="Y235" s="304">
        <f>SUMIFS('PCO Log'!$E59:$SJ59,'PCO Log'!$E$9:$SJ$9,'Graph Data'!Y$187,'PCO Log'!$E$4:$SJ$4,"&lt;&gt;Bid Package",'PCO Log'!$E$7:$SJ$7,"Approved")</f>
        <v>0</v>
      </c>
      <c r="Z235" s="304">
        <f>SUMIFS('PCO Log'!$E59:$SJ59,'PCO Log'!$E$9:$SJ$9,'Graph Data'!Z$187,'PCO Log'!$E$4:$SJ$4,"&lt;&gt;Bid Package",'PCO Log'!$E$7:$SJ$7,"Approved")</f>
        <v>0</v>
      </c>
      <c r="AA235" s="304">
        <f>SUMIFS('PCO Log'!$E59:$SJ59,'PCO Log'!$E$9:$SJ$9,'Graph Data'!AA$187,'PCO Log'!$E$4:$SJ$4,"&lt;&gt;Bid Package",'PCO Log'!$E$7:$SJ$7,"Approved")</f>
        <v>0</v>
      </c>
      <c r="AB235" s="304">
        <f>SUMIFS('PCO Log'!$E59:$SJ59,'PCO Log'!$E$9:$SJ$9,'Graph Data'!AB$187,'PCO Log'!$E$4:$SJ$4,"&lt;&gt;Bid Package",'PCO Log'!$E$7:$SJ$7,"Approved")</f>
        <v>0</v>
      </c>
      <c r="AC235" s="304">
        <f>SUMIFS('PCO Log'!$E59:$SJ59,'PCO Log'!$E$9:$SJ$9,'Graph Data'!AC$187,'PCO Log'!$E$4:$SJ$4,"&lt;&gt;Bid Package",'PCO Log'!$E$7:$SJ$7,"Approved")</f>
        <v>0</v>
      </c>
      <c r="AD235" s="304">
        <f>SUMIFS('PCO Log'!$E59:$SJ59,'PCO Log'!$E$9:$SJ$9,'Graph Data'!AD$187,'PCO Log'!$E$4:$SJ$4,"&lt;&gt;Bid Package",'PCO Log'!$E$7:$SJ$7,"Approved")</f>
        <v>0</v>
      </c>
      <c r="AE235" s="304">
        <f>SUMIFS('PCO Log'!$E59:$SJ59,'PCO Log'!$E$9:$SJ$9,'Graph Data'!AE$187,'PCO Log'!$E$4:$SJ$4,"&lt;&gt;Bid Package",'PCO Log'!$E$7:$SJ$7,"Approved")</f>
        <v>0</v>
      </c>
      <c r="AF235" s="304">
        <f>SUMIFS('PCO Log'!$E59:$SJ59,'PCO Log'!$E$9:$SJ$9,'Graph Data'!AF$187,'PCO Log'!$E$4:$SJ$4,"&lt;&gt;Bid Package",'PCO Log'!$E$7:$SJ$7,"Approved")</f>
        <v>0</v>
      </c>
      <c r="AG235" s="304">
        <f>SUMIFS('PCO Log'!$E59:$SJ59,'PCO Log'!$E$9:$SJ$9,'Graph Data'!AG$187,'PCO Log'!$E$4:$SJ$4,"&lt;&gt;Bid Package",'PCO Log'!$E$7:$SJ$7,"Approved")</f>
        <v>0</v>
      </c>
      <c r="AH235" s="304">
        <f>SUMIFS('PCO Log'!$E59:$SJ59,'PCO Log'!$E$9:$SJ$9,'Graph Data'!AH$187,'PCO Log'!$E$4:$SJ$4,"&lt;&gt;Bid Package",'PCO Log'!$E$7:$SJ$7,"Approved")</f>
        <v>0</v>
      </c>
      <c r="AI235" s="304">
        <f>SUMIFS('PCO Log'!$E59:$SJ59,'PCO Log'!$E$9:$SJ$9,'Graph Data'!AI$187,'PCO Log'!$E$4:$SJ$4,"&lt;&gt;Bid Package",'PCO Log'!$E$7:$SJ$7,"Approved")</f>
        <v>0</v>
      </c>
      <c r="AJ235" s="304">
        <f>SUMIFS('PCO Log'!$E59:$SJ59,'PCO Log'!$E$9:$SJ$9,'Graph Data'!AJ$187,'PCO Log'!$E$4:$SJ$4,"&lt;&gt;Bid Package",'PCO Log'!$E$7:$SJ$7,"Approved")</f>
        <v>0</v>
      </c>
      <c r="AK235" s="304">
        <f>SUMIFS('PCO Log'!$E59:$SJ59,'PCO Log'!$E$9:$SJ$9,'Graph Data'!AK$187,'PCO Log'!$E$4:$SJ$4,"&lt;&gt;Bid Package",'PCO Log'!$E$7:$SJ$7,"Approved")</f>
        <v>0</v>
      </c>
      <c r="AL235" s="304">
        <f>SUMIFS('PCO Log'!$E59:$SJ59,'PCO Log'!$E$9:$SJ$9,'Graph Data'!AL$187,'PCO Log'!$E$4:$SJ$4,"&lt;&gt;Bid Package",'PCO Log'!$E$7:$SJ$7,"Approved")</f>
        <v>0</v>
      </c>
      <c r="AM235" s="304">
        <f>SUMIFS('PCO Log'!$E59:$SJ59,'PCO Log'!$E$9:$SJ$9,'Graph Data'!AM$187,'PCO Log'!$E$4:$SJ$4,"&lt;&gt;Bid Package",'PCO Log'!$E$7:$SJ$7,"Approved")</f>
        <v>0</v>
      </c>
      <c r="AN235" s="304">
        <f>SUMIFS('PCO Log'!$E59:$SJ59,'PCO Log'!$E$9:$SJ$9,'Graph Data'!AN$187,'PCO Log'!$E$4:$SJ$4,"&lt;&gt;Bid Package",'PCO Log'!$E$7:$SJ$7,"Approved")</f>
        <v>0</v>
      </c>
      <c r="AO235" s="304">
        <f>SUMIFS('PCO Log'!$E59:$SJ59,'PCO Log'!$E$9:$SJ$9,'Graph Data'!AO$187,'PCO Log'!$E$4:$SJ$4,"&lt;&gt;Bid Package",'PCO Log'!$E$7:$SJ$7,"Approved")</f>
        <v>0</v>
      </c>
      <c r="AP235" s="304">
        <f>SUMIFS('PCO Log'!$E59:$SJ59,'PCO Log'!$E$9:$SJ$9,'Graph Data'!AP$187,'PCO Log'!$E$4:$SJ$4,"&lt;&gt;Bid Package",'PCO Log'!$E$7:$SJ$7,"Approved")</f>
        <v>0</v>
      </c>
      <c r="AQ235" s="304">
        <f>SUMIFS('PCO Log'!$E59:$SJ59,'PCO Log'!$E$9:$SJ$9,'Graph Data'!AQ$187,'PCO Log'!$E$4:$SJ$4,"&lt;&gt;Bid Package",'PCO Log'!$E$7:$SJ$7,"Approved")</f>
        <v>0</v>
      </c>
      <c r="AR235" s="304">
        <f>SUMIFS('PCO Log'!$E59:$SJ59,'PCO Log'!$E$9:$SJ$9,'Graph Data'!AR$187,'PCO Log'!$E$4:$SJ$4,"&lt;&gt;Bid Package",'PCO Log'!$E$7:$SJ$7,"Approved")</f>
        <v>0</v>
      </c>
      <c r="AS235" s="304">
        <f>SUMIFS('PCO Log'!$E59:$SJ59,'PCO Log'!$E$9:$SJ$9,'Graph Data'!AS$187,'PCO Log'!$E$4:$SJ$4,"&lt;&gt;Bid Package",'PCO Log'!$E$7:$SJ$7,"Approved")</f>
        <v>0</v>
      </c>
      <c r="AT235" s="304">
        <f>SUMIFS('PCO Log'!$E59:$SJ59,'PCO Log'!$E$9:$SJ$9,'Graph Data'!AT$187,'PCO Log'!$E$4:$SJ$4,"&lt;&gt;Bid Package",'PCO Log'!$E$7:$SJ$7,"Approved")</f>
        <v>0</v>
      </c>
      <c r="AU235" s="304">
        <f>SUMIFS('PCO Log'!$E59:$SJ59,'PCO Log'!$E$9:$SJ$9,'Graph Data'!AU$187,'PCO Log'!$E$4:$SJ$4,"&lt;&gt;Bid Package",'PCO Log'!$E$7:$SJ$7,"Approved")</f>
        <v>0</v>
      </c>
      <c r="AV235" s="304">
        <f>SUMIFS('PCO Log'!$E59:$SJ59,'PCO Log'!$E$9:$SJ$9,'Graph Data'!AV$187,'PCO Log'!$E$4:$SJ$4,"&lt;&gt;Bid Package",'PCO Log'!$E$7:$SJ$7,"Approved")</f>
        <v>0</v>
      </c>
      <c r="AW235" s="304">
        <f>SUMIFS('PCO Log'!$E59:$SJ59,'PCO Log'!$E$9:$SJ$9,'Graph Data'!AW$187,'PCO Log'!$E$4:$SJ$4,"&lt;&gt;Bid Package",'PCO Log'!$E$7:$SJ$7,"Approved")</f>
        <v>0</v>
      </c>
      <c r="AX235" s="304">
        <f>SUMIFS('PCO Log'!$E59:$SJ59,'PCO Log'!$E$9:$SJ$9,'Graph Data'!AX$187,'PCO Log'!$E$4:$SJ$4,"&lt;&gt;Bid Package",'PCO Log'!$E$7:$SJ$7,"Approved")</f>
        <v>0</v>
      </c>
      <c r="AY235" s="304">
        <f>SUMIFS('PCO Log'!$E59:$SJ59,'PCO Log'!$E$9:$SJ$9,'Graph Data'!AY$187,'PCO Log'!$E$4:$SJ$4,"&lt;&gt;Bid Package",'PCO Log'!$E$7:$SJ$7,"Approved")</f>
        <v>0</v>
      </c>
      <c r="AZ235" s="304">
        <f>SUMIFS('PCO Log'!$E59:$SJ59,'PCO Log'!$E$9:$SJ$9,'Graph Data'!AZ$187,'PCO Log'!$E$4:$SJ$4,"&lt;&gt;Bid Package",'PCO Log'!$E$7:$SJ$7,"Approved")</f>
        <v>0</v>
      </c>
      <c r="BA235" s="304">
        <f>SUMIFS('PCO Log'!$E59:$SJ59,'PCO Log'!$E$9:$SJ$9,'Graph Data'!BA$187,'PCO Log'!$E$4:$SJ$4,"&lt;&gt;Bid Package",'PCO Log'!$E$7:$SJ$7,"Approved")</f>
        <v>0</v>
      </c>
      <c r="BB235" s="304">
        <f>SUMIFS('PCO Log'!$E59:$SJ59,'PCO Log'!$E$9:$SJ$9,'Graph Data'!BB$187,'PCO Log'!$E$4:$SJ$4,"&lt;&gt;Bid Package",'PCO Log'!$E$7:$SJ$7,"Approved")</f>
        <v>0</v>
      </c>
      <c r="BC235" s="304">
        <f>SUMIFS('PCO Log'!$E59:$SJ59,'PCO Log'!$E$9:$SJ$9,'Graph Data'!BC$187,'PCO Log'!$E$4:$SJ$4,"&lt;&gt;Bid Package",'PCO Log'!$E$7:$SJ$7,"Approved")</f>
        <v>0</v>
      </c>
      <c r="BD235" s="304">
        <f>SUMIFS('PCO Log'!$E59:$SJ59,'PCO Log'!$E$9:$SJ$9,'Graph Data'!BD$187,'PCO Log'!$E$4:$SJ$4,"&lt;&gt;Bid Package",'PCO Log'!$E$7:$SJ$7,"Approved")</f>
        <v>0</v>
      </c>
      <c r="BE235" s="304">
        <f>SUMIFS('PCO Log'!$E59:$SJ59,'PCO Log'!$E$9:$SJ$9,'Graph Data'!BE$187,'PCO Log'!$E$4:$SJ$4,"&lt;&gt;Bid Package",'PCO Log'!$E$7:$SJ$7,"Approved")</f>
        <v>0</v>
      </c>
      <c r="BF235" s="304">
        <f>SUMIFS('PCO Log'!$E59:$SJ59,'PCO Log'!$E$9:$SJ$9,'Graph Data'!BF$187,'PCO Log'!$E$4:$SJ$4,"&lt;&gt;Bid Package",'PCO Log'!$E$7:$SJ$7,"Approved")</f>
        <v>0</v>
      </c>
      <c r="BG235" s="304">
        <f>SUMIFS('PCO Log'!$E59:$SJ59,'PCO Log'!$E$9:$SJ$9,'Graph Data'!BG$187,'PCO Log'!$E$4:$SJ$4,"&lt;&gt;Bid Package",'PCO Log'!$E$7:$SJ$7,"Approved")</f>
        <v>0</v>
      </c>
      <c r="BH235" s="304">
        <f>SUMIFS('PCO Log'!$E59:$SJ59,'PCO Log'!$E$9:$SJ$9,'Graph Data'!BH$187,'PCO Log'!$E$4:$SJ$4,"&lt;&gt;Bid Package",'PCO Log'!$E$7:$SJ$7,"Approved")</f>
        <v>0</v>
      </c>
      <c r="BI235" s="304">
        <f>SUMIFS('PCO Log'!$E59:$SJ59,'PCO Log'!$E$9:$SJ$9,'Graph Data'!BI$187,'PCO Log'!$E$4:$SJ$4,"&lt;&gt;Bid Package",'PCO Log'!$E$7:$SJ$7,"Approved")</f>
        <v>0</v>
      </c>
      <c r="BJ235" s="304">
        <f>SUMIFS('PCO Log'!$E59:$SJ59,'PCO Log'!$E$9:$SJ$9,'Graph Data'!BJ$187,'PCO Log'!$E$4:$SJ$4,"&lt;&gt;Bid Package",'PCO Log'!$E$7:$SJ$7,"Approved")</f>
        <v>0</v>
      </c>
      <c r="BK235" s="304">
        <f>SUMIFS('PCO Log'!$E59:$SJ59,'PCO Log'!$E$9:$SJ$9,'Graph Data'!BK$187,'PCO Log'!$E$4:$SJ$4,"&lt;&gt;Bid Package",'PCO Log'!$E$7:$SJ$7,"Approved")</f>
        <v>0</v>
      </c>
      <c r="BL235" s="304">
        <f>SUMIFS('PCO Log'!$E59:$SJ59,'PCO Log'!$E$9:$SJ$9,'Graph Data'!BL$187,'PCO Log'!$E$4:$SJ$4,"&lt;&gt;Bid Package",'PCO Log'!$E$7:$SJ$7,"Approved")</f>
        <v>0</v>
      </c>
      <c r="BM235" s="304">
        <f>SUMIFS('PCO Log'!$E59:$SJ59,'PCO Log'!$E$9:$SJ$9,'Graph Data'!BM$187,'PCO Log'!$E$4:$SJ$4,"&lt;&gt;Bid Package",'PCO Log'!$E$7:$SJ$7,"Approved")</f>
        <v>0</v>
      </c>
      <c r="BN235" s="304">
        <f>SUMIFS('PCO Log'!$E59:$SJ59,'PCO Log'!$E$9:$SJ$9,'Graph Data'!BN$187,'PCO Log'!$E$4:$SJ$4,"&lt;&gt;Bid Package",'PCO Log'!$E$7:$SJ$7,"Approved")</f>
        <v>0</v>
      </c>
      <c r="BO235" s="304">
        <f>SUMIFS('PCO Log'!$E59:$SJ59,'PCO Log'!$E$9:$SJ$9,'Graph Data'!BO$187,'PCO Log'!$E$4:$SJ$4,"&lt;&gt;Bid Package",'PCO Log'!$E$7:$SJ$7,"Approved")</f>
        <v>0</v>
      </c>
      <c r="BP235" s="304">
        <f>SUMIFS('PCO Log'!$E59:$SJ59,'PCO Log'!$E$9:$SJ$9,'Graph Data'!BP$187,'PCO Log'!$E$4:$SJ$4,"&lt;&gt;Bid Package",'PCO Log'!$E$7:$SJ$7,"Approved")</f>
        <v>0</v>
      </c>
      <c r="BQ235" s="304">
        <f>SUMIFS('PCO Log'!$E59:$SJ59,'PCO Log'!$E$9:$SJ$9,'Graph Data'!BQ$187,'PCO Log'!$E$4:$SJ$4,"&lt;&gt;Bid Package",'PCO Log'!$E$7:$SJ$7,"Approved")</f>
        <v>0</v>
      </c>
      <c r="BR235" s="304">
        <f>SUMIFS('PCO Log'!$E59:$SJ59,'PCO Log'!$E$9:$SJ$9,'Graph Data'!BR$187,'PCO Log'!$E$4:$SJ$4,"&lt;&gt;Bid Package",'PCO Log'!$E$7:$SJ$7,"Approved")</f>
        <v>0</v>
      </c>
      <c r="BS235" s="304">
        <f>SUMIFS('PCO Log'!$E59:$SJ59,'PCO Log'!$E$9:$SJ$9,'Graph Data'!BS$187,'PCO Log'!$E$4:$SJ$4,"&lt;&gt;Bid Package",'PCO Log'!$E$7:$SJ$7,"Approved")</f>
        <v>0</v>
      </c>
      <c r="BT235" s="304">
        <f>SUMIFS('PCO Log'!$E59:$SJ59,'PCO Log'!$E$9:$SJ$9,'Graph Data'!BT$187,'PCO Log'!$E$4:$SJ$4,"&lt;&gt;Bid Package",'PCO Log'!$E$7:$SJ$7,"Approved")</f>
        <v>0</v>
      </c>
      <c r="BU235" s="304">
        <f>SUMIFS('PCO Log'!$E59:$SJ59,'PCO Log'!$E$9:$SJ$9,'Graph Data'!BU$187,'PCO Log'!$E$4:$SJ$4,"&lt;&gt;Bid Package",'PCO Log'!$E$7:$SJ$7,"Approved")</f>
        <v>0</v>
      </c>
      <c r="BV235" s="304">
        <f>SUMIFS('PCO Log'!$E59:$SJ59,'PCO Log'!$E$9:$SJ$9,'Graph Data'!BV$187,'PCO Log'!$E$4:$SJ$4,"&lt;&gt;Bid Package",'PCO Log'!$E$7:$SJ$7,"Approved")</f>
        <v>0</v>
      </c>
      <c r="BW235" s="304">
        <f>SUMIFS('PCO Log'!$E59:$SJ59,'PCO Log'!$E$9:$SJ$9,'Graph Data'!BW$187,'PCO Log'!$E$4:$SJ$4,"&lt;&gt;Bid Package",'PCO Log'!$E$7:$SJ$7,"Approved")</f>
        <v>0</v>
      </c>
      <c r="BX235" s="304">
        <f>SUMIFS('PCO Log'!$E59:$SJ59,'PCO Log'!$E$9:$SJ$9,'Graph Data'!BX$187,'PCO Log'!$E$4:$SJ$4,"&lt;&gt;Bid Package",'PCO Log'!$E$7:$SJ$7,"Approved")</f>
        <v>0</v>
      </c>
    </row>
    <row r="236" spans="1:76" x14ac:dyDescent="0.25">
      <c r="A236" s="303" t="s">
        <v>586</v>
      </c>
      <c r="B236" s="303">
        <f>'PCO Log'!IE7</f>
        <v>0</v>
      </c>
      <c r="C236" s="303">
        <f>'PCO Log'!IE4</f>
        <v>0</v>
      </c>
      <c r="D236" s="303" cm="1">
        <f t="array" ref="D236">INDEX('PCO Log'!$E$5:$SJ$5, 1, ROWS('Graph Data'!$D$2:D236))</f>
        <v>0</v>
      </c>
      <c r="E236" s="303">
        <f>'PCO Log'!IE8</f>
        <v>0</v>
      </c>
      <c r="F236" s="303">
        <f>'PCO Log'!IE3</f>
        <v>0</v>
      </c>
      <c r="G236" s="304">
        <f>'PCO Log'!IE10</f>
        <v>0</v>
      </c>
      <c r="H236" s="305">
        <f>'PCO Log'!IE6</f>
        <v>0</v>
      </c>
      <c r="K236" s="307"/>
      <c r="P236" s="303" t="str">
        <f t="shared" si="4"/>
        <v>Specialty Flooring</v>
      </c>
      <c r="Q236" s="304">
        <f>SUMIFS('PCO Log'!$E60:$SJ60,'PCO Log'!$E$9:$SJ$9,'Graph Data'!Q$187,'PCO Log'!$E$4:$SJ$4,"&lt;&gt;Bid Package",'PCO Log'!$E$7:$SJ$7,"Approved")</f>
        <v>0</v>
      </c>
      <c r="R236" s="304">
        <f>SUMIFS('PCO Log'!$E60:$SJ60,'PCO Log'!$E$9:$SJ$9,'Graph Data'!R$187,'PCO Log'!$E$4:$SJ$4,"&lt;&gt;Bid Package",'PCO Log'!$E$7:$SJ$7,"Approved")</f>
        <v>0</v>
      </c>
      <c r="S236" s="304">
        <f>SUMIFS('PCO Log'!$E60:$SJ60,'PCO Log'!$E$9:$SJ$9,'Graph Data'!S$187,'PCO Log'!$E$4:$SJ$4,"&lt;&gt;Bid Package",'PCO Log'!$E$7:$SJ$7,"Approved")</f>
        <v>0</v>
      </c>
      <c r="T236" s="304">
        <f>SUMIFS('PCO Log'!$E60:$SJ60,'PCO Log'!$E$9:$SJ$9,'Graph Data'!T$187,'PCO Log'!$E$4:$SJ$4,"&lt;&gt;Bid Package",'PCO Log'!$E$7:$SJ$7,"Approved")</f>
        <v>0</v>
      </c>
      <c r="U236" s="304">
        <f>SUMIFS('PCO Log'!$E60:$SJ60,'PCO Log'!$E$9:$SJ$9,'Graph Data'!U$187,'PCO Log'!$E$4:$SJ$4,"&lt;&gt;Bid Package",'PCO Log'!$E$7:$SJ$7,"Approved")</f>
        <v>0</v>
      </c>
      <c r="V236" s="304">
        <f>SUMIFS('PCO Log'!$E60:$SJ60,'PCO Log'!$E$9:$SJ$9,'Graph Data'!V$187,'PCO Log'!$E$4:$SJ$4,"&lt;&gt;Bid Package",'PCO Log'!$E$7:$SJ$7,"Approved")</f>
        <v>0</v>
      </c>
      <c r="W236" s="304">
        <f>SUMIFS('PCO Log'!$E60:$SJ60,'PCO Log'!$E$9:$SJ$9,'Graph Data'!W$187,'PCO Log'!$E$4:$SJ$4,"&lt;&gt;Bid Package",'PCO Log'!$E$7:$SJ$7,"Approved")</f>
        <v>0</v>
      </c>
      <c r="X236" s="304">
        <f>SUMIFS('PCO Log'!$E60:$SJ60,'PCO Log'!$E$9:$SJ$9,'Graph Data'!X$187,'PCO Log'!$E$4:$SJ$4,"&lt;&gt;Bid Package",'PCO Log'!$E$7:$SJ$7,"Approved")</f>
        <v>0</v>
      </c>
      <c r="Y236" s="304">
        <f>SUMIFS('PCO Log'!$E60:$SJ60,'PCO Log'!$E$9:$SJ$9,'Graph Data'!Y$187,'PCO Log'!$E$4:$SJ$4,"&lt;&gt;Bid Package",'PCO Log'!$E$7:$SJ$7,"Approved")</f>
        <v>0</v>
      </c>
      <c r="Z236" s="304">
        <f>SUMIFS('PCO Log'!$E60:$SJ60,'PCO Log'!$E$9:$SJ$9,'Graph Data'!Z$187,'PCO Log'!$E$4:$SJ$4,"&lt;&gt;Bid Package",'PCO Log'!$E$7:$SJ$7,"Approved")</f>
        <v>0</v>
      </c>
      <c r="AA236" s="304">
        <f>SUMIFS('PCO Log'!$E60:$SJ60,'PCO Log'!$E$9:$SJ$9,'Graph Data'!AA$187,'PCO Log'!$E$4:$SJ$4,"&lt;&gt;Bid Package",'PCO Log'!$E$7:$SJ$7,"Approved")</f>
        <v>0</v>
      </c>
      <c r="AB236" s="304">
        <f>SUMIFS('PCO Log'!$E60:$SJ60,'PCO Log'!$E$9:$SJ$9,'Graph Data'!AB$187,'PCO Log'!$E$4:$SJ$4,"&lt;&gt;Bid Package",'PCO Log'!$E$7:$SJ$7,"Approved")</f>
        <v>0</v>
      </c>
      <c r="AC236" s="304">
        <f>SUMIFS('PCO Log'!$E60:$SJ60,'PCO Log'!$E$9:$SJ$9,'Graph Data'!AC$187,'PCO Log'!$E$4:$SJ$4,"&lt;&gt;Bid Package",'PCO Log'!$E$7:$SJ$7,"Approved")</f>
        <v>0</v>
      </c>
      <c r="AD236" s="304">
        <f>SUMIFS('PCO Log'!$E60:$SJ60,'PCO Log'!$E$9:$SJ$9,'Graph Data'!AD$187,'PCO Log'!$E$4:$SJ$4,"&lt;&gt;Bid Package",'PCO Log'!$E$7:$SJ$7,"Approved")</f>
        <v>0</v>
      </c>
      <c r="AE236" s="304">
        <f>SUMIFS('PCO Log'!$E60:$SJ60,'PCO Log'!$E$9:$SJ$9,'Graph Data'!AE$187,'PCO Log'!$E$4:$SJ$4,"&lt;&gt;Bid Package",'PCO Log'!$E$7:$SJ$7,"Approved")</f>
        <v>0</v>
      </c>
      <c r="AF236" s="304">
        <f>SUMIFS('PCO Log'!$E60:$SJ60,'PCO Log'!$E$9:$SJ$9,'Graph Data'!AF$187,'PCO Log'!$E$4:$SJ$4,"&lt;&gt;Bid Package",'PCO Log'!$E$7:$SJ$7,"Approved")</f>
        <v>0</v>
      </c>
      <c r="AG236" s="304">
        <f>SUMIFS('PCO Log'!$E60:$SJ60,'PCO Log'!$E$9:$SJ$9,'Graph Data'!AG$187,'PCO Log'!$E$4:$SJ$4,"&lt;&gt;Bid Package",'PCO Log'!$E$7:$SJ$7,"Approved")</f>
        <v>0</v>
      </c>
      <c r="AH236" s="304">
        <f>SUMIFS('PCO Log'!$E60:$SJ60,'PCO Log'!$E$9:$SJ$9,'Graph Data'!AH$187,'PCO Log'!$E$4:$SJ$4,"&lt;&gt;Bid Package",'PCO Log'!$E$7:$SJ$7,"Approved")</f>
        <v>0</v>
      </c>
      <c r="AI236" s="304">
        <f>SUMIFS('PCO Log'!$E60:$SJ60,'PCO Log'!$E$9:$SJ$9,'Graph Data'!AI$187,'PCO Log'!$E$4:$SJ$4,"&lt;&gt;Bid Package",'PCO Log'!$E$7:$SJ$7,"Approved")</f>
        <v>0</v>
      </c>
      <c r="AJ236" s="304">
        <f>SUMIFS('PCO Log'!$E60:$SJ60,'PCO Log'!$E$9:$SJ$9,'Graph Data'!AJ$187,'PCO Log'!$E$4:$SJ$4,"&lt;&gt;Bid Package",'PCO Log'!$E$7:$SJ$7,"Approved")</f>
        <v>0</v>
      </c>
      <c r="AK236" s="304">
        <f>SUMIFS('PCO Log'!$E60:$SJ60,'PCO Log'!$E$9:$SJ$9,'Graph Data'!AK$187,'PCO Log'!$E$4:$SJ$4,"&lt;&gt;Bid Package",'PCO Log'!$E$7:$SJ$7,"Approved")</f>
        <v>0</v>
      </c>
      <c r="AL236" s="304">
        <f>SUMIFS('PCO Log'!$E60:$SJ60,'PCO Log'!$E$9:$SJ$9,'Graph Data'!AL$187,'PCO Log'!$E$4:$SJ$4,"&lt;&gt;Bid Package",'PCO Log'!$E$7:$SJ$7,"Approved")</f>
        <v>0</v>
      </c>
      <c r="AM236" s="304">
        <f>SUMIFS('PCO Log'!$E60:$SJ60,'PCO Log'!$E$9:$SJ$9,'Graph Data'!AM$187,'PCO Log'!$E$4:$SJ$4,"&lt;&gt;Bid Package",'PCO Log'!$E$7:$SJ$7,"Approved")</f>
        <v>0</v>
      </c>
      <c r="AN236" s="304">
        <f>SUMIFS('PCO Log'!$E60:$SJ60,'PCO Log'!$E$9:$SJ$9,'Graph Data'!AN$187,'PCO Log'!$E$4:$SJ$4,"&lt;&gt;Bid Package",'PCO Log'!$E$7:$SJ$7,"Approved")</f>
        <v>0</v>
      </c>
      <c r="AO236" s="304">
        <f>SUMIFS('PCO Log'!$E60:$SJ60,'PCO Log'!$E$9:$SJ$9,'Graph Data'!AO$187,'PCO Log'!$E$4:$SJ$4,"&lt;&gt;Bid Package",'PCO Log'!$E$7:$SJ$7,"Approved")</f>
        <v>0</v>
      </c>
      <c r="AP236" s="304">
        <f>SUMIFS('PCO Log'!$E60:$SJ60,'PCO Log'!$E$9:$SJ$9,'Graph Data'!AP$187,'PCO Log'!$E$4:$SJ$4,"&lt;&gt;Bid Package",'PCO Log'!$E$7:$SJ$7,"Approved")</f>
        <v>0</v>
      </c>
      <c r="AQ236" s="304">
        <f>SUMIFS('PCO Log'!$E60:$SJ60,'PCO Log'!$E$9:$SJ$9,'Graph Data'!AQ$187,'PCO Log'!$E$4:$SJ$4,"&lt;&gt;Bid Package",'PCO Log'!$E$7:$SJ$7,"Approved")</f>
        <v>0</v>
      </c>
      <c r="AR236" s="304">
        <f>SUMIFS('PCO Log'!$E60:$SJ60,'PCO Log'!$E$9:$SJ$9,'Graph Data'!AR$187,'PCO Log'!$E$4:$SJ$4,"&lt;&gt;Bid Package",'PCO Log'!$E$7:$SJ$7,"Approved")</f>
        <v>0</v>
      </c>
      <c r="AS236" s="304">
        <f>SUMIFS('PCO Log'!$E60:$SJ60,'PCO Log'!$E$9:$SJ$9,'Graph Data'!AS$187,'PCO Log'!$E$4:$SJ$4,"&lt;&gt;Bid Package",'PCO Log'!$E$7:$SJ$7,"Approved")</f>
        <v>0</v>
      </c>
      <c r="AT236" s="304">
        <f>SUMIFS('PCO Log'!$E60:$SJ60,'PCO Log'!$E$9:$SJ$9,'Graph Data'!AT$187,'PCO Log'!$E$4:$SJ$4,"&lt;&gt;Bid Package",'PCO Log'!$E$7:$SJ$7,"Approved")</f>
        <v>0</v>
      </c>
      <c r="AU236" s="304">
        <f>SUMIFS('PCO Log'!$E60:$SJ60,'PCO Log'!$E$9:$SJ$9,'Graph Data'!AU$187,'PCO Log'!$E$4:$SJ$4,"&lt;&gt;Bid Package",'PCO Log'!$E$7:$SJ$7,"Approved")</f>
        <v>0</v>
      </c>
      <c r="AV236" s="304">
        <f>SUMIFS('PCO Log'!$E60:$SJ60,'PCO Log'!$E$9:$SJ$9,'Graph Data'!AV$187,'PCO Log'!$E$4:$SJ$4,"&lt;&gt;Bid Package",'PCO Log'!$E$7:$SJ$7,"Approved")</f>
        <v>0</v>
      </c>
      <c r="AW236" s="304">
        <f>SUMIFS('PCO Log'!$E60:$SJ60,'PCO Log'!$E$9:$SJ$9,'Graph Data'!AW$187,'PCO Log'!$E$4:$SJ$4,"&lt;&gt;Bid Package",'PCO Log'!$E$7:$SJ$7,"Approved")</f>
        <v>0</v>
      </c>
      <c r="AX236" s="304">
        <f>SUMIFS('PCO Log'!$E60:$SJ60,'PCO Log'!$E$9:$SJ$9,'Graph Data'!AX$187,'PCO Log'!$E$4:$SJ$4,"&lt;&gt;Bid Package",'PCO Log'!$E$7:$SJ$7,"Approved")</f>
        <v>0</v>
      </c>
      <c r="AY236" s="304">
        <f>SUMIFS('PCO Log'!$E60:$SJ60,'PCO Log'!$E$9:$SJ$9,'Graph Data'!AY$187,'PCO Log'!$E$4:$SJ$4,"&lt;&gt;Bid Package",'PCO Log'!$E$7:$SJ$7,"Approved")</f>
        <v>0</v>
      </c>
      <c r="AZ236" s="304">
        <f>SUMIFS('PCO Log'!$E60:$SJ60,'PCO Log'!$E$9:$SJ$9,'Graph Data'!AZ$187,'PCO Log'!$E$4:$SJ$4,"&lt;&gt;Bid Package",'PCO Log'!$E$7:$SJ$7,"Approved")</f>
        <v>0</v>
      </c>
      <c r="BA236" s="304">
        <f>SUMIFS('PCO Log'!$E60:$SJ60,'PCO Log'!$E$9:$SJ$9,'Graph Data'!BA$187,'PCO Log'!$E$4:$SJ$4,"&lt;&gt;Bid Package",'PCO Log'!$E$7:$SJ$7,"Approved")</f>
        <v>0</v>
      </c>
      <c r="BB236" s="304">
        <f>SUMIFS('PCO Log'!$E60:$SJ60,'PCO Log'!$E$9:$SJ$9,'Graph Data'!BB$187,'PCO Log'!$E$4:$SJ$4,"&lt;&gt;Bid Package",'PCO Log'!$E$7:$SJ$7,"Approved")</f>
        <v>0</v>
      </c>
      <c r="BC236" s="304">
        <f>SUMIFS('PCO Log'!$E60:$SJ60,'PCO Log'!$E$9:$SJ$9,'Graph Data'!BC$187,'PCO Log'!$E$4:$SJ$4,"&lt;&gt;Bid Package",'PCO Log'!$E$7:$SJ$7,"Approved")</f>
        <v>0</v>
      </c>
      <c r="BD236" s="304">
        <f>SUMIFS('PCO Log'!$E60:$SJ60,'PCO Log'!$E$9:$SJ$9,'Graph Data'!BD$187,'PCO Log'!$E$4:$SJ$4,"&lt;&gt;Bid Package",'PCO Log'!$E$7:$SJ$7,"Approved")</f>
        <v>0</v>
      </c>
      <c r="BE236" s="304">
        <f>SUMIFS('PCO Log'!$E60:$SJ60,'PCO Log'!$E$9:$SJ$9,'Graph Data'!BE$187,'PCO Log'!$E$4:$SJ$4,"&lt;&gt;Bid Package",'PCO Log'!$E$7:$SJ$7,"Approved")</f>
        <v>0</v>
      </c>
      <c r="BF236" s="304">
        <f>SUMIFS('PCO Log'!$E60:$SJ60,'PCO Log'!$E$9:$SJ$9,'Graph Data'!BF$187,'PCO Log'!$E$4:$SJ$4,"&lt;&gt;Bid Package",'PCO Log'!$E$7:$SJ$7,"Approved")</f>
        <v>0</v>
      </c>
      <c r="BG236" s="304">
        <f>SUMIFS('PCO Log'!$E60:$SJ60,'PCO Log'!$E$9:$SJ$9,'Graph Data'!BG$187,'PCO Log'!$E$4:$SJ$4,"&lt;&gt;Bid Package",'PCO Log'!$E$7:$SJ$7,"Approved")</f>
        <v>0</v>
      </c>
      <c r="BH236" s="304">
        <f>SUMIFS('PCO Log'!$E60:$SJ60,'PCO Log'!$E$9:$SJ$9,'Graph Data'!BH$187,'PCO Log'!$E$4:$SJ$4,"&lt;&gt;Bid Package",'PCO Log'!$E$7:$SJ$7,"Approved")</f>
        <v>0</v>
      </c>
      <c r="BI236" s="304">
        <f>SUMIFS('PCO Log'!$E60:$SJ60,'PCO Log'!$E$9:$SJ$9,'Graph Data'!BI$187,'PCO Log'!$E$4:$SJ$4,"&lt;&gt;Bid Package",'PCO Log'!$E$7:$SJ$7,"Approved")</f>
        <v>0</v>
      </c>
      <c r="BJ236" s="304">
        <f>SUMIFS('PCO Log'!$E60:$SJ60,'PCO Log'!$E$9:$SJ$9,'Graph Data'!BJ$187,'PCO Log'!$E$4:$SJ$4,"&lt;&gt;Bid Package",'PCO Log'!$E$7:$SJ$7,"Approved")</f>
        <v>0</v>
      </c>
      <c r="BK236" s="304">
        <f>SUMIFS('PCO Log'!$E60:$SJ60,'PCO Log'!$E$9:$SJ$9,'Graph Data'!BK$187,'PCO Log'!$E$4:$SJ$4,"&lt;&gt;Bid Package",'PCO Log'!$E$7:$SJ$7,"Approved")</f>
        <v>0</v>
      </c>
      <c r="BL236" s="304">
        <f>SUMIFS('PCO Log'!$E60:$SJ60,'PCO Log'!$E$9:$SJ$9,'Graph Data'!BL$187,'PCO Log'!$E$4:$SJ$4,"&lt;&gt;Bid Package",'PCO Log'!$E$7:$SJ$7,"Approved")</f>
        <v>0</v>
      </c>
      <c r="BM236" s="304">
        <f>SUMIFS('PCO Log'!$E60:$SJ60,'PCO Log'!$E$9:$SJ$9,'Graph Data'!BM$187,'PCO Log'!$E$4:$SJ$4,"&lt;&gt;Bid Package",'PCO Log'!$E$7:$SJ$7,"Approved")</f>
        <v>0</v>
      </c>
      <c r="BN236" s="304">
        <f>SUMIFS('PCO Log'!$E60:$SJ60,'PCO Log'!$E$9:$SJ$9,'Graph Data'!BN$187,'PCO Log'!$E$4:$SJ$4,"&lt;&gt;Bid Package",'PCO Log'!$E$7:$SJ$7,"Approved")</f>
        <v>0</v>
      </c>
      <c r="BO236" s="304">
        <f>SUMIFS('PCO Log'!$E60:$SJ60,'PCO Log'!$E$9:$SJ$9,'Graph Data'!BO$187,'PCO Log'!$E$4:$SJ$4,"&lt;&gt;Bid Package",'PCO Log'!$E$7:$SJ$7,"Approved")</f>
        <v>0</v>
      </c>
      <c r="BP236" s="304">
        <f>SUMIFS('PCO Log'!$E60:$SJ60,'PCO Log'!$E$9:$SJ$9,'Graph Data'!BP$187,'PCO Log'!$E$4:$SJ$4,"&lt;&gt;Bid Package",'PCO Log'!$E$7:$SJ$7,"Approved")</f>
        <v>0</v>
      </c>
      <c r="BQ236" s="304">
        <f>SUMIFS('PCO Log'!$E60:$SJ60,'PCO Log'!$E$9:$SJ$9,'Graph Data'!BQ$187,'PCO Log'!$E$4:$SJ$4,"&lt;&gt;Bid Package",'PCO Log'!$E$7:$SJ$7,"Approved")</f>
        <v>0</v>
      </c>
      <c r="BR236" s="304">
        <f>SUMIFS('PCO Log'!$E60:$SJ60,'PCO Log'!$E$9:$SJ$9,'Graph Data'!BR$187,'PCO Log'!$E$4:$SJ$4,"&lt;&gt;Bid Package",'PCO Log'!$E$7:$SJ$7,"Approved")</f>
        <v>0</v>
      </c>
      <c r="BS236" s="304">
        <f>SUMIFS('PCO Log'!$E60:$SJ60,'PCO Log'!$E$9:$SJ$9,'Graph Data'!BS$187,'PCO Log'!$E$4:$SJ$4,"&lt;&gt;Bid Package",'PCO Log'!$E$7:$SJ$7,"Approved")</f>
        <v>0</v>
      </c>
      <c r="BT236" s="304">
        <f>SUMIFS('PCO Log'!$E60:$SJ60,'PCO Log'!$E$9:$SJ$9,'Graph Data'!BT$187,'PCO Log'!$E$4:$SJ$4,"&lt;&gt;Bid Package",'PCO Log'!$E$7:$SJ$7,"Approved")</f>
        <v>0</v>
      </c>
      <c r="BU236" s="304">
        <f>SUMIFS('PCO Log'!$E60:$SJ60,'PCO Log'!$E$9:$SJ$9,'Graph Data'!BU$187,'PCO Log'!$E$4:$SJ$4,"&lt;&gt;Bid Package",'PCO Log'!$E$7:$SJ$7,"Approved")</f>
        <v>0</v>
      </c>
      <c r="BV236" s="304">
        <f>SUMIFS('PCO Log'!$E60:$SJ60,'PCO Log'!$E$9:$SJ$9,'Graph Data'!BV$187,'PCO Log'!$E$4:$SJ$4,"&lt;&gt;Bid Package",'PCO Log'!$E$7:$SJ$7,"Approved")</f>
        <v>0</v>
      </c>
      <c r="BW236" s="304">
        <f>SUMIFS('PCO Log'!$E60:$SJ60,'PCO Log'!$E$9:$SJ$9,'Graph Data'!BW$187,'PCO Log'!$E$4:$SJ$4,"&lt;&gt;Bid Package",'PCO Log'!$E$7:$SJ$7,"Approved")</f>
        <v>0</v>
      </c>
      <c r="BX236" s="304">
        <f>SUMIFS('PCO Log'!$E60:$SJ60,'PCO Log'!$E$9:$SJ$9,'Graph Data'!BX$187,'PCO Log'!$E$4:$SJ$4,"&lt;&gt;Bid Package",'PCO Log'!$E$7:$SJ$7,"Approved")</f>
        <v>0</v>
      </c>
    </row>
    <row r="237" spans="1:76" x14ac:dyDescent="0.25">
      <c r="A237" s="303" t="s">
        <v>587</v>
      </c>
      <c r="B237" s="303">
        <f>'PCO Log'!IF7</f>
        <v>0</v>
      </c>
      <c r="C237" s="303">
        <f>'PCO Log'!IF4</f>
        <v>0</v>
      </c>
      <c r="D237" s="303" cm="1">
        <f t="array" ref="D237">INDEX('PCO Log'!$E$5:$SJ$5, 1, ROWS('Graph Data'!$D$2:D237))</f>
        <v>0</v>
      </c>
      <c r="E237" s="303">
        <f>'PCO Log'!IF8</f>
        <v>0</v>
      </c>
      <c r="F237" s="303">
        <f>'PCO Log'!IF3</f>
        <v>0</v>
      </c>
      <c r="G237" s="304">
        <f>'PCO Log'!IF10</f>
        <v>0</v>
      </c>
      <c r="H237" s="305">
        <f>'PCO Log'!IF6</f>
        <v>0</v>
      </c>
      <c r="K237" s="307"/>
      <c r="P237" s="303" t="str">
        <f t="shared" si="4"/>
        <v>Wall Coverings</v>
      </c>
      <c r="Q237" s="304">
        <f>SUMIFS('PCO Log'!$E61:$SJ61,'PCO Log'!$E$9:$SJ$9,'Graph Data'!Q$187,'PCO Log'!$E$4:$SJ$4,"&lt;&gt;Bid Package",'PCO Log'!$E$7:$SJ$7,"Approved")</f>
        <v>0</v>
      </c>
      <c r="R237" s="304">
        <f>SUMIFS('PCO Log'!$E61:$SJ61,'PCO Log'!$E$9:$SJ$9,'Graph Data'!R$187,'PCO Log'!$E$4:$SJ$4,"&lt;&gt;Bid Package",'PCO Log'!$E$7:$SJ$7,"Approved")</f>
        <v>0</v>
      </c>
      <c r="S237" s="304">
        <f>SUMIFS('PCO Log'!$E61:$SJ61,'PCO Log'!$E$9:$SJ$9,'Graph Data'!S$187,'PCO Log'!$E$4:$SJ$4,"&lt;&gt;Bid Package",'PCO Log'!$E$7:$SJ$7,"Approved")</f>
        <v>0</v>
      </c>
      <c r="T237" s="304">
        <f>SUMIFS('PCO Log'!$E61:$SJ61,'PCO Log'!$E$9:$SJ$9,'Graph Data'!T$187,'PCO Log'!$E$4:$SJ$4,"&lt;&gt;Bid Package",'PCO Log'!$E$7:$SJ$7,"Approved")</f>
        <v>0</v>
      </c>
      <c r="U237" s="304">
        <f>SUMIFS('PCO Log'!$E61:$SJ61,'PCO Log'!$E$9:$SJ$9,'Graph Data'!U$187,'PCO Log'!$E$4:$SJ$4,"&lt;&gt;Bid Package",'PCO Log'!$E$7:$SJ$7,"Approved")</f>
        <v>0</v>
      </c>
      <c r="V237" s="304">
        <f>SUMIFS('PCO Log'!$E61:$SJ61,'PCO Log'!$E$9:$SJ$9,'Graph Data'!V$187,'PCO Log'!$E$4:$SJ$4,"&lt;&gt;Bid Package",'PCO Log'!$E$7:$SJ$7,"Approved")</f>
        <v>0</v>
      </c>
      <c r="W237" s="304">
        <f>SUMIFS('PCO Log'!$E61:$SJ61,'PCO Log'!$E$9:$SJ$9,'Graph Data'!W$187,'PCO Log'!$E$4:$SJ$4,"&lt;&gt;Bid Package",'PCO Log'!$E$7:$SJ$7,"Approved")</f>
        <v>0</v>
      </c>
      <c r="X237" s="304">
        <f>SUMIFS('PCO Log'!$E61:$SJ61,'PCO Log'!$E$9:$SJ$9,'Graph Data'!X$187,'PCO Log'!$E$4:$SJ$4,"&lt;&gt;Bid Package",'PCO Log'!$E$7:$SJ$7,"Approved")</f>
        <v>0</v>
      </c>
      <c r="Y237" s="304">
        <f>SUMIFS('PCO Log'!$E61:$SJ61,'PCO Log'!$E$9:$SJ$9,'Graph Data'!Y$187,'PCO Log'!$E$4:$SJ$4,"&lt;&gt;Bid Package",'PCO Log'!$E$7:$SJ$7,"Approved")</f>
        <v>0</v>
      </c>
      <c r="Z237" s="304">
        <f>SUMIFS('PCO Log'!$E61:$SJ61,'PCO Log'!$E$9:$SJ$9,'Graph Data'!Z$187,'PCO Log'!$E$4:$SJ$4,"&lt;&gt;Bid Package",'PCO Log'!$E$7:$SJ$7,"Approved")</f>
        <v>0</v>
      </c>
      <c r="AA237" s="304">
        <f>SUMIFS('PCO Log'!$E61:$SJ61,'PCO Log'!$E$9:$SJ$9,'Graph Data'!AA$187,'PCO Log'!$E$4:$SJ$4,"&lt;&gt;Bid Package",'PCO Log'!$E$7:$SJ$7,"Approved")</f>
        <v>0</v>
      </c>
      <c r="AB237" s="304">
        <f>SUMIFS('PCO Log'!$E61:$SJ61,'PCO Log'!$E$9:$SJ$9,'Graph Data'!AB$187,'PCO Log'!$E$4:$SJ$4,"&lt;&gt;Bid Package",'PCO Log'!$E$7:$SJ$7,"Approved")</f>
        <v>0</v>
      </c>
      <c r="AC237" s="304">
        <f>SUMIFS('PCO Log'!$E61:$SJ61,'PCO Log'!$E$9:$SJ$9,'Graph Data'!AC$187,'PCO Log'!$E$4:$SJ$4,"&lt;&gt;Bid Package",'PCO Log'!$E$7:$SJ$7,"Approved")</f>
        <v>0</v>
      </c>
      <c r="AD237" s="304">
        <f>SUMIFS('PCO Log'!$E61:$SJ61,'PCO Log'!$E$9:$SJ$9,'Graph Data'!AD$187,'PCO Log'!$E$4:$SJ$4,"&lt;&gt;Bid Package",'PCO Log'!$E$7:$SJ$7,"Approved")</f>
        <v>0</v>
      </c>
      <c r="AE237" s="304">
        <f>SUMIFS('PCO Log'!$E61:$SJ61,'PCO Log'!$E$9:$SJ$9,'Graph Data'!AE$187,'PCO Log'!$E$4:$SJ$4,"&lt;&gt;Bid Package",'PCO Log'!$E$7:$SJ$7,"Approved")</f>
        <v>0</v>
      </c>
      <c r="AF237" s="304">
        <f>SUMIFS('PCO Log'!$E61:$SJ61,'PCO Log'!$E$9:$SJ$9,'Graph Data'!AF$187,'PCO Log'!$E$4:$SJ$4,"&lt;&gt;Bid Package",'PCO Log'!$E$7:$SJ$7,"Approved")</f>
        <v>0</v>
      </c>
      <c r="AG237" s="304">
        <f>SUMIFS('PCO Log'!$E61:$SJ61,'PCO Log'!$E$9:$SJ$9,'Graph Data'!AG$187,'PCO Log'!$E$4:$SJ$4,"&lt;&gt;Bid Package",'PCO Log'!$E$7:$SJ$7,"Approved")</f>
        <v>0</v>
      </c>
      <c r="AH237" s="304">
        <f>SUMIFS('PCO Log'!$E61:$SJ61,'PCO Log'!$E$9:$SJ$9,'Graph Data'!AH$187,'PCO Log'!$E$4:$SJ$4,"&lt;&gt;Bid Package",'PCO Log'!$E$7:$SJ$7,"Approved")</f>
        <v>0</v>
      </c>
      <c r="AI237" s="304">
        <f>SUMIFS('PCO Log'!$E61:$SJ61,'PCO Log'!$E$9:$SJ$9,'Graph Data'!AI$187,'PCO Log'!$E$4:$SJ$4,"&lt;&gt;Bid Package",'PCO Log'!$E$7:$SJ$7,"Approved")</f>
        <v>0</v>
      </c>
      <c r="AJ237" s="304">
        <f>SUMIFS('PCO Log'!$E61:$SJ61,'PCO Log'!$E$9:$SJ$9,'Graph Data'!AJ$187,'PCO Log'!$E$4:$SJ$4,"&lt;&gt;Bid Package",'PCO Log'!$E$7:$SJ$7,"Approved")</f>
        <v>0</v>
      </c>
      <c r="AK237" s="304">
        <f>SUMIFS('PCO Log'!$E61:$SJ61,'PCO Log'!$E$9:$SJ$9,'Graph Data'!AK$187,'PCO Log'!$E$4:$SJ$4,"&lt;&gt;Bid Package",'PCO Log'!$E$7:$SJ$7,"Approved")</f>
        <v>0</v>
      </c>
      <c r="AL237" s="304">
        <f>SUMIFS('PCO Log'!$E61:$SJ61,'PCO Log'!$E$9:$SJ$9,'Graph Data'!AL$187,'PCO Log'!$E$4:$SJ$4,"&lt;&gt;Bid Package",'PCO Log'!$E$7:$SJ$7,"Approved")</f>
        <v>0</v>
      </c>
      <c r="AM237" s="304">
        <f>SUMIFS('PCO Log'!$E61:$SJ61,'PCO Log'!$E$9:$SJ$9,'Graph Data'!AM$187,'PCO Log'!$E$4:$SJ$4,"&lt;&gt;Bid Package",'PCO Log'!$E$7:$SJ$7,"Approved")</f>
        <v>0</v>
      </c>
      <c r="AN237" s="304">
        <f>SUMIFS('PCO Log'!$E61:$SJ61,'PCO Log'!$E$9:$SJ$9,'Graph Data'!AN$187,'PCO Log'!$E$4:$SJ$4,"&lt;&gt;Bid Package",'PCO Log'!$E$7:$SJ$7,"Approved")</f>
        <v>0</v>
      </c>
      <c r="AO237" s="304">
        <f>SUMIFS('PCO Log'!$E61:$SJ61,'PCO Log'!$E$9:$SJ$9,'Graph Data'!AO$187,'PCO Log'!$E$4:$SJ$4,"&lt;&gt;Bid Package",'PCO Log'!$E$7:$SJ$7,"Approved")</f>
        <v>0</v>
      </c>
      <c r="AP237" s="304">
        <f>SUMIFS('PCO Log'!$E61:$SJ61,'PCO Log'!$E$9:$SJ$9,'Graph Data'!AP$187,'PCO Log'!$E$4:$SJ$4,"&lt;&gt;Bid Package",'PCO Log'!$E$7:$SJ$7,"Approved")</f>
        <v>0</v>
      </c>
      <c r="AQ237" s="304">
        <f>SUMIFS('PCO Log'!$E61:$SJ61,'PCO Log'!$E$9:$SJ$9,'Graph Data'!AQ$187,'PCO Log'!$E$4:$SJ$4,"&lt;&gt;Bid Package",'PCO Log'!$E$7:$SJ$7,"Approved")</f>
        <v>0</v>
      </c>
      <c r="AR237" s="304">
        <f>SUMIFS('PCO Log'!$E61:$SJ61,'PCO Log'!$E$9:$SJ$9,'Graph Data'!AR$187,'PCO Log'!$E$4:$SJ$4,"&lt;&gt;Bid Package",'PCO Log'!$E$7:$SJ$7,"Approved")</f>
        <v>0</v>
      </c>
      <c r="AS237" s="304">
        <f>SUMIFS('PCO Log'!$E61:$SJ61,'PCO Log'!$E$9:$SJ$9,'Graph Data'!AS$187,'PCO Log'!$E$4:$SJ$4,"&lt;&gt;Bid Package",'PCO Log'!$E$7:$SJ$7,"Approved")</f>
        <v>0</v>
      </c>
      <c r="AT237" s="304">
        <f>SUMIFS('PCO Log'!$E61:$SJ61,'PCO Log'!$E$9:$SJ$9,'Graph Data'!AT$187,'PCO Log'!$E$4:$SJ$4,"&lt;&gt;Bid Package",'PCO Log'!$E$7:$SJ$7,"Approved")</f>
        <v>0</v>
      </c>
      <c r="AU237" s="304">
        <f>SUMIFS('PCO Log'!$E61:$SJ61,'PCO Log'!$E$9:$SJ$9,'Graph Data'!AU$187,'PCO Log'!$E$4:$SJ$4,"&lt;&gt;Bid Package",'PCO Log'!$E$7:$SJ$7,"Approved")</f>
        <v>0</v>
      </c>
      <c r="AV237" s="304">
        <f>SUMIFS('PCO Log'!$E61:$SJ61,'PCO Log'!$E$9:$SJ$9,'Graph Data'!AV$187,'PCO Log'!$E$4:$SJ$4,"&lt;&gt;Bid Package",'PCO Log'!$E$7:$SJ$7,"Approved")</f>
        <v>0</v>
      </c>
      <c r="AW237" s="304">
        <f>SUMIFS('PCO Log'!$E61:$SJ61,'PCO Log'!$E$9:$SJ$9,'Graph Data'!AW$187,'PCO Log'!$E$4:$SJ$4,"&lt;&gt;Bid Package",'PCO Log'!$E$7:$SJ$7,"Approved")</f>
        <v>0</v>
      </c>
      <c r="AX237" s="304">
        <f>SUMIFS('PCO Log'!$E61:$SJ61,'PCO Log'!$E$9:$SJ$9,'Graph Data'!AX$187,'PCO Log'!$E$4:$SJ$4,"&lt;&gt;Bid Package",'PCO Log'!$E$7:$SJ$7,"Approved")</f>
        <v>0</v>
      </c>
      <c r="AY237" s="304">
        <f>SUMIFS('PCO Log'!$E61:$SJ61,'PCO Log'!$E$9:$SJ$9,'Graph Data'!AY$187,'PCO Log'!$E$4:$SJ$4,"&lt;&gt;Bid Package",'PCO Log'!$E$7:$SJ$7,"Approved")</f>
        <v>0</v>
      </c>
      <c r="AZ237" s="304">
        <f>SUMIFS('PCO Log'!$E61:$SJ61,'PCO Log'!$E$9:$SJ$9,'Graph Data'!AZ$187,'PCO Log'!$E$4:$SJ$4,"&lt;&gt;Bid Package",'PCO Log'!$E$7:$SJ$7,"Approved")</f>
        <v>0</v>
      </c>
      <c r="BA237" s="304">
        <f>SUMIFS('PCO Log'!$E61:$SJ61,'PCO Log'!$E$9:$SJ$9,'Graph Data'!BA$187,'PCO Log'!$E$4:$SJ$4,"&lt;&gt;Bid Package",'PCO Log'!$E$7:$SJ$7,"Approved")</f>
        <v>0</v>
      </c>
      <c r="BB237" s="304">
        <f>SUMIFS('PCO Log'!$E61:$SJ61,'PCO Log'!$E$9:$SJ$9,'Graph Data'!BB$187,'PCO Log'!$E$4:$SJ$4,"&lt;&gt;Bid Package",'PCO Log'!$E$7:$SJ$7,"Approved")</f>
        <v>0</v>
      </c>
      <c r="BC237" s="304">
        <f>SUMIFS('PCO Log'!$E61:$SJ61,'PCO Log'!$E$9:$SJ$9,'Graph Data'!BC$187,'PCO Log'!$E$4:$SJ$4,"&lt;&gt;Bid Package",'PCO Log'!$E$7:$SJ$7,"Approved")</f>
        <v>0</v>
      </c>
      <c r="BD237" s="304">
        <f>SUMIFS('PCO Log'!$E61:$SJ61,'PCO Log'!$E$9:$SJ$9,'Graph Data'!BD$187,'PCO Log'!$E$4:$SJ$4,"&lt;&gt;Bid Package",'PCO Log'!$E$7:$SJ$7,"Approved")</f>
        <v>0</v>
      </c>
      <c r="BE237" s="304">
        <f>SUMIFS('PCO Log'!$E61:$SJ61,'PCO Log'!$E$9:$SJ$9,'Graph Data'!BE$187,'PCO Log'!$E$4:$SJ$4,"&lt;&gt;Bid Package",'PCO Log'!$E$7:$SJ$7,"Approved")</f>
        <v>0</v>
      </c>
      <c r="BF237" s="304">
        <f>SUMIFS('PCO Log'!$E61:$SJ61,'PCO Log'!$E$9:$SJ$9,'Graph Data'!BF$187,'PCO Log'!$E$4:$SJ$4,"&lt;&gt;Bid Package",'PCO Log'!$E$7:$SJ$7,"Approved")</f>
        <v>0</v>
      </c>
      <c r="BG237" s="304">
        <f>SUMIFS('PCO Log'!$E61:$SJ61,'PCO Log'!$E$9:$SJ$9,'Graph Data'!BG$187,'PCO Log'!$E$4:$SJ$4,"&lt;&gt;Bid Package",'PCO Log'!$E$7:$SJ$7,"Approved")</f>
        <v>0</v>
      </c>
      <c r="BH237" s="304">
        <f>SUMIFS('PCO Log'!$E61:$SJ61,'PCO Log'!$E$9:$SJ$9,'Graph Data'!BH$187,'PCO Log'!$E$4:$SJ$4,"&lt;&gt;Bid Package",'PCO Log'!$E$7:$SJ$7,"Approved")</f>
        <v>0</v>
      </c>
      <c r="BI237" s="304">
        <f>SUMIFS('PCO Log'!$E61:$SJ61,'PCO Log'!$E$9:$SJ$9,'Graph Data'!BI$187,'PCO Log'!$E$4:$SJ$4,"&lt;&gt;Bid Package",'PCO Log'!$E$7:$SJ$7,"Approved")</f>
        <v>0</v>
      </c>
      <c r="BJ237" s="304">
        <f>SUMIFS('PCO Log'!$E61:$SJ61,'PCO Log'!$E$9:$SJ$9,'Graph Data'!BJ$187,'PCO Log'!$E$4:$SJ$4,"&lt;&gt;Bid Package",'PCO Log'!$E$7:$SJ$7,"Approved")</f>
        <v>0</v>
      </c>
      <c r="BK237" s="304">
        <f>SUMIFS('PCO Log'!$E61:$SJ61,'PCO Log'!$E$9:$SJ$9,'Graph Data'!BK$187,'PCO Log'!$E$4:$SJ$4,"&lt;&gt;Bid Package",'PCO Log'!$E$7:$SJ$7,"Approved")</f>
        <v>0</v>
      </c>
      <c r="BL237" s="304">
        <f>SUMIFS('PCO Log'!$E61:$SJ61,'PCO Log'!$E$9:$SJ$9,'Graph Data'!BL$187,'PCO Log'!$E$4:$SJ$4,"&lt;&gt;Bid Package",'PCO Log'!$E$7:$SJ$7,"Approved")</f>
        <v>0</v>
      </c>
      <c r="BM237" s="304">
        <f>SUMIFS('PCO Log'!$E61:$SJ61,'PCO Log'!$E$9:$SJ$9,'Graph Data'!BM$187,'PCO Log'!$E$4:$SJ$4,"&lt;&gt;Bid Package",'PCO Log'!$E$7:$SJ$7,"Approved")</f>
        <v>0</v>
      </c>
      <c r="BN237" s="304">
        <f>SUMIFS('PCO Log'!$E61:$SJ61,'PCO Log'!$E$9:$SJ$9,'Graph Data'!BN$187,'PCO Log'!$E$4:$SJ$4,"&lt;&gt;Bid Package",'PCO Log'!$E$7:$SJ$7,"Approved")</f>
        <v>0</v>
      </c>
      <c r="BO237" s="304">
        <f>SUMIFS('PCO Log'!$E61:$SJ61,'PCO Log'!$E$9:$SJ$9,'Graph Data'!BO$187,'PCO Log'!$E$4:$SJ$4,"&lt;&gt;Bid Package",'PCO Log'!$E$7:$SJ$7,"Approved")</f>
        <v>0</v>
      </c>
      <c r="BP237" s="304">
        <f>SUMIFS('PCO Log'!$E61:$SJ61,'PCO Log'!$E$9:$SJ$9,'Graph Data'!BP$187,'PCO Log'!$E$4:$SJ$4,"&lt;&gt;Bid Package",'PCO Log'!$E$7:$SJ$7,"Approved")</f>
        <v>0</v>
      </c>
      <c r="BQ237" s="304">
        <f>SUMIFS('PCO Log'!$E61:$SJ61,'PCO Log'!$E$9:$SJ$9,'Graph Data'!BQ$187,'PCO Log'!$E$4:$SJ$4,"&lt;&gt;Bid Package",'PCO Log'!$E$7:$SJ$7,"Approved")</f>
        <v>0</v>
      </c>
      <c r="BR237" s="304">
        <f>SUMIFS('PCO Log'!$E61:$SJ61,'PCO Log'!$E$9:$SJ$9,'Graph Data'!BR$187,'PCO Log'!$E$4:$SJ$4,"&lt;&gt;Bid Package",'PCO Log'!$E$7:$SJ$7,"Approved")</f>
        <v>0</v>
      </c>
      <c r="BS237" s="304">
        <f>SUMIFS('PCO Log'!$E61:$SJ61,'PCO Log'!$E$9:$SJ$9,'Graph Data'!BS$187,'PCO Log'!$E$4:$SJ$4,"&lt;&gt;Bid Package",'PCO Log'!$E$7:$SJ$7,"Approved")</f>
        <v>0</v>
      </c>
      <c r="BT237" s="304">
        <f>SUMIFS('PCO Log'!$E61:$SJ61,'PCO Log'!$E$9:$SJ$9,'Graph Data'!BT$187,'PCO Log'!$E$4:$SJ$4,"&lt;&gt;Bid Package",'PCO Log'!$E$7:$SJ$7,"Approved")</f>
        <v>0</v>
      </c>
      <c r="BU237" s="304">
        <f>SUMIFS('PCO Log'!$E61:$SJ61,'PCO Log'!$E$9:$SJ$9,'Graph Data'!BU$187,'PCO Log'!$E$4:$SJ$4,"&lt;&gt;Bid Package",'PCO Log'!$E$7:$SJ$7,"Approved")</f>
        <v>0</v>
      </c>
      <c r="BV237" s="304">
        <f>SUMIFS('PCO Log'!$E61:$SJ61,'PCO Log'!$E$9:$SJ$9,'Graph Data'!BV$187,'PCO Log'!$E$4:$SJ$4,"&lt;&gt;Bid Package",'PCO Log'!$E$7:$SJ$7,"Approved")</f>
        <v>0</v>
      </c>
      <c r="BW237" s="304">
        <f>SUMIFS('PCO Log'!$E61:$SJ61,'PCO Log'!$E$9:$SJ$9,'Graph Data'!BW$187,'PCO Log'!$E$4:$SJ$4,"&lt;&gt;Bid Package",'PCO Log'!$E$7:$SJ$7,"Approved")</f>
        <v>0</v>
      </c>
      <c r="BX237" s="304">
        <f>SUMIFS('PCO Log'!$E61:$SJ61,'PCO Log'!$E$9:$SJ$9,'Graph Data'!BX$187,'PCO Log'!$E$4:$SJ$4,"&lt;&gt;Bid Package",'PCO Log'!$E$7:$SJ$7,"Approved")</f>
        <v>0</v>
      </c>
    </row>
    <row r="238" spans="1:76" x14ac:dyDescent="0.25">
      <c r="A238" s="303" t="s">
        <v>588</v>
      </c>
      <c r="B238" s="303">
        <f>'PCO Log'!IG7</f>
        <v>0</v>
      </c>
      <c r="C238" s="303">
        <f>'PCO Log'!IG4</f>
        <v>0</v>
      </c>
      <c r="D238" s="303" cm="1">
        <f t="array" ref="D238">INDEX('PCO Log'!$E$5:$SJ$5, 1, ROWS('Graph Data'!$D$2:D238))</f>
        <v>0</v>
      </c>
      <c r="E238" s="303">
        <f>'PCO Log'!IG8</f>
        <v>0</v>
      </c>
      <c r="F238" s="303">
        <f>'PCO Log'!IG3</f>
        <v>0</v>
      </c>
      <c r="G238" s="304">
        <f>'PCO Log'!IG10</f>
        <v>0</v>
      </c>
      <c r="H238" s="305">
        <f>'PCO Log'!IG6</f>
        <v>0</v>
      </c>
      <c r="K238" s="307"/>
      <c r="P238" s="303" t="str">
        <f t="shared" si="4"/>
        <v>Painting</v>
      </c>
      <c r="Q238" s="304">
        <f>SUMIFS('PCO Log'!$E62:$SJ62,'PCO Log'!$E$9:$SJ$9,'Graph Data'!Q$187,'PCO Log'!$E$4:$SJ$4,"&lt;&gt;Bid Package",'PCO Log'!$E$7:$SJ$7,"Approved")</f>
        <v>0</v>
      </c>
      <c r="R238" s="304">
        <f>SUMIFS('PCO Log'!$E62:$SJ62,'PCO Log'!$E$9:$SJ$9,'Graph Data'!R$187,'PCO Log'!$E$4:$SJ$4,"&lt;&gt;Bid Package",'PCO Log'!$E$7:$SJ$7,"Approved")</f>
        <v>0</v>
      </c>
      <c r="S238" s="304">
        <f>SUMIFS('PCO Log'!$E62:$SJ62,'PCO Log'!$E$9:$SJ$9,'Graph Data'!S$187,'PCO Log'!$E$4:$SJ$4,"&lt;&gt;Bid Package",'PCO Log'!$E$7:$SJ$7,"Approved")</f>
        <v>0</v>
      </c>
      <c r="T238" s="304">
        <f>SUMIFS('PCO Log'!$E62:$SJ62,'PCO Log'!$E$9:$SJ$9,'Graph Data'!T$187,'PCO Log'!$E$4:$SJ$4,"&lt;&gt;Bid Package",'PCO Log'!$E$7:$SJ$7,"Approved")</f>
        <v>0</v>
      </c>
      <c r="U238" s="304">
        <f>SUMIFS('PCO Log'!$E62:$SJ62,'PCO Log'!$E$9:$SJ$9,'Graph Data'!U$187,'PCO Log'!$E$4:$SJ$4,"&lt;&gt;Bid Package",'PCO Log'!$E$7:$SJ$7,"Approved")</f>
        <v>0</v>
      </c>
      <c r="V238" s="304">
        <f>SUMIFS('PCO Log'!$E62:$SJ62,'PCO Log'!$E$9:$SJ$9,'Graph Data'!V$187,'PCO Log'!$E$4:$SJ$4,"&lt;&gt;Bid Package",'PCO Log'!$E$7:$SJ$7,"Approved")</f>
        <v>0</v>
      </c>
      <c r="W238" s="304">
        <f>SUMIFS('PCO Log'!$E62:$SJ62,'PCO Log'!$E$9:$SJ$9,'Graph Data'!W$187,'PCO Log'!$E$4:$SJ$4,"&lt;&gt;Bid Package",'PCO Log'!$E$7:$SJ$7,"Approved")</f>
        <v>0</v>
      </c>
      <c r="X238" s="304">
        <f>SUMIFS('PCO Log'!$E62:$SJ62,'PCO Log'!$E$9:$SJ$9,'Graph Data'!X$187,'PCO Log'!$E$4:$SJ$4,"&lt;&gt;Bid Package",'PCO Log'!$E$7:$SJ$7,"Approved")</f>
        <v>0</v>
      </c>
      <c r="Y238" s="304">
        <f>SUMIFS('PCO Log'!$E62:$SJ62,'PCO Log'!$E$9:$SJ$9,'Graph Data'!Y$187,'PCO Log'!$E$4:$SJ$4,"&lt;&gt;Bid Package",'PCO Log'!$E$7:$SJ$7,"Approved")</f>
        <v>0</v>
      </c>
      <c r="Z238" s="304">
        <f>SUMIFS('PCO Log'!$E62:$SJ62,'PCO Log'!$E$9:$SJ$9,'Graph Data'!Z$187,'PCO Log'!$E$4:$SJ$4,"&lt;&gt;Bid Package",'PCO Log'!$E$7:$SJ$7,"Approved")</f>
        <v>0</v>
      </c>
      <c r="AA238" s="304">
        <f>SUMIFS('PCO Log'!$E62:$SJ62,'PCO Log'!$E$9:$SJ$9,'Graph Data'!AA$187,'PCO Log'!$E$4:$SJ$4,"&lt;&gt;Bid Package",'PCO Log'!$E$7:$SJ$7,"Approved")</f>
        <v>0</v>
      </c>
      <c r="AB238" s="304">
        <f>SUMIFS('PCO Log'!$E62:$SJ62,'PCO Log'!$E$9:$SJ$9,'Graph Data'!AB$187,'PCO Log'!$E$4:$SJ$4,"&lt;&gt;Bid Package",'PCO Log'!$E$7:$SJ$7,"Approved")</f>
        <v>0</v>
      </c>
      <c r="AC238" s="304">
        <f>SUMIFS('PCO Log'!$E62:$SJ62,'PCO Log'!$E$9:$SJ$9,'Graph Data'!AC$187,'PCO Log'!$E$4:$SJ$4,"&lt;&gt;Bid Package",'PCO Log'!$E$7:$SJ$7,"Approved")</f>
        <v>0</v>
      </c>
      <c r="AD238" s="304">
        <f>SUMIFS('PCO Log'!$E62:$SJ62,'PCO Log'!$E$9:$SJ$9,'Graph Data'!AD$187,'PCO Log'!$E$4:$SJ$4,"&lt;&gt;Bid Package",'PCO Log'!$E$7:$SJ$7,"Approved")</f>
        <v>0</v>
      </c>
      <c r="AE238" s="304">
        <f>SUMIFS('PCO Log'!$E62:$SJ62,'PCO Log'!$E$9:$SJ$9,'Graph Data'!AE$187,'PCO Log'!$E$4:$SJ$4,"&lt;&gt;Bid Package",'PCO Log'!$E$7:$SJ$7,"Approved")</f>
        <v>0</v>
      </c>
      <c r="AF238" s="304">
        <f>SUMIFS('PCO Log'!$E62:$SJ62,'PCO Log'!$E$9:$SJ$9,'Graph Data'!AF$187,'PCO Log'!$E$4:$SJ$4,"&lt;&gt;Bid Package",'PCO Log'!$E$7:$SJ$7,"Approved")</f>
        <v>0</v>
      </c>
      <c r="AG238" s="304">
        <f>SUMIFS('PCO Log'!$E62:$SJ62,'PCO Log'!$E$9:$SJ$9,'Graph Data'!AG$187,'PCO Log'!$E$4:$SJ$4,"&lt;&gt;Bid Package",'PCO Log'!$E$7:$SJ$7,"Approved")</f>
        <v>0</v>
      </c>
      <c r="AH238" s="304">
        <f>SUMIFS('PCO Log'!$E62:$SJ62,'PCO Log'!$E$9:$SJ$9,'Graph Data'!AH$187,'PCO Log'!$E$4:$SJ$4,"&lt;&gt;Bid Package",'PCO Log'!$E$7:$SJ$7,"Approved")</f>
        <v>0</v>
      </c>
      <c r="AI238" s="304">
        <f>SUMIFS('PCO Log'!$E62:$SJ62,'PCO Log'!$E$9:$SJ$9,'Graph Data'!AI$187,'PCO Log'!$E$4:$SJ$4,"&lt;&gt;Bid Package",'PCO Log'!$E$7:$SJ$7,"Approved")</f>
        <v>0</v>
      </c>
      <c r="AJ238" s="304">
        <f>SUMIFS('PCO Log'!$E62:$SJ62,'PCO Log'!$E$9:$SJ$9,'Graph Data'!AJ$187,'PCO Log'!$E$4:$SJ$4,"&lt;&gt;Bid Package",'PCO Log'!$E$7:$SJ$7,"Approved")</f>
        <v>0</v>
      </c>
      <c r="AK238" s="304">
        <f>SUMIFS('PCO Log'!$E62:$SJ62,'PCO Log'!$E$9:$SJ$9,'Graph Data'!AK$187,'PCO Log'!$E$4:$SJ$4,"&lt;&gt;Bid Package",'PCO Log'!$E$7:$SJ$7,"Approved")</f>
        <v>0</v>
      </c>
      <c r="AL238" s="304">
        <f>SUMIFS('PCO Log'!$E62:$SJ62,'PCO Log'!$E$9:$SJ$9,'Graph Data'!AL$187,'PCO Log'!$E$4:$SJ$4,"&lt;&gt;Bid Package",'PCO Log'!$E$7:$SJ$7,"Approved")</f>
        <v>0</v>
      </c>
      <c r="AM238" s="304">
        <f>SUMIFS('PCO Log'!$E62:$SJ62,'PCO Log'!$E$9:$SJ$9,'Graph Data'!AM$187,'PCO Log'!$E$4:$SJ$4,"&lt;&gt;Bid Package",'PCO Log'!$E$7:$SJ$7,"Approved")</f>
        <v>0</v>
      </c>
      <c r="AN238" s="304">
        <f>SUMIFS('PCO Log'!$E62:$SJ62,'PCO Log'!$E$9:$SJ$9,'Graph Data'!AN$187,'PCO Log'!$E$4:$SJ$4,"&lt;&gt;Bid Package",'PCO Log'!$E$7:$SJ$7,"Approved")</f>
        <v>0</v>
      </c>
      <c r="AO238" s="304">
        <f>SUMIFS('PCO Log'!$E62:$SJ62,'PCO Log'!$E$9:$SJ$9,'Graph Data'!AO$187,'PCO Log'!$E$4:$SJ$4,"&lt;&gt;Bid Package",'PCO Log'!$E$7:$SJ$7,"Approved")</f>
        <v>0</v>
      </c>
      <c r="AP238" s="304">
        <f>SUMIFS('PCO Log'!$E62:$SJ62,'PCO Log'!$E$9:$SJ$9,'Graph Data'!AP$187,'PCO Log'!$E$4:$SJ$4,"&lt;&gt;Bid Package",'PCO Log'!$E$7:$SJ$7,"Approved")</f>
        <v>0</v>
      </c>
      <c r="AQ238" s="304">
        <f>SUMIFS('PCO Log'!$E62:$SJ62,'PCO Log'!$E$9:$SJ$9,'Graph Data'!AQ$187,'PCO Log'!$E$4:$SJ$4,"&lt;&gt;Bid Package",'PCO Log'!$E$7:$SJ$7,"Approved")</f>
        <v>0</v>
      </c>
      <c r="AR238" s="304">
        <f>SUMIFS('PCO Log'!$E62:$SJ62,'PCO Log'!$E$9:$SJ$9,'Graph Data'!AR$187,'PCO Log'!$E$4:$SJ$4,"&lt;&gt;Bid Package",'PCO Log'!$E$7:$SJ$7,"Approved")</f>
        <v>0</v>
      </c>
      <c r="AS238" s="304">
        <f>SUMIFS('PCO Log'!$E62:$SJ62,'PCO Log'!$E$9:$SJ$9,'Graph Data'!AS$187,'PCO Log'!$E$4:$SJ$4,"&lt;&gt;Bid Package",'PCO Log'!$E$7:$SJ$7,"Approved")</f>
        <v>0</v>
      </c>
      <c r="AT238" s="304">
        <f>SUMIFS('PCO Log'!$E62:$SJ62,'PCO Log'!$E$9:$SJ$9,'Graph Data'!AT$187,'PCO Log'!$E$4:$SJ$4,"&lt;&gt;Bid Package",'PCO Log'!$E$7:$SJ$7,"Approved")</f>
        <v>0</v>
      </c>
      <c r="AU238" s="304">
        <f>SUMIFS('PCO Log'!$E62:$SJ62,'PCO Log'!$E$9:$SJ$9,'Graph Data'!AU$187,'PCO Log'!$E$4:$SJ$4,"&lt;&gt;Bid Package",'PCO Log'!$E$7:$SJ$7,"Approved")</f>
        <v>0</v>
      </c>
      <c r="AV238" s="304">
        <f>SUMIFS('PCO Log'!$E62:$SJ62,'PCO Log'!$E$9:$SJ$9,'Graph Data'!AV$187,'PCO Log'!$E$4:$SJ$4,"&lt;&gt;Bid Package",'PCO Log'!$E$7:$SJ$7,"Approved")</f>
        <v>0</v>
      </c>
      <c r="AW238" s="304">
        <f>SUMIFS('PCO Log'!$E62:$SJ62,'PCO Log'!$E$9:$SJ$9,'Graph Data'!AW$187,'PCO Log'!$E$4:$SJ$4,"&lt;&gt;Bid Package",'PCO Log'!$E$7:$SJ$7,"Approved")</f>
        <v>0</v>
      </c>
      <c r="AX238" s="304">
        <f>SUMIFS('PCO Log'!$E62:$SJ62,'PCO Log'!$E$9:$SJ$9,'Graph Data'!AX$187,'PCO Log'!$E$4:$SJ$4,"&lt;&gt;Bid Package",'PCO Log'!$E$7:$SJ$7,"Approved")</f>
        <v>0</v>
      </c>
      <c r="AY238" s="304">
        <f>SUMIFS('PCO Log'!$E62:$SJ62,'PCO Log'!$E$9:$SJ$9,'Graph Data'!AY$187,'PCO Log'!$E$4:$SJ$4,"&lt;&gt;Bid Package",'PCO Log'!$E$7:$SJ$7,"Approved")</f>
        <v>0</v>
      </c>
      <c r="AZ238" s="304">
        <f>SUMIFS('PCO Log'!$E62:$SJ62,'PCO Log'!$E$9:$SJ$9,'Graph Data'!AZ$187,'PCO Log'!$E$4:$SJ$4,"&lt;&gt;Bid Package",'PCO Log'!$E$7:$SJ$7,"Approved")</f>
        <v>0</v>
      </c>
      <c r="BA238" s="304">
        <f>SUMIFS('PCO Log'!$E62:$SJ62,'PCO Log'!$E$9:$SJ$9,'Graph Data'!BA$187,'PCO Log'!$E$4:$SJ$4,"&lt;&gt;Bid Package",'PCO Log'!$E$7:$SJ$7,"Approved")</f>
        <v>0</v>
      </c>
      <c r="BB238" s="304">
        <f>SUMIFS('PCO Log'!$E62:$SJ62,'PCO Log'!$E$9:$SJ$9,'Graph Data'!BB$187,'PCO Log'!$E$4:$SJ$4,"&lt;&gt;Bid Package",'PCO Log'!$E$7:$SJ$7,"Approved")</f>
        <v>0</v>
      </c>
      <c r="BC238" s="304">
        <f>SUMIFS('PCO Log'!$E62:$SJ62,'PCO Log'!$E$9:$SJ$9,'Graph Data'!BC$187,'PCO Log'!$E$4:$SJ$4,"&lt;&gt;Bid Package",'PCO Log'!$E$7:$SJ$7,"Approved")</f>
        <v>0</v>
      </c>
      <c r="BD238" s="304">
        <f>SUMIFS('PCO Log'!$E62:$SJ62,'PCO Log'!$E$9:$SJ$9,'Graph Data'!BD$187,'PCO Log'!$E$4:$SJ$4,"&lt;&gt;Bid Package",'PCO Log'!$E$7:$SJ$7,"Approved")</f>
        <v>0</v>
      </c>
      <c r="BE238" s="304">
        <f>SUMIFS('PCO Log'!$E62:$SJ62,'PCO Log'!$E$9:$SJ$9,'Graph Data'!BE$187,'PCO Log'!$E$4:$SJ$4,"&lt;&gt;Bid Package",'PCO Log'!$E$7:$SJ$7,"Approved")</f>
        <v>0</v>
      </c>
      <c r="BF238" s="304">
        <f>SUMIFS('PCO Log'!$E62:$SJ62,'PCO Log'!$E$9:$SJ$9,'Graph Data'!BF$187,'PCO Log'!$E$4:$SJ$4,"&lt;&gt;Bid Package",'PCO Log'!$E$7:$SJ$7,"Approved")</f>
        <v>0</v>
      </c>
      <c r="BG238" s="304">
        <f>SUMIFS('PCO Log'!$E62:$SJ62,'PCO Log'!$E$9:$SJ$9,'Graph Data'!BG$187,'PCO Log'!$E$4:$SJ$4,"&lt;&gt;Bid Package",'PCO Log'!$E$7:$SJ$7,"Approved")</f>
        <v>0</v>
      </c>
      <c r="BH238" s="304">
        <f>SUMIFS('PCO Log'!$E62:$SJ62,'PCO Log'!$E$9:$SJ$9,'Graph Data'!BH$187,'PCO Log'!$E$4:$SJ$4,"&lt;&gt;Bid Package",'PCO Log'!$E$7:$SJ$7,"Approved")</f>
        <v>0</v>
      </c>
      <c r="BI238" s="304">
        <f>SUMIFS('PCO Log'!$E62:$SJ62,'PCO Log'!$E$9:$SJ$9,'Graph Data'!BI$187,'PCO Log'!$E$4:$SJ$4,"&lt;&gt;Bid Package",'PCO Log'!$E$7:$SJ$7,"Approved")</f>
        <v>0</v>
      </c>
      <c r="BJ238" s="304">
        <f>SUMIFS('PCO Log'!$E62:$SJ62,'PCO Log'!$E$9:$SJ$9,'Graph Data'!BJ$187,'PCO Log'!$E$4:$SJ$4,"&lt;&gt;Bid Package",'PCO Log'!$E$7:$SJ$7,"Approved")</f>
        <v>0</v>
      </c>
      <c r="BK238" s="304">
        <f>SUMIFS('PCO Log'!$E62:$SJ62,'PCO Log'!$E$9:$SJ$9,'Graph Data'!BK$187,'PCO Log'!$E$4:$SJ$4,"&lt;&gt;Bid Package",'PCO Log'!$E$7:$SJ$7,"Approved")</f>
        <v>0</v>
      </c>
      <c r="BL238" s="304">
        <f>SUMIFS('PCO Log'!$E62:$SJ62,'PCO Log'!$E$9:$SJ$9,'Graph Data'!BL$187,'PCO Log'!$E$4:$SJ$4,"&lt;&gt;Bid Package",'PCO Log'!$E$7:$SJ$7,"Approved")</f>
        <v>0</v>
      </c>
      <c r="BM238" s="304">
        <f>SUMIFS('PCO Log'!$E62:$SJ62,'PCO Log'!$E$9:$SJ$9,'Graph Data'!BM$187,'PCO Log'!$E$4:$SJ$4,"&lt;&gt;Bid Package",'PCO Log'!$E$7:$SJ$7,"Approved")</f>
        <v>0</v>
      </c>
      <c r="BN238" s="304">
        <f>SUMIFS('PCO Log'!$E62:$SJ62,'PCO Log'!$E$9:$SJ$9,'Graph Data'!BN$187,'PCO Log'!$E$4:$SJ$4,"&lt;&gt;Bid Package",'PCO Log'!$E$7:$SJ$7,"Approved")</f>
        <v>0</v>
      </c>
      <c r="BO238" s="304">
        <f>SUMIFS('PCO Log'!$E62:$SJ62,'PCO Log'!$E$9:$SJ$9,'Graph Data'!BO$187,'PCO Log'!$E$4:$SJ$4,"&lt;&gt;Bid Package",'PCO Log'!$E$7:$SJ$7,"Approved")</f>
        <v>0</v>
      </c>
      <c r="BP238" s="304">
        <f>SUMIFS('PCO Log'!$E62:$SJ62,'PCO Log'!$E$9:$SJ$9,'Graph Data'!BP$187,'PCO Log'!$E$4:$SJ$4,"&lt;&gt;Bid Package",'PCO Log'!$E$7:$SJ$7,"Approved")</f>
        <v>0</v>
      </c>
      <c r="BQ238" s="304">
        <f>SUMIFS('PCO Log'!$E62:$SJ62,'PCO Log'!$E$9:$SJ$9,'Graph Data'!BQ$187,'PCO Log'!$E$4:$SJ$4,"&lt;&gt;Bid Package",'PCO Log'!$E$7:$SJ$7,"Approved")</f>
        <v>0</v>
      </c>
      <c r="BR238" s="304">
        <f>SUMIFS('PCO Log'!$E62:$SJ62,'PCO Log'!$E$9:$SJ$9,'Graph Data'!BR$187,'PCO Log'!$E$4:$SJ$4,"&lt;&gt;Bid Package",'PCO Log'!$E$7:$SJ$7,"Approved")</f>
        <v>0</v>
      </c>
      <c r="BS238" s="304">
        <f>SUMIFS('PCO Log'!$E62:$SJ62,'PCO Log'!$E$9:$SJ$9,'Graph Data'!BS$187,'PCO Log'!$E$4:$SJ$4,"&lt;&gt;Bid Package",'PCO Log'!$E$7:$SJ$7,"Approved")</f>
        <v>0</v>
      </c>
      <c r="BT238" s="304">
        <f>SUMIFS('PCO Log'!$E62:$SJ62,'PCO Log'!$E$9:$SJ$9,'Graph Data'!BT$187,'PCO Log'!$E$4:$SJ$4,"&lt;&gt;Bid Package",'PCO Log'!$E$7:$SJ$7,"Approved")</f>
        <v>0</v>
      </c>
      <c r="BU238" s="304">
        <f>SUMIFS('PCO Log'!$E62:$SJ62,'PCO Log'!$E$9:$SJ$9,'Graph Data'!BU$187,'PCO Log'!$E$4:$SJ$4,"&lt;&gt;Bid Package",'PCO Log'!$E$7:$SJ$7,"Approved")</f>
        <v>0</v>
      </c>
      <c r="BV238" s="304">
        <f>SUMIFS('PCO Log'!$E62:$SJ62,'PCO Log'!$E$9:$SJ$9,'Graph Data'!BV$187,'PCO Log'!$E$4:$SJ$4,"&lt;&gt;Bid Package",'PCO Log'!$E$7:$SJ$7,"Approved")</f>
        <v>0</v>
      </c>
      <c r="BW238" s="304">
        <f>SUMIFS('PCO Log'!$E62:$SJ62,'PCO Log'!$E$9:$SJ$9,'Graph Data'!BW$187,'PCO Log'!$E$4:$SJ$4,"&lt;&gt;Bid Package",'PCO Log'!$E$7:$SJ$7,"Approved")</f>
        <v>0</v>
      </c>
      <c r="BX238" s="304">
        <f>SUMIFS('PCO Log'!$E62:$SJ62,'PCO Log'!$E$9:$SJ$9,'Graph Data'!BX$187,'PCO Log'!$E$4:$SJ$4,"&lt;&gt;Bid Package",'PCO Log'!$E$7:$SJ$7,"Approved")</f>
        <v>0</v>
      </c>
    </row>
    <row r="239" spans="1:76" x14ac:dyDescent="0.25">
      <c r="A239" s="303" t="s">
        <v>589</v>
      </c>
      <c r="B239" s="303">
        <f>'PCO Log'!IH7</f>
        <v>0</v>
      </c>
      <c r="C239" s="303">
        <f>'PCO Log'!IH4</f>
        <v>0</v>
      </c>
      <c r="D239" s="303" cm="1">
        <f t="array" ref="D239">INDEX('PCO Log'!$E$5:$SJ$5, 1, ROWS('Graph Data'!$D$2:D239))</f>
        <v>0</v>
      </c>
      <c r="E239" s="303">
        <f>'PCO Log'!IH8</f>
        <v>0</v>
      </c>
      <c r="F239" s="303">
        <f>'PCO Log'!IH3</f>
        <v>0</v>
      </c>
      <c r="G239" s="304">
        <f>'PCO Log'!IH10</f>
        <v>0</v>
      </c>
      <c r="H239" s="305">
        <f>'PCO Log'!IH6</f>
        <v>0</v>
      </c>
      <c r="K239" s="307"/>
      <c r="P239" s="303" t="str">
        <f t="shared" si="4"/>
        <v>Specialties</v>
      </c>
      <c r="Q239" s="304">
        <f>SUMIFS('PCO Log'!$E63:$SJ63,'PCO Log'!$E$9:$SJ$9,'Graph Data'!Q$187,'PCO Log'!$E$4:$SJ$4,"&lt;&gt;Bid Package",'PCO Log'!$E$7:$SJ$7,"Approved")</f>
        <v>0</v>
      </c>
      <c r="R239" s="304">
        <f>SUMIFS('PCO Log'!$E63:$SJ63,'PCO Log'!$E$9:$SJ$9,'Graph Data'!R$187,'PCO Log'!$E$4:$SJ$4,"&lt;&gt;Bid Package",'PCO Log'!$E$7:$SJ$7,"Approved")</f>
        <v>0</v>
      </c>
      <c r="S239" s="304">
        <f>SUMIFS('PCO Log'!$E63:$SJ63,'PCO Log'!$E$9:$SJ$9,'Graph Data'!S$187,'PCO Log'!$E$4:$SJ$4,"&lt;&gt;Bid Package",'PCO Log'!$E$7:$SJ$7,"Approved")</f>
        <v>0</v>
      </c>
      <c r="T239" s="304">
        <f>SUMIFS('PCO Log'!$E63:$SJ63,'PCO Log'!$E$9:$SJ$9,'Graph Data'!T$187,'PCO Log'!$E$4:$SJ$4,"&lt;&gt;Bid Package",'PCO Log'!$E$7:$SJ$7,"Approved")</f>
        <v>0</v>
      </c>
      <c r="U239" s="304">
        <f>SUMIFS('PCO Log'!$E63:$SJ63,'PCO Log'!$E$9:$SJ$9,'Graph Data'!U$187,'PCO Log'!$E$4:$SJ$4,"&lt;&gt;Bid Package",'PCO Log'!$E$7:$SJ$7,"Approved")</f>
        <v>0</v>
      </c>
      <c r="V239" s="304">
        <f>SUMIFS('PCO Log'!$E63:$SJ63,'PCO Log'!$E$9:$SJ$9,'Graph Data'!V$187,'PCO Log'!$E$4:$SJ$4,"&lt;&gt;Bid Package",'PCO Log'!$E$7:$SJ$7,"Approved")</f>
        <v>0</v>
      </c>
      <c r="W239" s="304">
        <f>SUMIFS('PCO Log'!$E63:$SJ63,'PCO Log'!$E$9:$SJ$9,'Graph Data'!W$187,'PCO Log'!$E$4:$SJ$4,"&lt;&gt;Bid Package",'PCO Log'!$E$7:$SJ$7,"Approved")</f>
        <v>0</v>
      </c>
      <c r="X239" s="304">
        <f>SUMIFS('PCO Log'!$E63:$SJ63,'PCO Log'!$E$9:$SJ$9,'Graph Data'!X$187,'PCO Log'!$E$4:$SJ$4,"&lt;&gt;Bid Package",'PCO Log'!$E$7:$SJ$7,"Approved")</f>
        <v>0</v>
      </c>
      <c r="Y239" s="304">
        <f>SUMIFS('PCO Log'!$E63:$SJ63,'PCO Log'!$E$9:$SJ$9,'Graph Data'!Y$187,'PCO Log'!$E$4:$SJ$4,"&lt;&gt;Bid Package",'PCO Log'!$E$7:$SJ$7,"Approved")</f>
        <v>0</v>
      </c>
      <c r="Z239" s="304">
        <f>SUMIFS('PCO Log'!$E63:$SJ63,'PCO Log'!$E$9:$SJ$9,'Graph Data'!Z$187,'PCO Log'!$E$4:$SJ$4,"&lt;&gt;Bid Package",'PCO Log'!$E$7:$SJ$7,"Approved")</f>
        <v>0</v>
      </c>
      <c r="AA239" s="304">
        <f>SUMIFS('PCO Log'!$E63:$SJ63,'PCO Log'!$E$9:$SJ$9,'Graph Data'!AA$187,'PCO Log'!$E$4:$SJ$4,"&lt;&gt;Bid Package",'PCO Log'!$E$7:$SJ$7,"Approved")</f>
        <v>0</v>
      </c>
      <c r="AB239" s="304">
        <f>SUMIFS('PCO Log'!$E63:$SJ63,'PCO Log'!$E$9:$SJ$9,'Graph Data'!AB$187,'PCO Log'!$E$4:$SJ$4,"&lt;&gt;Bid Package",'PCO Log'!$E$7:$SJ$7,"Approved")</f>
        <v>0</v>
      </c>
      <c r="AC239" s="304">
        <f>SUMIFS('PCO Log'!$E63:$SJ63,'PCO Log'!$E$9:$SJ$9,'Graph Data'!AC$187,'PCO Log'!$E$4:$SJ$4,"&lt;&gt;Bid Package",'PCO Log'!$E$7:$SJ$7,"Approved")</f>
        <v>0</v>
      </c>
      <c r="AD239" s="304">
        <f>SUMIFS('PCO Log'!$E63:$SJ63,'PCO Log'!$E$9:$SJ$9,'Graph Data'!AD$187,'PCO Log'!$E$4:$SJ$4,"&lt;&gt;Bid Package",'PCO Log'!$E$7:$SJ$7,"Approved")</f>
        <v>0</v>
      </c>
      <c r="AE239" s="304">
        <f>SUMIFS('PCO Log'!$E63:$SJ63,'PCO Log'!$E$9:$SJ$9,'Graph Data'!AE$187,'PCO Log'!$E$4:$SJ$4,"&lt;&gt;Bid Package",'PCO Log'!$E$7:$SJ$7,"Approved")</f>
        <v>0</v>
      </c>
      <c r="AF239" s="304">
        <f>SUMIFS('PCO Log'!$E63:$SJ63,'PCO Log'!$E$9:$SJ$9,'Graph Data'!AF$187,'PCO Log'!$E$4:$SJ$4,"&lt;&gt;Bid Package",'PCO Log'!$E$7:$SJ$7,"Approved")</f>
        <v>0</v>
      </c>
      <c r="AG239" s="304">
        <f>SUMIFS('PCO Log'!$E63:$SJ63,'PCO Log'!$E$9:$SJ$9,'Graph Data'!AG$187,'PCO Log'!$E$4:$SJ$4,"&lt;&gt;Bid Package",'PCO Log'!$E$7:$SJ$7,"Approved")</f>
        <v>0</v>
      </c>
      <c r="AH239" s="304">
        <f>SUMIFS('PCO Log'!$E63:$SJ63,'PCO Log'!$E$9:$SJ$9,'Graph Data'!AH$187,'PCO Log'!$E$4:$SJ$4,"&lt;&gt;Bid Package",'PCO Log'!$E$7:$SJ$7,"Approved")</f>
        <v>0</v>
      </c>
      <c r="AI239" s="304">
        <f>SUMIFS('PCO Log'!$E63:$SJ63,'PCO Log'!$E$9:$SJ$9,'Graph Data'!AI$187,'PCO Log'!$E$4:$SJ$4,"&lt;&gt;Bid Package",'PCO Log'!$E$7:$SJ$7,"Approved")</f>
        <v>0</v>
      </c>
      <c r="AJ239" s="304">
        <f>SUMIFS('PCO Log'!$E63:$SJ63,'PCO Log'!$E$9:$SJ$9,'Graph Data'!AJ$187,'PCO Log'!$E$4:$SJ$4,"&lt;&gt;Bid Package",'PCO Log'!$E$7:$SJ$7,"Approved")</f>
        <v>0</v>
      </c>
      <c r="AK239" s="304">
        <f>SUMIFS('PCO Log'!$E63:$SJ63,'PCO Log'!$E$9:$SJ$9,'Graph Data'!AK$187,'PCO Log'!$E$4:$SJ$4,"&lt;&gt;Bid Package",'PCO Log'!$E$7:$SJ$7,"Approved")</f>
        <v>0</v>
      </c>
      <c r="AL239" s="304">
        <f>SUMIFS('PCO Log'!$E63:$SJ63,'PCO Log'!$E$9:$SJ$9,'Graph Data'!AL$187,'PCO Log'!$E$4:$SJ$4,"&lt;&gt;Bid Package",'PCO Log'!$E$7:$SJ$7,"Approved")</f>
        <v>0</v>
      </c>
      <c r="AM239" s="304">
        <f>SUMIFS('PCO Log'!$E63:$SJ63,'PCO Log'!$E$9:$SJ$9,'Graph Data'!AM$187,'PCO Log'!$E$4:$SJ$4,"&lt;&gt;Bid Package",'PCO Log'!$E$7:$SJ$7,"Approved")</f>
        <v>0</v>
      </c>
      <c r="AN239" s="304">
        <f>SUMIFS('PCO Log'!$E63:$SJ63,'PCO Log'!$E$9:$SJ$9,'Graph Data'!AN$187,'PCO Log'!$E$4:$SJ$4,"&lt;&gt;Bid Package",'PCO Log'!$E$7:$SJ$7,"Approved")</f>
        <v>0</v>
      </c>
      <c r="AO239" s="304">
        <f>SUMIFS('PCO Log'!$E63:$SJ63,'PCO Log'!$E$9:$SJ$9,'Graph Data'!AO$187,'PCO Log'!$E$4:$SJ$4,"&lt;&gt;Bid Package",'PCO Log'!$E$7:$SJ$7,"Approved")</f>
        <v>0</v>
      </c>
      <c r="AP239" s="304">
        <f>SUMIFS('PCO Log'!$E63:$SJ63,'PCO Log'!$E$9:$SJ$9,'Graph Data'!AP$187,'PCO Log'!$E$4:$SJ$4,"&lt;&gt;Bid Package",'PCO Log'!$E$7:$SJ$7,"Approved")</f>
        <v>0</v>
      </c>
      <c r="AQ239" s="304">
        <f>SUMIFS('PCO Log'!$E63:$SJ63,'PCO Log'!$E$9:$SJ$9,'Graph Data'!AQ$187,'PCO Log'!$E$4:$SJ$4,"&lt;&gt;Bid Package",'PCO Log'!$E$7:$SJ$7,"Approved")</f>
        <v>0</v>
      </c>
      <c r="AR239" s="304">
        <f>SUMIFS('PCO Log'!$E63:$SJ63,'PCO Log'!$E$9:$SJ$9,'Graph Data'!AR$187,'PCO Log'!$E$4:$SJ$4,"&lt;&gt;Bid Package",'PCO Log'!$E$7:$SJ$7,"Approved")</f>
        <v>0</v>
      </c>
      <c r="AS239" s="304">
        <f>SUMIFS('PCO Log'!$E63:$SJ63,'PCO Log'!$E$9:$SJ$9,'Graph Data'!AS$187,'PCO Log'!$E$4:$SJ$4,"&lt;&gt;Bid Package",'PCO Log'!$E$7:$SJ$7,"Approved")</f>
        <v>0</v>
      </c>
      <c r="AT239" s="304">
        <f>SUMIFS('PCO Log'!$E63:$SJ63,'PCO Log'!$E$9:$SJ$9,'Graph Data'!AT$187,'PCO Log'!$E$4:$SJ$4,"&lt;&gt;Bid Package",'PCO Log'!$E$7:$SJ$7,"Approved")</f>
        <v>0</v>
      </c>
      <c r="AU239" s="304">
        <f>SUMIFS('PCO Log'!$E63:$SJ63,'PCO Log'!$E$9:$SJ$9,'Graph Data'!AU$187,'PCO Log'!$E$4:$SJ$4,"&lt;&gt;Bid Package",'PCO Log'!$E$7:$SJ$7,"Approved")</f>
        <v>0</v>
      </c>
      <c r="AV239" s="304">
        <f>SUMIFS('PCO Log'!$E63:$SJ63,'PCO Log'!$E$9:$SJ$9,'Graph Data'!AV$187,'PCO Log'!$E$4:$SJ$4,"&lt;&gt;Bid Package",'PCO Log'!$E$7:$SJ$7,"Approved")</f>
        <v>0</v>
      </c>
      <c r="AW239" s="304">
        <f>SUMIFS('PCO Log'!$E63:$SJ63,'PCO Log'!$E$9:$SJ$9,'Graph Data'!AW$187,'PCO Log'!$E$4:$SJ$4,"&lt;&gt;Bid Package",'PCO Log'!$E$7:$SJ$7,"Approved")</f>
        <v>0</v>
      </c>
      <c r="AX239" s="304">
        <f>SUMIFS('PCO Log'!$E63:$SJ63,'PCO Log'!$E$9:$SJ$9,'Graph Data'!AX$187,'PCO Log'!$E$4:$SJ$4,"&lt;&gt;Bid Package",'PCO Log'!$E$7:$SJ$7,"Approved")</f>
        <v>0</v>
      </c>
      <c r="AY239" s="304">
        <f>SUMIFS('PCO Log'!$E63:$SJ63,'PCO Log'!$E$9:$SJ$9,'Graph Data'!AY$187,'PCO Log'!$E$4:$SJ$4,"&lt;&gt;Bid Package",'PCO Log'!$E$7:$SJ$7,"Approved")</f>
        <v>0</v>
      </c>
      <c r="AZ239" s="304">
        <f>SUMIFS('PCO Log'!$E63:$SJ63,'PCO Log'!$E$9:$SJ$9,'Graph Data'!AZ$187,'PCO Log'!$E$4:$SJ$4,"&lt;&gt;Bid Package",'PCO Log'!$E$7:$SJ$7,"Approved")</f>
        <v>0</v>
      </c>
      <c r="BA239" s="304">
        <f>SUMIFS('PCO Log'!$E63:$SJ63,'PCO Log'!$E$9:$SJ$9,'Graph Data'!BA$187,'PCO Log'!$E$4:$SJ$4,"&lt;&gt;Bid Package",'PCO Log'!$E$7:$SJ$7,"Approved")</f>
        <v>0</v>
      </c>
      <c r="BB239" s="304">
        <f>SUMIFS('PCO Log'!$E63:$SJ63,'PCO Log'!$E$9:$SJ$9,'Graph Data'!BB$187,'PCO Log'!$E$4:$SJ$4,"&lt;&gt;Bid Package",'PCO Log'!$E$7:$SJ$7,"Approved")</f>
        <v>0</v>
      </c>
      <c r="BC239" s="304">
        <f>SUMIFS('PCO Log'!$E63:$SJ63,'PCO Log'!$E$9:$SJ$9,'Graph Data'!BC$187,'PCO Log'!$E$4:$SJ$4,"&lt;&gt;Bid Package",'PCO Log'!$E$7:$SJ$7,"Approved")</f>
        <v>0</v>
      </c>
      <c r="BD239" s="304">
        <f>SUMIFS('PCO Log'!$E63:$SJ63,'PCO Log'!$E$9:$SJ$9,'Graph Data'!BD$187,'PCO Log'!$E$4:$SJ$4,"&lt;&gt;Bid Package",'PCO Log'!$E$7:$SJ$7,"Approved")</f>
        <v>0</v>
      </c>
      <c r="BE239" s="304">
        <f>SUMIFS('PCO Log'!$E63:$SJ63,'PCO Log'!$E$9:$SJ$9,'Graph Data'!BE$187,'PCO Log'!$E$4:$SJ$4,"&lt;&gt;Bid Package",'PCO Log'!$E$7:$SJ$7,"Approved")</f>
        <v>0</v>
      </c>
      <c r="BF239" s="304">
        <f>SUMIFS('PCO Log'!$E63:$SJ63,'PCO Log'!$E$9:$SJ$9,'Graph Data'!BF$187,'PCO Log'!$E$4:$SJ$4,"&lt;&gt;Bid Package",'PCO Log'!$E$7:$SJ$7,"Approved")</f>
        <v>0</v>
      </c>
      <c r="BG239" s="304">
        <f>SUMIFS('PCO Log'!$E63:$SJ63,'PCO Log'!$E$9:$SJ$9,'Graph Data'!BG$187,'PCO Log'!$E$4:$SJ$4,"&lt;&gt;Bid Package",'PCO Log'!$E$7:$SJ$7,"Approved")</f>
        <v>0</v>
      </c>
      <c r="BH239" s="304">
        <f>SUMIFS('PCO Log'!$E63:$SJ63,'PCO Log'!$E$9:$SJ$9,'Graph Data'!BH$187,'PCO Log'!$E$4:$SJ$4,"&lt;&gt;Bid Package",'PCO Log'!$E$7:$SJ$7,"Approved")</f>
        <v>0</v>
      </c>
      <c r="BI239" s="304">
        <f>SUMIFS('PCO Log'!$E63:$SJ63,'PCO Log'!$E$9:$SJ$9,'Graph Data'!BI$187,'PCO Log'!$E$4:$SJ$4,"&lt;&gt;Bid Package",'PCO Log'!$E$7:$SJ$7,"Approved")</f>
        <v>0</v>
      </c>
      <c r="BJ239" s="304">
        <f>SUMIFS('PCO Log'!$E63:$SJ63,'PCO Log'!$E$9:$SJ$9,'Graph Data'!BJ$187,'PCO Log'!$E$4:$SJ$4,"&lt;&gt;Bid Package",'PCO Log'!$E$7:$SJ$7,"Approved")</f>
        <v>0</v>
      </c>
      <c r="BK239" s="304">
        <f>SUMIFS('PCO Log'!$E63:$SJ63,'PCO Log'!$E$9:$SJ$9,'Graph Data'!BK$187,'PCO Log'!$E$4:$SJ$4,"&lt;&gt;Bid Package",'PCO Log'!$E$7:$SJ$7,"Approved")</f>
        <v>0</v>
      </c>
      <c r="BL239" s="304">
        <f>SUMIFS('PCO Log'!$E63:$SJ63,'PCO Log'!$E$9:$SJ$9,'Graph Data'!BL$187,'PCO Log'!$E$4:$SJ$4,"&lt;&gt;Bid Package",'PCO Log'!$E$7:$SJ$7,"Approved")</f>
        <v>0</v>
      </c>
      <c r="BM239" s="304">
        <f>SUMIFS('PCO Log'!$E63:$SJ63,'PCO Log'!$E$9:$SJ$9,'Graph Data'!BM$187,'PCO Log'!$E$4:$SJ$4,"&lt;&gt;Bid Package",'PCO Log'!$E$7:$SJ$7,"Approved")</f>
        <v>0</v>
      </c>
      <c r="BN239" s="304">
        <f>SUMIFS('PCO Log'!$E63:$SJ63,'PCO Log'!$E$9:$SJ$9,'Graph Data'!BN$187,'PCO Log'!$E$4:$SJ$4,"&lt;&gt;Bid Package",'PCO Log'!$E$7:$SJ$7,"Approved")</f>
        <v>0</v>
      </c>
      <c r="BO239" s="304">
        <f>SUMIFS('PCO Log'!$E63:$SJ63,'PCO Log'!$E$9:$SJ$9,'Graph Data'!BO$187,'PCO Log'!$E$4:$SJ$4,"&lt;&gt;Bid Package",'PCO Log'!$E$7:$SJ$7,"Approved")</f>
        <v>0</v>
      </c>
      <c r="BP239" s="304">
        <f>SUMIFS('PCO Log'!$E63:$SJ63,'PCO Log'!$E$9:$SJ$9,'Graph Data'!BP$187,'PCO Log'!$E$4:$SJ$4,"&lt;&gt;Bid Package",'PCO Log'!$E$7:$SJ$7,"Approved")</f>
        <v>0</v>
      </c>
      <c r="BQ239" s="304">
        <f>SUMIFS('PCO Log'!$E63:$SJ63,'PCO Log'!$E$9:$SJ$9,'Graph Data'!BQ$187,'PCO Log'!$E$4:$SJ$4,"&lt;&gt;Bid Package",'PCO Log'!$E$7:$SJ$7,"Approved")</f>
        <v>0</v>
      </c>
      <c r="BR239" s="304">
        <f>SUMIFS('PCO Log'!$E63:$SJ63,'PCO Log'!$E$9:$SJ$9,'Graph Data'!BR$187,'PCO Log'!$E$4:$SJ$4,"&lt;&gt;Bid Package",'PCO Log'!$E$7:$SJ$7,"Approved")</f>
        <v>0</v>
      </c>
      <c r="BS239" s="304">
        <f>SUMIFS('PCO Log'!$E63:$SJ63,'PCO Log'!$E$9:$SJ$9,'Graph Data'!BS$187,'PCO Log'!$E$4:$SJ$4,"&lt;&gt;Bid Package",'PCO Log'!$E$7:$SJ$7,"Approved")</f>
        <v>0</v>
      </c>
      <c r="BT239" s="304">
        <f>SUMIFS('PCO Log'!$E63:$SJ63,'PCO Log'!$E$9:$SJ$9,'Graph Data'!BT$187,'PCO Log'!$E$4:$SJ$4,"&lt;&gt;Bid Package",'PCO Log'!$E$7:$SJ$7,"Approved")</f>
        <v>0</v>
      </c>
      <c r="BU239" s="304">
        <f>SUMIFS('PCO Log'!$E63:$SJ63,'PCO Log'!$E$9:$SJ$9,'Graph Data'!BU$187,'PCO Log'!$E$4:$SJ$4,"&lt;&gt;Bid Package",'PCO Log'!$E$7:$SJ$7,"Approved")</f>
        <v>0</v>
      </c>
      <c r="BV239" s="304">
        <f>SUMIFS('PCO Log'!$E63:$SJ63,'PCO Log'!$E$9:$SJ$9,'Graph Data'!BV$187,'PCO Log'!$E$4:$SJ$4,"&lt;&gt;Bid Package",'PCO Log'!$E$7:$SJ$7,"Approved")</f>
        <v>0</v>
      </c>
      <c r="BW239" s="304">
        <f>SUMIFS('PCO Log'!$E63:$SJ63,'PCO Log'!$E$9:$SJ$9,'Graph Data'!BW$187,'PCO Log'!$E$4:$SJ$4,"&lt;&gt;Bid Package",'PCO Log'!$E$7:$SJ$7,"Approved")</f>
        <v>0</v>
      </c>
      <c r="BX239" s="304">
        <f>SUMIFS('PCO Log'!$E63:$SJ63,'PCO Log'!$E$9:$SJ$9,'Graph Data'!BX$187,'PCO Log'!$E$4:$SJ$4,"&lt;&gt;Bid Package",'PCO Log'!$E$7:$SJ$7,"Approved")</f>
        <v>0</v>
      </c>
    </row>
    <row r="240" spans="1:76" x14ac:dyDescent="0.25">
      <c r="A240" s="303" t="s">
        <v>590</v>
      </c>
      <c r="B240" s="303">
        <f>'PCO Log'!II7</f>
        <v>0</v>
      </c>
      <c r="C240" s="303">
        <f>'PCO Log'!II4</f>
        <v>0</v>
      </c>
      <c r="D240" s="303" cm="1">
        <f t="array" ref="D240">INDEX('PCO Log'!$E$5:$SJ$5, 1, ROWS('Graph Data'!$D$2:D240))</f>
        <v>0</v>
      </c>
      <c r="E240" s="303">
        <f>'PCO Log'!II8</f>
        <v>0</v>
      </c>
      <c r="F240" s="303">
        <f>'PCO Log'!II3</f>
        <v>0</v>
      </c>
      <c r="G240" s="304">
        <f>'PCO Log'!II10</f>
        <v>0</v>
      </c>
      <c r="H240" s="305">
        <f>'PCO Log'!II6</f>
        <v>0</v>
      </c>
      <c r="K240" s="307"/>
      <c r="P240" s="303" t="str">
        <f t="shared" si="4"/>
        <v>Exterior Signage</v>
      </c>
      <c r="Q240" s="304">
        <f>SUMIFS('PCO Log'!$E64:$SJ64,'PCO Log'!$E$9:$SJ$9,'Graph Data'!Q$187,'PCO Log'!$E$4:$SJ$4,"&lt;&gt;Bid Package",'PCO Log'!$E$7:$SJ$7,"Approved")</f>
        <v>0</v>
      </c>
      <c r="R240" s="304">
        <f>SUMIFS('PCO Log'!$E64:$SJ64,'PCO Log'!$E$9:$SJ$9,'Graph Data'!R$187,'PCO Log'!$E$4:$SJ$4,"&lt;&gt;Bid Package",'PCO Log'!$E$7:$SJ$7,"Approved")</f>
        <v>0</v>
      </c>
      <c r="S240" s="304">
        <f>SUMIFS('PCO Log'!$E64:$SJ64,'PCO Log'!$E$9:$SJ$9,'Graph Data'!S$187,'PCO Log'!$E$4:$SJ$4,"&lt;&gt;Bid Package",'PCO Log'!$E$7:$SJ$7,"Approved")</f>
        <v>0</v>
      </c>
      <c r="T240" s="304">
        <f>SUMIFS('PCO Log'!$E64:$SJ64,'PCO Log'!$E$9:$SJ$9,'Graph Data'!T$187,'PCO Log'!$E$4:$SJ$4,"&lt;&gt;Bid Package",'PCO Log'!$E$7:$SJ$7,"Approved")</f>
        <v>0</v>
      </c>
      <c r="U240" s="304">
        <f>SUMIFS('PCO Log'!$E64:$SJ64,'PCO Log'!$E$9:$SJ$9,'Graph Data'!U$187,'PCO Log'!$E$4:$SJ$4,"&lt;&gt;Bid Package",'PCO Log'!$E$7:$SJ$7,"Approved")</f>
        <v>0</v>
      </c>
      <c r="V240" s="304">
        <f>SUMIFS('PCO Log'!$E64:$SJ64,'PCO Log'!$E$9:$SJ$9,'Graph Data'!V$187,'PCO Log'!$E$4:$SJ$4,"&lt;&gt;Bid Package",'PCO Log'!$E$7:$SJ$7,"Approved")</f>
        <v>0</v>
      </c>
      <c r="W240" s="304">
        <f>SUMIFS('PCO Log'!$E64:$SJ64,'PCO Log'!$E$9:$SJ$9,'Graph Data'!W$187,'PCO Log'!$E$4:$SJ$4,"&lt;&gt;Bid Package",'PCO Log'!$E$7:$SJ$7,"Approved")</f>
        <v>0</v>
      </c>
      <c r="X240" s="304">
        <f>SUMIFS('PCO Log'!$E64:$SJ64,'PCO Log'!$E$9:$SJ$9,'Graph Data'!X$187,'PCO Log'!$E$4:$SJ$4,"&lt;&gt;Bid Package",'PCO Log'!$E$7:$SJ$7,"Approved")</f>
        <v>0</v>
      </c>
      <c r="Y240" s="304">
        <f>SUMIFS('PCO Log'!$E64:$SJ64,'PCO Log'!$E$9:$SJ$9,'Graph Data'!Y$187,'PCO Log'!$E$4:$SJ$4,"&lt;&gt;Bid Package",'PCO Log'!$E$7:$SJ$7,"Approved")</f>
        <v>0</v>
      </c>
      <c r="Z240" s="304">
        <f>SUMIFS('PCO Log'!$E64:$SJ64,'PCO Log'!$E$9:$SJ$9,'Graph Data'!Z$187,'PCO Log'!$E$4:$SJ$4,"&lt;&gt;Bid Package",'PCO Log'!$E$7:$SJ$7,"Approved")</f>
        <v>0</v>
      </c>
      <c r="AA240" s="304">
        <f>SUMIFS('PCO Log'!$E64:$SJ64,'PCO Log'!$E$9:$SJ$9,'Graph Data'!AA$187,'PCO Log'!$E$4:$SJ$4,"&lt;&gt;Bid Package",'PCO Log'!$E$7:$SJ$7,"Approved")</f>
        <v>0</v>
      </c>
      <c r="AB240" s="304">
        <f>SUMIFS('PCO Log'!$E64:$SJ64,'PCO Log'!$E$9:$SJ$9,'Graph Data'!AB$187,'PCO Log'!$E$4:$SJ$4,"&lt;&gt;Bid Package",'PCO Log'!$E$7:$SJ$7,"Approved")</f>
        <v>0</v>
      </c>
      <c r="AC240" s="304">
        <f>SUMIFS('PCO Log'!$E64:$SJ64,'PCO Log'!$E$9:$SJ$9,'Graph Data'!AC$187,'PCO Log'!$E$4:$SJ$4,"&lt;&gt;Bid Package",'PCO Log'!$E$7:$SJ$7,"Approved")</f>
        <v>0</v>
      </c>
      <c r="AD240" s="304">
        <f>SUMIFS('PCO Log'!$E64:$SJ64,'PCO Log'!$E$9:$SJ$9,'Graph Data'!AD$187,'PCO Log'!$E$4:$SJ$4,"&lt;&gt;Bid Package",'PCO Log'!$E$7:$SJ$7,"Approved")</f>
        <v>0</v>
      </c>
      <c r="AE240" s="304">
        <f>SUMIFS('PCO Log'!$E64:$SJ64,'PCO Log'!$E$9:$SJ$9,'Graph Data'!AE$187,'PCO Log'!$E$4:$SJ$4,"&lt;&gt;Bid Package",'PCO Log'!$E$7:$SJ$7,"Approved")</f>
        <v>0</v>
      </c>
      <c r="AF240" s="304">
        <f>SUMIFS('PCO Log'!$E64:$SJ64,'PCO Log'!$E$9:$SJ$9,'Graph Data'!AF$187,'PCO Log'!$E$4:$SJ$4,"&lt;&gt;Bid Package",'PCO Log'!$E$7:$SJ$7,"Approved")</f>
        <v>0</v>
      </c>
      <c r="AG240" s="304">
        <f>SUMIFS('PCO Log'!$E64:$SJ64,'PCO Log'!$E$9:$SJ$9,'Graph Data'!AG$187,'PCO Log'!$E$4:$SJ$4,"&lt;&gt;Bid Package",'PCO Log'!$E$7:$SJ$7,"Approved")</f>
        <v>0</v>
      </c>
      <c r="AH240" s="304">
        <f>SUMIFS('PCO Log'!$E64:$SJ64,'PCO Log'!$E$9:$SJ$9,'Graph Data'!AH$187,'PCO Log'!$E$4:$SJ$4,"&lt;&gt;Bid Package",'PCO Log'!$E$7:$SJ$7,"Approved")</f>
        <v>0</v>
      </c>
      <c r="AI240" s="304">
        <f>SUMIFS('PCO Log'!$E64:$SJ64,'PCO Log'!$E$9:$SJ$9,'Graph Data'!AI$187,'PCO Log'!$E$4:$SJ$4,"&lt;&gt;Bid Package",'PCO Log'!$E$7:$SJ$7,"Approved")</f>
        <v>0</v>
      </c>
      <c r="AJ240" s="304">
        <f>SUMIFS('PCO Log'!$E64:$SJ64,'PCO Log'!$E$9:$SJ$9,'Graph Data'!AJ$187,'PCO Log'!$E$4:$SJ$4,"&lt;&gt;Bid Package",'PCO Log'!$E$7:$SJ$7,"Approved")</f>
        <v>0</v>
      </c>
      <c r="AK240" s="304">
        <f>SUMIFS('PCO Log'!$E64:$SJ64,'PCO Log'!$E$9:$SJ$9,'Graph Data'!AK$187,'PCO Log'!$E$4:$SJ$4,"&lt;&gt;Bid Package",'PCO Log'!$E$7:$SJ$7,"Approved")</f>
        <v>0</v>
      </c>
      <c r="AL240" s="304">
        <f>SUMIFS('PCO Log'!$E64:$SJ64,'PCO Log'!$E$9:$SJ$9,'Graph Data'!AL$187,'PCO Log'!$E$4:$SJ$4,"&lt;&gt;Bid Package",'PCO Log'!$E$7:$SJ$7,"Approved")</f>
        <v>0</v>
      </c>
      <c r="AM240" s="304">
        <f>SUMIFS('PCO Log'!$E64:$SJ64,'PCO Log'!$E$9:$SJ$9,'Graph Data'!AM$187,'PCO Log'!$E$4:$SJ$4,"&lt;&gt;Bid Package",'PCO Log'!$E$7:$SJ$7,"Approved")</f>
        <v>0</v>
      </c>
      <c r="AN240" s="304">
        <f>SUMIFS('PCO Log'!$E64:$SJ64,'PCO Log'!$E$9:$SJ$9,'Graph Data'!AN$187,'PCO Log'!$E$4:$SJ$4,"&lt;&gt;Bid Package",'PCO Log'!$E$7:$SJ$7,"Approved")</f>
        <v>0</v>
      </c>
      <c r="AO240" s="304">
        <f>SUMIFS('PCO Log'!$E64:$SJ64,'PCO Log'!$E$9:$SJ$9,'Graph Data'!AO$187,'PCO Log'!$E$4:$SJ$4,"&lt;&gt;Bid Package",'PCO Log'!$E$7:$SJ$7,"Approved")</f>
        <v>0</v>
      </c>
      <c r="AP240" s="304">
        <f>SUMIFS('PCO Log'!$E64:$SJ64,'PCO Log'!$E$9:$SJ$9,'Graph Data'!AP$187,'PCO Log'!$E$4:$SJ$4,"&lt;&gt;Bid Package",'PCO Log'!$E$7:$SJ$7,"Approved")</f>
        <v>0</v>
      </c>
      <c r="AQ240" s="304">
        <f>SUMIFS('PCO Log'!$E64:$SJ64,'PCO Log'!$E$9:$SJ$9,'Graph Data'!AQ$187,'PCO Log'!$E$4:$SJ$4,"&lt;&gt;Bid Package",'PCO Log'!$E$7:$SJ$7,"Approved")</f>
        <v>0</v>
      </c>
      <c r="AR240" s="304">
        <f>SUMIFS('PCO Log'!$E64:$SJ64,'PCO Log'!$E$9:$SJ$9,'Graph Data'!AR$187,'PCO Log'!$E$4:$SJ$4,"&lt;&gt;Bid Package",'PCO Log'!$E$7:$SJ$7,"Approved")</f>
        <v>0</v>
      </c>
      <c r="AS240" s="304">
        <f>SUMIFS('PCO Log'!$E64:$SJ64,'PCO Log'!$E$9:$SJ$9,'Graph Data'!AS$187,'PCO Log'!$E$4:$SJ$4,"&lt;&gt;Bid Package",'PCO Log'!$E$7:$SJ$7,"Approved")</f>
        <v>0</v>
      </c>
      <c r="AT240" s="304">
        <f>SUMIFS('PCO Log'!$E64:$SJ64,'PCO Log'!$E$9:$SJ$9,'Graph Data'!AT$187,'PCO Log'!$E$4:$SJ$4,"&lt;&gt;Bid Package",'PCO Log'!$E$7:$SJ$7,"Approved")</f>
        <v>0</v>
      </c>
      <c r="AU240" s="304">
        <f>SUMIFS('PCO Log'!$E64:$SJ64,'PCO Log'!$E$9:$SJ$9,'Graph Data'!AU$187,'PCO Log'!$E$4:$SJ$4,"&lt;&gt;Bid Package",'PCO Log'!$E$7:$SJ$7,"Approved")</f>
        <v>0</v>
      </c>
      <c r="AV240" s="304">
        <f>SUMIFS('PCO Log'!$E64:$SJ64,'PCO Log'!$E$9:$SJ$9,'Graph Data'!AV$187,'PCO Log'!$E$4:$SJ$4,"&lt;&gt;Bid Package",'PCO Log'!$E$7:$SJ$7,"Approved")</f>
        <v>0</v>
      </c>
      <c r="AW240" s="304">
        <f>SUMIFS('PCO Log'!$E64:$SJ64,'PCO Log'!$E$9:$SJ$9,'Graph Data'!AW$187,'PCO Log'!$E$4:$SJ$4,"&lt;&gt;Bid Package",'PCO Log'!$E$7:$SJ$7,"Approved")</f>
        <v>0</v>
      </c>
      <c r="AX240" s="304">
        <f>SUMIFS('PCO Log'!$E64:$SJ64,'PCO Log'!$E$9:$SJ$9,'Graph Data'!AX$187,'PCO Log'!$E$4:$SJ$4,"&lt;&gt;Bid Package",'PCO Log'!$E$7:$SJ$7,"Approved")</f>
        <v>0</v>
      </c>
      <c r="AY240" s="304">
        <f>SUMIFS('PCO Log'!$E64:$SJ64,'PCO Log'!$E$9:$SJ$9,'Graph Data'!AY$187,'PCO Log'!$E$4:$SJ$4,"&lt;&gt;Bid Package",'PCO Log'!$E$7:$SJ$7,"Approved")</f>
        <v>0</v>
      </c>
      <c r="AZ240" s="304">
        <f>SUMIFS('PCO Log'!$E64:$SJ64,'PCO Log'!$E$9:$SJ$9,'Graph Data'!AZ$187,'PCO Log'!$E$4:$SJ$4,"&lt;&gt;Bid Package",'PCO Log'!$E$7:$SJ$7,"Approved")</f>
        <v>0</v>
      </c>
      <c r="BA240" s="304">
        <f>SUMIFS('PCO Log'!$E64:$SJ64,'PCO Log'!$E$9:$SJ$9,'Graph Data'!BA$187,'PCO Log'!$E$4:$SJ$4,"&lt;&gt;Bid Package",'PCO Log'!$E$7:$SJ$7,"Approved")</f>
        <v>0</v>
      </c>
      <c r="BB240" s="304">
        <f>SUMIFS('PCO Log'!$E64:$SJ64,'PCO Log'!$E$9:$SJ$9,'Graph Data'!BB$187,'PCO Log'!$E$4:$SJ$4,"&lt;&gt;Bid Package",'PCO Log'!$E$7:$SJ$7,"Approved")</f>
        <v>0</v>
      </c>
      <c r="BC240" s="304">
        <f>SUMIFS('PCO Log'!$E64:$SJ64,'PCO Log'!$E$9:$SJ$9,'Graph Data'!BC$187,'PCO Log'!$E$4:$SJ$4,"&lt;&gt;Bid Package",'PCO Log'!$E$7:$SJ$7,"Approved")</f>
        <v>0</v>
      </c>
      <c r="BD240" s="304">
        <f>SUMIFS('PCO Log'!$E64:$SJ64,'PCO Log'!$E$9:$SJ$9,'Graph Data'!BD$187,'PCO Log'!$E$4:$SJ$4,"&lt;&gt;Bid Package",'PCO Log'!$E$7:$SJ$7,"Approved")</f>
        <v>0</v>
      </c>
      <c r="BE240" s="304">
        <f>SUMIFS('PCO Log'!$E64:$SJ64,'PCO Log'!$E$9:$SJ$9,'Graph Data'!BE$187,'PCO Log'!$E$4:$SJ$4,"&lt;&gt;Bid Package",'PCO Log'!$E$7:$SJ$7,"Approved")</f>
        <v>0</v>
      </c>
      <c r="BF240" s="304">
        <f>SUMIFS('PCO Log'!$E64:$SJ64,'PCO Log'!$E$9:$SJ$9,'Graph Data'!BF$187,'PCO Log'!$E$4:$SJ$4,"&lt;&gt;Bid Package",'PCO Log'!$E$7:$SJ$7,"Approved")</f>
        <v>0</v>
      </c>
      <c r="BG240" s="304">
        <f>SUMIFS('PCO Log'!$E64:$SJ64,'PCO Log'!$E$9:$SJ$9,'Graph Data'!BG$187,'PCO Log'!$E$4:$SJ$4,"&lt;&gt;Bid Package",'PCO Log'!$E$7:$SJ$7,"Approved")</f>
        <v>0</v>
      </c>
      <c r="BH240" s="304">
        <f>SUMIFS('PCO Log'!$E64:$SJ64,'PCO Log'!$E$9:$SJ$9,'Graph Data'!BH$187,'PCO Log'!$E$4:$SJ$4,"&lt;&gt;Bid Package",'PCO Log'!$E$7:$SJ$7,"Approved")</f>
        <v>0</v>
      </c>
      <c r="BI240" s="304">
        <f>SUMIFS('PCO Log'!$E64:$SJ64,'PCO Log'!$E$9:$SJ$9,'Graph Data'!BI$187,'PCO Log'!$E$4:$SJ$4,"&lt;&gt;Bid Package",'PCO Log'!$E$7:$SJ$7,"Approved")</f>
        <v>0</v>
      </c>
      <c r="BJ240" s="304">
        <f>SUMIFS('PCO Log'!$E64:$SJ64,'PCO Log'!$E$9:$SJ$9,'Graph Data'!BJ$187,'PCO Log'!$E$4:$SJ$4,"&lt;&gt;Bid Package",'PCO Log'!$E$7:$SJ$7,"Approved")</f>
        <v>0</v>
      </c>
      <c r="BK240" s="304">
        <f>SUMIFS('PCO Log'!$E64:$SJ64,'PCO Log'!$E$9:$SJ$9,'Graph Data'!BK$187,'PCO Log'!$E$4:$SJ$4,"&lt;&gt;Bid Package",'PCO Log'!$E$7:$SJ$7,"Approved")</f>
        <v>0</v>
      </c>
      <c r="BL240" s="304">
        <f>SUMIFS('PCO Log'!$E64:$SJ64,'PCO Log'!$E$9:$SJ$9,'Graph Data'!BL$187,'PCO Log'!$E$4:$SJ$4,"&lt;&gt;Bid Package",'PCO Log'!$E$7:$SJ$7,"Approved")</f>
        <v>0</v>
      </c>
      <c r="BM240" s="304">
        <f>SUMIFS('PCO Log'!$E64:$SJ64,'PCO Log'!$E$9:$SJ$9,'Graph Data'!BM$187,'PCO Log'!$E$4:$SJ$4,"&lt;&gt;Bid Package",'PCO Log'!$E$7:$SJ$7,"Approved")</f>
        <v>0</v>
      </c>
      <c r="BN240" s="304">
        <f>SUMIFS('PCO Log'!$E64:$SJ64,'PCO Log'!$E$9:$SJ$9,'Graph Data'!BN$187,'PCO Log'!$E$4:$SJ$4,"&lt;&gt;Bid Package",'PCO Log'!$E$7:$SJ$7,"Approved")</f>
        <v>0</v>
      </c>
      <c r="BO240" s="304">
        <f>SUMIFS('PCO Log'!$E64:$SJ64,'PCO Log'!$E$9:$SJ$9,'Graph Data'!BO$187,'PCO Log'!$E$4:$SJ$4,"&lt;&gt;Bid Package",'PCO Log'!$E$7:$SJ$7,"Approved")</f>
        <v>0</v>
      </c>
      <c r="BP240" s="304">
        <f>SUMIFS('PCO Log'!$E64:$SJ64,'PCO Log'!$E$9:$SJ$9,'Graph Data'!BP$187,'PCO Log'!$E$4:$SJ$4,"&lt;&gt;Bid Package",'PCO Log'!$E$7:$SJ$7,"Approved")</f>
        <v>0</v>
      </c>
      <c r="BQ240" s="304">
        <f>SUMIFS('PCO Log'!$E64:$SJ64,'PCO Log'!$E$9:$SJ$9,'Graph Data'!BQ$187,'PCO Log'!$E$4:$SJ$4,"&lt;&gt;Bid Package",'PCO Log'!$E$7:$SJ$7,"Approved")</f>
        <v>0</v>
      </c>
      <c r="BR240" s="304">
        <f>SUMIFS('PCO Log'!$E64:$SJ64,'PCO Log'!$E$9:$SJ$9,'Graph Data'!BR$187,'PCO Log'!$E$4:$SJ$4,"&lt;&gt;Bid Package",'PCO Log'!$E$7:$SJ$7,"Approved")</f>
        <v>0</v>
      </c>
      <c r="BS240" s="304">
        <f>SUMIFS('PCO Log'!$E64:$SJ64,'PCO Log'!$E$9:$SJ$9,'Graph Data'!BS$187,'PCO Log'!$E$4:$SJ$4,"&lt;&gt;Bid Package",'PCO Log'!$E$7:$SJ$7,"Approved")</f>
        <v>0</v>
      </c>
      <c r="BT240" s="304">
        <f>SUMIFS('PCO Log'!$E64:$SJ64,'PCO Log'!$E$9:$SJ$9,'Graph Data'!BT$187,'PCO Log'!$E$4:$SJ$4,"&lt;&gt;Bid Package",'PCO Log'!$E$7:$SJ$7,"Approved")</f>
        <v>0</v>
      </c>
      <c r="BU240" s="304">
        <f>SUMIFS('PCO Log'!$E64:$SJ64,'PCO Log'!$E$9:$SJ$9,'Graph Data'!BU$187,'PCO Log'!$E$4:$SJ$4,"&lt;&gt;Bid Package",'PCO Log'!$E$7:$SJ$7,"Approved")</f>
        <v>0</v>
      </c>
      <c r="BV240" s="304">
        <f>SUMIFS('PCO Log'!$E64:$SJ64,'PCO Log'!$E$9:$SJ$9,'Graph Data'!BV$187,'PCO Log'!$E$4:$SJ$4,"&lt;&gt;Bid Package",'PCO Log'!$E$7:$SJ$7,"Approved")</f>
        <v>0</v>
      </c>
      <c r="BW240" s="304">
        <f>SUMIFS('PCO Log'!$E64:$SJ64,'PCO Log'!$E$9:$SJ$9,'Graph Data'!BW$187,'PCO Log'!$E$4:$SJ$4,"&lt;&gt;Bid Package",'PCO Log'!$E$7:$SJ$7,"Approved")</f>
        <v>0</v>
      </c>
      <c r="BX240" s="304">
        <f>SUMIFS('PCO Log'!$E64:$SJ64,'PCO Log'!$E$9:$SJ$9,'Graph Data'!BX$187,'PCO Log'!$E$4:$SJ$4,"&lt;&gt;Bid Package",'PCO Log'!$E$7:$SJ$7,"Approved")</f>
        <v>0</v>
      </c>
    </row>
    <row r="241" spans="1:76" x14ac:dyDescent="0.25">
      <c r="A241" s="303" t="s">
        <v>591</v>
      </c>
      <c r="B241" s="303">
        <f>'PCO Log'!IJ7</f>
        <v>0</v>
      </c>
      <c r="C241" s="303">
        <f>'PCO Log'!IJ4</f>
        <v>0</v>
      </c>
      <c r="D241" s="303" cm="1">
        <f t="array" ref="D241">INDEX('PCO Log'!$E$5:$SJ$5, 1, ROWS('Graph Data'!$D$2:D241))</f>
        <v>0</v>
      </c>
      <c r="E241" s="303">
        <f>'PCO Log'!IJ8</f>
        <v>0</v>
      </c>
      <c r="F241" s="303">
        <f>'PCO Log'!IJ3</f>
        <v>0</v>
      </c>
      <c r="G241" s="304">
        <f>'PCO Log'!IJ10</f>
        <v>0</v>
      </c>
      <c r="H241" s="305">
        <f>'PCO Log'!IJ6</f>
        <v>0</v>
      </c>
      <c r="K241" s="307"/>
      <c r="P241" s="303" t="str">
        <f t="shared" si="4"/>
        <v>Interior Signage</v>
      </c>
      <c r="Q241" s="304">
        <f>SUMIFS('PCO Log'!$E65:$SJ65,'PCO Log'!$E$9:$SJ$9,'Graph Data'!Q$187,'PCO Log'!$E$4:$SJ$4,"&lt;&gt;Bid Package",'PCO Log'!$E$7:$SJ$7,"Approved")</f>
        <v>0</v>
      </c>
      <c r="R241" s="304">
        <f>SUMIFS('PCO Log'!$E65:$SJ65,'PCO Log'!$E$9:$SJ$9,'Graph Data'!R$187,'PCO Log'!$E$4:$SJ$4,"&lt;&gt;Bid Package",'PCO Log'!$E$7:$SJ$7,"Approved")</f>
        <v>0</v>
      </c>
      <c r="S241" s="304">
        <f>SUMIFS('PCO Log'!$E65:$SJ65,'PCO Log'!$E$9:$SJ$9,'Graph Data'!S$187,'PCO Log'!$E$4:$SJ$4,"&lt;&gt;Bid Package",'PCO Log'!$E$7:$SJ$7,"Approved")</f>
        <v>0</v>
      </c>
      <c r="T241" s="304">
        <f>SUMIFS('PCO Log'!$E65:$SJ65,'PCO Log'!$E$9:$SJ$9,'Graph Data'!T$187,'PCO Log'!$E$4:$SJ$4,"&lt;&gt;Bid Package",'PCO Log'!$E$7:$SJ$7,"Approved")</f>
        <v>0</v>
      </c>
      <c r="U241" s="304">
        <f>SUMIFS('PCO Log'!$E65:$SJ65,'PCO Log'!$E$9:$SJ$9,'Graph Data'!U$187,'PCO Log'!$E$4:$SJ$4,"&lt;&gt;Bid Package",'PCO Log'!$E$7:$SJ$7,"Approved")</f>
        <v>0</v>
      </c>
      <c r="V241" s="304">
        <f>SUMIFS('PCO Log'!$E65:$SJ65,'PCO Log'!$E$9:$SJ$9,'Graph Data'!V$187,'PCO Log'!$E$4:$SJ$4,"&lt;&gt;Bid Package",'PCO Log'!$E$7:$SJ$7,"Approved")</f>
        <v>0</v>
      </c>
      <c r="W241" s="304">
        <f>SUMIFS('PCO Log'!$E65:$SJ65,'PCO Log'!$E$9:$SJ$9,'Graph Data'!W$187,'PCO Log'!$E$4:$SJ$4,"&lt;&gt;Bid Package",'PCO Log'!$E$7:$SJ$7,"Approved")</f>
        <v>0</v>
      </c>
      <c r="X241" s="304">
        <f>SUMIFS('PCO Log'!$E65:$SJ65,'PCO Log'!$E$9:$SJ$9,'Graph Data'!X$187,'PCO Log'!$E$4:$SJ$4,"&lt;&gt;Bid Package",'PCO Log'!$E$7:$SJ$7,"Approved")</f>
        <v>0</v>
      </c>
      <c r="Y241" s="304">
        <f>SUMIFS('PCO Log'!$E65:$SJ65,'PCO Log'!$E$9:$SJ$9,'Graph Data'!Y$187,'PCO Log'!$E$4:$SJ$4,"&lt;&gt;Bid Package",'PCO Log'!$E$7:$SJ$7,"Approved")</f>
        <v>0</v>
      </c>
      <c r="Z241" s="304">
        <f>SUMIFS('PCO Log'!$E65:$SJ65,'PCO Log'!$E$9:$SJ$9,'Graph Data'!Z$187,'PCO Log'!$E$4:$SJ$4,"&lt;&gt;Bid Package",'PCO Log'!$E$7:$SJ$7,"Approved")</f>
        <v>0</v>
      </c>
      <c r="AA241" s="304">
        <f>SUMIFS('PCO Log'!$E65:$SJ65,'PCO Log'!$E$9:$SJ$9,'Graph Data'!AA$187,'PCO Log'!$E$4:$SJ$4,"&lt;&gt;Bid Package",'PCO Log'!$E$7:$SJ$7,"Approved")</f>
        <v>0</v>
      </c>
      <c r="AB241" s="304">
        <f>SUMIFS('PCO Log'!$E65:$SJ65,'PCO Log'!$E$9:$SJ$9,'Graph Data'!AB$187,'PCO Log'!$E$4:$SJ$4,"&lt;&gt;Bid Package",'PCO Log'!$E$7:$SJ$7,"Approved")</f>
        <v>0</v>
      </c>
      <c r="AC241" s="304">
        <f>SUMIFS('PCO Log'!$E65:$SJ65,'PCO Log'!$E$9:$SJ$9,'Graph Data'!AC$187,'PCO Log'!$E$4:$SJ$4,"&lt;&gt;Bid Package",'PCO Log'!$E$7:$SJ$7,"Approved")</f>
        <v>0</v>
      </c>
      <c r="AD241" s="304">
        <f>SUMIFS('PCO Log'!$E65:$SJ65,'PCO Log'!$E$9:$SJ$9,'Graph Data'!AD$187,'PCO Log'!$E$4:$SJ$4,"&lt;&gt;Bid Package",'PCO Log'!$E$7:$SJ$7,"Approved")</f>
        <v>0</v>
      </c>
      <c r="AE241" s="304">
        <f>SUMIFS('PCO Log'!$E65:$SJ65,'PCO Log'!$E$9:$SJ$9,'Graph Data'!AE$187,'PCO Log'!$E$4:$SJ$4,"&lt;&gt;Bid Package",'PCO Log'!$E$7:$SJ$7,"Approved")</f>
        <v>0</v>
      </c>
      <c r="AF241" s="304">
        <f>SUMIFS('PCO Log'!$E65:$SJ65,'PCO Log'!$E$9:$SJ$9,'Graph Data'!AF$187,'PCO Log'!$E$4:$SJ$4,"&lt;&gt;Bid Package",'PCO Log'!$E$7:$SJ$7,"Approved")</f>
        <v>0</v>
      </c>
      <c r="AG241" s="304">
        <f>SUMIFS('PCO Log'!$E65:$SJ65,'PCO Log'!$E$9:$SJ$9,'Graph Data'!AG$187,'PCO Log'!$E$4:$SJ$4,"&lt;&gt;Bid Package",'PCO Log'!$E$7:$SJ$7,"Approved")</f>
        <v>0</v>
      </c>
      <c r="AH241" s="304">
        <f>SUMIFS('PCO Log'!$E65:$SJ65,'PCO Log'!$E$9:$SJ$9,'Graph Data'!AH$187,'PCO Log'!$E$4:$SJ$4,"&lt;&gt;Bid Package",'PCO Log'!$E$7:$SJ$7,"Approved")</f>
        <v>0</v>
      </c>
      <c r="AI241" s="304">
        <f>SUMIFS('PCO Log'!$E65:$SJ65,'PCO Log'!$E$9:$SJ$9,'Graph Data'!AI$187,'PCO Log'!$E$4:$SJ$4,"&lt;&gt;Bid Package",'PCO Log'!$E$7:$SJ$7,"Approved")</f>
        <v>0</v>
      </c>
      <c r="AJ241" s="304">
        <f>SUMIFS('PCO Log'!$E65:$SJ65,'PCO Log'!$E$9:$SJ$9,'Graph Data'!AJ$187,'PCO Log'!$E$4:$SJ$4,"&lt;&gt;Bid Package",'PCO Log'!$E$7:$SJ$7,"Approved")</f>
        <v>0</v>
      </c>
      <c r="AK241" s="304">
        <f>SUMIFS('PCO Log'!$E65:$SJ65,'PCO Log'!$E$9:$SJ$9,'Graph Data'!AK$187,'PCO Log'!$E$4:$SJ$4,"&lt;&gt;Bid Package",'PCO Log'!$E$7:$SJ$7,"Approved")</f>
        <v>0</v>
      </c>
      <c r="AL241" s="304">
        <f>SUMIFS('PCO Log'!$E65:$SJ65,'PCO Log'!$E$9:$SJ$9,'Graph Data'!AL$187,'PCO Log'!$E$4:$SJ$4,"&lt;&gt;Bid Package",'PCO Log'!$E$7:$SJ$7,"Approved")</f>
        <v>0</v>
      </c>
      <c r="AM241" s="304">
        <f>SUMIFS('PCO Log'!$E65:$SJ65,'PCO Log'!$E$9:$SJ$9,'Graph Data'!AM$187,'PCO Log'!$E$4:$SJ$4,"&lt;&gt;Bid Package",'PCO Log'!$E$7:$SJ$7,"Approved")</f>
        <v>0</v>
      </c>
      <c r="AN241" s="304">
        <f>SUMIFS('PCO Log'!$E65:$SJ65,'PCO Log'!$E$9:$SJ$9,'Graph Data'!AN$187,'PCO Log'!$E$4:$SJ$4,"&lt;&gt;Bid Package",'PCO Log'!$E$7:$SJ$7,"Approved")</f>
        <v>0</v>
      </c>
      <c r="AO241" s="304">
        <f>SUMIFS('PCO Log'!$E65:$SJ65,'PCO Log'!$E$9:$SJ$9,'Graph Data'!AO$187,'PCO Log'!$E$4:$SJ$4,"&lt;&gt;Bid Package",'PCO Log'!$E$7:$SJ$7,"Approved")</f>
        <v>0</v>
      </c>
      <c r="AP241" s="304">
        <f>SUMIFS('PCO Log'!$E65:$SJ65,'PCO Log'!$E$9:$SJ$9,'Graph Data'!AP$187,'PCO Log'!$E$4:$SJ$4,"&lt;&gt;Bid Package",'PCO Log'!$E$7:$SJ$7,"Approved")</f>
        <v>0</v>
      </c>
      <c r="AQ241" s="304">
        <f>SUMIFS('PCO Log'!$E65:$SJ65,'PCO Log'!$E$9:$SJ$9,'Graph Data'!AQ$187,'PCO Log'!$E$4:$SJ$4,"&lt;&gt;Bid Package",'PCO Log'!$E$7:$SJ$7,"Approved")</f>
        <v>0</v>
      </c>
      <c r="AR241" s="304">
        <f>SUMIFS('PCO Log'!$E65:$SJ65,'PCO Log'!$E$9:$SJ$9,'Graph Data'!AR$187,'PCO Log'!$E$4:$SJ$4,"&lt;&gt;Bid Package",'PCO Log'!$E$7:$SJ$7,"Approved")</f>
        <v>0</v>
      </c>
      <c r="AS241" s="304">
        <f>SUMIFS('PCO Log'!$E65:$SJ65,'PCO Log'!$E$9:$SJ$9,'Graph Data'!AS$187,'PCO Log'!$E$4:$SJ$4,"&lt;&gt;Bid Package",'PCO Log'!$E$7:$SJ$7,"Approved")</f>
        <v>0</v>
      </c>
      <c r="AT241" s="304">
        <f>SUMIFS('PCO Log'!$E65:$SJ65,'PCO Log'!$E$9:$SJ$9,'Graph Data'!AT$187,'PCO Log'!$E$4:$SJ$4,"&lt;&gt;Bid Package",'PCO Log'!$E$7:$SJ$7,"Approved")</f>
        <v>0</v>
      </c>
      <c r="AU241" s="304">
        <f>SUMIFS('PCO Log'!$E65:$SJ65,'PCO Log'!$E$9:$SJ$9,'Graph Data'!AU$187,'PCO Log'!$E$4:$SJ$4,"&lt;&gt;Bid Package",'PCO Log'!$E$7:$SJ$7,"Approved")</f>
        <v>0</v>
      </c>
      <c r="AV241" s="304">
        <f>SUMIFS('PCO Log'!$E65:$SJ65,'PCO Log'!$E$9:$SJ$9,'Graph Data'!AV$187,'PCO Log'!$E$4:$SJ$4,"&lt;&gt;Bid Package",'PCO Log'!$E$7:$SJ$7,"Approved")</f>
        <v>0</v>
      </c>
      <c r="AW241" s="304">
        <f>SUMIFS('PCO Log'!$E65:$SJ65,'PCO Log'!$E$9:$SJ$9,'Graph Data'!AW$187,'PCO Log'!$E$4:$SJ$4,"&lt;&gt;Bid Package",'PCO Log'!$E$7:$SJ$7,"Approved")</f>
        <v>0</v>
      </c>
      <c r="AX241" s="304">
        <f>SUMIFS('PCO Log'!$E65:$SJ65,'PCO Log'!$E$9:$SJ$9,'Graph Data'!AX$187,'PCO Log'!$E$4:$SJ$4,"&lt;&gt;Bid Package",'PCO Log'!$E$7:$SJ$7,"Approved")</f>
        <v>0</v>
      </c>
      <c r="AY241" s="304">
        <f>SUMIFS('PCO Log'!$E65:$SJ65,'PCO Log'!$E$9:$SJ$9,'Graph Data'!AY$187,'PCO Log'!$E$4:$SJ$4,"&lt;&gt;Bid Package",'PCO Log'!$E$7:$SJ$7,"Approved")</f>
        <v>0</v>
      </c>
      <c r="AZ241" s="304">
        <f>SUMIFS('PCO Log'!$E65:$SJ65,'PCO Log'!$E$9:$SJ$9,'Graph Data'!AZ$187,'PCO Log'!$E$4:$SJ$4,"&lt;&gt;Bid Package",'PCO Log'!$E$7:$SJ$7,"Approved")</f>
        <v>0</v>
      </c>
      <c r="BA241" s="304">
        <f>SUMIFS('PCO Log'!$E65:$SJ65,'PCO Log'!$E$9:$SJ$9,'Graph Data'!BA$187,'PCO Log'!$E$4:$SJ$4,"&lt;&gt;Bid Package",'PCO Log'!$E$7:$SJ$7,"Approved")</f>
        <v>0</v>
      </c>
      <c r="BB241" s="304">
        <f>SUMIFS('PCO Log'!$E65:$SJ65,'PCO Log'!$E$9:$SJ$9,'Graph Data'!BB$187,'PCO Log'!$E$4:$SJ$4,"&lt;&gt;Bid Package",'PCO Log'!$E$7:$SJ$7,"Approved")</f>
        <v>0</v>
      </c>
      <c r="BC241" s="304">
        <f>SUMIFS('PCO Log'!$E65:$SJ65,'PCO Log'!$E$9:$SJ$9,'Graph Data'!BC$187,'PCO Log'!$E$4:$SJ$4,"&lt;&gt;Bid Package",'PCO Log'!$E$7:$SJ$7,"Approved")</f>
        <v>0</v>
      </c>
      <c r="BD241" s="304">
        <f>SUMIFS('PCO Log'!$E65:$SJ65,'PCO Log'!$E$9:$SJ$9,'Graph Data'!BD$187,'PCO Log'!$E$4:$SJ$4,"&lt;&gt;Bid Package",'PCO Log'!$E$7:$SJ$7,"Approved")</f>
        <v>0</v>
      </c>
      <c r="BE241" s="304">
        <f>SUMIFS('PCO Log'!$E65:$SJ65,'PCO Log'!$E$9:$SJ$9,'Graph Data'!BE$187,'PCO Log'!$E$4:$SJ$4,"&lt;&gt;Bid Package",'PCO Log'!$E$7:$SJ$7,"Approved")</f>
        <v>0</v>
      </c>
      <c r="BF241" s="304">
        <f>SUMIFS('PCO Log'!$E65:$SJ65,'PCO Log'!$E$9:$SJ$9,'Graph Data'!BF$187,'PCO Log'!$E$4:$SJ$4,"&lt;&gt;Bid Package",'PCO Log'!$E$7:$SJ$7,"Approved")</f>
        <v>0</v>
      </c>
      <c r="BG241" s="304">
        <f>SUMIFS('PCO Log'!$E65:$SJ65,'PCO Log'!$E$9:$SJ$9,'Graph Data'!BG$187,'PCO Log'!$E$4:$SJ$4,"&lt;&gt;Bid Package",'PCO Log'!$E$7:$SJ$7,"Approved")</f>
        <v>0</v>
      </c>
      <c r="BH241" s="304">
        <f>SUMIFS('PCO Log'!$E65:$SJ65,'PCO Log'!$E$9:$SJ$9,'Graph Data'!BH$187,'PCO Log'!$E$4:$SJ$4,"&lt;&gt;Bid Package",'PCO Log'!$E$7:$SJ$7,"Approved")</f>
        <v>0</v>
      </c>
      <c r="BI241" s="304">
        <f>SUMIFS('PCO Log'!$E65:$SJ65,'PCO Log'!$E$9:$SJ$9,'Graph Data'!BI$187,'PCO Log'!$E$4:$SJ$4,"&lt;&gt;Bid Package",'PCO Log'!$E$7:$SJ$7,"Approved")</f>
        <v>0</v>
      </c>
      <c r="BJ241" s="304">
        <f>SUMIFS('PCO Log'!$E65:$SJ65,'PCO Log'!$E$9:$SJ$9,'Graph Data'!BJ$187,'PCO Log'!$E$4:$SJ$4,"&lt;&gt;Bid Package",'PCO Log'!$E$7:$SJ$7,"Approved")</f>
        <v>0</v>
      </c>
      <c r="BK241" s="304">
        <f>SUMIFS('PCO Log'!$E65:$SJ65,'PCO Log'!$E$9:$SJ$9,'Graph Data'!BK$187,'PCO Log'!$E$4:$SJ$4,"&lt;&gt;Bid Package",'PCO Log'!$E$7:$SJ$7,"Approved")</f>
        <v>0</v>
      </c>
      <c r="BL241" s="304">
        <f>SUMIFS('PCO Log'!$E65:$SJ65,'PCO Log'!$E$9:$SJ$9,'Graph Data'!BL$187,'PCO Log'!$E$4:$SJ$4,"&lt;&gt;Bid Package",'PCO Log'!$E$7:$SJ$7,"Approved")</f>
        <v>0</v>
      </c>
      <c r="BM241" s="304">
        <f>SUMIFS('PCO Log'!$E65:$SJ65,'PCO Log'!$E$9:$SJ$9,'Graph Data'!BM$187,'PCO Log'!$E$4:$SJ$4,"&lt;&gt;Bid Package",'PCO Log'!$E$7:$SJ$7,"Approved")</f>
        <v>0</v>
      </c>
      <c r="BN241" s="304">
        <f>SUMIFS('PCO Log'!$E65:$SJ65,'PCO Log'!$E$9:$SJ$9,'Graph Data'!BN$187,'PCO Log'!$E$4:$SJ$4,"&lt;&gt;Bid Package",'PCO Log'!$E$7:$SJ$7,"Approved")</f>
        <v>0</v>
      </c>
      <c r="BO241" s="304">
        <f>SUMIFS('PCO Log'!$E65:$SJ65,'PCO Log'!$E$9:$SJ$9,'Graph Data'!BO$187,'PCO Log'!$E$4:$SJ$4,"&lt;&gt;Bid Package",'PCO Log'!$E$7:$SJ$7,"Approved")</f>
        <v>0</v>
      </c>
      <c r="BP241" s="304">
        <f>SUMIFS('PCO Log'!$E65:$SJ65,'PCO Log'!$E$9:$SJ$9,'Graph Data'!BP$187,'PCO Log'!$E$4:$SJ$4,"&lt;&gt;Bid Package",'PCO Log'!$E$7:$SJ$7,"Approved")</f>
        <v>0</v>
      </c>
      <c r="BQ241" s="304">
        <f>SUMIFS('PCO Log'!$E65:$SJ65,'PCO Log'!$E$9:$SJ$9,'Graph Data'!BQ$187,'PCO Log'!$E$4:$SJ$4,"&lt;&gt;Bid Package",'PCO Log'!$E$7:$SJ$7,"Approved")</f>
        <v>0</v>
      </c>
      <c r="BR241" s="304">
        <f>SUMIFS('PCO Log'!$E65:$SJ65,'PCO Log'!$E$9:$SJ$9,'Graph Data'!BR$187,'PCO Log'!$E$4:$SJ$4,"&lt;&gt;Bid Package",'PCO Log'!$E$7:$SJ$7,"Approved")</f>
        <v>0</v>
      </c>
      <c r="BS241" s="304">
        <f>SUMIFS('PCO Log'!$E65:$SJ65,'PCO Log'!$E$9:$SJ$9,'Graph Data'!BS$187,'PCO Log'!$E$4:$SJ$4,"&lt;&gt;Bid Package",'PCO Log'!$E$7:$SJ$7,"Approved")</f>
        <v>0</v>
      </c>
      <c r="BT241" s="304">
        <f>SUMIFS('PCO Log'!$E65:$SJ65,'PCO Log'!$E$9:$SJ$9,'Graph Data'!BT$187,'PCO Log'!$E$4:$SJ$4,"&lt;&gt;Bid Package",'PCO Log'!$E$7:$SJ$7,"Approved")</f>
        <v>0</v>
      </c>
      <c r="BU241" s="304">
        <f>SUMIFS('PCO Log'!$E65:$SJ65,'PCO Log'!$E$9:$SJ$9,'Graph Data'!BU$187,'PCO Log'!$E$4:$SJ$4,"&lt;&gt;Bid Package",'PCO Log'!$E$7:$SJ$7,"Approved")</f>
        <v>0</v>
      </c>
      <c r="BV241" s="304">
        <f>SUMIFS('PCO Log'!$E65:$SJ65,'PCO Log'!$E$9:$SJ$9,'Graph Data'!BV$187,'PCO Log'!$E$4:$SJ$4,"&lt;&gt;Bid Package",'PCO Log'!$E$7:$SJ$7,"Approved")</f>
        <v>0</v>
      </c>
      <c r="BW241" s="304">
        <f>SUMIFS('PCO Log'!$E65:$SJ65,'PCO Log'!$E$9:$SJ$9,'Graph Data'!BW$187,'PCO Log'!$E$4:$SJ$4,"&lt;&gt;Bid Package",'PCO Log'!$E$7:$SJ$7,"Approved")</f>
        <v>0</v>
      </c>
      <c r="BX241" s="304">
        <f>SUMIFS('PCO Log'!$E65:$SJ65,'PCO Log'!$E$9:$SJ$9,'Graph Data'!BX$187,'PCO Log'!$E$4:$SJ$4,"&lt;&gt;Bid Package",'PCO Log'!$E$7:$SJ$7,"Approved")</f>
        <v>0</v>
      </c>
    </row>
    <row r="242" spans="1:76" x14ac:dyDescent="0.25">
      <c r="A242" s="303" t="s">
        <v>592</v>
      </c>
      <c r="B242" s="303">
        <f>'PCO Log'!IK7</f>
        <v>0</v>
      </c>
      <c r="C242" s="303">
        <f>'PCO Log'!IK4</f>
        <v>0</v>
      </c>
      <c r="D242" s="303" cm="1">
        <f t="array" ref="D242">INDEX('PCO Log'!$E$5:$SJ$5, 1, ROWS('Graph Data'!$D$2:D242))</f>
        <v>0</v>
      </c>
      <c r="E242" s="303">
        <f>'PCO Log'!IK8</f>
        <v>0</v>
      </c>
      <c r="F242" s="303">
        <f>'PCO Log'!IK3</f>
        <v>0</v>
      </c>
      <c r="G242" s="304">
        <f>'PCO Log'!IK10</f>
        <v>0</v>
      </c>
      <c r="H242" s="305">
        <f>'PCO Log'!IK6</f>
        <v>0</v>
      </c>
      <c r="K242" s="307"/>
      <c r="P242" s="303" t="str">
        <f t="shared" si="4"/>
        <v>Dock Equipment</v>
      </c>
      <c r="Q242" s="304">
        <f>SUMIFS('PCO Log'!$E66:$SJ66,'PCO Log'!$E$9:$SJ$9,'Graph Data'!Q$187,'PCO Log'!$E$4:$SJ$4,"&lt;&gt;Bid Package",'PCO Log'!$E$7:$SJ$7,"Approved")</f>
        <v>0</v>
      </c>
      <c r="R242" s="304">
        <f>SUMIFS('PCO Log'!$E66:$SJ66,'PCO Log'!$E$9:$SJ$9,'Graph Data'!R$187,'PCO Log'!$E$4:$SJ$4,"&lt;&gt;Bid Package",'PCO Log'!$E$7:$SJ$7,"Approved")</f>
        <v>0</v>
      </c>
      <c r="S242" s="304">
        <f>SUMIFS('PCO Log'!$E66:$SJ66,'PCO Log'!$E$9:$SJ$9,'Graph Data'!S$187,'PCO Log'!$E$4:$SJ$4,"&lt;&gt;Bid Package",'PCO Log'!$E$7:$SJ$7,"Approved")</f>
        <v>0</v>
      </c>
      <c r="T242" s="304">
        <f>SUMIFS('PCO Log'!$E66:$SJ66,'PCO Log'!$E$9:$SJ$9,'Graph Data'!T$187,'PCO Log'!$E$4:$SJ$4,"&lt;&gt;Bid Package",'PCO Log'!$E$7:$SJ$7,"Approved")</f>
        <v>0</v>
      </c>
      <c r="U242" s="304">
        <f>SUMIFS('PCO Log'!$E66:$SJ66,'PCO Log'!$E$9:$SJ$9,'Graph Data'!U$187,'PCO Log'!$E$4:$SJ$4,"&lt;&gt;Bid Package",'PCO Log'!$E$7:$SJ$7,"Approved")</f>
        <v>0</v>
      </c>
      <c r="V242" s="304">
        <f>SUMIFS('PCO Log'!$E66:$SJ66,'PCO Log'!$E$9:$SJ$9,'Graph Data'!V$187,'PCO Log'!$E$4:$SJ$4,"&lt;&gt;Bid Package",'PCO Log'!$E$7:$SJ$7,"Approved")</f>
        <v>0</v>
      </c>
      <c r="W242" s="304">
        <f>SUMIFS('PCO Log'!$E66:$SJ66,'PCO Log'!$E$9:$SJ$9,'Graph Data'!W$187,'PCO Log'!$E$4:$SJ$4,"&lt;&gt;Bid Package",'PCO Log'!$E$7:$SJ$7,"Approved")</f>
        <v>0</v>
      </c>
      <c r="X242" s="304">
        <f>SUMIFS('PCO Log'!$E66:$SJ66,'PCO Log'!$E$9:$SJ$9,'Graph Data'!X$187,'PCO Log'!$E$4:$SJ$4,"&lt;&gt;Bid Package",'PCO Log'!$E$7:$SJ$7,"Approved")</f>
        <v>0</v>
      </c>
      <c r="Y242" s="304">
        <f>SUMIFS('PCO Log'!$E66:$SJ66,'PCO Log'!$E$9:$SJ$9,'Graph Data'!Y$187,'PCO Log'!$E$4:$SJ$4,"&lt;&gt;Bid Package",'PCO Log'!$E$7:$SJ$7,"Approved")</f>
        <v>0</v>
      </c>
      <c r="Z242" s="304">
        <f>SUMIFS('PCO Log'!$E66:$SJ66,'PCO Log'!$E$9:$SJ$9,'Graph Data'!Z$187,'PCO Log'!$E$4:$SJ$4,"&lt;&gt;Bid Package",'PCO Log'!$E$7:$SJ$7,"Approved")</f>
        <v>0</v>
      </c>
      <c r="AA242" s="304">
        <f>SUMIFS('PCO Log'!$E66:$SJ66,'PCO Log'!$E$9:$SJ$9,'Graph Data'!AA$187,'PCO Log'!$E$4:$SJ$4,"&lt;&gt;Bid Package",'PCO Log'!$E$7:$SJ$7,"Approved")</f>
        <v>0</v>
      </c>
      <c r="AB242" s="304">
        <f>SUMIFS('PCO Log'!$E66:$SJ66,'PCO Log'!$E$9:$SJ$9,'Graph Data'!AB$187,'PCO Log'!$E$4:$SJ$4,"&lt;&gt;Bid Package",'PCO Log'!$E$7:$SJ$7,"Approved")</f>
        <v>0</v>
      </c>
      <c r="AC242" s="304">
        <f>SUMIFS('PCO Log'!$E66:$SJ66,'PCO Log'!$E$9:$SJ$9,'Graph Data'!AC$187,'PCO Log'!$E$4:$SJ$4,"&lt;&gt;Bid Package",'PCO Log'!$E$7:$SJ$7,"Approved")</f>
        <v>0</v>
      </c>
      <c r="AD242" s="304">
        <f>SUMIFS('PCO Log'!$E66:$SJ66,'PCO Log'!$E$9:$SJ$9,'Graph Data'!AD$187,'PCO Log'!$E$4:$SJ$4,"&lt;&gt;Bid Package",'PCO Log'!$E$7:$SJ$7,"Approved")</f>
        <v>0</v>
      </c>
      <c r="AE242" s="304">
        <f>SUMIFS('PCO Log'!$E66:$SJ66,'PCO Log'!$E$9:$SJ$9,'Graph Data'!AE$187,'PCO Log'!$E$4:$SJ$4,"&lt;&gt;Bid Package",'PCO Log'!$E$7:$SJ$7,"Approved")</f>
        <v>0</v>
      </c>
      <c r="AF242" s="304">
        <f>SUMIFS('PCO Log'!$E66:$SJ66,'PCO Log'!$E$9:$SJ$9,'Graph Data'!AF$187,'PCO Log'!$E$4:$SJ$4,"&lt;&gt;Bid Package",'PCO Log'!$E$7:$SJ$7,"Approved")</f>
        <v>0</v>
      </c>
      <c r="AG242" s="304">
        <f>SUMIFS('PCO Log'!$E66:$SJ66,'PCO Log'!$E$9:$SJ$9,'Graph Data'!AG$187,'PCO Log'!$E$4:$SJ$4,"&lt;&gt;Bid Package",'PCO Log'!$E$7:$SJ$7,"Approved")</f>
        <v>0</v>
      </c>
      <c r="AH242" s="304">
        <f>SUMIFS('PCO Log'!$E66:$SJ66,'PCO Log'!$E$9:$SJ$9,'Graph Data'!AH$187,'PCO Log'!$E$4:$SJ$4,"&lt;&gt;Bid Package",'PCO Log'!$E$7:$SJ$7,"Approved")</f>
        <v>0</v>
      </c>
      <c r="AI242" s="304">
        <f>SUMIFS('PCO Log'!$E66:$SJ66,'PCO Log'!$E$9:$SJ$9,'Graph Data'!AI$187,'PCO Log'!$E$4:$SJ$4,"&lt;&gt;Bid Package",'PCO Log'!$E$7:$SJ$7,"Approved")</f>
        <v>0</v>
      </c>
      <c r="AJ242" s="304">
        <f>SUMIFS('PCO Log'!$E66:$SJ66,'PCO Log'!$E$9:$SJ$9,'Graph Data'!AJ$187,'PCO Log'!$E$4:$SJ$4,"&lt;&gt;Bid Package",'PCO Log'!$E$7:$SJ$7,"Approved")</f>
        <v>0</v>
      </c>
      <c r="AK242" s="304">
        <f>SUMIFS('PCO Log'!$E66:$SJ66,'PCO Log'!$E$9:$SJ$9,'Graph Data'!AK$187,'PCO Log'!$E$4:$SJ$4,"&lt;&gt;Bid Package",'PCO Log'!$E$7:$SJ$7,"Approved")</f>
        <v>0</v>
      </c>
      <c r="AL242" s="304">
        <f>SUMIFS('PCO Log'!$E66:$SJ66,'PCO Log'!$E$9:$SJ$9,'Graph Data'!AL$187,'PCO Log'!$E$4:$SJ$4,"&lt;&gt;Bid Package",'PCO Log'!$E$7:$SJ$7,"Approved")</f>
        <v>0</v>
      </c>
      <c r="AM242" s="304">
        <f>SUMIFS('PCO Log'!$E66:$SJ66,'PCO Log'!$E$9:$SJ$9,'Graph Data'!AM$187,'PCO Log'!$E$4:$SJ$4,"&lt;&gt;Bid Package",'PCO Log'!$E$7:$SJ$7,"Approved")</f>
        <v>0</v>
      </c>
      <c r="AN242" s="304">
        <f>SUMIFS('PCO Log'!$E66:$SJ66,'PCO Log'!$E$9:$SJ$9,'Graph Data'!AN$187,'PCO Log'!$E$4:$SJ$4,"&lt;&gt;Bid Package",'PCO Log'!$E$7:$SJ$7,"Approved")</f>
        <v>0</v>
      </c>
      <c r="AO242" s="304">
        <f>SUMIFS('PCO Log'!$E66:$SJ66,'PCO Log'!$E$9:$SJ$9,'Graph Data'!AO$187,'PCO Log'!$E$4:$SJ$4,"&lt;&gt;Bid Package",'PCO Log'!$E$7:$SJ$7,"Approved")</f>
        <v>0</v>
      </c>
      <c r="AP242" s="304">
        <f>SUMIFS('PCO Log'!$E66:$SJ66,'PCO Log'!$E$9:$SJ$9,'Graph Data'!AP$187,'PCO Log'!$E$4:$SJ$4,"&lt;&gt;Bid Package",'PCO Log'!$E$7:$SJ$7,"Approved")</f>
        <v>0</v>
      </c>
      <c r="AQ242" s="304">
        <f>SUMIFS('PCO Log'!$E66:$SJ66,'PCO Log'!$E$9:$SJ$9,'Graph Data'!AQ$187,'PCO Log'!$E$4:$SJ$4,"&lt;&gt;Bid Package",'PCO Log'!$E$7:$SJ$7,"Approved")</f>
        <v>0</v>
      </c>
      <c r="AR242" s="304">
        <f>SUMIFS('PCO Log'!$E66:$SJ66,'PCO Log'!$E$9:$SJ$9,'Graph Data'!AR$187,'PCO Log'!$E$4:$SJ$4,"&lt;&gt;Bid Package",'PCO Log'!$E$7:$SJ$7,"Approved")</f>
        <v>0</v>
      </c>
      <c r="AS242" s="304">
        <f>SUMIFS('PCO Log'!$E66:$SJ66,'PCO Log'!$E$9:$SJ$9,'Graph Data'!AS$187,'PCO Log'!$E$4:$SJ$4,"&lt;&gt;Bid Package",'PCO Log'!$E$7:$SJ$7,"Approved")</f>
        <v>0</v>
      </c>
      <c r="AT242" s="304">
        <f>SUMIFS('PCO Log'!$E66:$SJ66,'PCO Log'!$E$9:$SJ$9,'Graph Data'!AT$187,'PCO Log'!$E$4:$SJ$4,"&lt;&gt;Bid Package",'PCO Log'!$E$7:$SJ$7,"Approved")</f>
        <v>0</v>
      </c>
      <c r="AU242" s="304">
        <f>SUMIFS('PCO Log'!$E66:$SJ66,'PCO Log'!$E$9:$SJ$9,'Graph Data'!AU$187,'PCO Log'!$E$4:$SJ$4,"&lt;&gt;Bid Package",'PCO Log'!$E$7:$SJ$7,"Approved")</f>
        <v>0</v>
      </c>
      <c r="AV242" s="304">
        <f>SUMIFS('PCO Log'!$E66:$SJ66,'PCO Log'!$E$9:$SJ$9,'Graph Data'!AV$187,'PCO Log'!$E$4:$SJ$4,"&lt;&gt;Bid Package",'PCO Log'!$E$7:$SJ$7,"Approved")</f>
        <v>0</v>
      </c>
      <c r="AW242" s="304">
        <f>SUMIFS('PCO Log'!$E66:$SJ66,'PCO Log'!$E$9:$SJ$9,'Graph Data'!AW$187,'PCO Log'!$E$4:$SJ$4,"&lt;&gt;Bid Package",'PCO Log'!$E$7:$SJ$7,"Approved")</f>
        <v>0</v>
      </c>
      <c r="AX242" s="304">
        <f>SUMIFS('PCO Log'!$E66:$SJ66,'PCO Log'!$E$9:$SJ$9,'Graph Data'!AX$187,'PCO Log'!$E$4:$SJ$4,"&lt;&gt;Bid Package",'PCO Log'!$E$7:$SJ$7,"Approved")</f>
        <v>0</v>
      </c>
      <c r="AY242" s="304">
        <f>SUMIFS('PCO Log'!$E66:$SJ66,'PCO Log'!$E$9:$SJ$9,'Graph Data'!AY$187,'PCO Log'!$E$4:$SJ$4,"&lt;&gt;Bid Package",'PCO Log'!$E$7:$SJ$7,"Approved")</f>
        <v>0</v>
      </c>
      <c r="AZ242" s="304">
        <f>SUMIFS('PCO Log'!$E66:$SJ66,'PCO Log'!$E$9:$SJ$9,'Graph Data'!AZ$187,'PCO Log'!$E$4:$SJ$4,"&lt;&gt;Bid Package",'PCO Log'!$E$7:$SJ$7,"Approved")</f>
        <v>0</v>
      </c>
      <c r="BA242" s="304">
        <f>SUMIFS('PCO Log'!$E66:$SJ66,'PCO Log'!$E$9:$SJ$9,'Graph Data'!BA$187,'PCO Log'!$E$4:$SJ$4,"&lt;&gt;Bid Package",'PCO Log'!$E$7:$SJ$7,"Approved")</f>
        <v>0</v>
      </c>
      <c r="BB242" s="304">
        <f>SUMIFS('PCO Log'!$E66:$SJ66,'PCO Log'!$E$9:$SJ$9,'Graph Data'!BB$187,'PCO Log'!$E$4:$SJ$4,"&lt;&gt;Bid Package",'PCO Log'!$E$7:$SJ$7,"Approved")</f>
        <v>0</v>
      </c>
      <c r="BC242" s="304">
        <f>SUMIFS('PCO Log'!$E66:$SJ66,'PCO Log'!$E$9:$SJ$9,'Graph Data'!BC$187,'PCO Log'!$E$4:$SJ$4,"&lt;&gt;Bid Package",'PCO Log'!$E$7:$SJ$7,"Approved")</f>
        <v>0</v>
      </c>
      <c r="BD242" s="304">
        <f>SUMIFS('PCO Log'!$E66:$SJ66,'PCO Log'!$E$9:$SJ$9,'Graph Data'!BD$187,'PCO Log'!$E$4:$SJ$4,"&lt;&gt;Bid Package",'PCO Log'!$E$7:$SJ$7,"Approved")</f>
        <v>0</v>
      </c>
      <c r="BE242" s="304">
        <f>SUMIFS('PCO Log'!$E66:$SJ66,'PCO Log'!$E$9:$SJ$9,'Graph Data'!BE$187,'PCO Log'!$E$4:$SJ$4,"&lt;&gt;Bid Package",'PCO Log'!$E$7:$SJ$7,"Approved")</f>
        <v>0</v>
      </c>
      <c r="BF242" s="304">
        <f>SUMIFS('PCO Log'!$E66:$SJ66,'PCO Log'!$E$9:$SJ$9,'Graph Data'!BF$187,'PCO Log'!$E$4:$SJ$4,"&lt;&gt;Bid Package",'PCO Log'!$E$7:$SJ$7,"Approved")</f>
        <v>0</v>
      </c>
      <c r="BG242" s="304">
        <f>SUMIFS('PCO Log'!$E66:$SJ66,'PCO Log'!$E$9:$SJ$9,'Graph Data'!BG$187,'PCO Log'!$E$4:$SJ$4,"&lt;&gt;Bid Package",'PCO Log'!$E$7:$SJ$7,"Approved")</f>
        <v>0</v>
      </c>
      <c r="BH242" s="304">
        <f>SUMIFS('PCO Log'!$E66:$SJ66,'PCO Log'!$E$9:$SJ$9,'Graph Data'!BH$187,'PCO Log'!$E$4:$SJ$4,"&lt;&gt;Bid Package",'PCO Log'!$E$7:$SJ$7,"Approved")</f>
        <v>0</v>
      </c>
      <c r="BI242" s="304">
        <f>SUMIFS('PCO Log'!$E66:$SJ66,'PCO Log'!$E$9:$SJ$9,'Graph Data'!BI$187,'PCO Log'!$E$4:$SJ$4,"&lt;&gt;Bid Package",'PCO Log'!$E$7:$SJ$7,"Approved")</f>
        <v>0</v>
      </c>
      <c r="BJ242" s="304">
        <f>SUMIFS('PCO Log'!$E66:$SJ66,'PCO Log'!$E$9:$SJ$9,'Graph Data'!BJ$187,'PCO Log'!$E$4:$SJ$4,"&lt;&gt;Bid Package",'PCO Log'!$E$7:$SJ$7,"Approved")</f>
        <v>0</v>
      </c>
      <c r="BK242" s="304">
        <f>SUMIFS('PCO Log'!$E66:$SJ66,'PCO Log'!$E$9:$SJ$9,'Graph Data'!BK$187,'PCO Log'!$E$4:$SJ$4,"&lt;&gt;Bid Package",'PCO Log'!$E$7:$SJ$7,"Approved")</f>
        <v>0</v>
      </c>
      <c r="BL242" s="304">
        <f>SUMIFS('PCO Log'!$E66:$SJ66,'PCO Log'!$E$9:$SJ$9,'Graph Data'!BL$187,'PCO Log'!$E$4:$SJ$4,"&lt;&gt;Bid Package",'PCO Log'!$E$7:$SJ$7,"Approved")</f>
        <v>0</v>
      </c>
      <c r="BM242" s="304">
        <f>SUMIFS('PCO Log'!$E66:$SJ66,'PCO Log'!$E$9:$SJ$9,'Graph Data'!BM$187,'PCO Log'!$E$4:$SJ$4,"&lt;&gt;Bid Package",'PCO Log'!$E$7:$SJ$7,"Approved")</f>
        <v>0</v>
      </c>
      <c r="BN242" s="304">
        <f>SUMIFS('PCO Log'!$E66:$SJ66,'PCO Log'!$E$9:$SJ$9,'Graph Data'!BN$187,'PCO Log'!$E$4:$SJ$4,"&lt;&gt;Bid Package",'PCO Log'!$E$7:$SJ$7,"Approved")</f>
        <v>0</v>
      </c>
      <c r="BO242" s="304">
        <f>SUMIFS('PCO Log'!$E66:$SJ66,'PCO Log'!$E$9:$SJ$9,'Graph Data'!BO$187,'PCO Log'!$E$4:$SJ$4,"&lt;&gt;Bid Package",'PCO Log'!$E$7:$SJ$7,"Approved")</f>
        <v>0</v>
      </c>
      <c r="BP242" s="304">
        <f>SUMIFS('PCO Log'!$E66:$SJ66,'PCO Log'!$E$9:$SJ$9,'Graph Data'!BP$187,'PCO Log'!$E$4:$SJ$4,"&lt;&gt;Bid Package",'PCO Log'!$E$7:$SJ$7,"Approved")</f>
        <v>0</v>
      </c>
      <c r="BQ242" s="304">
        <f>SUMIFS('PCO Log'!$E66:$SJ66,'PCO Log'!$E$9:$SJ$9,'Graph Data'!BQ$187,'PCO Log'!$E$4:$SJ$4,"&lt;&gt;Bid Package",'PCO Log'!$E$7:$SJ$7,"Approved")</f>
        <v>0</v>
      </c>
      <c r="BR242" s="304">
        <f>SUMIFS('PCO Log'!$E66:$SJ66,'PCO Log'!$E$9:$SJ$9,'Graph Data'!BR$187,'PCO Log'!$E$4:$SJ$4,"&lt;&gt;Bid Package",'PCO Log'!$E$7:$SJ$7,"Approved")</f>
        <v>0</v>
      </c>
      <c r="BS242" s="304">
        <f>SUMIFS('PCO Log'!$E66:$SJ66,'PCO Log'!$E$9:$SJ$9,'Graph Data'!BS$187,'PCO Log'!$E$4:$SJ$4,"&lt;&gt;Bid Package",'PCO Log'!$E$7:$SJ$7,"Approved")</f>
        <v>0</v>
      </c>
      <c r="BT242" s="304">
        <f>SUMIFS('PCO Log'!$E66:$SJ66,'PCO Log'!$E$9:$SJ$9,'Graph Data'!BT$187,'PCO Log'!$E$4:$SJ$4,"&lt;&gt;Bid Package",'PCO Log'!$E$7:$SJ$7,"Approved")</f>
        <v>0</v>
      </c>
      <c r="BU242" s="304">
        <f>SUMIFS('PCO Log'!$E66:$SJ66,'PCO Log'!$E$9:$SJ$9,'Graph Data'!BU$187,'PCO Log'!$E$4:$SJ$4,"&lt;&gt;Bid Package",'PCO Log'!$E$7:$SJ$7,"Approved")</f>
        <v>0</v>
      </c>
      <c r="BV242" s="304">
        <f>SUMIFS('PCO Log'!$E66:$SJ66,'PCO Log'!$E$9:$SJ$9,'Graph Data'!BV$187,'PCO Log'!$E$4:$SJ$4,"&lt;&gt;Bid Package",'PCO Log'!$E$7:$SJ$7,"Approved")</f>
        <v>0</v>
      </c>
      <c r="BW242" s="304">
        <f>SUMIFS('PCO Log'!$E66:$SJ66,'PCO Log'!$E$9:$SJ$9,'Graph Data'!BW$187,'PCO Log'!$E$4:$SJ$4,"&lt;&gt;Bid Package",'PCO Log'!$E$7:$SJ$7,"Approved")</f>
        <v>0</v>
      </c>
      <c r="BX242" s="304">
        <f>SUMIFS('PCO Log'!$E66:$SJ66,'PCO Log'!$E$9:$SJ$9,'Graph Data'!BX$187,'PCO Log'!$E$4:$SJ$4,"&lt;&gt;Bid Package",'PCO Log'!$E$7:$SJ$7,"Approved")</f>
        <v>0</v>
      </c>
    </row>
    <row r="243" spans="1:76" x14ac:dyDescent="0.25">
      <c r="A243" s="303" t="s">
        <v>593</v>
      </c>
      <c r="B243" s="303">
        <f>'PCO Log'!IL7</f>
        <v>0</v>
      </c>
      <c r="C243" s="303">
        <f>'PCO Log'!IL4</f>
        <v>0</v>
      </c>
      <c r="D243" s="303" cm="1">
        <f t="array" ref="D243">INDEX('PCO Log'!$E$5:$SJ$5, 1, ROWS('Graph Data'!$D$2:D243))</f>
        <v>0</v>
      </c>
      <c r="E243" s="303">
        <f>'PCO Log'!IL8</f>
        <v>0</v>
      </c>
      <c r="F243" s="303">
        <f>'PCO Log'!IL3</f>
        <v>0</v>
      </c>
      <c r="G243" s="304">
        <f>'PCO Log'!IL10</f>
        <v>0</v>
      </c>
      <c r="H243" s="305">
        <f>'PCO Log'!IL6</f>
        <v>0</v>
      </c>
      <c r="K243" s="307"/>
      <c r="P243" s="303" t="str">
        <f t="shared" si="4"/>
        <v>Food Service Equipment</v>
      </c>
      <c r="Q243" s="304">
        <f>SUMIFS('PCO Log'!$E67:$SJ67,'PCO Log'!$E$9:$SJ$9,'Graph Data'!Q$187,'PCO Log'!$E$4:$SJ$4,"&lt;&gt;Bid Package",'PCO Log'!$E$7:$SJ$7,"Approved")</f>
        <v>0</v>
      </c>
      <c r="R243" s="304">
        <f>SUMIFS('PCO Log'!$E67:$SJ67,'PCO Log'!$E$9:$SJ$9,'Graph Data'!R$187,'PCO Log'!$E$4:$SJ$4,"&lt;&gt;Bid Package",'PCO Log'!$E$7:$SJ$7,"Approved")</f>
        <v>0</v>
      </c>
      <c r="S243" s="304">
        <f>SUMIFS('PCO Log'!$E67:$SJ67,'PCO Log'!$E$9:$SJ$9,'Graph Data'!S$187,'PCO Log'!$E$4:$SJ$4,"&lt;&gt;Bid Package",'PCO Log'!$E$7:$SJ$7,"Approved")</f>
        <v>0</v>
      </c>
      <c r="T243" s="304">
        <f>SUMIFS('PCO Log'!$E67:$SJ67,'PCO Log'!$E$9:$SJ$9,'Graph Data'!T$187,'PCO Log'!$E$4:$SJ$4,"&lt;&gt;Bid Package",'PCO Log'!$E$7:$SJ$7,"Approved")</f>
        <v>0</v>
      </c>
      <c r="U243" s="304">
        <f>SUMIFS('PCO Log'!$E67:$SJ67,'PCO Log'!$E$9:$SJ$9,'Graph Data'!U$187,'PCO Log'!$E$4:$SJ$4,"&lt;&gt;Bid Package",'PCO Log'!$E$7:$SJ$7,"Approved")</f>
        <v>0</v>
      </c>
      <c r="V243" s="304">
        <f>SUMIFS('PCO Log'!$E67:$SJ67,'PCO Log'!$E$9:$SJ$9,'Graph Data'!V$187,'PCO Log'!$E$4:$SJ$4,"&lt;&gt;Bid Package",'PCO Log'!$E$7:$SJ$7,"Approved")</f>
        <v>0</v>
      </c>
      <c r="W243" s="304">
        <f>SUMIFS('PCO Log'!$E67:$SJ67,'PCO Log'!$E$9:$SJ$9,'Graph Data'!W$187,'PCO Log'!$E$4:$SJ$4,"&lt;&gt;Bid Package",'PCO Log'!$E$7:$SJ$7,"Approved")</f>
        <v>0</v>
      </c>
      <c r="X243" s="304">
        <f>SUMIFS('PCO Log'!$E67:$SJ67,'PCO Log'!$E$9:$SJ$9,'Graph Data'!X$187,'PCO Log'!$E$4:$SJ$4,"&lt;&gt;Bid Package",'PCO Log'!$E$7:$SJ$7,"Approved")</f>
        <v>0</v>
      </c>
      <c r="Y243" s="304">
        <f>SUMIFS('PCO Log'!$E67:$SJ67,'PCO Log'!$E$9:$SJ$9,'Graph Data'!Y$187,'PCO Log'!$E$4:$SJ$4,"&lt;&gt;Bid Package",'PCO Log'!$E$7:$SJ$7,"Approved")</f>
        <v>0</v>
      </c>
      <c r="Z243" s="304">
        <f>SUMIFS('PCO Log'!$E67:$SJ67,'PCO Log'!$E$9:$SJ$9,'Graph Data'!Z$187,'PCO Log'!$E$4:$SJ$4,"&lt;&gt;Bid Package",'PCO Log'!$E$7:$SJ$7,"Approved")</f>
        <v>0</v>
      </c>
      <c r="AA243" s="304">
        <f>SUMIFS('PCO Log'!$E67:$SJ67,'PCO Log'!$E$9:$SJ$9,'Graph Data'!AA$187,'PCO Log'!$E$4:$SJ$4,"&lt;&gt;Bid Package",'PCO Log'!$E$7:$SJ$7,"Approved")</f>
        <v>0</v>
      </c>
      <c r="AB243" s="304">
        <f>SUMIFS('PCO Log'!$E67:$SJ67,'PCO Log'!$E$9:$SJ$9,'Graph Data'!AB$187,'PCO Log'!$E$4:$SJ$4,"&lt;&gt;Bid Package",'PCO Log'!$E$7:$SJ$7,"Approved")</f>
        <v>0</v>
      </c>
      <c r="AC243" s="304">
        <f>SUMIFS('PCO Log'!$E67:$SJ67,'PCO Log'!$E$9:$SJ$9,'Graph Data'!AC$187,'PCO Log'!$E$4:$SJ$4,"&lt;&gt;Bid Package",'PCO Log'!$E$7:$SJ$7,"Approved")</f>
        <v>0</v>
      </c>
      <c r="AD243" s="304">
        <f>SUMIFS('PCO Log'!$E67:$SJ67,'PCO Log'!$E$9:$SJ$9,'Graph Data'!AD$187,'PCO Log'!$E$4:$SJ$4,"&lt;&gt;Bid Package",'PCO Log'!$E$7:$SJ$7,"Approved")</f>
        <v>0</v>
      </c>
      <c r="AE243" s="304">
        <f>SUMIFS('PCO Log'!$E67:$SJ67,'PCO Log'!$E$9:$SJ$9,'Graph Data'!AE$187,'PCO Log'!$E$4:$SJ$4,"&lt;&gt;Bid Package",'PCO Log'!$E$7:$SJ$7,"Approved")</f>
        <v>0</v>
      </c>
      <c r="AF243" s="304">
        <f>SUMIFS('PCO Log'!$E67:$SJ67,'PCO Log'!$E$9:$SJ$9,'Graph Data'!AF$187,'PCO Log'!$E$4:$SJ$4,"&lt;&gt;Bid Package",'PCO Log'!$E$7:$SJ$7,"Approved")</f>
        <v>0</v>
      </c>
      <c r="AG243" s="304">
        <f>SUMIFS('PCO Log'!$E67:$SJ67,'PCO Log'!$E$9:$SJ$9,'Graph Data'!AG$187,'PCO Log'!$E$4:$SJ$4,"&lt;&gt;Bid Package",'PCO Log'!$E$7:$SJ$7,"Approved")</f>
        <v>0</v>
      </c>
      <c r="AH243" s="304">
        <f>SUMIFS('PCO Log'!$E67:$SJ67,'PCO Log'!$E$9:$SJ$9,'Graph Data'!AH$187,'PCO Log'!$E$4:$SJ$4,"&lt;&gt;Bid Package",'PCO Log'!$E$7:$SJ$7,"Approved")</f>
        <v>0</v>
      </c>
      <c r="AI243" s="304">
        <f>SUMIFS('PCO Log'!$E67:$SJ67,'PCO Log'!$E$9:$SJ$9,'Graph Data'!AI$187,'PCO Log'!$E$4:$SJ$4,"&lt;&gt;Bid Package",'PCO Log'!$E$7:$SJ$7,"Approved")</f>
        <v>0</v>
      </c>
      <c r="AJ243" s="304">
        <f>SUMIFS('PCO Log'!$E67:$SJ67,'PCO Log'!$E$9:$SJ$9,'Graph Data'!AJ$187,'PCO Log'!$E$4:$SJ$4,"&lt;&gt;Bid Package",'PCO Log'!$E$7:$SJ$7,"Approved")</f>
        <v>0</v>
      </c>
      <c r="AK243" s="304">
        <f>SUMIFS('PCO Log'!$E67:$SJ67,'PCO Log'!$E$9:$SJ$9,'Graph Data'!AK$187,'PCO Log'!$E$4:$SJ$4,"&lt;&gt;Bid Package",'PCO Log'!$E$7:$SJ$7,"Approved")</f>
        <v>0</v>
      </c>
      <c r="AL243" s="304">
        <f>SUMIFS('PCO Log'!$E67:$SJ67,'PCO Log'!$E$9:$SJ$9,'Graph Data'!AL$187,'PCO Log'!$E$4:$SJ$4,"&lt;&gt;Bid Package",'PCO Log'!$E$7:$SJ$7,"Approved")</f>
        <v>0</v>
      </c>
      <c r="AM243" s="304">
        <f>SUMIFS('PCO Log'!$E67:$SJ67,'PCO Log'!$E$9:$SJ$9,'Graph Data'!AM$187,'PCO Log'!$E$4:$SJ$4,"&lt;&gt;Bid Package",'PCO Log'!$E$7:$SJ$7,"Approved")</f>
        <v>0</v>
      </c>
      <c r="AN243" s="304">
        <f>SUMIFS('PCO Log'!$E67:$SJ67,'PCO Log'!$E$9:$SJ$9,'Graph Data'!AN$187,'PCO Log'!$E$4:$SJ$4,"&lt;&gt;Bid Package",'PCO Log'!$E$7:$SJ$7,"Approved")</f>
        <v>0</v>
      </c>
      <c r="AO243" s="304">
        <f>SUMIFS('PCO Log'!$E67:$SJ67,'PCO Log'!$E$9:$SJ$9,'Graph Data'!AO$187,'PCO Log'!$E$4:$SJ$4,"&lt;&gt;Bid Package",'PCO Log'!$E$7:$SJ$7,"Approved")</f>
        <v>0</v>
      </c>
      <c r="AP243" s="304">
        <f>SUMIFS('PCO Log'!$E67:$SJ67,'PCO Log'!$E$9:$SJ$9,'Graph Data'!AP$187,'PCO Log'!$E$4:$SJ$4,"&lt;&gt;Bid Package",'PCO Log'!$E$7:$SJ$7,"Approved")</f>
        <v>0</v>
      </c>
      <c r="AQ243" s="304">
        <f>SUMIFS('PCO Log'!$E67:$SJ67,'PCO Log'!$E$9:$SJ$9,'Graph Data'!AQ$187,'PCO Log'!$E$4:$SJ$4,"&lt;&gt;Bid Package",'PCO Log'!$E$7:$SJ$7,"Approved")</f>
        <v>0</v>
      </c>
      <c r="AR243" s="304">
        <f>SUMIFS('PCO Log'!$E67:$SJ67,'PCO Log'!$E$9:$SJ$9,'Graph Data'!AR$187,'PCO Log'!$E$4:$SJ$4,"&lt;&gt;Bid Package",'PCO Log'!$E$7:$SJ$7,"Approved")</f>
        <v>0</v>
      </c>
      <c r="AS243" s="304">
        <f>SUMIFS('PCO Log'!$E67:$SJ67,'PCO Log'!$E$9:$SJ$9,'Graph Data'!AS$187,'PCO Log'!$E$4:$SJ$4,"&lt;&gt;Bid Package",'PCO Log'!$E$7:$SJ$7,"Approved")</f>
        <v>0</v>
      </c>
      <c r="AT243" s="304">
        <f>SUMIFS('PCO Log'!$E67:$SJ67,'PCO Log'!$E$9:$SJ$9,'Graph Data'!AT$187,'PCO Log'!$E$4:$SJ$4,"&lt;&gt;Bid Package",'PCO Log'!$E$7:$SJ$7,"Approved")</f>
        <v>0</v>
      </c>
      <c r="AU243" s="304">
        <f>SUMIFS('PCO Log'!$E67:$SJ67,'PCO Log'!$E$9:$SJ$9,'Graph Data'!AU$187,'PCO Log'!$E$4:$SJ$4,"&lt;&gt;Bid Package",'PCO Log'!$E$7:$SJ$7,"Approved")</f>
        <v>0</v>
      </c>
      <c r="AV243" s="304">
        <f>SUMIFS('PCO Log'!$E67:$SJ67,'PCO Log'!$E$9:$SJ$9,'Graph Data'!AV$187,'PCO Log'!$E$4:$SJ$4,"&lt;&gt;Bid Package",'PCO Log'!$E$7:$SJ$7,"Approved")</f>
        <v>0</v>
      </c>
      <c r="AW243" s="304">
        <f>SUMIFS('PCO Log'!$E67:$SJ67,'PCO Log'!$E$9:$SJ$9,'Graph Data'!AW$187,'PCO Log'!$E$4:$SJ$4,"&lt;&gt;Bid Package",'PCO Log'!$E$7:$SJ$7,"Approved")</f>
        <v>0</v>
      </c>
      <c r="AX243" s="304">
        <f>SUMIFS('PCO Log'!$E67:$SJ67,'PCO Log'!$E$9:$SJ$9,'Graph Data'!AX$187,'PCO Log'!$E$4:$SJ$4,"&lt;&gt;Bid Package",'PCO Log'!$E$7:$SJ$7,"Approved")</f>
        <v>0</v>
      </c>
      <c r="AY243" s="304">
        <f>SUMIFS('PCO Log'!$E67:$SJ67,'PCO Log'!$E$9:$SJ$9,'Graph Data'!AY$187,'PCO Log'!$E$4:$SJ$4,"&lt;&gt;Bid Package",'PCO Log'!$E$7:$SJ$7,"Approved")</f>
        <v>0</v>
      </c>
      <c r="AZ243" s="304">
        <f>SUMIFS('PCO Log'!$E67:$SJ67,'PCO Log'!$E$9:$SJ$9,'Graph Data'!AZ$187,'PCO Log'!$E$4:$SJ$4,"&lt;&gt;Bid Package",'PCO Log'!$E$7:$SJ$7,"Approved")</f>
        <v>0</v>
      </c>
      <c r="BA243" s="304">
        <f>SUMIFS('PCO Log'!$E67:$SJ67,'PCO Log'!$E$9:$SJ$9,'Graph Data'!BA$187,'PCO Log'!$E$4:$SJ$4,"&lt;&gt;Bid Package",'PCO Log'!$E$7:$SJ$7,"Approved")</f>
        <v>0</v>
      </c>
      <c r="BB243" s="304">
        <f>SUMIFS('PCO Log'!$E67:$SJ67,'PCO Log'!$E$9:$SJ$9,'Graph Data'!BB$187,'PCO Log'!$E$4:$SJ$4,"&lt;&gt;Bid Package",'PCO Log'!$E$7:$SJ$7,"Approved")</f>
        <v>0</v>
      </c>
      <c r="BC243" s="304">
        <f>SUMIFS('PCO Log'!$E67:$SJ67,'PCO Log'!$E$9:$SJ$9,'Graph Data'!BC$187,'PCO Log'!$E$4:$SJ$4,"&lt;&gt;Bid Package",'PCO Log'!$E$7:$SJ$7,"Approved")</f>
        <v>0</v>
      </c>
      <c r="BD243" s="304">
        <f>SUMIFS('PCO Log'!$E67:$SJ67,'PCO Log'!$E$9:$SJ$9,'Graph Data'!BD$187,'PCO Log'!$E$4:$SJ$4,"&lt;&gt;Bid Package",'PCO Log'!$E$7:$SJ$7,"Approved")</f>
        <v>0</v>
      </c>
      <c r="BE243" s="304">
        <f>SUMIFS('PCO Log'!$E67:$SJ67,'PCO Log'!$E$9:$SJ$9,'Graph Data'!BE$187,'PCO Log'!$E$4:$SJ$4,"&lt;&gt;Bid Package",'PCO Log'!$E$7:$SJ$7,"Approved")</f>
        <v>0</v>
      </c>
      <c r="BF243" s="304">
        <f>SUMIFS('PCO Log'!$E67:$SJ67,'PCO Log'!$E$9:$SJ$9,'Graph Data'!BF$187,'PCO Log'!$E$4:$SJ$4,"&lt;&gt;Bid Package",'PCO Log'!$E$7:$SJ$7,"Approved")</f>
        <v>0</v>
      </c>
      <c r="BG243" s="304">
        <f>SUMIFS('PCO Log'!$E67:$SJ67,'PCO Log'!$E$9:$SJ$9,'Graph Data'!BG$187,'PCO Log'!$E$4:$SJ$4,"&lt;&gt;Bid Package",'PCO Log'!$E$7:$SJ$7,"Approved")</f>
        <v>0</v>
      </c>
      <c r="BH243" s="304">
        <f>SUMIFS('PCO Log'!$E67:$SJ67,'PCO Log'!$E$9:$SJ$9,'Graph Data'!BH$187,'PCO Log'!$E$4:$SJ$4,"&lt;&gt;Bid Package",'PCO Log'!$E$7:$SJ$7,"Approved")</f>
        <v>0</v>
      </c>
      <c r="BI243" s="304">
        <f>SUMIFS('PCO Log'!$E67:$SJ67,'PCO Log'!$E$9:$SJ$9,'Graph Data'!BI$187,'PCO Log'!$E$4:$SJ$4,"&lt;&gt;Bid Package",'PCO Log'!$E$7:$SJ$7,"Approved")</f>
        <v>0</v>
      </c>
      <c r="BJ243" s="304">
        <f>SUMIFS('PCO Log'!$E67:$SJ67,'PCO Log'!$E$9:$SJ$9,'Graph Data'!BJ$187,'PCO Log'!$E$4:$SJ$4,"&lt;&gt;Bid Package",'PCO Log'!$E$7:$SJ$7,"Approved")</f>
        <v>0</v>
      </c>
      <c r="BK243" s="304">
        <f>SUMIFS('PCO Log'!$E67:$SJ67,'PCO Log'!$E$9:$SJ$9,'Graph Data'!BK$187,'PCO Log'!$E$4:$SJ$4,"&lt;&gt;Bid Package",'PCO Log'!$E$7:$SJ$7,"Approved")</f>
        <v>0</v>
      </c>
      <c r="BL243" s="304">
        <f>SUMIFS('PCO Log'!$E67:$SJ67,'PCO Log'!$E$9:$SJ$9,'Graph Data'!BL$187,'PCO Log'!$E$4:$SJ$4,"&lt;&gt;Bid Package",'PCO Log'!$E$7:$SJ$7,"Approved")</f>
        <v>0</v>
      </c>
      <c r="BM243" s="304">
        <f>SUMIFS('PCO Log'!$E67:$SJ67,'PCO Log'!$E$9:$SJ$9,'Graph Data'!BM$187,'PCO Log'!$E$4:$SJ$4,"&lt;&gt;Bid Package",'PCO Log'!$E$7:$SJ$7,"Approved")</f>
        <v>0</v>
      </c>
      <c r="BN243" s="304">
        <f>SUMIFS('PCO Log'!$E67:$SJ67,'PCO Log'!$E$9:$SJ$9,'Graph Data'!BN$187,'PCO Log'!$E$4:$SJ$4,"&lt;&gt;Bid Package",'PCO Log'!$E$7:$SJ$7,"Approved")</f>
        <v>0</v>
      </c>
      <c r="BO243" s="304">
        <f>SUMIFS('PCO Log'!$E67:$SJ67,'PCO Log'!$E$9:$SJ$9,'Graph Data'!BO$187,'PCO Log'!$E$4:$SJ$4,"&lt;&gt;Bid Package",'PCO Log'!$E$7:$SJ$7,"Approved")</f>
        <v>0</v>
      </c>
      <c r="BP243" s="304">
        <f>SUMIFS('PCO Log'!$E67:$SJ67,'PCO Log'!$E$9:$SJ$9,'Graph Data'!BP$187,'PCO Log'!$E$4:$SJ$4,"&lt;&gt;Bid Package",'PCO Log'!$E$7:$SJ$7,"Approved")</f>
        <v>0</v>
      </c>
      <c r="BQ243" s="304">
        <f>SUMIFS('PCO Log'!$E67:$SJ67,'PCO Log'!$E$9:$SJ$9,'Graph Data'!BQ$187,'PCO Log'!$E$4:$SJ$4,"&lt;&gt;Bid Package",'PCO Log'!$E$7:$SJ$7,"Approved")</f>
        <v>0</v>
      </c>
      <c r="BR243" s="304">
        <f>SUMIFS('PCO Log'!$E67:$SJ67,'PCO Log'!$E$9:$SJ$9,'Graph Data'!BR$187,'PCO Log'!$E$4:$SJ$4,"&lt;&gt;Bid Package",'PCO Log'!$E$7:$SJ$7,"Approved")</f>
        <v>0</v>
      </c>
      <c r="BS243" s="304">
        <f>SUMIFS('PCO Log'!$E67:$SJ67,'PCO Log'!$E$9:$SJ$9,'Graph Data'!BS$187,'PCO Log'!$E$4:$SJ$4,"&lt;&gt;Bid Package",'PCO Log'!$E$7:$SJ$7,"Approved")</f>
        <v>0</v>
      </c>
      <c r="BT243" s="304">
        <f>SUMIFS('PCO Log'!$E67:$SJ67,'PCO Log'!$E$9:$SJ$9,'Graph Data'!BT$187,'PCO Log'!$E$4:$SJ$4,"&lt;&gt;Bid Package",'PCO Log'!$E$7:$SJ$7,"Approved")</f>
        <v>0</v>
      </c>
      <c r="BU243" s="304">
        <f>SUMIFS('PCO Log'!$E67:$SJ67,'PCO Log'!$E$9:$SJ$9,'Graph Data'!BU$187,'PCO Log'!$E$4:$SJ$4,"&lt;&gt;Bid Package",'PCO Log'!$E$7:$SJ$7,"Approved")</f>
        <v>0</v>
      </c>
      <c r="BV243" s="304">
        <f>SUMIFS('PCO Log'!$E67:$SJ67,'PCO Log'!$E$9:$SJ$9,'Graph Data'!BV$187,'PCO Log'!$E$4:$SJ$4,"&lt;&gt;Bid Package",'PCO Log'!$E$7:$SJ$7,"Approved")</f>
        <v>0</v>
      </c>
      <c r="BW243" s="304">
        <f>SUMIFS('PCO Log'!$E67:$SJ67,'PCO Log'!$E$9:$SJ$9,'Graph Data'!BW$187,'PCO Log'!$E$4:$SJ$4,"&lt;&gt;Bid Package",'PCO Log'!$E$7:$SJ$7,"Approved")</f>
        <v>0</v>
      </c>
      <c r="BX243" s="304">
        <f>SUMIFS('PCO Log'!$E67:$SJ67,'PCO Log'!$E$9:$SJ$9,'Graph Data'!BX$187,'PCO Log'!$E$4:$SJ$4,"&lt;&gt;Bid Package",'PCO Log'!$E$7:$SJ$7,"Approved")</f>
        <v>0</v>
      </c>
    </row>
    <row r="244" spans="1:76" x14ac:dyDescent="0.25">
      <c r="A244" s="303" t="s">
        <v>594</v>
      </c>
      <c r="B244" s="303">
        <f>'PCO Log'!IM7</f>
        <v>0</v>
      </c>
      <c r="C244" s="303">
        <f>'PCO Log'!IM4</f>
        <v>0</v>
      </c>
      <c r="D244" s="303" cm="1">
        <f t="array" ref="D244">INDEX('PCO Log'!$E$5:$SJ$5, 1, ROWS('Graph Data'!$D$2:D244))</f>
        <v>0</v>
      </c>
      <c r="E244" s="303">
        <f>'PCO Log'!IM8</f>
        <v>0</v>
      </c>
      <c r="F244" s="303">
        <f>'PCO Log'!IM3</f>
        <v>0</v>
      </c>
      <c r="G244" s="304">
        <f>'PCO Log'!IM10</f>
        <v>0</v>
      </c>
      <c r="H244" s="305">
        <f>'PCO Log'!IM6</f>
        <v>0</v>
      </c>
      <c r="K244" s="307"/>
      <c r="P244" s="303" t="str">
        <f t="shared" si="4"/>
        <v>Lab/Mechanical Equipment</v>
      </c>
      <c r="Q244" s="304">
        <f>SUMIFS('PCO Log'!$E68:$SJ68,'PCO Log'!$E$9:$SJ$9,'Graph Data'!Q$187,'PCO Log'!$E$4:$SJ$4,"&lt;&gt;Bid Package",'PCO Log'!$E$7:$SJ$7,"Approved")</f>
        <v>0</v>
      </c>
      <c r="R244" s="304">
        <f>SUMIFS('PCO Log'!$E68:$SJ68,'PCO Log'!$E$9:$SJ$9,'Graph Data'!R$187,'PCO Log'!$E$4:$SJ$4,"&lt;&gt;Bid Package",'PCO Log'!$E$7:$SJ$7,"Approved")</f>
        <v>0</v>
      </c>
      <c r="S244" s="304">
        <f>SUMIFS('PCO Log'!$E68:$SJ68,'PCO Log'!$E$9:$SJ$9,'Graph Data'!S$187,'PCO Log'!$E$4:$SJ$4,"&lt;&gt;Bid Package",'PCO Log'!$E$7:$SJ$7,"Approved")</f>
        <v>0</v>
      </c>
      <c r="T244" s="304">
        <f>SUMIFS('PCO Log'!$E68:$SJ68,'PCO Log'!$E$9:$SJ$9,'Graph Data'!T$187,'PCO Log'!$E$4:$SJ$4,"&lt;&gt;Bid Package",'PCO Log'!$E$7:$SJ$7,"Approved")</f>
        <v>0</v>
      </c>
      <c r="U244" s="304">
        <f>SUMIFS('PCO Log'!$E68:$SJ68,'PCO Log'!$E$9:$SJ$9,'Graph Data'!U$187,'PCO Log'!$E$4:$SJ$4,"&lt;&gt;Bid Package",'PCO Log'!$E$7:$SJ$7,"Approved")</f>
        <v>0</v>
      </c>
      <c r="V244" s="304">
        <f>SUMIFS('PCO Log'!$E68:$SJ68,'PCO Log'!$E$9:$SJ$9,'Graph Data'!V$187,'PCO Log'!$E$4:$SJ$4,"&lt;&gt;Bid Package",'PCO Log'!$E$7:$SJ$7,"Approved")</f>
        <v>0</v>
      </c>
      <c r="W244" s="304">
        <f>SUMIFS('PCO Log'!$E68:$SJ68,'PCO Log'!$E$9:$SJ$9,'Graph Data'!W$187,'PCO Log'!$E$4:$SJ$4,"&lt;&gt;Bid Package",'PCO Log'!$E$7:$SJ$7,"Approved")</f>
        <v>0</v>
      </c>
      <c r="X244" s="304">
        <f>SUMIFS('PCO Log'!$E68:$SJ68,'PCO Log'!$E$9:$SJ$9,'Graph Data'!X$187,'PCO Log'!$E$4:$SJ$4,"&lt;&gt;Bid Package",'PCO Log'!$E$7:$SJ$7,"Approved")</f>
        <v>0</v>
      </c>
      <c r="Y244" s="304">
        <f>SUMIFS('PCO Log'!$E68:$SJ68,'PCO Log'!$E$9:$SJ$9,'Graph Data'!Y$187,'PCO Log'!$E$4:$SJ$4,"&lt;&gt;Bid Package",'PCO Log'!$E$7:$SJ$7,"Approved")</f>
        <v>0</v>
      </c>
      <c r="Z244" s="304">
        <f>SUMIFS('PCO Log'!$E68:$SJ68,'PCO Log'!$E$9:$SJ$9,'Graph Data'!Z$187,'PCO Log'!$E$4:$SJ$4,"&lt;&gt;Bid Package",'PCO Log'!$E$7:$SJ$7,"Approved")</f>
        <v>0</v>
      </c>
      <c r="AA244" s="304">
        <f>SUMIFS('PCO Log'!$E68:$SJ68,'PCO Log'!$E$9:$SJ$9,'Graph Data'!AA$187,'PCO Log'!$E$4:$SJ$4,"&lt;&gt;Bid Package",'PCO Log'!$E$7:$SJ$7,"Approved")</f>
        <v>0</v>
      </c>
      <c r="AB244" s="304">
        <f>SUMIFS('PCO Log'!$E68:$SJ68,'PCO Log'!$E$9:$SJ$9,'Graph Data'!AB$187,'PCO Log'!$E$4:$SJ$4,"&lt;&gt;Bid Package",'PCO Log'!$E$7:$SJ$7,"Approved")</f>
        <v>0</v>
      </c>
      <c r="AC244" s="304">
        <f>SUMIFS('PCO Log'!$E68:$SJ68,'PCO Log'!$E$9:$SJ$9,'Graph Data'!AC$187,'PCO Log'!$E$4:$SJ$4,"&lt;&gt;Bid Package",'PCO Log'!$E$7:$SJ$7,"Approved")</f>
        <v>0</v>
      </c>
      <c r="AD244" s="304">
        <f>SUMIFS('PCO Log'!$E68:$SJ68,'PCO Log'!$E$9:$SJ$9,'Graph Data'!AD$187,'PCO Log'!$E$4:$SJ$4,"&lt;&gt;Bid Package",'PCO Log'!$E$7:$SJ$7,"Approved")</f>
        <v>0</v>
      </c>
      <c r="AE244" s="304">
        <f>SUMIFS('PCO Log'!$E68:$SJ68,'PCO Log'!$E$9:$SJ$9,'Graph Data'!AE$187,'PCO Log'!$E$4:$SJ$4,"&lt;&gt;Bid Package",'PCO Log'!$E$7:$SJ$7,"Approved")</f>
        <v>0</v>
      </c>
      <c r="AF244" s="304">
        <f>SUMIFS('PCO Log'!$E68:$SJ68,'PCO Log'!$E$9:$SJ$9,'Graph Data'!AF$187,'PCO Log'!$E$4:$SJ$4,"&lt;&gt;Bid Package",'PCO Log'!$E$7:$SJ$7,"Approved")</f>
        <v>0</v>
      </c>
      <c r="AG244" s="304">
        <f>SUMIFS('PCO Log'!$E68:$SJ68,'PCO Log'!$E$9:$SJ$9,'Graph Data'!AG$187,'PCO Log'!$E$4:$SJ$4,"&lt;&gt;Bid Package",'PCO Log'!$E$7:$SJ$7,"Approved")</f>
        <v>0</v>
      </c>
      <c r="AH244" s="304">
        <f>SUMIFS('PCO Log'!$E68:$SJ68,'PCO Log'!$E$9:$SJ$9,'Graph Data'!AH$187,'PCO Log'!$E$4:$SJ$4,"&lt;&gt;Bid Package",'PCO Log'!$E$7:$SJ$7,"Approved")</f>
        <v>0</v>
      </c>
      <c r="AI244" s="304">
        <f>SUMIFS('PCO Log'!$E68:$SJ68,'PCO Log'!$E$9:$SJ$9,'Graph Data'!AI$187,'PCO Log'!$E$4:$SJ$4,"&lt;&gt;Bid Package",'PCO Log'!$E$7:$SJ$7,"Approved")</f>
        <v>0</v>
      </c>
      <c r="AJ244" s="304">
        <f>SUMIFS('PCO Log'!$E68:$SJ68,'PCO Log'!$E$9:$SJ$9,'Graph Data'!AJ$187,'PCO Log'!$E$4:$SJ$4,"&lt;&gt;Bid Package",'PCO Log'!$E$7:$SJ$7,"Approved")</f>
        <v>0</v>
      </c>
      <c r="AK244" s="304">
        <f>SUMIFS('PCO Log'!$E68:$SJ68,'PCO Log'!$E$9:$SJ$9,'Graph Data'!AK$187,'PCO Log'!$E$4:$SJ$4,"&lt;&gt;Bid Package",'PCO Log'!$E$7:$SJ$7,"Approved")</f>
        <v>0</v>
      </c>
      <c r="AL244" s="304">
        <f>SUMIFS('PCO Log'!$E68:$SJ68,'PCO Log'!$E$9:$SJ$9,'Graph Data'!AL$187,'PCO Log'!$E$4:$SJ$4,"&lt;&gt;Bid Package",'PCO Log'!$E$7:$SJ$7,"Approved")</f>
        <v>0</v>
      </c>
      <c r="AM244" s="304">
        <f>SUMIFS('PCO Log'!$E68:$SJ68,'PCO Log'!$E$9:$SJ$9,'Graph Data'!AM$187,'PCO Log'!$E$4:$SJ$4,"&lt;&gt;Bid Package",'PCO Log'!$E$7:$SJ$7,"Approved")</f>
        <v>0</v>
      </c>
      <c r="AN244" s="304">
        <f>SUMIFS('PCO Log'!$E68:$SJ68,'PCO Log'!$E$9:$SJ$9,'Graph Data'!AN$187,'PCO Log'!$E$4:$SJ$4,"&lt;&gt;Bid Package",'PCO Log'!$E$7:$SJ$7,"Approved")</f>
        <v>0</v>
      </c>
      <c r="AO244" s="304">
        <f>SUMIFS('PCO Log'!$E68:$SJ68,'PCO Log'!$E$9:$SJ$9,'Graph Data'!AO$187,'PCO Log'!$E$4:$SJ$4,"&lt;&gt;Bid Package",'PCO Log'!$E$7:$SJ$7,"Approved")</f>
        <v>0</v>
      </c>
      <c r="AP244" s="304">
        <f>SUMIFS('PCO Log'!$E68:$SJ68,'PCO Log'!$E$9:$SJ$9,'Graph Data'!AP$187,'PCO Log'!$E$4:$SJ$4,"&lt;&gt;Bid Package",'PCO Log'!$E$7:$SJ$7,"Approved")</f>
        <v>0</v>
      </c>
      <c r="AQ244" s="304">
        <f>SUMIFS('PCO Log'!$E68:$SJ68,'PCO Log'!$E$9:$SJ$9,'Graph Data'!AQ$187,'PCO Log'!$E$4:$SJ$4,"&lt;&gt;Bid Package",'PCO Log'!$E$7:$SJ$7,"Approved")</f>
        <v>0</v>
      </c>
      <c r="AR244" s="304">
        <f>SUMIFS('PCO Log'!$E68:$SJ68,'PCO Log'!$E$9:$SJ$9,'Graph Data'!AR$187,'PCO Log'!$E$4:$SJ$4,"&lt;&gt;Bid Package",'PCO Log'!$E$7:$SJ$7,"Approved")</f>
        <v>0</v>
      </c>
      <c r="AS244" s="304">
        <f>SUMIFS('PCO Log'!$E68:$SJ68,'PCO Log'!$E$9:$SJ$9,'Graph Data'!AS$187,'PCO Log'!$E$4:$SJ$4,"&lt;&gt;Bid Package",'PCO Log'!$E$7:$SJ$7,"Approved")</f>
        <v>0</v>
      </c>
      <c r="AT244" s="304">
        <f>SUMIFS('PCO Log'!$E68:$SJ68,'PCO Log'!$E$9:$SJ$9,'Graph Data'!AT$187,'PCO Log'!$E$4:$SJ$4,"&lt;&gt;Bid Package",'PCO Log'!$E$7:$SJ$7,"Approved")</f>
        <v>0</v>
      </c>
      <c r="AU244" s="304">
        <f>SUMIFS('PCO Log'!$E68:$SJ68,'PCO Log'!$E$9:$SJ$9,'Graph Data'!AU$187,'PCO Log'!$E$4:$SJ$4,"&lt;&gt;Bid Package",'PCO Log'!$E$7:$SJ$7,"Approved")</f>
        <v>0</v>
      </c>
      <c r="AV244" s="304">
        <f>SUMIFS('PCO Log'!$E68:$SJ68,'PCO Log'!$E$9:$SJ$9,'Graph Data'!AV$187,'PCO Log'!$E$4:$SJ$4,"&lt;&gt;Bid Package",'PCO Log'!$E$7:$SJ$7,"Approved")</f>
        <v>0</v>
      </c>
      <c r="AW244" s="304">
        <f>SUMIFS('PCO Log'!$E68:$SJ68,'PCO Log'!$E$9:$SJ$9,'Graph Data'!AW$187,'PCO Log'!$E$4:$SJ$4,"&lt;&gt;Bid Package",'PCO Log'!$E$7:$SJ$7,"Approved")</f>
        <v>0</v>
      </c>
      <c r="AX244" s="304">
        <f>SUMIFS('PCO Log'!$E68:$SJ68,'PCO Log'!$E$9:$SJ$9,'Graph Data'!AX$187,'PCO Log'!$E$4:$SJ$4,"&lt;&gt;Bid Package",'PCO Log'!$E$7:$SJ$7,"Approved")</f>
        <v>0</v>
      </c>
      <c r="AY244" s="304">
        <f>SUMIFS('PCO Log'!$E68:$SJ68,'PCO Log'!$E$9:$SJ$9,'Graph Data'!AY$187,'PCO Log'!$E$4:$SJ$4,"&lt;&gt;Bid Package",'PCO Log'!$E$7:$SJ$7,"Approved")</f>
        <v>0</v>
      </c>
      <c r="AZ244" s="304">
        <f>SUMIFS('PCO Log'!$E68:$SJ68,'PCO Log'!$E$9:$SJ$9,'Graph Data'!AZ$187,'PCO Log'!$E$4:$SJ$4,"&lt;&gt;Bid Package",'PCO Log'!$E$7:$SJ$7,"Approved")</f>
        <v>0</v>
      </c>
      <c r="BA244" s="304">
        <f>SUMIFS('PCO Log'!$E68:$SJ68,'PCO Log'!$E$9:$SJ$9,'Graph Data'!BA$187,'PCO Log'!$E$4:$SJ$4,"&lt;&gt;Bid Package",'PCO Log'!$E$7:$SJ$7,"Approved")</f>
        <v>0</v>
      </c>
      <c r="BB244" s="304">
        <f>SUMIFS('PCO Log'!$E68:$SJ68,'PCO Log'!$E$9:$SJ$9,'Graph Data'!BB$187,'PCO Log'!$E$4:$SJ$4,"&lt;&gt;Bid Package",'PCO Log'!$E$7:$SJ$7,"Approved")</f>
        <v>0</v>
      </c>
      <c r="BC244" s="304">
        <f>SUMIFS('PCO Log'!$E68:$SJ68,'PCO Log'!$E$9:$SJ$9,'Graph Data'!BC$187,'PCO Log'!$E$4:$SJ$4,"&lt;&gt;Bid Package",'PCO Log'!$E$7:$SJ$7,"Approved")</f>
        <v>0</v>
      </c>
      <c r="BD244" s="304">
        <f>SUMIFS('PCO Log'!$E68:$SJ68,'PCO Log'!$E$9:$SJ$9,'Graph Data'!BD$187,'PCO Log'!$E$4:$SJ$4,"&lt;&gt;Bid Package",'PCO Log'!$E$7:$SJ$7,"Approved")</f>
        <v>0</v>
      </c>
      <c r="BE244" s="304">
        <f>SUMIFS('PCO Log'!$E68:$SJ68,'PCO Log'!$E$9:$SJ$9,'Graph Data'!BE$187,'PCO Log'!$E$4:$SJ$4,"&lt;&gt;Bid Package",'PCO Log'!$E$7:$SJ$7,"Approved")</f>
        <v>0</v>
      </c>
      <c r="BF244" s="304">
        <f>SUMIFS('PCO Log'!$E68:$SJ68,'PCO Log'!$E$9:$SJ$9,'Graph Data'!BF$187,'PCO Log'!$E$4:$SJ$4,"&lt;&gt;Bid Package",'PCO Log'!$E$7:$SJ$7,"Approved")</f>
        <v>0</v>
      </c>
      <c r="BG244" s="304">
        <f>SUMIFS('PCO Log'!$E68:$SJ68,'PCO Log'!$E$9:$SJ$9,'Graph Data'!BG$187,'PCO Log'!$E$4:$SJ$4,"&lt;&gt;Bid Package",'PCO Log'!$E$7:$SJ$7,"Approved")</f>
        <v>0</v>
      </c>
      <c r="BH244" s="304">
        <f>SUMIFS('PCO Log'!$E68:$SJ68,'PCO Log'!$E$9:$SJ$9,'Graph Data'!BH$187,'PCO Log'!$E$4:$SJ$4,"&lt;&gt;Bid Package",'PCO Log'!$E$7:$SJ$7,"Approved")</f>
        <v>0</v>
      </c>
      <c r="BI244" s="304">
        <f>SUMIFS('PCO Log'!$E68:$SJ68,'PCO Log'!$E$9:$SJ$9,'Graph Data'!BI$187,'PCO Log'!$E$4:$SJ$4,"&lt;&gt;Bid Package",'PCO Log'!$E$7:$SJ$7,"Approved")</f>
        <v>0</v>
      </c>
      <c r="BJ244" s="304">
        <f>SUMIFS('PCO Log'!$E68:$SJ68,'PCO Log'!$E$9:$SJ$9,'Graph Data'!BJ$187,'PCO Log'!$E$4:$SJ$4,"&lt;&gt;Bid Package",'PCO Log'!$E$7:$SJ$7,"Approved")</f>
        <v>0</v>
      </c>
      <c r="BK244" s="304">
        <f>SUMIFS('PCO Log'!$E68:$SJ68,'PCO Log'!$E$9:$SJ$9,'Graph Data'!BK$187,'PCO Log'!$E$4:$SJ$4,"&lt;&gt;Bid Package",'PCO Log'!$E$7:$SJ$7,"Approved")</f>
        <v>0</v>
      </c>
      <c r="BL244" s="304">
        <f>SUMIFS('PCO Log'!$E68:$SJ68,'PCO Log'!$E$9:$SJ$9,'Graph Data'!BL$187,'PCO Log'!$E$4:$SJ$4,"&lt;&gt;Bid Package",'PCO Log'!$E$7:$SJ$7,"Approved")</f>
        <v>0</v>
      </c>
      <c r="BM244" s="304">
        <f>SUMIFS('PCO Log'!$E68:$SJ68,'PCO Log'!$E$9:$SJ$9,'Graph Data'!BM$187,'PCO Log'!$E$4:$SJ$4,"&lt;&gt;Bid Package",'PCO Log'!$E$7:$SJ$7,"Approved")</f>
        <v>0</v>
      </c>
      <c r="BN244" s="304">
        <f>SUMIFS('PCO Log'!$E68:$SJ68,'PCO Log'!$E$9:$SJ$9,'Graph Data'!BN$187,'PCO Log'!$E$4:$SJ$4,"&lt;&gt;Bid Package",'PCO Log'!$E$7:$SJ$7,"Approved")</f>
        <v>0</v>
      </c>
      <c r="BO244" s="304">
        <f>SUMIFS('PCO Log'!$E68:$SJ68,'PCO Log'!$E$9:$SJ$9,'Graph Data'!BO$187,'PCO Log'!$E$4:$SJ$4,"&lt;&gt;Bid Package",'PCO Log'!$E$7:$SJ$7,"Approved")</f>
        <v>0</v>
      </c>
      <c r="BP244" s="304">
        <f>SUMIFS('PCO Log'!$E68:$SJ68,'PCO Log'!$E$9:$SJ$9,'Graph Data'!BP$187,'PCO Log'!$E$4:$SJ$4,"&lt;&gt;Bid Package",'PCO Log'!$E$7:$SJ$7,"Approved")</f>
        <v>0</v>
      </c>
      <c r="BQ244" s="304">
        <f>SUMIFS('PCO Log'!$E68:$SJ68,'PCO Log'!$E$9:$SJ$9,'Graph Data'!BQ$187,'PCO Log'!$E$4:$SJ$4,"&lt;&gt;Bid Package",'PCO Log'!$E$7:$SJ$7,"Approved")</f>
        <v>0</v>
      </c>
      <c r="BR244" s="304">
        <f>SUMIFS('PCO Log'!$E68:$SJ68,'PCO Log'!$E$9:$SJ$9,'Graph Data'!BR$187,'PCO Log'!$E$4:$SJ$4,"&lt;&gt;Bid Package",'PCO Log'!$E$7:$SJ$7,"Approved")</f>
        <v>0</v>
      </c>
      <c r="BS244" s="304">
        <f>SUMIFS('PCO Log'!$E68:$SJ68,'PCO Log'!$E$9:$SJ$9,'Graph Data'!BS$187,'PCO Log'!$E$4:$SJ$4,"&lt;&gt;Bid Package",'PCO Log'!$E$7:$SJ$7,"Approved")</f>
        <v>0</v>
      </c>
      <c r="BT244" s="304">
        <f>SUMIFS('PCO Log'!$E68:$SJ68,'PCO Log'!$E$9:$SJ$9,'Graph Data'!BT$187,'PCO Log'!$E$4:$SJ$4,"&lt;&gt;Bid Package",'PCO Log'!$E$7:$SJ$7,"Approved")</f>
        <v>0</v>
      </c>
      <c r="BU244" s="304">
        <f>SUMIFS('PCO Log'!$E68:$SJ68,'PCO Log'!$E$9:$SJ$9,'Graph Data'!BU$187,'PCO Log'!$E$4:$SJ$4,"&lt;&gt;Bid Package",'PCO Log'!$E$7:$SJ$7,"Approved")</f>
        <v>0</v>
      </c>
      <c r="BV244" s="304">
        <f>SUMIFS('PCO Log'!$E68:$SJ68,'PCO Log'!$E$9:$SJ$9,'Graph Data'!BV$187,'PCO Log'!$E$4:$SJ$4,"&lt;&gt;Bid Package",'PCO Log'!$E$7:$SJ$7,"Approved")</f>
        <v>0</v>
      </c>
      <c r="BW244" s="304">
        <f>SUMIFS('PCO Log'!$E68:$SJ68,'PCO Log'!$E$9:$SJ$9,'Graph Data'!BW$187,'PCO Log'!$E$4:$SJ$4,"&lt;&gt;Bid Package",'PCO Log'!$E$7:$SJ$7,"Approved")</f>
        <v>0</v>
      </c>
      <c r="BX244" s="304">
        <f>SUMIFS('PCO Log'!$E68:$SJ68,'PCO Log'!$E$9:$SJ$9,'Graph Data'!BX$187,'PCO Log'!$E$4:$SJ$4,"&lt;&gt;Bid Package",'PCO Log'!$E$7:$SJ$7,"Approved")</f>
        <v>0</v>
      </c>
    </row>
    <row r="245" spans="1:76" x14ac:dyDescent="0.25">
      <c r="A245" s="303" t="s">
        <v>595</v>
      </c>
      <c r="B245" s="303">
        <f>'PCO Log'!IN7</f>
        <v>0</v>
      </c>
      <c r="C245" s="303">
        <f>'PCO Log'!IN4</f>
        <v>0</v>
      </c>
      <c r="D245" s="303" cm="1">
        <f t="array" ref="D245">INDEX('PCO Log'!$E$5:$SJ$5, 1, ROWS('Graph Data'!$D$2:D245))</f>
        <v>0</v>
      </c>
      <c r="E245" s="303">
        <f>'PCO Log'!IN8</f>
        <v>0</v>
      </c>
      <c r="F245" s="303">
        <f>'PCO Log'!IN3</f>
        <v>0</v>
      </c>
      <c r="G245" s="304">
        <f>'PCO Log'!IN10</f>
        <v>0</v>
      </c>
      <c r="H245" s="305">
        <f>'PCO Log'!IN6</f>
        <v>0</v>
      </c>
      <c r="K245" s="307"/>
      <c r="P245" s="303" t="str">
        <f t="shared" si="4"/>
        <v>Athletic Equipment</v>
      </c>
      <c r="Q245" s="304">
        <f>SUMIFS('PCO Log'!$E69:$SJ69,'PCO Log'!$E$9:$SJ$9,'Graph Data'!Q$187,'PCO Log'!$E$4:$SJ$4,"&lt;&gt;Bid Package",'PCO Log'!$E$7:$SJ$7,"Approved")</f>
        <v>0</v>
      </c>
      <c r="R245" s="304">
        <f>SUMIFS('PCO Log'!$E69:$SJ69,'PCO Log'!$E$9:$SJ$9,'Graph Data'!R$187,'PCO Log'!$E$4:$SJ$4,"&lt;&gt;Bid Package",'PCO Log'!$E$7:$SJ$7,"Approved")</f>
        <v>0</v>
      </c>
      <c r="S245" s="304">
        <f>SUMIFS('PCO Log'!$E69:$SJ69,'PCO Log'!$E$9:$SJ$9,'Graph Data'!S$187,'PCO Log'!$E$4:$SJ$4,"&lt;&gt;Bid Package",'PCO Log'!$E$7:$SJ$7,"Approved")</f>
        <v>0</v>
      </c>
      <c r="T245" s="304">
        <f>SUMIFS('PCO Log'!$E69:$SJ69,'PCO Log'!$E$9:$SJ$9,'Graph Data'!T$187,'PCO Log'!$E$4:$SJ$4,"&lt;&gt;Bid Package",'PCO Log'!$E$7:$SJ$7,"Approved")</f>
        <v>0</v>
      </c>
      <c r="U245" s="304">
        <f>SUMIFS('PCO Log'!$E69:$SJ69,'PCO Log'!$E$9:$SJ$9,'Graph Data'!U$187,'PCO Log'!$E$4:$SJ$4,"&lt;&gt;Bid Package",'PCO Log'!$E$7:$SJ$7,"Approved")</f>
        <v>0</v>
      </c>
      <c r="V245" s="304">
        <f>SUMIFS('PCO Log'!$E69:$SJ69,'PCO Log'!$E$9:$SJ$9,'Graph Data'!V$187,'PCO Log'!$E$4:$SJ$4,"&lt;&gt;Bid Package",'PCO Log'!$E$7:$SJ$7,"Approved")</f>
        <v>0</v>
      </c>
      <c r="W245" s="304">
        <f>SUMIFS('PCO Log'!$E69:$SJ69,'PCO Log'!$E$9:$SJ$9,'Graph Data'!W$187,'PCO Log'!$E$4:$SJ$4,"&lt;&gt;Bid Package",'PCO Log'!$E$7:$SJ$7,"Approved")</f>
        <v>0</v>
      </c>
      <c r="X245" s="304">
        <f>SUMIFS('PCO Log'!$E69:$SJ69,'PCO Log'!$E$9:$SJ$9,'Graph Data'!X$187,'PCO Log'!$E$4:$SJ$4,"&lt;&gt;Bid Package",'PCO Log'!$E$7:$SJ$7,"Approved")</f>
        <v>0</v>
      </c>
      <c r="Y245" s="304">
        <f>SUMIFS('PCO Log'!$E69:$SJ69,'PCO Log'!$E$9:$SJ$9,'Graph Data'!Y$187,'PCO Log'!$E$4:$SJ$4,"&lt;&gt;Bid Package",'PCO Log'!$E$7:$SJ$7,"Approved")</f>
        <v>0</v>
      </c>
      <c r="Z245" s="304">
        <f>SUMIFS('PCO Log'!$E69:$SJ69,'PCO Log'!$E$9:$SJ$9,'Graph Data'!Z$187,'PCO Log'!$E$4:$SJ$4,"&lt;&gt;Bid Package",'PCO Log'!$E$7:$SJ$7,"Approved")</f>
        <v>0</v>
      </c>
      <c r="AA245" s="304">
        <f>SUMIFS('PCO Log'!$E69:$SJ69,'PCO Log'!$E$9:$SJ$9,'Graph Data'!AA$187,'PCO Log'!$E$4:$SJ$4,"&lt;&gt;Bid Package",'PCO Log'!$E$7:$SJ$7,"Approved")</f>
        <v>0</v>
      </c>
      <c r="AB245" s="304">
        <f>SUMIFS('PCO Log'!$E69:$SJ69,'PCO Log'!$E$9:$SJ$9,'Graph Data'!AB$187,'PCO Log'!$E$4:$SJ$4,"&lt;&gt;Bid Package",'PCO Log'!$E$7:$SJ$7,"Approved")</f>
        <v>0</v>
      </c>
      <c r="AC245" s="304">
        <f>SUMIFS('PCO Log'!$E69:$SJ69,'PCO Log'!$E$9:$SJ$9,'Graph Data'!AC$187,'PCO Log'!$E$4:$SJ$4,"&lt;&gt;Bid Package",'PCO Log'!$E$7:$SJ$7,"Approved")</f>
        <v>0</v>
      </c>
      <c r="AD245" s="304">
        <f>SUMIFS('PCO Log'!$E69:$SJ69,'PCO Log'!$E$9:$SJ$9,'Graph Data'!AD$187,'PCO Log'!$E$4:$SJ$4,"&lt;&gt;Bid Package",'PCO Log'!$E$7:$SJ$7,"Approved")</f>
        <v>0</v>
      </c>
      <c r="AE245" s="304">
        <f>SUMIFS('PCO Log'!$E69:$SJ69,'PCO Log'!$E$9:$SJ$9,'Graph Data'!AE$187,'PCO Log'!$E$4:$SJ$4,"&lt;&gt;Bid Package",'PCO Log'!$E$7:$SJ$7,"Approved")</f>
        <v>0</v>
      </c>
      <c r="AF245" s="304">
        <f>SUMIFS('PCO Log'!$E69:$SJ69,'PCO Log'!$E$9:$SJ$9,'Graph Data'!AF$187,'PCO Log'!$E$4:$SJ$4,"&lt;&gt;Bid Package",'PCO Log'!$E$7:$SJ$7,"Approved")</f>
        <v>0</v>
      </c>
      <c r="AG245" s="304">
        <f>SUMIFS('PCO Log'!$E69:$SJ69,'PCO Log'!$E$9:$SJ$9,'Graph Data'!AG$187,'PCO Log'!$E$4:$SJ$4,"&lt;&gt;Bid Package",'PCO Log'!$E$7:$SJ$7,"Approved")</f>
        <v>0</v>
      </c>
      <c r="AH245" s="304">
        <f>SUMIFS('PCO Log'!$E69:$SJ69,'PCO Log'!$E$9:$SJ$9,'Graph Data'!AH$187,'PCO Log'!$E$4:$SJ$4,"&lt;&gt;Bid Package",'PCO Log'!$E$7:$SJ$7,"Approved")</f>
        <v>0</v>
      </c>
      <c r="AI245" s="304">
        <f>SUMIFS('PCO Log'!$E69:$SJ69,'PCO Log'!$E$9:$SJ$9,'Graph Data'!AI$187,'PCO Log'!$E$4:$SJ$4,"&lt;&gt;Bid Package",'PCO Log'!$E$7:$SJ$7,"Approved")</f>
        <v>0</v>
      </c>
      <c r="AJ245" s="304">
        <f>SUMIFS('PCO Log'!$E69:$SJ69,'PCO Log'!$E$9:$SJ$9,'Graph Data'!AJ$187,'PCO Log'!$E$4:$SJ$4,"&lt;&gt;Bid Package",'PCO Log'!$E$7:$SJ$7,"Approved")</f>
        <v>0</v>
      </c>
      <c r="AK245" s="304">
        <f>SUMIFS('PCO Log'!$E69:$SJ69,'PCO Log'!$E$9:$SJ$9,'Graph Data'!AK$187,'PCO Log'!$E$4:$SJ$4,"&lt;&gt;Bid Package",'PCO Log'!$E$7:$SJ$7,"Approved")</f>
        <v>0</v>
      </c>
      <c r="AL245" s="304">
        <f>SUMIFS('PCO Log'!$E69:$SJ69,'PCO Log'!$E$9:$SJ$9,'Graph Data'!AL$187,'PCO Log'!$E$4:$SJ$4,"&lt;&gt;Bid Package",'PCO Log'!$E$7:$SJ$7,"Approved")</f>
        <v>0</v>
      </c>
      <c r="AM245" s="304">
        <f>SUMIFS('PCO Log'!$E69:$SJ69,'PCO Log'!$E$9:$SJ$9,'Graph Data'!AM$187,'PCO Log'!$E$4:$SJ$4,"&lt;&gt;Bid Package",'PCO Log'!$E$7:$SJ$7,"Approved")</f>
        <v>0</v>
      </c>
      <c r="AN245" s="304">
        <f>SUMIFS('PCO Log'!$E69:$SJ69,'PCO Log'!$E$9:$SJ$9,'Graph Data'!AN$187,'PCO Log'!$E$4:$SJ$4,"&lt;&gt;Bid Package",'PCO Log'!$E$7:$SJ$7,"Approved")</f>
        <v>0</v>
      </c>
      <c r="AO245" s="304">
        <f>SUMIFS('PCO Log'!$E69:$SJ69,'PCO Log'!$E$9:$SJ$9,'Graph Data'!AO$187,'PCO Log'!$E$4:$SJ$4,"&lt;&gt;Bid Package",'PCO Log'!$E$7:$SJ$7,"Approved")</f>
        <v>0</v>
      </c>
      <c r="AP245" s="304">
        <f>SUMIFS('PCO Log'!$E69:$SJ69,'PCO Log'!$E$9:$SJ$9,'Graph Data'!AP$187,'PCO Log'!$E$4:$SJ$4,"&lt;&gt;Bid Package",'PCO Log'!$E$7:$SJ$7,"Approved")</f>
        <v>0</v>
      </c>
      <c r="AQ245" s="304">
        <f>SUMIFS('PCO Log'!$E69:$SJ69,'PCO Log'!$E$9:$SJ$9,'Graph Data'!AQ$187,'PCO Log'!$E$4:$SJ$4,"&lt;&gt;Bid Package",'PCO Log'!$E$7:$SJ$7,"Approved")</f>
        <v>0</v>
      </c>
      <c r="AR245" s="304">
        <f>SUMIFS('PCO Log'!$E69:$SJ69,'PCO Log'!$E$9:$SJ$9,'Graph Data'!AR$187,'PCO Log'!$E$4:$SJ$4,"&lt;&gt;Bid Package",'PCO Log'!$E$7:$SJ$7,"Approved")</f>
        <v>0</v>
      </c>
      <c r="AS245" s="304">
        <f>SUMIFS('PCO Log'!$E69:$SJ69,'PCO Log'!$E$9:$SJ$9,'Graph Data'!AS$187,'PCO Log'!$E$4:$SJ$4,"&lt;&gt;Bid Package",'PCO Log'!$E$7:$SJ$7,"Approved")</f>
        <v>0</v>
      </c>
      <c r="AT245" s="304">
        <f>SUMIFS('PCO Log'!$E69:$SJ69,'PCO Log'!$E$9:$SJ$9,'Graph Data'!AT$187,'PCO Log'!$E$4:$SJ$4,"&lt;&gt;Bid Package",'PCO Log'!$E$7:$SJ$7,"Approved")</f>
        <v>0</v>
      </c>
      <c r="AU245" s="304">
        <f>SUMIFS('PCO Log'!$E69:$SJ69,'PCO Log'!$E$9:$SJ$9,'Graph Data'!AU$187,'PCO Log'!$E$4:$SJ$4,"&lt;&gt;Bid Package",'PCO Log'!$E$7:$SJ$7,"Approved")</f>
        <v>0</v>
      </c>
      <c r="AV245" s="304">
        <f>SUMIFS('PCO Log'!$E69:$SJ69,'PCO Log'!$E$9:$SJ$9,'Graph Data'!AV$187,'PCO Log'!$E$4:$SJ$4,"&lt;&gt;Bid Package",'PCO Log'!$E$7:$SJ$7,"Approved")</f>
        <v>0</v>
      </c>
      <c r="AW245" s="304">
        <f>SUMIFS('PCO Log'!$E69:$SJ69,'PCO Log'!$E$9:$SJ$9,'Graph Data'!AW$187,'PCO Log'!$E$4:$SJ$4,"&lt;&gt;Bid Package",'PCO Log'!$E$7:$SJ$7,"Approved")</f>
        <v>0</v>
      </c>
      <c r="AX245" s="304">
        <f>SUMIFS('PCO Log'!$E69:$SJ69,'PCO Log'!$E$9:$SJ$9,'Graph Data'!AX$187,'PCO Log'!$E$4:$SJ$4,"&lt;&gt;Bid Package",'PCO Log'!$E$7:$SJ$7,"Approved")</f>
        <v>0</v>
      </c>
      <c r="AY245" s="304">
        <f>SUMIFS('PCO Log'!$E69:$SJ69,'PCO Log'!$E$9:$SJ$9,'Graph Data'!AY$187,'PCO Log'!$E$4:$SJ$4,"&lt;&gt;Bid Package",'PCO Log'!$E$7:$SJ$7,"Approved")</f>
        <v>0</v>
      </c>
      <c r="AZ245" s="304">
        <f>SUMIFS('PCO Log'!$E69:$SJ69,'PCO Log'!$E$9:$SJ$9,'Graph Data'!AZ$187,'PCO Log'!$E$4:$SJ$4,"&lt;&gt;Bid Package",'PCO Log'!$E$7:$SJ$7,"Approved")</f>
        <v>0</v>
      </c>
      <c r="BA245" s="304">
        <f>SUMIFS('PCO Log'!$E69:$SJ69,'PCO Log'!$E$9:$SJ$9,'Graph Data'!BA$187,'PCO Log'!$E$4:$SJ$4,"&lt;&gt;Bid Package",'PCO Log'!$E$7:$SJ$7,"Approved")</f>
        <v>0</v>
      </c>
      <c r="BB245" s="304">
        <f>SUMIFS('PCO Log'!$E69:$SJ69,'PCO Log'!$E$9:$SJ$9,'Graph Data'!BB$187,'PCO Log'!$E$4:$SJ$4,"&lt;&gt;Bid Package",'PCO Log'!$E$7:$SJ$7,"Approved")</f>
        <v>0</v>
      </c>
      <c r="BC245" s="304">
        <f>SUMIFS('PCO Log'!$E69:$SJ69,'PCO Log'!$E$9:$SJ$9,'Graph Data'!BC$187,'PCO Log'!$E$4:$SJ$4,"&lt;&gt;Bid Package",'PCO Log'!$E$7:$SJ$7,"Approved")</f>
        <v>0</v>
      </c>
      <c r="BD245" s="304">
        <f>SUMIFS('PCO Log'!$E69:$SJ69,'PCO Log'!$E$9:$SJ$9,'Graph Data'!BD$187,'PCO Log'!$E$4:$SJ$4,"&lt;&gt;Bid Package",'PCO Log'!$E$7:$SJ$7,"Approved")</f>
        <v>0</v>
      </c>
      <c r="BE245" s="304">
        <f>SUMIFS('PCO Log'!$E69:$SJ69,'PCO Log'!$E$9:$SJ$9,'Graph Data'!BE$187,'PCO Log'!$E$4:$SJ$4,"&lt;&gt;Bid Package",'PCO Log'!$E$7:$SJ$7,"Approved")</f>
        <v>0</v>
      </c>
      <c r="BF245" s="304">
        <f>SUMIFS('PCO Log'!$E69:$SJ69,'PCO Log'!$E$9:$SJ$9,'Graph Data'!BF$187,'PCO Log'!$E$4:$SJ$4,"&lt;&gt;Bid Package",'PCO Log'!$E$7:$SJ$7,"Approved")</f>
        <v>0</v>
      </c>
      <c r="BG245" s="304">
        <f>SUMIFS('PCO Log'!$E69:$SJ69,'PCO Log'!$E$9:$SJ$9,'Graph Data'!BG$187,'PCO Log'!$E$4:$SJ$4,"&lt;&gt;Bid Package",'PCO Log'!$E$7:$SJ$7,"Approved")</f>
        <v>0</v>
      </c>
      <c r="BH245" s="304">
        <f>SUMIFS('PCO Log'!$E69:$SJ69,'PCO Log'!$E$9:$SJ$9,'Graph Data'!BH$187,'PCO Log'!$E$4:$SJ$4,"&lt;&gt;Bid Package",'PCO Log'!$E$7:$SJ$7,"Approved")</f>
        <v>0</v>
      </c>
      <c r="BI245" s="304">
        <f>SUMIFS('PCO Log'!$E69:$SJ69,'PCO Log'!$E$9:$SJ$9,'Graph Data'!BI$187,'PCO Log'!$E$4:$SJ$4,"&lt;&gt;Bid Package",'PCO Log'!$E$7:$SJ$7,"Approved")</f>
        <v>0</v>
      </c>
      <c r="BJ245" s="304">
        <f>SUMIFS('PCO Log'!$E69:$SJ69,'PCO Log'!$E$9:$SJ$9,'Graph Data'!BJ$187,'PCO Log'!$E$4:$SJ$4,"&lt;&gt;Bid Package",'PCO Log'!$E$7:$SJ$7,"Approved")</f>
        <v>0</v>
      </c>
      <c r="BK245" s="304">
        <f>SUMIFS('PCO Log'!$E69:$SJ69,'PCO Log'!$E$9:$SJ$9,'Graph Data'!BK$187,'PCO Log'!$E$4:$SJ$4,"&lt;&gt;Bid Package",'PCO Log'!$E$7:$SJ$7,"Approved")</f>
        <v>0</v>
      </c>
      <c r="BL245" s="304">
        <f>SUMIFS('PCO Log'!$E69:$SJ69,'PCO Log'!$E$9:$SJ$9,'Graph Data'!BL$187,'PCO Log'!$E$4:$SJ$4,"&lt;&gt;Bid Package",'PCO Log'!$E$7:$SJ$7,"Approved")</f>
        <v>0</v>
      </c>
      <c r="BM245" s="304">
        <f>SUMIFS('PCO Log'!$E69:$SJ69,'PCO Log'!$E$9:$SJ$9,'Graph Data'!BM$187,'PCO Log'!$E$4:$SJ$4,"&lt;&gt;Bid Package",'PCO Log'!$E$7:$SJ$7,"Approved")</f>
        <v>0</v>
      </c>
      <c r="BN245" s="304">
        <f>SUMIFS('PCO Log'!$E69:$SJ69,'PCO Log'!$E$9:$SJ$9,'Graph Data'!BN$187,'PCO Log'!$E$4:$SJ$4,"&lt;&gt;Bid Package",'PCO Log'!$E$7:$SJ$7,"Approved")</f>
        <v>0</v>
      </c>
      <c r="BO245" s="304">
        <f>SUMIFS('PCO Log'!$E69:$SJ69,'PCO Log'!$E$9:$SJ$9,'Graph Data'!BO$187,'PCO Log'!$E$4:$SJ$4,"&lt;&gt;Bid Package",'PCO Log'!$E$7:$SJ$7,"Approved")</f>
        <v>0</v>
      </c>
      <c r="BP245" s="304">
        <f>SUMIFS('PCO Log'!$E69:$SJ69,'PCO Log'!$E$9:$SJ$9,'Graph Data'!BP$187,'PCO Log'!$E$4:$SJ$4,"&lt;&gt;Bid Package",'PCO Log'!$E$7:$SJ$7,"Approved")</f>
        <v>0</v>
      </c>
      <c r="BQ245" s="304">
        <f>SUMIFS('PCO Log'!$E69:$SJ69,'PCO Log'!$E$9:$SJ$9,'Graph Data'!BQ$187,'PCO Log'!$E$4:$SJ$4,"&lt;&gt;Bid Package",'PCO Log'!$E$7:$SJ$7,"Approved")</f>
        <v>0</v>
      </c>
      <c r="BR245" s="304">
        <f>SUMIFS('PCO Log'!$E69:$SJ69,'PCO Log'!$E$9:$SJ$9,'Graph Data'!BR$187,'PCO Log'!$E$4:$SJ$4,"&lt;&gt;Bid Package",'PCO Log'!$E$7:$SJ$7,"Approved")</f>
        <v>0</v>
      </c>
      <c r="BS245" s="304">
        <f>SUMIFS('PCO Log'!$E69:$SJ69,'PCO Log'!$E$9:$SJ$9,'Graph Data'!BS$187,'PCO Log'!$E$4:$SJ$4,"&lt;&gt;Bid Package",'PCO Log'!$E$7:$SJ$7,"Approved")</f>
        <v>0</v>
      </c>
      <c r="BT245" s="304">
        <f>SUMIFS('PCO Log'!$E69:$SJ69,'PCO Log'!$E$9:$SJ$9,'Graph Data'!BT$187,'PCO Log'!$E$4:$SJ$4,"&lt;&gt;Bid Package",'PCO Log'!$E$7:$SJ$7,"Approved")</f>
        <v>0</v>
      </c>
      <c r="BU245" s="304">
        <f>SUMIFS('PCO Log'!$E69:$SJ69,'PCO Log'!$E$9:$SJ$9,'Graph Data'!BU$187,'PCO Log'!$E$4:$SJ$4,"&lt;&gt;Bid Package",'PCO Log'!$E$7:$SJ$7,"Approved")</f>
        <v>0</v>
      </c>
      <c r="BV245" s="304">
        <f>SUMIFS('PCO Log'!$E69:$SJ69,'PCO Log'!$E$9:$SJ$9,'Graph Data'!BV$187,'PCO Log'!$E$4:$SJ$4,"&lt;&gt;Bid Package",'PCO Log'!$E$7:$SJ$7,"Approved")</f>
        <v>0</v>
      </c>
      <c r="BW245" s="304">
        <f>SUMIFS('PCO Log'!$E69:$SJ69,'PCO Log'!$E$9:$SJ$9,'Graph Data'!BW$187,'PCO Log'!$E$4:$SJ$4,"&lt;&gt;Bid Package",'PCO Log'!$E$7:$SJ$7,"Approved")</f>
        <v>0</v>
      </c>
      <c r="BX245" s="304">
        <f>SUMIFS('PCO Log'!$E69:$SJ69,'PCO Log'!$E$9:$SJ$9,'Graph Data'!BX$187,'PCO Log'!$E$4:$SJ$4,"&lt;&gt;Bid Package",'PCO Log'!$E$7:$SJ$7,"Approved")</f>
        <v>0</v>
      </c>
    </row>
    <row r="246" spans="1:76" x14ac:dyDescent="0.25">
      <c r="A246" s="303" t="s">
        <v>596</v>
      </c>
      <c r="B246" s="303">
        <f>'PCO Log'!IO7</f>
        <v>0</v>
      </c>
      <c r="C246" s="303">
        <f>'PCO Log'!IO4</f>
        <v>0</v>
      </c>
      <c r="D246" s="303" cm="1">
        <f t="array" ref="D246">INDEX('PCO Log'!$E$5:$SJ$5, 1, ROWS('Graph Data'!$D$2:D246))</f>
        <v>0</v>
      </c>
      <c r="E246" s="303">
        <f>'PCO Log'!IO8</f>
        <v>0</v>
      </c>
      <c r="F246" s="303">
        <f>'PCO Log'!IO3</f>
        <v>0</v>
      </c>
      <c r="G246" s="304">
        <f>'PCO Log'!IO10</f>
        <v>0</v>
      </c>
      <c r="H246" s="305">
        <f>'PCO Log'!IO6</f>
        <v>0</v>
      </c>
      <c r="K246" s="307"/>
      <c r="P246" s="303" t="str">
        <f t="shared" si="4"/>
        <v>Equipment (other)</v>
      </c>
      <c r="Q246" s="304">
        <f>SUMIFS('PCO Log'!$E70:$SJ70,'PCO Log'!$E$9:$SJ$9,'Graph Data'!Q$187,'PCO Log'!$E$4:$SJ$4,"&lt;&gt;Bid Package",'PCO Log'!$E$7:$SJ$7,"Approved")</f>
        <v>0</v>
      </c>
      <c r="R246" s="304">
        <f>SUMIFS('PCO Log'!$E70:$SJ70,'PCO Log'!$E$9:$SJ$9,'Graph Data'!R$187,'PCO Log'!$E$4:$SJ$4,"&lt;&gt;Bid Package",'PCO Log'!$E$7:$SJ$7,"Approved")</f>
        <v>0</v>
      </c>
      <c r="S246" s="304">
        <f>SUMIFS('PCO Log'!$E70:$SJ70,'PCO Log'!$E$9:$SJ$9,'Graph Data'!S$187,'PCO Log'!$E$4:$SJ$4,"&lt;&gt;Bid Package",'PCO Log'!$E$7:$SJ$7,"Approved")</f>
        <v>0</v>
      </c>
      <c r="T246" s="304">
        <f>SUMIFS('PCO Log'!$E70:$SJ70,'PCO Log'!$E$9:$SJ$9,'Graph Data'!T$187,'PCO Log'!$E$4:$SJ$4,"&lt;&gt;Bid Package",'PCO Log'!$E$7:$SJ$7,"Approved")</f>
        <v>0</v>
      </c>
      <c r="U246" s="304">
        <f>SUMIFS('PCO Log'!$E70:$SJ70,'PCO Log'!$E$9:$SJ$9,'Graph Data'!U$187,'PCO Log'!$E$4:$SJ$4,"&lt;&gt;Bid Package",'PCO Log'!$E$7:$SJ$7,"Approved")</f>
        <v>0</v>
      </c>
      <c r="V246" s="304">
        <f>SUMIFS('PCO Log'!$E70:$SJ70,'PCO Log'!$E$9:$SJ$9,'Graph Data'!V$187,'PCO Log'!$E$4:$SJ$4,"&lt;&gt;Bid Package",'PCO Log'!$E$7:$SJ$7,"Approved")</f>
        <v>0</v>
      </c>
      <c r="W246" s="304">
        <f>SUMIFS('PCO Log'!$E70:$SJ70,'PCO Log'!$E$9:$SJ$9,'Graph Data'!W$187,'PCO Log'!$E$4:$SJ$4,"&lt;&gt;Bid Package",'PCO Log'!$E$7:$SJ$7,"Approved")</f>
        <v>0</v>
      </c>
      <c r="X246" s="304">
        <f>SUMIFS('PCO Log'!$E70:$SJ70,'PCO Log'!$E$9:$SJ$9,'Graph Data'!X$187,'PCO Log'!$E$4:$SJ$4,"&lt;&gt;Bid Package",'PCO Log'!$E$7:$SJ$7,"Approved")</f>
        <v>0</v>
      </c>
      <c r="Y246" s="304">
        <f>SUMIFS('PCO Log'!$E70:$SJ70,'PCO Log'!$E$9:$SJ$9,'Graph Data'!Y$187,'PCO Log'!$E$4:$SJ$4,"&lt;&gt;Bid Package",'PCO Log'!$E$7:$SJ$7,"Approved")</f>
        <v>0</v>
      </c>
      <c r="Z246" s="304">
        <f>SUMIFS('PCO Log'!$E70:$SJ70,'PCO Log'!$E$9:$SJ$9,'Graph Data'!Z$187,'PCO Log'!$E$4:$SJ$4,"&lt;&gt;Bid Package",'PCO Log'!$E$7:$SJ$7,"Approved")</f>
        <v>0</v>
      </c>
      <c r="AA246" s="304">
        <f>SUMIFS('PCO Log'!$E70:$SJ70,'PCO Log'!$E$9:$SJ$9,'Graph Data'!AA$187,'PCO Log'!$E$4:$SJ$4,"&lt;&gt;Bid Package",'PCO Log'!$E$7:$SJ$7,"Approved")</f>
        <v>0</v>
      </c>
      <c r="AB246" s="304">
        <f>SUMIFS('PCO Log'!$E70:$SJ70,'PCO Log'!$E$9:$SJ$9,'Graph Data'!AB$187,'PCO Log'!$E$4:$SJ$4,"&lt;&gt;Bid Package",'PCO Log'!$E$7:$SJ$7,"Approved")</f>
        <v>0</v>
      </c>
      <c r="AC246" s="304">
        <f>SUMIFS('PCO Log'!$E70:$SJ70,'PCO Log'!$E$9:$SJ$9,'Graph Data'!AC$187,'PCO Log'!$E$4:$SJ$4,"&lt;&gt;Bid Package",'PCO Log'!$E$7:$SJ$7,"Approved")</f>
        <v>0</v>
      </c>
      <c r="AD246" s="304">
        <f>SUMIFS('PCO Log'!$E70:$SJ70,'PCO Log'!$E$9:$SJ$9,'Graph Data'!AD$187,'PCO Log'!$E$4:$SJ$4,"&lt;&gt;Bid Package",'PCO Log'!$E$7:$SJ$7,"Approved")</f>
        <v>0</v>
      </c>
      <c r="AE246" s="304">
        <f>SUMIFS('PCO Log'!$E70:$SJ70,'PCO Log'!$E$9:$SJ$9,'Graph Data'!AE$187,'PCO Log'!$E$4:$SJ$4,"&lt;&gt;Bid Package",'PCO Log'!$E$7:$SJ$7,"Approved")</f>
        <v>0</v>
      </c>
      <c r="AF246" s="304">
        <f>SUMIFS('PCO Log'!$E70:$SJ70,'PCO Log'!$E$9:$SJ$9,'Graph Data'!AF$187,'PCO Log'!$E$4:$SJ$4,"&lt;&gt;Bid Package",'PCO Log'!$E$7:$SJ$7,"Approved")</f>
        <v>0</v>
      </c>
      <c r="AG246" s="304">
        <f>SUMIFS('PCO Log'!$E70:$SJ70,'PCO Log'!$E$9:$SJ$9,'Graph Data'!AG$187,'PCO Log'!$E$4:$SJ$4,"&lt;&gt;Bid Package",'PCO Log'!$E$7:$SJ$7,"Approved")</f>
        <v>0</v>
      </c>
      <c r="AH246" s="304">
        <f>SUMIFS('PCO Log'!$E70:$SJ70,'PCO Log'!$E$9:$SJ$9,'Graph Data'!AH$187,'PCO Log'!$E$4:$SJ$4,"&lt;&gt;Bid Package",'PCO Log'!$E$7:$SJ$7,"Approved")</f>
        <v>0</v>
      </c>
      <c r="AI246" s="304">
        <f>SUMIFS('PCO Log'!$E70:$SJ70,'PCO Log'!$E$9:$SJ$9,'Graph Data'!AI$187,'PCO Log'!$E$4:$SJ$4,"&lt;&gt;Bid Package",'PCO Log'!$E$7:$SJ$7,"Approved")</f>
        <v>0</v>
      </c>
      <c r="AJ246" s="304">
        <f>SUMIFS('PCO Log'!$E70:$SJ70,'PCO Log'!$E$9:$SJ$9,'Graph Data'!AJ$187,'PCO Log'!$E$4:$SJ$4,"&lt;&gt;Bid Package",'PCO Log'!$E$7:$SJ$7,"Approved")</f>
        <v>0</v>
      </c>
      <c r="AK246" s="304">
        <f>SUMIFS('PCO Log'!$E70:$SJ70,'PCO Log'!$E$9:$SJ$9,'Graph Data'!AK$187,'PCO Log'!$E$4:$SJ$4,"&lt;&gt;Bid Package",'PCO Log'!$E$7:$SJ$7,"Approved")</f>
        <v>0</v>
      </c>
      <c r="AL246" s="304">
        <f>SUMIFS('PCO Log'!$E70:$SJ70,'PCO Log'!$E$9:$SJ$9,'Graph Data'!AL$187,'PCO Log'!$E$4:$SJ$4,"&lt;&gt;Bid Package",'PCO Log'!$E$7:$SJ$7,"Approved")</f>
        <v>0</v>
      </c>
      <c r="AM246" s="304">
        <f>SUMIFS('PCO Log'!$E70:$SJ70,'PCO Log'!$E$9:$SJ$9,'Graph Data'!AM$187,'PCO Log'!$E$4:$SJ$4,"&lt;&gt;Bid Package",'PCO Log'!$E$7:$SJ$7,"Approved")</f>
        <v>0</v>
      </c>
      <c r="AN246" s="304">
        <f>SUMIFS('PCO Log'!$E70:$SJ70,'PCO Log'!$E$9:$SJ$9,'Graph Data'!AN$187,'PCO Log'!$E$4:$SJ$4,"&lt;&gt;Bid Package",'PCO Log'!$E$7:$SJ$7,"Approved")</f>
        <v>0</v>
      </c>
      <c r="AO246" s="304">
        <f>SUMIFS('PCO Log'!$E70:$SJ70,'PCO Log'!$E$9:$SJ$9,'Graph Data'!AO$187,'PCO Log'!$E$4:$SJ$4,"&lt;&gt;Bid Package",'PCO Log'!$E$7:$SJ$7,"Approved")</f>
        <v>0</v>
      </c>
      <c r="AP246" s="304">
        <f>SUMIFS('PCO Log'!$E70:$SJ70,'PCO Log'!$E$9:$SJ$9,'Graph Data'!AP$187,'PCO Log'!$E$4:$SJ$4,"&lt;&gt;Bid Package",'PCO Log'!$E$7:$SJ$7,"Approved")</f>
        <v>0</v>
      </c>
      <c r="AQ246" s="304">
        <f>SUMIFS('PCO Log'!$E70:$SJ70,'PCO Log'!$E$9:$SJ$9,'Graph Data'!AQ$187,'PCO Log'!$E$4:$SJ$4,"&lt;&gt;Bid Package",'PCO Log'!$E$7:$SJ$7,"Approved")</f>
        <v>0</v>
      </c>
      <c r="AR246" s="304">
        <f>SUMIFS('PCO Log'!$E70:$SJ70,'PCO Log'!$E$9:$SJ$9,'Graph Data'!AR$187,'PCO Log'!$E$4:$SJ$4,"&lt;&gt;Bid Package",'PCO Log'!$E$7:$SJ$7,"Approved")</f>
        <v>0</v>
      </c>
      <c r="AS246" s="304">
        <f>SUMIFS('PCO Log'!$E70:$SJ70,'PCO Log'!$E$9:$SJ$9,'Graph Data'!AS$187,'PCO Log'!$E$4:$SJ$4,"&lt;&gt;Bid Package",'PCO Log'!$E$7:$SJ$7,"Approved")</f>
        <v>0</v>
      </c>
      <c r="AT246" s="304">
        <f>SUMIFS('PCO Log'!$E70:$SJ70,'PCO Log'!$E$9:$SJ$9,'Graph Data'!AT$187,'PCO Log'!$E$4:$SJ$4,"&lt;&gt;Bid Package",'PCO Log'!$E$7:$SJ$7,"Approved")</f>
        <v>0</v>
      </c>
      <c r="AU246" s="304">
        <f>SUMIFS('PCO Log'!$E70:$SJ70,'PCO Log'!$E$9:$SJ$9,'Graph Data'!AU$187,'PCO Log'!$E$4:$SJ$4,"&lt;&gt;Bid Package",'PCO Log'!$E$7:$SJ$7,"Approved")</f>
        <v>0</v>
      </c>
      <c r="AV246" s="304">
        <f>SUMIFS('PCO Log'!$E70:$SJ70,'PCO Log'!$E$9:$SJ$9,'Graph Data'!AV$187,'PCO Log'!$E$4:$SJ$4,"&lt;&gt;Bid Package",'PCO Log'!$E$7:$SJ$7,"Approved")</f>
        <v>0</v>
      </c>
      <c r="AW246" s="304">
        <f>SUMIFS('PCO Log'!$E70:$SJ70,'PCO Log'!$E$9:$SJ$9,'Graph Data'!AW$187,'PCO Log'!$E$4:$SJ$4,"&lt;&gt;Bid Package",'PCO Log'!$E$7:$SJ$7,"Approved")</f>
        <v>0</v>
      </c>
      <c r="AX246" s="304">
        <f>SUMIFS('PCO Log'!$E70:$SJ70,'PCO Log'!$E$9:$SJ$9,'Graph Data'!AX$187,'PCO Log'!$E$4:$SJ$4,"&lt;&gt;Bid Package",'PCO Log'!$E$7:$SJ$7,"Approved")</f>
        <v>0</v>
      </c>
      <c r="AY246" s="304">
        <f>SUMIFS('PCO Log'!$E70:$SJ70,'PCO Log'!$E$9:$SJ$9,'Graph Data'!AY$187,'PCO Log'!$E$4:$SJ$4,"&lt;&gt;Bid Package",'PCO Log'!$E$7:$SJ$7,"Approved")</f>
        <v>0</v>
      </c>
      <c r="AZ246" s="304">
        <f>SUMIFS('PCO Log'!$E70:$SJ70,'PCO Log'!$E$9:$SJ$9,'Graph Data'!AZ$187,'PCO Log'!$E$4:$SJ$4,"&lt;&gt;Bid Package",'PCO Log'!$E$7:$SJ$7,"Approved")</f>
        <v>0</v>
      </c>
      <c r="BA246" s="304">
        <f>SUMIFS('PCO Log'!$E70:$SJ70,'PCO Log'!$E$9:$SJ$9,'Graph Data'!BA$187,'PCO Log'!$E$4:$SJ$4,"&lt;&gt;Bid Package",'PCO Log'!$E$7:$SJ$7,"Approved")</f>
        <v>0</v>
      </c>
      <c r="BB246" s="304">
        <f>SUMIFS('PCO Log'!$E70:$SJ70,'PCO Log'!$E$9:$SJ$9,'Graph Data'!BB$187,'PCO Log'!$E$4:$SJ$4,"&lt;&gt;Bid Package",'PCO Log'!$E$7:$SJ$7,"Approved")</f>
        <v>0</v>
      </c>
      <c r="BC246" s="304">
        <f>SUMIFS('PCO Log'!$E70:$SJ70,'PCO Log'!$E$9:$SJ$9,'Graph Data'!BC$187,'PCO Log'!$E$4:$SJ$4,"&lt;&gt;Bid Package",'PCO Log'!$E$7:$SJ$7,"Approved")</f>
        <v>0</v>
      </c>
      <c r="BD246" s="304">
        <f>SUMIFS('PCO Log'!$E70:$SJ70,'PCO Log'!$E$9:$SJ$9,'Graph Data'!BD$187,'PCO Log'!$E$4:$SJ$4,"&lt;&gt;Bid Package",'PCO Log'!$E$7:$SJ$7,"Approved")</f>
        <v>0</v>
      </c>
      <c r="BE246" s="304">
        <f>SUMIFS('PCO Log'!$E70:$SJ70,'PCO Log'!$E$9:$SJ$9,'Graph Data'!BE$187,'PCO Log'!$E$4:$SJ$4,"&lt;&gt;Bid Package",'PCO Log'!$E$7:$SJ$7,"Approved")</f>
        <v>0</v>
      </c>
      <c r="BF246" s="304">
        <f>SUMIFS('PCO Log'!$E70:$SJ70,'PCO Log'!$E$9:$SJ$9,'Graph Data'!BF$187,'PCO Log'!$E$4:$SJ$4,"&lt;&gt;Bid Package",'PCO Log'!$E$7:$SJ$7,"Approved")</f>
        <v>0</v>
      </c>
      <c r="BG246" s="304">
        <f>SUMIFS('PCO Log'!$E70:$SJ70,'PCO Log'!$E$9:$SJ$9,'Graph Data'!BG$187,'PCO Log'!$E$4:$SJ$4,"&lt;&gt;Bid Package",'PCO Log'!$E$7:$SJ$7,"Approved")</f>
        <v>0</v>
      </c>
      <c r="BH246" s="304">
        <f>SUMIFS('PCO Log'!$E70:$SJ70,'PCO Log'!$E$9:$SJ$9,'Graph Data'!BH$187,'PCO Log'!$E$4:$SJ$4,"&lt;&gt;Bid Package",'PCO Log'!$E$7:$SJ$7,"Approved")</f>
        <v>0</v>
      </c>
      <c r="BI246" s="304">
        <f>SUMIFS('PCO Log'!$E70:$SJ70,'PCO Log'!$E$9:$SJ$9,'Graph Data'!BI$187,'PCO Log'!$E$4:$SJ$4,"&lt;&gt;Bid Package",'PCO Log'!$E$7:$SJ$7,"Approved")</f>
        <v>0</v>
      </c>
      <c r="BJ246" s="304">
        <f>SUMIFS('PCO Log'!$E70:$SJ70,'PCO Log'!$E$9:$SJ$9,'Graph Data'!BJ$187,'PCO Log'!$E$4:$SJ$4,"&lt;&gt;Bid Package",'PCO Log'!$E$7:$SJ$7,"Approved")</f>
        <v>0</v>
      </c>
      <c r="BK246" s="304">
        <f>SUMIFS('PCO Log'!$E70:$SJ70,'PCO Log'!$E$9:$SJ$9,'Graph Data'!BK$187,'PCO Log'!$E$4:$SJ$4,"&lt;&gt;Bid Package",'PCO Log'!$E$7:$SJ$7,"Approved")</f>
        <v>0</v>
      </c>
      <c r="BL246" s="304">
        <f>SUMIFS('PCO Log'!$E70:$SJ70,'PCO Log'!$E$9:$SJ$9,'Graph Data'!BL$187,'PCO Log'!$E$4:$SJ$4,"&lt;&gt;Bid Package",'PCO Log'!$E$7:$SJ$7,"Approved")</f>
        <v>0</v>
      </c>
      <c r="BM246" s="304">
        <f>SUMIFS('PCO Log'!$E70:$SJ70,'PCO Log'!$E$9:$SJ$9,'Graph Data'!BM$187,'PCO Log'!$E$4:$SJ$4,"&lt;&gt;Bid Package",'PCO Log'!$E$7:$SJ$7,"Approved")</f>
        <v>0</v>
      </c>
      <c r="BN246" s="304">
        <f>SUMIFS('PCO Log'!$E70:$SJ70,'PCO Log'!$E$9:$SJ$9,'Graph Data'!BN$187,'PCO Log'!$E$4:$SJ$4,"&lt;&gt;Bid Package",'PCO Log'!$E$7:$SJ$7,"Approved")</f>
        <v>0</v>
      </c>
      <c r="BO246" s="304">
        <f>SUMIFS('PCO Log'!$E70:$SJ70,'PCO Log'!$E$9:$SJ$9,'Graph Data'!BO$187,'PCO Log'!$E$4:$SJ$4,"&lt;&gt;Bid Package",'PCO Log'!$E$7:$SJ$7,"Approved")</f>
        <v>0</v>
      </c>
      <c r="BP246" s="304">
        <f>SUMIFS('PCO Log'!$E70:$SJ70,'PCO Log'!$E$9:$SJ$9,'Graph Data'!BP$187,'PCO Log'!$E$4:$SJ$4,"&lt;&gt;Bid Package",'PCO Log'!$E$7:$SJ$7,"Approved")</f>
        <v>0</v>
      </c>
      <c r="BQ246" s="304">
        <f>SUMIFS('PCO Log'!$E70:$SJ70,'PCO Log'!$E$9:$SJ$9,'Graph Data'!BQ$187,'PCO Log'!$E$4:$SJ$4,"&lt;&gt;Bid Package",'PCO Log'!$E$7:$SJ$7,"Approved")</f>
        <v>0</v>
      </c>
      <c r="BR246" s="304">
        <f>SUMIFS('PCO Log'!$E70:$SJ70,'PCO Log'!$E$9:$SJ$9,'Graph Data'!BR$187,'PCO Log'!$E$4:$SJ$4,"&lt;&gt;Bid Package",'PCO Log'!$E$7:$SJ$7,"Approved")</f>
        <v>0</v>
      </c>
      <c r="BS246" s="304">
        <f>SUMIFS('PCO Log'!$E70:$SJ70,'PCO Log'!$E$9:$SJ$9,'Graph Data'!BS$187,'PCO Log'!$E$4:$SJ$4,"&lt;&gt;Bid Package",'PCO Log'!$E$7:$SJ$7,"Approved")</f>
        <v>0</v>
      </c>
      <c r="BT246" s="304">
        <f>SUMIFS('PCO Log'!$E70:$SJ70,'PCO Log'!$E$9:$SJ$9,'Graph Data'!BT$187,'PCO Log'!$E$4:$SJ$4,"&lt;&gt;Bid Package",'PCO Log'!$E$7:$SJ$7,"Approved")</f>
        <v>0</v>
      </c>
      <c r="BU246" s="304">
        <f>SUMIFS('PCO Log'!$E70:$SJ70,'PCO Log'!$E$9:$SJ$9,'Graph Data'!BU$187,'PCO Log'!$E$4:$SJ$4,"&lt;&gt;Bid Package",'PCO Log'!$E$7:$SJ$7,"Approved")</f>
        <v>0</v>
      </c>
      <c r="BV246" s="304">
        <f>SUMIFS('PCO Log'!$E70:$SJ70,'PCO Log'!$E$9:$SJ$9,'Graph Data'!BV$187,'PCO Log'!$E$4:$SJ$4,"&lt;&gt;Bid Package",'PCO Log'!$E$7:$SJ$7,"Approved")</f>
        <v>0</v>
      </c>
      <c r="BW246" s="304">
        <f>SUMIFS('PCO Log'!$E70:$SJ70,'PCO Log'!$E$9:$SJ$9,'Graph Data'!BW$187,'PCO Log'!$E$4:$SJ$4,"&lt;&gt;Bid Package",'PCO Log'!$E$7:$SJ$7,"Approved")</f>
        <v>0</v>
      </c>
      <c r="BX246" s="304">
        <f>SUMIFS('PCO Log'!$E70:$SJ70,'PCO Log'!$E$9:$SJ$9,'Graph Data'!BX$187,'PCO Log'!$E$4:$SJ$4,"&lt;&gt;Bid Package",'PCO Log'!$E$7:$SJ$7,"Approved")</f>
        <v>0</v>
      </c>
    </row>
    <row r="247" spans="1:76" x14ac:dyDescent="0.25">
      <c r="A247" s="303" t="s">
        <v>597</v>
      </c>
      <c r="B247" s="303">
        <f>'PCO Log'!IP7</f>
        <v>0</v>
      </c>
      <c r="C247" s="303">
        <f>'PCO Log'!IP4</f>
        <v>0</v>
      </c>
      <c r="D247" s="303" cm="1">
        <f t="array" ref="D247">INDEX('PCO Log'!$E$5:$SJ$5, 1, ROWS('Graph Data'!$D$2:D247))</f>
        <v>0</v>
      </c>
      <c r="E247" s="303">
        <f>'PCO Log'!IP8</f>
        <v>0</v>
      </c>
      <c r="F247" s="303">
        <f>'PCO Log'!IP3</f>
        <v>0</v>
      </c>
      <c r="G247" s="304">
        <f>'PCO Log'!IP10</f>
        <v>0</v>
      </c>
      <c r="H247" s="305">
        <f>'PCO Log'!IP6</f>
        <v>0</v>
      </c>
      <c r="K247" s="307"/>
      <c r="P247" s="303" t="str">
        <f t="shared" si="4"/>
        <v xml:space="preserve">Furnishings </v>
      </c>
      <c r="Q247" s="304">
        <f>SUMIFS('PCO Log'!$E71:$SJ71,'PCO Log'!$E$9:$SJ$9,'Graph Data'!Q$187,'PCO Log'!$E$4:$SJ$4,"&lt;&gt;Bid Package",'PCO Log'!$E$7:$SJ$7,"Approved")</f>
        <v>0</v>
      </c>
      <c r="R247" s="304">
        <f>SUMIFS('PCO Log'!$E71:$SJ71,'PCO Log'!$E$9:$SJ$9,'Graph Data'!R$187,'PCO Log'!$E$4:$SJ$4,"&lt;&gt;Bid Package",'PCO Log'!$E$7:$SJ$7,"Approved")</f>
        <v>0</v>
      </c>
      <c r="S247" s="304">
        <f>SUMIFS('PCO Log'!$E71:$SJ71,'PCO Log'!$E$9:$SJ$9,'Graph Data'!S$187,'PCO Log'!$E$4:$SJ$4,"&lt;&gt;Bid Package",'PCO Log'!$E$7:$SJ$7,"Approved")</f>
        <v>0</v>
      </c>
      <c r="T247" s="304">
        <f>SUMIFS('PCO Log'!$E71:$SJ71,'PCO Log'!$E$9:$SJ$9,'Graph Data'!T$187,'PCO Log'!$E$4:$SJ$4,"&lt;&gt;Bid Package",'PCO Log'!$E$7:$SJ$7,"Approved")</f>
        <v>0</v>
      </c>
      <c r="U247" s="304">
        <f>SUMIFS('PCO Log'!$E71:$SJ71,'PCO Log'!$E$9:$SJ$9,'Graph Data'!U$187,'PCO Log'!$E$4:$SJ$4,"&lt;&gt;Bid Package",'PCO Log'!$E$7:$SJ$7,"Approved")</f>
        <v>0</v>
      </c>
      <c r="V247" s="304">
        <f>SUMIFS('PCO Log'!$E71:$SJ71,'PCO Log'!$E$9:$SJ$9,'Graph Data'!V$187,'PCO Log'!$E$4:$SJ$4,"&lt;&gt;Bid Package",'PCO Log'!$E$7:$SJ$7,"Approved")</f>
        <v>0</v>
      </c>
      <c r="W247" s="304">
        <f>SUMIFS('PCO Log'!$E71:$SJ71,'PCO Log'!$E$9:$SJ$9,'Graph Data'!W$187,'PCO Log'!$E$4:$SJ$4,"&lt;&gt;Bid Package",'PCO Log'!$E$7:$SJ$7,"Approved")</f>
        <v>0</v>
      </c>
      <c r="X247" s="304">
        <f>SUMIFS('PCO Log'!$E71:$SJ71,'PCO Log'!$E$9:$SJ$9,'Graph Data'!X$187,'PCO Log'!$E$4:$SJ$4,"&lt;&gt;Bid Package",'PCO Log'!$E$7:$SJ$7,"Approved")</f>
        <v>0</v>
      </c>
      <c r="Y247" s="304">
        <f>SUMIFS('PCO Log'!$E71:$SJ71,'PCO Log'!$E$9:$SJ$9,'Graph Data'!Y$187,'PCO Log'!$E$4:$SJ$4,"&lt;&gt;Bid Package",'PCO Log'!$E$7:$SJ$7,"Approved")</f>
        <v>0</v>
      </c>
      <c r="Z247" s="304">
        <f>SUMIFS('PCO Log'!$E71:$SJ71,'PCO Log'!$E$9:$SJ$9,'Graph Data'!Z$187,'PCO Log'!$E$4:$SJ$4,"&lt;&gt;Bid Package",'PCO Log'!$E$7:$SJ$7,"Approved")</f>
        <v>0</v>
      </c>
      <c r="AA247" s="304">
        <f>SUMIFS('PCO Log'!$E71:$SJ71,'PCO Log'!$E$9:$SJ$9,'Graph Data'!AA$187,'PCO Log'!$E$4:$SJ$4,"&lt;&gt;Bid Package",'PCO Log'!$E$7:$SJ$7,"Approved")</f>
        <v>0</v>
      </c>
      <c r="AB247" s="304">
        <f>SUMIFS('PCO Log'!$E71:$SJ71,'PCO Log'!$E$9:$SJ$9,'Graph Data'!AB$187,'PCO Log'!$E$4:$SJ$4,"&lt;&gt;Bid Package",'PCO Log'!$E$7:$SJ$7,"Approved")</f>
        <v>0</v>
      </c>
      <c r="AC247" s="304">
        <f>SUMIFS('PCO Log'!$E71:$SJ71,'PCO Log'!$E$9:$SJ$9,'Graph Data'!AC$187,'PCO Log'!$E$4:$SJ$4,"&lt;&gt;Bid Package",'PCO Log'!$E$7:$SJ$7,"Approved")</f>
        <v>0</v>
      </c>
      <c r="AD247" s="304">
        <f>SUMIFS('PCO Log'!$E71:$SJ71,'PCO Log'!$E$9:$SJ$9,'Graph Data'!AD$187,'PCO Log'!$E$4:$SJ$4,"&lt;&gt;Bid Package",'PCO Log'!$E$7:$SJ$7,"Approved")</f>
        <v>0</v>
      </c>
      <c r="AE247" s="304">
        <f>SUMIFS('PCO Log'!$E71:$SJ71,'PCO Log'!$E$9:$SJ$9,'Graph Data'!AE$187,'PCO Log'!$E$4:$SJ$4,"&lt;&gt;Bid Package",'PCO Log'!$E$7:$SJ$7,"Approved")</f>
        <v>0</v>
      </c>
      <c r="AF247" s="304">
        <f>SUMIFS('PCO Log'!$E71:$SJ71,'PCO Log'!$E$9:$SJ$9,'Graph Data'!AF$187,'PCO Log'!$E$4:$SJ$4,"&lt;&gt;Bid Package",'PCO Log'!$E$7:$SJ$7,"Approved")</f>
        <v>0</v>
      </c>
      <c r="AG247" s="304">
        <f>SUMIFS('PCO Log'!$E71:$SJ71,'PCO Log'!$E$9:$SJ$9,'Graph Data'!AG$187,'PCO Log'!$E$4:$SJ$4,"&lt;&gt;Bid Package",'PCO Log'!$E$7:$SJ$7,"Approved")</f>
        <v>0</v>
      </c>
      <c r="AH247" s="304">
        <f>SUMIFS('PCO Log'!$E71:$SJ71,'PCO Log'!$E$9:$SJ$9,'Graph Data'!AH$187,'PCO Log'!$E$4:$SJ$4,"&lt;&gt;Bid Package",'PCO Log'!$E$7:$SJ$7,"Approved")</f>
        <v>0</v>
      </c>
      <c r="AI247" s="304">
        <f>SUMIFS('PCO Log'!$E71:$SJ71,'PCO Log'!$E$9:$SJ$9,'Graph Data'!AI$187,'PCO Log'!$E$4:$SJ$4,"&lt;&gt;Bid Package",'PCO Log'!$E$7:$SJ$7,"Approved")</f>
        <v>0</v>
      </c>
      <c r="AJ247" s="304">
        <f>SUMIFS('PCO Log'!$E71:$SJ71,'PCO Log'!$E$9:$SJ$9,'Graph Data'!AJ$187,'PCO Log'!$E$4:$SJ$4,"&lt;&gt;Bid Package",'PCO Log'!$E$7:$SJ$7,"Approved")</f>
        <v>0</v>
      </c>
      <c r="AK247" s="304">
        <f>SUMIFS('PCO Log'!$E71:$SJ71,'PCO Log'!$E$9:$SJ$9,'Graph Data'!AK$187,'PCO Log'!$E$4:$SJ$4,"&lt;&gt;Bid Package",'PCO Log'!$E$7:$SJ$7,"Approved")</f>
        <v>0</v>
      </c>
      <c r="AL247" s="304">
        <f>SUMIFS('PCO Log'!$E71:$SJ71,'PCO Log'!$E$9:$SJ$9,'Graph Data'!AL$187,'PCO Log'!$E$4:$SJ$4,"&lt;&gt;Bid Package",'PCO Log'!$E$7:$SJ$7,"Approved")</f>
        <v>0</v>
      </c>
      <c r="AM247" s="304">
        <f>SUMIFS('PCO Log'!$E71:$SJ71,'PCO Log'!$E$9:$SJ$9,'Graph Data'!AM$187,'PCO Log'!$E$4:$SJ$4,"&lt;&gt;Bid Package",'PCO Log'!$E$7:$SJ$7,"Approved")</f>
        <v>0</v>
      </c>
      <c r="AN247" s="304">
        <f>SUMIFS('PCO Log'!$E71:$SJ71,'PCO Log'!$E$9:$SJ$9,'Graph Data'!AN$187,'PCO Log'!$E$4:$SJ$4,"&lt;&gt;Bid Package",'PCO Log'!$E$7:$SJ$7,"Approved")</f>
        <v>0</v>
      </c>
      <c r="AO247" s="304">
        <f>SUMIFS('PCO Log'!$E71:$SJ71,'PCO Log'!$E$9:$SJ$9,'Graph Data'!AO$187,'PCO Log'!$E$4:$SJ$4,"&lt;&gt;Bid Package",'PCO Log'!$E$7:$SJ$7,"Approved")</f>
        <v>0</v>
      </c>
      <c r="AP247" s="304">
        <f>SUMIFS('PCO Log'!$E71:$SJ71,'PCO Log'!$E$9:$SJ$9,'Graph Data'!AP$187,'PCO Log'!$E$4:$SJ$4,"&lt;&gt;Bid Package",'PCO Log'!$E$7:$SJ$7,"Approved")</f>
        <v>0</v>
      </c>
      <c r="AQ247" s="304">
        <f>SUMIFS('PCO Log'!$E71:$SJ71,'PCO Log'!$E$9:$SJ$9,'Graph Data'!AQ$187,'PCO Log'!$E$4:$SJ$4,"&lt;&gt;Bid Package",'PCO Log'!$E$7:$SJ$7,"Approved")</f>
        <v>0</v>
      </c>
      <c r="AR247" s="304">
        <f>SUMIFS('PCO Log'!$E71:$SJ71,'PCO Log'!$E$9:$SJ$9,'Graph Data'!AR$187,'PCO Log'!$E$4:$SJ$4,"&lt;&gt;Bid Package",'PCO Log'!$E$7:$SJ$7,"Approved")</f>
        <v>0</v>
      </c>
      <c r="AS247" s="304">
        <f>SUMIFS('PCO Log'!$E71:$SJ71,'PCO Log'!$E$9:$SJ$9,'Graph Data'!AS$187,'PCO Log'!$E$4:$SJ$4,"&lt;&gt;Bid Package",'PCO Log'!$E$7:$SJ$7,"Approved")</f>
        <v>0</v>
      </c>
      <c r="AT247" s="304">
        <f>SUMIFS('PCO Log'!$E71:$SJ71,'PCO Log'!$E$9:$SJ$9,'Graph Data'!AT$187,'PCO Log'!$E$4:$SJ$4,"&lt;&gt;Bid Package",'PCO Log'!$E$7:$SJ$7,"Approved")</f>
        <v>0</v>
      </c>
      <c r="AU247" s="304">
        <f>SUMIFS('PCO Log'!$E71:$SJ71,'PCO Log'!$E$9:$SJ$9,'Graph Data'!AU$187,'PCO Log'!$E$4:$SJ$4,"&lt;&gt;Bid Package",'PCO Log'!$E$7:$SJ$7,"Approved")</f>
        <v>0</v>
      </c>
      <c r="AV247" s="304">
        <f>SUMIFS('PCO Log'!$E71:$SJ71,'PCO Log'!$E$9:$SJ$9,'Graph Data'!AV$187,'PCO Log'!$E$4:$SJ$4,"&lt;&gt;Bid Package",'PCO Log'!$E$7:$SJ$7,"Approved")</f>
        <v>0</v>
      </c>
      <c r="AW247" s="304">
        <f>SUMIFS('PCO Log'!$E71:$SJ71,'PCO Log'!$E$9:$SJ$9,'Graph Data'!AW$187,'PCO Log'!$E$4:$SJ$4,"&lt;&gt;Bid Package",'PCO Log'!$E$7:$SJ$7,"Approved")</f>
        <v>0</v>
      </c>
      <c r="AX247" s="304">
        <f>SUMIFS('PCO Log'!$E71:$SJ71,'PCO Log'!$E$9:$SJ$9,'Graph Data'!AX$187,'PCO Log'!$E$4:$SJ$4,"&lt;&gt;Bid Package",'PCO Log'!$E$7:$SJ$7,"Approved")</f>
        <v>0</v>
      </c>
      <c r="AY247" s="304">
        <f>SUMIFS('PCO Log'!$E71:$SJ71,'PCO Log'!$E$9:$SJ$9,'Graph Data'!AY$187,'PCO Log'!$E$4:$SJ$4,"&lt;&gt;Bid Package",'PCO Log'!$E$7:$SJ$7,"Approved")</f>
        <v>0</v>
      </c>
      <c r="AZ247" s="304">
        <f>SUMIFS('PCO Log'!$E71:$SJ71,'PCO Log'!$E$9:$SJ$9,'Graph Data'!AZ$187,'PCO Log'!$E$4:$SJ$4,"&lt;&gt;Bid Package",'PCO Log'!$E$7:$SJ$7,"Approved")</f>
        <v>0</v>
      </c>
      <c r="BA247" s="304">
        <f>SUMIFS('PCO Log'!$E71:$SJ71,'PCO Log'!$E$9:$SJ$9,'Graph Data'!BA$187,'PCO Log'!$E$4:$SJ$4,"&lt;&gt;Bid Package",'PCO Log'!$E$7:$SJ$7,"Approved")</f>
        <v>0</v>
      </c>
      <c r="BB247" s="304">
        <f>SUMIFS('PCO Log'!$E71:$SJ71,'PCO Log'!$E$9:$SJ$9,'Graph Data'!BB$187,'PCO Log'!$E$4:$SJ$4,"&lt;&gt;Bid Package",'PCO Log'!$E$7:$SJ$7,"Approved")</f>
        <v>0</v>
      </c>
      <c r="BC247" s="304">
        <f>SUMIFS('PCO Log'!$E71:$SJ71,'PCO Log'!$E$9:$SJ$9,'Graph Data'!BC$187,'PCO Log'!$E$4:$SJ$4,"&lt;&gt;Bid Package",'PCO Log'!$E$7:$SJ$7,"Approved")</f>
        <v>0</v>
      </c>
      <c r="BD247" s="304">
        <f>SUMIFS('PCO Log'!$E71:$SJ71,'PCO Log'!$E$9:$SJ$9,'Graph Data'!BD$187,'PCO Log'!$E$4:$SJ$4,"&lt;&gt;Bid Package",'PCO Log'!$E$7:$SJ$7,"Approved")</f>
        <v>0</v>
      </c>
      <c r="BE247" s="304">
        <f>SUMIFS('PCO Log'!$E71:$SJ71,'PCO Log'!$E$9:$SJ$9,'Graph Data'!BE$187,'PCO Log'!$E$4:$SJ$4,"&lt;&gt;Bid Package",'PCO Log'!$E$7:$SJ$7,"Approved")</f>
        <v>0</v>
      </c>
      <c r="BF247" s="304">
        <f>SUMIFS('PCO Log'!$E71:$SJ71,'PCO Log'!$E$9:$SJ$9,'Graph Data'!BF$187,'PCO Log'!$E$4:$SJ$4,"&lt;&gt;Bid Package",'PCO Log'!$E$7:$SJ$7,"Approved")</f>
        <v>0</v>
      </c>
      <c r="BG247" s="304">
        <f>SUMIFS('PCO Log'!$E71:$SJ71,'PCO Log'!$E$9:$SJ$9,'Graph Data'!BG$187,'PCO Log'!$E$4:$SJ$4,"&lt;&gt;Bid Package",'PCO Log'!$E$7:$SJ$7,"Approved")</f>
        <v>0</v>
      </c>
      <c r="BH247" s="304">
        <f>SUMIFS('PCO Log'!$E71:$SJ71,'PCO Log'!$E$9:$SJ$9,'Graph Data'!BH$187,'PCO Log'!$E$4:$SJ$4,"&lt;&gt;Bid Package",'PCO Log'!$E$7:$SJ$7,"Approved")</f>
        <v>0</v>
      </c>
      <c r="BI247" s="304">
        <f>SUMIFS('PCO Log'!$E71:$SJ71,'PCO Log'!$E$9:$SJ$9,'Graph Data'!BI$187,'PCO Log'!$E$4:$SJ$4,"&lt;&gt;Bid Package",'PCO Log'!$E$7:$SJ$7,"Approved")</f>
        <v>0</v>
      </c>
      <c r="BJ247" s="304">
        <f>SUMIFS('PCO Log'!$E71:$SJ71,'PCO Log'!$E$9:$SJ$9,'Graph Data'!BJ$187,'PCO Log'!$E$4:$SJ$4,"&lt;&gt;Bid Package",'PCO Log'!$E$7:$SJ$7,"Approved")</f>
        <v>0</v>
      </c>
      <c r="BK247" s="304">
        <f>SUMIFS('PCO Log'!$E71:$SJ71,'PCO Log'!$E$9:$SJ$9,'Graph Data'!BK$187,'PCO Log'!$E$4:$SJ$4,"&lt;&gt;Bid Package",'PCO Log'!$E$7:$SJ$7,"Approved")</f>
        <v>0</v>
      </c>
      <c r="BL247" s="304">
        <f>SUMIFS('PCO Log'!$E71:$SJ71,'PCO Log'!$E$9:$SJ$9,'Graph Data'!BL$187,'PCO Log'!$E$4:$SJ$4,"&lt;&gt;Bid Package",'PCO Log'!$E$7:$SJ$7,"Approved")</f>
        <v>0</v>
      </c>
      <c r="BM247" s="304">
        <f>SUMIFS('PCO Log'!$E71:$SJ71,'PCO Log'!$E$9:$SJ$9,'Graph Data'!BM$187,'PCO Log'!$E$4:$SJ$4,"&lt;&gt;Bid Package",'PCO Log'!$E$7:$SJ$7,"Approved")</f>
        <v>0</v>
      </c>
      <c r="BN247" s="304">
        <f>SUMIFS('PCO Log'!$E71:$SJ71,'PCO Log'!$E$9:$SJ$9,'Graph Data'!BN$187,'PCO Log'!$E$4:$SJ$4,"&lt;&gt;Bid Package",'PCO Log'!$E$7:$SJ$7,"Approved")</f>
        <v>0</v>
      </c>
      <c r="BO247" s="304">
        <f>SUMIFS('PCO Log'!$E71:$SJ71,'PCO Log'!$E$9:$SJ$9,'Graph Data'!BO$187,'PCO Log'!$E$4:$SJ$4,"&lt;&gt;Bid Package",'PCO Log'!$E$7:$SJ$7,"Approved")</f>
        <v>0</v>
      </c>
      <c r="BP247" s="304">
        <f>SUMIFS('PCO Log'!$E71:$SJ71,'PCO Log'!$E$9:$SJ$9,'Graph Data'!BP$187,'PCO Log'!$E$4:$SJ$4,"&lt;&gt;Bid Package",'PCO Log'!$E$7:$SJ$7,"Approved")</f>
        <v>0</v>
      </c>
      <c r="BQ247" s="304">
        <f>SUMIFS('PCO Log'!$E71:$SJ71,'PCO Log'!$E$9:$SJ$9,'Graph Data'!BQ$187,'PCO Log'!$E$4:$SJ$4,"&lt;&gt;Bid Package",'PCO Log'!$E$7:$SJ$7,"Approved")</f>
        <v>0</v>
      </c>
      <c r="BR247" s="304">
        <f>SUMIFS('PCO Log'!$E71:$SJ71,'PCO Log'!$E$9:$SJ$9,'Graph Data'!BR$187,'PCO Log'!$E$4:$SJ$4,"&lt;&gt;Bid Package",'PCO Log'!$E$7:$SJ$7,"Approved")</f>
        <v>0</v>
      </c>
      <c r="BS247" s="304">
        <f>SUMIFS('PCO Log'!$E71:$SJ71,'PCO Log'!$E$9:$SJ$9,'Graph Data'!BS$187,'PCO Log'!$E$4:$SJ$4,"&lt;&gt;Bid Package",'PCO Log'!$E$7:$SJ$7,"Approved")</f>
        <v>0</v>
      </c>
      <c r="BT247" s="304">
        <f>SUMIFS('PCO Log'!$E71:$SJ71,'PCO Log'!$E$9:$SJ$9,'Graph Data'!BT$187,'PCO Log'!$E$4:$SJ$4,"&lt;&gt;Bid Package",'PCO Log'!$E$7:$SJ$7,"Approved")</f>
        <v>0</v>
      </c>
      <c r="BU247" s="304">
        <f>SUMIFS('PCO Log'!$E71:$SJ71,'PCO Log'!$E$9:$SJ$9,'Graph Data'!BU$187,'PCO Log'!$E$4:$SJ$4,"&lt;&gt;Bid Package",'PCO Log'!$E$7:$SJ$7,"Approved")</f>
        <v>0</v>
      </c>
      <c r="BV247" s="304">
        <f>SUMIFS('PCO Log'!$E71:$SJ71,'PCO Log'!$E$9:$SJ$9,'Graph Data'!BV$187,'PCO Log'!$E$4:$SJ$4,"&lt;&gt;Bid Package",'PCO Log'!$E$7:$SJ$7,"Approved")</f>
        <v>0</v>
      </c>
      <c r="BW247" s="304">
        <f>SUMIFS('PCO Log'!$E71:$SJ71,'PCO Log'!$E$9:$SJ$9,'Graph Data'!BW$187,'PCO Log'!$E$4:$SJ$4,"&lt;&gt;Bid Package",'PCO Log'!$E$7:$SJ$7,"Approved")</f>
        <v>0</v>
      </c>
      <c r="BX247" s="304">
        <f>SUMIFS('PCO Log'!$E71:$SJ71,'PCO Log'!$E$9:$SJ$9,'Graph Data'!BX$187,'PCO Log'!$E$4:$SJ$4,"&lt;&gt;Bid Package",'PCO Log'!$E$7:$SJ$7,"Approved")</f>
        <v>0</v>
      </c>
    </row>
    <row r="248" spans="1:76" x14ac:dyDescent="0.25">
      <c r="A248" s="303" t="s">
        <v>598</v>
      </c>
      <c r="B248" s="303">
        <f>'PCO Log'!IQ7</f>
        <v>0</v>
      </c>
      <c r="C248" s="303">
        <f>'PCO Log'!IQ4</f>
        <v>0</v>
      </c>
      <c r="D248" s="303" cm="1">
        <f t="array" ref="D248">INDEX('PCO Log'!$E$5:$SJ$5, 1, ROWS('Graph Data'!$D$2:D248))</f>
        <v>0</v>
      </c>
      <c r="E248" s="303">
        <f>'PCO Log'!IQ8</f>
        <v>0</v>
      </c>
      <c r="F248" s="303">
        <f>'PCO Log'!IQ3</f>
        <v>0</v>
      </c>
      <c r="G248" s="304">
        <f>'PCO Log'!IQ10</f>
        <v>0</v>
      </c>
      <c r="H248" s="305">
        <f>'PCO Log'!IQ6</f>
        <v>0</v>
      </c>
      <c r="K248" s="307"/>
      <c r="P248" s="303" t="str">
        <f t="shared" si="4"/>
        <v>Window Coverings</v>
      </c>
      <c r="Q248" s="304">
        <f>SUMIFS('PCO Log'!$E72:$SJ72,'PCO Log'!$E$9:$SJ$9,'Graph Data'!Q$187,'PCO Log'!$E$4:$SJ$4,"&lt;&gt;Bid Package",'PCO Log'!$E$7:$SJ$7,"Approved")</f>
        <v>0</v>
      </c>
      <c r="R248" s="304">
        <f>SUMIFS('PCO Log'!$E72:$SJ72,'PCO Log'!$E$9:$SJ$9,'Graph Data'!R$187,'PCO Log'!$E$4:$SJ$4,"&lt;&gt;Bid Package",'PCO Log'!$E$7:$SJ$7,"Approved")</f>
        <v>0</v>
      </c>
      <c r="S248" s="304">
        <f>SUMIFS('PCO Log'!$E72:$SJ72,'PCO Log'!$E$9:$SJ$9,'Graph Data'!S$187,'PCO Log'!$E$4:$SJ$4,"&lt;&gt;Bid Package",'PCO Log'!$E$7:$SJ$7,"Approved")</f>
        <v>0</v>
      </c>
      <c r="T248" s="304">
        <f>SUMIFS('PCO Log'!$E72:$SJ72,'PCO Log'!$E$9:$SJ$9,'Graph Data'!T$187,'PCO Log'!$E$4:$SJ$4,"&lt;&gt;Bid Package",'PCO Log'!$E$7:$SJ$7,"Approved")</f>
        <v>0</v>
      </c>
      <c r="U248" s="304">
        <f>SUMIFS('PCO Log'!$E72:$SJ72,'PCO Log'!$E$9:$SJ$9,'Graph Data'!U$187,'PCO Log'!$E$4:$SJ$4,"&lt;&gt;Bid Package",'PCO Log'!$E$7:$SJ$7,"Approved")</f>
        <v>0</v>
      </c>
      <c r="V248" s="304">
        <f>SUMIFS('PCO Log'!$E72:$SJ72,'PCO Log'!$E$9:$SJ$9,'Graph Data'!V$187,'PCO Log'!$E$4:$SJ$4,"&lt;&gt;Bid Package",'PCO Log'!$E$7:$SJ$7,"Approved")</f>
        <v>0</v>
      </c>
      <c r="W248" s="304">
        <f>SUMIFS('PCO Log'!$E72:$SJ72,'PCO Log'!$E$9:$SJ$9,'Graph Data'!W$187,'PCO Log'!$E$4:$SJ$4,"&lt;&gt;Bid Package",'PCO Log'!$E$7:$SJ$7,"Approved")</f>
        <v>0</v>
      </c>
      <c r="X248" s="304">
        <f>SUMIFS('PCO Log'!$E72:$SJ72,'PCO Log'!$E$9:$SJ$9,'Graph Data'!X$187,'PCO Log'!$E$4:$SJ$4,"&lt;&gt;Bid Package",'PCO Log'!$E$7:$SJ$7,"Approved")</f>
        <v>0</v>
      </c>
      <c r="Y248" s="304">
        <f>SUMIFS('PCO Log'!$E72:$SJ72,'PCO Log'!$E$9:$SJ$9,'Graph Data'!Y$187,'PCO Log'!$E$4:$SJ$4,"&lt;&gt;Bid Package",'PCO Log'!$E$7:$SJ$7,"Approved")</f>
        <v>0</v>
      </c>
      <c r="Z248" s="304">
        <f>SUMIFS('PCO Log'!$E72:$SJ72,'PCO Log'!$E$9:$SJ$9,'Graph Data'!Z$187,'PCO Log'!$E$4:$SJ$4,"&lt;&gt;Bid Package",'PCO Log'!$E$7:$SJ$7,"Approved")</f>
        <v>0</v>
      </c>
      <c r="AA248" s="304">
        <f>SUMIFS('PCO Log'!$E72:$SJ72,'PCO Log'!$E$9:$SJ$9,'Graph Data'!AA$187,'PCO Log'!$E$4:$SJ$4,"&lt;&gt;Bid Package",'PCO Log'!$E$7:$SJ$7,"Approved")</f>
        <v>0</v>
      </c>
      <c r="AB248" s="304">
        <f>SUMIFS('PCO Log'!$E72:$SJ72,'PCO Log'!$E$9:$SJ$9,'Graph Data'!AB$187,'PCO Log'!$E$4:$SJ$4,"&lt;&gt;Bid Package",'PCO Log'!$E$7:$SJ$7,"Approved")</f>
        <v>0</v>
      </c>
      <c r="AC248" s="304">
        <f>SUMIFS('PCO Log'!$E72:$SJ72,'PCO Log'!$E$9:$SJ$9,'Graph Data'!AC$187,'PCO Log'!$E$4:$SJ$4,"&lt;&gt;Bid Package",'PCO Log'!$E$7:$SJ$7,"Approved")</f>
        <v>0</v>
      </c>
      <c r="AD248" s="304">
        <f>SUMIFS('PCO Log'!$E72:$SJ72,'PCO Log'!$E$9:$SJ$9,'Graph Data'!AD$187,'PCO Log'!$E$4:$SJ$4,"&lt;&gt;Bid Package",'PCO Log'!$E$7:$SJ$7,"Approved")</f>
        <v>0</v>
      </c>
      <c r="AE248" s="304">
        <f>SUMIFS('PCO Log'!$E72:$SJ72,'PCO Log'!$E$9:$SJ$9,'Graph Data'!AE$187,'PCO Log'!$E$4:$SJ$4,"&lt;&gt;Bid Package",'PCO Log'!$E$7:$SJ$7,"Approved")</f>
        <v>0</v>
      </c>
      <c r="AF248" s="304">
        <f>SUMIFS('PCO Log'!$E72:$SJ72,'PCO Log'!$E$9:$SJ$9,'Graph Data'!AF$187,'PCO Log'!$E$4:$SJ$4,"&lt;&gt;Bid Package",'PCO Log'!$E$7:$SJ$7,"Approved")</f>
        <v>0</v>
      </c>
      <c r="AG248" s="304">
        <f>SUMIFS('PCO Log'!$E72:$SJ72,'PCO Log'!$E$9:$SJ$9,'Graph Data'!AG$187,'PCO Log'!$E$4:$SJ$4,"&lt;&gt;Bid Package",'PCO Log'!$E$7:$SJ$7,"Approved")</f>
        <v>0</v>
      </c>
      <c r="AH248" s="304">
        <f>SUMIFS('PCO Log'!$E72:$SJ72,'PCO Log'!$E$9:$SJ$9,'Graph Data'!AH$187,'PCO Log'!$E$4:$SJ$4,"&lt;&gt;Bid Package",'PCO Log'!$E$7:$SJ$7,"Approved")</f>
        <v>0</v>
      </c>
      <c r="AI248" s="304">
        <f>SUMIFS('PCO Log'!$E72:$SJ72,'PCO Log'!$E$9:$SJ$9,'Graph Data'!AI$187,'PCO Log'!$E$4:$SJ$4,"&lt;&gt;Bid Package",'PCO Log'!$E$7:$SJ$7,"Approved")</f>
        <v>0</v>
      </c>
      <c r="AJ248" s="304">
        <f>SUMIFS('PCO Log'!$E72:$SJ72,'PCO Log'!$E$9:$SJ$9,'Graph Data'!AJ$187,'PCO Log'!$E$4:$SJ$4,"&lt;&gt;Bid Package",'PCO Log'!$E$7:$SJ$7,"Approved")</f>
        <v>0</v>
      </c>
      <c r="AK248" s="304">
        <f>SUMIFS('PCO Log'!$E72:$SJ72,'PCO Log'!$E$9:$SJ$9,'Graph Data'!AK$187,'PCO Log'!$E$4:$SJ$4,"&lt;&gt;Bid Package",'PCO Log'!$E$7:$SJ$7,"Approved")</f>
        <v>0</v>
      </c>
      <c r="AL248" s="304">
        <f>SUMIFS('PCO Log'!$E72:$SJ72,'PCO Log'!$E$9:$SJ$9,'Graph Data'!AL$187,'PCO Log'!$E$4:$SJ$4,"&lt;&gt;Bid Package",'PCO Log'!$E$7:$SJ$7,"Approved")</f>
        <v>0</v>
      </c>
      <c r="AM248" s="304">
        <f>SUMIFS('PCO Log'!$E72:$SJ72,'PCO Log'!$E$9:$SJ$9,'Graph Data'!AM$187,'PCO Log'!$E$4:$SJ$4,"&lt;&gt;Bid Package",'PCO Log'!$E$7:$SJ$7,"Approved")</f>
        <v>0</v>
      </c>
      <c r="AN248" s="304">
        <f>SUMIFS('PCO Log'!$E72:$SJ72,'PCO Log'!$E$9:$SJ$9,'Graph Data'!AN$187,'PCO Log'!$E$4:$SJ$4,"&lt;&gt;Bid Package",'PCO Log'!$E$7:$SJ$7,"Approved")</f>
        <v>0</v>
      </c>
      <c r="AO248" s="304">
        <f>SUMIFS('PCO Log'!$E72:$SJ72,'PCO Log'!$E$9:$SJ$9,'Graph Data'!AO$187,'PCO Log'!$E$4:$SJ$4,"&lt;&gt;Bid Package",'PCO Log'!$E$7:$SJ$7,"Approved")</f>
        <v>0</v>
      </c>
      <c r="AP248" s="304">
        <f>SUMIFS('PCO Log'!$E72:$SJ72,'PCO Log'!$E$9:$SJ$9,'Graph Data'!AP$187,'PCO Log'!$E$4:$SJ$4,"&lt;&gt;Bid Package",'PCO Log'!$E$7:$SJ$7,"Approved")</f>
        <v>0</v>
      </c>
      <c r="AQ248" s="304">
        <f>SUMIFS('PCO Log'!$E72:$SJ72,'PCO Log'!$E$9:$SJ$9,'Graph Data'!AQ$187,'PCO Log'!$E$4:$SJ$4,"&lt;&gt;Bid Package",'PCO Log'!$E$7:$SJ$7,"Approved")</f>
        <v>0</v>
      </c>
      <c r="AR248" s="304">
        <f>SUMIFS('PCO Log'!$E72:$SJ72,'PCO Log'!$E$9:$SJ$9,'Graph Data'!AR$187,'PCO Log'!$E$4:$SJ$4,"&lt;&gt;Bid Package",'PCO Log'!$E$7:$SJ$7,"Approved")</f>
        <v>0</v>
      </c>
      <c r="AS248" s="304">
        <f>SUMIFS('PCO Log'!$E72:$SJ72,'PCO Log'!$E$9:$SJ$9,'Graph Data'!AS$187,'PCO Log'!$E$4:$SJ$4,"&lt;&gt;Bid Package",'PCO Log'!$E$7:$SJ$7,"Approved")</f>
        <v>0</v>
      </c>
      <c r="AT248" s="304">
        <f>SUMIFS('PCO Log'!$E72:$SJ72,'PCO Log'!$E$9:$SJ$9,'Graph Data'!AT$187,'PCO Log'!$E$4:$SJ$4,"&lt;&gt;Bid Package",'PCO Log'!$E$7:$SJ$7,"Approved")</f>
        <v>0</v>
      </c>
      <c r="AU248" s="304">
        <f>SUMIFS('PCO Log'!$E72:$SJ72,'PCO Log'!$E$9:$SJ$9,'Graph Data'!AU$187,'PCO Log'!$E$4:$SJ$4,"&lt;&gt;Bid Package",'PCO Log'!$E$7:$SJ$7,"Approved")</f>
        <v>0</v>
      </c>
      <c r="AV248" s="304">
        <f>SUMIFS('PCO Log'!$E72:$SJ72,'PCO Log'!$E$9:$SJ$9,'Graph Data'!AV$187,'PCO Log'!$E$4:$SJ$4,"&lt;&gt;Bid Package",'PCO Log'!$E$7:$SJ$7,"Approved")</f>
        <v>0</v>
      </c>
      <c r="AW248" s="304">
        <f>SUMIFS('PCO Log'!$E72:$SJ72,'PCO Log'!$E$9:$SJ$9,'Graph Data'!AW$187,'PCO Log'!$E$4:$SJ$4,"&lt;&gt;Bid Package",'PCO Log'!$E$7:$SJ$7,"Approved")</f>
        <v>0</v>
      </c>
      <c r="AX248" s="304">
        <f>SUMIFS('PCO Log'!$E72:$SJ72,'PCO Log'!$E$9:$SJ$9,'Graph Data'!AX$187,'PCO Log'!$E$4:$SJ$4,"&lt;&gt;Bid Package",'PCO Log'!$E$7:$SJ$7,"Approved")</f>
        <v>0</v>
      </c>
      <c r="AY248" s="304">
        <f>SUMIFS('PCO Log'!$E72:$SJ72,'PCO Log'!$E$9:$SJ$9,'Graph Data'!AY$187,'PCO Log'!$E$4:$SJ$4,"&lt;&gt;Bid Package",'PCO Log'!$E$7:$SJ$7,"Approved")</f>
        <v>0</v>
      </c>
      <c r="AZ248" s="304">
        <f>SUMIFS('PCO Log'!$E72:$SJ72,'PCO Log'!$E$9:$SJ$9,'Graph Data'!AZ$187,'PCO Log'!$E$4:$SJ$4,"&lt;&gt;Bid Package",'PCO Log'!$E$7:$SJ$7,"Approved")</f>
        <v>0</v>
      </c>
      <c r="BA248" s="304">
        <f>SUMIFS('PCO Log'!$E72:$SJ72,'PCO Log'!$E$9:$SJ$9,'Graph Data'!BA$187,'PCO Log'!$E$4:$SJ$4,"&lt;&gt;Bid Package",'PCO Log'!$E$7:$SJ$7,"Approved")</f>
        <v>0</v>
      </c>
      <c r="BB248" s="304">
        <f>SUMIFS('PCO Log'!$E72:$SJ72,'PCO Log'!$E$9:$SJ$9,'Graph Data'!BB$187,'PCO Log'!$E$4:$SJ$4,"&lt;&gt;Bid Package",'PCO Log'!$E$7:$SJ$7,"Approved")</f>
        <v>0</v>
      </c>
      <c r="BC248" s="304">
        <f>SUMIFS('PCO Log'!$E72:$SJ72,'PCO Log'!$E$9:$SJ$9,'Graph Data'!BC$187,'PCO Log'!$E$4:$SJ$4,"&lt;&gt;Bid Package",'PCO Log'!$E$7:$SJ$7,"Approved")</f>
        <v>0</v>
      </c>
      <c r="BD248" s="304">
        <f>SUMIFS('PCO Log'!$E72:$SJ72,'PCO Log'!$E$9:$SJ$9,'Graph Data'!BD$187,'PCO Log'!$E$4:$SJ$4,"&lt;&gt;Bid Package",'PCO Log'!$E$7:$SJ$7,"Approved")</f>
        <v>0</v>
      </c>
      <c r="BE248" s="304">
        <f>SUMIFS('PCO Log'!$E72:$SJ72,'PCO Log'!$E$9:$SJ$9,'Graph Data'!BE$187,'PCO Log'!$E$4:$SJ$4,"&lt;&gt;Bid Package",'PCO Log'!$E$7:$SJ$7,"Approved")</f>
        <v>0</v>
      </c>
      <c r="BF248" s="304">
        <f>SUMIFS('PCO Log'!$E72:$SJ72,'PCO Log'!$E$9:$SJ$9,'Graph Data'!BF$187,'PCO Log'!$E$4:$SJ$4,"&lt;&gt;Bid Package",'PCO Log'!$E$7:$SJ$7,"Approved")</f>
        <v>0</v>
      </c>
      <c r="BG248" s="304">
        <f>SUMIFS('PCO Log'!$E72:$SJ72,'PCO Log'!$E$9:$SJ$9,'Graph Data'!BG$187,'PCO Log'!$E$4:$SJ$4,"&lt;&gt;Bid Package",'PCO Log'!$E$7:$SJ$7,"Approved")</f>
        <v>0</v>
      </c>
      <c r="BH248" s="304">
        <f>SUMIFS('PCO Log'!$E72:$SJ72,'PCO Log'!$E$9:$SJ$9,'Graph Data'!BH$187,'PCO Log'!$E$4:$SJ$4,"&lt;&gt;Bid Package",'PCO Log'!$E$7:$SJ$7,"Approved")</f>
        <v>0</v>
      </c>
      <c r="BI248" s="304">
        <f>SUMIFS('PCO Log'!$E72:$SJ72,'PCO Log'!$E$9:$SJ$9,'Graph Data'!BI$187,'PCO Log'!$E$4:$SJ$4,"&lt;&gt;Bid Package",'PCO Log'!$E$7:$SJ$7,"Approved")</f>
        <v>0</v>
      </c>
      <c r="BJ248" s="304">
        <f>SUMIFS('PCO Log'!$E72:$SJ72,'PCO Log'!$E$9:$SJ$9,'Graph Data'!BJ$187,'PCO Log'!$E$4:$SJ$4,"&lt;&gt;Bid Package",'PCO Log'!$E$7:$SJ$7,"Approved")</f>
        <v>0</v>
      </c>
      <c r="BK248" s="304">
        <f>SUMIFS('PCO Log'!$E72:$SJ72,'PCO Log'!$E$9:$SJ$9,'Graph Data'!BK$187,'PCO Log'!$E$4:$SJ$4,"&lt;&gt;Bid Package",'PCO Log'!$E$7:$SJ$7,"Approved")</f>
        <v>0</v>
      </c>
      <c r="BL248" s="304">
        <f>SUMIFS('PCO Log'!$E72:$SJ72,'PCO Log'!$E$9:$SJ$9,'Graph Data'!BL$187,'PCO Log'!$E$4:$SJ$4,"&lt;&gt;Bid Package",'PCO Log'!$E$7:$SJ$7,"Approved")</f>
        <v>0</v>
      </c>
      <c r="BM248" s="304">
        <f>SUMIFS('PCO Log'!$E72:$SJ72,'PCO Log'!$E$9:$SJ$9,'Graph Data'!BM$187,'PCO Log'!$E$4:$SJ$4,"&lt;&gt;Bid Package",'PCO Log'!$E$7:$SJ$7,"Approved")</f>
        <v>0</v>
      </c>
      <c r="BN248" s="304">
        <f>SUMIFS('PCO Log'!$E72:$SJ72,'PCO Log'!$E$9:$SJ$9,'Graph Data'!BN$187,'PCO Log'!$E$4:$SJ$4,"&lt;&gt;Bid Package",'PCO Log'!$E$7:$SJ$7,"Approved")</f>
        <v>0</v>
      </c>
      <c r="BO248" s="304">
        <f>SUMIFS('PCO Log'!$E72:$SJ72,'PCO Log'!$E$9:$SJ$9,'Graph Data'!BO$187,'PCO Log'!$E$4:$SJ$4,"&lt;&gt;Bid Package",'PCO Log'!$E$7:$SJ$7,"Approved")</f>
        <v>0</v>
      </c>
      <c r="BP248" s="304">
        <f>SUMIFS('PCO Log'!$E72:$SJ72,'PCO Log'!$E$9:$SJ$9,'Graph Data'!BP$187,'PCO Log'!$E$4:$SJ$4,"&lt;&gt;Bid Package",'PCO Log'!$E$7:$SJ$7,"Approved")</f>
        <v>0</v>
      </c>
      <c r="BQ248" s="304">
        <f>SUMIFS('PCO Log'!$E72:$SJ72,'PCO Log'!$E$9:$SJ$9,'Graph Data'!BQ$187,'PCO Log'!$E$4:$SJ$4,"&lt;&gt;Bid Package",'PCO Log'!$E$7:$SJ$7,"Approved")</f>
        <v>0</v>
      </c>
      <c r="BR248" s="304">
        <f>SUMIFS('PCO Log'!$E72:$SJ72,'PCO Log'!$E$9:$SJ$9,'Graph Data'!BR$187,'PCO Log'!$E$4:$SJ$4,"&lt;&gt;Bid Package",'PCO Log'!$E$7:$SJ$7,"Approved")</f>
        <v>0</v>
      </c>
      <c r="BS248" s="304">
        <f>SUMIFS('PCO Log'!$E72:$SJ72,'PCO Log'!$E$9:$SJ$9,'Graph Data'!BS$187,'PCO Log'!$E$4:$SJ$4,"&lt;&gt;Bid Package",'PCO Log'!$E$7:$SJ$7,"Approved")</f>
        <v>0</v>
      </c>
      <c r="BT248" s="304">
        <f>SUMIFS('PCO Log'!$E72:$SJ72,'PCO Log'!$E$9:$SJ$9,'Graph Data'!BT$187,'PCO Log'!$E$4:$SJ$4,"&lt;&gt;Bid Package",'PCO Log'!$E$7:$SJ$7,"Approved")</f>
        <v>0</v>
      </c>
      <c r="BU248" s="304">
        <f>SUMIFS('PCO Log'!$E72:$SJ72,'PCO Log'!$E$9:$SJ$9,'Graph Data'!BU$187,'PCO Log'!$E$4:$SJ$4,"&lt;&gt;Bid Package",'PCO Log'!$E$7:$SJ$7,"Approved")</f>
        <v>0</v>
      </c>
      <c r="BV248" s="304">
        <f>SUMIFS('PCO Log'!$E72:$SJ72,'PCO Log'!$E$9:$SJ$9,'Graph Data'!BV$187,'PCO Log'!$E$4:$SJ$4,"&lt;&gt;Bid Package",'PCO Log'!$E$7:$SJ$7,"Approved")</f>
        <v>0</v>
      </c>
      <c r="BW248" s="304">
        <f>SUMIFS('PCO Log'!$E72:$SJ72,'PCO Log'!$E$9:$SJ$9,'Graph Data'!BW$187,'PCO Log'!$E$4:$SJ$4,"&lt;&gt;Bid Package",'PCO Log'!$E$7:$SJ$7,"Approved")</f>
        <v>0</v>
      </c>
      <c r="BX248" s="304">
        <f>SUMIFS('PCO Log'!$E72:$SJ72,'PCO Log'!$E$9:$SJ$9,'Graph Data'!BX$187,'PCO Log'!$E$4:$SJ$4,"&lt;&gt;Bid Package",'PCO Log'!$E$7:$SJ$7,"Approved")</f>
        <v>0</v>
      </c>
    </row>
    <row r="249" spans="1:76" x14ac:dyDescent="0.25">
      <c r="A249" s="303" t="s">
        <v>599</v>
      </c>
      <c r="B249" s="303">
        <f>'PCO Log'!IR7</f>
        <v>0</v>
      </c>
      <c r="C249" s="303">
        <f>'PCO Log'!IR4</f>
        <v>0</v>
      </c>
      <c r="D249" s="303" cm="1">
        <f t="array" ref="D249">INDEX('PCO Log'!$E$5:$SJ$5, 1, ROWS('Graph Data'!$D$2:D249))</f>
        <v>0</v>
      </c>
      <c r="E249" s="303">
        <f>'PCO Log'!IR8</f>
        <v>0</v>
      </c>
      <c r="F249" s="303">
        <f>'PCO Log'!IR3</f>
        <v>0</v>
      </c>
      <c r="G249" s="304">
        <f>'PCO Log'!IR10</f>
        <v>0</v>
      </c>
      <c r="H249" s="305">
        <f>'PCO Log'!IR6</f>
        <v>0</v>
      </c>
      <c r="K249" s="307"/>
      <c r="P249" s="303" t="str">
        <f t="shared" si="4"/>
        <v>Fixed Seating</v>
      </c>
      <c r="Q249" s="304">
        <f>SUMIFS('PCO Log'!$E73:$SJ73,'PCO Log'!$E$9:$SJ$9,'Graph Data'!Q$187,'PCO Log'!$E$4:$SJ$4,"&lt;&gt;Bid Package",'PCO Log'!$E$7:$SJ$7,"Approved")</f>
        <v>0</v>
      </c>
      <c r="R249" s="304">
        <f>SUMIFS('PCO Log'!$E73:$SJ73,'PCO Log'!$E$9:$SJ$9,'Graph Data'!R$187,'PCO Log'!$E$4:$SJ$4,"&lt;&gt;Bid Package",'PCO Log'!$E$7:$SJ$7,"Approved")</f>
        <v>0</v>
      </c>
      <c r="S249" s="304">
        <f>SUMIFS('PCO Log'!$E73:$SJ73,'PCO Log'!$E$9:$SJ$9,'Graph Data'!S$187,'PCO Log'!$E$4:$SJ$4,"&lt;&gt;Bid Package",'PCO Log'!$E$7:$SJ$7,"Approved")</f>
        <v>0</v>
      </c>
      <c r="T249" s="304">
        <f>SUMIFS('PCO Log'!$E73:$SJ73,'PCO Log'!$E$9:$SJ$9,'Graph Data'!T$187,'PCO Log'!$E$4:$SJ$4,"&lt;&gt;Bid Package",'PCO Log'!$E$7:$SJ$7,"Approved")</f>
        <v>0</v>
      </c>
      <c r="U249" s="304">
        <f>SUMIFS('PCO Log'!$E73:$SJ73,'PCO Log'!$E$9:$SJ$9,'Graph Data'!U$187,'PCO Log'!$E$4:$SJ$4,"&lt;&gt;Bid Package",'PCO Log'!$E$7:$SJ$7,"Approved")</f>
        <v>0</v>
      </c>
      <c r="V249" s="304">
        <f>SUMIFS('PCO Log'!$E73:$SJ73,'PCO Log'!$E$9:$SJ$9,'Graph Data'!V$187,'PCO Log'!$E$4:$SJ$4,"&lt;&gt;Bid Package",'PCO Log'!$E$7:$SJ$7,"Approved")</f>
        <v>0</v>
      </c>
      <c r="W249" s="304">
        <f>SUMIFS('PCO Log'!$E73:$SJ73,'PCO Log'!$E$9:$SJ$9,'Graph Data'!W$187,'PCO Log'!$E$4:$SJ$4,"&lt;&gt;Bid Package",'PCO Log'!$E$7:$SJ$7,"Approved")</f>
        <v>0</v>
      </c>
      <c r="X249" s="304">
        <f>SUMIFS('PCO Log'!$E73:$SJ73,'PCO Log'!$E$9:$SJ$9,'Graph Data'!X$187,'PCO Log'!$E$4:$SJ$4,"&lt;&gt;Bid Package",'PCO Log'!$E$7:$SJ$7,"Approved")</f>
        <v>0</v>
      </c>
      <c r="Y249" s="304">
        <f>SUMIFS('PCO Log'!$E73:$SJ73,'PCO Log'!$E$9:$SJ$9,'Graph Data'!Y$187,'PCO Log'!$E$4:$SJ$4,"&lt;&gt;Bid Package",'PCO Log'!$E$7:$SJ$7,"Approved")</f>
        <v>0</v>
      </c>
      <c r="Z249" s="304">
        <f>SUMIFS('PCO Log'!$E73:$SJ73,'PCO Log'!$E$9:$SJ$9,'Graph Data'!Z$187,'PCO Log'!$E$4:$SJ$4,"&lt;&gt;Bid Package",'PCO Log'!$E$7:$SJ$7,"Approved")</f>
        <v>0</v>
      </c>
      <c r="AA249" s="304">
        <f>SUMIFS('PCO Log'!$E73:$SJ73,'PCO Log'!$E$9:$SJ$9,'Graph Data'!AA$187,'PCO Log'!$E$4:$SJ$4,"&lt;&gt;Bid Package",'PCO Log'!$E$7:$SJ$7,"Approved")</f>
        <v>0</v>
      </c>
      <c r="AB249" s="304">
        <f>SUMIFS('PCO Log'!$E73:$SJ73,'PCO Log'!$E$9:$SJ$9,'Graph Data'!AB$187,'PCO Log'!$E$4:$SJ$4,"&lt;&gt;Bid Package",'PCO Log'!$E$7:$SJ$7,"Approved")</f>
        <v>0</v>
      </c>
      <c r="AC249" s="304">
        <f>SUMIFS('PCO Log'!$E73:$SJ73,'PCO Log'!$E$9:$SJ$9,'Graph Data'!AC$187,'PCO Log'!$E$4:$SJ$4,"&lt;&gt;Bid Package",'PCO Log'!$E$7:$SJ$7,"Approved")</f>
        <v>0</v>
      </c>
      <c r="AD249" s="304">
        <f>SUMIFS('PCO Log'!$E73:$SJ73,'PCO Log'!$E$9:$SJ$9,'Graph Data'!AD$187,'PCO Log'!$E$4:$SJ$4,"&lt;&gt;Bid Package",'PCO Log'!$E$7:$SJ$7,"Approved")</f>
        <v>0</v>
      </c>
      <c r="AE249" s="304">
        <f>SUMIFS('PCO Log'!$E73:$SJ73,'PCO Log'!$E$9:$SJ$9,'Graph Data'!AE$187,'PCO Log'!$E$4:$SJ$4,"&lt;&gt;Bid Package",'PCO Log'!$E$7:$SJ$7,"Approved")</f>
        <v>0</v>
      </c>
      <c r="AF249" s="304">
        <f>SUMIFS('PCO Log'!$E73:$SJ73,'PCO Log'!$E$9:$SJ$9,'Graph Data'!AF$187,'PCO Log'!$E$4:$SJ$4,"&lt;&gt;Bid Package",'PCO Log'!$E$7:$SJ$7,"Approved")</f>
        <v>0</v>
      </c>
      <c r="AG249" s="304">
        <f>SUMIFS('PCO Log'!$E73:$SJ73,'PCO Log'!$E$9:$SJ$9,'Graph Data'!AG$187,'PCO Log'!$E$4:$SJ$4,"&lt;&gt;Bid Package",'PCO Log'!$E$7:$SJ$7,"Approved")</f>
        <v>0</v>
      </c>
      <c r="AH249" s="304">
        <f>SUMIFS('PCO Log'!$E73:$SJ73,'PCO Log'!$E$9:$SJ$9,'Graph Data'!AH$187,'PCO Log'!$E$4:$SJ$4,"&lt;&gt;Bid Package",'PCO Log'!$E$7:$SJ$7,"Approved")</f>
        <v>0</v>
      </c>
      <c r="AI249" s="304">
        <f>SUMIFS('PCO Log'!$E73:$SJ73,'PCO Log'!$E$9:$SJ$9,'Graph Data'!AI$187,'PCO Log'!$E$4:$SJ$4,"&lt;&gt;Bid Package",'PCO Log'!$E$7:$SJ$7,"Approved")</f>
        <v>0</v>
      </c>
      <c r="AJ249" s="304">
        <f>SUMIFS('PCO Log'!$E73:$SJ73,'PCO Log'!$E$9:$SJ$9,'Graph Data'!AJ$187,'PCO Log'!$E$4:$SJ$4,"&lt;&gt;Bid Package",'PCO Log'!$E$7:$SJ$7,"Approved")</f>
        <v>0</v>
      </c>
      <c r="AK249" s="304">
        <f>SUMIFS('PCO Log'!$E73:$SJ73,'PCO Log'!$E$9:$SJ$9,'Graph Data'!AK$187,'PCO Log'!$E$4:$SJ$4,"&lt;&gt;Bid Package",'PCO Log'!$E$7:$SJ$7,"Approved")</f>
        <v>0</v>
      </c>
      <c r="AL249" s="304">
        <f>SUMIFS('PCO Log'!$E73:$SJ73,'PCO Log'!$E$9:$SJ$9,'Graph Data'!AL$187,'PCO Log'!$E$4:$SJ$4,"&lt;&gt;Bid Package",'PCO Log'!$E$7:$SJ$7,"Approved")</f>
        <v>0</v>
      </c>
      <c r="AM249" s="304">
        <f>SUMIFS('PCO Log'!$E73:$SJ73,'PCO Log'!$E$9:$SJ$9,'Graph Data'!AM$187,'PCO Log'!$E$4:$SJ$4,"&lt;&gt;Bid Package",'PCO Log'!$E$7:$SJ$7,"Approved")</f>
        <v>0</v>
      </c>
      <c r="AN249" s="304">
        <f>SUMIFS('PCO Log'!$E73:$SJ73,'PCO Log'!$E$9:$SJ$9,'Graph Data'!AN$187,'PCO Log'!$E$4:$SJ$4,"&lt;&gt;Bid Package",'PCO Log'!$E$7:$SJ$7,"Approved")</f>
        <v>0</v>
      </c>
      <c r="AO249" s="304">
        <f>SUMIFS('PCO Log'!$E73:$SJ73,'PCO Log'!$E$9:$SJ$9,'Graph Data'!AO$187,'PCO Log'!$E$4:$SJ$4,"&lt;&gt;Bid Package",'PCO Log'!$E$7:$SJ$7,"Approved")</f>
        <v>0</v>
      </c>
      <c r="AP249" s="304">
        <f>SUMIFS('PCO Log'!$E73:$SJ73,'PCO Log'!$E$9:$SJ$9,'Graph Data'!AP$187,'PCO Log'!$E$4:$SJ$4,"&lt;&gt;Bid Package",'PCO Log'!$E$7:$SJ$7,"Approved")</f>
        <v>0</v>
      </c>
      <c r="AQ249" s="304">
        <f>SUMIFS('PCO Log'!$E73:$SJ73,'PCO Log'!$E$9:$SJ$9,'Graph Data'!AQ$187,'PCO Log'!$E$4:$SJ$4,"&lt;&gt;Bid Package",'PCO Log'!$E$7:$SJ$7,"Approved")</f>
        <v>0</v>
      </c>
      <c r="AR249" s="304">
        <f>SUMIFS('PCO Log'!$E73:$SJ73,'PCO Log'!$E$9:$SJ$9,'Graph Data'!AR$187,'PCO Log'!$E$4:$SJ$4,"&lt;&gt;Bid Package",'PCO Log'!$E$7:$SJ$7,"Approved")</f>
        <v>0</v>
      </c>
      <c r="AS249" s="304">
        <f>SUMIFS('PCO Log'!$E73:$SJ73,'PCO Log'!$E$9:$SJ$9,'Graph Data'!AS$187,'PCO Log'!$E$4:$SJ$4,"&lt;&gt;Bid Package",'PCO Log'!$E$7:$SJ$7,"Approved")</f>
        <v>0</v>
      </c>
      <c r="AT249" s="304">
        <f>SUMIFS('PCO Log'!$E73:$SJ73,'PCO Log'!$E$9:$SJ$9,'Graph Data'!AT$187,'PCO Log'!$E$4:$SJ$4,"&lt;&gt;Bid Package",'PCO Log'!$E$7:$SJ$7,"Approved")</f>
        <v>0</v>
      </c>
      <c r="AU249" s="304">
        <f>SUMIFS('PCO Log'!$E73:$SJ73,'PCO Log'!$E$9:$SJ$9,'Graph Data'!AU$187,'PCO Log'!$E$4:$SJ$4,"&lt;&gt;Bid Package",'PCO Log'!$E$7:$SJ$7,"Approved")</f>
        <v>0</v>
      </c>
      <c r="AV249" s="304">
        <f>SUMIFS('PCO Log'!$E73:$SJ73,'PCO Log'!$E$9:$SJ$9,'Graph Data'!AV$187,'PCO Log'!$E$4:$SJ$4,"&lt;&gt;Bid Package",'PCO Log'!$E$7:$SJ$7,"Approved")</f>
        <v>0</v>
      </c>
      <c r="AW249" s="304">
        <f>SUMIFS('PCO Log'!$E73:$SJ73,'PCO Log'!$E$9:$SJ$9,'Graph Data'!AW$187,'PCO Log'!$E$4:$SJ$4,"&lt;&gt;Bid Package",'PCO Log'!$E$7:$SJ$7,"Approved")</f>
        <v>0</v>
      </c>
      <c r="AX249" s="304">
        <f>SUMIFS('PCO Log'!$E73:$SJ73,'PCO Log'!$E$9:$SJ$9,'Graph Data'!AX$187,'PCO Log'!$E$4:$SJ$4,"&lt;&gt;Bid Package",'PCO Log'!$E$7:$SJ$7,"Approved")</f>
        <v>0</v>
      </c>
      <c r="AY249" s="304">
        <f>SUMIFS('PCO Log'!$E73:$SJ73,'PCO Log'!$E$9:$SJ$9,'Graph Data'!AY$187,'PCO Log'!$E$4:$SJ$4,"&lt;&gt;Bid Package",'PCO Log'!$E$7:$SJ$7,"Approved")</f>
        <v>0</v>
      </c>
      <c r="AZ249" s="304">
        <f>SUMIFS('PCO Log'!$E73:$SJ73,'PCO Log'!$E$9:$SJ$9,'Graph Data'!AZ$187,'PCO Log'!$E$4:$SJ$4,"&lt;&gt;Bid Package",'PCO Log'!$E$7:$SJ$7,"Approved")</f>
        <v>0</v>
      </c>
      <c r="BA249" s="304">
        <f>SUMIFS('PCO Log'!$E73:$SJ73,'PCO Log'!$E$9:$SJ$9,'Graph Data'!BA$187,'PCO Log'!$E$4:$SJ$4,"&lt;&gt;Bid Package",'PCO Log'!$E$7:$SJ$7,"Approved")</f>
        <v>0</v>
      </c>
      <c r="BB249" s="304">
        <f>SUMIFS('PCO Log'!$E73:$SJ73,'PCO Log'!$E$9:$SJ$9,'Graph Data'!BB$187,'PCO Log'!$E$4:$SJ$4,"&lt;&gt;Bid Package",'PCO Log'!$E$7:$SJ$7,"Approved")</f>
        <v>0</v>
      </c>
      <c r="BC249" s="304">
        <f>SUMIFS('PCO Log'!$E73:$SJ73,'PCO Log'!$E$9:$SJ$9,'Graph Data'!BC$187,'PCO Log'!$E$4:$SJ$4,"&lt;&gt;Bid Package",'PCO Log'!$E$7:$SJ$7,"Approved")</f>
        <v>0</v>
      </c>
      <c r="BD249" s="304">
        <f>SUMIFS('PCO Log'!$E73:$SJ73,'PCO Log'!$E$9:$SJ$9,'Graph Data'!BD$187,'PCO Log'!$E$4:$SJ$4,"&lt;&gt;Bid Package",'PCO Log'!$E$7:$SJ$7,"Approved")</f>
        <v>0</v>
      </c>
      <c r="BE249" s="304">
        <f>SUMIFS('PCO Log'!$E73:$SJ73,'PCO Log'!$E$9:$SJ$9,'Graph Data'!BE$187,'PCO Log'!$E$4:$SJ$4,"&lt;&gt;Bid Package",'PCO Log'!$E$7:$SJ$7,"Approved")</f>
        <v>0</v>
      </c>
      <c r="BF249" s="304">
        <f>SUMIFS('PCO Log'!$E73:$SJ73,'PCO Log'!$E$9:$SJ$9,'Graph Data'!BF$187,'PCO Log'!$E$4:$SJ$4,"&lt;&gt;Bid Package",'PCO Log'!$E$7:$SJ$7,"Approved")</f>
        <v>0</v>
      </c>
      <c r="BG249" s="304">
        <f>SUMIFS('PCO Log'!$E73:$SJ73,'PCO Log'!$E$9:$SJ$9,'Graph Data'!BG$187,'PCO Log'!$E$4:$SJ$4,"&lt;&gt;Bid Package",'PCO Log'!$E$7:$SJ$7,"Approved")</f>
        <v>0</v>
      </c>
      <c r="BH249" s="304">
        <f>SUMIFS('PCO Log'!$E73:$SJ73,'PCO Log'!$E$9:$SJ$9,'Graph Data'!BH$187,'PCO Log'!$E$4:$SJ$4,"&lt;&gt;Bid Package",'PCO Log'!$E$7:$SJ$7,"Approved")</f>
        <v>0</v>
      </c>
      <c r="BI249" s="304">
        <f>SUMIFS('PCO Log'!$E73:$SJ73,'PCO Log'!$E$9:$SJ$9,'Graph Data'!BI$187,'PCO Log'!$E$4:$SJ$4,"&lt;&gt;Bid Package",'PCO Log'!$E$7:$SJ$7,"Approved")</f>
        <v>0</v>
      </c>
      <c r="BJ249" s="304">
        <f>SUMIFS('PCO Log'!$E73:$SJ73,'PCO Log'!$E$9:$SJ$9,'Graph Data'!BJ$187,'PCO Log'!$E$4:$SJ$4,"&lt;&gt;Bid Package",'PCO Log'!$E$7:$SJ$7,"Approved")</f>
        <v>0</v>
      </c>
      <c r="BK249" s="304">
        <f>SUMIFS('PCO Log'!$E73:$SJ73,'PCO Log'!$E$9:$SJ$9,'Graph Data'!BK$187,'PCO Log'!$E$4:$SJ$4,"&lt;&gt;Bid Package",'PCO Log'!$E$7:$SJ$7,"Approved")</f>
        <v>0</v>
      </c>
      <c r="BL249" s="304">
        <f>SUMIFS('PCO Log'!$E73:$SJ73,'PCO Log'!$E$9:$SJ$9,'Graph Data'!BL$187,'PCO Log'!$E$4:$SJ$4,"&lt;&gt;Bid Package",'PCO Log'!$E$7:$SJ$7,"Approved")</f>
        <v>0</v>
      </c>
      <c r="BM249" s="304">
        <f>SUMIFS('PCO Log'!$E73:$SJ73,'PCO Log'!$E$9:$SJ$9,'Graph Data'!BM$187,'PCO Log'!$E$4:$SJ$4,"&lt;&gt;Bid Package",'PCO Log'!$E$7:$SJ$7,"Approved")</f>
        <v>0</v>
      </c>
      <c r="BN249" s="304">
        <f>SUMIFS('PCO Log'!$E73:$SJ73,'PCO Log'!$E$9:$SJ$9,'Graph Data'!BN$187,'PCO Log'!$E$4:$SJ$4,"&lt;&gt;Bid Package",'PCO Log'!$E$7:$SJ$7,"Approved")</f>
        <v>0</v>
      </c>
      <c r="BO249" s="304">
        <f>SUMIFS('PCO Log'!$E73:$SJ73,'PCO Log'!$E$9:$SJ$9,'Graph Data'!BO$187,'PCO Log'!$E$4:$SJ$4,"&lt;&gt;Bid Package",'PCO Log'!$E$7:$SJ$7,"Approved")</f>
        <v>0</v>
      </c>
      <c r="BP249" s="304">
        <f>SUMIFS('PCO Log'!$E73:$SJ73,'PCO Log'!$E$9:$SJ$9,'Graph Data'!BP$187,'PCO Log'!$E$4:$SJ$4,"&lt;&gt;Bid Package",'PCO Log'!$E$7:$SJ$7,"Approved")</f>
        <v>0</v>
      </c>
      <c r="BQ249" s="304">
        <f>SUMIFS('PCO Log'!$E73:$SJ73,'PCO Log'!$E$9:$SJ$9,'Graph Data'!BQ$187,'PCO Log'!$E$4:$SJ$4,"&lt;&gt;Bid Package",'PCO Log'!$E$7:$SJ$7,"Approved")</f>
        <v>0</v>
      </c>
      <c r="BR249" s="304">
        <f>SUMIFS('PCO Log'!$E73:$SJ73,'PCO Log'!$E$9:$SJ$9,'Graph Data'!BR$187,'PCO Log'!$E$4:$SJ$4,"&lt;&gt;Bid Package",'PCO Log'!$E$7:$SJ$7,"Approved")</f>
        <v>0</v>
      </c>
      <c r="BS249" s="304">
        <f>SUMIFS('PCO Log'!$E73:$SJ73,'PCO Log'!$E$9:$SJ$9,'Graph Data'!BS$187,'PCO Log'!$E$4:$SJ$4,"&lt;&gt;Bid Package",'PCO Log'!$E$7:$SJ$7,"Approved")</f>
        <v>0</v>
      </c>
      <c r="BT249" s="304">
        <f>SUMIFS('PCO Log'!$E73:$SJ73,'PCO Log'!$E$9:$SJ$9,'Graph Data'!BT$187,'PCO Log'!$E$4:$SJ$4,"&lt;&gt;Bid Package",'PCO Log'!$E$7:$SJ$7,"Approved")</f>
        <v>0</v>
      </c>
      <c r="BU249" s="304">
        <f>SUMIFS('PCO Log'!$E73:$SJ73,'PCO Log'!$E$9:$SJ$9,'Graph Data'!BU$187,'PCO Log'!$E$4:$SJ$4,"&lt;&gt;Bid Package",'PCO Log'!$E$7:$SJ$7,"Approved")</f>
        <v>0</v>
      </c>
      <c r="BV249" s="304">
        <f>SUMIFS('PCO Log'!$E73:$SJ73,'PCO Log'!$E$9:$SJ$9,'Graph Data'!BV$187,'PCO Log'!$E$4:$SJ$4,"&lt;&gt;Bid Package",'PCO Log'!$E$7:$SJ$7,"Approved")</f>
        <v>0</v>
      </c>
      <c r="BW249" s="304">
        <f>SUMIFS('PCO Log'!$E73:$SJ73,'PCO Log'!$E$9:$SJ$9,'Graph Data'!BW$187,'PCO Log'!$E$4:$SJ$4,"&lt;&gt;Bid Package",'PCO Log'!$E$7:$SJ$7,"Approved")</f>
        <v>0</v>
      </c>
      <c r="BX249" s="304">
        <f>SUMIFS('PCO Log'!$E73:$SJ73,'PCO Log'!$E$9:$SJ$9,'Graph Data'!BX$187,'PCO Log'!$E$4:$SJ$4,"&lt;&gt;Bid Package",'PCO Log'!$E$7:$SJ$7,"Approved")</f>
        <v>0</v>
      </c>
    </row>
    <row r="250" spans="1:76" x14ac:dyDescent="0.25">
      <c r="A250" s="303" t="s">
        <v>600</v>
      </c>
      <c r="B250" s="303">
        <f>'PCO Log'!IS7</f>
        <v>0</v>
      </c>
      <c r="C250" s="303">
        <f>'PCO Log'!IS4</f>
        <v>0</v>
      </c>
      <c r="D250" s="303" cm="1">
        <f t="array" ref="D250">INDEX('PCO Log'!$E$5:$SJ$5, 1, ROWS('Graph Data'!$D$2:D250))</f>
        <v>0</v>
      </c>
      <c r="E250" s="303">
        <f>'PCO Log'!IS8</f>
        <v>0</v>
      </c>
      <c r="F250" s="303">
        <f>'PCO Log'!IS3</f>
        <v>0</v>
      </c>
      <c r="G250" s="304">
        <f>'PCO Log'!IS10</f>
        <v>0</v>
      </c>
      <c r="H250" s="305">
        <f>'PCO Log'!IS6</f>
        <v>0</v>
      </c>
      <c r="K250" s="307"/>
      <c r="P250" s="303" t="str">
        <f t="shared" si="4"/>
        <v>Special Construction (Other)</v>
      </c>
      <c r="Q250" s="304">
        <f>SUMIFS('PCO Log'!$E74:$SJ74,'PCO Log'!$E$9:$SJ$9,'Graph Data'!Q$187,'PCO Log'!$E$4:$SJ$4,"&lt;&gt;Bid Package",'PCO Log'!$E$7:$SJ$7,"Approved")</f>
        <v>0</v>
      </c>
      <c r="R250" s="304">
        <f>SUMIFS('PCO Log'!$E74:$SJ74,'PCO Log'!$E$9:$SJ$9,'Graph Data'!R$187,'PCO Log'!$E$4:$SJ$4,"&lt;&gt;Bid Package",'PCO Log'!$E$7:$SJ$7,"Approved")</f>
        <v>0</v>
      </c>
      <c r="S250" s="304">
        <f>SUMIFS('PCO Log'!$E74:$SJ74,'PCO Log'!$E$9:$SJ$9,'Graph Data'!S$187,'PCO Log'!$E$4:$SJ$4,"&lt;&gt;Bid Package",'PCO Log'!$E$7:$SJ$7,"Approved")</f>
        <v>0</v>
      </c>
      <c r="T250" s="304">
        <f>SUMIFS('PCO Log'!$E74:$SJ74,'PCO Log'!$E$9:$SJ$9,'Graph Data'!T$187,'PCO Log'!$E$4:$SJ$4,"&lt;&gt;Bid Package",'PCO Log'!$E$7:$SJ$7,"Approved")</f>
        <v>0</v>
      </c>
      <c r="U250" s="304">
        <f>SUMIFS('PCO Log'!$E74:$SJ74,'PCO Log'!$E$9:$SJ$9,'Graph Data'!U$187,'PCO Log'!$E$4:$SJ$4,"&lt;&gt;Bid Package",'PCO Log'!$E$7:$SJ$7,"Approved")</f>
        <v>0</v>
      </c>
      <c r="V250" s="304">
        <f>SUMIFS('PCO Log'!$E74:$SJ74,'PCO Log'!$E$9:$SJ$9,'Graph Data'!V$187,'PCO Log'!$E$4:$SJ$4,"&lt;&gt;Bid Package",'PCO Log'!$E$7:$SJ$7,"Approved")</f>
        <v>0</v>
      </c>
      <c r="W250" s="304">
        <f>SUMIFS('PCO Log'!$E74:$SJ74,'PCO Log'!$E$9:$SJ$9,'Graph Data'!W$187,'PCO Log'!$E$4:$SJ$4,"&lt;&gt;Bid Package",'PCO Log'!$E$7:$SJ$7,"Approved")</f>
        <v>0</v>
      </c>
      <c r="X250" s="304">
        <f>SUMIFS('PCO Log'!$E74:$SJ74,'PCO Log'!$E$9:$SJ$9,'Graph Data'!X$187,'PCO Log'!$E$4:$SJ$4,"&lt;&gt;Bid Package",'PCO Log'!$E$7:$SJ$7,"Approved")</f>
        <v>0</v>
      </c>
      <c r="Y250" s="304">
        <f>SUMIFS('PCO Log'!$E74:$SJ74,'PCO Log'!$E$9:$SJ$9,'Graph Data'!Y$187,'PCO Log'!$E$4:$SJ$4,"&lt;&gt;Bid Package",'PCO Log'!$E$7:$SJ$7,"Approved")</f>
        <v>0</v>
      </c>
      <c r="Z250" s="304">
        <f>SUMIFS('PCO Log'!$E74:$SJ74,'PCO Log'!$E$9:$SJ$9,'Graph Data'!Z$187,'PCO Log'!$E$4:$SJ$4,"&lt;&gt;Bid Package",'PCO Log'!$E$7:$SJ$7,"Approved")</f>
        <v>0</v>
      </c>
      <c r="AA250" s="304">
        <f>SUMIFS('PCO Log'!$E74:$SJ74,'PCO Log'!$E$9:$SJ$9,'Graph Data'!AA$187,'PCO Log'!$E$4:$SJ$4,"&lt;&gt;Bid Package",'PCO Log'!$E$7:$SJ$7,"Approved")</f>
        <v>0</v>
      </c>
      <c r="AB250" s="304">
        <f>SUMIFS('PCO Log'!$E74:$SJ74,'PCO Log'!$E$9:$SJ$9,'Graph Data'!AB$187,'PCO Log'!$E$4:$SJ$4,"&lt;&gt;Bid Package",'PCO Log'!$E$7:$SJ$7,"Approved")</f>
        <v>0</v>
      </c>
      <c r="AC250" s="304">
        <f>SUMIFS('PCO Log'!$E74:$SJ74,'PCO Log'!$E$9:$SJ$9,'Graph Data'!AC$187,'PCO Log'!$E$4:$SJ$4,"&lt;&gt;Bid Package",'PCO Log'!$E$7:$SJ$7,"Approved")</f>
        <v>0</v>
      </c>
      <c r="AD250" s="304">
        <f>SUMIFS('PCO Log'!$E74:$SJ74,'PCO Log'!$E$9:$SJ$9,'Graph Data'!AD$187,'PCO Log'!$E$4:$SJ$4,"&lt;&gt;Bid Package",'PCO Log'!$E$7:$SJ$7,"Approved")</f>
        <v>0</v>
      </c>
      <c r="AE250" s="304">
        <f>SUMIFS('PCO Log'!$E74:$SJ74,'PCO Log'!$E$9:$SJ$9,'Graph Data'!AE$187,'PCO Log'!$E$4:$SJ$4,"&lt;&gt;Bid Package",'PCO Log'!$E$7:$SJ$7,"Approved")</f>
        <v>0</v>
      </c>
      <c r="AF250" s="304">
        <f>SUMIFS('PCO Log'!$E74:$SJ74,'PCO Log'!$E$9:$SJ$9,'Graph Data'!AF$187,'PCO Log'!$E$4:$SJ$4,"&lt;&gt;Bid Package",'PCO Log'!$E$7:$SJ$7,"Approved")</f>
        <v>0</v>
      </c>
      <c r="AG250" s="304">
        <f>SUMIFS('PCO Log'!$E74:$SJ74,'PCO Log'!$E$9:$SJ$9,'Graph Data'!AG$187,'PCO Log'!$E$4:$SJ$4,"&lt;&gt;Bid Package",'PCO Log'!$E$7:$SJ$7,"Approved")</f>
        <v>0</v>
      </c>
      <c r="AH250" s="304">
        <f>SUMIFS('PCO Log'!$E74:$SJ74,'PCO Log'!$E$9:$SJ$9,'Graph Data'!AH$187,'PCO Log'!$E$4:$SJ$4,"&lt;&gt;Bid Package",'PCO Log'!$E$7:$SJ$7,"Approved")</f>
        <v>0</v>
      </c>
      <c r="AI250" s="304">
        <f>SUMIFS('PCO Log'!$E74:$SJ74,'PCO Log'!$E$9:$SJ$9,'Graph Data'!AI$187,'PCO Log'!$E$4:$SJ$4,"&lt;&gt;Bid Package",'PCO Log'!$E$7:$SJ$7,"Approved")</f>
        <v>0</v>
      </c>
      <c r="AJ250" s="304">
        <f>SUMIFS('PCO Log'!$E74:$SJ74,'PCO Log'!$E$9:$SJ$9,'Graph Data'!AJ$187,'PCO Log'!$E$4:$SJ$4,"&lt;&gt;Bid Package",'PCO Log'!$E$7:$SJ$7,"Approved")</f>
        <v>0</v>
      </c>
      <c r="AK250" s="304">
        <f>SUMIFS('PCO Log'!$E74:$SJ74,'PCO Log'!$E$9:$SJ$9,'Graph Data'!AK$187,'PCO Log'!$E$4:$SJ$4,"&lt;&gt;Bid Package",'PCO Log'!$E$7:$SJ$7,"Approved")</f>
        <v>0</v>
      </c>
      <c r="AL250" s="304">
        <f>SUMIFS('PCO Log'!$E74:$SJ74,'PCO Log'!$E$9:$SJ$9,'Graph Data'!AL$187,'PCO Log'!$E$4:$SJ$4,"&lt;&gt;Bid Package",'PCO Log'!$E$7:$SJ$7,"Approved")</f>
        <v>0</v>
      </c>
      <c r="AM250" s="304">
        <f>SUMIFS('PCO Log'!$E74:$SJ74,'PCO Log'!$E$9:$SJ$9,'Graph Data'!AM$187,'PCO Log'!$E$4:$SJ$4,"&lt;&gt;Bid Package",'PCO Log'!$E$7:$SJ$7,"Approved")</f>
        <v>0</v>
      </c>
      <c r="AN250" s="304">
        <f>SUMIFS('PCO Log'!$E74:$SJ74,'PCO Log'!$E$9:$SJ$9,'Graph Data'!AN$187,'PCO Log'!$E$4:$SJ$4,"&lt;&gt;Bid Package",'PCO Log'!$E$7:$SJ$7,"Approved")</f>
        <v>0</v>
      </c>
      <c r="AO250" s="304">
        <f>SUMIFS('PCO Log'!$E74:$SJ74,'PCO Log'!$E$9:$SJ$9,'Graph Data'!AO$187,'PCO Log'!$E$4:$SJ$4,"&lt;&gt;Bid Package",'PCO Log'!$E$7:$SJ$7,"Approved")</f>
        <v>0</v>
      </c>
      <c r="AP250" s="304">
        <f>SUMIFS('PCO Log'!$E74:$SJ74,'PCO Log'!$E$9:$SJ$9,'Graph Data'!AP$187,'PCO Log'!$E$4:$SJ$4,"&lt;&gt;Bid Package",'PCO Log'!$E$7:$SJ$7,"Approved")</f>
        <v>0</v>
      </c>
      <c r="AQ250" s="304">
        <f>SUMIFS('PCO Log'!$E74:$SJ74,'PCO Log'!$E$9:$SJ$9,'Graph Data'!AQ$187,'PCO Log'!$E$4:$SJ$4,"&lt;&gt;Bid Package",'PCO Log'!$E$7:$SJ$7,"Approved")</f>
        <v>0</v>
      </c>
      <c r="AR250" s="304">
        <f>SUMIFS('PCO Log'!$E74:$SJ74,'PCO Log'!$E$9:$SJ$9,'Graph Data'!AR$187,'PCO Log'!$E$4:$SJ$4,"&lt;&gt;Bid Package",'PCO Log'!$E$7:$SJ$7,"Approved")</f>
        <v>0</v>
      </c>
      <c r="AS250" s="304">
        <f>SUMIFS('PCO Log'!$E74:$SJ74,'PCO Log'!$E$9:$SJ$9,'Graph Data'!AS$187,'PCO Log'!$E$4:$SJ$4,"&lt;&gt;Bid Package",'PCO Log'!$E$7:$SJ$7,"Approved")</f>
        <v>0</v>
      </c>
      <c r="AT250" s="304">
        <f>SUMIFS('PCO Log'!$E74:$SJ74,'PCO Log'!$E$9:$SJ$9,'Graph Data'!AT$187,'PCO Log'!$E$4:$SJ$4,"&lt;&gt;Bid Package",'PCO Log'!$E$7:$SJ$7,"Approved")</f>
        <v>0</v>
      </c>
      <c r="AU250" s="304">
        <f>SUMIFS('PCO Log'!$E74:$SJ74,'PCO Log'!$E$9:$SJ$9,'Graph Data'!AU$187,'PCO Log'!$E$4:$SJ$4,"&lt;&gt;Bid Package",'PCO Log'!$E$7:$SJ$7,"Approved")</f>
        <v>0</v>
      </c>
      <c r="AV250" s="304">
        <f>SUMIFS('PCO Log'!$E74:$SJ74,'PCO Log'!$E$9:$SJ$9,'Graph Data'!AV$187,'PCO Log'!$E$4:$SJ$4,"&lt;&gt;Bid Package",'PCO Log'!$E$7:$SJ$7,"Approved")</f>
        <v>0</v>
      </c>
      <c r="AW250" s="304">
        <f>SUMIFS('PCO Log'!$E74:$SJ74,'PCO Log'!$E$9:$SJ$9,'Graph Data'!AW$187,'PCO Log'!$E$4:$SJ$4,"&lt;&gt;Bid Package",'PCO Log'!$E$7:$SJ$7,"Approved")</f>
        <v>0</v>
      </c>
      <c r="AX250" s="304">
        <f>SUMIFS('PCO Log'!$E74:$SJ74,'PCO Log'!$E$9:$SJ$9,'Graph Data'!AX$187,'PCO Log'!$E$4:$SJ$4,"&lt;&gt;Bid Package",'PCO Log'!$E$7:$SJ$7,"Approved")</f>
        <v>0</v>
      </c>
      <c r="AY250" s="304">
        <f>SUMIFS('PCO Log'!$E74:$SJ74,'PCO Log'!$E$9:$SJ$9,'Graph Data'!AY$187,'PCO Log'!$E$4:$SJ$4,"&lt;&gt;Bid Package",'PCO Log'!$E$7:$SJ$7,"Approved")</f>
        <v>0</v>
      </c>
      <c r="AZ250" s="304">
        <f>SUMIFS('PCO Log'!$E74:$SJ74,'PCO Log'!$E$9:$SJ$9,'Graph Data'!AZ$187,'PCO Log'!$E$4:$SJ$4,"&lt;&gt;Bid Package",'PCO Log'!$E$7:$SJ$7,"Approved")</f>
        <v>0</v>
      </c>
      <c r="BA250" s="304">
        <f>SUMIFS('PCO Log'!$E74:$SJ74,'PCO Log'!$E$9:$SJ$9,'Graph Data'!BA$187,'PCO Log'!$E$4:$SJ$4,"&lt;&gt;Bid Package",'PCO Log'!$E$7:$SJ$7,"Approved")</f>
        <v>0</v>
      </c>
      <c r="BB250" s="304">
        <f>SUMIFS('PCO Log'!$E74:$SJ74,'PCO Log'!$E$9:$SJ$9,'Graph Data'!BB$187,'PCO Log'!$E$4:$SJ$4,"&lt;&gt;Bid Package",'PCO Log'!$E$7:$SJ$7,"Approved")</f>
        <v>0</v>
      </c>
      <c r="BC250" s="304">
        <f>SUMIFS('PCO Log'!$E74:$SJ74,'PCO Log'!$E$9:$SJ$9,'Graph Data'!BC$187,'PCO Log'!$E$4:$SJ$4,"&lt;&gt;Bid Package",'PCO Log'!$E$7:$SJ$7,"Approved")</f>
        <v>0</v>
      </c>
      <c r="BD250" s="304">
        <f>SUMIFS('PCO Log'!$E74:$SJ74,'PCO Log'!$E$9:$SJ$9,'Graph Data'!BD$187,'PCO Log'!$E$4:$SJ$4,"&lt;&gt;Bid Package",'PCO Log'!$E$7:$SJ$7,"Approved")</f>
        <v>0</v>
      </c>
      <c r="BE250" s="304">
        <f>SUMIFS('PCO Log'!$E74:$SJ74,'PCO Log'!$E$9:$SJ$9,'Graph Data'!BE$187,'PCO Log'!$E$4:$SJ$4,"&lt;&gt;Bid Package",'PCO Log'!$E$7:$SJ$7,"Approved")</f>
        <v>0</v>
      </c>
      <c r="BF250" s="304">
        <f>SUMIFS('PCO Log'!$E74:$SJ74,'PCO Log'!$E$9:$SJ$9,'Graph Data'!BF$187,'PCO Log'!$E$4:$SJ$4,"&lt;&gt;Bid Package",'PCO Log'!$E$7:$SJ$7,"Approved")</f>
        <v>0</v>
      </c>
      <c r="BG250" s="304">
        <f>SUMIFS('PCO Log'!$E74:$SJ74,'PCO Log'!$E$9:$SJ$9,'Graph Data'!BG$187,'PCO Log'!$E$4:$SJ$4,"&lt;&gt;Bid Package",'PCO Log'!$E$7:$SJ$7,"Approved")</f>
        <v>0</v>
      </c>
      <c r="BH250" s="304">
        <f>SUMIFS('PCO Log'!$E74:$SJ74,'PCO Log'!$E$9:$SJ$9,'Graph Data'!BH$187,'PCO Log'!$E$4:$SJ$4,"&lt;&gt;Bid Package",'PCO Log'!$E$7:$SJ$7,"Approved")</f>
        <v>0</v>
      </c>
      <c r="BI250" s="304">
        <f>SUMIFS('PCO Log'!$E74:$SJ74,'PCO Log'!$E$9:$SJ$9,'Graph Data'!BI$187,'PCO Log'!$E$4:$SJ$4,"&lt;&gt;Bid Package",'PCO Log'!$E$7:$SJ$7,"Approved")</f>
        <v>0</v>
      </c>
      <c r="BJ250" s="304">
        <f>SUMIFS('PCO Log'!$E74:$SJ74,'PCO Log'!$E$9:$SJ$9,'Graph Data'!BJ$187,'PCO Log'!$E$4:$SJ$4,"&lt;&gt;Bid Package",'PCO Log'!$E$7:$SJ$7,"Approved")</f>
        <v>0</v>
      </c>
      <c r="BK250" s="304">
        <f>SUMIFS('PCO Log'!$E74:$SJ74,'PCO Log'!$E$9:$SJ$9,'Graph Data'!BK$187,'PCO Log'!$E$4:$SJ$4,"&lt;&gt;Bid Package",'PCO Log'!$E$7:$SJ$7,"Approved")</f>
        <v>0</v>
      </c>
      <c r="BL250" s="304">
        <f>SUMIFS('PCO Log'!$E74:$SJ74,'PCO Log'!$E$9:$SJ$9,'Graph Data'!BL$187,'PCO Log'!$E$4:$SJ$4,"&lt;&gt;Bid Package",'PCO Log'!$E$7:$SJ$7,"Approved")</f>
        <v>0</v>
      </c>
      <c r="BM250" s="304">
        <f>SUMIFS('PCO Log'!$E74:$SJ74,'PCO Log'!$E$9:$SJ$9,'Graph Data'!BM$187,'PCO Log'!$E$4:$SJ$4,"&lt;&gt;Bid Package",'PCO Log'!$E$7:$SJ$7,"Approved")</f>
        <v>0</v>
      </c>
      <c r="BN250" s="304">
        <f>SUMIFS('PCO Log'!$E74:$SJ74,'PCO Log'!$E$9:$SJ$9,'Graph Data'!BN$187,'PCO Log'!$E$4:$SJ$4,"&lt;&gt;Bid Package",'PCO Log'!$E$7:$SJ$7,"Approved")</f>
        <v>0</v>
      </c>
      <c r="BO250" s="304">
        <f>SUMIFS('PCO Log'!$E74:$SJ74,'PCO Log'!$E$9:$SJ$9,'Graph Data'!BO$187,'PCO Log'!$E$4:$SJ$4,"&lt;&gt;Bid Package",'PCO Log'!$E$7:$SJ$7,"Approved")</f>
        <v>0</v>
      </c>
      <c r="BP250" s="304">
        <f>SUMIFS('PCO Log'!$E74:$SJ74,'PCO Log'!$E$9:$SJ$9,'Graph Data'!BP$187,'PCO Log'!$E$4:$SJ$4,"&lt;&gt;Bid Package",'PCO Log'!$E$7:$SJ$7,"Approved")</f>
        <v>0</v>
      </c>
      <c r="BQ250" s="304">
        <f>SUMIFS('PCO Log'!$E74:$SJ74,'PCO Log'!$E$9:$SJ$9,'Graph Data'!BQ$187,'PCO Log'!$E$4:$SJ$4,"&lt;&gt;Bid Package",'PCO Log'!$E$7:$SJ$7,"Approved")</f>
        <v>0</v>
      </c>
      <c r="BR250" s="304">
        <f>SUMIFS('PCO Log'!$E74:$SJ74,'PCO Log'!$E$9:$SJ$9,'Graph Data'!BR$187,'PCO Log'!$E$4:$SJ$4,"&lt;&gt;Bid Package",'PCO Log'!$E$7:$SJ$7,"Approved")</f>
        <v>0</v>
      </c>
      <c r="BS250" s="304">
        <f>SUMIFS('PCO Log'!$E74:$SJ74,'PCO Log'!$E$9:$SJ$9,'Graph Data'!BS$187,'PCO Log'!$E$4:$SJ$4,"&lt;&gt;Bid Package",'PCO Log'!$E$7:$SJ$7,"Approved")</f>
        <v>0</v>
      </c>
      <c r="BT250" s="304">
        <f>SUMIFS('PCO Log'!$E74:$SJ74,'PCO Log'!$E$9:$SJ$9,'Graph Data'!BT$187,'PCO Log'!$E$4:$SJ$4,"&lt;&gt;Bid Package",'PCO Log'!$E$7:$SJ$7,"Approved")</f>
        <v>0</v>
      </c>
      <c r="BU250" s="304">
        <f>SUMIFS('PCO Log'!$E74:$SJ74,'PCO Log'!$E$9:$SJ$9,'Graph Data'!BU$187,'PCO Log'!$E$4:$SJ$4,"&lt;&gt;Bid Package",'PCO Log'!$E$7:$SJ$7,"Approved")</f>
        <v>0</v>
      </c>
      <c r="BV250" s="304">
        <f>SUMIFS('PCO Log'!$E74:$SJ74,'PCO Log'!$E$9:$SJ$9,'Graph Data'!BV$187,'PCO Log'!$E$4:$SJ$4,"&lt;&gt;Bid Package",'PCO Log'!$E$7:$SJ$7,"Approved")</f>
        <v>0</v>
      </c>
      <c r="BW250" s="304">
        <f>SUMIFS('PCO Log'!$E74:$SJ74,'PCO Log'!$E$9:$SJ$9,'Graph Data'!BW$187,'PCO Log'!$E$4:$SJ$4,"&lt;&gt;Bid Package",'PCO Log'!$E$7:$SJ$7,"Approved")</f>
        <v>0</v>
      </c>
      <c r="BX250" s="304">
        <f>SUMIFS('PCO Log'!$E74:$SJ74,'PCO Log'!$E$9:$SJ$9,'Graph Data'!BX$187,'PCO Log'!$E$4:$SJ$4,"&lt;&gt;Bid Package",'PCO Log'!$E$7:$SJ$7,"Approved")</f>
        <v>0</v>
      </c>
    </row>
    <row r="251" spans="1:76" x14ac:dyDescent="0.25">
      <c r="A251" s="303" t="s">
        <v>601</v>
      </c>
      <c r="B251" s="303">
        <f>'PCO Log'!IT7</f>
        <v>0</v>
      </c>
      <c r="C251" s="303">
        <f>'PCO Log'!IT4</f>
        <v>0</v>
      </c>
      <c r="D251" s="303" cm="1">
        <f t="array" ref="D251">INDEX('PCO Log'!$E$5:$SJ$5, 1, ROWS('Graph Data'!$D$2:D251))</f>
        <v>0</v>
      </c>
      <c r="E251" s="303">
        <f>'PCO Log'!IT8</f>
        <v>0</v>
      </c>
      <c r="F251" s="303">
        <f>'PCO Log'!IT3</f>
        <v>0</v>
      </c>
      <c r="G251" s="304">
        <f>'PCO Log'!IT10</f>
        <v>0</v>
      </c>
      <c r="H251" s="305">
        <f>'PCO Log'!IT6</f>
        <v>0</v>
      </c>
      <c r="K251" s="307"/>
      <c r="P251" s="303" t="str">
        <f t="shared" si="4"/>
        <v>Sound &amp; Vibration Control</v>
      </c>
      <c r="Q251" s="304">
        <f>SUMIFS('PCO Log'!$E75:$SJ75,'PCO Log'!$E$9:$SJ$9,'Graph Data'!Q$187,'PCO Log'!$E$4:$SJ$4,"&lt;&gt;Bid Package",'PCO Log'!$E$7:$SJ$7,"Approved")</f>
        <v>0</v>
      </c>
      <c r="R251" s="304">
        <f>SUMIFS('PCO Log'!$E75:$SJ75,'PCO Log'!$E$9:$SJ$9,'Graph Data'!R$187,'PCO Log'!$E$4:$SJ$4,"&lt;&gt;Bid Package",'PCO Log'!$E$7:$SJ$7,"Approved")</f>
        <v>0</v>
      </c>
      <c r="S251" s="304">
        <f>SUMIFS('PCO Log'!$E75:$SJ75,'PCO Log'!$E$9:$SJ$9,'Graph Data'!S$187,'PCO Log'!$E$4:$SJ$4,"&lt;&gt;Bid Package",'PCO Log'!$E$7:$SJ$7,"Approved")</f>
        <v>0</v>
      </c>
      <c r="T251" s="304">
        <f>SUMIFS('PCO Log'!$E75:$SJ75,'PCO Log'!$E$9:$SJ$9,'Graph Data'!T$187,'PCO Log'!$E$4:$SJ$4,"&lt;&gt;Bid Package",'PCO Log'!$E$7:$SJ$7,"Approved")</f>
        <v>0</v>
      </c>
      <c r="U251" s="304">
        <f>SUMIFS('PCO Log'!$E75:$SJ75,'PCO Log'!$E$9:$SJ$9,'Graph Data'!U$187,'PCO Log'!$E$4:$SJ$4,"&lt;&gt;Bid Package",'PCO Log'!$E$7:$SJ$7,"Approved")</f>
        <v>0</v>
      </c>
      <c r="V251" s="304">
        <f>SUMIFS('PCO Log'!$E75:$SJ75,'PCO Log'!$E$9:$SJ$9,'Graph Data'!V$187,'PCO Log'!$E$4:$SJ$4,"&lt;&gt;Bid Package",'PCO Log'!$E$7:$SJ$7,"Approved")</f>
        <v>0</v>
      </c>
      <c r="W251" s="304">
        <f>SUMIFS('PCO Log'!$E75:$SJ75,'PCO Log'!$E$9:$SJ$9,'Graph Data'!W$187,'PCO Log'!$E$4:$SJ$4,"&lt;&gt;Bid Package",'PCO Log'!$E$7:$SJ$7,"Approved")</f>
        <v>0</v>
      </c>
      <c r="X251" s="304">
        <f>SUMIFS('PCO Log'!$E75:$SJ75,'PCO Log'!$E$9:$SJ$9,'Graph Data'!X$187,'PCO Log'!$E$4:$SJ$4,"&lt;&gt;Bid Package",'PCO Log'!$E$7:$SJ$7,"Approved")</f>
        <v>0</v>
      </c>
      <c r="Y251" s="304">
        <f>SUMIFS('PCO Log'!$E75:$SJ75,'PCO Log'!$E$9:$SJ$9,'Graph Data'!Y$187,'PCO Log'!$E$4:$SJ$4,"&lt;&gt;Bid Package",'PCO Log'!$E$7:$SJ$7,"Approved")</f>
        <v>0</v>
      </c>
      <c r="Z251" s="304">
        <f>SUMIFS('PCO Log'!$E75:$SJ75,'PCO Log'!$E$9:$SJ$9,'Graph Data'!Z$187,'PCO Log'!$E$4:$SJ$4,"&lt;&gt;Bid Package",'PCO Log'!$E$7:$SJ$7,"Approved")</f>
        <v>0</v>
      </c>
      <c r="AA251" s="304">
        <f>SUMIFS('PCO Log'!$E75:$SJ75,'PCO Log'!$E$9:$SJ$9,'Graph Data'!AA$187,'PCO Log'!$E$4:$SJ$4,"&lt;&gt;Bid Package",'PCO Log'!$E$7:$SJ$7,"Approved")</f>
        <v>0</v>
      </c>
      <c r="AB251" s="304">
        <f>SUMIFS('PCO Log'!$E75:$SJ75,'PCO Log'!$E$9:$SJ$9,'Graph Data'!AB$187,'PCO Log'!$E$4:$SJ$4,"&lt;&gt;Bid Package",'PCO Log'!$E$7:$SJ$7,"Approved")</f>
        <v>0</v>
      </c>
      <c r="AC251" s="304">
        <f>SUMIFS('PCO Log'!$E75:$SJ75,'PCO Log'!$E$9:$SJ$9,'Graph Data'!AC$187,'PCO Log'!$E$4:$SJ$4,"&lt;&gt;Bid Package",'PCO Log'!$E$7:$SJ$7,"Approved")</f>
        <v>0</v>
      </c>
      <c r="AD251" s="304">
        <f>SUMIFS('PCO Log'!$E75:$SJ75,'PCO Log'!$E$9:$SJ$9,'Graph Data'!AD$187,'PCO Log'!$E$4:$SJ$4,"&lt;&gt;Bid Package",'PCO Log'!$E$7:$SJ$7,"Approved")</f>
        <v>0</v>
      </c>
      <c r="AE251" s="304">
        <f>SUMIFS('PCO Log'!$E75:$SJ75,'PCO Log'!$E$9:$SJ$9,'Graph Data'!AE$187,'PCO Log'!$E$4:$SJ$4,"&lt;&gt;Bid Package",'PCO Log'!$E$7:$SJ$7,"Approved")</f>
        <v>0</v>
      </c>
      <c r="AF251" s="304">
        <f>SUMIFS('PCO Log'!$E75:$SJ75,'PCO Log'!$E$9:$SJ$9,'Graph Data'!AF$187,'PCO Log'!$E$4:$SJ$4,"&lt;&gt;Bid Package",'PCO Log'!$E$7:$SJ$7,"Approved")</f>
        <v>0</v>
      </c>
      <c r="AG251" s="304">
        <f>SUMIFS('PCO Log'!$E75:$SJ75,'PCO Log'!$E$9:$SJ$9,'Graph Data'!AG$187,'PCO Log'!$E$4:$SJ$4,"&lt;&gt;Bid Package",'PCO Log'!$E$7:$SJ$7,"Approved")</f>
        <v>0</v>
      </c>
      <c r="AH251" s="304">
        <f>SUMIFS('PCO Log'!$E75:$SJ75,'PCO Log'!$E$9:$SJ$9,'Graph Data'!AH$187,'PCO Log'!$E$4:$SJ$4,"&lt;&gt;Bid Package",'PCO Log'!$E$7:$SJ$7,"Approved")</f>
        <v>0</v>
      </c>
      <c r="AI251" s="304">
        <f>SUMIFS('PCO Log'!$E75:$SJ75,'PCO Log'!$E$9:$SJ$9,'Graph Data'!AI$187,'PCO Log'!$E$4:$SJ$4,"&lt;&gt;Bid Package",'PCO Log'!$E$7:$SJ$7,"Approved")</f>
        <v>0</v>
      </c>
      <c r="AJ251" s="304">
        <f>SUMIFS('PCO Log'!$E75:$SJ75,'PCO Log'!$E$9:$SJ$9,'Graph Data'!AJ$187,'PCO Log'!$E$4:$SJ$4,"&lt;&gt;Bid Package",'PCO Log'!$E$7:$SJ$7,"Approved")</f>
        <v>0</v>
      </c>
      <c r="AK251" s="304">
        <f>SUMIFS('PCO Log'!$E75:$SJ75,'PCO Log'!$E$9:$SJ$9,'Graph Data'!AK$187,'PCO Log'!$E$4:$SJ$4,"&lt;&gt;Bid Package",'PCO Log'!$E$7:$SJ$7,"Approved")</f>
        <v>0</v>
      </c>
      <c r="AL251" s="304">
        <f>SUMIFS('PCO Log'!$E75:$SJ75,'PCO Log'!$E$9:$SJ$9,'Graph Data'!AL$187,'PCO Log'!$E$4:$SJ$4,"&lt;&gt;Bid Package",'PCO Log'!$E$7:$SJ$7,"Approved")</f>
        <v>0</v>
      </c>
      <c r="AM251" s="304">
        <f>SUMIFS('PCO Log'!$E75:$SJ75,'PCO Log'!$E$9:$SJ$9,'Graph Data'!AM$187,'PCO Log'!$E$4:$SJ$4,"&lt;&gt;Bid Package",'PCO Log'!$E$7:$SJ$7,"Approved")</f>
        <v>0</v>
      </c>
      <c r="AN251" s="304">
        <f>SUMIFS('PCO Log'!$E75:$SJ75,'PCO Log'!$E$9:$SJ$9,'Graph Data'!AN$187,'PCO Log'!$E$4:$SJ$4,"&lt;&gt;Bid Package",'PCO Log'!$E$7:$SJ$7,"Approved")</f>
        <v>0</v>
      </c>
      <c r="AO251" s="304">
        <f>SUMIFS('PCO Log'!$E75:$SJ75,'PCO Log'!$E$9:$SJ$9,'Graph Data'!AO$187,'PCO Log'!$E$4:$SJ$4,"&lt;&gt;Bid Package",'PCO Log'!$E$7:$SJ$7,"Approved")</f>
        <v>0</v>
      </c>
      <c r="AP251" s="304">
        <f>SUMIFS('PCO Log'!$E75:$SJ75,'PCO Log'!$E$9:$SJ$9,'Graph Data'!AP$187,'PCO Log'!$E$4:$SJ$4,"&lt;&gt;Bid Package",'PCO Log'!$E$7:$SJ$7,"Approved")</f>
        <v>0</v>
      </c>
      <c r="AQ251" s="304">
        <f>SUMIFS('PCO Log'!$E75:$SJ75,'PCO Log'!$E$9:$SJ$9,'Graph Data'!AQ$187,'PCO Log'!$E$4:$SJ$4,"&lt;&gt;Bid Package",'PCO Log'!$E$7:$SJ$7,"Approved")</f>
        <v>0</v>
      </c>
      <c r="AR251" s="304">
        <f>SUMIFS('PCO Log'!$E75:$SJ75,'PCO Log'!$E$9:$SJ$9,'Graph Data'!AR$187,'PCO Log'!$E$4:$SJ$4,"&lt;&gt;Bid Package",'PCO Log'!$E$7:$SJ$7,"Approved")</f>
        <v>0</v>
      </c>
      <c r="AS251" s="304">
        <f>SUMIFS('PCO Log'!$E75:$SJ75,'PCO Log'!$E$9:$SJ$9,'Graph Data'!AS$187,'PCO Log'!$E$4:$SJ$4,"&lt;&gt;Bid Package",'PCO Log'!$E$7:$SJ$7,"Approved")</f>
        <v>0</v>
      </c>
      <c r="AT251" s="304">
        <f>SUMIFS('PCO Log'!$E75:$SJ75,'PCO Log'!$E$9:$SJ$9,'Graph Data'!AT$187,'PCO Log'!$E$4:$SJ$4,"&lt;&gt;Bid Package",'PCO Log'!$E$7:$SJ$7,"Approved")</f>
        <v>0</v>
      </c>
      <c r="AU251" s="304">
        <f>SUMIFS('PCO Log'!$E75:$SJ75,'PCO Log'!$E$9:$SJ$9,'Graph Data'!AU$187,'PCO Log'!$E$4:$SJ$4,"&lt;&gt;Bid Package",'PCO Log'!$E$7:$SJ$7,"Approved")</f>
        <v>0</v>
      </c>
      <c r="AV251" s="304">
        <f>SUMIFS('PCO Log'!$E75:$SJ75,'PCO Log'!$E$9:$SJ$9,'Graph Data'!AV$187,'PCO Log'!$E$4:$SJ$4,"&lt;&gt;Bid Package",'PCO Log'!$E$7:$SJ$7,"Approved")</f>
        <v>0</v>
      </c>
      <c r="AW251" s="304">
        <f>SUMIFS('PCO Log'!$E75:$SJ75,'PCO Log'!$E$9:$SJ$9,'Graph Data'!AW$187,'PCO Log'!$E$4:$SJ$4,"&lt;&gt;Bid Package",'PCO Log'!$E$7:$SJ$7,"Approved")</f>
        <v>0</v>
      </c>
      <c r="AX251" s="304">
        <f>SUMIFS('PCO Log'!$E75:$SJ75,'PCO Log'!$E$9:$SJ$9,'Graph Data'!AX$187,'PCO Log'!$E$4:$SJ$4,"&lt;&gt;Bid Package",'PCO Log'!$E$7:$SJ$7,"Approved")</f>
        <v>0</v>
      </c>
      <c r="AY251" s="304">
        <f>SUMIFS('PCO Log'!$E75:$SJ75,'PCO Log'!$E$9:$SJ$9,'Graph Data'!AY$187,'PCO Log'!$E$4:$SJ$4,"&lt;&gt;Bid Package",'PCO Log'!$E$7:$SJ$7,"Approved")</f>
        <v>0</v>
      </c>
      <c r="AZ251" s="304">
        <f>SUMIFS('PCO Log'!$E75:$SJ75,'PCO Log'!$E$9:$SJ$9,'Graph Data'!AZ$187,'PCO Log'!$E$4:$SJ$4,"&lt;&gt;Bid Package",'PCO Log'!$E$7:$SJ$7,"Approved")</f>
        <v>0</v>
      </c>
      <c r="BA251" s="304">
        <f>SUMIFS('PCO Log'!$E75:$SJ75,'PCO Log'!$E$9:$SJ$9,'Graph Data'!BA$187,'PCO Log'!$E$4:$SJ$4,"&lt;&gt;Bid Package",'PCO Log'!$E$7:$SJ$7,"Approved")</f>
        <v>0</v>
      </c>
      <c r="BB251" s="304">
        <f>SUMIFS('PCO Log'!$E75:$SJ75,'PCO Log'!$E$9:$SJ$9,'Graph Data'!BB$187,'PCO Log'!$E$4:$SJ$4,"&lt;&gt;Bid Package",'PCO Log'!$E$7:$SJ$7,"Approved")</f>
        <v>0</v>
      </c>
      <c r="BC251" s="304">
        <f>SUMIFS('PCO Log'!$E75:$SJ75,'PCO Log'!$E$9:$SJ$9,'Graph Data'!BC$187,'PCO Log'!$E$4:$SJ$4,"&lt;&gt;Bid Package",'PCO Log'!$E$7:$SJ$7,"Approved")</f>
        <v>0</v>
      </c>
      <c r="BD251" s="304">
        <f>SUMIFS('PCO Log'!$E75:$SJ75,'PCO Log'!$E$9:$SJ$9,'Graph Data'!BD$187,'PCO Log'!$E$4:$SJ$4,"&lt;&gt;Bid Package",'PCO Log'!$E$7:$SJ$7,"Approved")</f>
        <v>0</v>
      </c>
      <c r="BE251" s="304">
        <f>SUMIFS('PCO Log'!$E75:$SJ75,'PCO Log'!$E$9:$SJ$9,'Graph Data'!BE$187,'PCO Log'!$E$4:$SJ$4,"&lt;&gt;Bid Package",'PCO Log'!$E$7:$SJ$7,"Approved")</f>
        <v>0</v>
      </c>
      <c r="BF251" s="304">
        <f>SUMIFS('PCO Log'!$E75:$SJ75,'PCO Log'!$E$9:$SJ$9,'Graph Data'!BF$187,'PCO Log'!$E$4:$SJ$4,"&lt;&gt;Bid Package",'PCO Log'!$E$7:$SJ$7,"Approved")</f>
        <v>0</v>
      </c>
      <c r="BG251" s="304">
        <f>SUMIFS('PCO Log'!$E75:$SJ75,'PCO Log'!$E$9:$SJ$9,'Graph Data'!BG$187,'PCO Log'!$E$4:$SJ$4,"&lt;&gt;Bid Package",'PCO Log'!$E$7:$SJ$7,"Approved")</f>
        <v>0</v>
      </c>
      <c r="BH251" s="304">
        <f>SUMIFS('PCO Log'!$E75:$SJ75,'PCO Log'!$E$9:$SJ$9,'Graph Data'!BH$187,'PCO Log'!$E$4:$SJ$4,"&lt;&gt;Bid Package",'PCO Log'!$E$7:$SJ$7,"Approved")</f>
        <v>0</v>
      </c>
      <c r="BI251" s="304">
        <f>SUMIFS('PCO Log'!$E75:$SJ75,'PCO Log'!$E$9:$SJ$9,'Graph Data'!BI$187,'PCO Log'!$E$4:$SJ$4,"&lt;&gt;Bid Package",'PCO Log'!$E$7:$SJ$7,"Approved")</f>
        <v>0</v>
      </c>
      <c r="BJ251" s="304">
        <f>SUMIFS('PCO Log'!$E75:$SJ75,'PCO Log'!$E$9:$SJ$9,'Graph Data'!BJ$187,'PCO Log'!$E$4:$SJ$4,"&lt;&gt;Bid Package",'PCO Log'!$E$7:$SJ$7,"Approved")</f>
        <v>0</v>
      </c>
      <c r="BK251" s="304">
        <f>SUMIFS('PCO Log'!$E75:$SJ75,'PCO Log'!$E$9:$SJ$9,'Graph Data'!BK$187,'PCO Log'!$E$4:$SJ$4,"&lt;&gt;Bid Package",'PCO Log'!$E$7:$SJ$7,"Approved")</f>
        <v>0</v>
      </c>
      <c r="BL251" s="304">
        <f>SUMIFS('PCO Log'!$E75:$SJ75,'PCO Log'!$E$9:$SJ$9,'Graph Data'!BL$187,'PCO Log'!$E$4:$SJ$4,"&lt;&gt;Bid Package",'PCO Log'!$E$7:$SJ$7,"Approved")</f>
        <v>0</v>
      </c>
      <c r="BM251" s="304">
        <f>SUMIFS('PCO Log'!$E75:$SJ75,'PCO Log'!$E$9:$SJ$9,'Graph Data'!BM$187,'PCO Log'!$E$4:$SJ$4,"&lt;&gt;Bid Package",'PCO Log'!$E$7:$SJ$7,"Approved")</f>
        <v>0</v>
      </c>
      <c r="BN251" s="304">
        <f>SUMIFS('PCO Log'!$E75:$SJ75,'PCO Log'!$E$9:$SJ$9,'Graph Data'!BN$187,'PCO Log'!$E$4:$SJ$4,"&lt;&gt;Bid Package",'PCO Log'!$E$7:$SJ$7,"Approved")</f>
        <v>0</v>
      </c>
      <c r="BO251" s="304">
        <f>SUMIFS('PCO Log'!$E75:$SJ75,'PCO Log'!$E$9:$SJ$9,'Graph Data'!BO$187,'PCO Log'!$E$4:$SJ$4,"&lt;&gt;Bid Package",'PCO Log'!$E$7:$SJ$7,"Approved")</f>
        <v>0</v>
      </c>
      <c r="BP251" s="304">
        <f>SUMIFS('PCO Log'!$E75:$SJ75,'PCO Log'!$E$9:$SJ$9,'Graph Data'!BP$187,'PCO Log'!$E$4:$SJ$4,"&lt;&gt;Bid Package",'PCO Log'!$E$7:$SJ$7,"Approved")</f>
        <v>0</v>
      </c>
      <c r="BQ251" s="304">
        <f>SUMIFS('PCO Log'!$E75:$SJ75,'PCO Log'!$E$9:$SJ$9,'Graph Data'!BQ$187,'PCO Log'!$E$4:$SJ$4,"&lt;&gt;Bid Package",'PCO Log'!$E$7:$SJ$7,"Approved")</f>
        <v>0</v>
      </c>
      <c r="BR251" s="304">
        <f>SUMIFS('PCO Log'!$E75:$SJ75,'PCO Log'!$E$9:$SJ$9,'Graph Data'!BR$187,'PCO Log'!$E$4:$SJ$4,"&lt;&gt;Bid Package",'PCO Log'!$E$7:$SJ$7,"Approved")</f>
        <v>0</v>
      </c>
      <c r="BS251" s="304">
        <f>SUMIFS('PCO Log'!$E75:$SJ75,'PCO Log'!$E$9:$SJ$9,'Graph Data'!BS$187,'PCO Log'!$E$4:$SJ$4,"&lt;&gt;Bid Package",'PCO Log'!$E$7:$SJ$7,"Approved")</f>
        <v>0</v>
      </c>
      <c r="BT251" s="304">
        <f>SUMIFS('PCO Log'!$E75:$SJ75,'PCO Log'!$E$9:$SJ$9,'Graph Data'!BT$187,'PCO Log'!$E$4:$SJ$4,"&lt;&gt;Bid Package",'PCO Log'!$E$7:$SJ$7,"Approved")</f>
        <v>0</v>
      </c>
      <c r="BU251" s="304">
        <f>SUMIFS('PCO Log'!$E75:$SJ75,'PCO Log'!$E$9:$SJ$9,'Graph Data'!BU$187,'PCO Log'!$E$4:$SJ$4,"&lt;&gt;Bid Package",'PCO Log'!$E$7:$SJ$7,"Approved")</f>
        <v>0</v>
      </c>
      <c r="BV251" s="304">
        <f>SUMIFS('PCO Log'!$E75:$SJ75,'PCO Log'!$E$9:$SJ$9,'Graph Data'!BV$187,'PCO Log'!$E$4:$SJ$4,"&lt;&gt;Bid Package",'PCO Log'!$E$7:$SJ$7,"Approved")</f>
        <v>0</v>
      </c>
      <c r="BW251" s="304">
        <f>SUMIFS('PCO Log'!$E75:$SJ75,'PCO Log'!$E$9:$SJ$9,'Graph Data'!BW$187,'PCO Log'!$E$4:$SJ$4,"&lt;&gt;Bid Package",'PCO Log'!$E$7:$SJ$7,"Approved")</f>
        <v>0</v>
      </c>
      <c r="BX251" s="304">
        <f>SUMIFS('PCO Log'!$E75:$SJ75,'PCO Log'!$E$9:$SJ$9,'Graph Data'!BX$187,'PCO Log'!$E$4:$SJ$4,"&lt;&gt;Bid Package",'PCO Log'!$E$7:$SJ$7,"Approved")</f>
        <v>0</v>
      </c>
    </row>
    <row r="252" spans="1:76" x14ac:dyDescent="0.25">
      <c r="A252" s="303" t="s">
        <v>602</v>
      </c>
      <c r="B252" s="303">
        <f>'PCO Log'!IU7</f>
        <v>0</v>
      </c>
      <c r="C252" s="303">
        <f>'PCO Log'!IU4</f>
        <v>0</v>
      </c>
      <c r="D252" s="303" cm="1">
        <f t="array" ref="D252">INDEX('PCO Log'!$E$5:$SJ$5, 1, ROWS('Graph Data'!$D$2:D252))</f>
        <v>0</v>
      </c>
      <c r="E252" s="303">
        <f>'PCO Log'!IU8</f>
        <v>0</v>
      </c>
      <c r="F252" s="303">
        <f>'PCO Log'!IU3</f>
        <v>0</v>
      </c>
      <c r="G252" s="304">
        <f>'PCO Log'!IU10</f>
        <v>0</v>
      </c>
      <c r="H252" s="305">
        <f>'PCO Log'!IU6</f>
        <v>0</v>
      </c>
      <c r="K252" s="307"/>
      <c r="P252" s="303" t="str">
        <f t="shared" si="4"/>
        <v>Elevator</v>
      </c>
      <c r="Q252" s="304">
        <f>SUMIFS('PCO Log'!$E76:$SJ76,'PCO Log'!$E$9:$SJ$9,'Graph Data'!Q$187,'PCO Log'!$E$4:$SJ$4,"&lt;&gt;Bid Package",'PCO Log'!$E$7:$SJ$7,"Approved")</f>
        <v>0</v>
      </c>
      <c r="R252" s="304">
        <f>SUMIFS('PCO Log'!$E76:$SJ76,'PCO Log'!$E$9:$SJ$9,'Graph Data'!R$187,'PCO Log'!$E$4:$SJ$4,"&lt;&gt;Bid Package",'PCO Log'!$E$7:$SJ$7,"Approved")</f>
        <v>0</v>
      </c>
      <c r="S252" s="304">
        <f>SUMIFS('PCO Log'!$E76:$SJ76,'PCO Log'!$E$9:$SJ$9,'Graph Data'!S$187,'PCO Log'!$E$4:$SJ$4,"&lt;&gt;Bid Package",'PCO Log'!$E$7:$SJ$7,"Approved")</f>
        <v>0</v>
      </c>
      <c r="T252" s="304">
        <f>SUMIFS('PCO Log'!$E76:$SJ76,'PCO Log'!$E$9:$SJ$9,'Graph Data'!T$187,'PCO Log'!$E$4:$SJ$4,"&lt;&gt;Bid Package",'PCO Log'!$E$7:$SJ$7,"Approved")</f>
        <v>0</v>
      </c>
      <c r="U252" s="304">
        <f>SUMIFS('PCO Log'!$E76:$SJ76,'PCO Log'!$E$9:$SJ$9,'Graph Data'!U$187,'PCO Log'!$E$4:$SJ$4,"&lt;&gt;Bid Package",'PCO Log'!$E$7:$SJ$7,"Approved")</f>
        <v>0</v>
      </c>
      <c r="V252" s="304">
        <f>SUMIFS('PCO Log'!$E76:$SJ76,'PCO Log'!$E$9:$SJ$9,'Graph Data'!V$187,'PCO Log'!$E$4:$SJ$4,"&lt;&gt;Bid Package",'PCO Log'!$E$7:$SJ$7,"Approved")</f>
        <v>0</v>
      </c>
      <c r="W252" s="304">
        <f>SUMIFS('PCO Log'!$E76:$SJ76,'PCO Log'!$E$9:$SJ$9,'Graph Data'!W$187,'PCO Log'!$E$4:$SJ$4,"&lt;&gt;Bid Package",'PCO Log'!$E$7:$SJ$7,"Approved")</f>
        <v>0</v>
      </c>
      <c r="X252" s="304">
        <f>SUMIFS('PCO Log'!$E76:$SJ76,'PCO Log'!$E$9:$SJ$9,'Graph Data'!X$187,'PCO Log'!$E$4:$SJ$4,"&lt;&gt;Bid Package",'PCO Log'!$E$7:$SJ$7,"Approved")</f>
        <v>0</v>
      </c>
      <c r="Y252" s="304">
        <f>SUMIFS('PCO Log'!$E76:$SJ76,'PCO Log'!$E$9:$SJ$9,'Graph Data'!Y$187,'PCO Log'!$E$4:$SJ$4,"&lt;&gt;Bid Package",'PCO Log'!$E$7:$SJ$7,"Approved")</f>
        <v>0</v>
      </c>
      <c r="Z252" s="304">
        <f>SUMIFS('PCO Log'!$E76:$SJ76,'PCO Log'!$E$9:$SJ$9,'Graph Data'!Z$187,'PCO Log'!$E$4:$SJ$4,"&lt;&gt;Bid Package",'PCO Log'!$E$7:$SJ$7,"Approved")</f>
        <v>0</v>
      </c>
      <c r="AA252" s="304">
        <f>SUMIFS('PCO Log'!$E76:$SJ76,'PCO Log'!$E$9:$SJ$9,'Graph Data'!AA$187,'PCO Log'!$E$4:$SJ$4,"&lt;&gt;Bid Package",'PCO Log'!$E$7:$SJ$7,"Approved")</f>
        <v>0</v>
      </c>
      <c r="AB252" s="304">
        <f>SUMIFS('PCO Log'!$E76:$SJ76,'PCO Log'!$E$9:$SJ$9,'Graph Data'!AB$187,'PCO Log'!$E$4:$SJ$4,"&lt;&gt;Bid Package",'PCO Log'!$E$7:$SJ$7,"Approved")</f>
        <v>0</v>
      </c>
      <c r="AC252" s="304">
        <f>SUMIFS('PCO Log'!$E76:$SJ76,'PCO Log'!$E$9:$SJ$9,'Graph Data'!AC$187,'PCO Log'!$E$4:$SJ$4,"&lt;&gt;Bid Package",'PCO Log'!$E$7:$SJ$7,"Approved")</f>
        <v>0</v>
      </c>
      <c r="AD252" s="304">
        <f>SUMIFS('PCO Log'!$E76:$SJ76,'PCO Log'!$E$9:$SJ$9,'Graph Data'!AD$187,'PCO Log'!$E$4:$SJ$4,"&lt;&gt;Bid Package",'PCO Log'!$E$7:$SJ$7,"Approved")</f>
        <v>0</v>
      </c>
      <c r="AE252" s="304">
        <f>SUMIFS('PCO Log'!$E76:$SJ76,'PCO Log'!$E$9:$SJ$9,'Graph Data'!AE$187,'PCO Log'!$E$4:$SJ$4,"&lt;&gt;Bid Package",'PCO Log'!$E$7:$SJ$7,"Approved")</f>
        <v>0</v>
      </c>
      <c r="AF252" s="304">
        <f>SUMIFS('PCO Log'!$E76:$SJ76,'PCO Log'!$E$9:$SJ$9,'Graph Data'!AF$187,'PCO Log'!$E$4:$SJ$4,"&lt;&gt;Bid Package",'PCO Log'!$E$7:$SJ$7,"Approved")</f>
        <v>0</v>
      </c>
      <c r="AG252" s="304">
        <f>SUMIFS('PCO Log'!$E76:$SJ76,'PCO Log'!$E$9:$SJ$9,'Graph Data'!AG$187,'PCO Log'!$E$4:$SJ$4,"&lt;&gt;Bid Package",'PCO Log'!$E$7:$SJ$7,"Approved")</f>
        <v>0</v>
      </c>
      <c r="AH252" s="304">
        <f>SUMIFS('PCO Log'!$E76:$SJ76,'PCO Log'!$E$9:$SJ$9,'Graph Data'!AH$187,'PCO Log'!$E$4:$SJ$4,"&lt;&gt;Bid Package",'PCO Log'!$E$7:$SJ$7,"Approved")</f>
        <v>0</v>
      </c>
      <c r="AI252" s="304">
        <f>SUMIFS('PCO Log'!$E76:$SJ76,'PCO Log'!$E$9:$SJ$9,'Graph Data'!AI$187,'PCO Log'!$E$4:$SJ$4,"&lt;&gt;Bid Package",'PCO Log'!$E$7:$SJ$7,"Approved")</f>
        <v>0</v>
      </c>
      <c r="AJ252" s="304">
        <f>SUMIFS('PCO Log'!$E76:$SJ76,'PCO Log'!$E$9:$SJ$9,'Graph Data'!AJ$187,'PCO Log'!$E$4:$SJ$4,"&lt;&gt;Bid Package",'PCO Log'!$E$7:$SJ$7,"Approved")</f>
        <v>0</v>
      </c>
      <c r="AK252" s="304">
        <f>SUMIFS('PCO Log'!$E76:$SJ76,'PCO Log'!$E$9:$SJ$9,'Graph Data'!AK$187,'PCO Log'!$E$4:$SJ$4,"&lt;&gt;Bid Package",'PCO Log'!$E$7:$SJ$7,"Approved")</f>
        <v>0</v>
      </c>
      <c r="AL252" s="304">
        <f>SUMIFS('PCO Log'!$E76:$SJ76,'PCO Log'!$E$9:$SJ$9,'Graph Data'!AL$187,'PCO Log'!$E$4:$SJ$4,"&lt;&gt;Bid Package",'PCO Log'!$E$7:$SJ$7,"Approved")</f>
        <v>0</v>
      </c>
      <c r="AM252" s="304">
        <f>SUMIFS('PCO Log'!$E76:$SJ76,'PCO Log'!$E$9:$SJ$9,'Graph Data'!AM$187,'PCO Log'!$E$4:$SJ$4,"&lt;&gt;Bid Package",'PCO Log'!$E$7:$SJ$7,"Approved")</f>
        <v>0</v>
      </c>
      <c r="AN252" s="304">
        <f>SUMIFS('PCO Log'!$E76:$SJ76,'PCO Log'!$E$9:$SJ$9,'Graph Data'!AN$187,'PCO Log'!$E$4:$SJ$4,"&lt;&gt;Bid Package",'PCO Log'!$E$7:$SJ$7,"Approved")</f>
        <v>0</v>
      </c>
      <c r="AO252" s="304">
        <f>SUMIFS('PCO Log'!$E76:$SJ76,'PCO Log'!$E$9:$SJ$9,'Graph Data'!AO$187,'PCO Log'!$E$4:$SJ$4,"&lt;&gt;Bid Package",'PCO Log'!$E$7:$SJ$7,"Approved")</f>
        <v>0</v>
      </c>
      <c r="AP252" s="304">
        <f>SUMIFS('PCO Log'!$E76:$SJ76,'PCO Log'!$E$9:$SJ$9,'Graph Data'!AP$187,'PCO Log'!$E$4:$SJ$4,"&lt;&gt;Bid Package",'PCO Log'!$E$7:$SJ$7,"Approved")</f>
        <v>0</v>
      </c>
      <c r="AQ252" s="304">
        <f>SUMIFS('PCO Log'!$E76:$SJ76,'PCO Log'!$E$9:$SJ$9,'Graph Data'!AQ$187,'PCO Log'!$E$4:$SJ$4,"&lt;&gt;Bid Package",'PCO Log'!$E$7:$SJ$7,"Approved")</f>
        <v>0</v>
      </c>
      <c r="AR252" s="304">
        <f>SUMIFS('PCO Log'!$E76:$SJ76,'PCO Log'!$E$9:$SJ$9,'Graph Data'!AR$187,'PCO Log'!$E$4:$SJ$4,"&lt;&gt;Bid Package",'PCO Log'!$E$7:$SJ$7,"Approved")</f>
        <v>0</v>
      </c>
      <c r="AS252" s="304">
        <f>SUMIFS('PCO Log'!$E76:$SJ76,'PCO Log'!$E$9:$SJ$9,'Graph Data'!AS$187,'PCO Log'!$E$4:$SJ$4,"&lt;&gt;Bid Package",'PCO Log'!$E$7:$SJ$7,"Approved")</f>
        <v>0</v>
      </c>
      <c r="AT252" s="304">
        <f>SUMIFS('PCO Log'!$E76:$SJ76,'PCO Log'!$E$9:$SJ$9,'Graph Data'!AT$187,'PCO Log'!$E$4:$SJ$4,"&lt;&gt;Bid Package",'PCO Log'!$E$7:$SJ$7,"Approved")</f>
        <v>0</v>
      </c>
      <c r="AU252" s="304">
        <f>SUMIFS('PCO Log'!$E76:$SJ76,'PCO Log'!$E$9:$SJ$9,'Graph Data'!AU$187,'PCO Log'!$E$4:$SJ$4,"&lt;&gt;Bid Package",'PCO Log'!$E$7:$SJ$7,"Approved")</f>
        <v>0</v>
      </c>
      <c r="AV252" s="304">
        <f>SUMIFS('PCO Log'!$E76:$SJ76,'PCO Log'!$E$9:$SJ$9,'Graph Data'!AV$187,'PCO Log'!$E$4:$SJ$4,"&lt;&gt;Bid Package",'PCO Log'!$E$7:$SJ$7,"Approved")</f>
        <v>0</v>
      </c>
      <c r="AW252" s="304">
        <f>SUMIFS('PCO Log'!$E76:$SJ76,'PCO Log'!$E$9:$SJ$9,'Graph Data'!AW$187,'PCO Log'!$E$4:$SJ$4,"&lt;&gt;Bid Package",'PCO Log'!$E$7:$SJ$7,"Approved")</f>
        <v>0</v>
      </c>
      <c r="AX252" s="304">
        <f>SUMIFS('PCO Log'!$E76:$SJ76,'PCO Log'!$E$9:$SJ$9,'Graph Data'!AX$187,'PCO Log'!$E$4:$SJ$4,"&lt;&gt;Bid Package",'PCO Log'!$E$7:$SJ$7,"Approved")</f>
        <v>0</v>
      </c>
      <c r="AY252" s="304">
        <f>SUMIFS('PCO Log'!$E76:$SJ76,'PCO Log'!$E$9:$SJ$9,'Graph Data'!AY$187,'PCO Log'!$E$4:$SJ$4,"&lt;&gt;Bid Package",'PCO Log'!$E$7:$SJ$7,"Approved")</f>
        <v>0</v>
      </c>
      <c r="AZ252" s="304">
        <f>SUMIFS('PCO Log'!$E76:$SJ76,'PCO Log'!$E$9:$SJ$9,'Graph Data'!AZ$187,'PCO Log'!$E$4:$SJ$4,"&lt;&gt;Bid Package",'PCO Log'!$E$7:$SJ$7,"Approved")</f>
        <v>0</v>
      </c>
      <c r="BA252" s="304">
        <f>SUMIFS('PCO Log'!$E76:$SJ76,'PCO Log'!$E$9:$SJ$9,'Graph Data'!BA$187,'PCO Log'!$E$4:$SJ$4,"&lt;&gt;Bid Package",'PCO Log'!$E$7:$SJ$7,"Approved")</f>
        <v>0</v>
      </c>
      <c r="BB252" s="304">
        <f>SUMIFS('PCO Log'!$E76:$SJ76,'PCO Log'!$E$9:$SJ$9,'Graph Data'!BB$187,'PCO Log'!$E$4:$SJ$4,"&lt;&gt;Bid Package",'PCO Log'!$E$7:$SJ$7,"Approved")</f>
        <v>0</v>
      </c>
      <c r="BC252" s="304">
        <f>SUMIFS('PCO Log'!$E76:$SJ76,'PCO Log'!$E$9:$SJ$9,'Graph Data'!BC$187,'PCO Log'!$E$4:$SJ$4,"&lt;&gt;Bid Package",'PCO Log'!$E$7:$SJ$7,"Approved")</f>
        <v>0</v>
      </c>
      <c r="BD252" s="304">
        <f>SUMIFS('PCO Log'!$E76:$SJ76,'PCO Log'!$E$9:$SJ$9,'Graph Data'!BD$187,'PCO Log'!$E$4:$SJ$4,"&lt;&gt;Bid Package",'PCO Log'!$E$7:$SJ$7,"Approved")</f>
        <v>0</v>
      </c>
      <c r="BE252" s="304">
        <f>SUMIFS('PCO Log'!$E76:$SJ76,'PCO Log'!$E$9:$SJ$9,'Graph Data'!BE$187,'PCO Log'!$E$4:$SJ$4,"&lt;&gt;Bid Package",'PCO Log'!$E$7:$SJ$7,"Approved")</f>
        <v>0</v>
      </c>
      <c r="BF252" s="304">
        <f>SUMIFS('PCO Log'!$E76:$SJ76,'PCO Log'!$E$9:$SJ$9,'Graph Data'!BF$187,'PCO Log'!$E$4:$SJ$4,"&lt;&gt;Bid Package",'PCO Log'!$E$7:$SJ$7,"Approved")</f>
        <v>0</v>
      </c>
      <c r="BG252" s="304">
        <f>SUMIFS('PCO Log'!$E76:$SJ76,'PCO Log'!$E$9:$SJ$9,'Graph Data'!BG$187,'PCO Log'!$E$4:$SJ$4,"&lt;&gt;Bid Package",'PCO Log'!$E$7:$SJ$7,"Approved")</f>
        <v>0</v>
      </c>
      <c r="BH252" s="304">
        <f>SUMIFS('PCO Log'!$E76:$SJ76,'PCO Log'!$E$9:$SJ$9,'Graph Data'!BH$187,'PCO Log'!$E$4:$SJ$4,"&lt;&gt;Bid Package",'PCO Log'!$E$7:$SJ$7,"Approved")</f>
        <v>0</v>
      </c>
      <c r="BI252" s="304">
        <f>SUMIFS('PCO Log'!$E76:$SJ76,'PCO Log'!$E$9:$SJ$9,'Graph Data'!BI$187,'PCO Log'!$E$4:$SJ$4,"&lt;&gt;Bid Package",'PCO Log'!$E$7:$SJ$7,"Approved")</f>
        <v>0</v>
      </c>
      <c r="BJ252" s="304">
        <f>SUMIFS('PCO Log'!$E76:$SJ76,'PCO Log'!$E$9:$SJ$9,'Graph Data'!BJ$187,'PCO Log'!$E$4:$SJ$4,"&lt;&gt;Bid Package",'PCO Log'!$E$7:$SJ$7,"Approved")</f>
        <v>0</v>
      </c>
      <c r="BK252" s="304">
        <f>SUMIFS('PCO Log'!$E76:$SJ76,'PCO Log'!$E$9:$SJ$9,'Graph Data'!BK$187,'PCO Log'!$E$4:$SJ$4,"&lt;&gt;Bid Package",'PCO Log'!$E$7:$SJ$7,"Approved")</f>
        <v>0</v>
      </c>
      <c r="BL252" s="304">
        <f>SUMIFS('PCO Log'!$E76:$SJ76,'PCO Log'!$E$9:$SJ$9,'Graph Data'!BL$187,'PCO Log'!$E$4:$SJ$4,"&lt;&gt;Bid Package",'PCO Log'!$E$7:$SJ$7,"Approved")</f>
        <v>0</v>
      </c>
      <c r="BM252" s="304">
        <f>SUMIFS('PCO Log'!$E76:$SJ76,'PCO Log'!$E$9:$SJ$9,'Graph Data'!BM$187,'PCO Log'!$E$4:$SJ$4,"&lt;&gt;Bid Package",'PCO Log'!$E$7:$SJ$7,"Approved")</f>
        <v>0</v>
      </c>
      <c r="BN252" s="304">
        <f>SUMIFS('PCO Log'!$E76:$SJ76,'PCO Log'!$E$9:$SJ$9,'Graph Data'!BN$187,'PCO Log'!$E$4:$SJ$4,"&lt;&gt;Bid Package",'PCO Log'!$E$7:$SJ$7,"Approved")</f>
        <v>0</v>
      </c>
      <c r="BO252" s="304">
        <f>SUMIFS('PCO Log'!$E76:$SJ76,'PCO Log'!$E$9:$SJ$9,'Graph Data'!BO$187,'PCO Log'!$E$4:$SJ$4,"&lt;&gt;Bid Package",'PCO Log'!$E$7:$SJ$7,"Approved")</f>
        <v>0</v>
      </c>
      <c r="BP252" s="304">
        <f>SUMIFS('PCO Log'!$E76:$SJ76,'PCO Log'!$E$9:$SJ$9,'Graph Data'!BP$187,'PCO Log'!$E$4:$SJ$4,"&lt;&gt;Bid Package",'PCO Log'!$E$7:$SJ$7,"Approved")</f>
        <v>0</v>
      </c>
      <c r="BQ252" s="304">
        <f>SUMIFS('PCO Log'!$E76:$SJ76,'PCO Log'!$E$9:$SJ$9,'Graph Data'!BQ$187,'PCO Log'!$E$4:$SJ$4,"&lt;&gt;Bid Package",'PCO Log'!$E$7:$SJ$7,"Approved")</f>
        <v>0</v>
      </c>
      <c r="BR252" s="304">
        <f>SUMIFS('PCO Log'!$E76:$SJ76,'PCO Log'!$E$9:$SJ$9,'Graph Data'!BR$187,'PCO Log'!$E$4:$SJ$4,"&lt;&gt;Bid Package",'PCO Log'!$E$7:$SJ$7,"Approved")</f>
        <v>0</v>
      </c>
      <c r="BS252" s="304">
        <f>SUMIFS('PCO Log'!$E76:$SJ76,'PCO Log'!$E$9:$SJ$9,'Graph Data'!BS$187,'PCO Log'!$E$4:$SJ$4,"&lt;&gt;Bid Package",'PCO Log'!$E$7:$SJ$7,"Approved")</f>
        <v>0</v>
      </c>
      <c r="BT252" s="304">
        <f>SUMIFS('PCO Log'!$E76:$SJ76,'PCO Log'!$E$9:$SJ$9,'Graph Data'!BT$187,'PCO Log'!$E$4:$SJ$4,"&lt;&gt;Bid Package",'PCO Log'!$E$7:$SJ$7,"Approved")</f>
        <v>0</v>
      </c>
      <c r="BU252" s="304">
        <f>SUMIFS('PCO Log'!$E76:$SJ76,'PCO Log'!$E$9:$SJ$9,'Graph Data'!BU$187,'PCO Log'!$E$4:$SJ$4,"&lt;&gt;Bid Package",'PCO Log'!$E$7:$SJ$7,"Approved")</f>
        <v>0</v>
      </c>
      <c r="BV252" s="304">
        <f>SUMIFS('PCO Log'!$E76:$SJ76,'PCO Log'!$E$9:$SJ$9,'Graph Data'!BV$187,'PCO Log'!$E$4:$SJ$4,"&lt;&gt;Bid Package",'PCO Log'!$E$7:$SJ$7,"Approved")</f>
        <v>0</v>
      </c>
      <c r="BW252" s="304">
        <f>SUMIFS('PCO Log'!$E76:$SJ76,'PCO Log'!$E$9:$SJ$9,'Graph Data'!BW$187,'PCO Log'!$E$4:$SJ$4,"&lt;&gt;Bid Package",'PCO Log'!$E$7:$SJ$7,"Approved")</f>
        <v>0</v>
      </c>
      <c r="BX252" s="304">
        <f>SUMIFS('PCO Log'!$E76:$SJ76,'PCO Log'!$E$9:$SJ$9,'Graph Data'!BX$187,'PCO Log'!$E$4:$SJ$4,"&lt;&gt;Bid Package",'PCO Log'!$E$7:$SJ$7,"Approved")</f>
        <v>0</v>
      </c>
    </row>
    <row r="253" spans="1:76" x14ac:dyDescent="0.25">
      <c r="A253" s="303" t="s">
        <v>603</v>
      </c>
      <c r="B253" s="303">
        <f>'PCO Log'!IV7</f>
        <v>0</v>
      </c>
      <c r="C253" s="303">
        <f>'PCO Log'!IV4</f>
        <v>0</v>
      </c>
      <c r="D253" s="303" cm="1">
        <f t="array" ref="D253">INDEX('PCO Log'!$E$5:$SJ$5, 1, ROWS('Graph Data'!$D$2:D253))</f>
        <v>0</v>
      </c>
      <c r="E253" s="303">
        <f>'PCO Log'!IV8</f>
        <v>0</v>
      </c>
      <c r="F253" s="303">
        <f>'PCO Log'!IV3</f>
        <v>0</v>
      </c>
      <c r="G253" s="304">
        <f>'PCO Log'!IV10</f>
        <v>0</v>
      </c>
      <c r="H253" s="305">
        <f>'PCO Log'!IV6</f>
        <v>0</v>
      </c>
      <c r="K253" s="307"/>
      <c r="P253" s="303" t="str">
        <f t="shared" si="4"/>
        <v>Lifts</v>
      </c>
      <c r="Q253" s="304">
        <f>SUMIFS('PCO Log'!$E77:$SJ77,'PCO Log'!$E$9:$SJ$9,'Graph Data'!Q$187,'PCO Log'!$E$4:$SJ$4,"&lt;&gt;Bid Package",'PCO Log'!$E$7:$SJ$7,"Approved")</f>
        <v>0</v>
      </c>
      <c r="R253" s="304">
        <f>SUMIFS('PCO Log'!$E77:$SJ77,'PCO Log'!$E$9:$SJ$9,'Graph Data'!R$187,'PCO Log'!$E$4:$SJ$4,"&lt;&gt;Bid Package",'PCO Log'!$E$7:$SJ$7,"Approved")</f>
        <v>0</v>
      </c>
      <c r="S253" s="304">
        <f>SUMIFS('PCO Log'!$E77:$SJ77,'PCO Log'!$E$9:$SJ$9,'Graph Data'!S$187,'PCO Log'!$E$4:$SJ$4,"&lt;&gt;Bid Package",'PCO Log'!$E$7:$SJ$7,"Approved")</f>
        <v>0</v>
      </c>
      <c r="T253" s="304">
        <f>SUMIFS('PCO Log'!$E77:$SJ77,'PCO Log'!$E$9:$SJ$9,'Graph Data'!T$187,'PCO Log'!$E$4:$SJ$4,"&lt;&gt;Bid Package",'PCO Log'!$E$7:$SJ$7,"Approved")</f>
        <v>0</v>
      </c>
      <c r="U253" s="304">
        <f>SUMIFS('PCO Log'!$E77:$SJ77,'PCO Log'!$E$9:$SJ$9,'Graph Data'!U$187,'PCO Log'!$E$4:$SJ$4,"&lt;&gt;Bid Package",'PCO Log'!$E$7:$SJ$7,"Approved")</f>
        <v>0</v>
      </c>
      <c r="V253" s="304">
        <f>SUMIFS('PCO Log'!$E77:$SJ77,'PCO Log'!$E$9:$SJ$9,'Graph Data'!V$187,'PCO Log'!$E$4:$SJ$4,"&lt;&gt;Bid Package",'PCO Log'!$E$7:$SJ$7,"Approved")</f>
        <v>0</v>
      </c>
      <c r="W253" s="304">
        <f>SUMIFS('PCO Log'!$E77:$SJ77,'PCO Log'!$E$9:$SJ$9,'Graph Data'!W$187,'PCO Log'!$E$4:$SJ$4,"&lt;&gt;Bid Package",'PCO Log'!$E$7:$SJ$7,"Approved")</f>
        <v>0</v>
      </c>
      <c r="X253" s="304">
        <f>SUMIFS('PCO Log'!$E77:$SJ77,'PCO Log'!$E$9:$SJ$9,'Graph Data'!X$187,'PCO Log'!$E$4:$SJ$4,"&lt;&gt;Bid Package",'PCO Log'!$E$7:$SJ$7,"Approved")</f>
        <v>0</v>
      </c>
      <c r="Y253" s="304">
        <f>SUMIFS('PCO Log'!$E77:$SJ77,'PCO Log'!$E$9:$SJ$9,'Graph Data'!Y$187,'PCO Log'!$E$4:$SJ$4,"&lt;&gt;Bid Package",'PCO Log'!$E$7:$SJ$7,"Approved")</f>
        <v>0</v>
      </c>
      <c r="Z253" s="304">
        <f>SUMIFS('PCO Log'!$E77:$SJ77,'PCO Log'!$E$9:$SJ$9,'Graph Data'!Z$187,'PCO Log'!$E$4:$SJ$4,"&lt;&gt;Bid Package",'PCO Log'!$E$7:$SJ$7,"Approved")</f>
        <v>0</v>
      </c>
      <c r="AA253" s="304">
        <f>SUMIFS('PCO Log'!$E77:$SJ77,'PCO Log'!$E$9:$SJ$9,'Graph Data'!AA$187,'PCO Log'!$E$4:$SJ$4,"&lt;&gt;Bid Package",'PCO Log'!$E$7:$SJ$7,"Approved")</f>
        <v>0</v>
      </c>
      <c r="AB253" s="304">
        <f>SUMIFS('PCO Log'!$E77:$SJ77,'PCO Log'!$E$9:$SJ$9,'Graph Data'!AB$187,'PCO Log'!$E$4:$SJ$4,"&lt;&gt;Bid Package",'PCO Log'!$E$7:$SJ$7,"Approved")</f>
        <v>0</v>
      </c>
      <c r="AC253" s="304">
        <f>SUMIFS('PCO Log'!$E77:$SJ77,'PCO Log'!$E$9:$SJ$9,'Graph Data'!AC$187,'PCO Log'!$E$4:$SJ$4,"&lt;&gt;Bid Package",'PCO Log'!$E$7:$SJ$7,"Approved")</f>
        <v>0</v>
      </c>
      <c r="AD253" s="304">
        <f>SUMIFS('PCO Log'!$E77:$SJ77,'PCO Log'!$E$9:$SJ$9,'Graph Data'!AD$187,'PCO Log'!$E$4:$SJ$4,"&lt;&gt;Bid Package",'PCO Log'!$E$7:$SJ$7,"Approved")</f>
        <v>0</v>
      </c>
      <c r="AE253" s="304">
        <f>SUMIFS('PCO Log'!$E77:$SJ77,'PCO Log'!$E$9:$SJ$9,'Graph Data'!AE$187,'PCO Log'!$E$4:$SJ$4,"&lt;&gt;Bid Package",'PCO Log'!$E$7:$SJ$7,"Approved")</f>
        <v>0</v>
      </c>
      <c r="AF253" s="304">
        <f>SUMIFS('PCO Log'!$E77:$SJ77,'PCO Log'!$E$9:$SJ$9,'Graph Data'!AF$187,'PCO Log'!$E$4:$SJ$4,"&lt;&gt;Bid Package",'PCO Log'!$E$7:$SJ$7,"Approved")</f>
        <v>0</v>
      </c>
      <c r="AG253" s="304">
        <f>SUMIFS('PCO Log'!$E77:$SJ77,'PCO Log'!$E$9:$SJ$9,'Graph Data'!AG$187,'PCO Log'!$E$4:$SJ$4,"&lt;&gt;Bid Package",'PCO Log'!$E$7:$SJ$7,"Approved")</f>
        <v>0</v>
      </c>
      <c r="AH253" s="304">
        <f>SUMIFS('PCO Log'!$E77:$SJ77,'PCO Log'!$E$9:$SJ$9,'Graph Data'!AH$187,'PCO Log'!$E$4:$SJ$4,"&lt;&gt;Bid Package",'PCO Log'!$E$7:$SJ$7,"Approved")</f>
        <v>0</v>
      </c>
      <c r="AI253" s="304">
        <f>SUMIFS('PCO Log'!$E77:$SJ77,'PCO Log'!$E$9:$SJ$9,'Graph Data'!AI$187,'PCO Log'!$E$4:$SJ$4,"&lt;&gt;Bid Package",'PCO Log'!$E$7:$SJ$7,"Approved")</f>
        <v>0</v>
      </c>
      <c r="AJ253" s="304">
        <f>SUMIFS('PCO Log'!$E77:$SJ77,'PCO Log'!$E$9:$SJ$9,'Graph Data'!AJ$187,'PCO Log'!$E$4:$SJ$4,"&lt;&gt;Bid Package",'PCO Log'!$E$7:$SJ$7,"Approved")</f>
        <v>0</v>
      </c>
      <c r="AK253" s="304">
        <f>SUMIFS('PCO Log'!$E77:$SJ77,'PCO Log'!$E$9:$SJ$9,'Graph Data'!AK$187,'PCO Log'!$E$4:$SJ$4,"&lt;&gt;Bid Package",'PCO Log'!$E$7:$SJ$7,"Approved")</f>
        <v>0</v>
      </c>
      <c r="AL253" s="304">
        <f>SUMIFS('PCO Log'!$E77:$SJ77,'PCO Log'!$E$9:$SJ$9,'Graph Data'!AL$187,'PCO Log'!$E$4:$SJ$4,"&lt;&gt;Bid Package",'PCO Log'!$E$7:$SJ$7,"Approved")</f>
        <v>0</v>
      </c>
      <c r="AM253" s="304">
        <f>SUMIFS('PCO Log'!$E77:$SJ77,'PCO Log'!$E$9:$SJ$9,'Graph Data'!AM$187,'PCO Log'!$E$4:$SJ$4,"&lt;&gt;Bid Package",'PCO Log'!$E$7:$SJ$7,"Approved")</f>
        <v>0</v>
      </c>
      <c r="AN253" s="304">
        <f>SUMIFS('PCO Log'!$E77:$SJ77,'PCO Log'!$E$9:$SJ$9,'Graph Data'!AN$187,'PCO Log'!$E$4:$SJ$4,"&lt;&gt;Bid Package",'PCO Log'!$E$7:$SJ$7,"Approved")</f>
        <v>0</v>
      </c>
      <c r="AO253" s="304">
        <f>SUMIFS('PCO Log'!$E77:$SJ77,'PCO Log'!$E$9:$SJ$9,'Graph Data'!AO$187,'PCO Log'!$E$4:$SJ$4,"&lt;&gt;Bid Package",'PCO Log'!$E$7:$SJ$7,"Approved")</f>
        <v>0</v>
      </c>
      <c r="AP253" s="304">
        <f>SUMIFS('PCO Log'!$E77:$SJ77,'PCO Log'!$E$9:$SJ$9,'Graph Data'!AP$187,'PCO Log'!$E$4:$SJ$4,"&lt;&gt;Bid Package",'PCO Log'!$E$7:$SJ$7,"Approved")</f>
        <v>0</v>
      </c>
      <c r="AQ253" s="304">
        <f>SUMIFS('PCO Log'!$E77:$SJ77,'PCO Log'!$E$9:$SJ$9,'Graph Data'!AQ$187,'PCO Log'!$E$4:$SJ$4,"&lt;&gt;Bid Package",'PCO Log'!$E$7:$SJ$7,"Approved")</f>
        <v>0</v>
      </c>
      <c r="AR253" s="304">
        <f>SUMIFS('PCO Log'!$E77:$SJ77,'PCO Log'!$E$9:$SJ$9,'Graph Data'!AR$187,'PCO Log'!$E$4:$SJ$4,"&lt;&gt;Bid Package",'PCO Log'!$E$7:$SJ$7,"Approved")</f>
        <v>0</v>
      </c>
      <c r="AS253" s="304">
        <f>SUMIFS('PCO Log'!$E77:$SJ77,'PCO Log'!$E$9:$SJ$9,'Graph Data'!AS$187,'PCO Log'!$E$4:$SJ$4,"&lt;&gt;Bid Package",'PCO Log'!$E$7:$SJ$7,"Approved")</f>
        <v>0</v>
      </c>
      <c r="AT253" s="304">
        <f>SUMIFS('PCO Log'!$E77:$SJ77,'PCO Log'!$E$9:$SJ$9,'Graph Data'!AT$187,'PCO Log'!$E$4:$SJ$4,"&lt;&gt;Bid Package",'PCO Log'!$E$7:$SJ$7,"Approved")</f>
        <v>0</v>
      </c>
      <c r="AU253" s="304">
        <f>SUMIFS('PCO Log'!$E77:$SJ77,'PCO Log'!$E$9:$SJ$9,'Graph Data'!AU$187,'PCO Log'!$E$4:$SJ$4,"&lt;&gt;Bid Package",'PCO Log'!$E$7:$SJ$7,"Approved")</f>
        <v>0</v>
      </c>
      <c r="AV253" s="304">
        <f>SUMIFS('PCO Log'!$E77:$SJ77,'PCO Log'!$E$9:$SJ$9,'Graph Data'!AV$187,'PCO Log'!$E$4:$SJ$4,"&lt;&gt;Bid Package",'PCO Log'!$E$7:$SJ$7,"Approved")</f>
        <v>0</v>
      </c>
      <c r="AW253" s="304">
        <f>SUMIFS('PCO Log'!$E77:$SJ77,'PCO Log'!$E$9:$SJ$9,'Graph Data'!AW$187,'PCO Log'!$E$4:$SJ$4,"&lt;&gt;Bid Package",'PCO Log'!$E$7:$SJ$7,"Approved")</f>
        <v>0</v>
      </c>
      <c r="AX253" s="304">
        <f>SUMIFS('PCO Log'!$E77:$SJ77,'PCO Log'!$E$9:$SJ$9,'Graph Data'!AX$187,'PCO Log'!$E$4:$SJ$4,"&lt;&gt;Bid Package",'PCO Log'!$E$7:$SJ$7,"Approved")</f>
        <v>0</v>
      </c>
      <c r="AY253" s="304">
        <f>SUMIFS('PCO Log'!$E77:$SJ77,'PCO Log'!$E$9:$SJ$9,'Graph Data'!AY$187,'PCO Log'!$E$4:$SJ$4,"&lt;&gt;Bid Package",'PCO Log'!$E$7:$SJ$7,"Approved")</f>
        <v>0</v>
      </c>
      <c r="AZ253" s="304">
        <f>SUMIFS('PCO Log'!$E77:$SJ77,'PCO Log'!$E$9:$SJ$9,'Graph Data'!AZ$187,'PCO Log'!$E$4:$SJ$4,"&lt;&gt;Bid Package",'PCO Log'!$E$7:$SJ$7,"Approved")</f>
        <v>0</v>
      </c>
      <c r="BA253" s="304">
        <f>SUMIFS('PCO Log'!$E77:$SJ77,'PCO Log'!$E$9:$SJ$9,'Graph Data'!BA$187,'PCO Log'!$E$4:$SJ$4,"&lt;&gt;Bid Package",'PCO Log'!$E$7:$SJ$7,"Approved")</f>
        <v>0</v>
      </c>
      <c r="BB253" s="304">
        <f>SUMIFS('PCO Log'!$E77:$SJ77,'PCO Log'!$E$9:$SJ$9,'Graph Data'!BB$187,'PCO Log'!$E$4:$SJ$4,"&lt;&gt;Bid Package",'PCO Log'!$E$7:$SJ$7,"Approved")</f>
        <v>0</v>
      </c>
      <c r="BC253" s="304">
        <f>SUMIFS('PCO Log'!$E77:$SJ77,'PCO Log'!$E$9:$SJ$9,'Graph Data'!BC$187,'PCO Log'!$E$4:$SJ$4,"&lt;&gt;Bid Package",'PCO Log'!$E$7:$SJ$7,"Approved")</f>
        <v>0</v>
      </c>
      <c r="BD253" s="304">
        <f>SUMIFS('PCO Log'!$E77:$SJ77,'PCO Log'!$E$9:$SJ$9,'Graph Data'!BD$187,'PCO Log'!$E$4:$SJ$4,"&lt;&gt;Bid Package",'PCO Log'!$E$7:$SJ$7,"Approved")</f>
        <v>0</v>
      </c>
      <c r="BE253" s="304">
        <f>SUMIFS('PCO Log'!$E77:$SJ77,'PCO Log'!$E$9:$SJ$9,'Graph Data'!BE$187,'PCO Log'!$E$4:$SJ$4,"&lt;&gt;Bid Package",'PCO Log'!$E$7:$SJ$7,"Approved")</f>
        <v>0</v>
      </c>
      <c r="BF253" s="304">
        <f>SUMIFS('PCO Log'!$E77:$SJ77,'PCO Log'!$E$9:$SJ$9,'Graph Data'!BF$187,'PCO Log'!$E$4:$SJ$4,"&lt;&gt;Bid Package",'PCO Log'!$E$7:$SJ$7,"Approved")</f>
        <v>0</v>
      </c>
      <c r="BG253" s="304">
        <f>SUMIFS('PCO Log'!$E77:$SJ77,'PCO Log'!$E$9:$SJ$9,'Graph Data'!BG$187,'PCO Log'!$E$4:$SJ$4,"&lt;&gt;Bid Package",'PCO Log'!$E$7:$SJ$7,"Approved")</f>
        <v>0</v>
      </c>
      <c r="BH253" s="304">
        <f>SUMIFS('PCO Log'!$E77:$SJ77,'PCO Log'!$E$9:$SJ$9,'Graph Data'!BH$187,'PCO Log'!$E$4:$SJ$4,"&lt;&gt;Bid Package",'PCO Log'!$E$7:$SJ$7,"Approved")</f>
        <v>0</v>
      </c>
      <c r="BI253" s="304">
        <f>SUMIFS('PCO Log'!$E77:$SJ77,'PCO Log'!$E$9:$SJ$9,'Graph Data'!BI$187,'PCO Log'!$E$4:$SJ$4,"&lt;&gt;Bid Package",'PCO Log'!$E$7:$SJ$7,"Approved")</f>
        <v>0</v>
      </c>
      <c r="BJ253" s="304">
        <f>SUMIFS('PCO Log'!$E77:$SJ77,'PCO Log'!$E$9:$SJ$9,'Graph Data'!BJ$187,'PCO Log'!$E$4:$SJ$4,"&lt;&gt;Bid Package",'PCO Log'!$E$7:$SJ$7,"Approved")</f>
        <v>0</v>
      </c>
      <c r="BK253" s="304">
        <f>SUMIFS('PCO Log'!$E77:$SJ77,'PCO Log'!$E$9:$SJ$9,'Graph Data'!BK$187,'PCO Log'!$E$4:$SJ$4,"&lt;&gt;Bid Package",'PCO Log'!$E$7:$SJ$7,"Approved")</f>
        <v>0</v>
      </c>
      <c r="BL253" s="304">
        <f>SUMIFS('PCO Log'!$E77:$SJ77,'PCO Log'!$E$9:$SJ$9,'Graph Data'!BL$187,'PCO Log'!$E$4:$SJ$4,"&lt;&gt;Bid Package",'PCO Log'!$E$7:$SJ$7,"Approved")</f>
        <v>0</v>
      </c>
      <c r="BM253" s="304">
        <f>SUMIFS('PCO Log'!$E77:$SJ77,'PCO Log'!$E$9:$SJ$9,'Graph Data'!BM$187,'PCO Log'!$E$4:$SJ$4,"&lt;&gt;Bid Package",'PCO Log'!$E$7:$SJ$7,"Approved")</f>
        <v>0</v>
      </c>
      <c r="BN253" s="304">
        <f>SUMIFS('PCO Log'!$E77:$SJ77,'PCO Log'!$E$9:$SJ$9,'Graph Data'!BN$187,'PCO Log'!$E$4:$SJ$4,"&lt;&gt;Bid Package",'PCO Log'!$E$7:$SJ$7,"Approved")</f>
        <v>0</v>
      </c>
      <c r="BO253" s="304">
        <f>SUMIFS('PCO Log'!$E77:$SJ77,'PCO Log'!$E$9:$SJ$9,'Graph Data'!BO$187,'PCO Log'!$E$4:$SJ$4,"&lt;&gt;Bid Package",'PCO Log'!$E$7:$SJ$7,"Approved")</f>
        <v>0</v>
      </c>
      <c r="BP253" s="304">
        <f>SUMIFS('PCO Log'!$E77:$SJ77,'PCO Log'!$E$9:$SJ$9,'Graph Data'!BP$187,'PCO Log'!$E$4:$SJ$4,"&lt;&gt;Bid Package",'PCO Log'!$E$7:$SJ$7,"Approved")</f>
        <v>0</v>
      </c>
      <c r="BQ253" s="304">
        <f>SUMIFS('PCO Log'!$E77:$SJ77,'PCO Log'!$E$9:$SJ$9,'Graph Data'!BQ$187,'PCO Log'!$E$4:$SJ$4,"&lt;&gt;Bid Package",'PCO Log'!$E$7:$SJ$7,"Approved")</f>
        <v>0</v>
      </c>
      <c r="BR253" s="304">
        <f>SUMIFS('PCO Log'!$E77:$SJ77,'PCO Log'!$E$9:$SJ$9,'Graph Data'!BR$187,'PCO Log'!$E$4:$SJ$4,"&lt;&gt;Bid Package",'PCO Log'!$E$7:$SJ$7,"Approved")</f>
        <v>0</v>
      </c>
      <c r="BS253" s="304">
        <f>SUMIFS('PCO Log'!$E77:$SJ77,'PCO Log'!$E$9:$SJ$9,'Graph Data'!BS$187,'PCO Log'!$E$4:$SJ$4,"&lt;&gt;Bid Package",'PCO Log'!$E$7:$SJ$7,"Approved")</f>
        <v>0</v>
      </c>
      <c r="BT253" s="304">
        <f>SUMIFS('PCO Log'!$E77:$SJ77,'PCO Log'!$E$9:$SJ$9,'Graph Data'!BT$187,'PCO Log'!$E$4:$SJ$4,"&lt;&gt;Bid Package",'PCO Log'!$E$7:$SJ$7,"Approved")</f>
        <v>0</v>
      </c>
      <c r="BU253" s="304">
        <f>SUMIFS('PCO Log'!$E77:$SJ77,'PCO Log'!$E$9:$SJ$9,'Graph Data'!BU$187,'PCO Log'!$E$4:$SJ$4,"&lt;&gt;Bid Package",'PCO Log'!$E$7:$SJ$7,"Approved")</f>
        <v>0</v>
      </c>
      <c r="BV253" s="304">
        <f>SUMIFS('PCO Log'!$E77:$SJ77,'PCO Log'!$E$9:$SJ$9,'Graph Data'!BV$187,'PCO Log'!$E$4:$SJ$4,"&lt;&gt;Bid Package",'PCO Log'!$E$7:$SJ$7,"Approved")</f>
        <v>0</v>
      </c>
      <c r="BW253" s="304">
        <f>SUMIFS('PCO Log'!$E77:$SJ77,'PCO Log'!$E$9:$SJ$9,'Graph Data'!BW$187,'PCO Log'!$E$4:$SJ$4,"&lt;&gt;Bid Package",'PCO Log'!$E$7:$SJ$7,"Approved")</f>
        <v>0</v>
      </c>
      <c r="BX253" s="304">
        <f>SUMIFS('PCO Log'!$E77:$SJ77,'PCO Log'!$E$9:$SJ$9,'Graph Data'!BX$187,'PCO Log'!$E$4:$SJ$4,"&lt;&gt;Bid Package",'PCO Log'!$E$7:$SJ$7,"Approved")</f>
        <v>0</v>
      </c>
    </row>
    <row r="254" spans="1:76" x14ac:dyDescent="0.25">
      <c r="A254" s="303" t="s">
        <v>604</v>
      </c>
      <c r="B254" s="303">
        <f>'PCO Log'!IW7</f>
        <v>0</v>
      </c>
      <c r="C254" s="303">
        <f>'PCO Log'!IW4</f>
        <v>0</v>
      </c>
      <c r="D254" s="303" cm="1">
        <f t="array" ref="D254">INDEX('PCO Log'!$E$5:$SJ$5, 1, ROWS('Graph Data'!$D$2:D254))</f>
        <v>0</v>
      </c>
      <c r="E254" s="303">
        <f>'PCO Log'!IW8</f>
        <v>0</v>
      </c>
      <c r="F254" s="303">
        <f>'PCO Log'!IW3</f>
        <v>0</v>
      </c>
      <c r="G254" s="304">
        <f>'PCO Log'!IW10</f>
        <v>0</v>
      </c>
      <c r="H254" s="305">
        <f>'PCO Log'!IW6</f>
        <v>0</v>
      </c>
      <c r="K254" s="307"/>
      <c r="P254" s="303" t="str">
        <f t="shared" si="4"/>
        <v>Mechanical/Plumbing</v>
      </c>
      <c r="Q254" s="304">
        <f>SUMIFS('PCO Log'!$E78:$SJ78,'PCO Log'!$E$9:$SJ$9,'Graph Data'!Q$187,'PCO Log'!$E$4:$SJ$4,"&lt;&gt;Bid Package",'PCO Log'!$E$7:$SJ$7,"Approved")</f>
        <v>0</v>
      </c>
      <c r="R254" s="304">
        <f>SUMIFS('PCO Log'!$E78:$SJ78,'PCO Log'!$E$9:$SJ$9,'Graph Data'!R$187,'PCO Log'!$E$4:$SJ$4,"&lt;&gt;Bid Package",'PCO Log'!$E$7:$SJ$7,"Approved")</f>
        <v>0</v>
      </c>
      <c r="S254" s="304">
        <f>SUMIFS('PCO Log'!$E78:$SJ78,'PCO Log'!$E$9:$SJ$9,'Graph Data'!S$187,'PCO Log'!$E$4:$SJ$4,"&lt;&gt;Bid Package",'PCO Log'!$E$7:$SJ$7,"Approved")</f>
        <v>0</v>
      </c>
      <c r="T254" s="304">
        <f>SUMIFS('PCO Log'!$E78:$SJ78,'PCO Log'!$E$9:$SJ$9,'Graph Data'!T$187,'PCO Log'!$E$4:$SJ$4,"&lt;&gt;Bid Package",'PCO Log'!$E$7:$SJ$7,"Approved")</f>
        <v>0</v>
      </c>
      <c r="U254" s="304">
        <f>SUMIFS('PCO Log'!$E78:$SJ78,'PCO Log'!$E$9:$SJ$9,'Graph Data'!U$187,'PCO Log'!$E$4:$SJ$4,"&lt;&gt;Bid Package",'PCO Log'!$E$7:$SJ$7,"Approved")</f>
        <v>0</v>
      </c>
      <c r="V254" s="304">
        <f>SUMIFS('PCO Log'!$E78:$SJ78,'PCO Log'!$E$9:$SJ$9,'Graph Data'!V$187,'PCO Log'!$E$4:$SJ$4,"&lt;&gt;Bid Package",'PCO Log'!$E$7:$SJ$7,"Approved")</f>
        <v>0</v>
      </c>
      <c r="W254" s="304">
        <f>SUMIFS('PCO Log'!$E78:$SJ78,'PCO Log'!$E$9:$SJ$9,'Graph Data'!W$187,'PCO Log'!$E$4:$SJ$4,"&lt;&gt;Bid Package",'PCO Log'!$E$7:$SJ$7,"Approved")</f>
        <v>0</v>
      </c>
      <c r="X254" s="304">
        <f>SUMIFS('PCO Log'!$E78:$SJ78,'PCO Log'!$E$9:$SJ$9,'Graph Data'!X$187,'PCO Log'!$E$4:$SJ$4,"&lt;&gt;Bid Package",'PCO Log'!$E$7:$SJ$7,"Approved")</f>
        <v>0</v>
      </c>
      <c r="Y254" s="304">
        <f>SUMIFS('PCO Log'!$E78:$SJ78,'PCO Log'!$E$9:$SJ$9,'Graph Data'!Y$187,'PCO Log'!$E$4:$SJ$4,"&lt;&gt;Bid Package",'PCO Log'!$E$7:$SJ$7,"Approved")</f>
        <v>0</v>
      </c>
      <c r="Z254" s="304">
        <f>SUMIFS('PCO Log'!$E78:$SJ78,'PCO Log'!$E$9:$SJ$9,'Graph Data'!Z$187,'PCO Log'!$E$4:$SJ$4,"&lt;&gt;Bid Package",'PCO Log'!$E$7:$SJ$7,"Approved")</f>
        <v>0</v>
      </c>
      <c r="AA254" s="304">
        <f>SUMIFS('PCO Log'!$E78:$SJ78,'PCO Log'!$E$9:$SJ$9,'Graph Data'!AA$187,'PCO Log'!$E$4:$SJ$4,"&lt;&gt;Bid Package",'PCO Log'!$E$7:$SJ$7,"Approved")</f>
        <v>0</v>
      </c>
      <c r="AB254" s="304">
        <f>SUMIFS('PCO Log'!$E78:$SJ78,'PCO Log'!$E$9:$SJ$9,'Graph Data'!AB$187,'PCO Log'!$E$4:$SJ$4,"&lt;&gt;Bid Package",'PCO Log'!$E$7:$SJ$7,"Approved")</f>
        <v>0</v>
      </c>
      <c r="AC254" s="304">
        <f>SUMIFS('PCO Log'!$E78:$SJ78,'PCO Log'!$E$9:$SJ$9,'Graph Data'!AC$187,'PCO Log'!$E$4:$SJ$4,"&lt;&gt;Bid Package",'PCO Log'!$E$7:$SJ$7,"Approved")</f>
        <v>0</v>
      </c>
      <c r="AD254" s="304">
        <f>SUMIFS('PCO Log'!$E78:$SJ78,'PCO Log'!$E$9:$SJ$9,'Graph Data'!AD$187,'PCO Log'!$E$4:$SJ$4,"&lt;&gt;Bid Package",'PCO Log'!$E$7:$SJ$7,"Approved")</f>
        <v>0</v>
      </c>
      <c r="AE254" s="304">
        <f>SUMIFS('PCO Log'!$E78:$SJ78,'PCO Log'!$E$9:$SJ$9,'Graph Data'!AE$187,'PCO Log'!$E$4:$SJ$4,"&lt;&gt;Bid Package",'PCO Log'!$E$7:$SJ$7,"Approved")</f>
        <v>0</v>
      </c>
      <c r="AF254" s="304">
        <f>SUMIFS('PCO Log'!$E78:$SJ78,'PCO Log'!$E$9:$SJ$9,'Graph Data'!AF$187,'PCO Log'!$E$4:$SJ$4,"&lt;&gt;Bid Package",'PCO Log'!$E$7:$SJ$7,"Approved")</f>
        <v>0</v>
      </c>
      <c r="AG254" s="304">
        <f>SUMIFS('PCO Log'!$E78:$SJ78,'PCO Log'!$E$9:$SJ$9,'Graph Data'!AG$187,'PCO Log'!$E$4:$SJ$4,"&lt;&gt;Bid Package",'PCO Log'!$E$7:$SJ$7,"Approved")</f>
        <v>0</v>
      </c>
      <c r="AH254" s="304">
        <f>SUMIFS('PCO Log'!$E78:$SJ78,'PCO Log'!$E$9:$SJ$9,'Graph Data'!AH$187,'PCO Log'!$E$4:$SJ$4,"&lt;&gt;Bid Package",'PCO Log'!$E$7:$SJ$7,"Approved")</f>
        <v>0</v>
      </c>
      <c r="AI254" s="304">
        <f>SUMIFS('PCO Log'!$E78:$SJ78,'PCO Log'!$E$9:$SJ$9,'Graph Data'!AI$187,'PCO Log'!$E$4:$SJ$4,"&lt;&gt;Bid Package",'PCO Log'!$E$7:$SJ$7,"Approved")</f>
        <v>0</v>
      </c>
      <c r="AJ254" s="304">
        <f>SUMIFS('PCO Log'!$E78:$SJ78,'PCO Log'!$E$9:$SJ$9,'Graph Data'!AJ$187,'PCO Log'!$E$4:$SJ$4,"&lt;&gt;Bid Package",'PCO Log'!$E$7:$SJ$7,"Approved")</f>
        <v>0</v>
      </c>
      <c r="AK254" s="304">
        <f>SUMIFS('PCO Log'!$E78:$SJ78,'PCO Log'!$E$9:$SJ$9,'Graph Data'!AK$187,'PCO Log'!$E$4:$SJ$4,"&lt;&gt;Bid Package",'PCO Log'!$E$7:$SJ$7,"Approved")</f>
        <v>0</v>
      </c>
      <c r="AL254" s="304">
        <f>SUMIFS('PCO Log'!$E78:$SJ78,'PCO Log'!$E$9:$SJ$9,'Graph Data'!AL$187,'PCO Log'!$E$4:$SJ$4,"&lt;&gt;Bid Package",'PCO Log'!$E$7:$SJ$7,"Approved")</f>
        <v>0</v>
      </c>
      <c r="AM254" s="304">
        <f>SUMIFS('PCO Log'!$E78:$SJ78,'PCO Log'!$E$9:$SJ$9,'Graph Data'!AM$187,'PCO Log'!$E$4:$SJ$4,"&lt;&gt;Bid Package",'PCO Log'!$E$7:$SJ$7,"Approved")</f>
        <v>0</v>
      </c>
      <c r="AN254" s="304">
        <f>SUMIFS('PCO Log'!$E78:$SJ78,'PCO Log'!$E$9:$SJ$9,'Graph Data'!AN$187,'PCO Log'!$E$4:$SJ$4,"&lt;&gt;Bid Package",'PCO Log'!$E$7:$SJ$7,"Approved")</f>
        <v>0</v>
      </c>
      <c r="AO254" s="304">
        <f>SUMIFS('PCO Log'!$E78:$SJ78,'PCO Log'!$E$9:$SJ$9,'Graph Data'!AO$187,'PCO Log'!$E$4:$SJ$4,"&lt;&gt;Bid Package",'PCO Log'!$E$7:$SJ$7,"Approved")</f>
        <v>0</v>
      </c>
      <c r="AP254" s="304">
        <f>SUMIFS('PCO Log'!$E78:$SJ78,'PCO Log'!$E$9:$SJ$9,'Graph Data'!AP$187,'PCO Log'!$E$4:$SJ$4,"&lt;&gt;Bid Package",'PCO Log'!$E$7:$SJ$7,"Approved")</f>
        <v>0</v>
      </c>
      <c r="AQ254" s="304">
        <f>SUMIFS('PCO Log'!$E78:$SJ78,'PCO Log'!$E$9:$SJ$9,'Graph Data'!AQ$187,'PCO Log'!$E$4:$SJ$4,"&lt;&gt;Bid Package",'PCO Log'!$E$7:$SJ$7,"Approved")</f>
        <v>0</v>
      </c>
      <c r="AR254" s="304">
        <f>SUMIFS('PCO Log'!$E78:$SJ78,'PCO Log'!$E$9:$SJ$9,'Graph Data'!AR$187,'PCO Log'!$E$4:$SJ$4,"&lt;&gt;Bid Package",'PCO Log'!$E$7:$SJ$7,"Approved")</f>
        <v>0</v>
      </c>
      <c r="AS254" s="304">
        <f>SUMIFS('PCO Log'!$E78:$SJ78,'PCO Log'!$E$9:$SJ$9,'Graph Data'!AS$187,'PCO Log'!$E$4:$SJ$4,"&lt;&gt;Bid Package",'PCO Log'!$E$7:$SJ$7,"Approved")</f>
        <v>0</v>
      </c>
      <c r="AT254" s="304">
        <f>SUMIFS('PCO Log'!$E78:$SJ78,'PCO Log'!$E$9:$SJ$9,'Graph Data'!AT$187,'PCO Log'!$E$4:$SJ$4,"&lt;&gt;Bid Package",'PCO Log'!$E$7:$SJ$7,"Approved")</f>
        <v>0</v>
      </c>
      <c r="AU254" s="304">
        <f>SUMIFS('PCO Log'!$E78:$SJ78,'PCO Log'!$E$9:$SJ$9,'Graph Data'!AU$187,'PCO Log'!$E$4:$SJ$4,"&lt;&gt;Bid Package",'PCO Log'!$E$7:$SJ$7,"Approved")</f>
        <v>0</v>
      </c>
      <c r="AV254" s="304">
        <f>SUMIFS('PCO Log'!$E78:$SJ78,'PCO Log'!$E$9:$SJ$9,'Graph Data'!AV$187,'PCO Log'!$E$4:$SJ$4,"&lt;&gt;Bid Package",'PCO Log'!$E$7:$SJ$7,"Approved")</f>
        <v>0</v>
      </c>
      <c r="AW254" s="304">
        <f>SUMIFS('PCO Log'!$E78:$SJ78,'PCO Log'!$E$9:$SJ$9,'Graph Data'!AW$187,'PCO Log'!$E$4:$SJ$4,"&lt;&gt;Bid Package",'PCO Log'!$E$7:$SJ$7,"Approved")</f>
        <v>0</v>
      </c>
      <c r="AX254" s="304">
        <f>SUMIFS('PCO Log'!$E78:$SJ78,'PCO Log'!$E$9:$SJ$9,'Graph Data'!AX$187,'PCO Log'!$E$4:$SJ$4,"&lt;&gt;Bid Package",'PCO Log'!$E$7:$SJ$7,"Approved")</f>
        <v>0</v>
      </c>
      <c r="AY254" s="304">
        <f>SUMIFS('PCO Log'!$E78:$SJ78,'PCO Log'!$E$9:$SJ$9,'Graph Data'!AY$187,'PCO Log'!$E$4:$SJ$4,"&lt;&gt;Bid Package",'PCO Log'!$E$7:$SJ$7,"Approved")</f>
        <v>0</v>
      </c>
      <c r="AZ254" s="304">
        <f>SUMIFS('PCO Log'!$E78:$SJ78,'PCO Log'!$E$9:$SJ$9,'Graph Data'!AZ$187,'PCO Log'!$E$4:$SJ$4,"&lt;&gt;Bid Package",'PCO Log'!$E$7:$SJ$7,"Approved")</f>
        <v>0</v>
      </c>
      <c r="BA254" s="304">
        <f>SUMIFS('PCO Log'!$E78:$SJ78,'PCO Log'!$E$9:$SJ$9,'Graph Data'!BA$187,'PCO Log'!$E$4:$SJ$4,"&lt;&gt;Bid Package",'PCO Log'!$E$7:$SJ$7,"Approved")</f>
        <v>0</v>
      </c>
      <c r="BB254" s="304">
        <f>SUMIFS('PCO Log'!$E78:$SJ78,'PCO Log'!$E$9:$SJ$9,'Graph Data'!BB$187,'PCO Log'!$E$4:$SJ$4,"&lt;&gt;Bid Package",'PCO Log'!$E$7:$SJ$7,"Approved")</f>
        <v>0</v>
      </c>
      <c r="BC254" s="304">
        <f>SUMIFS('PCO Log'!$E78:$SJ78,'PCO Log'!$E$9:$SJ$9,'Graph Data'!BC$187,'PCO Log'!$E$4:$SJ$4,"&lt;&gt;Bid Package",'PCO Log'!$E$7:$SJ$7,"Approved")</f>
        <v>0</v>
      </c>
      <c r="BD254" s="304">
        <f>SUMIFS('PCO Log'!$E78:$SJ78,'PCO Log'!$E$9:$SJ$9,'Graph Data'!BD$187,'PCO Log'!$E$4:$SJ$4,"&lt;&gt;Bid Package",'PCO Log'!$E$7:$SJ$7,"Approved")</f>
        <v>0</v>
      </c>
      <c r="BE254" s="304">
        <f>SUMIFS('PCO Log'!$E78:$SJ78,'PCO Log'!$E$9:$SJ$9,'Graph Data'!BE$187,'PCO Log'!$E$4:$SJ$4,"&lt;&gt;Bid Package",'PCO Log'!$E$7:$SJ$7,"Approved")</f>
        <v>0</v>
      </c>
      <c r="BF254" s="304">
        <f>SUMIFS('PCO Log'!$E78:$SJ78,'PCO Log'!$E$9:$SJ$9,'Graph Data'!BF$187,'PCO Log'!$E$4:$SJ$4,"&lt;&gt;Bid Package",'PCO Log'!$E$7:$SJ$7,"Approved")</f>
        <v>0</v>
      </c>
      <c r="BG254" s="304">
        <f>SUMIFS('PCO Log'!$E78:$SJ78,'PCO Log'!$E$9:$SJ$9,'Graph Data'!BG$187,'PCO Log'!$E$4:$SJ$4,"&lt;&gt;Bid Package",'PCO Log'!$E$7:$SJ$7,"Approved")</f>
        <v>0</v>
      </c>
      <c r="BH254" s="304">
        <f>SUMIFS('PCO Log'!$E78:$SJ78,'PCO Log'!$E$9:$SJ$9,'Graph Data'!BH$187,'PCO Log'!$E$4:$SJ$4,"&lt;&gt;Bid Package",'PCO Log'!$E$7:$SJ$7,"Approved")</f>
        <v>0</v>
      </c>
      <c r="BI254" s="304">
        <f>SUMIFS('PCO Log'!$E78:$SJ78,'PCO Log'!$E$9:$SJ$9,'Graph Data'!BI$187,'PCO Log'!$E$4:$SJ$4,"&lt;&gt;Bid Package",'PCO Log'!$E$7:$SJ$7,"Approved")</f>
        <v>0</v>
      </c>
      <c r="BJ254" s="304">
        <f>SUMIFS('PCO Log'!$E78:$SJ78,'PCO Log'!$E$9:$SJ$9,'Graph Data'!BJ$187,'PCO Log'!$E$4:$SJ$4,"&lt;&gt;Bid Package",'PCO Log'!$E$7:$SJ$7,"Approved")</f>
        <v>0</v>
      </c>
      <c r="BK254" s="304">
        <f>SUMIFS('PCO Log'!$E78:$SJ78,'PCO Log'!$E$9:$SJ$9,'Graph Data'!BK$187,'PCO Log'!$E$4:$SJ$4,"&lt;&gt;Bid Package",'PCO Log'!$E$7:$SJ$7,"Approved")</f>
        <v>0</v>
      </c>
      <c r="BL254" s="304">
        <f>SUMIFS('PCO Log'!$E78:$SJ78,'PCO Log'!$E$9:$SJ$9,'Graph Data'!BL$187,'PCO Log'!$E$4:$SJ$4,"&lt;&gt;Bid Package",'PCO Log'!$E$7:$SJ$7,"Approved")</f>
        <v>0</v>
      </c>
      <c r="BM254" s="304">
        <f>SUMIFS('PCO Log'!$E78:$SJ78,'PCO Log'!$E$9:$SJ$9,'Graph Data'!BM$187,'PCO Log'!$E$4:$SJ$4,"&lt;&gt;Bid Package",'PCO Log'!$E$7:$SJ$7,"Approved")</f>
        <v>0</v>
      </c>
      <c r="BN254" s="304">
        <f>SUMIFS('PCO Log'!$E78:$SJ78,'PCO Log'!$E$9:$SJ$9,'Graph Data'!BN$187,'PCO Log'!$E$4:$SJ$4,"&lt;&gt;Bid Package",'PCO Log'!$E$7:$SJ$7,"Approved")</f>
        <v>0</v>
      </c>
      <c r="BO254" s="304">
        <f>SUMIFS('PCO Log'!$E78:$SJ78,'PCO Log'!$E$9:$SJ$9,'Graph Data'!BO$187,'PCO Log'!$E$4:$SJ$4,"&lt;&gt;Bid Package",'PCO Log'!$E$7:$SJ$7,"Approved")</f>
        <v>0</v>
      </c>
      <c r="BP254" s="304">
        <f>SUMIFS('PCO Log'!$E78:$SJ78,'PCO Log'!$E$9:$SJ$9,'Graph Data'!BP$187,'PCO Log'!$E$4:$SJ$4,"&lt;&gt;Bid Package",'PCO Log'!$E$7:$SJ$7,"Approved")</f>
        <v>0</v>
      </c>
      <c r="BQ254" s="304">
        <f>SUMIFS('PCO Log'!$E78:$SJ78,'PCO Log'!$E$9:$SJ$9,'Graph Data'!BQ$187,'PCO Log'!$E$4:$SJ$4,"&lt;&gt;Bid Package",'PCO Log'!$E$7:$SJ$7,"Approved")</f>
        <v>0</v>
      </c>
      <c r="BR254" s="304">
        <f>SUMIFS('PCO Log'!$E78:$SJ78,'PCO Log'!$E$9:$SJ$9,'Graph Data'!BR$187,'PCO Log'!$E$4:$SJ$4,"&lt;&gt;Bid Package",'PCO Log'!$E$7:$SJ$7,"Approved")</f>
        <v>0</v>
      </c>
      <c r="BS254" s="304">
        <f>SUMIFS('PCO Log'!$E78:$SJ78,'PCO Log'!$E$9:$SJ$9,'Graph Data'!BS$187,'PCO Log'!$E$4:$SJ$4,"&lt;&gt;Bid Package",'PCO Log'!$E$7:$SJ$7,"Approved")</f>
        <v>0</v>
      </c>
      <c r="BT254" s="304">
        <f>SUMIFS('PCO Log'!$E78:$SJ78,'PCO Log'!$E$9:$SJ$9,'Graph Data'!BT$187,'PCO Log'!$E$4:$SJ$4,"&lt;&gt;Bid Package",'PCO Log'!$E$7:$SJ$7,"Approved")</f>
        <v>0</v>
      </c>
      <c r="BU254" s="304">
        <f>SUMIFS('PCO Log'!$E78:$SJ78,'PCO Log'!$E$9:$SJ$9,'Graph Data'!BU$187,'PCO Log'!$E$4:$SJ$4,"&lt;&gt;Bid Package",'PCO Log'!$E$7:$SJ$7,"Approved")</f>
        <v>0</v>
      </c>
      <c r="BV254" s="304">
        <f>SUMIFS('PCO Log'!$E78:$SJ78,'PCO Log'!$E$9:$SJ$9,'Graph Data'!BV$187,'PCO Log'!$E$4:$SJ$4,"&lt;&gt;Bid Package",'PCO Log'!$E$7:$SJ$7,"Approved")</f>
        <v>0</v>
      </c>
      <c r="BW254" s="304">
        <f>SUMIFS('PCO Log'!$E78:$SJ78,'PCO Log'!$E$9:$SJ$9,'Graph Data'!BW$187,'PCO Log'!$E$4:$SJ$4,"&lt;&gt;Bid Package",'PCO Log'!$E$7:$SJ$7,"Approved")</f>
        <v>0</v>
      </c>
      <c r="BX254" s="304">
        <f>SUMIFS('PCO Log'!$E78:$SJ78,'PCO Log'!$E$9:$SJ$9,'Graph Data'!BX$187,'PCO Log'!$E$4:$SJ$4,"&lt;&gt;Bid Package",'PCO Log'!$E$7:$SJ$7,"Approved")</f>
        <v>0</v>
      </c>
    </row>
    <row r="255" spans="1:76" x14ac:dyDescent="0.25">
      <c r="A255" s="303" t="s">
        <v>605</v>
      </c>
      <c r="B255" s="303">
        <f>'PCO Log'!IX7</f>
        <v>0</v>
      </c>
      <c r="C255" s="303">
        <f>'PCO Log'!IX4</f>
        <v>0</v>
      </c>
      <c r="D255" s="303" cm="1">
        <f t="array" ref="D255">INDEX('PCO Log'!$E$5:$SJ$5, 1, ROWS('Graph Data'!$D$2:D255))</f>
        <v>0</v>
      </c>
      <c r="E255" s="303">
        <f>'PCO Log'!IX8</f>
        <v>0</v>
      </c>
      <c r="F255" s="303">
        <f>'PCO Log'!IX3</f>
        <v>0</v>
      </c>
      <c r="G255" s="304">
        <f>'PCO Log'!IX10</f>
        <v>0</v>
      </c>
      <c r="H255" s="305">
        <f>'PCO Log'!IX6</f>
        <v>0</v>
      </c>
      <c r="K255" s="307"/>
      <c r="P255" s="303" t="str">
        <f t="shared" si="4"/>
        <v>Fire Sprinklers/Pumps</v>
      </c>
      <c r="Q255" s="304">
        <f>SUMIFS('PCO Log'!$E79:$SJ79,'PCO Log'!$E$9:$SJ$9,'Graph Data'!Q$187,'PCO Log'!$E$4:$SJ$4,"&lt;&gt;Bid Package",'PCO Log'!$E$7:$SJ$7,"Approved")</f>
        <v>0</v>
      </c>
      <c r="R255" s="304">
        <f>SUMIFS('PCO Log'!$E79:$SJ79,'PCO Log'!$E$9:$SJ$9,'Graph Data'!R$187,'PCO Log'!$E$4:$SJ$4,"&lt;&gt;Bid Package",'PCO Log'!$E$7:$SJ$7,"Approved")</f>
        <v>0</v>
      </c>
      <c r="S255" s="304">
        <f>SUMIFS('PCO Log'!$E79:$SJ79,'PCO Log'!$E$9:$SJ$9,'Graph Data'!S$187,'PCO Log'!$E$4:$SJ$4,"&lt;&gt;Bid Package",'PCO Log'!$E$7:$SJ$7,"Approved")</f>
        <v>0</v>
      </c>
      <c r="T255" s="304">
        <f>SUMIFS('PCO Log'!$E79:$SJ79,'PCO Log'!$E$9:$SJ$9,'Graph Data'!T$187,'PCO Log'!$E$4:$SJ$4,"&lt;&gt;Bid Package",'PCO Log'!$E$7:$SJ$7,"Approved")</f>
        <v>0</v>
      </c>
      <c r="U255" s="304">
        <f>SUMIFS('PCO Log'!$E79:$SJ79,'PCO Log'!$E$9:$SJ$9,'Graph Data'!U$187,'PCO Log'!$E$4:$SJ$4,"&lt;&gt;Bid Package",'PCO Log'!$E$7:$SJ$7,"Approved")</f>
        <v>0</v>
      </c>
      <c r="V255" s="304">
        <f>SUMIFS('PCO Log'!$E79:$SJ79,'PCO Log'!$E$9:$SJ$9,'Graph Data'!V$187,'PCO Log'!$E$4:$SJ$4,"&lt;&gt;Bid Package",'PCO Log'!$E$7:$SJ$7,"Approved")</f>
        <v>0</v>
      </c>
      <c r="W255" s="304">
        <f>SUMIFS('PCO Log'!$E79:$SJ79,'PCO Log'!$E$9:$SJ$9,'Graph Data'!W$187,'PCO Log'!$E$4:$SJ$4,"&lt;&gt;Bid Package",'PCO Log'!$E$7:$SJ$7,"Approved")</f>
        <v>0</v>
      </c>
      <c r="X255" s="304">
        <f>SUMIFS('PCO Log'!$E79:$SJ79,'PCO Log'!$E$9:$SJ$9,'Graph Data'!X$187,'PCO Log'!$E$4:$SJ$4,"&lt;&gt;Bid Package",'PCO Log'!$E$7:$SJ$7,"Approved")</f>
        <v>0</v>
      </c>
      <c r="Y255" s="304">
        <f>SUMIFS('PCO Log'!$E79:$SJ79,'PCO Log'!$E$9:$SJ$9,'Graph Data'!Y$187,'PCO Log'!$E$4:$SJ$4,"&lt;&gt;Bid Package",'PCO Log'!$E$7:$SJ$7,"Approved")</f>
        <v>0</v>
      </c>
      <c r="Z255" s="304">
        <f>SUMIFS('PCO Log'!$E79:$SJ79,'PCO Log'!$E$9:$SJ$9,'Graph Data'!Z$187,'PCO Log'!$E$4:$SJ$4,"&lt;&gt;Bid Package",'PCO Log'!$E$7:$SJ$7,"Approved")</f>
        <v>0</v>
      </c>
      <c r="AA255" s="304">
        <f>SUMIFS('PCO Log'!$E79:$SJ79,'PCO Log'!$E$9:$SJ$9,'Graph Data'!AA$187,'PCO Log'!$E$4:$SJ$4,"&lt;&gt;Bid Package",'PCO Log'!$E$7:$SJ$7,"Approved")</f>
        <v>0</v>
      </c>
      <c r="AB255" s="304">
        <f>SUMIFS('PCO Log'!$E79:$SJ79,'PCO Log'!$E$9:$SJ$9,'Graph Data'!AB$187,'PCO Log'!$E$4:$SJ$4,"&lt;&gt;Bid Package",'PCO Log'!$E$7:$SJ$7,"Approved")</f>
        <v>0</v>
      </c>
      <c r="AC255" s="304">
        <f>SUMIFS('PCO Log'!$E79:$SJ79,'PCO Log'!$E$9:$SJ$9,'Graph Data'!AC$187,'PCO Log'!$E$4:$SJ$4,"&lt;&gt;Bid Package",'PCO Log'!$E$7:$SJ$7,"Approved")</f>
        <v>0</v>
      </c>
      <c r="AD255" s="304">
        <f>SUMIFS('PCO Log'!$E79:$SJ79,'PCO Log'!$E$9:$SJ$9,'Graph Data'!AD$187,'PCO Log'!$E$4:$SJ$4,"&lt;&gt;Bid Package",'PCO Log'!$E$7:$SJ$7,"Approved")</f>
        <v>0</v>
      </c>
      <c r="AE255" s="304">
        <f>SUMIFS('PCO Log'!$E79:$SJ79,'PCO Log'!$E$9:$SJ$9,'Graph Data'!AE$187,'PCO Log'!$E$4:$SJ$4,"&lt;&gt;Bid Package",'PCO Log'!$E$7:$SJ$7,"Approved")</f>
        <v>0</v>
      </c>
      <c r="AF255" s="304">
        <f>SUMIFS('PCO Log'!$E79:$SJ79,'PCO Log'!$E$9:$SJ$9,'Graph Data'!AF$187,'PCO Log'!$E$4:$SJ$4,"&lt;&gt;Bid Package",'PCO Log'!$E$7:$SJ$7,"Approved")</f>
        <v>0</v>
      </c>
      <c r="AG255" s="304">
        <f>SUMIFS('PCO Log'!$E79:$SJ79,'PCO Log'!$E$9:$SJ$9,'Graph Data'!AG$187,'PCO Log'!$E$4:$SJ$4,"&lt;&gt;Bid Package",'PCO Log'!$E$7:$SJ$7,"Approved")</f>
        <v>0</v>
      </c>
      <c r="AH255" s="304">
        <f>SUMIFS('PCO Log'!$E79:$SJ79,'PCO Log'!$E$9:$SJ$9,'Graph Data'!AH$187,'PCO Log'!$E$4:$SJ$4,"&lt;&gt;Bid Package",'PCO Log'!$E$7:$SJ$7,"Approved")</f>
        <v>0</v>
      </c>
      <c r="AI255" s="304">
        <f>SUMIFS('PCO Log'!$E79:$SJ79,'PCO Log'!$E$9:$SJ$9,'Graph Data'!AI$187,'PCO Log'!$E$4:$SJ$4,"&lt;&gt;Bid Package",'PCO Log'!$E$7:$SJ$7,"Approved")</f>
        <v>0</v>
      </c>
      <c r="AJ255" s="304">
        <f>SUMIFS('PCO Log'!$E79:$SJ79,'PCO Log'!$E$9:$SJ$9,'Graph Data'!AJ$187,'PCO Log'!$E$4:$SJ$4,"&lt;&gt;Bid Package",'PCO Log'!$E$7:$SJ$7,"Approved")</f>
        <v>0</v>
      </c>
      <c r="AK255" s="304">
        <f>SUMIFS('PCO Log'!$E79:$SJ79,'PCO Log'!$E$9:$SJ$9,'Graph Data'!AK$187,'PCO Log'!$E$4:$SJ$4,"&lt;&gt;Bid Package",'PCO Log'!$E$7:$SJ$7,"Approved")</f>
        <v>0</v>
      </c>
      <c r="AL255" s="304">
        <f>SUMIFS('PCO Log'!$E79:$SJ79,'PCO Log'!$E$9:$SJ$9,'Graph Data'!AL$187,'PCO Log'!$E$4:$SJ$4,"&lt;&gt;Bid Package",'PCO Log'!$E$7:$SJ$7,"Approved")</f>
        <v>0</v>
      </c>
      <c r="AM255" s="304">
        <f>SUMIFS('PCO Log'!$E79:$SJ79,'PCO Log'!$E$9:$SJ$9,'Graph Data'!AM$187,'PCO Log'!$E$4:$SJ$4,"&lt;&gt;Bid Package",'PCO Log'!$E$7:$SJ$7,"Approved")</f>
        <v>0</v>
      </c>
      <c r="AN255" s="304">
        <f>SUMIFS('PCO Log'!$E79:$SJ79,'PCO Log'!$E$9:$SJ$9,'Graph Data'!AN$187,'PCO Log'!$E$4:$SJ$4,"&lt;&gt;Bid Package",'PCO Log'!$E$7:$SJ$7,"Approved")</f>
        <v>0</v>
      </c>
      <c r="AO255" s="304">
        <f>SUMIFS('PCO Log'!$E79:$SJ79,'PCO Log'!$E$9:$SJ$9,'Graph Data'!AO$187,'PCO Log'!$E$4:$SJ$4,"&lt;&gt;Bid Package",'PCO Log'!$E$7:$SJ$7,"Approved")</f>
        <v>0</v>
      </c>
      <c r="AP255" s="304">
        <f>SUMIFS('PCO Log'!$E79:$SJ79,'PCO Log'!$E$9:$SJ$9,'Graph Data'!AP$187,'PCO Log'!$E$4:$SJ$4,"&lt;&gt;Bid Package",'PCO Log'!$E$7:$SJ$7,"Approved")</f>
        <v>0</v>
      </c>
      <c r="AQ255" s="304">
        <f>SUMIFS('PCO Log'!$E79:$SJ79,'PCO Log'!$E$9:$SJ$9,'Graph Data'!AQ$187,'PCO Log'!$E$4:$SJ$4,"&lt;&gt;Bid Package",'PCO Log'!$E$7:$SJ$7,"Approved")</f>
        <v>0</v>
      </c>
      <c r="AR255" s="304">
        <f>SUMIFS('PCO Log'!$E79:$SJ79,'PCO Log'!$E$9:$SJ$9,'Graph Data'!AR$187,'PCO Log'!$E$4:$SJ$4,"&lt;&gt;Bid Package",'PCO Log'!$E$7:$SJ$7,"Approved")</f>
        <v>0</v>
      </c>
      <c r="AS255" s="304">
        <f>SUMIFS('PCO Log'!$E79:$SJ79,'PCO Log'!$E$9:$SJ$9,'Graph Data'!AS$187,'PCO Log'!$E$4:$SJ$4,"&lt;&gt;Bid Package",'PCO Log'!$E$7:$SJ$7,"Approved")</f>
        <v>0</v>
      </c>
      <c r="AT255" s="304">
        <f>SUMIFS('PCO Log'!$E79:$SJ79,'PCO Log'!$E$9:$SJ$9,'Graph Data'!AT$187,'PCO Log'!$E$4:$SJ$4,"&lt;&gt;Bid Package",'PCO Log'!$E$7:$SJ$7,"Approved")</f>
        <v>0</v>
      </c>
      <c r="AU255" s="304">
        <f>SUMIFS('PCO Log'!$E79:$SJ79,'PCO Log'!$E$9:$SJ$9,'Graph Data'!AU$187,'PCO Log'!$E$4:$SJ$4,"&lt;&gt;Bid Package",'PCO Log'!$E$7:$SJ$7,"Approved")</f>
        <v>0</v>
      </c>
      <c r="AV255" s="304">
        <f>SUMIFS('PCO Log'!$E79:$SJ79,'PCO Log'!$E$9:$SJ$9,'Graph Data'!AV$187,'PCO Log'!$E$4:$SJ$4,"&lt;&gt;Bid Package",'PCO Log'!$E$7:$SJ$7,"Approved")</f>
        <v>0</v>
      </c>
      <c r="AW255" s="304">
        <f>SUMIFS('PCO Log'!$E79:$SJ79,'PCO Log'!$E$9:$SJ$9,'Graph Data'!AW$187,'PCO Log'!$E$4:$SJ$4,"&lt;&gt;Bid Package",'PCO Log'!$E$7:$SJ$7,"Approved")</f>
        <v>0</v>
      </c>
      <c r="AX255" s="304">
        <f>SUMIFS('PCO Log'!$E79:$SJ79,'PCO Log'!$E$9:$SJ$9,'Graph Data'!AX$187,'PCO Log'!$E$4:$SJ$4,"&lt;&gt;Bid Package",'PCO Log'!$E$7:$SJ$7,"Approved")</f>
        <v>0</v>
      </c>
      <c r="AY255" s="304">
        <f>SUMIFS('PCO Log'!$E79:$SJ79,'PCO Log'!$E$9:$SJ$9,'Graph Data'!AY$187,'PCO Log'!$E$4:$SJ$4,"&lt;&gt;Bid Package",'PCO Log'!$E$7:$SJ$7,"Approved")</f>
        <v>0</v>
      </c>
      <c r="AZ255" s="304">
        <f>SUMIFS('PCO Log'!$E79:$SJ79,'PCO Log'!$E$9:$SJ$9,'Graph Data'!AZ$187,'PCO Log'!$E$4:$SJ$4,"&lt;&gt;Bid Package",'PCO Log'!$E$7:$SJ$7,"Approved")</f>
        <v>0</v>
      </c>
      <c r="BA255" s="304">
        <f>SUMIFS('PCO Log'!$E79:$SJ79,'PCO Log'!$E$9:$SJ$9,'Graph Data'!BA$187,'PCO Log'!$E$4:$SJ$4,"&lt;&gt;Bid Package",'PCO Log'!$E$7:$SJ$7,"Approved")</f>
        <v>0</v>
      </c>
      <c r="BB255" s="304">
        <f>SUMIFS('PCO Log'!$E79:$SJ79,'PCO Log'!$E$9:$SJ$9,'Graph Data'!BB$187,'PCO Log'!$E$4:$SJ$4,"&lt;&gt;Bid Package",'PCO Log'!$E$7:$SJ$7,"Approved")</f>
        <v>0</v>
      </c>
      <c r="BC255" s="304">
        <f>SUMIFS('PCO Log'!$E79:$SJ79,'PCO Log'!$E$9:$SJ$9,'Graph Data'!BC$187,'PCO Log'!$E$4:$SJ$4,"&lt;&gt;Bid Package",'PCO Log'!$E$7:$SJ$7,"Approved")</f>
        <v>0</v>
      </c>
      <c r="BD255" s="304">
        <f>SUMIFS('PCO Log'!$E79:$SJ79,'PCO Log'!$E$9:$SJ$9,'Graph Data'!BD$187,'PCO Log'!$E$4:$SJ$4,"&lt;&gt;Bid Package",'PCO Log'!$E$7:$SJ$7,"Approved")</f>
        <v>0</v>
      </c>
      <c r="BE255" s="304">
        <f>SUMIFS('PCO Log'!$E79:$SJ79,'PCO Log'!$E$9:$SJ$9,'Graph Data'!BE$187,'PCO Log'!$E$4:$SJ$4,"&lt;&gt;Bid Package",'PCO Log'!$E$7:$SJ$7,"Approved")</f>
        <v>0</v>
      </c>
      <c r="BF255" s="304">
        <f>SUMIFS('PCO Log'!$E79:$SJ79,'PCO Log'!$E$9:$SJ$9,'Graph Data'!BF$187,'PCO Log'!$E$4:$SJ$4,"&lt;&gt;Bid Package",'PCO Log'!$E$7:$SJ$7,"Approved")</f>
        <v>0</v>
      </c>
      <c r="BG255" s="304">
        <f>SUMIFS('PCO Log'!$E79:$SJ79,'PCO Log'!$E$9:$SJ$9,'Graph Data'!BG$187,'PCO Log'!$E$4:$SJ$4,"&lt;&gt;Bid Package",'PCO Log'!$E$7:$SJ$7,"Approved")</f>
        <v>0</v>
      </c>
      <c r="BH255" s="304">
        <f>SUMIFS('PCO Log'!$E79:$SJ79,'PCO Log'!$E$9:$SJ$9,'Graph Data'!BH$187,'PCO Log'!$E$4:$SJ$4,"&lt;&gt;Bid Package",'PCO Log'!$E$7:$SJ$7,"Approved")</f>
        <v>0</v>
      </c>
      <c r="BI255" s="304">
        <f>SUMIFS('PCO Log'!$E79:$SJ79,'PCO Log'!$E$9:$SJ$9,'Graph Data'!BI$187,'PCO Log'!$E$4:$SJ$4,"&lt;&gt;Bid Package",'PCO Log'!$E$7:$SJ$7,"Approved")</f>
        <v>0</v>
      </c>
      <c r="BJ255" s="304">
        <f>SUMIFS('PCO Log'!$E79:$SJ79,'PCO Log'!$E$9:$SJ$9,'Graph Data'!BJ$187,'PCO Log'!$E$4:$SJ$4,"&lt;&gt;Bid Package",'PCO Log'!$E$7:$SJ$7,"Approved")</f>
        <v>0</v>
      </c>
      <c r="BK255" s="304">
        <f>SUMIFS('PCO Log'!$E79:$SJ79,'PCO Log'!$E$9:$SJ$9,'Graph Data'!BK$187,'PCO Log'!$E$4:$SJ$4,"&lt;&gt;Bid Package",'PCO Log'!$E$7:$SJ$7,"Approved")</f>
        <v>0</v>
      </c>
      <c r="BL255" s="304">
        <f>SUMIFS('PCO Log'!$E79:$SJ79,'PCO Log'!$E$9:$SJ$9,'Graph Data'!BL$187,'PCO Log'!$E$4:$SJ$4,"&lt;&gt;Bid Package",'PCO Log'!$E$7:$SJ$7,"Approved")</f>
        <v>0</v>
      </c>
      <c r="BM255" s="304">
        <f>SUMIFS('PCO Log'!$E79:$SJ79,'PCO Log'!$E$9:$SJ$9,'Graph Data'!BM$187,'PCO Log'!$E$4:$SJ$4,"&lt;&gt;Bid Package",'PCO Log'!$E$7:$SJ$7,"Approved")</f>
        <v>0</v>
      </c>
      <c r="BN255" s="304">
        <f>SUMIFS('PCO Log'!$E79:$SJ79,'PCO Log'!$E$9:$SJ$9,'Graph Data'!BN$187,'PCO Log'!$E$4:$SJ$4,"&lt;&gt;Bid Package",'PCO Log'!$E$7:$SJ$7,"Approved")</f>
        <v>0</v>
      </c>
      <c r="BO255" s="304">
        <f>SUMIFS('PCO Log'!$E79:$SJ79,'PCO Log'!$E$9:$SJ$9,'Graph Data'!BO$187,'PCO Log'!$E$4:$SJ$4,"&lt;&gt;Bid Package",'PCO Log'!$E$7:$SJ$7,"Approved")</f>
        <v>0</v>
      </c>
      <c r="BP255" s="304">
        <f>SUMIFS('PCO Log'!$E79:$SJ79,'PCO Log'!$E$9:$SJ$9,'Graph Data'!BP$187,'PCO Log'!$E$4:$SJ$4,"&lt;&gt;Bid Package",'PCO Log'!$E$7:$SJ$7,"Approved")</f>
        <v>0</v>
      </c>
      <c r="BQ255" s="304">
        <f>SUMIFS('PCO Log'!$E79:$SJ79,'PCO Log'!$E$9:$SJ$9,'Graph Data'!BQ$187,'PCO Log'!$E$4:$SJ$4,"&lt;&gt;Bid Package",'PCO Log'!$E$7:$SJ$7,"Approved")</f>
        <v>0</v>
      </c>
      <c r="BR255" s="304">
        <f>SUMIFS('PCO Log'!$E79:$SJ79,'PCO Log'!$E$9:$SJ$9,'Graph Data'!BR$187,'PCO Log'!$E$4:$SJ$4,"&lt;&gt;Bid Package",'PCO Log'!$E$7:$SJ$7,"Approved")</f>
        <v>0</v>
      </c>
      <c r="BS255" s="304">
        <f>SUMIFS('PCO Log'!$E79:$SJ79,'PCO Log'!$E$9:$SJ$9,'Graph Data'!BS$187,'PCO Log'!$E$4:$SJ$4,"&lt;&gt;Bid Package",'PCO Log'!$E$7:$SJ$7,"Approved")</f>
        <v>0</v>
      </c>
      <c r="BT255" s="304">
        <f>SUMIFS('PCO Log'!$E79:$SJ79,'PCO Log'!$E$9:$SJ$9,'Graph Data'!BT$187,'PCO Log'!$E$4:$SJ$4,"&lt;&gt;Bid Package",'PCO Log'!$E$7:$SJ$7,"Approved")</f>
        <v>0</v>
      </c>
      <c r="BU255" s="304">
        <f>SUMIFS('PCO Log'!$E79:$SJ79,'PCO Log'!$E$9:$SJ$9,'Graph Data'!BU$187,'PCO Log'!$E$4:$SJ$4,"&lt;&gt;Bid Package",'PCO Log'!$E$7:$SJ$7,"Approved")</f>
        <v>0</v>
      </c>
      <c r="BV255" s="304">
        <f>SUMIFS('PCO Log'!$E79:$SJ79,'PCO Log'!$E$9:$SJ$9,'Graph Data'!BV$187,'PCO Log'!$E$4:$SJ$4,"&lt;&gt;Bid Package",'PCO Log'!$E$7:$SJ$7,"Approved")</f>
        <v>0</v>
      </c>
      <c r="BW255" s="304">
        <f>SUMIFS('PCO Log'!$E79:$SJ79,'PCO Log'!$E$9:$SJ$9,'Graph Data'!BW$187,'PCO Log'!$E$4:$SJ$4,"&lt;&gt;Bid Package",'PCO Log'!$E$7:$SJ$7,"Approved")</f>
        <v>0</v>
      </c>
      <c r="BX255" s="304">
        <f>SUMIFS('PCO Log'!$E79:$SJ79,'PCO Log'!$E$9:$SJ$9,'Graph Data'!BX$187,'PCO Log'!$E$4:$SJ$4,"&lt;&gt;Bid Package",'PCO Log'!$E$7:$SJ$7,"Approved")</f>
        <v>0</v>
      </c>
    </row>
    <row r="256" spans="1:76" x14ac:dyDescent="0.25">
      <c r="A256" s="303" t="s">
        <v>606</v>
      </c>
      <c r="B256" s="303">
        <f>'PCO Log'!IY7</f>
        <v>0</v>
      </c>
      <c r="C256" s="303">
        <f>'PCO Log'!IY4</f>
        <v>0</v>
      </c>
      <c r="D256" s="303" cm="1">
        <f t="array" ref="D256">INDEX('PCO Log'!$E$5:$SJ$5, 1, ROWS('Graph Data'!$D$2:D256))</f>
        <v>0</v>
      </c>
      <c r="E256" s="303">
        <f>'PCO Log'!IY8</f>
        <v>0</v>
      </c>
      <c r="F256" s="303">
        <f>'PCO Log'!IY3</f>
        <v>0</v>
      </c>
      <c r="G256" s="304">
        <f>'PCO Log'!IY10</f>
        <v>0</v>
      </c>
      <c r="H256" s="305">
        <f>'PCO Log'!IY6</f>
        <v>0</v>
      </c>
      <c r="K256" s="307"/>
      <c r="P256" s="303" t="str">
        <f t="shared" si="4"/>
        <v>Plumbing</v>
      </c>
      <c r="Q256" s="304">
        <f>SUMIFS('PCO Log'!$E80:$SJ80,'PCO Log'!$E$9:$SJ$9,'Graph Data'!Q$187,'PCO Log'!$E$4:$SJ$4,"&lt;&gt;Bid Package",'PCO Log'!$E$7:$SJ$7,"Approved")</f>
        <v>0</v>
      </c>
      <c r="R256" s="304">
        <f>SUMIFS('PCO Log'!$E80:$SJ80,'PCO Log'!$E$9:$SJ$9,'Graph Data'!R$187,'PCO Log'!$E$4:$SJ$4,"&lt;&gt;Bid Package",'PCO Log'!$E$7:$SJ$7,"Approved")</f>
        <v>0</v>
      </c>
      <c r="S256" s="304">
        <f>SUMIFS('PCO Log'!$E80:$SJ80,'PCO Log'!$E$9:$SJ$9,'Graph Data'!S$187,'PCO Log'!$E$4:$SJ$4,"&lt;&gt;Bid Package",'PCO Log'!$E$7:$SJ$7,"Approved")</f>
        <v>0</v>
      </c>
      <c r="T256" s="304">
        <f>SUMIFS('PCO Log'!$E80:$SJ80,'PCO Log'!$E$9:$SJ$9,'Graph Data'!T$187,'PCO Log'!$E$4:$SJ$4,"&lt;&gt;Bid Package",'PCO Log'!$E$7:$SJ$7,"Approved")</f>
        <v>0</v>
      </c>
      <c r="U256" s="304">
        <f>SUMIFS('PCO Log'!$E80:$SJ80,'PCO Log'!$E$9:$SJ$9,'Graph Data'!U$187,'PCO Log'!$E$4:$SJ$4,"&lt;&gt;Bid Package",'PCO Log'!$E$7:$SJ$7,"Approved")</f>
        <v>0</v>
      </c>
      <c r="V256" s="304">
        <f>SUMIFS('PCO Log'!$E80:$SJ80,'PCO Log'!$E$9:$SJ$9,'Graph Data'!V$187,'PCO Log'!$E$4:$SJ$4,"&lt;&gt;Bid Package",'PCO Log'!$E$7:$SJ$7,"Approved")</f>
        <v>0</v>
      </c>
      <c r="W256" s="304">
        <f>SUMIFS('PCO Log'!$E80:$SJ80,'PCO Log'!$E$9:$SJ$9,'Graph Data'!W$187,'PCO Log'!$E$4:$SJ$4,"&lt;&gt;Bid Package",'PCO Log'!$E$7:$SJ$7,"Approved")</f>
        <v>0</v>
      </c>
      <c r="X256" s="304">
        <f>SUMIFS('PCO Log'!$E80:$SJ80,'PCO Log'!$E$9:$SJ$9,'Graph Data'!X$187,'PCO Log'!$E$4:$SJ$4,"&lt;&gt;Bid Package",'PCO Log'!$E$7:$SJ$7,"Approved")</f>
        <v>0</v>
      </c>
      <c r="Y256" s="304">
        <f>SUMIFS('PCO Log'!$E80:$SJ80,'PCO Log'!$E$9:$SJ$9,'Graph Data'!Y$187,'PCO Log'!$E$4:$SJ$4,"&lt;&gt;Bid Package",'PCO Log'!$E$7:$SJ$7,"Approved")</f>
        <v>0</v>
      </c>
      <c r="Z256" s="304">
        <f>SUMIFS('PCO Log'!$E80:$SJ80,'PCO Log'!$E$9:$SJ$9,'Graph Data'!Z$187,'PCO Log'!$E$4:$SJ$4,"&lt;&gt;Bid Package",'PCO Log'!$E$7:$SJ$7,"Approved")</f>
        <v>0</v>
      </c>
      <c r="AA256" s="304">
        <f>SUMIFS('PCO Log'!$E80:$SJ80,'PCO Log'!$E$9:$SJ$9,'Graph Data'!AA$187,'PCO Log'!$E$4:$SJ$4,"&lt;&gt;Bid Package",'PCO Log'!$E$7:$SJ$7,"Approved")</f>
        <v>0</v>
      </c>
      <c r="AB256" s="304">
        <f>SUMIFS('PCO Log'!$E80:$SJ80,'PCO Log'!$E$9:$SJ$9,'Graph Data'!AB$187,'PCO Log'!$E$4:$SJ$4,"&lt;&gt;Bid Package",'PCO Log'!$E$7:$SJ$7,"Approved")</f>
        <v>0</v>
      </c>
      <c r="AC256" s="304">
        <f>SUMIFS('PCO Log'!$E80:$SJ80,'PCO Log'!$E$9:$SJ$9,'Graph Data'!AC$187,'PCO Log'!$E$4:$SJ$4,"&lt;&gt;Bid Package",'PCO Log'!$E$7:$SJ$7,"Approved")</f>
        <v>0</v>
      </c>
      <c r="AD256" s="304">
        <f>SUMIFS('PCO Log'!$E80:$SJ80,'PCO Log'!$E$9:$SJ$9,'Graph Data'!AD$187,'PCO Log'!$E$4:$SJ$4,"&lt;&gt;Bid Package",'PCO Log'!$E$7:$SJ$7,"Approved")</f>
        <v>0</v>
      </c>
      <c r="AE256" s="304">
        <f>SUMIFS('PCO Log'!$E80:$SJ80,'PCO Log'!$E$9:$SJ$9,'Graph Data'!AE$187,'PCO Log'!$E$4:$SJ$4,"&lt;&gt;Bid Package",'PCO Log'!$E$7:$SJ$7,"Approved")</f>
        <v>0</v>
      </c>
      <c r="AF256" s="304">
        <f>SUMIFS('PCO Log'!$E80:$SJ80,'PCO Log'!$E$9:$SJ$9,'Graph Data'!AF$187,'PCO Log'!$E$4:$SJ$4,"&lt;&gt;Bid Package",'PCO Log'!$E$7:$SJ$7,"Approved")</f>
        <v>0</v>
      </c>
      <c r="AG256" s="304">
        <f>SUMIFS('PCO Log'!$E80:$SJ80,'PCO Log'!$E$9:$SJ$9,'Graph Data'!AG$187,'PCO Log'!$E$4:$SJ$4,"&lt;&gt;Bid Package",'PCO Log'!$E$7:$SJ$7,"Approved")</f>
        <v>0</v>
      </c>
      <c r="AH256" s="304">
        <f>SUMIFS('PCO Log'!$E80:$SJ80,'PCO Log'!$E$9:$SJ$9,'Graph Data'!AH$187,'PCO Log'!$E$4:$SJ$4,"&lt;&gt;Bid Package",'PCO Log'!$E$7:$SJ$7,"Approved")</f>
        <v>0</v>
      </c>
      <c r="AI256" s="304">
        <f>SUMIFS('PCO Log'!$E80:$SJ80,'PCO Log'!$E$9:$SJ$9,'Graph Data'!AI$187,'PCO Log'!$E$4:$SJ$4,"&lt;&gt;Bid Package",'PCO Log'!$E$7:$SJ$7,"Approved")</f>
        <v>0</v>
      </c>
      <c r="AJ256" s="304">
        <f>SUMIFS('PCO Log'!$E80:$SJ80,'PCO Log'!$E$9:$SJ$9,'Graph Data'!AJ$187,'PCO Log'!$E$4:$SJ$4,"&lt;&gt;Bid Package",'PCO Log'!$E$7:$SJ$7,"Approved")</f>
        <v>0</v>
      </c>
      <c r="AK256" s="304">
        <f>SUMIFS('PCO Log'!$E80:$SJ80,'PCO Log'!$E$9:$SJ$9,'Graph Data'!AK$187,'PCO Log'!$E$4:$SJ$4,"&lt;&gt;Bid Package",'PCO Log'!$E$7:$SJ$7,"Approved")</f>
        <v>0</v>
      </c>
      <c r="AL256" s="304">
        <f>SUMIFS('PCO Log'!$E80:$SJ80,'PCO Log'!$E$9:$SJ$9,'Graph Data'!AL$187,'PCO Log'!$E$4:$SJ$4,"&lt;&gt;Bid Package",'PCO Log'!$E$7:$SJ$7,"Approved")</f>
        <v>0</v>
      </c>
      <c r="AM256" s="304">
        <f>SUMIFS('PCO Log'!$E80:$SJ80,'PCO Log'!$E$9:$SJ$9,'Graph Data'!AM$187,'PCO Log'!$E$4:$SJ$4,"&lt;&gt;Bid Package",'PCO Log'!$E$7:$SJ$7,"Approved")</f>
        <v>0</v>
      </c>
      <c r="AN256" s="304">
        <f>SUMIFS('PCO Log'!$E80:$SJ80,'PCO Log'!$E$9:$SJ$9,'Graph Data'!AN$187,'PCO Log'!$E$4:$SJ$4,"&lt;&gt;Bid Package",'PCO Log'!$E$7:$SJ$7,"Approved")</f>
        <v>0</v>
      </c>
      <c r="AO256" s="304">
        <f>SUMIFS('PCO Log'!$E80:$SJ80,'PCO Log'!$E$9:$SJ$9,'Graph Data'!AO$187,'PCO Log'!$E$4:$SJ$4,"&lt;&gt;Bid Package",'PCO Log'!$E$7:$SJ$7,"Approved")</f>
        <v>0</v>
      </c>
      <c r="AP256" s="304">
        <f>SUMIFS('PCO Log'!$E80:$SJ80,'PCO Log'!$E$9:$SJ$9,'Graph Data'!AP$187,'PCO Log'!$E$4:$SJ$4,"&lt;&gt;Bid Package",'PCO Log'!$E$7:$SJ$7,"Approved")</f>
        <v>0</v>
      </c>
      <c r="AQ256" s="304">
        <f>SUMIFS('PCO Log'!$E80:$SJ80,'PCO Log'!$E$9:$SJ$9,'Graph Data'!AQ$187,'PCO Log'!$E$4:$SJ$4,"&lt;&gt;Bid Package",'PCO Log'!$E$7:$SJ$7,"Approved")</f>
        <v>0</v>
      </c>
      <c r="AR256" s="304">
        <f>SUMIFS('PCO Log'!$E80:$SJ80,'PCO Log'!$E$9:$SJ$9,'Graph Data'!AR$187,'PCO Log'!$E$4:$SJ$4,"&lt;&gt;Bid Package",'PCO Log'!$E$7:$SJ$7,"Approved")</f>
        <v>0</v>
      </c>
      <c r="AS256" s="304">
        <f>SUMIFS('PCO Log'!$E80:$SJ80,'PCO Log'!$E$9:$SJ$9,'Graph Data'!AS$187,'PCO Log'!$E$4:$SJ$4,"&lt;&gt;Bid Package",'PCO Log'!$E$7:$SJ$7,"Approved")</f>
        <v>0</v>
      </c>
      <c r="AT256" s="304">
        <f>SUMIFS('PCO Log'!$E80:$SJ80,'PCO Log'!$E$9:$SJ$9,'Graph Data'!AT$187,'PCO Log'!$E$4:$SJ$4,"&lt;&gt;Bid Package",'PCO Log'!$E$7:$SJ$7,"Approved")</f>
        <v>0</v>
      </c>
      <c r="AU256" s="304">
        <f>SUMIFS('PCO Log'!$E80:$SJ80,'PCO Log'!$E$9:$SJ$9,'Graph Data'!AU$187,'PCO Log'!$E$4:$SJ$4,"&lt;&gt;Bid Package",'PCO Log'!$E$7:$SJ$7,"Approved")</f>
        <v>0</v>
      </c>
      <c r="AV256" s="304">
        <f>SUMIFS('PCO Log'!$E80:$SJ80,'PCO Log'!$E$9:$SJ$9,'Graph Data'!AV$187,'PCO Log'!$E$4:$SJ$4,"&lt;&gt;Bid Package",'PCO Log'!$E$7:$SJ$7,"Approved")</f>
        <v>0</v>
      </c>
      <c r="AW256" s="304">
        <f>SUMIFS('PCO Log'!$E80:$SJ80,'PCO Log'!$E$9:$SJ$9,'Graph Data'!AW$187,'PCO Log'!$E$4:$SJ$4,"&lt;&gt;Bid Package",'PCO Log'!$E$7:$SJ$7,"Approved")</f>
        <v>0</v>
      </c>
      <c r="AX256" s="304">
        <f>SUMIFS('PCO Log'!$E80:$SJ80,'PCO Log'!$E$9:$SJ$9,'Graph Data'!AX$187,'PCO Log'!$E$4:$SJ$4,"&lt;&gt;Bid Package",'PCO Log'!$E$7:$SJ$7,"Approved")</f>
        <v>0</v>
      </c>
      <c r="AY256" s="304">
        <f>SUMIFS('PCO Log'!$E80:$SJ80,'PCO Log'!$E$9:$SJ$9,'Graph Data'!AY$187,'PCO Log'!$E$4:$SJ$4,"&lt;&gt;Bid Package",'PCO Log'!$E$7:$SJ$7,"Approved")</f>
        <v>0</v>
      </c>
      <c r="AZ256" s="304">
        <f>SUMIFS('PCO Log'!$E80:$SJ80,'PCO Log'!$E$9:$SJ$9,'Graph Data'!AZ$187,'PCO Log'!$E$4:$SJ$4,"&lt;&gt;Bid Package",'PCO Log'!$E$7:$SJ$7,"Approved")</f>
        <v>0</v>
      </c>
      <c r="BA256" s="304">
        <f>SUMIFS('PCO Log'!$E80:$SJ80,'PCO Log'!$E$9:$SJ$9,'Graph Data'!BA$187,'PCO Log'!$E$4:$SJ$4,"&lt;&gt;Bid Package",'PCO Log'!$E$7:$SJ$7,"Approved")</f>
        <v>0</v>
      </c>
      <c r="BB256" s="304">
        <f>SUMIFS('PCO Log'!$E80:$SJ80,'PCO Log'!$E$9:$SJ$9,'Graph Data'!BB$187,'PCO Log'!$E$4:$SJ$4,"&lt;&gt;Bid Package",'PCO Log'!$E$7:$SJ$7,"Approved")</f>
        <v>0</v>
      </c>
      <c r="BC256" s="304">
        <f>SUMIFS('PCO Log'!$E80:$SJ80,'PCO Log'!$E$9:$SJ$9,'Graph Data'!BC$187,'PCO Log'!$E$4:$SJ$4,"&lt;&gt;Bid Package",'PCO Log'!$E$7:$SJ$7,"Approved")</f>
        <v>0</v>
      </c>
      <c r="BD256" s="304">
        <f>SUMIFS('PCO Log'!$E80:$SJ80,'PCO Log'!$E$9:$SJ$9,'Graph Data'!BD$187,'PCO Log'!$E$4:$SJ$4,"&lt;&gt;Bid Package",'PCO Log'!$E$7:$SJ$7,"Approved")</f>
        <v>0</v>
      </c>
      <c r="BE256" s="304">
        <f>SUMIFS('PCO Log'!$E80:$SJ80,'PCO Log'!$E$9:$SJ$9,'Graph Data'!BE$187,'PCO Log'!$E$4:$SJ$4,"&lt;&gt;Bid Package",'PCO Log'!$E$7:$SJ$7,"Approved")</f>
        <v>0</v>
      </c>
      <c r="BF256" s="304">
        <f>SUMIFS('PCO Log'!$E80:$SJ80,'PCO Log'!$E$9:$SJ$9,'Graph Data'!BF$187,'PCO Log'!$E$4:$SJ$4,"&lt;&gt;Bid Package",'PCO Log'!$E$7:$SJ$7,"Approved")</f>
        <v>0</v>
      </c>
      <c r="BG256" s="304">
        <f>SUMIFS('PCO Log'!$E80:$SJ80,'PCO Log'!$E$9:$SJ$9,'Graph Data'!BG$187,'PCO Log'!$E$4:$SJ$4,"&lt;&gt;Bid Package",'PCO Log'!$E$7:$SJ$7,"Approved")</f>
        <v>0</v>
      </c>
      <c r="BH256" s="304">
        <f>SUMIFS('PCO Log'!$E80:$SJ80,'PCO Log'!$E$9:$SJ$9,'Graph Data'!BH$187,'PCO Log'!$E$4:$SJ$4,"&lt;&gt;Bid Package",'PCO Log'!$E$7:$SJ$7,"Approved")</f>
        <v>0</v>
      </c>
      <c r="BI256" s="304">
        <f>SUMIFS('PCO Log'!$E80:$SJ80,'PCO Log'!$E$9:$SJ$9,'Graph Data'!BI$187,'PCO Log'!$E$4:$SJ$4,"&lt;&gt;Bid Package",'PCO Log'!$E$7:$SJ$7,"Approved")</f>
        <v>0</v>
      </c>
      <c r="BJ256" s="304">
        <f>SUMIFS('PCO Log'!$E80:$SJ80,'PCO Log'!$E$9:$SJ$9,'Graph Data'!BJ$187,'PCO Log'!$E$4:$SJ$4,"&lt;&gt;Bid Package",'PCO Log'!$E$7:$SJ$7,"Approved")</f>
        <v>0</v>
      </c>
      <c r="BK256" s="304">
        <f>SUMIFS('PCO Log'!$E80:$SJ80,'PCO Log'!$E$9:$SJ$9,'Graph Data'!BK$187,'PCO Log'!$E$4:$SJ$4,"&lt;&gt;Bid Package",'PCO Log'!$E$7:$SJ$7,"Approved")</f>
        <v>0</v>
      </c>
      <c r="BL256" s="304">
        <f>SUMIFS('PCO Log'!$E80:$SJ80,'PCO Log'!$E$9:$SJ$9,'Graph Data'!BL$187,'PCO Log'!$E$4:$SJ$4,"&lt;&gt;Bid Package",'PCO Log'!$E$7:$SJ$7,"Approved")</f>
        <v>0</v>
      </c>
      <c r="BM256" s="304">
        <f>SUMIFS('PCO Log'!$E80:$SJ80,'PCO Log'!$E$9:$SJ$9,'Graph Data'!BM$187,'PCO Log'!$E$4:$SJ$4,"&lt;&gt;Bid Package",'PCO Log'!$E$7:$SJ$7,"Approved")</f>
        <v>0</v>
      </c>
      <c r="BN256" s="304">
        <f>SUMIFS('PCO Log'!$E80:$SJ80,'PCO Log'!$E$9:$SJ$9,'Graph Data'!BN$187,'PCO Log'!$E$4:$SJ$4,"&lt;&gt;Bid Package",'PCO Log'!$E$7:$SJ$7,"Approved")</f>
        <v>0</v>
      </c>
      <c r="BO256" s="304">
        <f>SUMIFS('PCO Log'!$E80:$SJ80,'PCO Log'!$E$9:$SJ$9,'Graph Data'!BO$187,'PCO Log'!$E$4:$SJ$4,"&lt;&gt;Bid Package",'PCO Log'!$E$7:$SJ$7,"Approved")</f>
        <v>0</v>
      </c>
      <c r="BP256" s="304">
        <f>SUMIFS('PCO Log'!$E80:$SJ80,'PCO Log'!$E$9:$SJ$9,'Graph Data'!BP$187,'PCO Log'!$E$4:$SJ$4,"&lt;&gt;Bid Package",'PCO Log'!$E$7:$SJ$7,"Approved")</f>
        <v>0</v>
      </c>
      <c r="BQ256" s="304">
        <f>SUMIFS('PCO Log'!$E80:$SJ80,'PCO Log'!$E$9:$SJ$9,'Graph Data'!BQ$187,'PCO Log'!$E$4:$SJ$4,"&lt;&gt;Bid Package",'PCO Log'!$E$7:$SJ$7,"Approved")</f>
        <v>0</v>
      </c>
      <c r="BR256" s="304">
        <f>SUMIFS('PCO Log'!$E80:$SJ80,'PCO Log'!$E$9:$SJ$9,'Graph Data'!BR$187,'PCO Log'!$E$4:$SJ$4,"&lt;&gt;Bid Package",'PCO Log'!$E$7:$SJ$7,"Approved")</f>
        <v>0</v>
      </c>
      <c r="BS256" s="304">
        <f>SUMIFS('PCO Log'!$E80:$SJ80,'PCO Log'!$E$9:$SJ$9,'Graph Data'!BS$187,'PCO Log'!$E$4:$SJ$4,"&lt;&gt;Bid Package",'PCO Log'!$E$7:$SJ$7,"Approved")</f>
        <v>0</v>
      </c>
      <c r="BT256" s="304">
        <f>SUMIFS('PCO Log'!$E80:$SJ80,'PCO Log'!$E$9:$SJ$9,'Graph Data'!BT$187,'PCO Log'!$E$4:$SJ$4,"&lt;&gt;Bid Package",'PCO Log'!$E$7:$SJ$7,"Approved")</f>
        <v>0</v>
      </c>
      <c r="BU256" s="304">
        <f>SUMIFS('PCO Log'!$E80:$SJ80,'PCO Log'!$E$9:$SJ$9,'Graph Data'!BU$187,'PCO Log'!$E$4:$SJ$4,"&lt;&gt;Bid Package",'PCO Log'!$E$7:$SJ$7,"Approved")</f>
        <v>0</v>
      </c>
      <c r="BV256" s="304">
        <f>SUMIFS('PCO Log'!$E80:$SJ80,'PCO Log'!$E$9:$SJ$9,'Graph Data'!BV$187,'PCO Log'!$E$4:$SJ$4,"&lt;&gt;Bid Package",'PCO Log'!$E$7:$SJ$7,"Approved")</f>
        <v>0</v>
      </c>
      <c r="BW256" s="304">
        <f>SUMIFS('PCO Log'!$E80:$SJ80,'PCO Log'!$E$9:$SJ$9,'Graph Data'!BW$187,'PCO Log'!$E$4:$SJ$4,"&lt;&gt;Bid Package",'PCO Log'!$E$7:$SJ$7,"Approved")</f>
        <v>0</v>
      </c>
      <c r="BX256" s="304">
        <f>SUMIFS('PCO Log'!$E80:$SJ80,'PCO Log'!$E$9:$SJ$9,'Graph Data'!BX$187,'PCO Log'!$E$4:$SJ$4,"&lt;&gt;Bid Package",'PCO Log'!$E$7:$SJ$7,"Approved")</f>
        <v>0</v>
      </c>
    </row>
    <row r="257" spans="1:76" x14ac:dyDescent="0.25">
      <c r="A257" s="303" t="s">
        <v>607</v>
      </c>
      <c r="B257" s="303">
        <f>'PCO Log'!IZ7</f>
        <v>0</v>
      </c>
      <c r="C257" s="303">
        <f>'PCO Log'!IZ4</f>
        <v>0</v>
      </c>
      <c r="D257" s="303" cm="1">
        <f t="array" ref="D257">INDEX('PCO Log'!$E$5:$SJ$5, 1, ROWS('Graph Data'!$D$2:D257))</f>
        <v>0</v>
      </c>
      <c r="E257" s="303">
        <f>'PCO Log'!IZ8</f>
        <v>0</v>
      </c>
      <c r="F257" s="303">
        <f>'PCO Log'!IZ3</f>
        <v>0</v>
      </c>
      <c r="G257" s="304">
        <f>'PCO Log'!IZ10</f>
        <v>0</v>
      </c>
      <c r="H257" s="305">
        <f>'PCO Log'!IZ6</f>
        <v>0</v>
      </c>
      <c r="K257" s="307"/>
      <c r="P257" s="303" t="str">
        <f t="shared" si="4"/>
        <v>HVAC</v>
      </c>
      <c r="Q257" s="304">
        <f>SUMIFS('PCO Log'!$E81:$SJ81,'PCO Log'!$E$9:$SJ$9,'Graph Data'!Q$187,'PCO Log'!$E$4:$SJ$4,"&lt;&gt;Bid Package",'PCO Log'!$E$7:$SJ$7,"Approved")</f>
        <v>0</v>
      </c>
      <c r="R257" s="304">
        <f>SUMIFS('PCO Log'!$E81:$SJ81,'PCO Log'!$E$9:$SJ$9,'Graph Data'!R$187,'PCO Log'!$E$4:$SJ$4,"&lt;&gt;Bid Package",'PCO Log'!$E$7:$SJ$7,"Approved")</f>
        <v>0</v>
      </c>
      <c r="S257" s="304">
        <f>SUMIFS('PCO Log'!$E81:$SJ81,'PCO Log'!$E$9:$SJ$9,'Graph Data'!S$187,'PCO Log'!$E$4:$SJ$4,"&lt;&gt;Bid Package",'PCO Log'!$E$7:$SJ$7,"Approved")</f>
        <v>0</v>
      </c>
      <c r="T257" s="304">
        <f>SUMIFS('PCO Log'!$E81:$SJ81,'PCO Log'!$E$9:$SJ$9,'Graph Data'!T$187,'PCO Log'!$E$4:$SJ$4,"&lt;&gt;Bid Package",'PCO Log'!$E$7:$SJ$7,"Approved")</f>
        <v>0</v>
      </c>
      <c r="U257" s="304">
        <f>SUMIFS('PCO Log'!$E81:$SJ81,'PCO Log'!$E$9:$SJ$9,'Graph Data'!U$187,'PCO Log'!$E$4:$SJ$4,"&lt;&gt;Bid Package",'PCO Log'!$E$7:$SJ$7,"Approved")</f>
        <v>0</v>
      </c>
      <c r="V257" s="304">
        <f>SUMIFS('PCO Log'!$E81:$SJ81,'PCO Log'!$E$9:$SJ$9,'Graph Data'!V$187,'PCO Log'!$E$4:$SJ$4,"&lt;&gt;Bid Package",'PCO Log'!$E$7:$SJ$7,"Approved")</f>
        <v>0</v>
      </c>
      <c r="W257" s="304">
        <f>SUMIFS('PCO Log'!$E81:$SJ81,'PCO Log'!$E$9:$SJ$9,'Graph Data'!W$187,'PCO Log'!$E$4:$SJ$4,"&lt;&gt;Bid Package",'PCO Log'!$E$7:$SJ$7,"Approved")</f>
        <v>0</v>
      </c>
      <c r="X257" s="304">
        <f>SUMIFS('PCO Log'!$E81:$SJ81,'PCO Log'!$E$9:$SJ$9,'Graph Data'!X$187,'PCO Log'!$E$4:$SJ$4,"&lt;&gt;Bid Package",'PCO Log'!$E$7:$SJ$7,"Approved")</f>
        <v>0</v>
      </c>
      <c r="Y257" s="304">
        <f>SUMIFS('PCO Log'!$E81:$SJ81,'PCO Log'!$E$9:$SJ$9,'Graph Data'!Y$187,'PCO Log'!$E$4:$SJ$4,"&lt;&gt;Bid Package",'PCO Log'!$E$7:$SJ$7,"Approved")</f>
        <v>0</v>
      </c>
      <c r="Z257" s="304">
        <f>SUMIFS('PCO Log'!$E81:$SJ81,'PCO Log'!$E$9:$SJ$9,'Graph Data'!Z$187,'PCO Log'!$E$4:$SJ$4,"&lt;&gt;Bid Package",'PCO Log'!$E$7:$SJ$7,"Approved")</f>
        <v>0</v>
      </c>
      <c r="AA257" s="304">
        <f>SUMIFS('PCO Log'!$E81:$SJ81,'PCO Log'!$E$9:$SJ$9,'Graph Data'!AA$187,'PCO Log'!$E$4:$SJ$4,"&lt;&gt;Bid Package",'PCO Log'!$E$7:$SJ$7,"Approved")</f>
        <v>0</v>
      </c>
      <c r="AB257" s="304">
        <f>SUMIFS('PCO Log'!$E81:$SJ81,'PCO Log'!$E$9:$SJ$9,'Graph Data'!AB$187,'PCO Log'!$E$4:$SJ$4,"&lt;&gt;Bid Package",'PCO Log'!$E$7:$SJ$7,"Approved")</f>
        <v>0</v>
      </c>
      <c r="AC257" s="304">
        <f>SUMIFS('PCO Log'!$E81:$SJ81,'PCO Log'!$E$9:$SJ$9,'Graph Data'!AC$187,'PCO Log'!$E$4:$SJ$4,"&lt;&gt;Bid Package",'PCO Log'!$E$7:$SJ$7,"Approved")</f>
        <v>0</v>
      </c>
      <c r="AD257" s="304">
        <f>SUMIFS('PCO Log'!$E81:$SJ81,'PCO Log'!$E$9:$SJ$9,'Graph Data'!AD$187,'PCO Log'!$E$4:$SJ$4,"&lt;&gt;Bid Package",'PCO Log'!$E$7:$SJ$7,"Approved")</f>
        <v>0</v>
      </c>
      <c r="AE257" s="304">
        <f>SUMIFS('PCO Log'!$E81:$SJ81,'PCO Log'!$E$9:$SJ$9,'Graph Data'!AE$187,'PCO Log'!$E$4:$SJ$4,"&lt;&gt;Bid Package",'PCO Log'!$E$7:$SJ$7,"Approved")</f>
        <v>0</v>
      </c>
      <c r="AF257" s="304">
        <f>SUMIFS('PCO Log'!$E81:$SJ81,'PCO Log'!$E$9:$SJ$9,'Graph Data'!AF$187,'PCO Log'!$E$4:$SJ$4,"&lt;&gt;Bid Package",'PCO Log'!$E$7:$SJ$7,"Approved")</f>
        <v>0</v>
      </c>
      <c r="AG257" s="304">
        <f>SUMIFS('PCO Log'!$E81:$SJ81,'PCO Log'!$E$9:$SJ$9,'Graph Data'!AG$187,'PCO Log'!$E$4:$SJ$4,"&lt;&gt;Bid Package",'PCO Log'!$E$7:$SJ$7,"Approved")</f>
        <v>0</v>
      </c>
      <c r="AH257" s="304">
        <f>SUMIFS('PCO Log'!$E81:$SJ81,'PCO Log'!$E$9:$SJ$9,'Graph Data'!AH$187,'PCO Log'!$E$4:$SJ$4,"&lt;&gt;Bid Package",'PCO Log'!$E$7:$SJ$7,"Approved")</f>
        <v>0</v>
      </c>
      <c r="AI257" s="304">
        <f>SUMIFS('PCO Log'!$E81:$SJ81,'PCO Log'!$E$9:$SJ$9,'Graph Data'!AI$187,'PCO Log'!$E$4:$SJ$4,"&lt;&gt;Bid Package",'PCO Log'!$E$7:$SJ$7,"Approved")</f>
        <v>0</v>
      </c>
      <c r="AJ257" s="304">
        <f>SUMIFS('PCO Log'!$E81:$SJ81,'PCO Log'!$E$9:$SJ$9,'Graph Data'!AJ$187,'PCO Log'!$E$4:$SJ$4,"&lt;&gt;Bid Package",'PCO Log'!$E$7:$SJ$7,"Approved")</f>
        <v>0</v>
      </c>
      <c r="AK257" s="304">
        <f>SUMIFS('PCO Log'!$E81:$SJ81,'PCO Log'!$E$9:$SJ$9,'Graph Data'!AK$187,'PCO Log'!$E$4:$SJ$4,"&lt;&gt;Bid Package",'PCO Log'!$E$7:$SJ$7,"Approved")</f>
        <v>0</v>
      </c>
      <c r="AL257" s="304">
        <f>SUMIFS('PCO Log'!$E81:$SJ81,'PCO Log'!$E$9:$SJ$9,'Graph Data'!AL$187,'PCO Log'!$E$4:$SJ$4,"&lt;&gt;Bid Package",'PCO Log'!$E$7:$SJ$7,"Approved")</f>
        <v>0</v>
      </c>
      <c r="AM257" s="304">
        <f>SUMIFS('PCO Log'!$E81:$SJ81,'PCO Log'!$E$9:$SJ$9,'Graph Data'!AM$187,'PCO Log'!$E$4:$SJ$4,"&lt;&gt;Bid Package",'PCO Log'!$E$7:$SJ$7,"Approved")</f>
        <v>0</v>
      </c>
      <c r="AN257" s="304">
        <f>SUMIFS('PCO Log'!$E81:$SJ81,'PCO Log'!$E$9:$SJ$9,'Graph Data'!AN$187,'PCO Log'!$E$4:$SJ$4,"&lt;&gt;Bid Package",'PCO Log'!$E$7:$SJ$7,"Approved")</f>
        <v>0</v>
      </c>
      <c r="AO257" s="304">
        <f>SUMIFS('PCO Log'!$E81:$SJ81,'PCO Log'!$E$9:$SJ$9,'Graph Data'!AO$187,'PCO Log'!$E$4:$SJ$4,"&lt;&gt;Bid Package",'PCO Log'!$E$7:$SJ$7,"Approved")</f>
        <v>0</v>
      </c>
      <c r="AP257" s="304">
        <f>SUMIFS('PCO Log'!$E81:$SJ81,'PCO Log'!$E$9:$SJ$9,'Graph Data'!AP$187,'PCO Log'!$E$4:$SJ$4,"&lt;&gt;Bid Package",'PCO Log'!$E$7:$SJ$7,"Approved")</f>
        <v>0</v>
      </c>
      <c r="AQ257" s="304">
        <f>SUMIFS('PCO Log'!$E81:$SJ81,'PCO Log'!$E$9:$SJ$9,'Graph Data'!AQ$187,'PCO Log'!$E$4:$SJ$4,"&lt;&gt;Bid Package",'PCO Log'!$E$7:$SJ$7,"Approved")</f>
        <v>0</v>
      </c>
      <c r="AR257" s="304">
        <f>SUMIFS('PCO Log'!$E81:$SJ81,'PCO Log'!$E$9:$SJ$9,'Graph Data'!AR$187,'PCO Log'!$E$4:$SJ$4,"&lt;&gt;Bid Package",'PCO Log'!$E$7:$SJ$7,"Approved")</f>
        <v>0</v>
      </c>
      <c r="AS257" s="304">
        <f>SUMIFS('PCO Log'!$E81:$SJ81,'PCO Log'!$E$9:$SJ$9,'Graph Data'!AS$187,'PCO Log'!$E$4:$SJ$4,"&lt;&gt;Bid Package",'PCO Log'!$E$7:$SJ$7,"Approved")</f>
        <v>0</v>
      </c>
      <c r="AT257" s="304">
        <f>SUMIFS('PCO Log'!$E81:$SJ81,'PCO Log'!$E$9:$SJ$9,'Graph Data'!AT$187,'PCO Log'!$E$4:$SJ$4,"&lt;&gt;Bid Package",'PCO Log'!$E$7:$SJ$7,"Approved")</f>
        <v>0</v>
      </c>
      <c r="AU257" s="304">
        <f>SUMIFS('PCO Log'!$E81:$SJ81,'PCO Log'!$E$9:$SJ$9,'Graph Data'!AU$187,'PCO Log'!$E$4:$SJ$4,"&lt;&gt;Bid Package",'PCO Log'!$E$7:$SJ$7,"Approved")</f>
        <v>0</v>
      </c>
      <c r="AV257" s="304">
        <f>SUMIFS('PCO Log'!$E81:$SJ81,'PCO Log'!$E$9:$SJ$9,'Graph Data'!AV$187,'PCO Log'!$E$4:$SJ$4,"&lt;&gt;Bid Package",'PCO Log'!$E$7:$SJ$7,"Approved")</f>
        <v>0</v>
      </c>
      <c r="AW257" s="304">
        <f>SUMIFS('PCO Log'!$E81:$SJ81,'PCO Log'!$E$9:$SJ$9,'Graph Data'!AW$187,'PCO Log'!$E$4:$SJ$4,"&lt;&gt;Bid Package",'PCO Log'!$E$7:$SJ$7,"Approved")</f>
        <v>0</v>
      </c>
      <c r="AX257" s="304">
        <f>SUMIFS('PCO Log'!$E81:$SJ81,'PCO Log'!$E$9:$SJ$9,'Graph Data'!AX$187,'PCO Log'!$E$4:$SJ$4,"&lt;&gt;Bid Package",'PCO Log'!$E$7:$SJ$7,"Approved")</f>
        <v>0</v>
      </c>
      <c r="AY257" s="304">
        <f>SUMIFS('PCO Log'!$E81:$SJ81,'PCO Log'!$E$9:$SJ$9,'Graph Data'!AY$187,'PCO Log'!$E$4:$SJ$4,"&lt;&gt;Bid Package",'PCO Log'!$E$7:$SJ$7,"Approved")</f>
        <v>0</v>
      </c>
      <c r="AZ257" s="304">
        <f>SUMIFS('PCO Log'!$E81:$SJ81,'PCO Log'!$E$9:$SJ$9,'Graph Data'!AZ$187,'PCO Log'!$E$4:$SJ$4,"&lt;&gt;Bid Package",'PCO Log'!$E$7:$SJ$7,"Approved")</f>
        <v>0</v>
      </c>
      <c r="BA257" s="304">
        <f>SUMIFS('PCO Log'!$E81:$SJ81,'PCO Log'!$E$9:$SJ$9,'Graph Data'!BA$187,'PCO Log'!$E$4:$SJ$4,"&lt;&gt;Bid Package",'PCO Log'!$E$7:$SJ$7,"Approved")</f>
        <v>0</v>
      </c>
      <c r="BB257" s="304">
        <f>SUMIFS('PCO Log'!$E81:$SJ81,'PCO Log'!$E$9:$SJ$9,'Graph Data'!BB$187,'PCO Log'!$E$4:$SJ$4,"&lt;&gt;Bid Package",'PCO Log'!$E$7:$SJ$7,"Approved")</f>
        <v>0</v>
      </c>
      <c r="BC257" s="304">
        <f>SUMIFS('PCO Log'!$E81:$SJ81,'PCO Log'!$E$9:$SJ$9,'Graph Data'!BC$187,'PCO Log'!$E$4:$SJ$4,"&lt;&gt;Bid Package",'PCO Log'!$E$7:$SJ$7,"Approved")</f>
        <v>0</v>
      </c>
      <c r="BD257" s="304">
        <f>SUMIFS('PCO Log'!$E81:$SJ81,'PCO Log'!$E$9:$SJ$9,'Graph Data'!BD$187,'PCO Log'!$E$4:$SJ$4,"&lt;&gt;Bid Package",'PCO Log'!$E$7:$SJ$7,"Approved")</f>
        <v>0</v>
      </c>
      <c r="BE257" s="304">
        <f>SUMIFS('PCO Log'!$E81:$SJ81,'PCO Log'!$E$9:$SJ$9,'Graph Data'!BE$187,'PCO Log'!$E$4:$SJ$4,"&lt;&gt;Bid Package",'PCO Log'!$E$7:$SJ$7,"Approved")</f>
        <v>0</v>
      </c>
      <c r="BF257" s="304">
        <f>SUMIFS('PCO Log'!$E81:$SJ81,'PCO Log'!$E$9:$SJ$9,'Graph Data'!BF$187,'PCO Log'!$E$4:$SJ$4,"&lt;&gt;Bid Package",'PCO Log'!$E$7:$SJ$7,"Approved")</f>
        <v>0</v>
      </c>
      <c r="BG257" s="304">
        <f>SUMIFS('PCO Log'!$E81:$SJ81,'PCO Log'!$E$9:$SJ$9,'Graph Data'!BG$187,'PCO Log'!$E$4:$SJ$4,"&lt;&gt;Bid Package",'PCO Log'!$E$7:$SJ$7,"Approved")</f>
        <v>0</v>
      </c>
      <c r="BH257" s="304">
        <f>SUMIFS('PCO Log'!$E81:$SJ81,'PCO Log'!$E$9:$SJ$9,'Graph Data'!BH$187,'PCO Log'!$E$4:$SJ$4,"&lt;&gt;Bid Package",'PCO Log'!$E$7:$SJ$7,"Approved")</f>
        <v>0</v>
      </c>
      <c r="BI257" s="304">
        <f>SUMIFS('PCO Log'!$E81:$SJ81,'PCO Log'!$E$9:$SJ$9,'Graph Data'!BI$187,'PCO Log'!$E$4:$SJ$4,"&lt;&gt;Bid Package",'PCO Log'!$E$7:$SJ$7,"Approved")</f>
        <v>0</v>
      </c>
      <c r="BJ257" s="304">
        <f>SUMIFS('PCO Log'!$E81:$SJ81,'PCO Log'!$E$9:$SJ$9,'Graph Data'!BJ$187,'PCO Log'!$E$4:$SJ$4,"&lt;&gt;Bid Package",'PCO Log'!$E$7:$SJ$7,"Approved")</f>
        <v>0</v>
      </c>
      <c r="BK257" s="304">
        <f>SUMIFS('PCO Log'!$E81:$SJ81,'PCO Log'!$E$9:$SJ$9,'Graph Data'!BK$187,'PCO Log'!$E$4:$SJ$4,"&lt;&gt;Bid Package",'PCO Log'!$E$7:$SJ$7,"Approved")</f>
        <v>0</v>
      </c>
      <c r="BL257" s="304">
        <f>SUMIFS('PCO Log'!$E81:$SJ81,'PCO Log'!$E$9:$SJ$9,'Graph Data'!BL$187,'PCO Log'!$E$4:$SJ$4,"&lt;&gt;Bid Package",'PCO Log'!$E$7:$SJ$7,"Approved")</f>
        <v>0</v>
      </c>
      <c r="BM257" s="304">
        <f>SUMIFS('PCO Log'!$E81:$SJ81,'PCO Log'!$E$9:$SJ$9,'Graph Data'!BM$187,'PCO Log'!$E$4:$SJ$4,"&lt;&gt;Bid Package",'PCO Log'!$E$7:$SJ$7,"Approved")</f>
        <v>0</v>
      </c>
      <c r="BN257" s="304">
        <f>SUMIFS('PCO Log'!$E81:$SJ81,'PCO Log'!$E$9:$SJ$9,'Graph Data'!BN$187,'PCO Log'!$E$4:$SJ$4,"&lt;&gt;Bid Package",'PCO Log'!$E$7:$SJ$7,"Approved")</f>
        <v>0</v>
      </c>
      <c r="BO257" s="304">
        <f>SUMIFS('PCO Log'!$E81:$SJ81,'PCO Log'!$E$9:$SJ$9,'Graph Data'!BO$187,'PCO Log'!$E$4:$SJ$4,"&lt;&gt;Bid Package",'PCO Log'!$E$7:$SJ$7,"Approved")</f>
        <v>0</v>
      </c>
      <c r="BP257" s="304">
        <f>SUMIFS('PCO Log'!$E81:$SJ81,'PCO Log'!$E$9:$SJ$9,'Graph Data'!BP$187,'PCO Log'!$E$4:$SJ$4,"&lt;&gt;Bid Package",'PCO Log'!$E$7:$SJ$7,"Approved")</f>
        <v>0</v>
      </c>
      <c r="BQ257" s="304">
        <f>SUMIFS('PCO Log'!$E81:$SJ81,'PCO Log'!$E$9:$SJ$9,'Graph Data'!BQ$187,'PCO Log'!$E$4:$SJ$4,"&lt;&gt;Bid Package",'PCO Log'!$E$7:$SJ$7,"Approved")</f>
        <v>0</v>
      </c>
      <c r="BR257" s="304">
        <f>SUMIFS('PCO Log'!$E81:$SJ81,'PCO Log'!$E$9:$SJ$9,'Graph Data'!BR$187,'PCO Log'!$E$4:$SJ$4,"&lt;&gt;Bid Package",'PCO Log'!$E$7:$SJ$7,"Approved")</f>
        <v>0</v>
      </c>
      <c r="BS257" s="304">
        <f>SUMIFS('PCO Log'!$E81:$SJ81,'PCO Log'!$E$9:$SJ$9,'Graph Data'!BS$187,'PCO Log'!$E$4:$SJ$4,"&lt;&gt;Bid Package",'PCO Log'!$E$7:$SJ$7,"Approved")</f>
        <v>0</v>
      </c>
      <c r="BT257" s="304">
        <f>SUMIFS('PCO Log'!$E81:$SJ81,'PCO Log'!$E$9:$SJ$9,'Graph Data'!BT$187,'PCO Log'!$E$4:$SJ$4,"&lt;&gt;Bid Package",'PCO Log'!$E$7:$SJ$7,"Approved")</f>
        <v>0</v>
      </c>
      <c r="BU257" s="304">
        <f>SUMIFS('PCO Log'!$E81:$SJ81,'PCO Log'!$E$9:$SJ$9,'Graph Data'!BU$187,'PCO Log'!$E$4:$SJ$4,"&lt;&gt;Bid Package",'PCO Log'!$E$7:$SJ$7,"Approved")</f>
        <v>0</v>
      </c>
      <c r="BV257" s="304">
        <f>SUMIFS('PCO Log'!$E81:$SJ81,'PCO Log'!$E$9:$SJ$9,'Graph Data'!BV$187,'PCO Log'!$E$4:$SJ$4,"&lt;&gt;Bid Package",'PCO Log'!$E$7:$SJ$7,"Approved")</f>
        <v>0</v>
      </c>
      <c r="BW257" s="304">
        <f>SUMIFS('PCO Log'!$E81:$SJ81,'PCO Log'!$E$9:$SJ$9,'Graph Data'!BW$187,'PCO Log'!$E$4:$SJ$4,"&lt;&gt;Bid Package",'PCO Log'!$E$7:$SJ$7,"Approved")</f>
        <v>0</v>
      </c>
      <c r="BX257" s="304">
        <f>SUMIFS('PCO Log'!$E81:$SJ81,'PCO Log'!$E$9:$SJ$9,'Graph Data'!BX$187,'PCO Log'!$E$4:$SJ$4,"&lt;&gt;Bid Package",'PCO Log'!$E$7:$SJ$7,"Approved")</f>
        <v>0</v>
      </c>
    </row>
    <row r="258" spans="1:76" x14ac:dyDescent="0.25">
      <c r="A258" s="303" t="s">
        <v>608</v>
      </c>
      <c r="B258" s="303">
        <f>'PCO Log'!JA7</f>
        <v>0</v>
      </c>
      <c r="C258" s="303">
        <f>'PCO Log'!JA4</f>
        <v>0</v>
      </c>
      <c r="D258" s="303" cm="1">
        <f t="array" ref="D258">INDEX('PCO Log'!$E$5:$SJ$5, 1, ROWS('Graph Data'!$D$2:D258))</f>
        <v>0</v>
      </c>
      <c r="E258" s="303">
        <f>'PCO Log'!JA8</f>
        <v>0</v>
      </c>
      <c r="F258" s="303">
        <f>'PCO Log'!JA3</f>
        <v>0</v>
      </c>
      <c r="G258" s="304">
        <f>'PCO Log'!JA10</f>
        <v>0</v>
      </c>
      <c r="H258" s="305">
        <f>'PCO Log'!JA6</f>
        <v>0</v>
      </c>
      <c r="K258" s="307"/>
      <c r="P258" s="303" t="str">
        <f t="shared" si="4"/>
        <v>Electrical</v>
      </c>
      <c r="Q258" s="304">
        <f>SUMIFS('PCO Log'!$E82:$SJ82,'PCO Log'!$E$9:$SJ$9,'Graph Data'!Q$187,'PCO Log'!$E$4:$SJ$4,"&lt;&gt;Bid Package",'PCO Log'!$E$7:$SJ$7,"Approved")</f>
        <v>0</v>
      </c>
      <c r="R258" s="304">
        <f>SUMIFS('PCO Log'!$E82:$SJ82,'PCO Log'!$E$9:$SJ$9,'Graph Data'!R$187,'PCO Log'!$E$4:$SJ$4,"&lt;&gt;Bid Package",'PCO Log'!$E$7:$SJ$7,"Approved")</f>
        <v>0</v>
      </c>
      <c r="S258" s="304">
        <f>SUMIFS('PCO Log'!$E82:$SJ82,'PCO Log'!$E$9:$SJ$9,'Graph Data'!S$187,'PCO Log'!$E$4:$SJ$4,"&lt;&gt;Bid Package",'PCO Log'!$E$7:$SJ$7,"Approved")</f>
        <v>0</v>
      </c>
      <c r="T258" s="304">
        <f>SUMIFS('PCO Log'!$E82:$SJ82,'PCO Log'!$E$9:$SJ$9,'Graph Data'!T$187,'PCO Log'!$E$4:$SJ$4,"&lt;&gt;Bid Package",'PCO Log'!$E$7:$SJ$7,"Approved")</f>
        <v>0</v>
      </c>
      <c r="U258" s="304">
        <f>SUMIFS('PCO Log'!$E82:$SJ82,'PCO Log'!$E$9:$SJ$9,'Graph Data'!U$187,'PCO Log'!$E$4:$SJ$4,"&lt;&gt;Bid Package",'PCO Log'!$E$7:$SJ$7,"Approved")</f>
        <v>0</v>
      </c>
      <c r="V258" s="304">
        <f>SUMIFS('PCO Log'!$E82:$SJ82,'PCO Log'!$E$9:$SJ$9,'Graph Data'!V$187,'PCO Log'!$E$4:$SJ$4,"&lt;&gt;Bid Package",'PCO Log'!$E$7:$SJ$7,"Approved")</f>
        <v>0</v>
      </c>
      <c r="W258" s="304">
        <f>SUMIFS('PCO Log'!$E82:$SJ82,'PCO Log'!$E$9:$SJ$9,'Graph Data'!W$187,'PCO Log'!$E$4:$SJ$4,"&lt;&gt;Bid Package",'PCO Log'!$E$7:$SJ$7,"Approved")</f>
        <v>0</v>
      </c>
      <c r="X258" s="304">
        <f>SUMIFS('PCO Log'!$E82:$SJ82,'PCO Log'!$E$9:$SJ$9,'Graph Data'!X$187,'PCO Log'!$E$4:$SJ$4,"&lt;&gt;Bid Package",'PCO Log'!$E$7:$SJ$7,"Approved")</f>
        <v>0</v>
      </c>
      <c r="Y258" s="304">
        <f>SUMIFS('PCO Log'!$E82:$SJ82,'PCO Log'!$E$9:$SJ$9,'Graph Data'!Y$187,'PCO Log'!$E$4:$SJ$4,"&lt;&gt;Bid Package",'PCO Log'!$E$7:$SJ$7,"Approved")</f>
        <v>0</v>
      </c>
      <c r="Z258" s="304">
        <f>SUMIFS('PCO Log'!$E82:$SJ82,'PCO Log'!$E$9:$SJ$9,'Graph Data'!Z$187,'PCO Log'!$E$4:$SJ$4,"&lt;&gt;Bid Package",'PCO Log'!$E$7:$SJ$7,"Approved")</f>
        <v>0</v>
      </c>
      <c r="AA258" s="304">
        <f>SUMIFS('PCO Log'!$E82:$SJ82,'PCO Log'!$E$9:$SJ$9,'Graph Data'!AA$187,'PCO Log'!$E$4:$SJ$4,"&lt;&gt;Bid Package",'PCO Log'!$E$7:$SJ$7,"Approved")</f>
        <v>0</v>
      </c>
      <c r="AB258" s="304">
        <f>SUMIFS('PCO Log'!$E82:$SJ82,'PCO Log'!$E$9:$SJ$9,'Graph Data'!AB$187,'PCO Log'!$E$4:$SJ$4,"&lt;&gt;Bid Package",'PCO Log'!$E$7:$SJ$7,"Approved")</f>
        <v>0</v>
      </c>
      <c r="AC258" s="304">
        <f>SUMIFS('PCO Log'!$E82:$SJ82,'PCO Log'!$E$9:$SJ$9,'Graph Data'!AC$187,'PCO Log'!$E$4:$SJ$4,"&lt;&gt;Bid Package",'PCO Log'!$E$7:$SJ$7,"Approved")</f>
        <v>0</v>
      </c>
      <c r="AD258" s="304">
        <f>SUMIFS('PCO Log'!$E82:$SJ82,'PCO Log'!$E$9:$SJ$9,'Graph Data'!AD$187,'PCO Log'!$E$4:$SJ$4,"&lt;&gt;Bid Package",'PCO Log'!$E$7:$SJ$7,"Approved")</f>
        <v>0</v>
      </c>
      <c r="AE258" s="304">
        <f>SUMIFS('PCO Log'!$E82:$SJ82,'PCO Log'!$E$9:$SJ$9,'Graph Data'!AE$187,'PCO Log'!$E$4:$SJ$4,"&lt;&gt;Bid Package",'PCO Log'!$E$7:$SJ$7,"Approved")</f>
        <v>0</v>
      </c>
      <c r="AF258" s="304">
        <f>SUMIFS('PCO Log'!$E82:$SJ82,'PCO Log'!$E$9:$SJ$9,'Graph Data'!AF$187,'PCO Log'!$E$4:$SJ$4,"&lt;&gt;Bid Package",'PCO Log'!$E$7:$SJ$7,"Approved")</f>
        <v>0</v>
      </c>
      <c r="AG258" s="304">
        <f>SUMIFS('PCO Log'!$E82:$SJ82,'PCO Log'!$E$9:$SJ$9,'Graph Data'!AG$187,'PCO Log'!$E$4:$SJ$4,"&lt;&gt;Bid Package",'PCO Log'!$E$7:$SJ$7,"Approved")</f>
        <v>0</v>
      </c>
      <c r="AH258" s="304">
        <f>SUMIFS('PCO Log'!$E82:$SJ82,'PCO Log'!$E$9:$SJ$9,'Graph Data'!AH$187,'PCO Log'!$E$4:$SJ$4,"&lt;&gt;Bid Package",'PCO Log'!$E$7:$SJ$7,"Approved")</f>
        <v>0</v>
      </c>
      <c r="AI258" s="304">
        <f>SUMIFS('PCO Log'!$E82:$SJ82,'PCO Log'!$E$9:$SJ$9,'Graph Data'!AI$187,'PCO Log'!$E$4:$SJ$4,"&lt;&gt;Bid Package",'PCO Log'!$E$7:$SJ$7,"Approved")</f>
        <v>0</v>
      </c>
      <c r="AJ258" s="304">
        <f>SUMIFS('PCO Log'!$E82:$SJ82,'PCO Log'!$E$9:$SJ$9,'Graph Data'!AJ$187,'PCO Log'!$E$4:$SJ$4,"&lt;&gt;Bid Package",'PCO Log'!$E$7:$SJ$7,"Approved")</f>
        <v>0</v>
      </c>
      <c r="AK258" s="304">
        <f>SUMIFS('PCO Log'!$E82:$SJ82,'PCO Log'!$E$9:$SJ$9,'Graph Data'!AK$187,'PCO Log'!$E$4:$SJ$4,"&lt;&gt;Bid Package",'PCO Log'!$E$7:$SJ$7,"Approved")</f>
        <v>0</v>
      </c>
      <c r="AL258" s="304">
        <f>SUMIFS('PCO Log'!$E82:$SJ82,'PCO Log'!$E$9:$SJ$9,'Graph Data'!AL$187,'PCO Log'!$E$4:$SJ$4,"&lt;&gt;Bid Package",'PCO Log'!$E$7:$SJ$7,"Approved")</f>
        <v>0</v>
      </c>
      <c r="AM258" s="304">
        <f>SUMIFS('PCO Log'!$E82:$SJ82,'PCO Log'!$E$9:$SJ$9,'Graph Data'!AM$187,'PCO Log'!$E$4:$SJ$4,"&lt;&gt;Bid Package",'PCO Log'!$E$7:$SJ$7,"Approved")</f>
        <v>0</v>
      </c>
      <c r="AN258" s="304">
        <f>SUMIFS('PCO Log'!$E82:$SJ82,'PCO Log'!$E$9:$SJ$9,'Graph Data'!AN$187,'PCO Log'!$E$4:$SJ$4,"&lt;&gt;Bid Package",'PCO Log'!$E$7:$SJ$7,"Approved")</f>
        <v>0</v>
      </c>
      <c r="AO258" s="304">
        <f>SUMIFS('PCO Log'!$E82:$SJ82,'PCO Log'!$E$9:$SJ$9,'Graph Data'!AO$187,'PCO Log'!$E$4:$SJ$4,"&lt;&gt;Bid Package",'PCO Log'!$E$7:$SJ$7,"Approved")</f>
        <v>0</v>
      </c>
      <c r="AP258" s="304">
        <f>SUMIFS('PCO Log'!$E82:$SJ82,'PCO Log'!$E$9:$SJ$9,'Graph Data'!AP$187,'PCO Log'!$E$4:$SJ$4,"&lt;&gt;Bid Package",'PCO Log'!$E$7:$SJ$7,"Approved")</f>
        <v>0</v>
      </c>
      <c r="AQ258" s="304">
        <f>SUMIFS('PCO Log'!$E82:$SJ82,'PCO Log'!$E$9:$SJ$9,'Graph Data'!AQ$187,'PCO Log'!$E$4:$SJ$4,"&lt;&gt;Bid Package",'PCO Log'!$E$7:$SJ$7,"Approved")</f>
        <v>0</v>
      </c>
      <c r="AR258" s="304">
        <f>SUMIFS('PCO Log'!$E82:$SJ82,'PCO Log'!$E$9:$SJ$9,'Graph Data'!AR$187,'PCO Log'!$E$4:$SJ$4,"&lt;&gt;Bid Package",'PCO Log'!$E$7:$SJ$7,"Approved")</f>
        <v>0</v>
      </c>
      <c r="AS258" s="304">
        <f>SUMIFS('PCO Log'!$E82:$SJ82,'PCO Log'!$E$9:$SJ$9,'Graph Data'!AS$187,'PCO Log'!$E$4:$SJ$4,"&lt;&gt;Bid Package",'PCO Log'!$E$7:$SJ$7,"Approved")</f>
        <v>0</v>
      </c>
      <c r="AT258" s="304">
        <f>SUMIFS('PCO Log'!$E82:$SJ82,'PCO Log'!$E$9:$SJ$9,'Graph Data'!AT$187,'PCO Log'!$E$4:$SJ$4,"&lt;&gt;Bid Package",'PCO Log'!$E$7:$SJ$7,"Approved")</f>
        <v>0</v>
      </c>
      <c r="AU258" s="304">
        <f>SUMIFS('PCO Log'!$E82:$SJ82,'PCO Log'!$E$9:$SJ$9,'Graph Data'!AU$187,'PCO Log'!$E$4:$SJ$4,"&lt;&gt;Bid Package",'PCO Log'!$E$7:$SJ$7,"Approved")</f>
        <v>0</v>
      </c>
      <c r="AV258" s="304">
        <f>SUMIFS('PCO Log'!$E82:$SJ82,'PCO Log'!$E$9:$SJ$9,'Graph Data'!AV$187,'PCO Log'!$E$4:$SJ$4,"&lt;&gt;Bid Package",'PCO Log'!$E$7:$SJ$7,"Approved")</f>
        <v>0</v>
      </c>
      <c r="AW258" s="304">
        <f>SUMIFS('PCO Log'!$E82:$SJ82,'PCO Log'!$E$9:$SJ$9,'Graph Data'!AW$187,'PCO Log'!$E$4:$SJ$4,"&lt;&gt;Bid Package",'PCO Log'!$E$7:$SJ$7,"Approved")</f>
        <v>0</v>
      </c>
      <c r="AX258" s="304">
        <f>SUMIFS('PCO Log'!$E82:$SJ82,'PCO Log'!$E$9:$SJ$9,'Graph Data'!AX$187,'PCO Log'!$E$4:$SJ$4,"&lt;&gt;Bid Package",'PCO Log'!$E$7:$SJ$7,"Approved")</f>
        <v>0</v>
      </c>
      <c r="AY258" s="304">
        <f>SUMIFS('PCO Log'!$E82:$SJ82,'PCO Log'!$E$9:$SJ$9,'Graph Data'!AY$187,'PCO Log'!$E$4:$SJ$4,"&lt;&gt;Bid Package",'PCO Log'!$E$7:$SJ$7,"Approved")</f>
        <v>0</v>
      </c>
      <c r="AZ258" s="304">
        <f>SUMIFS('PCO Log'!$E82:$SJ82,'PCO Log'!$E$9:$SJ$9,'Graph Data'!AZ$187,'PCO Log'!$E$4:$SJ$4,"&lt;&gt;Bid Package",'PCO Log'!$E$7:$SJ$7,"Approved")</f>
        <v>0</v>
      </c>
      <c r="BA258" s="304">
        <f>SUMIFS('PCO Log'!$E82:$SJ82,'PCO Log'!$E$9:$SJ$9,'Graph Data'!BA$187,'PCO Log'!$E$4:$SJ$4,"&lt;&gt;Bid Package",'PCO Log'!$E$7:$SJ$7,"Approved")</f>
        <v>0</v>
      </c>
      <c r="BB258" s="304">
        <f>SUMIFS('PCO Log'!$E82:$SJ82,'PCO Log'!$E$9:$SJ$9,'Graph Data'!BB$187,'PCO Log'!$E$4:$SJ$4,"&lt;&gt;Bid Package",'PCO Log'!$E$7:$SJ$7,"Approved")</f>
        <v>0</v>
      </c>
      <c r="BC258" s="304">
        <f>SUMIFS('PCO Log'!$E82:$SJ82,'PCO Log'!$E$9:$SJ$9,'Graph Data'!BC$187,'PCO Log'!$E$4:$SJ$4,"&lt;&gt;Bid Package",'PCO Log'!$E$7:$SJ$7,"Approved")</f>
        <v>0</v>
      </c>
      <c r="BD258" s="304">
        <f>SUMIFS('PCO Log'!$E82:$SJ82,'PCO Log'!$E$9:$SJ$9,'Graph Data'!BD$187,'PCO Log'!$E$4:$SJ$4,"&lt;&gt;Bid Package",'PCO Log'!$E$7:$SJ$7,"Approved")</f>
        <v>0</v>
      </c>
      <c r="BE258" s="304">
        <f>SUMIFS('PCO Log'!$E82:$SJ82,'PCO Log'!$E$9:$SJ$9,'Graph Data'!BE$187,'PCO Log'!$E$4:$SJ$4,"&lt;&gt;Bid Package",'PCO Log'!$E$7:$SJ$7,"Approved")</f>
        <v>0</v>
      </c>
      <c r="BF258" s="304">
        <f>SUMIFS('PCO Log'!$E82:$SJ82,'PCO Log'!$E$9:$SJ$9,'Graph Data'!BF$187,'PCO Log'!$E$4:$SJ$4,"&lt;&gt;Bid Package",'PCO Log'!$E$7:$SJ$7,"Approved")</f>
        <v>0</v>
      </c>
      <c r="BG258" s="304">
        <f>SUMIFS('PCO Log'!$E82:$SJ82,'PCO Log'!$E$9:$SJ$9,'Graph Data'!BG$187,'PCO Log'!$E$4:$SJ$4,"&lt;&gt;Bid Package",'PCO Log'!$E$7:$SJ$7,"Approved")</f>
        <v>0</v>
      </c>
      <c r="BH258" s="304">
        <f>SUMIFS('PCO Log'!$E82:$SJ82,'PCO Log'!$E$9:$SJ$9,'Graph Data'!BH$187,'PCO Log'!$E$4:$SJ$4,"&lt;&gt;Bid Package",'PCO Log'!$E$7:$SJ$7,"Approved")</f>
        <v>0</v>
      </c>
      <c r="BI258" s="304">
        <f>SUMIFS('PCO Log'!$E82:$SJ82,'PCO Log'!$E$9:$SJ$9,'Graph Data'!BI$187,'PCO Log'!$E$4:$SJ$4,"&lt;&gt;Bid Package",'PCO Log'!$E$7:$SJ$7,"Approved")</f>
        <v>0</v>
      </c>
      <c r="BJ258" s="304">
        <f>SUMIFS('PCO Log'!$E82:$SJ82,'PCO Log'!$E$9:$SJ$9,'Graph Data'!BJ$187,'PCO Log'!$E$4:$SJ$4,"&lt;&gt;Bid Package",'PCO Log'!$E$7:$SJ$7,"Approved")</f>
        <v>0</v>
      </c>
      <c r="BK258" s="304">
        <f>SUMIFS('PCO Log'!$E82:$SJ82,'PCO Log'!$E$9:$SJ$9,'Graph Data'!BK$187,'PCO Log'!$E$4:$SJ$4,"&lt;&gt;Bid Package",'PCO Log'!$E$7:$SJ$7,"Approved")</f>
        <v>0</v>
      </c>
      <c r="BL258" s="304">
        <f>SUMIFS('PCO Log'!$E82:$SJ82,'PCO Log'!$E$9:$SJ$9,'Graph Data'!BL$187,'PCO Log'!$E$4:$SJ$4,"&lt;&gt;Bid Package",'PCO Log'!$E$7:$SJ$7,"Approved")</f>
        <v>0</v>
      </c>
      <c r="BM258" s="304">
        <f>SUMIFS('PCO Log'!$E82:$SJ82,'PCO Log'!$E$9:$SJ$9,'Graph Data'!BM$187,'PCO Log'!$E$4:$SJ$4,"&lt;&gt;Bid Package",'PCO Log'!$E$7:$SJ$7,"Approved")</f>
        <v>0</v>
      </c>
      <c r="BN258" s="304">
        <f>SUMIFS('PCO Log'!$E82:$SJ82,'PCO Log'!$E$9:$SJ$9,'Graph Data'!BN$187,'PCO Log'!$E$4:$SJ$4,"&lt;&gt;Bid Package",'PCO Log'!$E$7:$SJ$7,"Approved")</f>
        <v>0</v>
      </c>
      <c r="BO258" s="304">
        <f>SUMIFS('PCO Log'!$E82:$SJ82,'PCO Log'!$E$9:$SJ$9,'Graph Data'!BO$187,'PCO Log'!$E$4:$SJ$4,"&lt;&gt;Bid Package",'PCO Log'!$E$7:$SJ$7,"Approved")</f>
        <v>0</v>
      </c>
      <c r="BP258" s="304">
        <f>SUMIFS('PCO Log'!$E82:$SJ82,'PCO Log'!$E$9:$SJ$9,'Graph Data'!BP$187,'PCO Log'!$E$4:$SJ$4,"&lt;&gt;Bid Package",'PCO Log'!$E$7:$SJ$7,"Approved")</f>
        <v>0</v>
      </c>
      <c r="BQ258" s="304">
        <f>SUMIFS('PCO Log'!$E82:$SJ82,'PCO Log'!$E$9:$SJ$9,'Graph Data'!BQ$187,'PCO Log'!$E$4:$SJ$4,"&lt;&gt;Bid Package",'PCO Log'!$E$7:$SJ$7,"Approved")</f>
        <v>0</v>
      </c>
      <c r="BR258" s="304">
        <f>SUMIFS('PCO Log'!$E82:$SJ82,'PCO Log'!$E$9:$SJ$9,'Graph Data'!BR$187,'PCO Log'!$E$4:$SJ$4,"&lt;&gt;Bid Package",'PCO Log'!$E$7:$SJ$7,"Approved")</f>
        <v>0</v>
      </c>
      <c r="BS258" s="304">
        <f>SUMIFS('PCO Log'!$E82:$SJ82,'PCO Log'!$E$9:$SJ$9,'Graph Data'!BS$187,'PCO Log'!$E$4:$SJ$4,"&lt;&gt;Bid Package",'PCO Log'!$E$7:$SJ$7,"Approved")</f>
        <v>0</v>
      </c>
      <c r="BT258" s="304">
        <f>SUMIFS('PCO Log'!$E82:$SJ82,'PCO Log'!$E$9:$SJ$9,'Graph Data'!BT$187,'PCO Log'!$E$4:$SJ$4,"&lt;&gt;Bid Package",'PCO Log'!$E$7:$SJ$7,"Approved")</f>
        <v>0</v>
      </c>
      <c r="BU258" s="304">
        <f>SUMIFS('PCO Log'!$E82:$SJ82,'PCO Log'!$E$9:$SJ$9,'Graph Data'!BU$187,'PCO Log'!$E$4:$SJ$4,"&lt;&gt;Bid Package",'PCO Log'!$E$7:$SJ$7,"Approved")</f>
        <v>0</v>
      </c>
      <c r="BV258" s="304">
        <f>SUMIFS('PCO Log'!$E82:$SJ82,'PCO Log'!$E$9:$SJ$9,'Graph Data'!BV$187,'PCO Log'!$E$4:$SJ$4,"&lt;&gt;Bid Package",'PCO Log'!$E$7:$SJ$7,"Approved")</f>
        <v>0</v>
      </c>
      <c r="BW258" s="304">
        <f>SUMIFS('PCO Log'!$E82:$SJ82,'PCO Log'!$E$9:$SJ$9,'Graph Data'!BW$187,'PCO Log'!$E$4:$SJ$4,"&lt;&gt;Bid Package",'PCO Log'!$E$7:$SJ$7,"Approved")</f>
        <v>0</v>
      </c>
      <c r="BX258" s="304">
        <f>SUMIFS('PCO Log'!$E82:$SJ82,'PCO Log'!$E$9:$SJ$9,'Graph Data'!BX$187,'PCO Log'!$E$4:$SJ$4,"&lt;&gt;Bid Package",'PCO Log'!$E$7:$SJ$7,"Approved")</f>
        <v>0</v>
      </c>
    </row>
    <row r="259" spans="1:76" x14ac:dyDescent="0.25">
      <c r="A259" s="303" t="s">
        <v>609</v>
      </c>
      <c r="B259" s="303">
        <f>'PCO Log'!JB7</f>
        <v>0</v>
      </c>
      <c r="C259" s="303">
        <f>'PCO Log'!JB4</f>
        <v>0</v>
      </c>
      <c r="D259" s="303" cm="1">
        <f t="array" ref="D259">INDEX('PCO Log'!$E$5:$SJ$5, 1, ROWS('Graph Data'!$D$2:D259))</f>
        <v>0</v>
      </c>
      <c r="E259" s="303">
        <f>'PCO Log'!JB8</f>
        <v>0</v>
      </c>
      <c r="F259" s="303">
        <f>'PCO Log'!JB3</f>
        <v>0</v>
      </c>
      <c r="G259" s="304">
        <f>'PCO Log'!JB10</f>
        <v>0</v>
      </c>
      <c r="H259" s="305">
        <f>'PCO Log'!JB6</f>
        <v>0</v>
      </c>
      <c r="K259" s="307"/>
      <c r="P259" s="303" t="str">
        <f t="shared" si="4"/>
        <v>AV/IT/Cabling</v>
      </c>
      <c r="Q259" s="304">
        <f>SUMIFS('PCO Log'!$E83:$SJ83,'PCO Log'!$E$9:$SJ$9,'Graph Data'!Q$187,'PCO Log'!$E$4:$SJ$4,"&lt;&gt;Bid Package",'PCO Log'!$E$7:$SJ$7,"Approved")</f>
        <v>0</v>
      </c>
      <c r="R259" s="304">
        <f>SUMIFS('PCO Log'!$E83:$SJ83,'PCO Log'!$E$9:$SJ$9,'Graph Data'!R$187,'PCO Log'!$E$4:$SJ$4,"&lt;&gt;Bid Package",'PCO Log'!$E$7:$SJ$7,"Approved")</f>
        <v>0</v>
      </c>
      <c r="S259" s="304">
        <f>SUMIFS('PCO Log'!$E83:$SJ83,'PCO Log'!$E$9:$SJ$9,'Graph Data'!S$187,'PCO Log'!$E$4:$SJ$4,"&lt;&gt;Bid Package",'PCO Log'!$E$7:$SJ$7,"Approved")</f>
        <v>0</v>
      </c>
      <c r="T259" s="304">
        <f>SUMIFS('PCO Log'!$E83:$SJ83,'PCO Log'!$E$9:$SJ$9,'Graph Data'!T$187,'PCO Log'!$E$4:$SJ$4,"&lt;&gt;Bid Package",'PCO Log'!$E$7:$SJ$7,"Approved")</f>
        <v>0</v>
      </c>
      <c r="U259" s="304">
        <f>SUMIFS('PCO Log'!$E83:$SJ83,'PCO Log'!$E$9:$SJ$9,'Graph Data'!U$187,'PCO Log'!$E$4:$SJ$4,"&lt;&gt;Bid Package",'PCO Log'!$E$7:$SJ$7,"Approved")</f>
        <v>0</v>
      </c>
      <c r="V259" s="304">
        <f>SUMIFS('PCO Log'!$E83:$SJ83,'PCO Log'!$E$9:$SJ$9,'Graph Data'!V$187,'PCO Log'!$E$4:$SJ$4,"&lt;&gt;Bid Package",'PCO Log'!$E$7:$SJ$7,"Approved")</f>
        <v>0</v>
      </c>
      <c r="W259" s="304">
        <f>SUMIFS('PCO Log'!$E83:$SJ83,'PCO Log'!$E$9:$SJ$9,'Graph Data'!W$187,'PCO Log'!$E$4:$SJ$4,"&lt;&gt;Bid Package",'PCO Log'!$E$7:$SJ$7,"Approved")</f>
        <v>0</v>
      </c>
      <c r="X259" s="304">
        <f>SUMIFS('PCO Log'!$E83:$SJ83,'PCO Log'!$E$9:$SJ$9,'Graph Data'!X$187,'PCO Log'!$E$4:$SJ$4,"&lt;&gt;Bid Package",'PCO Log'!$E$7:$SJ$7,"Approved")</f>
        <v>0</v>
      </c>
      <c r="Y259" s="304">
        <f>SUMIFS('PCO Log'!$E83:$SJ83,'PCO Log'!$E$9:$SJ$9,'Graph Data'!Y$187,'PCO Log'!$E$4:$SJ$4,"&lt;&gt;Bid Package",'PCO Log'!$E$7:$SJ$7,"Approved")</f>
        <v>0</v>
      </c>
      <c r="Z259" s="304">
        <f>SUMIFS('PCO Log'!$E83:$SJ83,'PCO Log'!$E$9:$SJ$9,'Graph Data'!Z$187,'PCO Log'!$E$4:$SJ$4,"&lt;&gt;Bid Package",'PCO Log'!$E$7:$SJ$7,"Approved")</f>
        <v>0</v>
      </c>
      <c r="AA259" s="304">
        <f>SUMIFS('PCO Log'!$E83:$SJ83,'PCO Log'!$E$9:$SJ$9,'Graph Data'!AA$187,'PCO Log'!$E$4:$SJ$4,"&lt;&gt;Bid Package",'PCO Log'!$E$7:$SJ$7,"Approved")</f>
        <v>0</v>
      </c>
      <c r="AB259" s="304">
        <f>SUMIFS('PCO Log'!$E83:$SJ83,'PCO Log'!$E$9:$SJ$9,'Graph Data'!AB$187,'PCO Log'!$E$4:$SJ$4,"&lt;&gt;Bid Package",'PCO Log'!$E$7:$SJ$7,"Approved")</f>
        <v>0</v>
      </c>
      <c r="AC259" s="304">
        <f>SUMIFS('PCO Log'!$E83:$SJ83,'PCO Log'!$E$9:$SJ$9,'Graph Data'!AC$187,'PCO Log'!$E$4:$SJ$4,"&lt;&gt;Bid Package",'PCO Log'!$E$7:$SJ$7,"Approved")</f>
        <v>0</v>
      </c>
      <c r="AD259" s="304">
        <f>SUMIFS('PCO Log'!$E83:$SJ83,'PCO Log'!$E$9:$SJ$9,'Graph Data'!AD$187,'PCO Log'!$E$4:$SJ$4,"&lt;&gt;Bid Package",'PCO Log'!$E$7:$SJ$7,"Approved")</f>
        <v>0</v>
      </c>
      <c r="AE259" s="304">
        <f>SUMIFS('PCO Log'!$E83:$SJ83,'PCO Log'!$E$9:$SJ$9,'Graph Data'!AE$187,'PCO Log'!$E$4:$SJ$4,"&lt;&gt;Bid Package",'PCO Log'!$E$7:$SJ$7,"Approved")</f>
        <v>0</v>
      </c>
      <c r="AF259" s="304">
        <f>SUMIFS('PCO Log'!$E83:$SJ83,'PCO Log'!$E$9:$SJ$9,'Graph Data'!AF$187,'PCO Log'!$E$4:$SJ$4,"&lt;&gt;Bid Package",'PCO Log'!$E$7:$SJ$7,"Approved")</f>
        <v>0</v>
      </c>
      <c r="AG259" s="304">
        <f>SUMIFS('PCO Log'!$E83:$SJ83,'PCO Log'!$E$9:$SJ$9,'Graph Data'!AG$187,'PCO Log'!$E$4:$SJ$4,"&lt;&gt;Bid Package",'PCO Log'!$E$7:$SJ$7,"Approved")</f>
        <v>0</v>
      </c>
      <c r="AH259" s="304">
        <f>SUMIFS('PCO Log'!$E83:$SJ83,'PCO Log'!$E$9:$SJ$9,'Graph Data'!AH$187,'PCO Log'!$E$4:$SJ$4,"&lt;&gt;Bid Package",'PCO Log'!$E$7:$SJ$7,"Approved")</f>
        <v>0</v>
      </c>
      <c r="AI259" s="304">
        <f>SUMIFS('PCO Log'!$E83:$SJ83,'PCO Log'!$E$9:$SJ$9,'Graph Data'!AI$187,'PCO Log'!$E$4:$SJ$4,"&lt;&gt;Bid Package",'PCO Log'!$E$7:$SJ$7,"Approved")</f>
        <v>0</v>
      </c>
      <c r="AJ259" s="304">
        <f>SUMIFS('PCO Log'!$E83:$SJ83,'PCO Log'!$E$9:$SJ$9,'Graph Data'!AJ$187,'PCO Log'!$E$4:$SJ$4,"&lt;&gt;Bid Package",'PCO Log'!$E$7:$SJ$7,"Approved")</f>
        <v>0</v>
      </c>
      <c r="AK259" s="304">
        <f>SUMIFS('PCO Log'!$E83:$SJ83,'PCO Log'!$E$9:$SJ$9,'Graph Data'!AK$187,'PCO Log'!$E$4:$SJ$4,"&lt;&gt;Bid Package",'PCO Log'!$E$7:$SJ$7,"Approved")</f>
        <v>0</v>
      </c>
      <c r="AL259" s="304">
        <f>SUMIFS('PCO Log'!$E83:$SJ83,'PCO Log'!$E$9:$SJ$9,'Graph Data'!AL$187,'PCO Log'!$E$4:$SJ$4,"&lt;&gt;Bid Package",'PCO Log'!$E$7:$SJ$7,"Approved")</f>
        <v>0</v>
      </c>
      <c r="AM259" s="304">
        <f>SUMIFS('PCO Log'!$E83:$SJ83,'PCO Log'!$E$9:$SJ$9,'Graph Data'!AM$187,'PCO Log'!$E$4:$SJ$4,"&lt;&gt;Bid Package",'PCO Log'!$E$7:$SJ$7,"Approved")</f>
        <v>0</v>
      </c>
      <c r="AN259" s="304">
        <f>SUMIFS('PCO Log'!$E83:$SJ83,'PCO Log'!$E$9:$SJ$9,'Graph Data'!AN$187,'PCO Log'!$E$4:$SJ$4,"&lt;&gt;Bid Package",'PCO Log'!$E$7:$SJ$7,"Approved")</f>
        <v>0</v>
      </c>
      <c r="AO259" s="304">
        <f>SUMIFS('PCO Log'!$E83:$SJ83,'PCO Log'!$E$9:$SJ$9,'Graph Data'!AO$187,'PCO Log'!$E$4:$SJ$4,"&lt;&gt;Bid Package",'PCO Log'!$E$7:$SJ$7,"Approved")</f>
        <v>0</v>
      </c>
      <c r="AP259" s="304">
        <f>SUMIFS('PCO Log'!$E83:$SJ83,'PCO Log'!$E$9:$SJ$9,'Graph Data'!AP$187,'PCO Log'!$E$4:$SJ$4,"&lt;&gt;Bid Package",'PCO Log'!$E$7:$SJ$7,"Approved")</f>
        <v>0</v>
      </c>
      <c r="AQ259" s="304">
        <f>SUMIFS('PCO Log'!$E83:$SJ83,'PCO Log'!$E$9:$SJ$9,'Graph Data'!AQ$187,'PCO Log'!$E$4:$SJ$4,"&lt;&gt;Bid Package",'PCO Log'!$E$7:$SJ$7,"Approved")</f>
        <v>0</v>
      </c>
      <c r="AR259" s="304">
        <f>SUMIFS('PCO Log'!$E83:$SJ83,'PCO Log'!$E$9:$SJ$9,'Graph Data'!AR$187,'PCO Log'!$E$4:$SJ$4,"&lt;&gt;Bid Package",'PCO Log'!$E$7:$SJ$7,"Approved")</f>
        <v>0</v>
      </c>
      <c r="AS259" s="304">
        <f>SUMIFS('PCO Log'!$E83:$SJ83,'PCO Log'!$E$9:$SJ$9,'Graph Data'!AS$187,'PCO Log'!$E$4:$SJ$4,"&lt;&gt;Bid Package",'PCO Log'!$E$7:$SJ$7,"Approved")</f>
        <v>0</v>
      </c>
      <c r="AT259" s="304">
        <f>SUMIFS('PCO Log'!$E83:$SJ83,'PCO Log'!$E$9:$SJ$9,'Graph Data'!AT$187,'PCO Log'!$E$4:$SJ$4,"&lt;&gt;Bid Package",'PCO Log'!$E$7:$SJ$7,"Approved")</f>
        <v>0</v>
      </c>
      <c r="AU259" s="304">
        <f>SUMIFS('PCO Log'!$E83:$SJ83,'PCO Log'!$E$9:$SJ$9,'Graph Data'!AU$187,'PCO Log'!$E$4:$SJ$4,"&lt;&gt;Bid Package",'PCO Log'!$E$7:$SJ$7,"Approved")</f>
        <v>0</v>
      </c>
      <c r="AV259" s="304">
        <f>SUMIFS('PCO Log'!$E83:$SJ83,'PCO Log'!$E$9:$SJ$9,'Graph Data'!AV$187,'PCO Log'!$E$4:$SJ$4,"&lt;&gt;Bid Package",'PCO Log'!$E$7:$SJ$7,"Approved")</f>
        <v>0</v>
      </c>
      <c r="AW259" s="304">
        <f>SUMIFS('PCO Log'!$E83:$SJ83,'PCO Log'!$E$9:$SJ$9,'Graph Data'!AW$187,'PCO Log'!$E$4:$SJ$4,"&lt;&gt;Bid Package",'PCO Log'!$E$7:$SJ$7,"Approved")</f>
        <v>0</v>
      </c>
      <c r="AX259" s="304">
        <f>SUMIFS('PCO Log'!$E83:$SJ83,'PCO Log'!$E$9:$SJ$9,'Graph Data'!AX$187,'PCO Log'!$E$4:$SJ$4,"&lt;&gt;Bid Package",'PCO Log'!$E$7:$SJ$7,"Approved")</f>
        <v>0</v>
      </c>
      <c r="AY259" s="304">
        <f>SUMIFS('PCO Log'!$E83:$SJ83,'PCO Log'!$E$9:$SJ$9,'Graph Data'!AY$187,'PCO Log'!$E$4:$SJ$4,"&lt;&gt;Bid Package",'PCO Log'!$E$7:$SJ$7,"Approved")</f>
        <v>0</v>
      </c>
      <c r="AZ259" s="304">
        <f>SUMIFS('PCO Log'!$E83:$SJ83,'PCO Log'!$E$9:$SJ$9,'Graph Data'!AZ$187,'PCO Log'!$E$4:$SJ$4,"&lt;&gt;Bid Package",'PCO Log'!$E$7:$SJ$7,"Approved")</f>
        <v>0</v>
      </c>
      <c r="BA259" s="304">
        <f>SUMIFS('PCO Log'!$E83:$SJ83,'PCO Log'!$E$9:$SJ$9,'Graph Data'!BA$187,'PCO Log'!$E$4:$SJ$4,"&lt;&gt;Bid Package",'PCO Log'!$E$7:$SJ$7,"Approved")</f>
        <v>0</v>
      </c>
      <c r="BB259" s="304">
        <f>SUMIFS('PCO Log'!$E83:$SJ83,'PCO Log'!$E$9:$SJ$9,'Graph Data'!BB$187,'PCO Log'!$E$4:$SJ$4,"&lt;&gt;Bid Package",'PCO Log'!$E$7:$SJ$7,"Approved")</f>
        <v>0</v>
      </c>
      <c r="BC259" s="304">
        <f>SUMIFS('PCO Log'!$E83:$SJ83,'PCO Log'!$E$9:$SJ$9,'Graph Data'!BC$187,'PCO Log'!$E$4:$SJ$4,"&lt;&gt;Bid Package",'PCO Log'!$E$7:$SJ$7,"Approved")</f>
        <v>0</v>
      </c>
      <c r="BD259" s="304">
        <f>SUMIFS('PCO Log'!$E83:$SJ83,'PCO Log'!$E$9:$SJ$9,'Graph Data'!BD$187,'PCO Log'!$E$4:$SJ$4,"&lt;&gt;Bid Package",'PCO Log'!$E$7:$SJ$7,"Approved")</f>
        <v>0</v>
      </c>
      <c r="BE259" s="304">
        <f>SUMIFS('PCO Log'!$E83:$SJ83,'PCO Log'!$E$9:$SJ$9,'Graph Data'!BE$187,'PCO Log'!$E$4:$SJ$4,"&lt;&gt;Bid Package",'PCO Log'!$E$7:$SJ$7,"Approved")</f>
        <v>0</v>
      </c>
      <c r="BF259" s="304">
        <f>SUMIFS('PCO Log'!$E83:$SJ83,'PCO Log'!$E$9:$SJ$9,'Graph Data'!BF$187,'PCO Log'!$E$4:$SJ$4,"&lt;&gt;Bid Package",'PCO Log'!$E$7:$SJ$7,"Approved")</f>
        <v>0</v>
      </c>
      <c r="BG259" s="304">
        <f>SUMIFS('PCO Log'!$E83:$SJ83,'PCO Log'!$E$9:$SJ$9,'Graph Data'!BG$187,'PCO Log'!$E$4:$SJ$4,"&lt;&gt;Bid Package",'PCO Log'!$E$7:$SJ$7,"Approved")</f>
        <v>0</v>
      </c>
      <c r="BH259" s="304">
        <f>SUMIFS('PCO Log'!$E83:$SJ83,'PCO Log'!$E$9:$SJ$9,'Graph Data'!BH$187,'PCO Log'!$E$4:$SJ$4,"&lt;&gt;Bid Package",'PCO Log'!$E$7:$SJ$7,"Approved")</f>
        <v>0</v>
      </c>
      <c r="BI259" s="304">
        <f>SUMIFS('PCO Log'!$E83:$SJ83,'PCO Log'!$E$9:$SJ$9,'Graph Data'!BI$187,'PCO Log'!$E$4:$SJ$4,"&lt;&gt;Bid Package",'PCO Log'!$E$7:$SJ$7,"Approved")</f>
        <v>0</v>
      </c>
      <c r="BJ259" s="304">
        <f>SUMIFS('PCO Log'!$E83:$SJ83,'PCO Log'!$E$9:$SJ$9,'Graph Data'!BJ$187,'PCO Log'!$E$4:$SJ$4,"&lt;&gt;Bid Package",'PCO Log'!$E$7:$SJ$7,"Approved")</f>
        <v>0</v>
      </c>
      <c r="BK259" s="304">
        <f>SUMIFS('PCO Log'!$E83:$SJ83,'PCO Log'!$E$9:$SJ$9,'Graph Data'!BK$187,'PCO Log'!$E$4:$SJ$4,"&lt;&gt;Bid Package",'PCO Log'!$E$7:$SJ$7,"Approved")</f>
        <v>0</v>
      </c>
      <c r="BL259" s="304">
        <f>SUMIFS('PCO Log'!$E83:$SJ83,'PCO Log'!$E$9:$SJ$9,'Graph Data'!BL$187,'PCO Log'!$E$4:$SJ$4,"&lt;&gt;Bid Package",'PCO Log'!$E$7:$SJ$7,"Approved")</f>
        <v>0</v>
      </c>
      <c r="BM259" s="304">
        <f>SUMIFS('PCO Log'!$E83:$SJ83,'PCO Log'!$E$9:$SJ$9,'Graph Data'!BM$187,'PCO Log'!$E$4:$SJ$4,"&lt;&gt;Bid Package",'PCO Log'!$E$7:$SJ$7,"Approved")</f>
        <v>0</v>
      </c>
      <c r="BN259" s="304">
        <f>SUMIFS('PCO Log'!$E83:$SJ83,'PCO Log'!$E$9:$SJ$9,'Graph Data'!BN$187,'PCO Log'!$E$4:$SJ$4,"&lt;&gt;Bid Package",'PCO Log'!$E$7:$SJ$7,"Approved")</f>
        <v>0</v>
      </c>
      <c r="BO259" s="304">
        <f>SUMIFS('PCO Log'!$E83:$SJ83,'PCO Log'!$E$9:$SJ$9,'Graph Data'!BO$187,'PCO Log'!$E$4:$SJ$4,"&lt;&gt;Bid Package",'PCO Log'!$E$7:$SJ$7,"Approved")</f>
        <v>0</v>
      </c>
      <c r="BP259" s="304">
        <f>SUMIFS('PCO Log'!$E83:$SJ83,'PCO Log'!$E$9:$SJ$9,'Graph Data'!BP$187,'PCO Log'!$E$4:$SJ$4,"&lt;&gt;Bid Package",'PCO Log'!$E$7:$SJ$7,"Approved")</f>
        <v>0</v>
      </c>
      <c r="BQ259" s="304">
        <f>SUMIFS('PCO Log'!$E83:$SJ83,'PCO Log'!$E$9:$SJ$9,'Graph Data'!BQ$187,'PCO Log'!$E$4:$SJ$4,"&lt;&gt;Bid Package",'PCO Log'!$E$7:$SJ$7,"Approved")</f>
        <v>0</v>
      </c>
      <c r="BR259" s="304">
        <f>SUMIFS('PCO Log'!$E83:$SJ83,'PCO Log'!$E$9:$SJ$9,'Graph Data'!BR$187,'PCO Log'!$E$4:$SJ$4,"&lt;&gt;Bid Package",'PCO Log'!$E$7:$SJ$7,"Approved")</f>
        <v>0</v>
      </c>
      <c r="BS259" s="304">
        <f>SUMIFS('PCO Log'!$E83:$SJ83,'PCO Log'!$E$9:$SJ$9,'Graph Data'!BS$187,'PCO Log'!$E$4:$SJ$4,"&lt;&gt;Bid Package",'PCO Log'!$E$7:$SJ$7,"Approved")</f>
        <v>0</v>
      </c>
      <c r="BT259" s="304">
        <f>SUMIFS('PCO Log'!$E83:$SJ83,'PCO Log'!$E$9:$SJ$9,'Graph Data'!BT$187,'PCO Log'!$E$4:$SJ$4,"&lt;&gt;Bid Package",'PCO Log'!$E$7:$SJ$7,"Approved")</f>
        <v>0</v>
      </c>
      <c r="BU259" s="304">
        <f>SUMIFS('PCO Log'!$E83:$SJ83,'PCO Log'!$E$9:$SJ$9,'Graph Data'!BU$187,'PCO Log'!$E$4:$SJ$4,"&lt;&gt;Bid Package",'PCO Log'!$E$7:$SJ$7,"Approved")</f>
        <v>0</v>
      </c>
      <c r="BV259" s="304">
        <f>SUMIFS('PCO Log'!$E83:$SJ83,'PCO Log'!$E$9:$SJ$9,'Graph Data'!BV$187,'PCO Log'!$E$4:$SJ$4,"&lt;&gt;Bid Package",'PCO Log'!$E$7:$SJ$7,"Approved")</f>
        <v>0</v>
      </c>
      <c r="BW259" s="304">
        <f>SUMIFS('PCO Log'!$E83:$SJ83,'PCO Log'!$E$9:$SJ$9,'Graph Data'!BW$187,'PCO Log'!$E$4:$SJ$4,"&lt;&gt;Bid Package",'PCO Log'!$E$7:$SJ$7,"Approved")</f>
        <v>0</v>
      </c>
      <c r="BX259" s="304">
        <f>SUMIFS('PCO Log'!$E83:$SJ83,'PCO Log'!$E$9:$SJ$9,'Graph Data'!BX$187,'PCO Log'!$E$4:$SJ$4,"&lt;&gt;Bid Package",'PCO Log'!$E$7:$SJ$7,"Approved")</f>
        <v>0</v>
      </c>
    </row>
    <row r="260" spans="1:76" x14ac:dyDescent="0.25">
      <c r="A260" s="303" t="s">
        <v>610</v>
      </c>
      <c r="B260" s="303">
        <f>'PCO Log'!JC7</f>
        <v>0</v>
      </c>
      <c r="C260" s="303">
        <f>'PCO Log'!JC4</f>
        <v>0</v>
      </c>
      <c r="D260" s="303" cm="1">
        <f t="array" ref="D260">INDEX('PCO Log'!$E$5:$SJ$5, 1, ROWS('Graph Data'!$D$2:D260))</f>
        <v>0</v>
      </c>
      <c r="E260" s="303">
        <f>'PCO Log'!JC8</f>
        <v>0</v>
      </c>
      <c r="F260" s="303">
        <f>'PCO Log'!JC3</f>
        <v>0</v>
      </c>
      <c r="G260" s="304">
        <f>'PCO Log'!JC10</f>
        <v>0</v>
      </c>
      <c r="H260" s="305">
        <f>'PCO Log'!JC6</f>
        <v>0</v>
      </c>
      <c r="K260" s="307"/>
      <c r="P260" s="303" t="str">
        <f t="shared" si="4"/>
        <v>Security/Access Control</v>
      </c>
      <c r="Q260" s="304">
        <f>SUMIFS('PCO Log'!$E84:$SJ84,'PCO Log'!$E$9:$SJ$9,'Graph Data'!Q$187,'PCO Log'!$E$4:$SJ$4,"&lt;&gt;Bid Package",'PCO Log'!$E$7:$SJ$7,"Approved")</f>
        <v>0</v>
      </c>
      <c r="R260" s="304">
        <f>SUMIFS('PCO Log'!$E84:$SJ84,'PCO Log'!$E$9:$SJ$9,'Graph Data'!R$187,'PCO Log'!$E$4:$SJ$4,"&lt;&gt;Bid Package",'PCO Log'!$E$7:$SJ$7,"Approved")</f>
        <v>0</v>
      </c>
      <c r="S260" s="304">
        <f>SUMIFS('PCO Log'!$E84:$SJ84,'PCO Log'!$E$9:$SJ$9,'Graph Data'!S$187,'PCO Log'!$E$4:$SJ$4,"&lt;&gt;Bid Package",'PCO Log'!$E$7:$SJ$7,"Approved")</f>
        <v>0</v>
      </c>
      <c r="T260" s="304">
        <f>SUMIFS('PCO Log'!$E84:$SJ84,'PCO Log'!$E$9:$SJ$9,'Graph Data'!T$187,'PCO Log'!$E$4:$SJ$4,"&lt;&gt;Bid Package",'PCO Log'!$E$7:$SJ$7,"Approved")</f>
        <v>0</v>
      </c>
      <c r="U260" s="304">
        <f>SUMIFS('PCO Log'!$E84:$SJ84,'PCO Log'!$E$9:$SJ$9,'Graph Data'!U$187,'PCO Log'!$E$4:$SJ$4,"&lt;&gt;Bid Package",'PCO Log'!$E$7:$SJ$7,"Approved")</f>
        <v>0</v>
      </c>
      <c r="V260" s="304">
        <f>SUMIFS('PCO Log'!$E84:$SJ84,'PCO Log'!$E$9:$SJ$9,'Graph Data'!V$187,'PCO Log'!$E$4:$SJ$4,"&lt;&gt;Bid Package",'PCO Log'!$E$7:$SJ$7,"Approved")</f>
        <v>0</v>
      </c>
      <c r="W260" s="304">
        <f>SUMIFS('PCO Log'!$E84:$SJ84,'PCO Log'!$E$9:$SJ$9,'Graph Data'!W$187,'PCO Log'!$E$4:$SJ$4,"&lt;&gt;Bid Package",'PCO Log'!$E$7:$SJ$7,"Approved")</f>
        <v>0</v>
      </c>
      <c r="X260" s="304">
        <f>SUMIFS('PCO Log'!$E84:$SJ84,'PCO Log'!$E$9:$SJ$9,'Graph Data'!X$187,'PCO Log'!$E$4:$SJ$4,"&lt;&gt;Bid Package",'PCO Log'!$E$7:$SJ$7,"Approved")</f>
        <v>0</v>
      </c>
      <c r="Y260" s="304">
        <f>SUMIFS('PCO Log'!$E84:$SJ84,'PCO Log'!$E$9:$SJ$9,'Graph Data'!Y$187,'PCO Log'!$E$4:$SJ$4,"&lt;&gt;Bid Package",'PCO Log'!$E$7:$SJ$7,"Approved")</f>
        <v>0</v>
      </c>
      <c r="Z260" s="304">
        <f>SUMIFS('PCO Log'!$E84:$SJ84,'PCO Log'!$E$9:$SJ$9,'Graph Data'!Z$187,'PCO Log'!$E$4:$SJ$4,"&lt;&gt;Bid Package",'PCO Log'!$E$7:$SJ$7,"Approved")</f>
        <v>0</v>
      </c>
      <c r="AA260" s="304">
        <f>SUMIFS('PCO Log'!$E84:$SJ84,'PCO Log'!$E$9:$SJ$9,'Graph Data'!AA$187,'PCO Log'!$E$4:$SJ$4,"&lt;&gt;Bid Package",'PCO Log'!$E$7:$SJ$7,"Approved")</f>
        <v>0</v>
      </c>
      <c r="AB260" s="304">
        <f>SUMIFS('PCO Log'!$E84:$SJ84,'PCO Log'!$E$9:$SJ$9,'Graph Data'!AB$187,'PCO Log'!$E$4:$SJ$4,"&lt;&gt;Bid Package",'PCO Log'!$E$7:$SJ$7,"Approved")</f>
        <v>0</v>
      </c>
      <c r="AC260" s="304">
        <f>SUMIFS('PCO Log'!$E84:$SJ84,'PCO Log'!$E$9:$SJ$9,'Graph Data'!AC$187,'PCO Log'!$E$4:$SJ$4,"&lt;&gt;Bid Package",'PCO Log'!$E$7:$SJ$7,"Approved")</f>
        <v>0</v>
      </c>
      <c r="AD260" s="304">
        <f>SUMIFS('PCO Log'!$E84:$SJ84,'PCO Log'!$E$9:$SJ$9,'Graph Data'!AD$187,'PCO Log'!$E$4:$SJ$4,"&lt;&gt;Bid Package",'PCO Log'!$E$7:$SJ$7,"Approved")</f>
        <v>0</v>
      </c>
      <c r="AE260" s="304">
        <f>SUMIFS('PCO Log'!$E84:$SJ84,'PCO Log'!$E$9:$SJ$9,'Graph Data'!AE$187,'PCO Log'!$E$4:$SJ$4,"&lt;&gt;Bid Package",'PCO Log'!$E$7:$SJ$7,"Approved")</f>
        <v>0</v>
      </c>
      <c r="AF260" s="304">
        <f>SUMIFS('PCO Log'!$E84:$SJ84,'PCO Log'!$E$9:$SJ$9,'Graph Data'!AF$187,'PCO Log'!$E$4:$SJ$4,"&lt;&gt;Bid Package",'PCO Log'!$E$7:$SJ$7,"Approved")</f>
        <v>0</v>
      </c>
      <c r="AG260" s="304">
        <f>SUMIFS('PCO Log'!$E84:$SJ84,'PCO Log'!$E$9:$SJ$9,'Graph Data'!AG$187,'PCO Log'!$E$4:$SJ$4,"&lt;&gt;Bid Package",'PCO Log'!$E$7:$SJ$7,"Approved")</f>
        <v>0</v>
      </c>
      <c r="AH260" s="304">
        <f>SUMIFS('PCO Log'!$E84:$SJ84,'PCO Log'!$E$9:$SJ$9,'Graph Data'!AH$187,'PCO Log'!$E$4:$SJ$4,"&lt;&gt;Bid Package",'PCO Log'!$E$7:$SJ$7,"Approved")</f>
        <v>0</v>
      </c>
      <c r="AI260" s="304">
        <f>SUMIFS('PCO Log'!$E84:$SJ84,'PCO Log'!$E$9:$SJ$9,'Graph Data'!AI$187,'PCO Log'!$E$4:$SJ$4,"&lt;&gt;Bid Package",'PCO Log'!$E$7:$SJ$7,"Approved")</f>
        <v>0</v>
      </c>
      <c r="AJ260" s="304">
        <f>SUMIFS('PCO Log'!$E84:$SJ84,'PCO Log'!$E$9:$SJ$9,'Graph Data'!AJ$187,'PCO Log'!$E$4:$SJ$4,"&lt;&gt;Bid Package",'PCO Log'!$E$7:$SJ$7,"Approved")</f>
        <v>0</v>
      </c>
      <c r="AK260" s="304">
        <f>SUMIFS('PCO Log'!$E84:$SJ84,'PCO Log'!$E$9:$SJ$9,'Graph Data'!AK$187,'PCO Log'!$E$4:$SJ$4,"&lt;&gt;Bid Package",'PCO Log'!$E$7:$SJ$7,"Approved")</f>
        <v>0</v>
      </c>
      <c r="AL260" s="304">
        <f>SUMIFS('PCO Log'!$E84:$SJ84,'PCO Log'!$E$9:$SJ$9,'Graph Data'!AL$187,'PCO Log'!$E$4:$SJ$4,"&lt;&gt;Bid Package",'PCO Log'!$E$7:$SJ$7,"Approved")</f>
        <v>0</v>
      </c>
      <c r="AM260" s="304">
        <f>SUMIFS('PCO Log'!$E84:$SJ84,'PCO Log'!$E$9:$SJ$9,'Graph Data'!AM$187,'PCO Log'!$E$4:$SJ$4,"&lt;&gt;Bid Package",'PCO Log'!$E$7:$SJ$7,"Approved")</f>
        <v>0</v>
      </c>
      <c r="AN260" s="304">
        <f>SUMIFS('PCO Log'!$E84:$SJ84,'PCO Log'!$E$9:$SJ$9,'Graph Data'!AN$187,'PCO Log'!$E$4:$SJ$4,"&lt;&gt;Bid Package",'PCO Log'!$E$7:$SJ$7,"Approved")</f>
        <v>0</v>
      </c>
      <c r="AO260" s="304">
        <f>SUMIFS('PCO Log'!$E84:$SJ84,'PCO Log'!$E$9:$SJ$9,'Graph Data'!AO$187,'PCO Log'!$E$4:$SJ$4,"&lt;&gt;Bid Package",'PCO Log'!$E$7:$SJ$7,"Approved")</f>
        <v>0</v>
      </c>
      <c r="AP260" s="304">
        <f>SUMIFS('PCO Log'!$E84:$SJ84,'PCO Log'!$E$9:$SJ$9,'Graph Data'!AP$187,'PCO Log'!$E$4:$SJ$4,"&lt;&gt;Bid Package",'PCO Log'!$E$7:$SJ$7,"Approved")</f>
        <v>0</v>
      </c>
      <c r="AQ260" s="304">
        <f>SUMIFS('PCO Log'!$E84:$SJ84,'PCO Log'!$E$9:$SJ$9,'Graph Data'!AQ$187,'PCO Log'!$E$4:$SJ$4,"&lt;&gt;Bid Package",'PCO Log'!$E$7:$SJ$7,"Approved")</f>
        <v>0</v>
      </c>
      <c r="AR260" s="304">
        <f>SUMIFS('PCO Log'!$E84:$SJ84,'PCO Log'!$E$9:$SJ$9,'Graph Data'!AR$187,'PCO Log'!$E$4:$SJ$4,"&lt;&gt;Bid Package",'PCO Log'!$E$7:$SJ$7,"Approved")</f>
        <v>0</v>
      </c>
      <c r="AS260" s="304">
        <f>SUMIFS('PCO Log'!$E84:$SJ84,'PCO Log'!$E$9:$SJ$9,'Graph Data'!AS$187,'PCO Log'!$E$4:$SJ$4,"&lt;&gt;Bid Package",'PCO Log'!$E$7:$SJ$7,"Approved")</f>
        <v>0</v>
      </c>
      <c r="AT260" s="304">
        <f>SUMIFS('PCO Log'!$E84:$SJ84,'PCO Log'!$E$9:$SJ$9,'Graph Data'!AT$187,'PCO Log'!$E$4:$SJ$4,"&lt;&gt;Bid Package",'PCO Log'!$E$7:$SJ$7,"Approved")</f>
        <v>0</v>
      </c>
      <c r="AU260" s="304">
        <f>SUMIFS('PCO Log'!$E84:$SJ84,'PCO Log'!$E$9:$SJ$9,'Graph Data'!AU$187,'PCO Log'!$E$4:$SJ$4,"&lt;&gt;Bid Package",'PCO Log'!$E$7:$SJ$7,"Approved")</f>
        <v>0</v>
      </c>
      <c r="AV260" s="304">
        <f>SUMIFS('PCO Log'!$E84:$SJ84,'PCO Log'!$E$9:$SJ$9,'Graph Data'!AV$187,'PCO Log'!$E$4:$SJ$4,"&lt;&gt;Bid Package",'PCO Log'!$E$7:$SJ$7,"Approved")</f>
        <v>0</v>
      </c>
      <c r="AW260" s="304">
        <f>SUMIFS('PCO Log'!$E84:$SJ84,'PCO Log'!$E$9:$SJ$9,'Graph Data'!AW$187,'PCO Log'!$E$4:$SJ$4,"&lt;&gt;Bid Package",'PCO Log'!$E$7:$SJ$7,"Approved")</f>
        <v>0</v>
      </c>
      <c r="AX260" s="304">
        <f>SUMIFS('PCO Log'!$E84:$SJ84,'PCO Log'!$E$9:$SJ$9,'Graph Data'!AX$187,'PCO Log'!$E$4:$SJ$4,"&lt;&gt;Bid Package",'PCO Log'!$E$7:$SJ$7,"Approved")</f>
        <v>0</v>
      </c>
      <c r="AY260" s="304">
        <f>SUMIFS('PCO Log'!$E84:$SJ84,'PCO Log'!$E$9:$SJ$9,'Graph Data'!AY$187,'PCO Log'!$E$4:$SJ$4,"&lt;&gt;Bid Package",'PCO Log'!$E$7:$SJ$7,"Approved")</f>
        <v>0</v>
      </c>
      <c r="AZ260" s="304">
        <f>SUMIFS('PCO Log'!$E84:$SJ84,'PCO Log'!$E$9:$SJ$9,'Graph Data'!AZ$187,'PCO Log'!$E$4:$SJ$4,"&lt;&gt;Bid Package",'PCO Log'!$E$7:$SJ$7,"Approved")</f>
        <v>0</v>
      </c>
      <c r="BA260" s="304">
        <f>SUMIFS('PCO Log'!$E84:$SJ84,'PCO Log'!$E$9:$SJ$9,'Graph Data'!BA$187,'PCO Log'!$E$4:$SJ$4,"&lt;&gt;Bid Package",'PCO Log'!$E$7:$SJ$7,"Approved")</f>
        <v>0</v>
      </c>
      <c r="BB260" s="304">
        <f>SUMIFS('PCO Log'!$E84:$SJ84,'PCO Log'!$E$9:$SJ$9,'Graph Data'!BB$187,'PCO Log'!$E$4:$SJ$4,"&lt;&gt;Bid Package",'PCO Log'!$E$7:$SJ$7,"Approved")</f>
        <v>0</v>
      </c>
      <c r="BC260" s="304">
        <f>SUMIFS('PCO Log'!$E84:$SJ84,'PCO Log'!$E$9:$SJ$9,'Graph Data'!BC$187,'PCO Log'!$E$4:$SJ$4,"&lt;&gt;Bid Package",'PCO Log'!$E$7:$SJ$7,"Approved")</f>
        <v>0</v>
      </c>
      <c r="BD260" s="304">
        <f>SUMIFS('PCO Log'!$E84:$SJ84,'PCO Log'!$E$9:$SJ$9,'Graph Data'!BD$187,'PCO Log'!$E$4:$SJ$4,"&lt;&gt;Bid Package",'PCO Log'!$E$7:$SJ$7,"Approved")</f>
        <v>0</v>
      </c>
      <c r="BE260" s="304">
        <f>SUMIFS('PCO Log'!$E84:$SJ84,'PCO Log'!$E$9:$SJ$9,'Graph Data'!BE$187,'PCO Log'!$E$4:$SJ$4,"&lt;&gt;Bid Package",'PCO Log'!$E$7:$SJ$7,"Approved")</f>
        <v>0</v>
      </c>
      <c r="BF260" s="304">
        <f>SUMIFS('PCO Log'!$E84:$SJ84,'PCO Log'!$E$9:$SJ$9,'Graph Data'!BF$187,'PCO Log'!$E$4:$SJ$4,"&lt;&gt;Bid Package",'PCO Log'!$E$7:$SJ$7,"Approved")</f>
        <v>0</v>
      </c>
      <c r="BG260" s="304">
        <f>SUMIFS('PCO Log'!$E84:$SJ84,'PCO Log'!$E$9:$SJ$9,'Graph Data'!BG$187,'PCO Log'!$E$4:$SJ$4,"&lt;&gt;Bid Package",'PCO Log'!$E$7:$SJ$7,"Approved")</f>
        <v>0</v>
      </c>
      <c r="BH260" s="304">
        <f>SUMIFS('PCO Log'!$E84:$SJ84,'PCO Log'!$E$9:$SJ$9,'Graph Data'!BH$187,'PCO Log'!$E$4:$SJ$4,"&lt;&gt;Bid Package",'PCO Log'!$E$7:$SJ$7,"Approved")</f>
        <v>0</v>
      </c>
      <c r="BI260" s="304">
        <f>SUMIFS('PCO Log'!$E84:$SJ84,'PCO Log'!$E$9:$SJ$9,'Graph Data'!BI$187,'PCO Log'!$E$4:$SJ$4,"&lt;&gt;Bid Package",'PCO Log'!$E$7:$SJ$7,"Approved")</f>
        <v>0</v>
      </c>
      <c r="BJ260" s="304">
        <f>SUMIFS('PCO Log'!$E84:$SJ84,'PCO Log'!$E$9:$SJ$9,'Graph Data'!BJ$187,'PCO Log'!$E$4:$SJ$4,"&lt;&gt;Bid Package",'PCO Log'!$E$7:$SJ$7,"Approved")</f>
        <v>0</v>
      </c>
      <c r="BK260" s="304">
        <f>SUMIFS('PCO Log'!$E84:$SJ84,'PCO Log'!$E$9:$SJ$9,'Graph Data'!BK$187,'PCO Log'!$E$4:$SJ$4,"&lt;&gt;Bid Package",'PCO Log'!$E$7:$SJ$7,"Approved")</f>
        <v>0</v>
      </c>
      <c r="BL260" s="304">
        <f>SUMIFS('PCO Log'!$E84:$SJ84,'PCO Log'!$E$9:$SJ$9,'Graph Data'!BL$187,'PCO Log'!$E$4:$SJ$4,"&lt;&gt;Bid Package",'PCO Log'!$E$7:$SJ$7,"Approved")</f>
        <v>0</v>
      </c>
      <c r="BM260" s="304">
        <f>SUMIFS('PCO Log'!$E84:$SJ84,'PCO Log'!$E$9:$SJ$9,'Graph Data'!BM$187,'PCO Log'!$E$4:$SJ$4,"&lt;&gt;Bid Package",'PCO Log'!$E$7:$SJ$7,"Approved")</f>
        <v>0</v>
      </c>
      <c r="BN260" s="304">
        <f>SUMIFS('PCO Log'!$E84:$SJ84,'PCO Log'!$E$9:$SJ$9,'Graph Data'!BN$187,'PCO Log'!$E$4:$SJ$4,"&lt;&gt;Bid Package",'PCO Log'!$E$7:$SJ$7,"Approved")</f>
        <v>0</v>
      </c>
      <c r="BO260" s="304">
        <f>SUMIFS('PCO Log'!$E84:$SJ84,'PCO Log'!$E$9:$SJ$9,'Graph Data'!BO$187,'PCO Log'!$E$4:$SJ$4,"&lt;&gt;Bid Package",'PCO Log'!$E$7:$SJ$7,"Approved")</f>
        <v>0</v>
      </c>
      <c r="BP260" s="304">
        <f>SUMIFS('PCO Log'!$E84:$SJ84,'PCO Log'!$E$9:$SJ$9,'Graph Data'!BP$187,'PCO Log'!$E$4:$SJ$4,"&lt;&gt;Bid Package",'PCO Log'!$E$7:$SJ$7,"Approved")</f>
        <v>0</v>
      </c>
      <c r="BQ260" s="304">
        <f>SUMIFS('PCO Log'!$E84:$SJ84,'PCO Log'!$E$9:$SJ$9,'Graph Data'!BQ$187,'PCO Log'!$E$4:$SJ$4,"&lt;&gt;Bid Package",'PCO Log'!$E$7:$SJ$7,"Approved")</f>
        <v>0</v>
      </c>
      <c r="BR260" s="304">
        <f>SUMIFS('PCO Log'!$E84:$SJ84,'PCO Log'!$E$9:$SJ$9,'Graph Data'!BR$187,'PCO Log'!$E$4:$SJ$4,"&lt;&gt;Bid Package",'PCO Log'!$E$7:$SJ$7,"Approved")</f>
        <v>0</v>
      </c>
      <c r="BS260" s="304">
        <f>SUMIFS('PCO Log'!$E84:$SJ84,'PCO Log'!$E$9:$SJ$9,'Graph Data'!BS$187,'PCO Log'!$E$4:$SJ$4,"&lt;&gt;Bid Package",'PCO Log'!$E$7:$SJ$7,"Approved")</f>
        <v>0</v>
      </c>
      <c r="BT260" s="304">
        <f>SUMIFS('PCO Log'!$E84:$SJ84,'PCO Log'!$E$9:$SJ$9,'Graph Data'!BT$187,'PCO Log'!$E$4:$SJ$4,"&lt;&gt;Bid Package",'PCO Log'!$E$7:$SJ$7,"Approved")</f>
        <v>0</v>
      </c>
      <c r="BU260" s="304">
        <f>SUMIFS('PCO Log'!$E84:$SJ84,'PCO Log'!$E$9:$SJ$9,'Graph Data'!BU$187,'PCO Log'!$E$4:$SJ$4,"&lt;&gt;Bid Package",'PCO Log'!$E$7:$SJ$7,"Approved")</f>
        <v>0</v>
      </c>
      <c r="BV260" s="304">
        <f>SUMIFS('PCO Log'!$E84:$SJ84,'PCO Log'!$E$9:$SJ$9,'Graph Data'!BV$187,'PCO Log'!$E$4:$SJ$4,"&lt;&gt;Bid Package",'PCO Log'!$E$7:$SJ$7,"Approved")</f>
        <v>0</v>
      </c>
      <c r="BW260" s="304">
        <f>SUMIFS('PCO Log'!$E84:$SJ84,'PCO Log'!$E$9:$SJ$9,'Graph Data'!BW$187,'PCO Log'!$E$4:$SJ$4,"&lt;&gt;Bid Package",'PCO Log'!$E$7:$SJ$7,"Approved")</f>
        <v>0</v>
      </c>
      <c r="BX260" s="304">
        <f>SUMIFS('PCO Log'!$E84:$SJ84,'PCO Log'!$E$9:$SJ$9,'Graph Data'!BX$187,'PCO Log'!$E$4:$SJ$4,"&lt;&gt;Bid Package",'PCO Log'!$E$7:$SJ$7,"Approved")</f>
        <v>0</v>
      </c>
    </row>
    <row r="261" spans="1:76" x14ac:dyDescent="0.25">
      <c r="A261" s="303" t="s">
        <v>611</v>
      </c>
      <c r="B261" s="303">
        <f>'PCO Log'!JD7</f>
        <v>0</v>
      </c>
      <c r="C261" s="303">
        <f>'PCO Log'!JD4</f>
        <v>0</v>
      </c>
      <c r="D261" s="303" cm="1">
        <f t="array" ref="D261">INDEX('PCO Log'!$E$5:$SJ$5, 1, ROWS('Graph Data'!$D$2:D261))</f>
        <v>0</v>
      </c>
      <c r="E261" s="303">
        <f>'PCO Log'!JD8</f>
        <v>0</v>
      </c>
      <c r="F261" s="303">
        <f>'PCO Log'!JD3</f>
        <v>0</v>
      </c>
      <c r="G261" s="304">
        <f>'PCO Log'!JD10</f>
        <v>0</v>
      </c>
      <c r="H261" s="305">
        <f>'PCO Log'!JD6</f>
        <v>0</v>
      </c>
      <c r="K261" s="307"/>
      <c r="P261" s="303" t="str">
        <f t="shared" si="4"/>
        <v>Electrical (other)</v>
      </c>
      <c r="Q261" s="304">
        <f>SUMIFS('PCO Log'!$E85:$SJ85,'PCO Log'!$E$9:$SJ$9,'Graph Data'!Q$187,'PCO Log'!$E$4:$SJ$4,"&lt;&gt;Bid Package",'PCO Log'!$E$7:$SJ$7,"Approved")</f>
        <v>0</v>
      </c>
      <c r="R261" s="304">
        <f>SUMIFS('PCO Log'!$E85:$SJ85,'PCO Log'!$E$9:$SJ$9,'Graph Data'!R$187,'PCO Log'!$E$4:$SJ$4,"&lt;&gt;Bid Package",'PCO Log'!$E$7:$SJ$7,"Approved")</f>
        <v>0</v>
      </c>
      <c r="S261" s="304">
        <f>SUMIFS('PCO Log'!$E85:$SJ85,'PCO Log'!$E$9:$SJ$9,'Graph Data'!S$187,'PCO Log'!$E$4:$SJ$4,"&lt;&gt;Bid Package",'PCO Log'!$E$7:$SJ$7,"Approved")</f>
        <v>0</v>
      </c>
      <c r="T261" s="304">
        <f>SUMIFS('PCO Log'!$E85:$SJ85,'PCO Log'!$E$9:$SJ$9,'Graph Data'!T$187,'PCO Log'!$E$4:$SJ$4,"&lt;&gt;Bid Package",'PCO Log'!$E$7:$SJ$7,"Approved")</f>
        <v>0</v>
      </c>
      <c r="U261" s="304">
        <f>SUMIFS('PCO Log'!$E85:$SJ85,'PCO Log'!$E$9:$SJ$9,'Graph Data'!U$187,'PCO Log'!$E$4:$SJ$4,"&lt;&gt;Bid Package",'PCO Log'!$E$7:$SJ$7,"Approved")</f>
        <v>0</v>
      </c>
      <c r="V261" s="304">
        <f>SUMIFS('PCO Log'!$E85:$SJ85,'PCO Log'!$E$9:$SJ$9,'Graph Data'!V$187,'PCO Log'!$E$4:$SJ$4,"&lt;&gt;Bid Package",'PCO Log'!$E$7:$SJ$7,"Approved")</f>
        <v>0</v>
      </c>
      <c r="W261" s="304">
        <f>SUMIFS('PCO Log'!$E85:$SJ85,'PCO Log'!$E$9:$SJ$9,'Graph Data'!W$187,'PCO Log'!$E$4:$SJ$4,"&lt;&gt;Bid Package",'PCO Log'!$E$7:$SJ$7,"Approved")</f>
        <v>0</v>
      </c>
      <c r="X261" s="304">
        <f>SUMIFS('PCO Log'!$E85:$SJ85,'PCO Log'!$E$9:$SJ$9,'Graph Data'!X$187,'PCO Log'!$E$4:$SJ$4,"&lt;&gt;Bid Package",'PCO Log'!$E$7:$SJ$7,"Approved")</f>
        <v>0</v>
      </c>
      <c r="Y261" s="304">
        <f>SUMIFS('PCO Log'!$E85:$SJ85,'PCO Log'!$E$9:$SJ$9,'Graph Data'!Y$187,'PCO Log'!$E$4:$SJ$4,"&lt;&gt;Bid Package",'PCO Log'!$E$7:$SJ$7,"Approved")</f>
        <v>0</v>
      </c>
      <c r="Z261" s="304">
        <f>SUMIFS('PCO Log'!$E85:$SJ85,'PCO Log'!$E$9:$SJ$9,'Graph Data'!Z$187,'PCO Log'!$E$4:$SJ$4,"&lt;&gt;Bid Package",'PCO Log'!$E$7:$SJ$7,"Approved")</f>
        <v>0</v>
      </c>
      <c r="AA261" s="304">
        <f>SUMIFS('PCO Log'!$E85:$SJ85,'PCO Log'!$E$9:$SJ$9,'Graph Data'!AA$187,'PCO Log'!$E$4:$SJ$4,"&lt;&gt;Bid Package",'PCO Log'!$E$7:$SJ$7,"Approved")</f>
        <v>0</v>
      </c>
      <c r="AB261" s="304">
        <f>SUMIFS('PCO Log'!$E85:$SJ85,'PCO Log'!$E$9:$SJ$9,'Graph Data'!AB$187,'PCO Log'!$E$4:$SJ$4,"&lt;&gt;Bid Package",'PCO Log'!$E$7:$SJ$7,"Approved")</f>
        <v>0</v>
      </c>
      <c r="AC261" s="304">
        <f>SUMIFS('PCO Log'!$E85:$SJ85,'PCO Log'!$E$9:$SJ$9,'Graph Data'!AC$187,'PCO Log'!$E$4:$SJ$4,"&lt;&gt;Bid Package",'PCO Log'!$E$7:$SJ$7,"Approved")</f>
        <v>0</v>
      </c>
      <c r="AD261" s="304">
        <f>SUMIFS('PCO Log'!$E85:$SJ85,'PCO Log'!$E$9:$SJ$9,'Graph Data'!AD$187,'PCO Log'!$E$4:$SJ$4,"&lt;&gt;Bid Package",'PCO Log'!$E$7:$SJ$7,"Approved")</f>
        <v>0</v>
      </c>
      <c r="AE261" s="304">
        <f>SUMIFS('PCO Log'!$E85:$SJ85,'PCO Log'!$E$9:$SJ$9,'Graph Data'!AE$187,'PCO Log'!$E$4:$SJ$4,"&lt;&gt;Bid Package",'PCO Log'!$E$7:$SJ$7,"Approved")</f>
        <v>0</v>
      </c>
      <c r="AF261" s="304">
        <f>SUMIFS('PCO Log'!$E85:$SJ85,'PCO Log'!$E$9:$SJ$9,'Graph Data'!AF$187,'PCO Log'!$E$4:$SJ$4,"&lt;&gt;Bid Package",'PCO Log'!$E$7:$SJ$7,"Approved")</f>
        <v>0</v>
      </c>
      <c r="AG261" s="304">
        <f>SUMIFS('PCO Log'!$E85:$SJ85,'PCO Log'!$E$9:$SJ$9,'Graph Data'!AG$187,'PCO Log'!$E$4:$SJ$4,"&lt;&gt;Bid Package",'PCO Log'!$E$7:$SJ$7,"Approved")</f>
        <v>0</v>
      </c>
      <c r="AH261" s="304">
        <f>SUMIFS('PCO Log'!$E85:$SJ85,'PCO Log'!$E$9:$SJ$9,'Graph Data'!AH$187,'PCO Log'!$E$4:$SJ$4,"&lt;&gt;Bid Package",'PCO Log'!$E$7:$SJ$7,"Approved")</f>
        <v>0</v>
      </c>
      <c r="AI261" s="304">
        <f>SUMIFS('PCO Log'!$E85:$SJ85,'PCO Log'!$E$9:$SJ$9,'Graph Data'!AI$187,'PCO Log'!$E$4:$SJ$4,"&lt;&gt;Bid Package",'PCO Log'!$E$7:$SJ$7,"Approved")</f>
        <v>0</v>
      </c>
      <c r="AJ261" s="304">
        <f>SUMIFS('PCO Log'!$E85:$SJ85,'PCO Log'!$E$9:$SJ$9,'Graph Data'!AJ$187,'PCO Log'!$E$4:$SJ$4,"&lt;&gt;Bid Package",'PCO Log'!$E$7:$SJ$7,"Approved")</f>
        <v>0</v>
      </c>
      <c r="AK261" s="304">
        <f>SUMIFS('PCO Log'!$E85:$SJ85,'PCO Log'!$E$9:$SJ$9,'Graph Data'!AK$187,'PCO Log'!$E$4:$SJ$4,"&lt;&gt;Bid Package",'PCO Log'!$E$7:$SJ$7,"Approved")</f>
        <v>0</v>
      </c>
      <c r="AL261" s="304">
        <f>SUMIFS('PCO Log'!$E85:$SJ85,'PCO Log'!$E$9:$SJ$9,'Graph Data'!AL$187,'PCO Log'!$E$4:$SJ$4,"&lt;&gt;Bid Package",'PCO Log'!$E$7:$SJ$7,"Approved")</f>
        <v>0</v>
      </c>
      <c r="AM261" s="304">
        <f>SUMIFS('PCO Log'!$E85:$SJ85,'PCO Log'!$E$9:$SJ$9,'Graph Data'!AM$187,'PCO Log'!$E$4:$SJ$4,"&lt;&gt;Bid Package",'PCO Log'!$E$7:$SJ$7,"Approved")</f>
        <v>0</v>
      </c>
      <c r="AN261" s="304">
        <f>SUMIFS('PCO Log'!$E85:$SJ85,'PCO Log'!$E$9:$SJ$9,'Graph Data'!AN$187,'PCO Log'!$E$4:$SJ$4,"&lt;&gt;Bid Package",'PCO Log'!$E$7:$SJ$7,"Approved")</f>
        <v>0</v>
      </c>
      <c r="AO261" s="304">
        <f>SUMIFS('PCO Log'!$E85:$SJ85,'PCO Log'!$E$9:$SJ$9,'Graph Data'!AO$187,'PCO Log'!$E$4:$SJ$4,"&lt;&gt;Bid Package",'PCO Log'!$E$7:$SJ$7,"Approved")</f>
        <v>0</v>
      </c>
      <c r="AP261" s="304">
        <f>SUMIFS('PCO Log'!$E85:$SJ85,'PCO Log'!$E$9:$SJ$9,'Graph Data'!AP$187,'PCO Log'!$E$4:$SJ$4,"&lt;&gt;Bid Package",'PCO Log'!$E$7:$SJ$7,"Approved")</f>
        <v>0</v>
      </c>
      <c r="AQ261" s="304">
        <f>SUMIFS('PCO Log'!$E85:$SJ85,'PCO Log'!$E$9:$SJ$9,'Graph Data'!AQ$187,'PCO Log'!$E$4:$SJ$4,"&lt;&gt;Bid Package",'PCO Log'!$E$7:$SJ$7,"Approved")</f>
        <v>0</v>
      </c>
      <c r="AR261" s="304">
        <f>SUMIFS('PCO Log'!$E85:$SJ85,'PCO Log'!$E$9:$SJ$9,'Graph Data'!AR$187,'PCO Log'!$E$4:$SJ$4,"&lt;&gt;Bid Package",'PCO Log'!$E$7:$SJ$7,"Approved")</f>
        <v>0</v>
      </c>
      <c r="AS261" s="304">
        <f>SUMIFS('PCO Log'!$E85:$SJ85,'PCO Log'!$E$9:$SJ$9,'Graph Data'!AS$187,'PCO Log'!$E$4:$SJ$4,"&lt;&gt;Bid Package",'PCO Log'!$E$7:$SJ$7,"Approved")</f>
        <v>0</v>
      </c>
      <c r="AT261" s="304">
        <f>SUMIFS('PCO Log'!$E85:$SJ85,'PCO Log'!$E$9:$SJ$9,'Graph Data'!AT$187,'PCO Log'!$E$4:$SJ$4,"&lt;&gt;Bid Package",'PCO Log'!$E$7:$SJ$7,"Approved")</f>
        <v>0</v>
      </c>
      <c r="AU261" s="304">
        <f>SUMIFS('PCO Log'!$E85:$SJ85,'PCO Log'!$E$9:$SJ$9,'Graph Data'!AU$187,'PCO Log'!$E$4:$SJ$4,"&lt;&gt;Bid Package",'PCO Log'!$E$7:$SJ$7,"Approved")</f>
        <v>0</v>
      </c>
      <c r="AV261" s="304">
        <f>SUMIFS('PCO Log'!$E85:$SJ85,'PCO Log'!$E$9:$SJ$9,'Graph Data'!AV$187,'PCO Log'!$E$4:$SJ$4,"&lt;&gt;Bid Package",'PCO Log'!$E$7:$SJ$7,"Approved")</f>
        <v>0</v>
      </c>
      <c r="AW261" s="304">
        <f>SUMIFS('PCO Log'!$E85:$SJ85,'PCO Log'!$E$9:$SJ$9,'Graph Data'!AW$187,'PCO Log'!$E$4:$SJ$4,"&lt;&gt;Bid Package",'PCO Log'!$E$7:$SJ$7,"Approved")</f>
        <v>0</v>
      </c>
      <c r="AX261" s="304">
        <f>SUMIFS('PCO Log'!$E85:$SJ85,'PCO Log'!$E$9:$SJ$9,'Graph Data'!AX$187,'PCO Log'!$E$4:$SJ$4,"&lt;&gt;Bid Package",'PCO Log'!$E$7:$SJ$7,"Approved")</f>
        <v>0</v>
      </c>
      <c r="AY261" s="304">
        <f>SUMIFS('PCO Log'!$E85:$SJ85,'PCO Log'!$E$9:$SJ$9,'Graph Data'!AY$187,'PCO Log'!$E$4:$SJ$4,"&lt;&gt;Bid Package",'PCO Log'!$E$7:$SJ$7,"Approved")</f>
        <v>0</v>
      </c>
      <c r="AZ261" s="304">
        <f>SUMIFS('PCO Log'!$E85:$SJ85,'PCO Log'!$E$9:$SJ$9,'Graph Data'!AZ$187,'PCO Log'!$E$4:$SJ$4,"&lt;&gt;Bid Package",'PCO Log'!$E$7:$SJ$7,"Approved")</f>
        <v>0</v>
      </c>
      <c r="BA261" s="304">
        <f>SUMIFS('PCO Log'!$E85:$SJ85,'PCO Log'!$E$9:$SJ$9,'Graph Data'!BA$187,'PCO Log'!$E$4:$SJ$4,"&lt;&gt;Bid Package",'PCO Log'!$E$7:$SJ$7,"Approved")</f>
        <v>0</v>
      </c>
      <c r="BB261" s="304">
        <f>SUMIFS('PCO Log'!$E85:$SJ85,'PCO Log'!$E$9:$SJ$9,'Graph Data'!BB$187,'PCO Log'!$E$4:$SJ$4,"&lt;&gt;Bid Package",'PCO Log'!$E$7:$SJ$7,"Approved")</f>
        <v>0</v>
      </c>
      <c r="BC261" s="304">
        <f>SUMIFS('PCO Log'!$E85:$SJ85,'PCO Log'!$E$9:$SJ$9,'Graph Data'!BC$187,'PCO Log'!$E$4:$SJ$4,"&lt;&gt;Bid Package",'PCO Log'!$E$7:$SJ$7,"Approved")</f>
        <v>0</v>
      </c>
      <c r="BD261" s="304">
        <f>SUMIFS('PCO Log'!$E85:$SJ85,'PCO Log'!$E$9:$SJ$9,'Graph Data'!BD$187,'PCO Log'!$E$4:$SJ$4,"&lt;&gt;Bid Package",'PCO Log'!$E$7:$SJ$7,"Approved")</f>
        <v>0</v>
      </c>
      <c r="BE261" s="304">
        <f>SUMIFS('PCO Log'!$E85:$SJ85,'PCO Log'!$E$9:$SJ$9,'Graph Data'!BE$187,'PCO Log'!$E$4:$SJ$4,"&lt;&gt;Bid Package",'PCO Log'!$E$7:$SJ$7,"Approved")</f>
        <v>0</v>
      </c>
      <c r="BF261" s="304">
        <f>SUMIFS('PCO Log'!$E85:$SJ85,'PCO Log'!$E$9:$SJ$9,'Graph Data'!BF$187,'PCO Log'!$E$4:$SJ$4,"&lt;&gt;Bid Package",'PCO Log'!$E$7:$SJ$7,"Approved")</f>
        <v>0</v>
      </c>
      <c r="BG261" s="304">
        <f>SUMIFS('PCO Log'!$E85:$SJ85,'PCO Log'!$E$9:$SJ$9,'Graph Data'!BG$187,'PCO Log'!$E$4:$SJ$4,"&lt;&gt;Bid Package",'PCO Log'!$E$7:$SJ$7,"Approved")</f>
        <v>0</v>
      </c>
      <c r="BH261" s="304">
        <f>SUMIFS('PCO Log'!$E85:$SJ85,'PCO Log'!$E$9:$SJ$9,'Graph Data'!BH$187,'PCO Log'!$E$4:$SJ$4,"&lt;&gt;Bid Package",'PCO Log'!$E$7:$SJ$7,"Approved")</f>
        <v>0</v>
      </c>
      <c r="BI261" s="304">
        <f>SUMIFS('PCO Log'!$E85:$SJ85,'PCO Log'!$E$9:$SJ$9,'Graph Data'!BI$187,'PCO Log'!$E$4:$SJ$4,"&lt;&gt;Bid Package",'PCO Log'!$E$7:$SJ$7,"Approved")</f>
        <v>0</v>
      </c>
      <c r="BJ261" s="304">
        <f>SUMIFS('PCO Log'!$E85:$SJ85,'PCO Log'!$E$9:$SJ$9,'Graph Data'!BJ$187,'PCO Log'!$E$4:$SJ$4,"&lt;&gt;Bid Package",'PCO Log'!$E$7:$SJ$7,"Approved")</f>
        <v>0</v>
      </c>
      <c r="BK261" s="304">
        <f>SUMIFS('PCO Log'!$E85:$SJ85,'PCO Log'!$E$9:$SJ$9,'Graph Data'!BK$187,'PCO Log'!$E$4:$SJ$4,"&lt;&gt;Bid Package",'PCO Log'!$E$7:$SJ$7,"Approved")</f>
        <v>0</v>
      </c>
      <c r="BL261" s="304">
        <f>SUMIFS('PCO Log'!$E85:$SJ85,'PCO Log'!$E$9:$SJ$9,'Graph Data'!BL$187,'PCO Log'!$E$4:$SJ$4,"&lt;&gt;Bid Package",'PCO Log'!$E$7:$SJ$7,"Approved")</f>
        <v>0</v>
      </c>
      <c r="BM261" s="304">
        <f>SUMIFS('PCO Log'!$E85:$SJ85,'PCO Log'!$E$9:$SJ$9,'Graph Data'!BM$187,'PCO Log'!$E$4:$SJ$4,"&lt;&gt;Bid Package",'PCO Log'!$E$7:$SJ$7,"Approved")</f>
        <v>0</v>
      </c>
      <c r="BN261" s="304">
        <f>SUMIFS('PCO Log'!$E85:$SJ85,'PCO Log'!$E$9:$SJ$9,'Graph Data'!BN$187,'PCO Log'!$E$4:$SJ$4,"&lt;&gt;Bid Package",'PCO Log'!$E$7:$SJ$7,"Approved")</f>
        <v>0</v>
      </c>
      <c r="BO261" s="304">
        <f>SUMIFS('PCO Log'!$E85:$SJ85,'PCO Log'!$E$9:$SJ$9,'Graph Data'!BO$187,'PCO Log'!$E$4:$SJ$4,"&lt;&gt;Bid Package",'PCO Log'!$E$7:$SJ$7,"Approved")</f>
        <v>0</v>
      </c>
      <c r="BP261" s="304">
        <f>SUMIFS('PCO Log'!$E85:$SJ85,'PCO Log'!$E$9:$SJ$9,'Graph Data'!BP$187,'PCO Log'!$E$4:$SJ$4,"&lt;&gt;Bid Package",'PCO Log'!$E$7:$SJ$7,"Approved")</f>
        <v>0</v>
      </c>
      <c r="BQ261" s="304">
        <f>SUMIFS('PCO Log'!$E85:$SJ85,'PCO Log'!$E$9:$SJ$9,'Graph Data'!BQ$187,'PCO Log'!$E$4:$SJ$4,"&lt;&gt;Bid Package",'PCO Log'!$E$7:$SJ$7,"Approved")</f>
        <v>0</v>
      </c>
      <c r="BR261" s="304">
        <f>SUMIFS('PCO Log'!$E85:$SJ85,'PCO Log'!$E$9:$SJ$9,'Graph Data'!BR$187,'PCO Log'!$E$4:$SJ$4,"&lt;&gt;Bid Package",'PCO Log'!$E$7:$SJ$7,"Approved")</f>
        <v>0</v>
      </c>
      <c r="BS261" s="304">
        <f>SUMIFS('PCO Log'!$E85:$SJ85,'PCO Log'!$E$9:$SJ$9,'Graph Data'!BS$187,'PCO Log'!$E$4:$SJ$4,"&lt;&gt;Bid Package",'PCO Log'!$E$7:$SJ$7,"Approved")</f>
        <v>0</v>
      </c>
      <c r="BT261" s="304">
        <f>SUMIFS('PCO Log'!$E85:$SJ85,'PCO Log'!$E$9:$SJ$9,'Graph Data'!BT$187,'PCO Log'!$E$4:$SJ$4,"&lt;&gt;Bid Package",'PCO Log'!$E$7:$SJ$7,"Approved")</f>
        <v>0</v>
      </c>
      <c r="BU261" s="304">
        <f>SUMIFS('PCO Log'!$E85:$SJ85,'PCO Log'!$E$9:$SJ$9,'Graph Data'!BU$187,'PCO Log'!$E$4:$SJ$4,"&lt;&gt;Bid Package",'PCO Log'!$E$7:$SJ$7,"Approved")</f>
        <v>0</v>
      </c>
      <c r="BV261" s="304">
        <f>SUMIFS('PCO Log'!$E85:$SJ85,'PCO Log'!$E$9:$SJ$9,'Graph Data'!BV$187,'PCO Log'!$E$4:$SJ$4,"&lt;&gt;Bid Package",'PCO Log'!$E$7:$SJ$7,"Approved")</f>
        <v>0</v>
      </c>
      <c r="BW261" s="304">
        <f>SUMIFS('PCO Log'!$E85:$SJ85,'PCO Log'!$E$9:$SJ$9,'Graph Data'!BW$187,'PCO Log'!$E$4:$SJ$4,"&lt;&gt;Bid Package",'PCO Log'!$E$7:$SJ$7,"Approved")</f>
        <v>0</v>
      </c>
      <c r="BX261" s="304">
        <f>SUMIFS('PCO Log'!$E85:$SJ85,'PCO Log'!$E$9:$SJ$9,'Graph Data'!BX$187,'PCO Log'!$E$4:$SJ$4,"&lt;&gt;Bid Package",'PCO Log'!$E$7:$SJ$7,"Approved")</f>
        <v>0</v>
      </c>
    </row>
    <row r="262" spans="1:76" x14ac:dyDescent="0.25">
      <c r="A262" s="303" t="s">
        <v>612</v>
      </c>
      <c r="B262" s="303">
        <f>'PCO Log'!JE7</f>
        <v>0</v>
      </c>
      <c r="C262" s="303">
        <f>'PCO Log'!JE4</f>
        <v>0</v>
      </c>
      <c r="D262" s="303" cm="1">
        <f t="array" ref="D262">INDEX('PCO Log'!$E$5:$SJ$5, 1, ROWS('Graph Data'!$D$2:D262))</f>
        <v>0</v>
      </c>
      <c r="E262" s="303">
        <f>'PCO Log'!JE8</f>
        <v>0</v>
      </c>
      <c r="F262" s="303">
        <f>'PCO Log'!JE3</f>
        <v>0</v>
      </c>
      <c r="G262" s="304">
        <f>'PCO Log'!JE10</f>
        <v>0</v>
      </c>
      <c r="H262" s="305">
        <f>'PCO Log'!JE6</f>
        <v>0</v>
      </c>
      <c r="K262" s="307"/>
      <c r="P262" s="303" t="str">
        <f t="shared" si="4"/>
        <v>Building &amp; Site Earthwork</v>
      </c>
      <c r="Q262" s="304">
        <f>SUMIFS('PCO Log'!$E86:$SJ86,'PCO Log'!$E$9:$SJ$9,'Graph Data'!Q$187,'PCO Log'!$E$4:$SJ$4,"&lt;&gt;Bid Package",'PCO Log'!$E$7:$SJ$7,"Approved")</f>
        <v>0</v>
      </c>
      <c r="R262" s="304">
        <f>SUMIFS('PCO Log'!$E86:$SJ86,'PCO Log'!$E$9:$SJ$9,'Graph Data'!R$187,'PCO Log'!$E$4:$SJ$4,"&lt;&gt;Bid Package",'PCO Log'!$E$7:$SJ$7,"Approved")</f>
        <v>0</v>
      </c>
      <c r="S262" s="304">
        <f>SUMIFS('PCO Log'!$E86:$SJ86,'PCO Log'!$E$9:$SJ$9,'Graph Data'!S$187,'PCO Log'!$E$4:$SJ$4,"&lt;&gt;Bid Package",'PCO Log'!$E$7:$SJ$7,"Approved")</f>
        <v>0</v>
      </c>
      <c r="T262" s="304">
        <f>SUMIFS('PCO Log'!$E86:$SJ86,'PCO Log'!$E$9:$SJ$9,'Graph Data'!T$187,'PCO Log'!$E$4:$SJ$4,"&lt;&gt;Bid Package",'PCO Log'!$E$7:$SJ$7,"Approved")</f>
        <v>0</v>
      </c>
      <c r="U262" s="304">
        <f>SUMIFS('PCO Log'!$E86:$SJ86,'PCO Log'!$E$9:$SJ$9,'Graph Data'!U$187,'PCO Log'!$E$4:$SJ$4,"&lt;&gt;Bid Package",'PCO Log'!$E$7:$SJ$7,"Approved")</f>
        <v>0</v>
      </c>
      <c r="V262" s="304">
        <f>SUMIFS('PCO Log'!$E86:$SJ86,'PCO Log'!$E$9:$SJ$9,'Graph Data'!V$187,'PCO Log'!$E$4:$SJ$4,"&lt;&gt;Bid Package",'PCO Log'!$E$7:$SJ$7,"Approved")</f>
        <v>0</v>
      </c>
      <c r="W262" s="304">
        <f>SUMIFS('PCO Log'!$E86:$SJ86,'PCO Log'!$E$9:$SJ$9,'Graph Data'!W$187,'PCO Log'!$E$4:$SJ$4,"&lt;&gt;Bid Package",'PCO Log'!$E$7:$SJ$7,"Approved")</f>
        <v>0</v>
      </c>
      <c r="X262" s="304">
        <f>SUMIFS('PCO Log'!$E86:$SJ86,'PCO Log'!$E$9:$SJ$9,'Graph Data'!X$187,'PCO Log'!$E$4:$SJ$4,"&lt;&gt;Bid Package",'PCO Log'!$E$7:$SJ$7,"Approved")</f>
        <v>0</v>
      </c>
      <c r="Y262" s="304">
        <f>SUMIFS('PCO Log'!$E86:$SJ86,'PCO Log'!$E$9:$SJ$9,'Graph Data'!Y$187,'PCO Log'!$E$4:$SJ$4,"&lt;&gt;Bid Package",'PCO Log'!$E$7:$SJ$7,"Approved")</f>
        <v>0</v>
      </c>
      <c r="Z262" s="304">
        <f>SUMIFS('PCO Log'!$E86:$SJ86,'PCO Log'!$E$9:$SJ$9,'Graph Data'!Z$187,'PCO Log'!$E$4:$SJ$4,"&lt;&gt;Bid Package",'PCO Log'!$E$7:$SJ$7,"Approved")</f>
        <v>0</v>
      </c>
      <c r="AA262" s="304">
        <f>SUMIFS('PCO Log'!$E86:$SJ86,'PCO Log'!$E$9:$SJ$9,'Graph Data'!AA$187,'PCO Log'!$E$4:$SJ$4,"&lt;&gt;Bid Package",'PCO Log'!$E$7:$SJ$7,"Approved")</f>
        <v>0</v>
      </c>
      <c r="AB262" s="304">
        <f>SUMIFS('PCO Log'!$E86:$SJ86,'PCO Log'!$E$9:$SJ$9,'Graph Data'!AB$187,'PCO Log'!$E$4:$SJ$4,"&lt;&gt;Bid Package",'PCO Log'!$E$7:$SJ$7,"Approved")</f>
        <v>0</v>
      </c>
      <c r="AC262" s="304">
        <f>SUMIFS('PCO Log'!$E86:$SJ86,'PCO Log'!$E$9:$SJ$9,'Graph Data'!AC$187,'PCO Log'!$E$4:$SJ$4,"&lt;&gt;Bid Package",'PCO Log'!$E$7:$SJ$7,"Approved")</f>
        <v>0</v>
      </c>
      <c r="AD262" s="304">
        <f>SUMIFS('PCO Log'!$E86:$SJ86,'PCO Log'!$E$9:$SJ$9,'Graph Data'!AD$187,'PCO Log'!$E$4:$SJ$4,"&lt;&gt;Bid Package",'PCO Log'!$E$7:$SJ$7,"Approved")</f>
        <v>0</v>
      </c>
      <c r="AE262" s="304">
        <f>SUMIFS('PCO Log'!$E86:$SJ86,'PCO Log'!$E$9:$SJ$9,'Graph Data'!AE$187,'PCO Log'!$E$4:$SJ$4,"&lt;&gt;Bid Package",'PCO Log'!$E$7:$SJ$7,"Approved")</f>
        <v>0</v>
      </c>
      <c r="AF262" s="304">
        <f>SUMIFS('PCO Log'!$E86:$SJ86,'PCO Log'!$E$9:$SJ$9,'Graph Data'!AF$187,'PCO Log'!$E$4:$SJ$4,"&lt;&gt;Bid Package",'PCO Log'!$E$7:$SJ$7,"Approved")</f>
        <v>0</v>
      </c>
      <c r="AG262" s="304">
        <f>SUMIFS('PCO Log'!$E86:$SJ86,'PCO Log'!$E$9:$SJ$9,'Graph Data'!AG$187,'PCO Log'!$E$4:$SJ$4,"&lt;&gt;Bid Package",'PCO Log'!$E$7:$SJ$7,"Approved")</f>
        <v>0</v>
      </c>
      <c r="AH262" s="304">
        <f>SUMIFS('PCO Log'!$E86:$SJ86,'PCO Log'!$E$9:$SJ$9,'Graph Data'!AH$187,'PCO Log'!$E$4:$SJ$4,"&lt;&gt;Bid Package",'PCO Log'!$E$7:$SJ$7,"Approved")</f>
        <v>0</v>
      </c>
      <c r="AI262" s="304">
        <f>SUMIFS('PCO Log'!$E86:$SJ86,'PCO Log'!$E$9:$SJ$9,'Graph Data'!AI$187,'PCO Log'!$E$4:$SJ$4,"&lt;&gt;Bid Package",'PCO Log'!$E$7:$SJ$7,"Approved")</f>
        <v>0</v>
      </c>
      <c r="AJ262" s="304">
        <f>SUMIFS('PCO Log'!$E86:$SJ86,'PCO Log'!$E$9:$SJ$9,'Graph Data'!AJ$187,'PCO Log'!$E$4:$SJ$4,"&lt;&gt;Bid Package",'PCO Log'!$E$7:$SJ$7,"Approved")</f>
        <v>0</v>
      </c>
      <c r="AK262" s="304">
        <f>SUMIFS('PCO Log'!$E86:$SJ86,'PCO Log'!$E$9:$SJ$9,'Graph Data'!AK$187,'PCO Log'!$E$4:$SJ$4,"&lt;&gt;Bid Package",'PCO Log'!$E$7:$SJ$7,"Approved")</f>
        <v>0</v>
      </c>
      <c r="AL262" s="304">
        <f>SUMIFS('PCO Log'!$E86:$SJ86,'PCO Log'!$E$9:$SJ$9,'Graph Data'!AL$187,'PCO Log'!$E$4:$SJ$4,"&lt;&gt;Bid Package",'PCO Log'!$E$7:$SJ$7,"Approved")</f>
        <v>0</v>
      </c>
      <c r="AM262" s="304">
        <f>SUMIFS('PCO Log'!$E86:$SJ86,'PCO Log'!$E$9:$SJ$9,'Graph Data'!AM$187,'PCO Log'!$E$4:$SJ$4,"&lt;&gt;Bid Package",'PCO Log'!$E$7:$SJ$7,"Approved")</f>
        <v>0</v>
      </c>
      <c r="AN262" s="304">
        <f>SUMIFS('PCO Log'!$E86:$SJ86,'PCO Log'!$E$9:$SJ$9,'Graph Data'!AN$187,'PCO Log'!$E$4:$SJ$4,"&lt;&gt;Bid Package",'PCO Log'!$E$7:$SJ$7,"Approved")</f>
        <v>0</v>
      </c>
      <c r="AO262" s="304">
        <f>SUMIFS('PCO Log'!$E86:$SJ86,'PCO Log'!$E$9:$SJ$9,'Graph Data'!AO$187,'PCO Log'!$E$4:$SJ$4,"&lt;&gt;Bid Package",'PCO Log'!$E$7:$SJ$7,"Approved")</f>
        <v>0</v>
      </c>
      <c r="AP262" s="304">
        <f>SUMIFS('PCO Log'!$E86:$SJ86,'PCO Log'!$E$9:$SJ$9,'Graph Data'!AP$187,'PCO Log'!$E$4:$SJ$4,"&lt;&gt;Bid Package",'PCO Log'!$E$7:$SJ$7,"Approved")</f>
        <v>0</v>
      </c>
      <c r="AQ262" s="304">
        <f>SUMIFS('PCO Log'!$E86:$SJ86,'PCO Log'!$E$9:$SJ$9,'Graph Data'!AQ$187,'PCO Log'!$E$4:$SJ$4,"&lt;&gt;Bid Package",'PCO Log'!$E$7:$SJ$7,"Approved")</f>
        <v>0</v>
      </c>
      <c r="AR262" s="304">
        <f>SUMIFS('PCO Log'!$E86:$SJ86,'PCO Log'!$E$9:$SJ$9,'Graph Data'!AR$187,'PCO Log'!$E$4:$SJ$4,"&lt;&gt;Bid Package",'PCO Log'!$E$7:$SJ$7,"Approved")</f>
        <v>0</v>
      </c>
      <c r="AS262" s="304">
        <f>SUMIFS('PCO Log'!$E86:$SJ86,'PCO Log'!$E$9:$SJ$9,'Graph Data'!AS$187,'PCO Log'!$E$4:$SJ$4,"&lt;&gt;Bid Package",'PCO Log'!$E$7:$SJ$7,"Approved")</f>
        <v>0</v>
      </c>
      <c r="AT262" s="304">
        <f>SUMIFS('PCO Log'!$E86:$SJ86,'PCO Log'!$E$9:$SJ$9,'Graph Data'!AT$187,'PCO Log'!$E$4:$SJ$4,"&lt;&gt;Bid Package",'PCO Log'!$E$7:$SJ$7,"Approved")</f>
        <v>0</v>
      </c>
      <c r="AU262" s="304">
        <f>SUMIFS('PCO Log'!$E86:$SJ86,'PCO Log'!$E$9:$SJ$9,'Graph Data'!AU$187,'PCO Log'!$E$4:$SJ$4,"&lt;&gt;Bid Package",'PCO Log'!$E$7:$SJ$7,"Approved")</f>
        <v>0</v>
      </c>
      <c r="AV262" s="304">
        <f>SUMIFS('PCO Log'!$E86:$SJ86,'PCO Log'!$E$9:$SJ$9,'Graph Data'!AV$187,'PCO Log'!$E$4:$SJ$4,"&lt;&gt;Bid Package",'PCO Log'!$E$7:$SJ$7,"Approved")</f>
        <v>0</v>
      </c>
      <c r="AW262" s="304">
        <f>SUMIFS('PCO Log'!$E86:$SJ86,'PCO Log'!$E$9:$SJ$9,'Graph Data'!AW$187,'PCO Log'!$E$4:$SJ$4,"&lt;&gt;Bid Package",'PCO Log'!$E$7:$SJ$7,"Approved")</f>
        <v>0</v>
      </c>
      <c r="AX262" s="304">
        <f>SUMIFS('PCO Log'!$E86:$SJ86,'PCO Log'!$E$9:$SJ$9,'Graph Data'!AX$187,'PCO Log'!$E$4:$SJ$4,"&lt;&gt;Bid Package",'PCO Log'!$E$7:$SJ$7,"Approved")</f>
        <v>0</v>
      </c>
      <c r="AY262" s="304">
        <f>SUMIFS('PCO Log'!$E86:$SJ86,'PCO Log'!$E$9:$SJ$9,'Graph Data'!AY$187,'PCO Log'!$E$4:$SJ$4,"&lt;&gt;Bid Package",'PCO Log'!$E$7:$SJ$7,"Approved")</f>
        <v>0</v>
      </c>
      <c r="AZ262" s="304">
        <f>SUMIFS('PCO Log'!$E86:$SJ86,'PCO Log'!$E$9:$SJ$9,'Graph Data'!AZ$187,'PCO Log'!$E$4:$SJ$4,"&lt;&gt;Bid Package",'PCO Log'!$E$7:$SJ$7,"Approved")</f>
        <v>0</v>
      </c>
      <c r="BA262" s="304">
        <f>SUMIFS('PCO Log'!$E86:$SJ86,'PCO Log'!$E$9:$SJ$9,'Graph Data'!BA$187,'PCO Log'!$E$4:$SJ$4,"&lt;&gt;Bid Package",'PCO Log'!$E$7:$SJ$7,"Approved")</f>
        <v>0</v>
      </c>
      <c r="BB262" s="304">
        <f>SUMIFS('PCO Log'!$E86:$SJ86,'PCO Log'!$E$9:$SJ$9,'Graph Data'!BB$187,'PCO Log'!$E$4:$SJ$4,"&lt;&gt;Bid Package",'PCO Log'!$E$7:$SJ$7,"Approved")</f>
        <v>0</v>
      </c>
      <c r="BC262" s="304">
        <f>SUMIFS('PCO Log'!$E86:$SJ86,'PCO Log'!$E$9:$SJ$9,'Graph Data'!BC$187,'PCO Log'!$E$4:$SJ$4,"&lt;&gt;Bid Package",'PCO Log'!$E$7:$SJ$7,"Approved")</f>
        <v>0</v>
      </c>
      <c r="BD262" s="304">
        <f>SUMIFS('PCO Log'!$E86:$SJ86,'PCO Log'!$E$9:$SJ$9,'Graph Data'!BD$187,'PCO Log'!$E$4:$SJ$4,"&lt;&gt;Bid Package",'PCO Log'!$E$7:$SJ$7,"Approved")</f>
        <v>0</v>
      </c>
      <c r="BE262" s="304">
        <f>SUMIFS('PCO Log'!$E86:$SJ86,'PCO Log'!$E$9:$SJ$9,'Graph Data'!BE$187,'PCO Log'!$E$4:$SJ$4,"&lt;&gt;Bid Package",'PCO Log'!$E$7:$SJ$7,"Approved")</f>
        <v>0</v>
      </c>
      <c r="BF262" s="304">
        <f>SUMIFS('PCO Log'!$E86:$SJ86,'PCO Log'!$E$9:$SJ$9,'Graph Data'!BF$187,'PCO Log'!$E$4:$SJ$4,"&lt;&gt;Bid Package",'PCO Log'!$E$7:$SJ$7,"Approved")</f>
        <v>0</v>
      </c>
      <c r="BG262" s="304">
        <f>SUMIFS('PCO Log'!$E86:$SJ86,'PCO Log'!$E$9:$SJ$9,'Graph Data'!BG$187,'PCO Log'!$E$4:$SJ$4,"&lt;&gt;Bid Package",'PCO Log'!$E$7:$SJ$7,"Approved")</f>
        <v>0</v>
      </c>
      <c r="BH262" s="304">
        <f>SUMIFS('PCO Log'!$E86:$SJ86,'PCO Log'!$E$9:$SJ$9,'Graph Data'!BH$187,'PCO Log'!$E$4:$SJ$4,"&lt;&gt;Bid Package",'PCO Log'!$E$7:$SJ$7,"Approved")</f>
        <v>0</v>
      </c>
      <c r="BI262" s="304">
        <f>SUMIFS('PCO Log'!$E86:$SJ86,'PCO Log'!$E$9:$SJ$9,'Graph Data'!BI$187,'PCO Log'!$E$4:$SJ$4,"&lt;&gt;Bid Package",'PCO Log'!$E$7:$SJ$7,"Approved")</f>
        <v>0</v>
      </c>
      <c r="BJ262" s="304">
        <f>SUMIFS('PCO Log'!$E86:$SJ86,'PCO Log'!$E$9:$SJ$9,'Graph Data'!BJ$187,'PCO Log'!$E$4:$SJ$4,"&lt;&gt;Bid Package",'PCO Log'!$E$7:$SJ$7,"Approved")</f>
        <v>0</v>
      </c>
      <c r="BK262" s="304">
        <f>SUMIFS('PCO Log'!$E86:$SJ86,'PCO Log'!$E$9:$SJ$9,'Graph Data'!BK$187,'PCO Log'!$E$4:$SJ$4,"&lt;&gt;Bid Package",'PCO Log'!$E$7:$SJ$7,"Approved")</f>
        <v>0</v>
      </c>
      <c r="BL262" s="304">
        <f>SUMIFS('PCO Log'!$E86:$SJ86,'PCO Log'!$E$9:$SJ$9,'Graph Data'!BL$187,'PCO Log'!$E$4:$SJ$4,"&lt;&gt;Bid Package",'PCO Log'!$E$7:$SJ$7,"Approved")</f>
        <v>0</v>
      </c>
      <c r="BM262" s="304">
        <f>SUMIFS('PCO Log'!$E86:$SJ86,'PCO Log'!$E$9:$SJ$9,'Graph Data'!BM$187,'PCO Log'!$E$4:$SJ$4,"&lt;&gt;Bid Package",'PCO Log'!$E$7:$SJ$7,"Approved")</f>
        <v>0</v>
      </c>
      <c r="BN262" s="304">
        <f>SUMIFS('PCO Log'!$E86:$SJ86,'PCO Log'!$E$9:$SJ$9,'Graph Data'!BN$187,'PCO Log'!$E$4:$SJ$4,"&lt;&gt;Bid Package",'PCO Log'!$E$7:$SJ$7,"Approved")</f>
        <v>0</v>
      </c>
      <c r="BO262" s="304">
        <f>SUMIFS('PCO Log'!$E86:$SJ86,'PCO Log'!$E$9:$SJ$9,'Graph Data'!BO$187,'PCO Log'!$E$4:$SJ$4,"&lt;&gt;Bid Package",'PCO Log'!$E$7:$SJ$7,"Approved")</f>
        <v>0</v>
      </c>
      <c r="BP262" s="304">
        <f>SUMIFS('PCO Log'!$E86:$SJ86,'PCO Log'!$E$9:$SJ$9,'Graph Data'!BP$187,'PCO Log'!$E$4:$SJ$4,"&lt;&gt;Bid Package",'PCO Log'!$E$7:$SJ$7,"Approved")</f>
        <v>0</v>
      </c>
      <c r="BQ262" s="304">
        <f>SUMIFS('PCO Log'!$E86:$SJ86,'PCO Log'!$E$9:$SJ$9,'Graph Data'!BQ$187,'PCO Log'!$E$4:$SJ$4,"&lt;&gt;Bid Package",'PCO Log'!$E$7:$SJ$7,"Approved")</f>
        <v>0</v>
      </c>
      <c r="BR262" s="304">
        <f>SUMIFS('PCO Log'!$E86:$SJ86,'PCO Log'!$E$9:$SJ$9,'Graph Data'!BR$187,'PCO Log'!$E$4:$SJ$4,"&lt;&gt;Bid Package",'PCO Log'!$E$7:$SJ$7,"Approved")</f>
        <v>0</v>
      </c>
      <c r="BS262" s="304">
        <f>SUMIFS('PCO Log'!$E86:$SJ86,'PCO Log'!$E$9:$SJ$9,'Graph Data'!BS$187,'PCO Log'!$E$4:$SJ$4,"&lt;&gt;Bid Package",'PCO Log'!$E$7:$SJ$7,"Approved")</f>
        <v>0</v>
      </c>
      <c r="BT262" s="304">
        <f>SUMIFS('PCO Log'!$E86:$SJ86,'PCO Log'!$E$9:$SJ$9,'Graph Data'!BT$187,'PCO Log'!$E$4:$SJ$4,"&lt;&gt;Bid Package",'PCO Log'!$E$7:$SJ$7,"Approved")</f>
        <v>0</v>
      </c>
      <c r="BU262" s="304">
        <f>SUMIFS('PCO Log'!$E86:$SJ86,'PCO Log'!$E$9:$SJ$9,'Graph Data'!BU$187,'PCO Log'!$E$4:$SJ$4,"&lt;&gt;Bid Package",'PCO Log'!$E$7:$SJ$7,"Approved")</f>
        <v>0</v>
      </c>
      <c r="BV262" s="304">
        <f>SUMIFS('PCO Log'!$E86:$SJ86,'PCO Log'!$E$9:$SJ$9,'Graph Data'!BV$187,'PCO Log'!$E$4:$SJ$4,"&lt;&gt;Bid Package",'PCO Log'!$E$7:$SJ$7,"Approved")</f>
        <v>0</v>
      </c>
      <c r="BW262" s="304">
        <f>SUMIFS('PCO Log'!$E86:$SJ86,'PCO Log'!$E$9:$SJ$9,'Graph Data'!BW$187,'PCO Log'!$E$4:$SJ$4,"&lt;&gt;Bid Package",'PCO Log'!$E$7:$SJ$7,"Approved")</f>
        <v>0</v>
      </c>
      <c r="BX262" s="304">
        <f>SUMIFS('PCO Log'!$E86:$SJ86,'PCO Log'!$E$9:$SJ$9,'Graph Data'!BX$187,'PCO Log'!$E$4:$SJ$4,"&lt;&gt;Bid Package",'PCO Log'!$E$7:$SJ$7,"Approved")</f>
        <v>0</v>
      </c>
    </row>
    <row r="263" spans="1:76" x14ac:dyDescent="0.25">
      <c r="A263" s="303" t="s">
        <v>613</v>
      </c>
      <c r="B263" s="303">
        <f>'PCO Log'!JF7</f>
        <v>0</v>
      </c>
      <c r="C263" s="303">
        <f>'PCO Log'!JF4</f>
        <v>0</v>
      </c>
      <c r="D263" s="303" cm="1">
        <f t="array" ref="D263">INDEX('PCO Log'!$E$5:$SJ$5, 1, ROWS('Graph Data'!$D$2:D263))</f>
        <v>0</v>
      </c>
      <c r="E263" s="303">
        <f>'PCO Log'!JF8</f>
        <v>0</v>
      </c>
      <c r="F263" s="303">
        <f>'PCO Log'!JF3</f>
        <v>0</v>
      </c>
      <c r="G263" s="304">
        <f>'PCO Log'!JF10</f>
        <v>0</v>
      </c>
      <c r="H263" s="305">
        <f>'PCO Log'!JF6</f>
        <v>0</v>
      </c>
      <c r="K263" s="307"/>
      <c r="P263" s="303" t="str">
        <f t="shared" si="4"/>
        <v>Shoring/Pilings/Piers/Caissons</v>
      </c>
      <c r="Q263" s="304">
        <f>SUMIFS('PCO Log'!$E87:$SJ87,'PCO Log'!$E$9:$SJ$9,'Graph Data'!Q$187,'PCO Log'!$E$4:$SJ$4,"&lt;&gt;Bid Package",'PCO Log'!$E$7:$SJ$7,"Approved")</f>
        <v>0</v>
      </c>
      <c r="R263" s="304">
        <f>SUMIFS('PCO Log'!$E87:$SJ87,'PCO Log'!$E$9:$SJ$9,'Graph Data'!R$187,'PCO Log'!$E$4:$SJ$4,"&lt;&gt;Bid Package",'PCO Log'!$E$7:$SJ$7,"Approved")</f>
        <v>0</v>
      </c>
      <c r="S263" s="304">
        <f>SUMIFS('PCO Log'!$E87:$SJ87,'PCO Log'!$E$9:$SJ$9,'Graph Data'!S$187,'PCO Log'!$E$4:$SJ$4,"&lt;&gt;Bid Package",'PCO Log'!$E$7:$SJ$7,"Approved")</f>
        <v>0</v>
      </c>
      <c r="T263" s="304">
        <f>SUMIFS('PCO Log'!$E87:$SJ87,'PCO Log'!$E$9:$SJ$9,'Graph Data'!T$187,'PCO Log'!$E$4:$SJ$4,"&lt;&gt;Bid Package",'PCO Log'!$E$7:$SJ$7,"Approved")</f>
        <v>0</v>
      </c>
      <c r="U263" s="304">
        <f>SUMIFS('PCO Log'!$E87:$SJ87,'PCO Log'!$E$9:$SJ$9,'Graph Data'!U$187,'PCO Log'!$E$4:$SJ$4,"&lt;&gt;Bid Package",'PCO Log'!$E$7:$SJ$7,"Approved")</f>
        <v>0</v>
      </c>
      <c r="V263" s="304">
        <f>SUMIFS('PCO Log'!$E87:$SJ87,'PCO Log'!$E$9:$SJ$9,'Graph Data'!V$187,'PCO Log'!$E$4:$SJ$4,"&lt;&gt;Bid Package",'PCO Log'!$E$7:$SJ$7,"Approved")</f>
        <v>0</v>
      </c>
      <c r="W263" s="304">
        <f>SUMIFS('PCO Log'!$E87:$SJ87,'PCO Log'!$E$9:$SJ$9,'Graph Data'!W$187,'PCO Log'!$E$4:$SJ$4,"&lt;&gt;Bid Package",'PCO Log'!$E$7:$SJ$7,"Approved")</f>
        <v>0</v>
      </c>
      <c r="X263" s="304">
        <f>SUMIFS('PCO Log'!$E87:$SJ87,'PCO Log'!$E$9:$SJ$9,'Graph Data'!X$187,'PCO Log'!$E$4:$SJ$4,"&lt;&gt;Bid Package",'PCO Log'!$E$7:$SJ$7,"Approved")</f>
        <v>0</v>
      </c>
      <c r="Y263" s="304">
        <f>SUMIFS('PCO Log'!$E87:$SJ87,'PCO Log'!$E$9:$SJ$9,'Graph Data'!Y$187,'PCO Log'!$E$4:$SJ$4,"&lt;&gt;Bid Package",'PCO Log'!$E$7:$SJ$7,"Approved")</f>
        <v>0</v>
      </c>
      <c r="Z263" s="304">
        <f>SUMIFS('PCO Log'!$E87:$SJ87,'PCO Log'!$E$9:$SJ$9,'Graph Data'!Z$187,'PCO Log'!$E$4:$SJ$4,"&lt;&gt;Bid Package",'PCO Log'!$E$7:$SJ$7,"Approved")</f>
        <v>0</v>
      </c>
      <c r="AA263" s="304">
        <f>SUMIFS('PCO Log'!$E87:$SJ87,'PCO Log'!$E$9:$SJ$9,'Graph Data'!AA$187,'PCO Log'!$E$4:$SJ$4,"&lt;&gt;Bid Package",'PCO Log'!$E$7:$SJ$7,"Approved")</f>
        <v>0</v>
      </c>
      <c r="AB263" s="304">
        <f>SUMIFS('PCO Log'!$E87:$SJ87,'PCO Log'!$E$9:$SJ$9,'Graph Data'!AB$187,'PCO Log'!$E$4:$SJ$4,"&lt;&gt;Bid Package",'PCO Log'!$E$7:$SJ$7,"Approved")</f>
        <v>0</v>
      </c>
      <c r="AC263" s="304">
        <f>SUMIFS('PCO Log'!$E87:$SJ87,'PCO Log'!$E$9:$SJ$9,'Graph Data'!AC$187,'PCO Log'!$E$4:$SJ$4,"&lt;&gt;Bid Package",'PCO Log'!$E$7:$SJ$7,"Approved")</f>
        <v>0</v>
      </c>
      <c r="AD263" s="304">
        <f>SUMIFS('PCO Log'!$E87:$SJ87,'PCO Log'!$E$9:$SJ$9,'Graph Data'!AD$187,'PCO Log'!$E$4:$SJ$4,"&lt;&gt;Bid Package",'PCO Log'!$E$7:$SJ$7,"Approved")</f>
        <v>0</v>
      </c>
      <c r="AE263" s="304">
        <f>SUMIFS('PCO Log'!$E87:$SJ87,'PCO Log'!$E$9:$SJ$9,'Graph Data'!AE$187,'PCO Log'!$E$4:$SJ$4,"&lt;&gt;Bid Package",'PCO Log'!$E$7:$SJ$7,"Approved")</f>
        <v>0</v>
      </c>
      <c r="AF263" s="304">
        <f>SUMIFS('PCO Log'!$E87:$SJ87,'PCO Log'!$E$9:$SJ$9,'Graph Data'!AF$187,'PCO Log'!$E$4:$SJ$4,"&lt;&gt;Bid Package",'PCO Log'!$E$7:$SJ$7,"Approved")</f>
        <v>0</v>
      </c>
      <c r="AG263" s="304">
        <f>SUMIFS('PCO Log'!$E87:$SJ87,'PCO Log'!$E$9:$SJ$9,'Graph Data'!AG$187,'PCO Log'!$E$4:$SJ$4,"&lt;&gt;Bid Package",'PCO Log'!$E$7:$SJ$7,"Approved")</f>
        <v>0</v>
      </c>
      <c r="AH263" s="304">
        <f>SUMIFS('PCO Log'!$E87:$SJ87,'PCO Log'!$E$9:$SJ$9,'Graph Data'!AH$187,'PCO Log'!$E$4:$SJ$4,"&lt;&gt;Bid Package",'PCO Log'!$E$7:$SJ$7,"Approved")</f>
        <v>0</v>
      </c>
      <c r="AI263" s="304">
        <f>SUMIFS('PCO Log'!$E87:$SJ87,'PCO Log'!$E$9:$SJ$9,'Graph Data'!AI$187,'PCO Log'!$E$4:$SJ$4,"&lt;&gt;Bid Package",'PCO Log'!$E$7:$SJ$7,"Approved")</f>
        <v>0</v>
      </c>
      <c r="AJ263" s="304">
        <f>SUMIFS('PCO Log'!$E87:$SJ87,'PCO Log'!$E$9:$SJ$9,'Graph Data'!AJ$187,'PCO Log'!$E$4:$SJ$4,"&lt;&gt;Bid Package",'PCO Log'!$E$7:$SJ$7,"Approved")</f>
        <v>0</v>
      </c>
      <c r="AK263" s="304">
        <f>SUMIFS('PCO Log'!$E87:$SJ87,'PCO Log'!$E$9:$SJ$9,'Graph Data'!AK$187,'PCO Log'!$E$4:$SJ$4,"&lt;&gt;Bid Package",'PCO Log'!$E$7:$SJ$7,"Approved")</f>
        <v>0</v>
      </c>
      <c r="AL263" s="304">
        <f>SUMIFS('PCO Log'!$E87:$SJ87,'PCO Log'!$E$9:$SJ$9,'Graph Data'!AL$187,'PCO Log'!$E$4:$SJ$4,"&lt;&gt;Bid Package",'PCO Log'!$E$7:$SJ$7,"Approved")</f>
        <v>0</v>
      </c>
      <c r="AM263" s="304">
        <f>SUMIFS('PCO Log'!$E87:$SJ87,'PCO Log'!$E$9:$SJ$9,'Graph Data'!AM$187,'PCO Log'!$E$4:$SJ$4,"&lt;&gt;Bid Package",'PCO Log'!$E$7:$SJ$7,"Approved")</f>
        <v>0</v>
      </c>
      <c r="AN263" s="304">
        <f>SUMIFS('PCO Log'!$E87:$SJ87,'PCO Log'!$E$9:$SJ$9,'Graph Data'!AN$187,'PCO Log'!$E$4:$SJ$4,"&lt;&gt;Bid Package",'PCO Log'!$E$7:$SJ$7,"Approved")</f>
        <v>0</v>
      </c>
      <c r="AO263" s="304">
        <f>SUMIFS('PCO Log'!$E87:$SJ87,'PCO Log'!$E$9:$SJ$9,'Graph Data'!AO$187,'PCO Log'!$E$4:$SJ$4,"&lt;&gt;Bid Package",'PCO Log'!$E$7:$SJ$7,"Approved")</f>
        <v>0</v>
      </c>
      <c r="AP263" s="304">
        <f>SUMIFS('PCO Log'!$E87:$SJ87,'PCO Log'!$E$9:$SJ$9,'Graph Data'!AP$187,'PCO Log'!$E$4:$SJ$4,"&lt;&gt;Bid Package",'PCO Log'!$E$7:$SJ$7,"Approved")</f>
        <v>0</v>
      </c>
      <c r="AQ263" s="304">
        <f>SUMIFS('PCO Log'!$E87:$SJ87,'PCO Log'!$E$9:$SJ$9,'Graph Data'!AQ$187,'PCO Log'!$E$4:$SJ$4,"&lt;&gt;Bid Package",'PCO Log'!$E$7:$SJ$7,"Approved")</f>
        <v>0</v>
      </c>
      <c r="AR263" s="304">
        <f>SUMIFS('PCO Log'!$E87:$SJ87,'PCO Log'!$E$9:$SJ$9,'Graph Data'!AR$187,'PCO Log'!$E$4:$SJ$4,"&lt;&gt;Bid Package",'PCO Log'!$E$7:$SJ$7,"Approved")</f>
        <v>0</v>
      </c>
      <c r="AS263" s="304">
        <f>SUMIFS('PCO Log'!$E87:$SJ87,'PCO Log'!$E$9:$SJ$9,'Graph Data'!AS$187,'PCO Log'!$E$4:$SJ$4,"&lt;&gt;Bid Package",'PCO Log'!$E$7:$SJ$7,"Approved")</f>
        <v>0</v>
      </c>
      <c r="AT263" s="304">
        <f>SUMIFS('PCO Log'!$E87:$SJ87,'PCO Log'!$E$9:$SJ$9,'Graph Data'!AT$187,'PCO Log'!$E$4:$SJ$4,"&lt;&gt;Bid Package",'PCO Log'!$E$7:$SJ$7,"Approved")</f>
        <v>0</v>
      </c>
      <c r="AU263" s="304">
        <f>SUMIFS('PCO Log'!$E87:$SJ87,'PCO Log'!$E$9:$SJ$9,'Graph Data'!AU$187,'PCO Log'!$E$4:$SJ$4,"&lt;&gt;Bid Package",'PCO Log'!$E$7:$SJ$7,"Approved")</f>
        <v>0</v>
      </c>
      <c r="AV263" s="304">
        <f>SUMIFS('PCO Log'!$E87:$SJ87,'PCO Log'!$E$9:$SJ$9,'Graph Data'!AV$187,'PCO Log'!$E$4:$SJ$4,"&lt;&gt;Bid Package",'PCO Log'!$E$7:$SJ$7,"Approved")</f>
        <v>0</v>
      </c>
      <c r="AW263" s="304">
        <f>SUMIFS('PCO Log'!$E87:$SJ87,'PCO Log'!$E$9:$SJ$9,'Graph Data'!AW$187,'PCO Log'!$E$4:$SJ$4,"&lt;&gt;Bid Package",'PCO Log'!$E$7:$SJ$7,"Approved")</f>
        <v>0</v>
      </c>
      <c r="AX263" s="304">
        <f>SUMIFS('PCO Log'!$E87:$SJ87,'PCO Log'!$E$9:$SJ$9,'Graph Data'!AX$187,'PCO Log'!$E$4:$SJ$4,"&lt;&gt;Bid Package",'PCO Log'!$E$7:$SJ$7,"Approved")</f>
        <v>0</v>
      </c>
      <c r="AY263" s="304">
        <f>SUMIFS('PCO Log'!$E87:$SJ87,'PCO Log'!$E$9:$SJ$9,'Graph Data'!AY$187,'PCO Log'!$E$4:$SJ$4,"&lt;&gt;Bid Package",'PCO Log'!$E$7:$SJ$7,"Approved")</f>
        <v>0</v>
      </c>
      <c r="AZ263" s="304">
        <f>SUMIFS('PCO Log'!$E87:$SJ87,'PCO Log'!$E$9:$SJ$9,'Graph Data'!AZ$187,'PCO Log'!$E$4:$SJ$4,"&lt;&gt;Bid Package",'PCO Log'!$E$7:$SJ$7,"Approved")</f>
        <v>0</v>
      </c>
      <c r="BA263" s="304">
        <f>SUMIFS('PCO Log'!$E87:$SJ87,'PCO Log'!$E$9:$SJ$9,'Graph Data'!BA$187,'PCO Log'!$E$4:$SJ$4,"&lt;&gt;Bid Package",'PCO Log'!$E$7:$SJ$7,"Approved")</f>
        <v>0</v>
      </c>
      <c r="BB263" s="304">
        <f>SUMIFS('PCO Log'!$E87:$SJ87,'PCO Log'!$E$9:$SJ$9,'Graph Data'!BB$187,'PCO Log'!$E$4:$SJ$4,"&lt;&gt;Bid Package",'PCO Log'!$E$7:$SJ$7,"Approved")</f>
        <v>0</v>
      </c>
      <c r="BC263" s="304">
        <f>SUMIFS('PCO Log'!$E87:$SJ87,'PCO Log'!$E$9:$SJ$9,'Graph Data'!BC$187,'PCO Log'!$E$4:$SJ$4,"&lt;&gt;Bid Package",'PCO Log'!$E$7:$SJ$7,"Approved")</f>
        <v>0</v>
      </c>
      <c r="BD263" s="304">
        <f>SUMIFS('PCO Log'!$E87:$SJ87,'PCO Log'!$E$9:$SJ$9,'Graph Data'!BD$187,'PCO Log'!$E$4:$SJ$4,"&lt;&gt;Bid Package",'PCO Log'!$E$7:$SJ$7,"Approved")</f>
        <v>0</v>
      </c>
      <c r="BE263" s="304">
        <f>SUMIFS('PCO Log'!$E87:$SJ87,'PCO Log'!$E$9:$SJ$9,'Graph Data'!BE$187,'PCO Log'!$E$4:$SJ$4,"&lt;&gt;Bid Package",'PCO Log'!$E$7:$SJ$7,"Approved")</f>
        <v>0</v>
      </c>
      <c r="BF263" s="304">
        <f>SUMIFS('PCO Log'!$E87:$SJ87,'PCO Log'!$E$9:$SJ$9,'Graph Data'!BF$187,'PCO Log'!$E$4:$SJ$4,"&lt;&gt;Bid Package",'PCO Log'!$E$7:$SJ$7,"Approved")</f>
        <v>0</v>
      </c>
      <c r="BG263" s="304">
        <f>SUMIFS('PCO Log'!$E87:$SJ87,'PCO Log'!$E$9:$SJ$9,'Graph Data'!BG$187,'PCO Log'!$E$4:$SJ$4,"&lt;&gt;Bid Package",'PCO Log'!$E$7:$SJ$7,"Approved")</f>
        <v>0</v>
      </c>
      <c r="BH263" s="304">
        <f>SUMIFS('PCO Log'!$E87:$SJ87,'PCO Log'!$E$9:$SJ$9,'Graph Data'!BH$187,'PCO Log'!$E$4:$SJ$4,"&lt;&gt;Bid Package",'PCO Log'!$E$7:$SJ$7,"Approved")</f>
        <v>0</v>
      </c>
      <c r="BI263" s="304">
        <f>SUMIFS('PCO Log'!$E87:$SJ87,'PCO Log'!$E$9:$SJ$9,'Graph Data'!BI$187,'PCO Log'!$E$4:$SJ$4,"&lt;&gt;Bid Package",'PCO Log'!$E$7:$SJ$7,"Approved")</f>
        <v>0</v>
      </c>
      <c r="BJ263" s="304">
        <f>SUMIFS('PCO Log'!$E87:$SJ87,'PCO Log'!$E$9:$SJ$9,'Graph Data'!BJ$187,'PCO Log'!$E$4:$SJ$4,"&lt;&gt;Bid Package",'PCO Log'!$E$7:$SJ$7,"Approved")</f>
        <v>0</v>
      </c>
      <c r="BK263" s="304">
        <f>SUMIFS('PCO Log'!$E87:$SJ87,'PCO Log'!$E$9:$SJ$9,'Graph Data'!BK$187,'PCO Log'!$E$4:$SJ$4,"&lt;&gt;Bid Package",'PCO Log'!$E$7:$SJ$7,"Approved")</f>
        <v>0</v>
      </c>
      <c r="BL263" s="304">
        <f>SUMIFS('PCO Log'!$E87:$SJ87,'PCO Log'!$E$9:$SJ$9,'Graph Data'!BL$187,'PCO Log'!$E$4:$SJ$4,"&lt;&gt;Bid Package",'PCO Log'!$E$7:$SJ$7,"Approved")</f>
        <v>0</v>
      </c>
      <c r="BM263" s="304">
        <f>SUMIFS('PCO Log'!$E87:$SJ87,'PCO Log'!$E$9:$SJ$9,'Graph Data'!BM$187,'PCO Log'!$E$4:$SJ$4,"&lt;&gt;Bid Package",'PCO Log'!$E$7:$SJ$7,"Approved")</f>
        <v>0</v>
      </c>
      <c r="BN263" s="304">
        <f>SUMIFS('PCO Log'!$E87:$SJ87,'PCO Log'!$E$9:$SJ$9,'Graph Data'!BN$187,'PCO Log'!$E$4:$SJ$4,"&lt;&gt;Bid Package",'PCO Log'!$E$7:$SJ$7,"Approved")</f>
        <v>0</v>
      </c>
      <c r="BO263" s="304">
        <f>SUMIFS('PCO Log'!$E87:$SJ87,'PCO Log'!$E$9:$SJ$9,'Graph Data'!BO$187,'PCO Log'!$E$4:$SJ$4,"&lt;&gt;Bid Package",'PCO Log'!$E$7:$SJ$7,"Approved")</f>
        <v>0</v>
      </c>
      <c r="BP263" s="304">
        <f>SUMIFS('PCO Log'!$E87:$SJ87,'PCO Log'!$E$9:$SJ$9,'Graph Data'!BP$187,'PCO Log'!$E$4:$SJ$4,"&lt;&gt;Bid Package",'PCO Log'!$E$7:$SJ$7,"Approved")</f>
        <v>0</v>
      </c>
      <c r="BQ263" s="304">
        <f>SUMIFS('PCO Log'!$E87:$SJ87,'PCO Log'!$E$9:$SJ$9,'Graph Data'!BQ$187,'PCO Log'!$E$4:$SJ$4,"&lt;&gt;Bid Package",'PCO Log'!$E$7:$SJ$7,"Approved")</f>
        <v>0</v>
      </c>
      <c r="BR263" s="304">
        <f>SUMIFS('PCO Log'!$E87:$SJ87,'PCO Log'!$E$9:$SJ$9,'Graph Data'!BR$187,'PCO Log'!$E$4:$SJ$4,"&lt;&gt;Bid Package",'PCO Log'!$E$7:$SJ$7,"Approved")</f>
        <v>0</v>
      </c>
      <c r="BS263" s="304">
        <f>SUMIFS('PCO Log'!$E87:$SJ87,'PCO Log'!$E$9:$SJ$9,'Graph Data'!BS$187,'PCO Log'!$E$4:$SJ$4,"&lt;&gt;Bid Package",'PCO Log'!$E$7:$SJ$7,"Approved")</f>
        <v>0</v>
      </c>
      <c r="BT263" s="304">
        <f>SUMIFS('PCO Log'!$E87:$SJ87,'PCO Log'!$E$9:$SJ$9,'Graph Data'!BT$187,'PCO Log'!$E$4:$SJ$4,"&lt;&gt;Bid Package",'PCO Log'!$E$7:$SJ$7,"Approved")</f>
        <v>0</v>
      </c>
      <c r="BU263" s="304">
        <f>SUMIFS('PCO Log'!$E87:$SJ87,'PCO Log'!$E$9:$SJ$9,'Graph Data'!BU$187,'PCO Log'!$E$4:$SJ$4,"&lt;&gt;Bid Package",'PCO Log'!$E$7:$SJ$7,"Approved")</f>
        <v>0</v>
      </c>
      <c r="BV263" s="304">
        <f>SUMIFS('PCO Log'!$E87:$SJ87,'PCO Log'!$E$9:$SJ$9,'Graph Data'!BV$187,'PCO Log'!$E$4:$SJ$4,"&lt;&gt;Bid Package",'PCO Log'!$E$7:$SJ$7,"Approved")</f>
        <v>0</v>
      </c>
      <c r="BW263" s="304">
        <f>SUMIFS('PCO Log'!$E87:$SJ87,'PCO Log'!$E$9:$SJ$9,'Graph Data'!BW$187,'PCO Log'!$E$4:$SJ$4,"&lt;&gt;Bid Package",'PCO Log'!$E$7:$SJ$7,"Approved")</f>
        <v>0</v>
      </c>
      <c r="BX263" s="304">
        <f>SUMIFS('PCO Log'!$E87:$SJ87,'PCO Log'!$E$9:$SJ$9,'Graph Data'!BX$187,'PCO Log'!$E$4:$SJ$4,"&lt;&gt;Bid Package",'PCO Log'!$E$7:$SJ$7,"Approved")</f>
        <v>0</v>
      </c>
    </row>
    <row r="264" spans="1:76" x14ac:dyDescent="0.25">
      <c r="A264" s="303" t="s">
        <v>614</v>
      </c>
      <c r="B264" s="303">
        <f>'PCO Log'!JG7</f>
        <v>0</v>
      </c>
      <c r="C264" s="303">
        <f>'PCO Log'!JG4</f>
        <v>0</v>
      </c>
      <c r="D264" s="303" cm="1">
        <f t="array" ref="D264">INDEX('PCO Log'!$E$5:$SJ$5, 1, ROWS('Graph Data'!$D$2:D264))</f>
        <v>0</v>
      </c>
      <c r="E264" s="303">
        <f>'PCO Log'!JG8</f>
        <v>0</v>
      </c>
      <c r="F264" s="303">
        <f>'PCO Log'!JG3</f>
        <v>0</v>
      </c>
      <c r="G264" s="304">
        <f>'PCO Log'!JG10</f>
        <v>0</v>
      </c>
      <c r="H264" s="305">
        <f>'PCO Log'!JG6</f>
        <v>0</v>
      </c>
      <c r="K264" s="307"/>
      <c r="P264" s="303" t="str">
        <f t="shared" si="4"/>
        <v>Excavation Support &amp; Protection</v>
      </c>
      <c r="Q264" s="304">
        <f>SUMIFS('PCO Log'!$E88:$SJ88,'PCO Log'!$E$9:$SJ$9,'Graph Data'!Q$187,'PCO Log'!$E$4:$SJ$4,"&lt;&gt;Bid Package",'PCO Log'!$E$7:$SJ$7,"Approved")</f>
        <v>0</v>
      </c>
      <c r="R264" s="304">
        <f>SUMIFS('PCO Log'!$E88:$SJ88,'PCO Log'!$E$9:$SJ$9,'Graph Data'!R$187,'PCO Log'!$E$4:$SJ$4,"&lt;&gt;Bid Package",'PCO Log'!$E$7:$SJ$7,"Approved")</f>
        <v>0</v>
      </c>
      <c r="S264" s="304">
        <f>SUMIFS('PCO Log'!$E88:$SJ88,'PCO Log'!$E$9:$SJ$9,'Graph Data'!S$187,'PCO Log'!$E$4:$SJ$4,"&lt;&gt;Bid Package",'PCO Log'!$E$7:$SJ$7,"Approved")</f>
        <v>0</v>
      </c>
      <c r="T264" s="304">
        <f>SUMIFS('PCO Log'!$E88:$SJ88,'PCO Log'!$E$9:$SJ$9,'Graph Data'!T$187,'PCO Log'!$E$4:$SJ$4,"&lt;&gt;Bid Package",'PCO Log'!$E$7:$SJ$7,"Approved")</f>
        <v>0</v>
      </c>
      <c r="U264" s="304">
        <f>SUMIFS('PCO Log'!$E88:$SJ88,'PCO Log'!$E$9:$SJ$9,'Graph Data'!U$187,'PCO Log'!$E$4:$SJ$4,"&lt;&gt;Bid Package",'PCO Log'!$E$7:$SJ$7,"Approved")</f>
        <v>0</v>
      </c>
      <c r="V264" s="304">
        <f>SUMIFS('PCO Log'!$E88:$SJ88,'PCO Log'!$E$9:$SJ$9,'Graph Data'!V$187,'PCO Log'!$E$4:$SJ$4,"&lt;&gt;Bid Package",'PCO Log'!$E$7:$SJ$7,"Approved")</f>
        <v>0</v>
      </c>
      <c r="W264" s="304">
        <f>SUMIFS('PCO Log'!$E88:$SJ88,'PCO Log'!$E$9:$SJ$9,'Graph Data'!W$187,'PCO Log'!$E$4:$SJ$4,"&lt;&gt;Bid Package",'PCO Log'!$E$7:$SJ$7,"Approved")</f>
        <v>0</v>
      </c>
      <c r="X264" s="304">
        <f>SUMIFS('PCO Log'!$E88:$SJ88,'PCO Log'!$E$9:$SJ$9,'Graph Data'!X$187,'PCO Log'!$E$4:$SJ$4,"&lt;&gt;Bid Package",'PCO Log'!$E$7:$SJ$7,"Approved")</f>
        <v>0</v>
      </c>
      <c r="Y264" s="304">
        <f>SUMIFS('PCO Log'!$E88:$SJ88,'PCO Log'!$E$9:$SJ$9,'Graph Data'!Y$187,'PCO Log'!$E$4:$SJ$4,"&lt;&gt;Bid Package",'PCO Log'!$E$7:$SJ$7,"Approved")</f>
        <v>0</v>
      </c>
      <c r="Z264" s="304">
        <f>SUMIFS('PCO Log'!$E88:$SJ88,'PCO Log'!$E$9:$SJ$9,'Graph Data'!Z$187,'PCO Log'!$E$4:$SJ$4,"&lt;&gt;Bid Package",'PCO Log'!$E$7:$SJ$7,"Approved")</f>
        <v>0</v>
      </c>
      <c r="AA264" s="304">
        <f>SUMIFS('PCO Log'!$E88:$SJ88,'PCO Log'!$E$9:$SJ$9,'Graph Data'!AA$187,'PCO Log'!$E$4:$SJ$4,"&lt;&gt;Bid Package",'PCO Log'!$E$7:$SJ$7,"Approved")</f>
        <v>0</v>
      </c>
      <c r="AB264" s="304">
        <f>SUMIFS('PCO Log'!$E88:$SJ88,'PCO Log'!$E$9:$SJ$9,'Graph Data'!AB$187,'PCO Log'!$E$4:$SJ$4,"&lt;&gt;Bid Package",'PCO Log'!$E$7:$SJ$7,"Approved")</f>
        <v>0</v>
      </c>
      <c r="AC264" s="304">
        <f>SUMIFS('PCO Log'!$E88:$SJ88,'PCO Log'!$E$9:$SJ$9,'Graph Data'!AC$187,'PCO Log'!$E$4:$SJ$4,"&lt;&gt;Bid Package",'PCO Log'!$E$7:$SJ$7,"Approved")</f>
        <v>0</v>
      </c>
      <c r="AD264" s="304">
        <f>SUMIFS('PCO Log'!$E88:$SJ88,'PCO Log'!$E$9:$SJ$9,'Graph Data'!AD$187,'PCO Log'!$E$4:$SJ$4,"&lt;&gt;Bid Package",'PCO Log'!$E$7:$SJ$7,"Approved")</f>
        <v>0</v>
      </c>
      <c r="AE264" s="304">
        <f>SUMIFS('PCO Log'!$E88:$SJ88,'PCO Log'!$E$9:$SJ$9,'Graph Data'!AE$187,'PCO Log'!$E$4:$SJ$4,"&lt;&gt;Bid Package",'PCO Log'!$E$7:$SJ$7,"Approved")</f>
        <v>0</v>
      </c>
      <c r="AF264" s="304">
        <f>SUMIFS('PCO Log'!$E88:$SJ88,'PCO Log'!$E$9:$SJ$9,'Graph Data'!AF$187,'PCO Log'!$E$4:$SJ$4,"&lt;&gt;Bid Package",'PCO Log'!$E$7:$SJ$7,"Approved")</f>
        <v>0</v>
      </c>
      <c r="AG264" s="304">
        <f>SUMIFS('PCO Log'!$E88:$SJ88,'PCO Log'!$E$9:$SJ$9,'Graph Data'!AG$187,'PCO Log'!$E$4:$SJ$4,"&lt;&gt;Bid Package",'PCO Log'!$E$7:$SJ$7,"Approved")</f>
        <v>0</v>
      </c>
      <c r="AH264" s="304">
        <f>SUMIFS('PCO Log'!$E88:$SJ88,'PCO Log'!$E$9:$SJ$9,'Graph Data'!AH$187,'PCO Log'!$E$4:$SJ$4,"&lt;&gt;Bid Package",'PCO Log'!$E$7:$SJ$7,"Approved")</f>
        <v>0</v>
      </c>
      <c r="AI264" s="304">
        <f>SUMIFS('PCO Log'!$E88:$SJ88,'PCO Log'!$E$9:$SJ$9,'Graph Data'!AI$187,'PCO Log'!$E$4:$SJ$4,"&lt;&gt;Bid Package",'PCO Log'!$E$7:$SJ$7,"Approved")</f>
        <v>0</v>
      </c>
      <c r="AJ264" s="304">
        <f>SUMIFS('PCO Log'!$E88:$SJ88,'PCO Log'!$E$9:$SJ$9,'Graph Data'!AJ$187,'PCO Log'!$E$4:$SJ$4,"&lt;&gt;Bid Package",'PCO Log'!$E$7:$SJ$7,"Approved")</f>
        <v>0</v>
      </c>
      <c r="AK264" s="304">
        <f>SUMIFS('PCO Log'!$E88:$SJ88,'PCO Log'!$E$9:$SJ$9,'Graph Data'!AK$187,'PCO Log'!$E$4:$SJ$4,"&lt;&gt;Bid Package",'PCO Log'!$E$7:$SJ$7,"Approved")</f>
        <v>0</v>
      </c>
      <c r="AL264" s="304">
        <f>SUMIFS('PCO Log'!$E88:$SJ88,'PCO Log'!$E$9:$SJ$9,'Graph Data'!AL$187,'PCO Log'!$E$4:$SJ$4,"&lt;&gt;Bid Package",'PCO Log'!$E$7:$SJ$7,"Approved")</f>
        <v>0</v>
      </c>
      <c r="AM264" s="304">
        <f>SUMIFS('PCO Log'!$E88:$SJ88,'PCO Log'!$E$9:$SJ$9,'Graph Data'!AM$187,'PCO Log'!$E$4:$SJ$4,"&lt;&gt;Bid Package",'PCO Log'!$E$7:$SJ$7,"Approved")</f>
        <v>0</v>
      </c>
      <c r="AN264" s="304">
        <f>SUMIFS('PCO Log'!$E88:$SJ88,'PCO Log'!$E$9:$SJ$9,'Graph Data'!AN$187,'PCO Log'!$E$4:$SJ$4,"&lt;&gt;Bid Package",'PCO Log'!$E$7:$SJ$7,"Approved")</f>
        <v>0</v>
      </c>
      <c r="AO264" s="304">
        <f>SUMIFS('PCO Log'!$E88:$SJ88,'PCO Log'!$E$9:$SJ$9,'Graph Data'!AO$187,'PCO Log'!$E$4:$SJ$4,"&lt;&gt;Bid Package",'PCO Log'!$E$7:$SJ$7,"Approved")</f>
        <v>0</v>
      </c>
      <c r="AP264" s="304">
        <f>SUMIFS('PCO Log'!$E88:$SJ88,'PCO Log'!$E$9:$SJ$9,'Graph Data'!AP$187,'PCO Log'!$E$4:$SJ$4,"&lt;&gt;Bid Package",'PCO Log'!$E$7:$SJ$7,"Approved")</f>
        <v>0</v>
      </c>
      <c r="AQ264" s="304">
        <f>SUMIFS('PCO Log'!$E88:$SJ88,'PCO Log'!$E$9:$SJ$9,'Graph Data'!AQ$187,'PCO Log'!$E$4:$SJ$4,"&lt;&gt;Bid Package",'PCO Log'!$E$7:$SJ$7,"Approved")</f>
        <v>0</v>
      </c>
      <c r="AR264" s="304">
        <f>SUMIFS('PCO Log'!$E88:$SJ88,'PCO Log'!$E$9:$SJ$9,'Graph Data'!AR$187,'PCO Log'!$E$4:$SJ$4,"&lt;&gt;Bid Package",'PCO Log'!$E$7:$SJ$7,"Approved")</f>
        <v>0</v>
      </c>
      <c r="AS264" s="304">
        <f>SUMIFS('PCO Log'!$E88:$SJ88,'PCO Log'!$E$9:$SJ$9,'Graph Data'!AS$187,'PCO Log'!$E$4:$SJ$4,"&lt;&gt;Bid Package",'PCO Log'!$E$7:$SJ$7,"Approved")</f>
        <v>0</v>
      </c>
      <c r="AT264" s="304">
        <f>SUMIFS('PCO Log'!$E88:$SJ88,'PCO Log'!$E$9:$SJ$9,'Graph Data'!AT$187,'PCO Log'!$E$4:$SJ$4,"&lt;&gt;Bid Package",'PCO Log'!$E$7:$SJ$7,"Approved")</f>
        <v>0</v>
      </c>
      <c r="AU264" s="304">
        <f>SUMIFS('PCO Log'!$E88:$SJ88,'PCO Log'!$E$9:$SJ$9,'Graph Data'!AU$187,'PCO Log'!$E$4:$SJ$4,"&lt;&gt;Bid Package",'PCO Log'!$E$7:$SJ$7,"Approved")</f>
        <v>0</v>
      </c>
      <c r="AV264" s="304">
        <f>SUMIFS('PCO Log'!$E88:$SJ88,'PCO Log'!$E$9:$SJ$9,'Graph Data'!AV$187,'PCO Log'!$E$4:$SJ$4,"&lt;&gt;Bid Package",'PCO Log'!$E$7:$SJ$7,"Approved")</f>
        <v>0</v>
      </c>
      <c r="AW264" s="304">
        <f>SUMIFS('PCO Log'!$E88:$SJ88,'PCO Log'!$E$9:$SJ$9,'Graph Data'!AW$187,'PCO Log'!$E$4:$SJ$4,"&lt;&gt;Bid Package",'PCO Log'!$E$7:$SJ$7,"Approved")</f>
        <v>0</v>
      </c>
      <c r="AX264" s="304">
        <f>SUMIFS('PCO Log'!$E88:$SJ88,'PCO Log'!$E$9:$SJ$9,'Graph Data'!AX$187,'PCO Log'!$E$4:$SJ$4,"&lt;&gt;Bid Package",'PCO Log'!$E$7:$SJ$7,"Approved")</f>
        <v>0</v>
      </c>
      <c r="AY264" s="304">
        <f>SUMIFS('PCO Log'!$E88:$SJ88,'PCO Log'!$E$9:$SJ$9,'Graph Data'!AY$187,'PCO Log'!$E$4:$SJ$4,"&lt;&gt;Bid Package",'PCO Log'!$E$7:$SJ$7,"Approved")</f>
        <v>0</v>
      </c>
      <c r="AZ264" s="304">
        <f>SUMIFS('PCO Log'!$E88:$SJ88,'PCO Log'!$E$9:$SJ$9,'Graph Data'!AZ$187,'PCO Log'!$E$4:$SJ$4,"&lt;&gt;Bid Package",'PCO Log'!$E$7:$SJ$7,"Approved")</f>
        <v>0</v>
      </c>
      <c r="BA264" s="304">
        <f>SUMIFS('PCO Log'!$E88:$SJ88,'PCO Log'!$E$9:$SJ$9,'Graph Data'!BA$187,'PCO Log'!$E$4:$SJ$4,"&lt;&gt;Bid Package",'PCO Log'!$E$7:$SJ$7,"Approved")</f>
        <v>0</v>
      </c>
      <c r="BB264" s="304">
        <f>SUMIFS('PCO Log'!$E88:$SJ88,'PCO Log'!$E$9:$SJ$9,'Graph Data'!BB$187,'PCO Log'!$E$4:$SJ$4,"&lt;&gt;Bid Package",'PCO Log'!$E$7:$SJ$7,"Approved")</f>
        <v>0</v>
      </c>
      <c r="BC264" s="304">
        <f>SUMIFS('PCO Log'!$E88:$SJ88,'PCO Log'!$E$9:$SJ$9,'Graph Data'!BC$187,'PCO Log'!$E$4:$SJ$4,"&lt;&gt;Bid Package",'PCO Log'!$E$7:$SJ$7,"Approved")</f>
        <v>0</v>
      </c>
      <c r="BD264" s="304">
        <f>SUMIFS('PCO Log'!$E88:$SJ88,'PCO Log'!$E$9:$SJ$9,'Graph Data'!BD$187,'PCO Log'!$E$4:$SJ$4,"&lt;&gt;Bid Package",'PCO Log'!$E$7:$SJ$7,"Approved")</f>
        <v>0</v>
      </c>
      <c r="BE264" s="304">
        <f>SUMIFS('PCO Log'!$E88:$SJ88,'PCO Log'!$E$9:$SJ$9,'Graph Data'!BE$187,'PCO Log'!$E$4:$SJ$4,"&lt;&gt;Bid Package",'PCO Log'!$E$7:$SJ$7,"Approved")</f>
        <v>0</v>
      </c>
      <c r="BF264" s="304">
        <f>SUMIFS('PCO Log'!$E88:$SJ88,'PCO Log'!$E$9:$SJ$9,'Graph Data'!BF$187,'PCO Log'!$E$4:$SJ$4,"&lt;&gt;Bid Package",'PCO Log'!$E$7:$SJ$7,"Approved")</f>
        <v>0</v>
      </c>
      <c r="BG264" s="304">
        <f>SUMIFS('PCO Log'!$E88:$SJ88,'PCO Log'!$E$9:$SJ$9,'Graph Data'!BG$187,'PCO Log'!$E$4:$SJ$4,"&lt;&gt;Bid Package",'PCO Log'!$E$7:$SJ$7,"Approved")</f>
        <v>0</v>
      </c>
      <c r="BH264" s="304">
        <f>SUMIFS('PCO Log'!$E88:$SJ88,'PCO Log'!$E$9:$SJ$9,'Graph Data'!BH$187,'PCO Log'!$E$4:$SJ$4,"&lt;&gt;Bid Package",'PCO Log'!$E$7:$SJ$7,"Approved")</f>
        <v>0</v>
      </c>
      <c r="BI264" s="304">
        <f>SUMIFS('PCO Log'!$E88:$SJ88,'PCO Log'!$E$9:$SJ$9,'Graph Data'!BI$187,'PCO Log'!$E$4:$SJ$4,"&lt;&gt;Bid Package",'PCO Log'!$E$7:$SJ$7,"Approved")</f>
        <v>0</v>
      </c>
      <c r="BJ264" s="304">
        <f>SUMIFS('PCO Log'!$E88:$SJ88,'PCO Log'!$E$9:$SJ$9,'Graph Data'!BJ$187,'PCO Log'!$E$4:$SJ$4,"&lt;&gt;Bid Package",'PCO Log'!$E$7:$SJ$7,"Approved")</f>
        <v>0</v>
      </c>
      <c r="BK264" s="304">
        <f>SUMIFS('PCO Log'!$E88:$SJ88,'PCO Log'!$E$9:$SJ$9,'Graph Data'!BK$187,'PCO Log'!$E$4:$SJ$4,"&lt;&gt;Bid Package",'PCO Log'!$E$7:$SJ$7,"Approved")</f>
        <v>0</v>
      </c>
      <c r="BL264" s="304">
        <f>SUMIFS('PCO Log'!$E88:$SJ88,'PCO Log'!$E$9:$SJ$9,'Graph Data'!BL$187,'PCO Log'!$E$4:$SJ$4,"&lt;&gt;Bid Package",'PCO Log'!$E$7:$SJ$7,"Approved")</f>
        <v>0</v>
      </c>
      <c r="BM264" s="304">
        <f>SUMIFS('PCO Log'!$E88:$SJ88,'PCO Log'!$E$9:$SJ$9,'Graph Data'!BM$187,'PCO Log'!$E$4:$SJ$4,"&lt;&gt;Bid Package",'PCO Log'!$E$7:$SJ$7,"Approved")</f>
        <v>0</v>
      </c>
      <c r="BN264" s="304">
        <f>SUMIFS('PCO Log'!$E88:$SJ88,'PCO Log'!$E$9:$SJ$9,'Graph Data'!BN$187,'PCO Log'!$E$4:$SJ$4,"&lt;&gt;Bid Package",'PCO Log'!$E$7:$SJ$7,"Approved")</f>
        <v>0</v>
      </c>
      <c r="BO264" s="304">
        <f>SUMIFS('PCO Log'!$E88:$SJ88,'PCO Log'!$E$9:$SJ$9,'Graph Data'!BO$187,'PCO Log'!$E$4:$SJ$4,"&lt;&gt;Bid Package",'PCO Log'!$E$7:$SJ$7,"Approved")</f>
        <v>0</v>
      </c>
      <c r="BP264" s="304">
        <f>SUMIFS('PCO Log'!$E88:$SJ88,'PCO Log'!$E$9:$SJ$9,'Graph Data'!BP$187,'PCO Log'!$E$4:$SJ$4,"&lt;&gt;Bid Package",'PCO Log'!$E$7:$SJ$7,"Approved")</f>
        <v>0</v>
      </c>
      <c r="BQ264" s="304">
        <f>SUMIFS('PCO Log'!$E88:$SJ88,'PCO Log'!$E$9:$SJ$9,'Graph Data'!BQ$187,'PCO Log'!$E$4:$SJ$4,"&lt;&gt;Bid Package",'PCO Log'!$E$7:$SJ$7,"Approved")</f>
        <v>0</v>
      </c>
      <c r="BR264" s="304">
        <f>SUMIFS('PCO Log'!$E88:$SJ88,'PCO Log'!$E$9:$SJ$9,'Graph Data'!BR$187,'PCO Log'!$E$4:$SJ$4,"&lt;&gt;Bid Package",'PCO Log'!$E$7:$SJ$7,"Approved")</f>
        <v>0</v>
      </c>
      <c r="BS264" s="304">
        <f>SUMIFS('PCO Log'!$E88:$SJ88,'PCO Log'!$E$9:$SJ$9,'Graph Data'!BS$187,'PCO Log'!$E$4:$SJ$4,"&lt;&gt;Bid Package",'PCO Log'!$E$7:$SJ$7,"Approved")</f>
        <v>0</v>
      </c>
      <c r="BT264" s="304">
        <f>SUMIFS('PCO Log'!$E88:$SJ88,'PCO Log'!$E$9:$SJ$9,'Graph Data'!BT$187,'PCO Log'!$E$4:$SJ$4,"&lt;&gt;Bid Package",'PCO Log'!$E$7:$SJ$7,"Approved")</f>
        <v>0</v>
      </c>
      <c r="BU264" s="304">
        <f>SUMIFS('PCO Log'!$E88:$SJ88,'PCO Log'!$E$9:$SJ$9,'Graph Data'!BU$187,'PCO Log'!$E$4:$SJ$4,"&lt;&gt;Bid Package",'PCO Log'!$E$7:$SJ$7,"Approved")</f>
        <v>0</v>
      </c>
      <c r="BV264" s="304">
        <f>SUMIFS('PCO Log'!$E88:$SJ88,'PCO Log'!$E$9:$SJ$9,'Graph Data'!BV$187,'PCO Log'!$E$4:$SJ$4,"&lt;&gt;Bid Package",'PCO Log'!$E$7:$SJ$7,"Approved")</f>
        <v>0</v>
      </c>
      <c r="BW264" s="304">
        <f>SUMIFS('PCO Log'!$E88:$SJ88,'PCO Log'!$E$9:$SJ$9,'Graph Data'!BW$187,'PCO Log'!$E$4:$SJ$4,"&lt;&gt;Bid Package",'PCO Log'!$E$7:$SJ$7,"Approved")</f>
        <v>0</v>
      </c>
      <c r="BX264" s="304">
        <f>SUMIFS('PCO Log'!$E88:$SJ88,'PCO Log'!$E$9:$SJ$9,'Graph Data'!BX$187,'PCO Log'!$E$4:$SJ$4,"&lt;&gt;Bid Package",'PCO Log'!$E$7:$SJ$7,"Approved")</f>
        <v>0</v>
      </c>
    </row>
    <row r="265" spans="1:76" x14ac:dyDescent="0.25">
      <c r="A265" s="303" t="s">
        <v>615</v>
      </c>
      <c r="B265" s="303">
        <f>'PCO Log'!JH7</f>
        <v>0</v>
      </c>
      <c r="C265" s="303">
        <f>'PCO Log'!JH4</f>
        <v>0</v>
      </c>
      <c r="D265" s="303" cm="1">
        <f t="array" ref="D265">INDEX('PCO Log'!$E$5:$SJ$5, 1, ROWS('Graph Data'!$D$2:D265))</f>
        <v>0</v>
      </c>
      <c r="E265" s="303">
        <f>'PCO Log'!JH8</f>
        <v>0</v>
      </c>
      <c r="F265" s="303">
        <f>'PCO Log'!JH3</f>
        <v>0</v>
      </c>
      <c r="G265" s="304">
        <f>'PCO Log'!JH10</f>
        <v>0</v>
      </c>
      <c r="H265" s="305">
        <f>'PCO Log'!JH6</f>
        <v>0</v>
      </c>
      <c r="K265" s="307"/>
      <c r="P265" s="303" t="str">
        <f t="shared" si="4"/>
        <v>Asphalt Paving</v>
      </c>
      <c r="Q265" s="304">
        <f>SUMIFS('PCO Log'!$E89:$SJ89,'PCO Log'!$E$9:$SJ$9,'Graph Data'!Q$187,'PCO Log'!$E$4:$SJ$4,"&lt;&gt;Bid Package",'PCO Log'!$E$7:$SJ$7,"Approved")</f>
        <v>0</v>
      </c>
      <c r="R265" s="304">
        <f>SUMIFS('PCO Log'!$E89:$SJ89,'PCO Log'!$E$9:$SJ$9,'Graph Data'!R$187,'PCO Log'!$E$4:$SJ$4,"&lt;&gt;Bid Package",'PCO Log'!$E$7:$SJ$7,"Approved")</f>
        <v>0</v>
      </c>
      <c r="S265" s="304">
        <f>SUMIFS('PCO Log'!$E89:$SJ89,'PCO Log'!$E$9:$SJ$9,'Graph Data'!S$187,'PCO Log'!$E$4:$SJ$4,"&lt;&gt;Bid Package",'PCO Log'!$E$7:$SJ$7,"Approved")</f>
        <v>0</v>
      </c>
      <c r="T265" s="304">
        <f>SUMIFS('PCO Log'!$E89:$SJ89,'PCO Log'!$E$9:$SJ$9,'Graph Data'!T$187,'PCO Log'!$E$4:$SJ$4,"&lt;&gt;Bid Package",'PCO Log'!$E$7:$SJ$7,"Approved")</f>
        <v>0</v>
      </c>
      <c r="U265" s="304">
        <f>SUMIFS('PCO Log'!$E89:$SJ89,'PCO Log'!$E$9:$SJ$9,'Graph Data'!U$187,'PCO Log'!$E$4:$SJ$4,"&lt;&gt;Bid Package",'PCO Log'!$E$7:$SJ$7,"Approved")</f>
        <v>0</v>
      </c>
      <c r="V265" s="304">
        <f>SUMIFS('PCO Log'!$E89:$SJ89,'PCO Log'!$E$9:$SJ$9,'Graph Data'!V$187,'PCO Log'!$E$4:$SJ$4,"&lt;&gt;Bid Package",'PCO Log'!$E$7:$SJ$7,"Approved")</f>
        <v>0</v>
      </c>
      <c r="W265" s="304">
        <f>SUMIFS('PCO Log'!$E89:$SJ89,'PCO Log'!$E$9:$SJ$9,'Graph Data'!W$187,'PCO Log'!$E$4:$SJ$4,"&lt;&gt;Bid Package",'PCO Log'!$E$7:$SJ$7,"Approved")</f>
        <v>0</v>
      </c>
      <c r="X265" s="304">
        <f>SUMIFS('PCO Log'!$E89:$SJ89,'PCO Log'!$E$9:$SJ$9,'Graph Data'!X$187,'PCO Log'!$E$4:$SJ$4,"&lt;&gt;Bid Package",'PCO Log'!$E$7:$SJ$7,"Approved")</f>
        <v>0</v>
      </c>
      <c r="Y265" s="304">
        <f>SUMIFS('PCO Log'!$E89:$SJ89,'PCO Log'!$E$9:$SJ$9,'Graph Data'!Y$187,'PCO Log'!$E$4:$SJ$4,"&lt;&gt;Bid Package",'PCO Log'!$E$7:$SJ$7,"Approved")</f>
        <v>0</v>
      </c>
      <c r="Z265" s="304">
        <f>SUMIFS('PCO Log'!$E89:$SJ89,'PCO Log'!$E$9:$SJ$9,'Graph Data'!Z$187,'PCO Log'!$E$4:$SJ$4,"&lt;&gt;Bid Package",'PCO Log'!$E$7:$SJ$7,"Approved")</f>
        <v>0</v>
      </c>
      <c r="AA265" s="304">
        <f>SUMIFS('PCO Log'!$E89:$SJ89,'PCO Log'!$E$9:$SJ$9,'Graph Data'!AA$187,'PCO Log'!$E$4:$SJ$4,"&lt;&gt;Bid Package",'PCO Log'!$E$7:$SJ$7,"Approved")</f>
        <v>0</v>
      </c>
      <c r="AB265" s="304">
        <f>SUMIFS('PCO Log'!$E89:$SJ89,'PCO Log'!$E$9:$SJ$9,'Graph Data'!AB$187,'PCO Log'!$E$4:$SJ$4,"&lt;&gt;Bid Package",'PCO Log'!$E$7:$SJ$7,"Approved")</f>
        <v>0</v>
      </c>
      <c r="AC265" s="304">
        <f>SUMIFS('PCO Log'!$E89:$SJ89,'PCO Log'!$E$9:$SJ$9,'Graph Data'!AC$187,'PCO Log'!$E$4:$SJ$4,"&lt;&gt;Bid Package",'PCO Log'!$E$7:$SJ$7,"Approved")</f>
        <v>0</v>
      </c>
      <c r="AD265" s="304">
        <f>SUMIFS('PCO Log'!$E89:$SJ89,'PCO Log'!$E$9:$SJ$9,'Graph Data'!AD$187,'PCO Log'!$E$4:$SJ$4,"&lt;&gt;Bid Package",'PCO Log'!$E$7:$SJ$7,"Approved")</f>
        <v>0</v>
      </c>
      <c r="AE265" s="304">
        <f>SUMIFS('PCO Log'!$E89:$SJ89,'PCO Log'!$E$9:$SJ$9,'Graph Data'!AE$187,'PCO Log'!$E$4:$SJ$4,"&lt;&gt;Bid Package",'PCO Log'!$E$7:$SJ$7,"Approved")</f>
        <v>0</v>
      </c>
      <c r="AF265" s="304">
        <f>SUMIFS('PCO Log'!$E89:$SJ89,'PCO Log'!$E$9:$SJ$9,'Graph Data'!AF$187,'PCO Log'!$E$4:$SJ$4,"&lt;&gt;Bid Package",'PCO Log'!$E$7:$SJ$7,"Approved")</f>
        <v>0</v>
      </c>
      <c r="AG265" s="304">
        <f>SUMIFS('PCO Log'!$E89:$SJ89,'PCO Log'!$E$9:$SJ$9,'Graph Data'!AG$187,'PCO Log'!$E$4:$SJ$4,"&lt;&gt;Bid Package",'PCO Log'!$E$7:$SJ$7,"Approved")</f>
        <v>0</v>
      </c>
      <c r="AH265" s="304">
        <f>SUMIFS('PCO Log'!$E89:$SJ89,'PCO Log'!$E$9:$SJ$9,'Graph Data'!AH$187,'PCO Log'!$E$4:$SJ$4,"&lt;&gt;Bid Package",'PCO Log'!$E$7:$SJ$7,"Approved")</f>
        <v>0</v>
      </c>
      <c r="AI265" s="304">
        <f>SUMIFS('PCO Log'!$E89:$SJ89,'PCO Log'!$E$9:$SJ$9,'Graph Data'!AI$187,'PCO Log'!$E$4:$SJ$4,"&lt;&gt;Bid Package",'PCO Log'!$E$7:$SJ$7,"Approved")</f>
        <v>0</v>
      </c>
      <c r="AJ265" s="304">
        <f>SUMIFS('PCO Log'!$E89:$SJ89,'PCO Log'!$E$9:$SJ$9,'Graph Data'!AJ$187,'PCO Log'!$E$4:$SJ$4,"&lt;&gt;Bid Package",'PCO Log'!$E$7:$SJ$7,"Approved")</f>
        <v>0</v>
      </c>
      <c r="AK265" s="304">
        <f>SUMIFS('PCO Log'!$E89:$SJ89,'PCO Log'!$E$9:$SJ$9,'Graph Data'!AK$187,'PCO Log'!$E$4:$SJ$4,"&lt;&gt;Bid Package",'PCO Log'!$E$7:$SJ$7,"Approved")</f>
        <v>0</v>
      </c>
      <c r="AL265" s="304">
        <f>SUMIFS('PCO Log'!$E89:$SJ89,'PCO Log'!$E$9:$SJ$9,'Graph Data'!AL$187,'PCO Log'!$E$4:$SJ$4,"&lt;&gt;Bid Package",'PCO Log'!$E$7:$SJ$7,"Approved")</f>
        <v>0</v>
      </c>
      <c r="AM265" s="304">
        <f>SUMIFS('PCO Log'!$E89:$SJ89,'PCO Log'!$E$9:$SJ$9,'Graph Data'!AM$187,'PCO Log'!$E$4:$SJ$4,"&lt;&gt;Bid Package",'PCO Log'!$E$7:$SJ$7,"Approved")</f>
        <v>0</v>
      </c>
      <c r="AN265" s="304">
        <f>SUMIFS('PCO Log'!$E89:$SJ89,'PCO Log'!$E$9:$SJ$9,'Graph Data'!AN$187,'PCO Log'!$E$4:$SJ$4,"&lt;&gt;Bid Package",'PCO Log'!$E$7:$SJ$7,"Approved")</f>
        <v>0</v>
      </c>
      <c r="AO265" s="304">
        <f>SUMIFS('PCO Log'!$E89:$SJ89,'PCO Log'!$E$9:$SJ$9,'Graph Data'!AO$187,'PCO Log'!$E$4:$SJ$4,"&lt;&gt;Bid Package",'PCO Log'!$E$7:$SJ$7,"Approved")</f>
        <v>0</v>
      </c>
      <c r="AP265" s="304">
        <f>SUMIFS('PCO Log'!$E89:$SJ89,'PCO Log'!$E$9:$SJ$9,'Graph Data'!AP$187,'PCO Log'!$E$4:$SJ$4,"&lt;&gt;Bid Package",'PCO Log'!$E$7:$SJ$7,"Approved")</f>
        <v>0</v>
      </c>
      <c r="AQ265" s="304">
        <f>SUMIFS('PCO Log'!$E89:$SJ89,'PCO Log'!$E$9:$SJ$9,'Graph Data'!AQ$187,'PCO Log'!$E$4:$SJ$4,"&lt;&gt;Bid Package",'PCO Log'!$E$7:$SJ$7,"Approved")</f>
        <v>0</v>
      </c>
      <c r="AR265" s="304">
        <f>SUMIFS('PCO Log'!$E89:$SJ89,'PCO Log'!$E$9:$SJ$9,'Graph Data'!AR$187,'PCO Log'!$E$4:$SJ$4,"&lt;&gt;Bid Package",'PCO Log'!$E$7:$SJ$7,"Approved")</f>
        <v>0</v>
      </c>
      <c r="AS265" s="304">
        <f>SUMIFS('PCO Log'!$E89:$SJ89,'PCO Log'!$E$9:$SJ$9,'Graph Data'!AS$187,'PCO Log'!$E$4:$SJ$4,"&lt;&gt;Bid Package",'PCO Log'!$E$7:$SJ$7,"Approved")</f>
        <v>0</v>
      </c>
      <c r="AT265" s="304">
        <f>SUMIFS('PCO Log'!$E89:$SJ89,'PCO Log'!$E$9:$SJ$9,'Graph Data'!AT$187,'PCO Log'!$E$4:$SJ$4,"&lt;&gt;Bid Package",'PCO Log'!$E$7:$SJ$7,"Approved")</f>
        <v>0</v>
      </c>
      <c r="AU265" s="304">
        <f>SUMIFS('PCO Log'!$E89:$SJ89,'PCO Log'!$E$9:$SJ$9,'Graph Data'!AU$187,'PCO Log'!$E$4:$SJ$4,"&lt;&gt;Bid Package",'PCO Log'!$E$7:$SJ$7,"Approved")</f>
        <v>0</v>
      </c>
      <c r="AV265" s="304">
        <f>SUMIFS('PCO Log'!$E89:$SJ89,'PCO Log'!$E$9:$SJ$9,'Graph Data'!AV$187,'PCO Log'!$E$4:$SJ$4,"&lt;&gt;Bid Package",'PCO Log'!$E$7:$SJ$7,"Approved")</f>
        <v>0</v>
      </c>
      <c r="AW265" s="304">
        <f>SUMIFS('PCO Log'!$E89:$SJ89,'PCO Log'!$E$9:$SJ$9,'Graph Data'!AW$187,'PCO Log'!$E$4:$SJ$4,"&lt;&gt;Bid Package",'PCO Log'!$E$7:$SJ$7,"Approved")</f>
        <v>0</v>
      </c>
      <c r="AX265" s="304">
        <f>SUMIFS('PCO Log'!$E89:$SJ89,'PCO Log'!$E$9:$SJ$9,'Graph Data'!AX$187,'PCO Log'!$E$4:$SJ$4,"&lt;&gt;Bid Package",'PCO Log'!$E$7:$SJ$7,"Approved")</f>
        <v>0</v>
      </c>
      <c r="AY265" s="304">
        <f>SUMIFS('PCO Log'!$E89:$SJ89,'PCO Log'!$E$9:$SJ$9,'Graph Data'!AY$187,'PCO Log'!$E$4:$SJ$4,"&lt;&gt;Bid Package",'PCO Log'!$E$7:$SJ$7,"Approved")</f>
        <v>0</v>
      </c>
      <c r="AZ265" s="304">
        <f>SUMIFS('PCO Log'!$E89:$SJ89,'PCO Log'!$E$9:$SJ$9,'Graph Data'!AZ$187,'PCO Log'!$E$4:$SJ$4,"&lt;&gt;Bid Package",'PCO Log'!$E$7:$SJ$7,"Approved")</f>
        <v>0</v>
      </c>
      <c r="BA265" s="304">
        <f>SUMIFS('PCO Log'!$E89:$SJ89,'PCO Log'!$E$9:$SJ$9,'Graph Data'!BA$187,'PCO Log'!$E$4:$SJ$4,"&lt;&gt;Bid Package",'PCO Log'!$E$7:$SJ$7,"Approved")</f>
        <v>0</v>
      </c>
      <c r="BB265" s="304">
        <f>SUMIFS('PCO Log'!$E89:$SJ89,'PCO Log'!$E$9:$SJ$9,'Graph Data'!BB$187,'PCO Log'!$E$4:$SJ$4,"&lt;&gt;Bid Package",'PCO Log'!$E$7:$SJ$7,"Approved")</f>
        <v>0</v>
      </c>
      <c r="BC265" s="304">
        <f>SUMIFS('PCO Log'!$E89:$SJ89,'PCO Log'!$E$9:$SJ$9,'Graph Data'!BC$187,'PCO Log'!$E$4:$SJ$4,"&lt;&gt;Bid Package",'PCO Log'!$E$7:$SJ$7,"Approved")</f>
        <v>0</v>
      </c>
      <c r="BD265" s="304">
        <f>SUMIFS('PCO Log'!$E89:$SJ89,'PCO Log'!$E$9:$SJ$9,'Graph Data'!BD$187,'PCO Log'!$E$4:$SJ$4,"&lt;&gt;Bid Package",'PCO Log'!$E$7:$SJ$7,"Approved")</f>
        <v>0</v>
      </c>
      <c r="BE265" s="304">
        <f>SUMIFS('PCO Log'!$E89:$SJ89,'PCO Log'!$E$9:$SJ$9,'Graph Data'!BE$187,'PCO Log'!$E$4:$SJ$4,"&lt;&gt;Bid Package",'PCO Log'!$E$7:$SJ$7,"Approved")</f>
        <v>0</v>
      </c>
      <c r="BF265" s="304">
        <f>SUMIFS('PCO Log'!$E89:$SJ89,'PCO Log'!$E$9:$SJ$9,'Graph Data'!BF$187,'PCO Log'!$E$4:$SJ$4,"&lt;&gt;Bid Package",'PCO Log'!$E$7:$SJ$7,"Approved")</f>
        <v>0</v>
      </c>
      <c r="BG265" s="304">
        <f>SUMIFS('PCO Log'!$E89:$SJ89,'PCO Log'!$E$9:$SJ$9,'Graph Data'!BG$187,'PCO Log'!$E$4:$SJ$4,"&lt;&gt;Bid Package",'PCO Log'!$E$7:$SJ$7,"Approved")</f>
        <v>0</v>
      </c>
      <c r="BH265" s="304">
        <f>SUMIFS('PCO Log'!$E89:$SJ89,'PCO Log'!$E$9:$SJ$9,'Graph Data'!BH$187,'PCO Log'!$E$4:$SJ$4,"&lt;&gt;Bid Package",'PCO Log'!$E$7:$SJ$7,"Approved")</f>
        <v>0</v>
      </c>
      <c r="BI265" s="304">
        <f>SUMIFS('PCO Log'!$E89:$SJ89,'PCO Log'!$E$9:$SJ$9,'Graph Data'!BI$187,'PCO Log'!$E$4:$SJ$4,"&lt;&gt;Bid Package",'PCO Log'!$E$7:$SJ$7,"Approved")</f>
        <v>0</v>
      </c>
      <c r="BJ265" s="304">
        <f>SUMIFS('PCO Log'!$E89:$SJ89,'PCO Log'!$E$9:$SJ$9,'Graph Data'!BJ$187,'PCO Log'!$E$4:$SJ$4,"&lt;&gt;Bid Package",'PCO Log'!$E$7:$SJ$7,"Approved")</f>
        <v>0</v>
      </c>
      <c r="BK265" s="304">
        <f>SUMIFS('PCO Log'!$E89:$SJ89,'PCO Log'!$E$9:$SJ$9,'Graph Data'!BK$187,'PCO Log'!$E$4:$SJ$4,"&lt;&gt;Bid Package",'PCO Log'!$E$7:$SJ$7,"Approved")</f>
        <v>0</v>
      </c>
      <c r="BL265" s="304">
        <f>SUMIFS('PCO Log'!$E89:$SJ89,'PCO Log'!$E$9:$SJ$9,'Graph Data'!BL$187,'PCO Log'!$E$4:$SJ$4,"&lt;&gt;Bid Package",'PCO Log'!$E$7:$SJ$7,"Approved")</f>
        <v>0</v>
      </c>
      <c r="BM265" s="304">
        <f>SUMIFS('PCO Log'!$E89:$SJ89,'PCO Log'!$E$9:$SJ$9,'Graph Data'!BM$187,'PCO Log'!$E$4:$SJ$4,"&lt;&gt;Bid Package",'PCO Log'!$E$7:$SJ$7,"Approved")</f>
        <v>0</v>
      </c>
      <c r="BN265" s="304">
        <f>SUMIFS('PCO Log'!$E89:$SJ89,'PCO Log'!$E$9:$SJ$9,'Graph Data'!BN$187,'PCO Log'!$E$4:$SJ$4,"&lt;&gt;Bid Package",'PCO Log'!$E$7:$SJ$7,"Approved")</f>
        <v>0</v>
      </c>
      <c r="BO265" s="304">
        <f>SUMIFS('PCO Log'!$E89:$SJ89,'PCO Log'!$E$9:$SJ$9,'Graph Data'!BO$187,'PCO Log'!$E$4:$SJ$4,"&lt;&gt;Bid Package",'PCO Log'!$E$7:$SJ$7,"Approved")</f>
        <v>0</v>
      </c>
      <c r="BP265" s="304">
        <f>SUMIFS('PCO Log'!$E89:$SJ89,'PCO Log'!$E$9:$SJ$9,'Graph Data'!BP$187,'PCO Log'!$E$4:$SJ$4,"&lt;&gt;Bid Package",'PCO Log'!$E$7:$SJ$7,"Approved")</f>
        <v>0</v>
      </c>
      <c r="BQ265" s="304">
        <f>SUMIFS('PCO Log'!$E89:$SJ89,'PCO Log'!$E$9:$SJ$9,'Graph Data'!BQ$187,'PCO Log'!$E$4:$SJ$4,"&lt;&gt;Bid Package",'PCO Log'!$E$7:$SJ$7,"Approved")</f>
        <v>0</v>
      </c>
      <c r="BR265" s="304">
        <f>SUMIFS('PCO Log'!$E89:$SJ89,'PCO Log'!$E$9:$SJ$9,'Graph Data'!BR$187,'PCO Log'!$E$4:$SJ$4,"&lt;&gt;Bid Package",'PCO Log'!$E$7:$SJ$7,"Approved")</f>
        <v>0</v>
      </c>
      <c r="BS265" s="304">
        <f>SUMIFS('PCO Log'!$E89:$SJ89,'PCO Log'!$E$9:$SJ$9,'Graph Data'!BS$187,'PCO Log'!$E$4:$SJ$4,"&lt;&gt;Bid Package",'PCO Log'!$E$7:$SJ$7,"Approved")</f>
        <v>0</v>
      </c>
      <c r="BT265" s="304">
        <f>SUMIFS('PCO Log'!$E89:$SJ89,'PCO Log'!$E$9:$SJ$9,'Graph Data'!BT$187,'PCO Log'!$E$4:$SJ$4,"&lt;&gt;Bid Package",'PCO Log'!$E$7:$SJ$7,"Approved")</f>
        <v>0</v>
      </c>
      <c r="BU265" s="304">
        <f>SUMIFS('PCO Log'!$E89:$SJ89,'PCO Log'!$E$9:$SJ$9,'Graph Data'!BU$187,'PCO Log'!$E$4:$SJ$4,"&lt;&gt;Bid Package",'PCO Log'!$E$7:$SJ$7,"Approved")</f>
        <v>0</v>
      </c>
      <c r="BV265" s="304">
        <f>SUMIFS('PCO Log'!$E89:$SJ89,'PCO Log'!$E$9:$SJ$9,'Graph Data'!BV$187,'PCO Log'!$E$4:$SJ$4,"&lt;&gt;Bid Package",'PCO Log'!$E$7:$SJ$7,"Approved")</f>
        <v>0</v>
      </c>
      <c r="BW265" s="304">
        <f>SUMIFS('PCO Log'!$E89:$SJ89,'PCO Log'!$E$9:$SJ$9,'Graph Data'!BW$187,'PCO Log'!$E$4:$SJ$4,"&lt;&gt;Bid Package",'PCO Log'!$E$7:$SJ$7,"Approved")</f>
        <v>0</v>
      </c>
      <c r="BX265" s="304">
        <f>SUMIFS('PCO Log'!$E89:$SJ89,'PCO Log'!$E$9:$SJ$9,'Graph Data'!BX$187,'PCO Log'!$E$4:$SJ$4,"&lt;&gt;Bid Package",'PCO Log'!$E$7:$SJ$7,"Approved")</f>
        <v>0</v>
      </c>
    </row>
    <row r="266" spans="1:76" x14ac:dyDescent="0.25">
      <c r="A266" s="303" t="s">
        <v>616</v>
      </c>
      <c r="B266" s="303">
        <f>'PCO Log'!JI7</f>
        <v>0</v>
      </c>
      <c r="C266" s="303">
        <f>'PCO Log'!JI4</f>
        <v>0</v>
      </c>
      <c r="D266" s="303" cm="1">
        <f t="array" ref="D266">INDEX('PCO Log'!$E$5:$SJ$5, 1, ROWS('Graph Data'!$D$2:D266))</f>
        <v>0</v>
      </c>
      <c r="E266" s="303">
        <f>'PCO Log'!JI8</f>
        <v>0</v>
      </c>
      <c r="F266" s="303">
        <f>'PCO Log'!JI3</f>
        <v>0</v>
      </c>
      <c r="G266" s="304">
        <f>'PCO Log'!JI10</f>
        <v>0</v>
      </c>
      <c r="H266" s="305">
        <f>'PCO Log'!JI6</f>
        <v>0</v>
      </c>
      <c r="K266" s="307"/>
      <c r="P266" s="303" t="str">
        <f t="shared" si="4"/>
        <v>Site Concrete</v>
      </c>
      <c r="Q266" s="304">
        <f>SUMIFS('PCO Log'!$E90:$SJ90,'PCO Log'!$E$9:$SJ$9,'Graph Data'!Q$187,'PCO Log'!$E$4:$SJ$4,"&lt;&gt;Bid Package",'PCO Log'!$E$7:$SJ$7,"Approved")</f>
        <v>0</v>
      </c>
      <c r="R266" s="304">
        <f>SUMIFS('PCO Log'!$E90:$SJ90,'PCO Log'!$E$9:$SJ$9,'Graph Data'!R$187,'PCO Log'!$E$4:$SJ$4,"&lt;&gt;Bid Package",'PCO Log'!$E$7:$SJ$7,"Approved")</f>
        <v>0</v>
      </c>
      <c r="S266" s="304">
        <f>SUMIFS('PCO Log'!$E90:$SJ90,'PCO Log'!$E$9:$SJ$9,'Graph Data'!S$187,'PCO Log'!$E$4:$SJ$4,"&lt;&gt;Bid Package",'PCO Log'!$E$7:$SJ$7,"Approved")</f>
        <v>0</v>
      </c>
      <c r="T266" s="304">
        <f>SUMIFS('PCO Log'!$E90:$SJ90,'PCO Log'!$E$9:$SJ$9,'Graph Data'!T$187,'PCO Log'!$E$4:$SJ$4,"&lt;&gt;Bid Package",'PCO Log'!$E$7:$SJ$7,"Approved")</f>
        <v>0</v>
      </c>
      <c r="U266" s="304">
        <f>SUMIFS('PCO Log'!$E90:$SJ90,'PCO Log'!$E$9:$SJ$9,'Graph Data'!U$187,'PCO Log'!$E$4:$SJ$4,"&lt;&gt;Bid Package",'PCO Log'!$E$7:$SJ$7,"Approved")</f>
        <v>0</v>
      </c>
      <c r="V266" s="304">
        <f>SUMIFS('PCO Log'!$E90:$SJ90,'PCO Log'!$E$9:$SJ$9,'Graph Data'!V$187,'PCO Log'!$E$4:$SJ$4,"&lt;&gt;Bid Package",'PCO Log'!$E$7:$SJ$7,"Approved")</f>
        <v>0</v>
      </c>
      <c r="W266" s="304">
        <f>SUMIFS('PCO Log'!$E90:$SJ90,'PCO Log'!$E$9:$SJ$9,'Graph Data'!W$187,'PCO Log'!$E$4:$SJ$4,"&lt;&gt;Bid Package",'PCO Log'!$E$7:$SJ$7,"Approved")</f>
        <v>0</v>
      </c>
      <c r="X266" s="304">
        <f>SUMIFS('PCO Log'!$E90:$SJ90,'PCO Log'!$E$9:$SJ$9,'Graph Data'!X$187,'PCO Log'!$E$4:$SJ$4,"&lt;&gt;Bid Package",'PCO Log'!$E$7:$SJ$7,"Approved")</f>
        <v>0</v>
      </c>
      <c r="Y266" s="304">
        <f>SUMIFS('PCO Log'!$E90:$SJ90,'PCO Log'!$E$9:$SJ$9,'Graph Data'!Y$187,'PCO Log'!$E$4:$SJ$4,"&lt;&gt;Bid Package",'PCO Log'!$E$7:$SJ$7,"Approved")</f>
        <v>0</v>
      </c>
      <c r="Z266" s="304">
        <f>SUMIFS('PCO Log'!$E90:$SJ90,'PCO Log'!$E$9:$SJ$9,'Graph Data'!Z$187,'PCO Log'!$E$4:$SJ$4,"&lt;&gt;Bid Package",'PCO Log'!$E$7:$SJ$7,"Approved")</f>
        <v>0</v>
      </c>
      <c r="AA266" s="304">
        <f>SUMIFS('PCO Log'!$E90:$SJ90,'PCO Log'!$E$9:$SJ$9,'Graph Data'!AA$187,'PCO Log'!$E$4:$SJ$4,"&lt;&gt;Bid Package",'PCO Log'!$E$7:$SJ$7,"Approved")</f>
        <v>0</v>
      </c>
      <c r="AB266" s="304">
        <f>SUMIFS('PCO Log'!$E90:$SJ90,'PCO Log'!$E$9:$SJ$9,'Graph Data'!AB$187,'PCO Log'!$E$4:$SJ$4,"&lt;&gt;Bid Package",'PCO Log'!$E$7:$SJ$7,"Approved")</f>
        <v>0</v>
      </c>
      <c r="AC266" s="304">
        <f>SUMIFS('PCO Log'!$E90:$SJ90,'PCO Log'!$E$9:$SJ$9,'Graph Data'!AC$187,'PCO Log'!$E$4:$SJ$4,"&lt;&gt;Bid Package",'PCO Log'!$E$7:$SJ$7,"Approved")</f>
        <v>0</v>
      </c>
      <c r="AD266" s="304">
        <f>SUMIFS('PCO Log'!$E90:$SJ90,'PCO Log'!$E$9:$SJ$9,'Graph Data'!AD$187,'PCO Log'!$E$4:$SJ$4,"&lt;&gt;Bid Package",'PCO Log'!$E$7:$SJ$7,"Approved")</f>
        <v>0</v>
      </c>
      <c r="AE266" s="304">
        <f>SUMIFS('PCO Log'!$E90:$SJ90,'PCO Log'!$E$9:$SJ$9,'Graph Data'!AE$187,'PCO Log'!$E$4:$SJ$4,"&lt;&gt;Bid Package",'PCO Log'!$E$7:$SJ$7,"Approved")</f>
        <v>0</v>
      </c>
      <c r="AF266" s="304">
        <f>SUMIFS('PCO Log'!$E90:$SJ90,'PCO Log'!$E$9:$SJ$9,'Graph Data'!AF$187,'PCO Log'!$E$4:$SJ$4,"&lt;&gt;Bid Package",'PCO Log'!$E$7:$SJ$7,"Approved")</f>
        <v>0</v>
      </c>
      <c r="AG266" s="304">
        <f>SUMIFS('PCO Log'!$E90:$SJ90,'PCO Log'!$E$9:$SJ$9,'Graph Data'!AG$187,'PCO Log'!$E$4:$SJ$4,"&lt;&gt;Bid Package",'PCO Log'!$E$7:$SJ$7,"Approved")</f>
        <v>0</v>
      </c>
      <c r="AH266" s="304">
        <f>SUMIFS('PCO Log'!$E90:$SJ90,'PCO Log'!$E$9:$SJ$9,'Graph Data'!AH$187,'PCO Log'!$E$4:$SJ$4,"&lt;&gt;Bid Package",'PCO Log'!$E$7:$SJ$7,"Approved")</f>
        <v>0</v>
      </c>
      <c r="AI266" s="304">
        <f>SUMIFS('PCO Log'!$E90:$SJ90,'PCO Log'!$E$9:$SJ$9,'Graph Data'!AI$187,'PCO Log'!$E$4:$SJ$4,"&lt;&gt;Bid Package",'PCO Log'!$E$7:$SJ$7,"Approved")</f>
        <v>0</v>
      </c>
      <c r="AJ266" s="304">
        <f>SUMIFS('PCO Log'!$E90:$SJ90,'PCO Log'!$E$9:$SJ$9,'Graph Data'!AJ$187,'PCO Log'!$E$4:$SJ$4,"&lt;&gt;Bid Package",'PCO Log'!$E$7:$SJ$7,"Approved")</f>
        <v>0</v>
      </c>
      <c r="AK266" s="304">
        <f>SUMIFS('PCO Log'!$E90:$SJ90,'PCO Log'!$E$9:$SJ$9,'Graph Data'!AK$187,'PCO Log'!$E$4:$SJ$4,"&lt;&gt;Bid Package",'PCO Log'!$E$7:$SJ$7,"Approved")</f>
        <v>0</v>
      </c>
      <c r="AL266" s="304">
        <f>SUMIFS('PCO Log'!$E90:$SJ90,'PCO Log'!$E$9:$SJ$9,'Graph Data'!AL$187,'PCO Log'!$E$4:$SJ$4,"&lt;&gt;Bid Package",'PCO Log'!$E$7:$SJ$7,"Approved")</f>
        <v>0</v>
      </c>
      <c r="AM266" s="304">
        <f>SUMIFS('PCO Log'!$E90:$SJ90,'PCO Log'!$E$9:$SJ$9,'Graph Data'!AM$187,'PCO Log'!$E$4:$SJ$4,"&lt;&gt;Bid Package",'PCO Log'!$E$7:$SJ$7,"Approved")</f>
        <v>0</v>
      </c>
      <c r="AN266" s="304">
        <f>SUMIFS('PCO Log'!$E90:$SJ90,'PCO Log'!$E$9:$SJ$9,'Graph Data'!AN$187,'PCO Log'!$E$4:$SJ$4,"&lt;&gt;Bid Package",'PCO Log'!$E$7:$SJ$7,"Approved")</f>
        <v>0</v>
      </c>
      <c r="AO266" s="304">
        <f>SUMIFS('PCO Log'!$E90:$SJ90,'PCO Log'!$E$9:$SJ$9,'Graph Data'!AO$187,'PCO Log'!$E$4:$SJ$4,"&lt;&gt;Bid Package",'PCO Log'!$E$7:$SJ$7,"Approved")</f>
        <v>0</v>
      </c>
      <c r="AP266" s="304">
        <f>SUMIFS('PCO Log'!$E90:$SJ90,'PCO Log'!$E$9:$SJ$9,'Graph Data'!AP$187,'PCO Log'!$E$4:$SJ$4,"&lt;&gt;Bid Package",'PCO Log'!$E$7:$SJ$7,"Approved")</f>
        <v>0</v>
      </c>
      <c r="AQ266" s="304">
        <f>SUMIFS('PCO Log'!$E90:$SJ90,'PCO Log'!$E$9:$SJ$9,'Graph Data'!AQ$187,'PCO Log'!$E$4:$SJ$4,"&lt;&gt;Bid Package",'PCO Log'!$E$7:$SJ$7,"Approved")</f>
        <v>0</v>
      </c>
      <c r="AR266" s="304">
        <f>SUMIFS('PCO Log'!$E90:$SJ90,'PCO Log'!$E$9:$SJ$9,'Graph Data'!AR$187,'PCO Log'!$E$4:$SJ$4,"&lt;&gt;Bid Package",'PCO Log'!$E$7:$SJ$7,"Approved")</f>
        <v>0</v>
      </c>
      <c r="AS266" s="304">
        <f>SUMIFS('PCO Log'!$E90:$SJ90,'PCO Log'!$E$9:$SJ$9,'Graph Data'!AS$187,'PCO Log'!$E$4:$SJ$4,"&lt;&gt;Bid Package",'PCO Log'!$E$7:$SJ$7,"Approved")</f>
        <v>0</v>
      </c>
      <c r="AT266" s="304">
        <f>SUMIFS('PCO Log'!$E90:$SJ90,'PCO Log'!$E$9:$SJ$9,'Graph Data'!AT$187,'PCO Log'!$E$4:$SJ$4,"&lt;&gt;Bid Package",'PCO Log'!$E$7:$SJ$7,"Approved")</f>
        <v>0</v>
      </c>
      <c r="AU266" s="304">
        <f>SUMIFS('PCO Log'!$E90:$SJ90,'PCO Log'!$E$9:$SJ$9,'Graph Data'!AU$187,'PCO Log'!$E$4:$SJ$4,"&lt;&gt;Bid Package",'PCO Log'!$E$7:$SJ$7,"Approved")</f>
        <v>0</v>
      </c>
      <c r="AV266" s="304">
        <f>SUMIFS('PCO Log'!$E90:$SJ90,'PCO Log'!$E$9:$SJ$9,'Graph Data'!AV$187,'PCO Log'!$E$4:$SJ$4,"&lt;&gt;Bid Package",'PCO Log'!$E$7:$SJ$7,"Approved")</f>
        <v>0</v>
      </c>
      <c r="AW266" s="304">
        <f>SUMIFS('PCO Log'!$E90:$SJ90,'PCO Log'!$E$9:$SJ$9,'Graph Data'!AW$187,'PCO Log'!$E$4:$SJ$4,"&lt;&gt;Bid Package",'PCO Log'!$E$7:$SJ$7,"Approved")</f>
        <v>0</v>
      </c>
      <c r="AX266" s="304">
        <f>SUMIFS('PCO Log'!$E90:$SJ90,'PCO Log'!$E$9:$SJ$9,'Graph Data'!AX$187,'PCO Log'!$E$4:$SJ$4,"&lt;&gt;Bid Package",'PCO Log'!$E$7:$SJ$7,"Approved")</f>
        <v>0</v>
      </c>
      <c r="AY266" s="304">
        <f>SUMIFS('PCO Log'!$E90:$SJ90,'PCO Log'!$E$9:$SJ$9,'Graph Data'!AY$187,'PCO Log'!$E$4:$SJ$4,"&lt;&gt;Bid Package",'PCO Log'!$E$7:$SJ$7,"Approved")</f>
        <v>0</v>
      </c>
      <c r="AZ266" s="304">
        <f>SUMIFS('PCO Log'!$E90:$SJ90,'PCO Log'!$E$9:$SJ$9,'Graph Data'!AZ$187,'PCO Log'!$E$4:$SJ$4,"&lt;&gt;Bid Package",'PCO Log'!$E$7:$SJ$7,"Approved")</f>
        <v>0</v>
      </c>
      <c r="BA266" s="304">
        <f>SUMIFS('PCO Log'!$E90:$SJ90,'PCO Log'!$E$9:$SJ$9,'Graph Data'!BA$187,'PCO Log'!$E$4:$SJ$4,"&lt;&gt;Bid Package",'PCO Log'!$E$7:$SJ$7,"Approved")</f>
        <v>0</v>
      </c>
      <c r="BB266" s="304">
        <f>SUMIFS('PCO Log'!$E90:$SJ90,'PCO Log'!$E$9:$SJ$9,'Graph Data'!BB$187,'PCO Log'!$E$4:$SJ$4,"&lt;&gt;Bid Package",'PCO Log'!$E$7:$SJ$7,"Approved")</f>
        <v>0</v>
      </c>
      <c r="BC266" s="304">
        <f>SUMIFS('PCO Log'!$E90:$SJ90,'PCO Log'!$E$9:$SJ$9,'Graph Data'!BC$187,'PCO Log'!$E$4:$SJ$4,"&lt;&gt;Bid Package",'PCO Log'!$E$7:$SJ$7,"Approved")</f>
        <v>0</v>
      </c>
      <c r="BD266" s="304">
        <f>SUMIFS('PCO Log'!$E90:$SJ90,'PCO Log'!$E$9:$SJ$9,'Graph Data'!BD$187,'PCO Log'!$E$4:$SJ$4,"&lt;&gt;Bid Package",'PCO Log'!$E$7:$SJ$7,"Approved")</f>
        <v>0</v>
      </c>
      <c r="BE266" s="304">
        <f>SUMIFS('PCO Log'!$E90:$SJ90,'PCO Log'!$E$9:$SJ$9,'Graph Data'!BE$187,'PCO Log'!$E$4:$SJ$4,"&lt;&gt;Bid Package",'PCO Log'!$E$7:$SJ$7,"Approved")</f>
        <v>0</v>
      </c>
      <c r="BF266" s="304">
        <f>SUMIFS('PCO Log'!$E90:$SJ90,'PCO Log'!$E$9:$SJ$9,'Graph Data'!BF$187,'PCO Log'!$E$4:$SJ$4,"&lt;&gt;Bid Package",'PCO Log'!$E$7:$SJ$7,"Approved")</f>
        <v>0</v>
      </c>
      <c r="BG266" s="304">
        <f>SUMIFS('PCO Log'!$E90:$SJ90,'PCO Log'!$E$9:$SJ$9,'Graph Data'!BG$187,'PCO Log'!$E$4:$SJ$4,"&lt;&gt;Bid Package",'PCO Log'!$E$7:$SJ$7,"Approved")</f>
        <v>0</v>
      </c>
      <c r="BH266" s="304">
        <f>SUMIFS('PCO Log'!$E90:$SJ90,'PCO Log'!$E$9:$SJ$9,'Graph Data'!BH$187,'PCO Log'!$E$4:$SJ$4,"&lt;&gt;Bid Package",'PCO Log'!$E$7:$SJ$7,"Approved")</f>
        <v>0</v>
      </c>
      <c r="BI266" s="304">
        <f>SUMIFS('PCO Log'!$E90:$SJ90,'PCO Log'!$E$9:$SJ$9,'Graph Data'!BI$187,'PCO Log'!$E$4:$SJ$4,"&lt;&gt;Bid Package",'PCO Log'!$E$7:$SJ$7,"Approved")</f>
        <v>0</v>
      </c>
      <c r="BJ266" s="304">
        <f>SUMIFS('PCO Log'!$E90:$SJ90,'PCO Log'!$E$9:$SJ$9,'Graph Data'!BJ$187,'PCO Log'!$E$4:$SJ$4,"&lt;&gt;Bid Package",'PCO Log'!$E$7:$SJ$7,"Approved")</f>
        <v>0</v>
      </c>
      <c r="BK266" s="304">
        <f>SUMIFS('PCO Log'!$E90:$SJ90,'PCO Log'!$E$9:$SJ$9,'Graph Data'!BK$187,'PCO Log'!$E$4:$SJ$4,"&lt;&gt;Bid Package",'PCO Log'!$E$7:$SJ$7,"Approved")</f>
        <v>0</v>
      </c>
      <c r="BL266" s="304">
        <f>SUMIFS('PCO Log'!$E90:$SJ90,'PCO Log'!$E$9:$SJ$9,'Graph Data'!BL$187,'PCO Log'!$E$4:$SJ$4,"&lt;&gt;Bid Package",'PCO Log'!$E$7:$SJ$7,"Approved")</f>
        <v>0</v>
      </c>
      <c r="BM266" s="304">
        <f>SUMIFS('PCO Log'!$E90:$SJ90,'PCO Log'!$E$9:$SJ$9,'Graph Data'!BM$187,'PCO Log'!$E$4:$SJ$4,"&lt;&gt;Bid Package",'PCO Log'!$E$7:$SJ$7,"Approved")</f>
        <v>0</v>
      </c>
      <c r="BN266" s="304">
        <f>SUMIFS('PCO Log'!$E90:$SJ90,'PCO Log'!$E$9:$SJ$9,'Graph Data'!BN$187,'PCO Log'!$E$4:$SJ$4,"&lt;&gt;Bid Package",'PCO Log'!$E$7:$SJ$7,"Approved")</f>
        <v>0</v>
      </c>
      <c r="BO266" s="304">
        <f>SUMIFS('PCO Log'!$E90:$SJ90,'PCO Log'!$E$9:$SJ$9,'Graph Data'!BO$187,'PCO Log'!$E$4:$SJ$4,"&lt;&gt;Bid Package",'PCO Log'!$E$7:$SJ$7,"Approved")</f>
        <v>0</v>
      </c>
      <c r="BP266" s="304">
        <f>SUMIFS('PCO Log'!$E90:$SJ90,'PCO Log'!$E$9:$SJ$9,'Graph Data'!BP$187,'PCO Log'!$E$4:$SJ$4,"&lt;&gt;Bid Package",'PCO Log'!$E$7:$SJ$7,"Approved")</f>
        <v>0</v>
      </c>
      <c r="BQ266" s="304">
        <f>SUMIFS('PCO Log'!$E90:$SJ90,'PCO Log'!$E$9:$SJ$9,'Graph Data'!BQ$187,'PCO Log'!$E$4:$SJ$4,"&lt;&gt;Bid Package",'PCO Log'!$E$7:$SJ$7,"Approved")</f>
        <v>0</v>
      </c>
      <c r="BR266" s="304">
        <f>SUMIFS('PCO Log'!$E90:$SJ90,'PCO Log'!$E$9:$SJ$9,'Graph Data'!BR$187,'PCO Log'!$E$4:$SJ$4,"&lt;&gt;Bid Package",'PCO Log'!$E$7:$SJ$7,"Approved")</f>
        <v>0</v>
      </c>
      <c r="BS266" s="304">
        <f>SUMIFS('PCO Log'!$E90:$SJ90,'PCO Log'!$E$9:$SJ$9,'Graph Data'!BS$187,'PCO Log'!$E$4:$SJ$4,"&lt;&gt;Bid Package",'PCO Log'!$E$7:$SJ$7,"Approved")</f>
        <v>0</v>
      </c>
      <c r="BT266" s="304">
        <f>SUMIFS('PCO Log'!$E90:$SJ90,'PCO Log'!$E$9:$SJ$9,'Graph Data'!BT$187,'PCO Log'!$E$4:$SJ$4,"&lt;&gt;Bid Package",'PCO Log'!$E$7:$SJ$7,"Approved")</f>
        <v>0</v>
      </c>
      <c r="BU266" s="304">
        <f>SUMIFS('PCO Log'!$E90:$SJ90,'PCO Log'!$E$9:$SJ$9,'Graph Data'!BU$187,'PCO Log'!$E$4:$SJ$4,"&lt;&gt;Bid Package",'PCO Log'!$E$7:$SJ$7,"Approved")</f>
        <v>0</v>
      </c>
      <c r="BV266" s="304">
        <f>SUMIFS('PCO Log'!$E90:$SJ90,'PCO Log'!$E$9:$SJ$9,'Graph Data'!BV$187,'PCO Log'!$E$4:$SJ$4,"&lt;&gt;Bid Package",'PCO Log'!$E$7:$SJ$7,"Approved")</f>
        <v>0</v>
      </c>
      <c r="BW266" s="304">
        <f>SUMIFS('PCO Log'!$E90:$SJ90,'PCO Log'!$E$9:$SJ$9,'Graph Data'!BW$187,'PCO Log'!$E$4:$SJ$4,"&lt;&gt;Bid Package",'PCO Log'!$E$7:$SJ$7,"Approved")</f>
        <v>0</v>
      </c>
      <c r="BX266" s="304">
        <f>SUMIFS('PCO Log'!$E90:$SJ90,'PCO Log'!$E$9:$SJ$9,'Graph Data'!BX$187,'PCO Log'!$E$4:$SJ$4,"&lt;&gt;Bid Package",'PCO Log'!$E$7:$SJ$7,"Approved")</f>
        <v>0</v>
      </c>
    </row>
    <row r="267" spans="1:76" x14ac:dyDescent="0.25">
      <c r="A267" s="303" t="s">
        <v>617</v>
      </c>
      <c r="B267" s="303">
        <f>'PCO Log'!JJ7</f>
        <v>0</v>
      </c>
      <c r="C267" s="303">
        <f>'PCO Log'!JJ4</f>
        <v>0</v>
      </c>
      <c r="D267" s="303" cm="1">
        <f t="array" ref="D267">INDEX('PCO Log'!$E$5:$SJ$5, 1, ROWS('Graph Data'!$D$2:D267))</f>
        <v>0</v>
      </c>
      <c r="E267" s="303">
        <f>'PCO Log'!JJ8</f>
        <v>0</v>
      </c>
      <c r="F267" s="303">
        <f>'PCO Log'!JJ3</f>
        <v>0</v>
      </c>
      <c r="G267" s="304">
        <f>'PCO Log'!JJ10</f>
        <v>0</v>
      </c>
      <c r="H267" s="305">
        <f>'PCO Log'!JJ6</f>
        <v>0</v>
      </c>
      <c r="K267" s="307"/>
      <c r="P267" s="303" t="str">
        <f t="shared" si="4"/>
        <v>Site Improvements/Fencing</v>
      </c>
      <c r="Q267" s="304">
        <f>SUMIFS('PCO Log'!$E91:$SJ91,'PCO Log'!$E$9:$SJ$9,'Graph Data'!Q$187,'PCO Log'!$E$4:$SJ$4,"&lt;&gt;Bid Package",'PCO Log'!$E$7:$SJ$7,"Approved")</f>
        <v>0</v>
      </c>
      <c r="R267" s="304">
        <f>SUMIFS('PCO Log'!$E91:$SJ91,'PCO Log'!$E$9:$SJ$9,'Graph Data'!R$187,'PCO Log'!$E$4:$SJ$4,"&lt;&gt;Bid Package",'PCO Log'!$E$7:$SJ$7,"Approved")</f>
        <v>0</v>
      </c>
      <c r="S267" s="304">
        <f>SUMIFS('PCO Log'!$E91:$SJ91,'PCO Log'!$E$9:$SJ$9,'Graph Data'!S$187,'PCO Log'!$E$4:$SJ$4,"&lt;&gt;Bid Package",'PCO Log'!$E$7:$SJ$7,"Approved")</f>
        <v>0</v>
      </c>
      <c r="T267" s="304">
        <f>SUMIFS('PCO Log'!$E91:$SJ91,'PCO Log'!$E$9:$SJ$9,'Graph Data'!T$187,'PCO Log'!$E$4:$SJ$4,"&lt;&gt;Bid Package",'PCO Log'!$E$7:$SJ$7,"Approved")</f>
        <v>0</v>
      </c>
      <c r="U267" s="304">
        <f>SUMIFS('PCO Log'!$E91:$SJ91,'PCO Log'!$E$9:$SJ$9,'Graph Data'!U$187,'PCO Log'!$E$4:$SJ$4,"&lt;&gt;Bid Package",'PCO Log'!$E$7:$SJ$7,"Approved")</f>
        <v>0</v>
      </c>
      <c r="V267" s="304">
        <f>SUMIFS('PCO Log'!$E91:$SJ91,'PCO Log'!$E$9:$SJ$9,'Graph Data'!V$187,'PCO Log'!$E$4:$SJ$4,"&lt;&gt;Bid Package",'PCO Log'!$E$7:$SJ$7,"Approved")</f>
        <v>0</v>
      </c>
      <c r="W267" s="304">
        <f>SUMIFS('PCO Log'!$E91:$SJ91,'PCO Log'!$E$9:$SJ$9,'Graph Data'!W$187,'PCO Log'!$E$4:$SJ$4,"&lt;&gt;Bid Package",'PCO Log'!$E$7:$SJ$7,"Approved")</f>
        <v>0</v>
      </c>
      <c r="X267" s="304">
        <f>SUMIFS('PCO Log'!$E91:$SJ91,'PCO Log'!$E$9:$SJ$9,'Graph Data'!X$187,'PCO Log'!$E$4:$SJ$4,"&lt;&gt;Bid Package",'PCO Log'!$E$7:$SJ$7,"Approved")</f>
        <v>0</v>
      </c>
      <c r="Y267" s="304">
        <f>SUMIFS('PCO Log'!$E91:$SJ91,'PCO Log'!$E$9:$SJ$9,'Graph Data'!Y$187,'PCO Log'!$E$4:$SJ$4,"&lt;&gt;Bid Package",'PCO Log'!$E$7:$SJ$7,"Approved")</f>
        <v>0</v>
      </c>
      <c r="Z267" s="304">
        <f>SUMIFS('PCO Log'!$E91:$SJ91,'PCO Log'!$E$9:$SJ$9,'Graph Data'!Z$187,'PCO Log'!$E$4:$SJ$4,"&lt;&gt;Bid Package",'PCO Log'!$E$7:$SJ$7,"Approved")</f>
        <v>0</v>
      </c>
      <c r="AA267" s="304">
        <f>SUMIFS('PCO Log'!$E91:$SJ91,'PCO Log'!$E$9:$SJ$9,'Graph Data'!AA$187,'PCO Log'!$E$4:$SJ$4,"&lt;&gt;Bid Package",'PCO Log'!$E$7:$SJ$7,"Approved")</f>
        <v>0</v>
      </c>
      <c r="AB267" s="304">
        <f>SUMIFS('PCO Log'!$E91:$SJ91,'PCO Log'!$E$9:$SJ$9,'Graph Data'!AB$187,'PCO Log'!$E$4:$SJ$4,"&lt;&gt;Bid Package",'PCO Log'!$E$7:$SJ$7,"Approved")</f>
        <v>0</v>
      </c>
      <c r="AC267" s="304">
        <f>SUMIFS('PCO Log'!$E91:$SJ91,'PCO Log'!$E$9:$SJ$9,'Graph Data'!AC$187,'PCO Log'!$E$4:$SJ$4,"&lt;&gt;Bid Package",'PCO Log'!$E$7:$SJ$7,"Approved")</f>
        <v>0</v>
      </c>
      <c r="AD267" s="304">
        <f>SUMIFS('PCO Log'!$E91:$SJ91,'PCO Log'!$E$9:$SJ$9,'Graph Data'!AD$187,'PCO Log'!$E$4:$SJ$4,"&lt;&gt;Bid Package",'PCO Log'!$E$7:$SJ$7,"Approved")</f>
        <v>0</v>
      </c>
      <c r="AE267" s="304">
        <f>SUMIFS('PCO Log'!$E91:$SJ91,'PCO Log'!$E$9:$SJ$9,'Graph Data'!AE$187,'PCO Log'!$E$4:$SJ$4,"&lt;&gt;Bid Package",'PCO Log'!$E$7:$SJ$7,"Approved")</f>
        <v>0</v>
      </c>
      <c r="AF267" s="304">
        <f>SUMIFS('PCO Log'!$E91:$SJ91,'PCO Log'!$E$9:$SJ$9,'Graph Data'!AF$187,'PCO Log'!$E$4:$SJ$4,"&lt;&gt;Bid Package",'PCO Log'!$E$7:$SJ$7,"Approved")</f>
        <v>0</v>
      </c>
      <c r="AG267" s="304">
        <f>SUMIFS('PCO Log'!$E91:$SJ91,'PCO Log'!$E$9:$SJ$9,'Graph Data'!AG$187,'PCO Log'!$E$4:$SJ$4,"&lt;&gt;Bid Package",'PCO Log'!$E$7:$SJ$7,"Approved")</f>
        <v>0</v>
      </c>
      <c r="AH267" s="304">
        <f>SUMIFS('PCO Log'!$E91:$SJ91,'PCO Log'!$E$9:$SJ$9,'Graph Data'!AH$187,'PCO Log'!$E$4:$SJ$4,"&lt;&gt;Bid Package",'PCO Log'!$E$7:$SJ$7,"Approved")</f>
        <v>0</v>
      </c>
      <c r="AI267" s="304">
        <f>SUMIFS('PCO Log'!$E91:$SJ91,'PCO Log'!$E$9:$SJ$9,'Graph Data'!AI$187,'PCO Log'!$E$4:$SJ$4,"&lt;&gt;Bid Package",'PCO Log'!$E$7:$SJ$7,"Approved")</f>
        <v>0</v>
      </c>
      <c r="AJ267" s="304">
        <f>SUMIFS('PCO Log'!$E91:$SJ91,'PCO Log'!$E$9:$SJ$9,'Graph Data'!AJ$187,'PCO Log'!$E$4:$SJ$4,"&lt;&gt;Bid Package",'PCO Log'!$E$7:$SJ$7,"Approved")</f>
        <v>0</v>
      </c>
      <c r="AK267" s="304">
        <f>SUMIFS('PCO Log'!$E91:$SJ91,'PCO Log'!$E$9:$SJ$9,'Graph Data'!AK$187,'PCO Log'!$E$4:$SJ$4,"&lt;&gt;Bid Package",'PCO Log'!$E$7:$SJ$7,"Approved")</f>
        <v>0</v>
      </c>
      <c r="AL267" s="304">
        <f>SUMIFS('PCO Log'!$E91:$SJ91,'PCO Log'!$E$9:$SJ$9,'Graph Data'!AL$187,'PCO Log'!$E$4:$SJ$4,"&lt;&gt;Bid Package",'PCO Log'!$E$7:$SJ$7,"Approved")</f>
        <v>0</v>
      </c>
      <c r="AM267" s="304">
        <f>SUMIFS('PCO Log'!$E91:$SJ91,'PCO Log'!$E$9:$SJ$9,'Graph Data'!AM$187,'PCO Log'!$E$4:$SJ$4,"&lt;&gt;Bid Package",'PCO Log'!$E$7:$SJ$7,"Approved")</f>
        <v>0</v>
      </c>
      <c r="AN267" s="304">
        <f>SUMIFS('PCO Log'!$E91:$SJ91,'PCO Log'!$E$9:$SJ$9,'Graph Data'!AN$187,'PCO Log'!$E$4:$SJ$4,"&lt;&gt;Bid Package",'PCO Log'!$E$7:$SJ$7,"Approved")</f>
        <v>0</v>
      </c>
      <c r="AO267" s="304">
        <f>SUMIFS('PCO Log'!$E91:$SJ91,'PCO Log'!$E$9:$SJ$9,'Graph Data'!AO$187,'PCO Log'!$E$4:$SJ$4,"&lt;&gt;Bid Package",'PCO Log'!$E$7:$SJ$7,"Approved")</f>
        <v>0</v>
      </c>
      <c r="AP267" s="304">
        <f>SUMIFS('PCO Log'!$E91:$SJ91,'PCO Log'!$E$9:$SJ$9,'Graph Data'!AP$187,'PCO Log'!$E$4:$SJ$4,"&lt;&gt;Bid Package",'PCO Log'!$E$7:$SJ$7,"Approved")</f>
        <v>0</v>
      </c>
      <c r="AQ267" s="304">
        <f>SUMIFS('PCO Log'!$E91:$SJ91,'PCO Log'!$E$9:$SJ$9,'Graph Data'!AQ$187,'PCO Log'!$E$4:$SJ$4,"&lt;&gt;Bid Package",'PCO Log'!$E$7:$SJ$7,"Approved")</f>
        <v>0</v>
      </c>
      <c r="AR267" s="304">
        <f>SUMIFS('PCO Log'!$E91:$SJ91,'PCO Log'!$E$9:$SJ$9,'Graph Data'!AR$187,'PCO Log'!$E$4:$SJ$4,"&lt;&gt;Bid Package",'PCO Log'!$E$7:$SJ$7,"Approved")</f>
        <v>0</v>
      </c>
      <c r="AS267" s="304">
        <f>SUMIFS('PCO Log'!$E91:$SJ91,'PCO Log'!$E$9:$SJ$9,'Graph Data'!AS$187,'PCO Log'!$E$4:$SJ$4,"&lt;&gt;Bid Package",'PCO Log'!$E$7:$SJ$7,"Approved")</f>
        <v>0</v>
      </c>
      <c r="AT267" s="304">
        <f>SUMIFS('PCO Log'!$E91:$SJ91,'PCO Log'!$E$9:$SJ$9,'Graph Data'!AT$187,'PCO Log'!$E$4:$SJ$4,"&lt;&gt;Bid Package",'PCO Log'!$E$7:$SJ$7,"Approved")</f>
        <v>0</v>
      </c>
      <c r="AU267" s="304">
        <f>SUMIFS('PCO Log'!$E91:$SJ91,'PCO Log'!$E$9:$SJ$9,'Graph Data'!AU$187,'PCO Log'!$E$4:$SJ$4,"&lt;&gt;Bid Package",'PCO Log'!$E$7:$SJ$7,"Approved")</f>
        <v>0</v>
      </c>
      <c r="AV267" s="304">
        <f>SUMIFS('PCO Log'!$E91:$SJ91,'PCO Log'!$E$9:$SJ$9,'Graph Data'!AV$187,'PCO Log'!$E$4:$SJ$4,"&lt;&gt;Bid Package",'PCO Log'!$E$7:$SJ$7,"Approved")</f>
        <v>0</v>
      </c>
      <c r="AW267" s="304">
        <f>SUMIFS('PCO Log'!$E91:$SJ91,'PCO Log'!$E$9:$SJ$9,'Graph Data'!AW$187,'PCO Log'!$E$4:$SJ$4,"&lt;&gt;Bid Package",'PCO Log'!$E$7:$SJ$7,"Approved")</f>
        <v>0</v>
      </c>
      <c r="AX267" s="304">
        <f>SUMIFS('PCO Log'!$E91:$SJ91,'PCO Log'!$E$9:$SJ$9,'Graph Data'!AX$187,'PCO Log'!$E$4:$SJ$4,"&lt;&gt;Bid Package",'PCO Log'!$E$7:$SJ$7,"Approved")</f>
        <v>0</v>
      </c>
      <c r="AY267" s="304">
        <f>SUMIFS('PCO Log'!$E91:$SJ91,'PCO Log'!$E$9:$SJ$9,'Graph Data'!AY$187,'PCO Log'!$E$4:$SJ$4,"&lt;&gt;Bid Package",'PCO Log'!$E$7:$SJ$7,"Approved")</f>
        <v>0</v>
      </c>
      <c r="AZ267" s="304">
        <f>SUMIFS('PCO Log'!$E91:$SJ91,'PCO Log'!$E$9:$SJ$9,'Graph Data'!AZ$187,'PCO Log'!$E$4:$SJ$4,"&lt;&gt;Bid Package",'PCO Log'!$E$7:$SJ$7,"Approved")</f>
        <v>0</v>
      </c>
      <c r="BA267" s="304">
        <f>SUMIFS('PCO Log'!$E91:$SJ91,'PCO Log'!$E$9:$SJ$9,'Graph Data'!BA$187,'PCO Log'!$E$4:$SJ$4,"&lt;&gt;Bid Package",'PCO Log'!$E$7:$SJ$7,"Approved")</f>
        <v>0</v>
      </c>
      <c r="BB267" s="304">
        <f>SUMIFS('PCO Log'!$E91:$SJ91,'PCO Log'!$E$9:$SJ$9,'Graph Data'!BB$187,'PCO Log'!$E$4:$SJ$4,"&lt;&gt;Bid Package",'PCO Log'!$E$7:$SJ$7,"Approved")</f>
        <v>0</v>
      </c>
      <c r="BC267" s="304">
        <f>SUMIFS('PCO Log'!$E91:$SJ91,'PCO Log'!$E$9:$SJ$9,'Graph Data'!BC$187,'PCO Log'!$E$4:$SJ$4,"&lt;&gt;Bid Package",'PCO Log'!$E$7:$SJ$7,"Approved")</f>
        <v>0</v>
      </c>
      <c r="BD267" s="304">
        <f>SUMIFS('PCO Log'!$E91:$SJ91,'PCO Log'!$E$9:$SJ$9,'Graph Data'!BD$187,'PCO Log'!$E$4:$SJ$4,"&lt;&gt;Bid Package",'PCO Log'!$E$7:$SJ$7,"Approved")</f>
        <v>0</v>
      </c>
      <c r="BE267" s="304">
        <f>SUMIFS('PCO Log'!$E91:$SJ91,'PCO Log'!$E$9:$SJ$9,'Graph Data'!BE$187,'PCO Log'!$E$4:$SJ$4,"&lt;&gt;Bid Package",'PCO Log'!$E$7:$SJ$7,"Approved")</f>
        <v>0</v>
      </c>
      <c r="BF267" s="304">
        <f>SUMIFS('PCO Log'!$E91:$SJ91,'PCO Log'!$E$9:$SJ$9,'Graph Data'!BF$187,'PCO Log'!$E$4:$SJ$4,"&lt;&gt;Bid Package",'PCO Log'!$E$7:$SJ$7,"Approved")</f>
        <v>0</v>
      </c>
      <c r="BG267" s="304">
        <f>SUMIFS('PCO Log'!$E91:$SJ91,'PCO Log'!$E$9:$SJ$9,'Graph Data'!BG$187,'PCO Log'!$E$4:$SJ$4,"&lt;&gt;Bid Package",'PCO Log'!$E$7:$SJ$7,"Approved")</f>
        <v>0</v>
      </c>
      <c r="BH267" s="304">
        <f>SUMIFS('PCO Log'!$E91:$SJ91,'PCO Log'!$E$9:$SJ$9,'Graph Data'!BH$187,'PCO Log'!$E$4:$SJ$4,"&lt;&gt;Bid Package",'PCO Log'!$E$7:$SJ$7,"Approved")</f>
        <v>0</v>
      </c>
      <c r="BI267" s="304">
        <f>SUMIFS('PCO Log'!$E91:$SJ91,'PCO Log'!$E$9:$SJ$9,'Graph Data'!BI$187,'PCO Log'!$E$4:$SJ$4,"&lt;&gt;Bid Package",'PCO Log'!$E$7:$SJ$7,"Approved")</f>
        <v>0</v>
      </c>
      <c r="BJ267" s="304">
        <f>SUMIFS('PCO Log'!$E91:$SJ91,'PCO Log'!$E$9:$SJ$9,'Graph Data'!BJ$187,'PCO Log'!$E$4:$SJ$4,"&lt;&gt;Bid Package",'PCO Log'!$E$7:$SJ$7,"Approved")</f>
        <v>0</v>
      </c>
      <c r="BK267" s="304">
        <f>SUMIFS('PCO Log'!$E91:$SJ91,'PCO Log'!$E$9:$SJ$9,'Graph Data'!BK$187,'PCO Log'!$E$4:$SJ$4,"&lt;&gt;Bid Package",'PCO Log'!$E$7:$SJ$7,"Approved")</f>
        <v>0</v>
      </c>
      <c r="BL267" s="304">
        <f>SUMIFS('PCO Log'!$E91:$SJ91,'PCO Log'!$E$9:$SJ$9,'Graph Data'!BL$187,'PCO Log'!$E$4:$SJ$4,"&lt;&gt;Bid Package",'PCO Log'!$E$7:$SJ$7,"Approved")</f>
        <v>0</v>
      </c>
      <c r="BM267" s="304">
        <f>SUMIFS('PCO Log'!$E91:$SJ91,'PCO Log'!$E$9:$SJ$9,'Graph Data'!BM$187,'PCO Log'!$E$4:$SJ$4,"&lt;&gt;Bid Package",'PCO Log'!$E$7:$SJ$7,"Approved")</f>
        <v>0</v>
      </c>
      <c r="BN267" s="304">
        <f>SUMIFS('PCO Log'!$E91:$SJ91,'PCO Log'!$E$9:$SJ$9,'Graph Data'!BN$187,'PCO Log'!$E$4:$SJ$4,"&lt;&gt;Bid Package",'PCO Log'!$E$7:$SJ$7,"Approved")</f>
        <v>0</v>
      </c>
      <c r="BO267" s="304">
        <f>SUMIFS('PCO Log'!$E91:$SJ91,'PCO Log'!$E$9:$SJ$9,'Graph Data'!BO$187,'PCO Log'!$E$4:$SJ$4,"&lt;&gt;Bid Package",'PCO Log'!$E$7:$SJ$7,"Approved")</f>
        <v>0</v>
      </c>
      <c r="BP267" s="304">
        <f>SUMIFS('PCO Log'!$E91:$SJ91,'PCO Log'!$E$9:$SJ$9,'Graph Data'!BP$187,'PCO Log'!$E$4:$SJ$4,"&lt;&gt;Bid Package",'PCO Log'!$E$7:$SJ$7,"Approved")</f>
        <v>0</v>
      </c>
      <c r="BQ267" s="304">
        <f>SUMIFS('PCO Log'!$E91:$SJ91,'PCO Log'!$E$9:$SJ$9,'Graph Data'!BQ$187,'PCO Log'!$E$4:$SJ$4,"&lt;&gt;Bid Package",'PCO Log'!$E$7:$SJ$7,"Approved")</f>
        <v>0</v>
      </c>
      <c r="BR267" s="304">
        <f>SUMIFS('PCO Log'!$E91:$SJ91,'PCO Log'!$E$9:$SJ$9,'Graph Data'!BR$187,'PCO Log'!$E$4:$SJ$4,"&lt;&gt;Bid Package",'PCO Log'!$E$7:$SJ$7,"Approved")</f>
        <v>0</v>
      </c>
      <c r="BS267" s="304">
        <f>SUMIFS('PCO Log'!$E91:$SJ91,'PCO Log'!$E$9:$SJ$9,'Graph Data'!BS$187,'PCO Log'!$E$4:$SJ$4,"&lt;&gt;Bid Package",'PCO Log'!$E$7:$SJ$7,"Approved")</f>
        <v>0</v>
      </c>
      <c r="BT267" s="304">
        <f>SUMIFS('PCO Log'!$E91:$SJ91,'PCO Log'!$E$9:$SJ$9,'Graph Data'!BT$187,'PCO Log'!$E$4:$SJ$4,"&lt;&gt;Bid Package",'PCO Log'!$E$7:$SJ$7,"Approved")</f>
        <v>0</v>
      </c>
      <c r="BU267" s="304">
        <f>SUMIFS('PCO Log'!$E91:$SJ91,'PCO Log'!$E$9:$SJ$9,'Graph Data'!BU$187,'PCO Log'!$E$4:$SJ$4,"&lt;&gt;Bid Package",'PCO Log'!$E$7:$SJ$7,"Approved")</f>
        <v>0</v>
      </c>
      <c r="BV267" s="304">
        <f>SUMIFS('PCO Log'!$E91:$SJ91,'PCO Log'!$E$9:$SJ$9,'Graph Data'!BV$187,'PCO Log'!$E$4:$SJ$4,"&lt;&gt;Bid Package",'PCO Log'!$E$7:$SJ$7,"Approved")</f>
        <v>0</v>
      </c>
      <c r="BW267" s="304">
        <f>SUMIFS('PCO Log'!$E91:$SJ91,'PCO Log'!$E$9:$SJ$9,'Graph Data'!BW$187,'PCO Log'!$E$4:$SJ$4,"&lt;&gt;Bid Package",'PCO Log'!$E$7:$SJ$7,"Approved")</f>
        <v>0</v>
      </c>
      <c r="BX267" s="304">
        <f>SUMIFS('PCO Log'!$E91:$SJ91,'PCO Log'!$E$9:$SJ$9,'Graph Data'!BX$187,'PCO Log'!$E$4:$SJ$4,"&lt;&gt;Bid Package",'PCO Log'!$E$7:$SJ$7,"Approved")</f>
        <v>0</v>
      </c>
    </row>
    <row r="268" spans="1:76" x14ac:dyDescent="0.25">
      <c r="A268" s="303" t="s">
        <v>618</v>
      </c>
      <c r="B268" s="303">
        <f>'PCO Log'!JK7</f>
        <v>0</v>
      </c>
      <c r="C268" s="303">
        <f>'PCO Log'!JK4</f>
        <v>0</v>
      </c>
      <c r="D268" s="303" cm="1">
        <f t="array" ref="D268">INDEX('PCO Log'!$E$5:$SJ$5, 1, ROWS('Graph Data'!$D$2:D268))</f>
        <v>0</v>
      </c>
      <c r="E268" s="303">
        <f>'PCO Log'!JK8</f>
        <v>0</v>
      </c>
      <c r="F268" s="303">
        <f>'PCO Log'!JK3</f>
        <v>0</v>
      </c>
      <c r="G268" s="304">
        <f>'PCO Log'!JK10</f>
        <v>0</v>
      </c>
      <c r="H268" s="305">
        <f>'PCO Log'!JK6</f>
        <v>0</v>
      </c>
      <c r="K268" s="307"/>
      <c r="P268" s="303" t="str">
        <f t="shared" si="4"/>
        <v>Landscaping/Irrigation</v>
      </c>
      <c r="Q268" s="304">
        <f>SUMIFS('PCO Log'!$E92:$SJ92,'PCO Log'!$E$9:$SJ$9,'Graph Data'!Q$187,'PCO Log'!$E$4:$SJ$4,"&lt;&gt;Bid Package",'PCO Log'!$E$7:$SJ$7,"Approved")</f>
        <v>0</v>
      </c>
      <c r="R268" s="304">
        <f>SUMIFS('PCO Log'!$E92:$SJ92,'PCO Log'!$E$9:$SJ$9,'Graph Data'!R$187,'PCO Log'!$E$4:$SJ$4,"&lt;&gt;Bid Package",'PCO Log'!$E$7:$SJ$7,"Approved")</f>
        <v>0</v>
      </c>
      <c r="S268" s="304">
        <f>SUMIFS('PCO Log'!$E92:$SJ92,'PCO Log'!$E$9:$SJ$9,'Graph Data'!S$187,'PCO Log'!$E$4:$SJ$4,"&lt;&gt;Bid Package",'PCO Log'!$E$7:$SJ$7,"Approved")</f>
        <v>0</v>
      </c>
      <c r="T268" s="304">
        <f>SUMIFS('PCO Log'!$E92:$SJ92,'PCO Log'!$E$9:$SJ$9,'Graph Data'!T$187,'PCO Log'!$E$4:$SJ$4,"&lt;&gt;Bid Package",'PCO Log'!$E$7:$SJ$7,"Approved")</f>
        <v>0</v>
      </c>
      <c r="U268" s="304">
        <f>SUMIFS('PCO Log'!$E92:$SJ92,'PCO Log'!$E$9:$SJ$9,'Graph Data'!U$187,'PCO Log'!$E$4:$SJ$4,"&lt;&gt;Bid Package",'PCO Log'!$E$7:$SJ$7,"Approved")</f>
        <v>0</v>
      </c>
      <c r="V268" s="304">
        <f>SUMIFS('PCO Log'!$E92:$SJ92,'PCO Log'!$E$9:$SJ$9,'Graph Data'!V$187,'PCO Log'!$E$4:$SJ$4,"&lt;&gt;Bid Package",'PCO Log'!$E$7:$SJ$7,"Approved")</f>
        <v>0</v>
      </c>
      <c r="W268" s="304">
        <f>SUMIFS('PCO Log'!$E92:$SJ92,'PCO Log'!$E$9:$SJ$9,'Graph Data'!W$187,'PCO Log'!$E$4:$SJ$4,"&lt;&gt;Bid Package",'PCO Log'!$E$7:$SJ$7,"Approved")</f>
        <v>0</v>
      </c>
      <c r="X268" s="304">
        <f>SUMIFS('PCO Log'!$E92:$SJ92,'PCO Log'!$E$9:$SJ$9,'Graph Data'!X$187,'PCO Log'!$E$4:$SJ$4,"&lt;&gt;Bid Package",'PCO Log'!$E$7:$SJ$7,"Approved")</f>
        <v>0</v>
      </c>
      <c r="Y268" s="304">
        <f>SUMIFS('PCO Log'!$E92:$SJ92,'PCO Log'!$E$9:$SJ$9,'Graph Data'!Y$187,'PCO Log'!$E$4:$SJ$4,"&lt;&gt;Bid Package",'PCO Log'!$E$7:$SJ$7,"Approved")</f>
        <v>0</v>
      </c>
      <c r="Z268" s="304">
        <f>SUMIFS('PCO Log'!$E92:$SJ92,'PCO Log'!$E$9:$SJ$9,'Graph Data'!Z$187,'PCO Log'!$E$4:$SJ$4,"&lt;&gt;Bid Package",'PCO Log'!$E$7:$SJ$7,"Approved")</f>
        <v>0</v>
      </c>
      <c r="AA268" s="304">
        <f>SUMIFS('PCO Log'!$E92:$SJ92,'PCO Log'!$E$9:$SJ$9,'Graph Data'!AA$187,'PCO Log'!$E$4:$SJ$4,"&lt;&gt;Bid Package",'PCO Log'!$E$7:$SJ$7,"Approved")</f>
        <v>0</v>
      </c>
      <c r="AB268" s="304">
        <f>SUMIFS('PCO Log'!$E92:$SJ92,'PCO Log'!$E$9:$SJ$9,'Graph Data'!AB$187,'PCO Log'!$E$4:$SJ$4,"&lt;&gt;Bid Package",'PCO Log'!$E$7:$SJ$7,"Approved")</f>
        <v>0</v>
      </c>
      <c r="AC268" s="304">
        <f>SUMIFS('PCO Log'!$E92:$SJ92,'PCO Log'!$E$9:$SJ$9,'Graph Data'!AC$187,'PCO Log'!$E$4:$SJ$4,"&lt;&gt;Bid Package",'PCO Log'!$E$7:$SJ$7,"Approved")</f>
        <v>0</v>
      </c>
      <c r="AD268" s="304">
        <f>SUMIFS('PCO Log'!$E92:$SJ92,'PCO Log'!$E$9:$SJ$9,'Graph Data'!AD$187,'PCO Log'!$E$4:$SJ$4,"&lt;&gt;Bid Package",'PCO Log'!$E$7:$SJ$7,"Approved")</f>
        <v>0</v>
      </c>
      <c r="AE268" s="304">
        <f>SUMIFS('PCO Log'!$E92:$SJ92,'PCO Log'!$E$9:$SJ$9,'Graph Data'!AE$187,'PCO Log'!$E$4:$SJ$4,"&lt;&gt;Bid Package",'PCO Log'!$E$7:$SJ$7,"Approved")</f>
        <v>0</v>
      </c>
      <c r="AF268" s="304">
        <f>SUMIFS('PCO Log'!$E92:$SJ92,'PCO Log'!$E$9:$SJ$9,'Graph Data'!AF$187,'PCO Log'!$E$4:$SJ$4,"&lt;&gt;Bid Package",'PCO Log'!$E$7:$SJ$7,"Approved")</f>
        <v>0</v>
      </c>
      <c r="AG268" s="304">
        <f>SUMIFS('PCO Log'!$E92:$SJ92,'PCO Log'!$E$9:$SJ$9,'Graph Data'!AG$187,'PCO Log'!$E$4:$SJ$4,"&lt;&gt;Bid Package",'PCO Log'!$E$7:$SJ$7,"Approved")</f>
        <v>0</v>
      </c>
      <c r="AH268" s="304">
        <f>SUMIFS('PCO Log'!$E92:$SJ92,'PCO Log'!$E$9:$SJ$9,'Graph Data'!AH$187,'PCO Log'!$E$4:$SJ$4,"&lt;&gt;Bid Package",'PCO Log'!$E$7:$SJ$7,"Approved")</f>
        <v>0</v>
      </c>
      <c r="AI268" s="304">
        <f>SUMIFS('PCO Log'!$E92:$SJ92,'PCO Log'!$E$9:$SJ$9,'Graph Data'!AI$187,'PCO Log'!$E$4:$SJ$4,"&lt;&gt;Bid Package",'PCO Log'!$E$7:$SJ$7,"Approved")</f>
        <v>0</v>
      </c>
      <c r="AJ268" s="304">
        <f>SUMIFS('PCO Log'!$E92:$SJ92,'PCO Log'!$E$9:$SJ$9,'Graph Data'!AJ$187,'PCO Log'!$E$4:$SJ$4,"&lt;&gt;Bid Package",'PCO Log'!$E$7:$SJ$7,"Approved")</f>
        <v>0</v>
      </c>
      <c r="AK268" s="304">
        <f>SUMIFS('PCO Log'!$E92:$SJ92,'PCO Log'!$E$9:$SJ$9,'Graph Data'!AK$187,'PCO Log'!$E$4:$SJ$4,"&lt;&gt;Bid Package",'PCO Log'!$E$7:$SJ$7,"Approved")</f>
        <v>0</v>
      </c>
      <c r="AL268" s="304">
        <f>SUMIFS('PCO Log'!$E92:$SJ92,'PCO Log'!$E$9:$SJ$9,'Graph Data'!AL$187,'PCO Log'!$E$4:$SJ$4,"&lt;&gt;Bid Package",'PCO Log'!$E$7:$SJ$7,"Approved")</f>
        <v>0</v>
      </c>
      <c r="AM268" s="304">
        <f>SUMIFS('PCO Log'!$E92:$SJ92,'PCO Log'!$E$9:$SJ$9,'Graph Data'!AM$187,'PCO Log'!$E$4:$SJ$4,"&lt;&gt;Bid Package",'PCO Log'!$E$7:$SJ$7,"Approved")</f>
        <v>0</v>
      </c>
      <c r="AN268" s="304">
        <f>SUMIFS('PCO Log'!$E92:$SJ92,'PCO Log'!$E$9:$SJ$9,'Graph Data'!AN$187,'PCO Log'!$E$4:$SJ$4,"&lt;&gt;Bid Package",'PCO Log'!$E$7:$SJ$7,"Approved")</f>
        <v>0</v>
      </c>
      <c r="AO268" s="304">
        <f>SUMIFS('PCO Log'!$E92:$SJ92,'PCO Log'!$E$9:$SJ$9,'Graph Data'!AO$187,'PCO Log'!$E$4:$SJ$4,"&lt;&gt;Bid Package",'PCO Log'!$E$7:$SJ$7,"Approved")</f>
        <v>0</v>
      </c>
      <c r="AP268" s="304">
        <f>SUMIFS('PCO Log'!$E92:$SJ92,'PCO Log'!$E$9:$SJ$9,'Graph Data'!AP$187,'PCO Log'!$E$4:$SJ$4,"&lt;&gt;Bid Package",'PCO Log'!$E$7:$SJ$7,"Approved")</f>
        <v>0</v>
      </c>
      <c r="AQ268" s="304">
        <f>SUMIFS('PCO Log'!$E92:$SJ92,'PCO Log'!$E$9:$SJ$9,'Graph Data'!AQ$187,'PCO Log'!$E$4:$SJ$4,"&lt;&gt;Bid Package",'PCO Log'!$E$7:$SJ$7,"Approved")</f>
        <v>0</v>
      </c>
      <c r="AR268" s="304">
        <f>SUMIFS('PCO Log'!$E92:$SJ92,'PCO Log'!$E$9:$SJ$9,'Graph Data'!AR$187,'PCO Log'!$E$4:$SJ$4,"&lt;&gt;Bid Package",'PCO Log'!$E$7:$SJ$7,"Approved")</f>
        <v>0</v>
      </c>
      <c r="AS268" s="304">
        <f>SUMIFS('PCO Log'!$E92:$SJ92,'PCO Log'!$E$9:$SJ$9,'Graph Data'!AS$187,'PCO Log'!$E$4:$SJ$4,"&lt;&gt;Bid Package",'PCO Log'!$E$7:$SJ$7,"Approved")</f>
        <v>0</v>
      </c>
      <c r="AT268" s="304">
        <f>SUMIFS('PCO Log'!$E92:$SJ92,'PCO Log'!$E$9:$SJ$9,'Graph Data'!AT$187,'PCO Log'!$E$4:$SJ$4,"&lt;&gt;Bid Package",'PCO Log'!$E$7:$SJ$7,"Approved")</f>
        <v>0</v>
      </c>
      <c r="AU268" s="304">
        <f>SUMIFS('PCO Log'!$E92:$SJ92,'PCO Log'!$E$9:$SJ$9,'Graph Data'!AU$187,'PCO Log'!$E$4:$SJ$4,"&lt;&gt;Bid Package",'PCO Log'!$E$7:$SJ$7,"Approved")</f>
        <v>0</v>
      </c>
      <c r="AV268" s="304">
        <f>SUMIFS('PCO Log'!$E92:$SJ92,'PCO Log'!$E$9:$SJ$9,'Graph Data'!AV$187,'PCO Log'!$E$4:$SJ$4,"&lt;&gt;Bid Package",'PCO Log'!$E$7:$SJ$7,"Approved")</f>
        <v>0</v>
      </c>
      <c r="AW268" s="304">
        <f>SUMIFS('PCO Log'!$E92:$SJ92,'PCO Log'!$E$9:$SJ$9,'Graph Data'!AW$187,'PCO Log'!$E$4:$SJ$4,"&lt;&gt;Bid Package",'PCO Log'!$E$7:$SJ$7,"Approved")</f>
        <v>0</v>
      </c>
      <c r="AX268" s="304">
        <f>SUMIFS('PCO Log'!$E92:$SJ92,'PCO Log'!$E$9:$SJ$9,'Graph Data'!AX$187,'PCO Log'!$E$4:$SJ$4,"&lt;&gt;Bid Package",'PCO Log'!$E$7:$SJ$7,"Approved")</f>
        <v>0</v>
      </c>
      <c r="AY268" s="304">
        <f>SUMIFS('PCO Log'!$E92:$SJ92,'PCO Log'!$E$9:$SJ$9,'Graph Data'!AY$187,'PCO Log'!$E$4:$SJ$4,"&lt;&gt;Bid Package",'PCO Log'!$E$7:$SJ$7,"Approved")</f>
        <v>0</v>
      </c>
      <c r="AZ268" s="304">
        <f>SUMIFS('PCO Log'!$E92:$SJ92,'PCO Log'!$E$9:$SJ$9,'Graph Data'!AZ$187,'PCO Log'!$E$4:$SJ$4,"&lt;&gt;Bid Package",'PCO Log'!$E$7:$SJ$7,"Approved")</f>
        <v>0</v>
      </c>
      <c r="BA268" s="304">
        <f>SUMIFS('PCO Log'!$E92:$SJ92,'PCO Log'!$E$9:$SJ$9,'Graph Data'!BA$187,'PCO Log'!$E$4:$SJ$4,"&lt;&gt;Bid Package",'PCO Log'!$E$7:$SJ$7,"Approved")</f>
        <v>0</v>
      </c>
      <c r="BB268" s="304">
        <f>SUMIFS('PCO Log'!$E92:$SJ92,'PCO Log'!$E$9:$SJ$9,'Graph Data'!BB$187,'PCO Log'!$E$4:$SJ$4,"&lt;&gt;Bid Package",'PCO Log'!$E$7:$SJ$7,"Approved")</f>
        <v>0</v>
      </c>
      <c r="BC268" s="304">
        <f>SUMIFS('PCO Log'!$E92:$SJ92,'PCO Log'!$E$9:$SJ$9,'Graph Data'!BC$187,'PCO Log'!$E$4:$SJ$4,"&lt;&gt;Bid Package",'PCO Log'!$E$7:$SJ$7,"Approved")</f>
        <v>0</v>
      </c>
      <c r="BD268" s="304">
        <f>SUMIFS('PCO Log'!$E92:$SJ92,'PCO Log'!$E$9:$SJ$9,'Graph Data'!BD$187,'PCO Log'!$E$4:$SJ$4,"&lt;&gt;Bid Package",'PCO Log'!$E$7:$SJ$7,"Approved")</f>
        <v>0</v>
      </c>
      <c r="BE268" s="304">
        <f>SUMIFS('PCO Log'!$E92:$SJ92,'PCO Log'!$E$9:$SJ$9,'Graph Data'!BE$187,'PCO Log'!$E$4:$SJ$4,"&lt;&gt;Bid Package",'PCO Log'!$E$7:$SJ$7,"Approved")</f>
        <v>0</v>
      </c>
      <c r="BF268" s="304">
        <f>SUMIFS('PCO Log'!$E92:$SJ92,'PCO Log'!$E$9:$SJ$9,'Graph Data'!BF$187,'PCO Log'!$E$4:$SJ$4,"&lt;&gt;Bid Package",'PCO Log'!$E$7:$SJ$7,"Approved")</f>
        <v>0</v>
      </c>
      <c r="BG268" s="304">
        <f>SUMIFS('PCO Log'!$E92:$SJ92,'PCO Log'!$E$9:$SJ$9,'Graph Data'!BG$187,'PCO Log'!$E$4:$SJ$4,"&lt;&gt;Bid Package",'PCO Log'!$E$7:$SJ$7,"Approved")</f>
        <v>0</v>
      </c>
      <c r="BH268" s="304">
        <f>SUMIFS('PCO Log'!$E92:$SJ92,'PCO Log'!$E$9:$SJ$9,'Graph Data'!BH$187,'PCO Log'!$E$4:$SJ$4,"&lt;&gt;Bid Package",'PCO Log'!$E$7:$SJ$7,"Approved")</f>
        <v>0</v>
      </c>
      <c r="BI268" s="304">
        <f>SUMIFS('PCO Log'!$E92:$SJ92,'PCO Log'!$E$9:$SJ$9,'Graph Data'!BI$187,'PCO Log'!$E$4:$SJ$4,"&lt;&gt;Bid Package",'PCO Log'!$E$7:$SJ$7,"Approved")</f>
        <v>0</v>
      </c>
      <c r="BJ268" s="304">
        <f>SUMIFS('PCO Log'!$E92:$SJ92,'PCO Log'!$E$9:$SJ$9,'Graph Data'!BJ$187,'PCO Log'!$E$4:$SJ$4,"&lt;&gt;Bid Package",'PCO Log'!$E$7:$SJ$7,"Approved")</f>
        <v>0</v>
      </c>
      <c r="BK268" s="304">
        <f>SUMIFS('PCO Log'!$E92:$SJ92,'PCO Log'!$E$9:$SJ$9,'Graph Data'!BK$187,'PCO Log'!$E$4:$SJ$4,"&lt;&gt;Bid Package",'PCO Log'!$E$7:$SJ$7,"Approved")</f>
        <v>0</v>
      </c>
      <c r="BL268" s="304">
        <f>SUMIFS('PCO Log'!$E92:$SJ92,'PCO Log'!$E$9:$SJ$9,'Graph Data'!BL$187,'PCO Log'!$E$4:$SJ$4,"&lt;&gt;Bid Package",'PCO Log'!$E$7:$SJ$7,"Approved")</f>
        <v>0</v>
      </c>
      <c r="BM268" s="304">
        <f>SUMIFS('PCO Log'!$E92:$SJ92,'PCO Log'!$E$9:$SJ$9,'Graph Data'!BM$187,'PCO Log'!$E$4:$SJ$4,"&lt;&gt;Bid Package",'PCO Log'!$E$7:$SJ$7,"Approved")</f>
        <v>0</v>
      </c>
      <c r="BN268" s="304">
        <f>SUMIFS('PCO Log'!$E92:$SJ92,'PCO Log'!$E$9:$SJ$9,'Graph Data'!BN$187,'PCO Log'!$E$4:$SJ$4,"&lt;&gt;Bid Package",'PCO Log'!$E$7:$SJ$7,"Approved")</f>
        <v>0</v>
      </c>
      <c r="BO268" s="304">
        <f>SUMIFS('PCO Log'!$E92:$SJ92,'PCO Log'!$E$9:$SJ$9,'Graph Data'!BO$187,'PCO Log'!$E$4:$SJ$4,"&lt;&gt;Bid Package",'PCO Log'!$E$7:$SJ$7,"Approved")</f>
        <v>0</v>
      </c>
      <c r="BP268" s="304">
        <f>SUMIFS('PCO Log'!$E92:$SJ92,'PCO Log'!$E$9:$SJ$9,'Graph Data'!BP$187,'PCO Log'!$E$4:$SJ$4,"&lt;&gt;Bid Package",'PCO Log'!$E$7:$SJ$7,"Approved")</f>
        <v>0</v>
      </c>
      <c r="BQ268" s="304">
        <f>SUMIFS('PCO Log'!$E92:$SJ92,'PCO Log'!$E$9:$SJ$9,'Graph Data'!BQ$187,'PCO Log'!$E$4:$SJ$4,"&lt;&gt;Bid Package",'PCO Log'!$E$7:$SJ$7,"Approved")</f>
        <v>0</v>
      </c>
      <c r="BR268" s="304">
        <f>SUMIFS('PCO Log'!$E92:$SJ92,'PCO Log'!$E$9:$SJ$9,'Graph Data'!BR$187,'PCO Log'!$E$4:$SJ$4,"&lt;&gt;Bid Package",'PCO Log'!$E$7:$SJ$7,"Approved")</f>
        <v>0</v>
      </c>
      <c r="BS268" s="304">
        <f>SUMIFS('PCO Log'!$E92:$SJ92,'PCO Log'!$E$9:$SJ$9,'Graph Data'!BS$187,'PCO Log'!$E$4:$SJ$4,"&lt;&gt;Bid Package",'PCO Log'!$E$7:$SJ$7,"Approved")</f>
        <v>0</v>
      </c>
      <c r="BT268" s="304">
        <f>SUMIFS('PCO Log'!$E92:$SJ92,'PCO Log'!$E$9:$SJ$9,'Graph Data'!BT$187,'PCO Log'!$E$4:$SJ$4,"&lt;&gt;Bid Package",'PCO Log'!$E$7:$SJ$7,"Approved")</f>
        <v>0</v>
      </c>
      <c r="BU268" s="304">
        <f>SUMIFS('PCO Log'!$E92:$SJ92,'PCO Log'!$E$9:$SJ$9,'Graph Data'!BU$187,'PCO Log'!$E$4:$SJ$4,"&lt;&gt;Bid Package",'PCO Log'!$E$7:$SJ$7,"Approved")</f>
        <v>0</v>
      </c>
      <c r="BV268" s="304">
        <f>SUMIFS('PCO Log'!$E92:$SJ92,'PCO Log'!$E$9:$SJ$9,'Graph Data'!BV$187,'PCO Log'!$E$4:$SJ$4,"&lt;&gt;Bid Package",'PCO Log'!$E$7:$SJ$7,"Approved")</f>
        <v>0</v>
      </c>
      <c r="BW268" s="304">
        <f>SUMIFS('PCO Log'!$E92:$SJ92,'PCO Log'!$E$9:$SJ$9,'Graph Data'!BW$187,'PCO Log'!$E$4:$SJ$4,"&lt;&gt;Bid Package",'PCO Log'!$E$7:$SJ$7,"Approved")</f>
        <v>0</v>
      </c>
      <c r="BX268" s="304">
        <f>SUMIFS('PCO Log'!$E92:$SJ92,'PCO Log'!$E$9:$SJ$9,'Graph Data'!BX$187,'PCO Log'!$E$4:$SJ$4,"&lt;&gt;Bid Package",'PCO Log'!$E$7:$SJ$7,"Approved")</f>
        <v>0</v>
      </c>
    </row>
    <row r="269" spans="1:76" x14ac:dyDescent="0.25">
      <c r="A269" s="303" t="s">
        <v>619</v>
      </c>
      <c r="B269" s="303">
        <f>'PCO Log'!JL7</f>
        <v>0</v>
      </c>
      <c r="C269" s="303">
        <f>'PCO Log'!JL4</f>
        <v>0</v>
      </c>
      <c r="D269" s="303" cm="1">
        <f t="array" ref="D269">INDEX('PCO Log'!$E$5:$SJ$5, 1, ROWS('Graph Data'!$D$2:D269))</f>
        <v>0</v>
      </c>
      <c r="E269" s="303">
        <f>'PCO Log'!JL8</f>
        <v>0</v>
      </c>
      <c r="F269" s="303">
        <f>'PCO Log'!JL3</f>
        <v>0</v>
      </c>
      <c r="G269" s="304">
        <f>'PCO Log'!JL10</f>
        <v>0</v>
      </c>
      <c r="H269" s="305">
        <f>'PCO Log'!JL6</f>
        <v>0</v>
      </c>
      <c r="K269" s="307"/>
      <c r="P269" s="303" t="str">
        <f t="shared" si="4"/>
        <v>Site Utilities</v>
      </c>
      <c r="Q269" s="304">
        <f>SUMIFS('PCO Log'!$E93:$SJ93,'PCO Log'!$E$9:$SJ$9,'Graph Data'!Q$187,'PCO Log'!$E$4:$SJ$4,"&lt;&gt;Bid Package",'PCO Log'!$E$7:$SJ$7,"Approved")</f>
        <v>0</v>
      </c>
      <c r="R269" s="304">
        <f>SUMIFS('PCO Log'!$E93:$SJ93,'PCO Log'!$E$9:$SJ$9,'Graph Data'!R$187,'PCO Log'!$E$4:$SJ$4,"&lt;&gt;Bid Package",'PCO Log'!$E$7:$SJ$7,"Approved")</f>
        <v>0</v>
      </c>
      <c r="S269" s="304">
        <f>SUMIFS('PCO Log'!$E93:$SJ93,'PCO Log'!$E$9:$SJ$9,'Graph Data'!S$187,'PCO Log'!$E$4:$SJ$4,"&lt;&gt;Bid Package",'PCO Log'!$E$7:$SJ$7,"Approved")</f>
        <v>0</v>
      </c>
      <c r="T269" s="304">
        <f>SUMIFS('PCO Log'!$E93:$SJ93,'PCO Log'!$E$9:$SJ$9,'Graph Data'!T$187,'PCO Log'!$E$4:$SJ$4,"&lt;&gt;Bid Package",'PCO Log'!$E$7:$SJ$7,"Approved")</f>
        <v>0</v>
      </c>
      <c r="U269" s="304">
        <f>SUMIFS('PCO Log'!$E93:$SJ93,'PCO Log'!$E$9:$SJ$9,'Graph Data'!U$187,'PCO Log'!$E$4:$SJ$4,"&lt;&gt;Bid Package",'PCO Log'!$E$7:$SJ$7,"Approved")</f>
        <v>0</v>
      </c>
      <c r="V269" s="304">
        <f>SUMIFS('PCO Log'!$E93:$SJ93,'PCO Log'!$E$9:$SJ$9,'Graph Data'!V$187,'PCO Log'!$E$4:$SJ$4,"&lt;&gt;Bid Package",'PCO Log'!$E$7:$SJ$7,"Approved")</f>
        <v>0</v>
      </c>
      <c r="W269" s="304">
        <f>SUMIFS('PCO Log'!$E93:$SJ93,'PCO Log'!$E$9:$SJ$9,'Graph Data'!W$187,'PCO Log'!$E$4:$SJ$4,"&lt;&gt;Bid Package",'PCO Log'!$E$7:$SJ$7,"Approved")</f>
        <v>0</v>
      </c>
      <c r="X269" s="304">
        <f>SUMIFS('PCO Log'!$E93:$SJ93,'PCO Log'!$E$9:$SJ$9,'Graph Data'!X$187,'PCO Log'!$E$4:$SJ$4,"&lt;&gt;Bid Package",'PCO Log'!$E$7:$SJ$7,"Approved")</f>
        <v>0</v>
      </c>
      <c r="Y269" s="304">
        <f>SUMIFS('PCO Log'!$E93:$SJ93,'PCO Log'!$E$9:$SJ$9,'Graph Data'!Y$187,'PCO Log'!$E$4:$SJ$4,"&lt;&gt;Bid Package",'PCO Log'!$E$7:$SJ$7,"Approved")</f>
        <v>0</v>
      </c>
      <c r="Z269" s="304">
        <f>SUMIFS('PCO Log'!$E93:$SJ93,'PCO Log'!$E$9:$SJ$9,'Graph Data'!Z$187,'PCO Log'!$E$4:$SJ$4,"&lt;&gt;Bid Package",'PCO Log'!$E$7:$SJ$7,"Approved")</f>
        <v>0</v>
      </c>
      <c r="AA269" s="304">
        <f>SUMIFS('PCO Log'!$E93:$SJ93,'PCO Log'!$E$9:$SJ$9,'Graph Data'!AA$187,'PCO Log'!$E$4:$SJ$4,"&lt;&gt;Bid Package",'PCO Log'!$E$7:$SJ$7,"Approved")</f>
        <v>0</v>
      </c>
      <c r="AB269" s="304">
        <f>SUMIFS('PCO Log'!$E93:$SJ93,'PCO Log'!$E$9:$SJ$9,'Graph Data'!AB$187,'PCO Log'!$E$4:$SJ$4,"&lt;&gt;Bid Package",'PCO Log'!$E$7:$SJ$7,"Approved")</f>
        <v>0</v>
      </c>
      <c r="AC269" s="304">
        <f>SUMIFS('PCO Log'!$E93:$SJ93,'PCO Log'!$E$9:$SJ$9,'Graph Data'!AC$187,'PCO Log'!$E$4:$SJ$4,"&lt;&gt;Bid Package",'PCO Log'!$E$7:$SJ$7,"Approved")</f>
        <v>0</v>
      </c>
      <c r="AD269" s="304">
        <f>SUMIFS('PCO Log'!$E93:$SJ93,'PCO Log'!$E$9:$SJ$9,'Graph Data'!AD$187,'PCO Log'!$E$4:$SJ$4,"&lt;&gt;Bid Package",'PCO Log'!$E$7:$SJ$7,"Approved")</f>
        <v>0</v>
      </c>
      <c r="AE269" s="304">
        <f>SUMIFS('PCO Log'!$E93:$SJ93,'PCO Log'!$E$9:$SJ$9,'Graph Data'!AE$187,'PCO Log'!$E$4:$SJ$4,"&lt;&gt;Bid Package",'PCO Log'!$E$7:$SJ$7,"Approved")</f>
        <v>0</v>
      </c>
      <c r="AF269" s="304">
        <f>SUMIFS('PCO Log'!$E93:$SJ93,'PCO Log'!$E$9:$SJ$9,'Graph Data'!AF$187,'PCO Log'!$E$4:$SJ$4,"&lt;&gt;Bid Package",'PCO Log'!$E$7:$SJ$7,"Approved")</f>
        <v>0</v>
      </c>
      <c r="AG269" s="304">
        <f>SUMIFS('PCO Log'!$E93:$SJ93,'PCO Log'!$E$9:$SJ$9,'Graph Data'!AG$187,'PCO Log'!$E$4:$SJ$4,"&lt;&gt;Bid Package",'PCO Log'!$E$7:$SJ$7,"Approved")</f>
        <v>0</v>
      </c>
      <c r="AH269" s="304">
        <f>SUMIFS('PCO Log'!$E93:$SJ93,'PCO Log'!$E$9:$SJ$9,'Graph Data'!AH$187,'PCO Log'!$E$4:$SJ$4,"&lt;&gt;Bid Package",'PCO Log'!$E$7:$SJ$7,"Approved")</f>
        <v>0</v>
      </c>
      <c r="AI269" s="304">
        <f>SUMIFS('PCO Log'!$E93:$SJ93,'PCO Log'!$E$9:$SJ$9,'Graph Data'!AI$187,'PCO Log'!$E$4:$SJ$4,"&lt;&gt;Bid Package",'PCO Log'!$E$7:$SJ$7,"Approved")</f>
        <v>0</v>
      </c>
      <c r="AJ269" s="304">
        <f>SUMIFS('PCO Log'!$E93:$SJ93,'PCO Log'!$E$9:$SJ$9,'Graph Data'!AJ$187,'PCO Log'!$E$4:$SJ$4,"&lt;&gt;Bid Package",'PCO Log'!$E$7:$SJ$7,"Approved")</f>
        <v>0</v>
      </c>
      <c r="AK269" s="304">
        <f>SUMIFS('PCO Log'!$E93:$SJ93,'PCO Log'!$E$9:$SJ$9,'Graph Data'!AK$187,'PCO Log'!$E$4:$SJ$4,"&lt;&gt;Bid Package",'PCO Log'!$E$7:$SJ$7,"Approved")</f>
        <v>0</v>
      </c>
      <c r="AL269" s="304">
        <f>SUMIFS('PCO Log'!$E93:$SJ93,'PCO Log'!$E$9:$SJ$9,'Graph Data'!AL$187,'PCO Log'!$E$4:$SJ$4,"&lt;&gt;Bid Package",'PCO Log'!$E$7:$SJ$7,"Approved")</f>
        <v>0</v>
      </c>
      <c r="AM269" s="304">
        <f>SUMIFS('PCO Log'!$E93:$SJ93,'PCO Log'!$E$9:$SJ$9,'Graph Data'!AM$187,'PCO Log'!$E$4:$SJ$4,"&lt;&gt;Bid Package",'PCO Log'!$E$7:$SJ$7,"Approved")</f>
        <v>0</v>
      </c>
      <c r="AN269" s="304">
        <f>SUMIFS('PCO Log'!$E93:$SJ93,'PCO Log'!$E$9:$SJ$9,'Graph Data'!AN$187,'PCO Log'!$E$4:$SJ$4,"&lt;&gt;Bid Package",'PCO Log'!$E$7:$SJ$7,"Approved")</f>
        <v>0</v>
      </c>
      <c r="AO269" s="304">
        <f>SUMIFS('PCO Log'!$E93:$SJ93,'PCO Log'!$E$9:$SJ$9,'Graph Data'!AO$187,'PCO Log'!$E$4:$SJ$4,"&lt;&gt;Bid Package",'PCO Log'!$E$7:$SJ$7,"Approved")</f>
        <v>0</v>
      </c>
      <c r="AP269" s="304">
        <f>SUMIFS('PCO Log'!$E93:$SJ93,'PCO Log'!$E$9:$SJ$9,'Graph Data'!AP$187,'PCO Log'!$E$4:$SJ$4,"&lt;&gt;Bid Package",'PCO Log'!$E$7:$SJ$7,"Approved")</f>
        <v>0</v>
      </c>
      <c r="AQ269" s="304">
        <f>SUMIFS('PCO Log'!$E93:$SJ93,'PCO Log'!$E$9:$SJ$9,'Graph Data'!AQ$187,'PCO Log'!$E$4:$SJ$4,"&lt;&gt;Bid Package",'PCO Log'!$E$7:$SJ$7,"Approved")</f>
        <v>0</v>
      </c>
      <c r="AR269" s="304">
        <f>SUMIFS('PCO Log'!$E93:$SJ93,'PCO Log'!$E$9:$SJ$9,'Graph Data'!AR$187,'PCO Log'!$E$4:$SJ$4,"&lt;&gt;Bid Package",'PCO Log'!$E$7:$SJ$7,"Approved")</f>
        <v>0</v>
      </c>
      <c r="AS269" s="304">
        <f>SUMIFS('PCO Log'!$E93:$SJ93,'PCO Log'!$E$9:$SJ$9,'Graph Data'!AS$187,'PCO Log'!$E$4:$SJ$4,"&lt;&gt;Bid Package",'PCO Log'!$E$7:$SJ$7,"Approved")</f>
        <v>0</v>
      </c>
      <c r="AT269" s="304">
        <f>SUMIFS('PCO Log'!$E93:$SJ93,'PCO Log'!$E$9:$SJ$9,'Graph Data'!AT$187,'PCO Log'!$E$4:$SJ$4,"&lt;&gt;Bid Package",'PCO Log'!$E$7:$SJ$7,"Approved")</f>
        <v>0</v>
      </c>
      <c r="AU269" s="304">
        <f>SUMIFS('PCO Log'!$E93:$SJ93,'PCO Log'!$E$9:$SJ$9,'Graph Data'!AU$187,'PCO Log'!$E$4:$SJ$4,"&lt;&gt;Bid Package",'PCO Log'!$E$7:$SJ$7,"Approved")</f>
        <v>0</v>
      </c>
      <c r="AV269" s="304">
        <f>SUMIFS('PCO Log'!$E93:$SJ93,'PCO Log'!$E$9:$SJ$9,'Graph Data'!AV$187,'PCO Log'!$E$4:$SJ$4,"&lt;&gt;Bid Package",'PCO Log'!$E$7:$SJ$7,"Approved")</f>
        <v>0</v>
      </c>
      <c r="AW269" s="304">
        <f>SUMIFS('PCO Log'!$E93:$SJ93,'PCO Log'!$E$9:$SJ$9,'Graph Data'!AW$187,'PCO Log'!$E$4:$SJ$4,"&lt;&gt;Bid Package",'PCO Log'!$E$7:$SJ$7,"Approved")</f>
        <v>0</v>
      </c>
      <c r="AX269" s="304">
        <f>SUMIFS('PCO Log'!$E93:$SJ93,'PCO Log'!$E$9:$SJ$9,'Graph Data'!AX$187,'PCO Log'!$E$4:$SJ$4,"&lt;&gt;Bid Package",'PCO Log'!$E$7:$SJ$7,"Approved")</f>
        <v>0</v>
      </c>
      <c r="AY269" s="304">
        <f>SUMIFS('PCO Log'!$E93:$SJ93,'PCO Log'!$E$9:$SJ$9,'Graph Data'!AY$187,'PCO Log'!$E$4:$SJ$4,"&lt;&gt;Bid Package",'PCO Log'!$E$7:$SJ$7,"Approved")</f>
        <v>0</v>
      </c>
      <c r="AZ269" s="304">
        <f>SUMIFS('PCO Log'!$E93:$SJ93,'PCO Log'!$E$9:$SJ$9,'Graph Data'!AZ$187,'PCO Log'!$E$4:$SJ$4,"&lt;&gt;Bid Package",'PCO Log'!$E$7:$SJ$7,"Approved")</f>
        <v>0</v>
      </c>
      <c r="BA269" s="304">
        <f>SUMIFS('PCO Log'!$E93:$SJ93,'PCO Log'!$E$9:$SJ$9,'Graph Data'!BA$187,'PCO Log'!$E$4:$SJ$4,"&lt;&gt;Bid Package",'PCO Log'!$E$7:$SJ$7,"Approved")</f>
        <v>0</v>
      </c>
      <c r="BB269" s="304">
        <f>SUMIFS('PCO Log'!$E93:$SJ93,'PCO Log'!$E$9:$SJ$9,'Graph Data'!BB$187,'PCO Log'!$E$4:$SJ$4,"&lt;&gt;Bid Package",'PCO Log'!$E$7:$SJ$7,"Approved")</f>
        <v>0</v>
      </c>
      <c r="BC269" s="304">
        <f>SUMIFS('PCO Log'!$E93:$SJ93,'PCO Log'!$E$9:$SJ$9,'Graph Data'!BC$187,'PCO Log'!$E$4:$SJ$4,"&lt;&gt;Bid Package",'PCO Log'!$E$7:$SJ$7,"Approved")</f>
        <v>0</v>
      </c>
      <c r="BD269" s="304">
        <f>SUMIFS('PCO Log'!$E93:$SJ93,'PCO Log'!$E$9:$SJ$9,'Graph Data'!BD$187,'PCO Log'!$E$4:$SJ$4,"&lt;&gt;Bid Package",'PCO Log'!$E$7:$SJ$7,"Approved")</f>
        <v>0</v>
      </c>
      <c r="BE269" s="304">
        <f>SUMIFS('PCO Log'!$E93:$SJ93,'PCO Log'!$E$9:$SJ$9,'Graph Data'!BE$187,'PCO Log'!$E$4:$SJ$4,"&lt;&gt;Bid Package",'PCO Log'!$E$7:$SJ$7,"Approved")</f>
        <v>0</v>
      </c>
      <c r="BF269" s="304">
        <f>SUMIFS('PCO Log'!$E93:$SJ93,'PCO Log'!$E$9:$SJ$9,'Graph Data'!BF$187,'PCO Log'!$E$4:$SJ$4,"&lt;&gt;Bid Package",'PCO Log'!$E$7:$SJ$7,"Approved")</f>
        <v>0</v>
      </c>
      <c r="BG269" s="304">
        <f>SUMIFS('PCO Log'!$E93:$SJ93,'PCO Log'!$E$9:$SJ$9,'Graph Data'!BG$187,'PCO Log'!$E$4:$SJ$4,"&lt;&gt;Bid Package",'PCO Log'!$E$7:$SJ$7,"Approved")</f>
        <v>0</v>
      </c>
      <c r="BH269" s="304">
        <f>SUMIFS('PCO Log'!$E93:$SJ93,'PCO Log'!$E$9:$SJ$9,'Graph Data'!BH$187,'PCO Log'!$E$4:$SJ$4,"&lt;&gt;Bid Package",'PCO Log'!$E$7:$SJ$7,"Approved")</f>
        <v>0</v>
      </c>
      <c r="BI269" s="304">
        <f>SUMIFS('PCO Log'!$E93:$SJ93,'PCO Log'!$E$9:$SJ$9,'Graph Data'!BI$187,'PCO Log'!$E$4:$SJ$4,"&lt;&gt;Bid Package",'PCO Log'!$E$7:$SJ$7,"Approved")</f>
        <v>0</v>
      </c>
      <c r="BJ269" s="304">
        <f>SUMIFS('PCO Log'!$E93:$SJ93,'PCO Log'!$E$9:$SJ$9,'Graph Data'!BJ$187,'PCO Log'!$E$4:$SJ$4,"&lt;&gt;Bid Package",'PCO Log'!$E$7:$SJ$7,"Approved")</f>
        <v>0</v>
      </c>
      <c r="BK269" s="304">
        <f>SUMIFS('PCO Log'!$E93:$SJ93,'PCO Log'!$E$9:$SJ$9,'Graph Data'!BK$187,'PCO Log'!$E$4:$SJ$4,"&lt;&gt;Bid Package",'PCO Log'!$E$7:$SJ$7,"Approved")</f>
        <v>0</v>
      </c>
      <c r="BL269" s="304">
        <f>SUMIFS('PCO Log'!$E93:$SJ93,'PCO Log'!$E$9:$SJ$9,'Graph Data'!BL$187,'PCO Log'!$E$4:$SJ$4,"&lt;&gt;Bid Package",'PCO Log'!$E$7:$SJ$7,"Approved")</f>
        <v>0</v>
      </c>
      <c r="BM269" s="304">
        <f>SUMIFS('PCO Log'!$E93:$SJ93,'PCO Log'!$E$9:$SJ$9,'Graph Data'!BM$187,'PCO Log'!$E$4:$SJ$4,"&lt;&gt;Bid Package",'PCO Log'!$E$7:$SJ$7,"Approved")</f>
        <v>0</v>
      </c>
      <c r="BN269" s="304">
        <f>SUMIFS('PCO Log'!$E93:$SJ93,'PCO Log'!$E$9:$SJ$9,'Graph Data'!BN$187,'PCO Log'!$E$4:$SJ$4,"&lt;&gt;Bid Package",'PCO Log'!$E$7:$SJ$7,"Approved")</f>
        <v>0</v>
      </c>
      <c r="BO269" s="304">
        <f>SUMIFS('PCO Log'!$E93:$SJ93,'PCO Log'!$E$9:$SJ$9,'Graph Data'!BO$187,'PCO Log'!$E$4:$SJ$4,"&lt;&gt;Bid Package",'PCO Log'!$E$7:$SJ$7,"Approved")</f>
        <v>0</v>
      </c>
      <c r="BP269" s="304">
        <f>SUMIFS('PCO Log'!$E93:$SJ93,'PCO Log'!$E$9:$SJ$9,'Graph Data'!BP$187,'PCO Log'!$E$4:$SJ$4,"&lt;&gt;Bid Package",'PCO Log'!$E$7:$SJ$7,"Approved")</f>
        <v>0</v>
      </c>
      <c r="BQ269" s="304">
        <f>SUMIFS('PCO Log'!$E93:$SJ93,'PCO Log'!$E$9:$SJ$9,'Graph Data'!BQ$187,'PCO Log'!$E$4:$SJ$4,"&lt;&gt;Bid Package",'PCO Log'!$E$7:$SJ$7,"Approved")</f>
        <v>0</v>
      </c>
      <c r="BR269" s="304">
        <f>SUMIFS('PCO Log'!$E93:$SJ93,'PCO Log'!$E$9:$SJ$9,'Graph Data'!BR$187,'PCO Log'!$E$4:$SJ$4,"&lt;&gt;Bid Package",'PCO Log'!$E$7:$SJ$7,"Approved")</f>
        <v>0</v>
      </c>
      <c r="BS269" s="304">
        <f>SUMIFS('PCO Log'!$E93:$SJ93,'PCO Log'!$E$9:$SJ$9,'Graph Data'!BS$187,'PCO Log'!$E$4:$SJ$4,"&lt;&gt;Bid Package",'PCO Log'!$E$7:$SJ$7,"Approved")</f>
        <v>0</v>
      </c>
      <c r="BT269" s="304">
        <f>SUMIFS('PCO Log'!$E93:$SJ93,'PCO Log'!$E$9:$SJ$9,'Graph Data'!BT$187,'PCO Log'!$E$4:$SJ$4,"&lt;&gt;Bid Package",'PCO Log'!$E$7:$SJ$7,"Approved")</f>
        <v>0</v>
      </c>
      <c r="BU269" s="304">
        <f>SUMIFS('PCO Log'!$E93:$SJ93,'PCO Log'!$E$9:$SJ$9,'Graph Data'!BU$187,'PCO Log'!$E$4:$SJ$4,"&lt;&gt;Bid Package",'PCO Log'!$E$7:$SJ$7,"Approved")</f>
        <v>0</v>
      </c>
      <c r="BV269" s="304">
        <f>SUMIFS('PCO Log'!$E93:$SJ93,'PCO Log'!$E$9:$SJ$9,'Graph Data'!BV$187,'PCO Log'!$E$4:$SJ$4,"&lt;&gt;Bid Package",'PCO Log'!$E$7:$SJ$7,"Approved")</f>
        <v>0</v>
      </c>
      <c r="BW269" s="304">
        <f>SUMIFS('PCO Log'!$E93:$SJ93,'PCO Log'!$E$9:$SJ$9,'Graph Data'!BW$187,'PCO Log'!$E$4:$SJ$4,"&lt;&gt;Bid Package",'PCO Log'!$E$7:$SJ$7,"Approved")</f>
        <v>0</v>
      </c>
      <c r="BX269" s="304">
        <f>SUMIFS('PCO Log'!$E93:$SJ93,'PCO Log'!$E$9:$SJ$9,'Graph Data'!BX$187,'PCO Log'!$E$4:$SJ$4,"&lt;&gt;Bid Package",'PCO Log'!$E$7:$SJ$7,"Approved")</f>
        <v>0</v>
      </c>
    </row>
    <row r="270" spans="1:76" x14ac:dyDescent="0.25">
      <c r="A270" s="303" t="s">
        <v>620</v>
      </c>
      <c r="B270" s="303">
        <f>'PCO Log'!JM7</f>
        <v>0</v>
      </c>
      <c r="C270" s="303">
        <f>'PCO Log'!JM4</f>
        <v>0</v>
      </c>
      <c r="D270" s="303" cm="1">
        <f t="array" ref="D270">INDEX('PCO Log'!$E$5:$SJ$5, 1, ROWS('Graph Data'!$D$2:D270))</f>
        <v>0</v>
      </c>
      <c r="E270" s="303">
        <f>'PCO Log'!JM8</f>
        <v>0</v>
      </c>
      <c r="F270" s="303">
        <f>'PCO Log'!JM3</f>
        <v>0</v>
      </c>
      <c r="G270" s="304">
        <f>'PCO Log'!JM10</f>
        <v>0</v>
      </c>
      <c r="H270" s="305">
        <f>'PCO Log'!JM6</f>
        <v>0</v>
      </c>
      <c r="K270" s="307"/>
      <c r="P270" s="303" t="str">
        <f t="shared" si="4"/>
        <v>Underground Storm Retention Sys</v>
      </c>
      <c r="Q270" s="304">
        <f>SUMIFS('PCO Log'!$E94:$SJ94,'PCO Log'!$E$9:$SJ$9,'Graph Data'!Q$187,'PCO Log'!$E$4:$SJ$4,"&lt;&gt;Bid Package",'PCO Log'!$E$7:$SJ$7,"Approved")</f>
        <v>0</v>
      </c>
      <c r="R270" s="304">
        <f>SUMIFS('PCO Log'!$E94:$SJ94,'PCO Log'!$E$9:$SJ$9,'Graph Data'!R$187,'PCO Log'!$E$4:$SJ$4,"&lt;&gt;Bid Package",'PCO Log'!$E$7:$SJ$7,"Approved")</f>
        <v>0</v>
      </c>
      <c r="S270" s="304">
        <f>SUMIFS('PCO Log'!$E94:$SJ94,'PCO Log'!$E$9:$SJ$9,'Graph Data'!S$187,'PCO Log'!$E$4:$SJ$4,"&lt;&gt;Bid Package",'PCO Log'!$E$7:$SJ$7,"Approved")</f>
        <v>0</v>
      </c>
      <c r="T270" s="304">
        <f>SUMIFS('PCO Log'!$E94:$SJ94,'PCO Log'!$E$9:$SJ$9,'Graph Data'!T$187,'PCO Log'!$E$4:$SJ$4,"&lt;&gt;Bid Package",'PCO Log'!$E$7:$SJ$7,"Approved")</f>
        <v>0</v>
      </c>
      <c r="U270" s="304">
        <f>SUMIFS('PCO Log'!$E94:$SJ94,'PCO Log'!$E$9:$SJ$9,'Graph Data'!U$187,'PCO Log'!$E$4:$SJ$4,"&lt;&gt;Bid Package",'PCO Log'!$E$7:$SJ$7,"Approved")</f>
        <v>0</v>
      </c>
      <c r="V270" s="304">
        <f>SUMIFS('PCO Log'!$E94:$SJ94,'PCO Log'!$E$9:$SJ$9,'Graph Data'!V$187,'PCO Log'!$E$4:$SJ$4,"&lt;&gt;Bid Package",'PCO Log'!$E$7:$SJ$7,"Approved")</f>
        <v>0</v>
      </c>
      <c r="W270" s="304">
        <f>SUMIFS('PCO Log'!$E94:$SJ94,'PCO Log'!$E$9:$SJ$9,'Graph Data'!W$187,'PCO Log'!$E$4:$SJ$4,"&lt;&gt;Bid Package",'PCO Log'!$E$7:$SJ$7,"Approved")</f>
        <v>0</v>
      </c>
      <c r="X270" s="304">
        <f>SUMIFS('PCO Log'!$E94:$SJ94,'PCO Log'!$E$9:$SJ$9,'Graph Data'!X$187,'PCO Log'!$E$4:$SJ$4,"&lt;&gt;Bid Package",'PCO Log'!$E$7:$SJ$7,"Approved")</f>
        <v>0</v>
      </c>
      <c r="Y270" s="304">
        <f>SUMIFS('PCO Log'!$E94:$SJ94,'PCO Log'!$E$9:$SJ$9,'Graph Data'!Y$187,'PCO Log'!$E$4:$SJ$4,"&lt;&gt;Bid Package",'PCO Log'!$E$7:$SJ$7,"Approved")</f>
        <v>0</v>
      </c>
      <c r="Z270" s="304">
        <f>SUMIFS('PCO Log'!$E94:$SJ94,'PCO Log'!$E$9:$SJ$9,'Graph Data'!Z$187,'PCO Log'!$E$4:$SJ$4,"&lt;&gt;Bid Package",'PCO Log'!$E$7:$SJ$7,"Approved")</f>
        <v>0</v>
      </c>
      <c r="AA270" s="304">
        <f>SUMIFS('PCO Log'!$E94:$SJ94,'PCO Log'!$E$9:$SJ$9,'Graph Data'!AA$187,'PCO Log'!$E$4:$SJ$4,"&lt;&gt;Bid Package",'PCO Log'!$E$7:$SJ$7,"Approved")</f>
        <v>0</v>
      </c>
      <c r="AB270" s="304">
        <f>SUMIFS('PCO Log'!$E94:$SJ94,'PCO Log'!$E$9:$SJ$9,'Graph Data'!AB$187,'PCO Log'!$E$4:$SJ$4,"&lt;&gt;Bid Package",'PCO Log'!$E$7:$SJ$7,"Approved")</f>
        <v>0</v>
      </c>
      <c r="AC270" s="304">
        <f>SUMIFS('PCO Log'!$E94:$SJ94,'PCO Log'!$E$9:$SJ$9,'Graph Data'!AC$187,'PCO Log'!$E$4:$SJ$4,"&lt;&gt;Bid Package",'PCO Log'!$E$7:$SJ$7,"Approved")</f>
        <v>0</v>
      </c>
      <c r="AD270" s="304">
        <f>SUMIFS('PCO Log'!$E94:$SJ94,'PCO Log'!$E$9:$SJ$9,'Graph Data'!AD$187,'PCO Log'!$E$4:$SJ$4,"&lt;&gt;Bid Package",'PCO Log'!$E$7:$SJ$7,"Approved")</f>
        <v>0</v>
      </c>
      <c r="AE270" s="304">
        <f>SUMIFS('PCO Log'!$E94:$SJ94,'PCO Log'!$E$9:$SJ$9,'Graph Data'!AE$187,'PCO Log'!$E$4:$SJ$4,"&lt;&gt;Bid Package",'PCO Log'!$E$7:$SJ$7,"Approved")</f>
        <v>0</v>
      </c>
      <c r="AF270" s="304">
        <f>SUMIFS('PCO Log'!$E94:$SJ94,'PCO Log'!$E$9:$SJ$9,'Graph Data'!AF$187,'PCO Log'!$E$4:$SJ$4,"&lt;&gt;Bid Package",'PCO Log'!$E$7:$SJ$7,"Approved")</f>
        <v>0</v>
      </c>
      <c r="AG270" s="304">
        <f>SUMIFS('PCO Log'!$E94:$SJ94,'PCO Log'!$E$9:$SJ$9,'Graph Data'!AG$187,'PCO Log'!$E$4:$SJ$4,"&lt;&gt;Bid Package",'PCO Log'!$E$7:$SJ$7,"Approved")</f>
        <v>0</v>
      </c>
      <c r="AH270" s="304">
        <f>SUMIFS('PCO Log'!$E94:$SJ94,'PCO Log'!$E$9:$SJ$9,'Graph Data'!AH$187,'PCO Log'!$E$4:$SJ$4,"&lt;&gt;Bid Package",'PCO Log'!$E$7:$SJ$7,"Approved")</f>
        <v>0</v>
      </c>
      <c r="AI270" s="304">
        <f>SUMIFS('PCO Log'!$E94:$SJ94,'PCO Log'!$E$9:$SJ$9,'Graph Data'!AI$187,'PCO Log'!$E$4:$SJ$4,"&lt;&gt;Bid Package",'PCO Log'!$E$7:$SJ$7,"Approved")</f>
        <v>0</v>
      </c>
      <c r="AJ270" s="304">
        <f>SUMIFS('PCO Log'!$E94:$SJ94,'PCO Log'!$E$9:$SJ$9,'Graph Data'!AJ$187,'PCO Log'!$E$4:$SJ$4,"&lt;&gt;Bid Package",'PCO Log'!$E$7:$SJ$7,"Approved")</f>
        <v>0</v>
      </c>
      <c r="AK270" s="304">
        <f>SUMIFS('PCO Log'!$E94:$SJ94,'PCO Log'!$E$9:$SJ$9,'Graph Data'!AK$187,'PCO Log'!$E$4:$SJ$4,"&lt;&gt;Bid Package",'PCO Log'!$E$7:$SJ$7,"Approved")</f>
        <v>0</v>
      </c>
      <c r="AL270" s="304">
        <f>SUMIFS('PCO Log'!$E94:$SJ94,'PCO Log'!$E$9:$SJ$9,'Graph Data'!AL$187,'PCO Log'!$E$4:$SJ$4,"&lt;&gt;Bid Package",'PCO Log'!$E$7:$SJ$7,"Approved")</f>
        <v>0</v>
      </c>
      <c r="AM270" s="304">
        <f>SUMIFS('PCO Log'!$E94:$SJ94,'PCO Log'!$E$9:$SJ$9,'Graph Data'!AM$187,'PCO Log'!$E$4:$SJ$4,"&lt;&gt;Bid Package",'PCO Log'!$E$7:$SJ$7,"Approved")</f>
        <v>0</v>
      </c>
      <c r="AN270" s="304">
        <f>SUMIFS('PCO Log'!$E94:$SJ94,'PCO Log'!$E$9:$SJ$9,'Graph Data'!AN$187,'PCO Log'!$E$4:$SJ$4,"&lt;&gt;Bid Package",'PCO Log'!$E$7:$SJ$7,"Approved")</f>
        <v>0</v>
      </c>
      <c r="AO270" s="304">
        <f>SUMIFS('PCO Log'!$E94:$SJ94,'PCO Log'!$E$9:$SJ$9,'Graph Data'!AO$187,'PCO Log'!$E$4:$SJ$4,"&lt;&gt;Bid Package",'PCO Log'!$E$7:$SJ$7,"Approved")</f>
        <v>0</v>
      </c>
      <c r="AP270" s="304">
        <f>SUMIFS('PCO Log'!$E94:$SJ94,'PCO Log'!$E$9:$SJ$9,'Graph Data'!AP$187,'PCO Log'!$E$4:$SJ$4,"&lt;&gt;Bid Package",'PCO Log'!$E$7:$SJ$7,"Approved")</f>
        <v>0</v>
      </c>
      <c r="AQ270" s="304">
        <f>SUMIFS('PCO Log'!$E94:$SJ94,'PCO Log'!$E$9:$SJ$9,'Graph Data'!AQ$187,'PCO Log'!$E$4:$SJ$4,"&lt;&gt;Bid Package",'PCO Log'!$E$7:$SJ$7,"Approved")</f>
        <v>0</v>
      </c>
      <c r="AR270" s="304">
        <f>SUMIFS('PCO Log'!$E94:$SJ94,'PCO Log'!$E$9:$SJ$9,'Graph Data'!AR$187,'PCO Log'!$E$4:$SJ$4,"&lt;&gt;Bid Package",'PCO Log'!$E$7:$SJ$7,"Approved")</f>
        <v>0</v>
      </c>
      <c r="AS270" s="304">
        <f>SUMIFS('PCO Log'!$E94:$SJ94,'PCO Log'!$E$9:$SJ$9,'Graph Data'!AS$187,'PCO Log'!$E$4:$SJ$4,"&lt;&gt;Bid Package",'PCO Log'!$E$7:$SJ$7,"Approved")</f>
        <v>0</v>
      </c>
      <c r="AT270" s="304">
        <f>SUMIFS('PCO Log'!$E94:$SJ94,'PCO Log'!$E$9:$SJ$9,'Graph Data'!AT$187,'PCO Log'!$E$4:$SJ$4,"&lt;&gt;Bid Package",'PCO Log'!$E$7:$SJ$7,"Approved")</f>
        <v>0</v>
      </c>
      <c r="AU270" s="304">
        <f>SUMIFS('PCO Log'!$E94:$SJ94,'PCO Log'!$E$9:$SJ$9,'Graph Data'!AU$187,'PCO Log'!$E$4:$SJ$4,"&lt;&gt;Bid Package",'PCO Log'!$E$7:$SJ$7,"Approved")</f>
        <v>0</v>
      </c>
      <c r="AV270" s="304">
        <f>SUMIFS('PCO Log'!$E94:$SJ94,'PCO Log'!$E$9:$SJ$9,'Graph Data'!AV$187,'PCO Log'!$E$4:$SJ$4,"&lt;&gt;Bid Package",'PCO Log'!$E$7:$SJ$7,"Approved")</f>
        <v>0</v>
      </c>
      <c r="AW270" s="304">
        <f>SUMIFS('PCO Log'!$E94:$SJ94,'PCO Log'!$E$9:$SJ$9,'Graph Data'!AW$187,'PCO Log'!$E$4:$SJ$4,"&lt;&gt;Bid Package",'PCO Log'!$E$7:$SJ$7,"Approved")</f>
        <v>0</v>
      </c>
      <c r="AX270" s="304">
        <f>SUMIFS('PCO Log'!$E94:$SJ94,'PCO Log'!$E$9:$SJ$9,'Graph Data'!AX$187,'PCO Log'!$E$4:$SJ$4,"&lt;&gt;Bid Package",'PCO Log'!$E$7:$SJ$7,"Approved")</f>
        <v>0</v>
      </c>
      <c r="AY270" s="304">
        <f>SUMIFS('PCO Log'!$E94:$SJ94,'PCO Log'!$E$9:$SJ$9,'Graph Data'!AY$187,'PCO Log'!$E$4:$SJ$4,"&lt;&gt;Bid Package",'PCO Log'!$E$7:$SJ$7,"Approved")</f>
        <v>0</v>
      </c>
      <c r="AZ270" s="304">
        <f>SUMIFS('PCO Log'!$E94:$SJ94,'PCO Log'!$E$9:$SJ$9,'Graph Data'!AZ$187,'PCO Log'!$E$4:$SJ$4,"&lt;&gt;Bid Package",'PCO Log'!$E$7:$SJ$7,"Approved")</f>
        <v>0</v>
      </c>
      <c r="BA270" s="304">
        <f>SUMIFS('PCO Log'!$E94:$SJ94,'PCO Log'!$E$9:$SJ$9,'Graph Data'!BA$187,'PCO Log'!$E$4:$SJ$4,"&lt;&gt;Bid Package",'PCO Log'!$E$7:$SJ$7,"Approved")</f>
        <v>0</v>
      </c>
      <c r="BB270" s="304">
        <f>SUMIFS('PCO Log'!$E94:$SJ94,'PCO Log'!$E$9:$SJ$9,'Graph Data'!BB$187,'PCO Log'!$E$4:$SJ$4,"&lt;&gt;Bid Package",'PCO Log'!$E$7:$SJ$7,"Approved")</f>
        <v>0</v>
      </c>
      <c r="BC270" s="304">
        <f>SUMIFS('PCO Log'!$E94:$SJ94,'PCO Log'!$E$9:$SJ$9,'Graph Data'!BC$187,'PCO Log'!$E$4:$SJ$4,"&lt;&gt;Bid Package",'PCO Log'!$E$7:$SJ$7,"Approved")</f>
        <v>0</v>
      </c>
      <c r="BD270" s="304">
        <f>SUMIFS('PCO Log'!$E94:$SJ94,'PCO Log'!$E$9:$SJ$9,'Graph Data'!BD$187,'PCO Log'!$E$4:$SJ$4,"&lt;&gt;Bid Package",'PCO Log'!$E$7:$SJ$7,"Approved")</f>
        <v>0</v>
      </c>
      <c r="BE270" s="304">
        <f>SUMIFS('PCO Log'!$E94:$SJ94,'PCO Log'!$E$9:$SJ$9,'Graph Data'!BE$187,'PCO Log'!$E$4:$SJ$4,"&lt;&gt;Bid Package",'PCO Log'!$E$7:$SJ$7,"Approved")</f>
        <v>0</v>
      </c>
      <c r="BF270" s="304">
        <f>SUMIFS('PCO Log'!$E94:$SJ94,'PCO Log'!$E$9:$SJ$9,'Graph Data'!BF$187,'PCO Log'!$E$4:$SJ$4,"&lt;&gt;Bid Package",'PCO Log'!$E$7:$SJ$7,"Approved")</f>
        <v>0</v>
      </c>
      <c r="BG270" s="304">
        <f>SUMIFS('PCO Log'!$E94:$SJ94,'PCO Log'!$E$9:$SJ$9,'Graph Data'!BG$187,'PCO Log'!$E$4:$SJ$4,"&lt;&gt;Bid Package",'PCO Log'!$E$7:$SJ$7,"Approved")</f>
        <v>0</v>
      </c>
      <c r="BH270" s="304">
        <f>SUMIFS('PCO Log'!$E94:$SJ94,'PCO Log'!$E$9:$SJ$9,'Graph Data'!BH$187,'PCO Log'!$E$4:$SJ$4,"&lt;&gt;Bid Package",'PCO Log'!$E$7:$SJ$7,"Approved")</f>
        <v>0</v>
      </c>
      <c r="BI270" s="304">
        <f>SUMIFS('PCO Log'!$E94:$SJ94,'PCO Log'!$E$9:$SJ$9,'Graph Data'!BI$187,'PCO Log'!$E$4:$SJ$4,"&lt;&gt;Bid Package",'PCO Log'!$E$7:$SJ$7,"Approved")</f>
        <v>0</v>
      </c>
      <c r="BJ270" s="304">
        <f>SUMIFS('PCO Log'!$E94:$SJ94,'PCO Log'!$E$9:$SJ$9,'Graph Data'!BJ$187,'PCO Log'!$E$4:$SJ$4,"&lt;&gt;Bid Package",'PCO Log'!$E$7:$SJ$7,"Approved")</f>
        <v>0</v>
      </c>
      <c r="BK270" s="304">
        <f>SUMIFS('PCO Log'!$E94:$SJ94,'PCO Log'!$E$9:$SJ$9,'Graph Data'!BK$187,'PCO Log'!$E$4:$SJ$4,"&lt;&gt;Bid Package",'PCO Log'!$E$7:$SJ$7,"Approved")</f>
        <v>0</v>
      </c>
      <c r="BL270" s="304">
        <f>SUMIFS('PCO Log'!$E94:$SJ94,'PCO Log'!$E$9:$SJ$9,'Graph Data'!BL$187,'PCO Log'!$E$4:$SJ$4,"&lt;&gt;Bid Package",'PCO Log'!$E$7:$SJ$7,"Approved")</f>
        <v>0</v>
      </c>
      <c r="BM270" s="304">
        <f>SUMIFS('PCO Log'!$E94:$SJ94,'PCO Log'!$E$9:$SJ$9,'Graph Data'!BM$187,'PCO Log'!$E$4:$SJ$4,"&lt;&gt;Bid Package",'PCO Log'!$E$7:$SJ$7,"Approved")</f>
        <v>0</v>
      </c>
      <c r="BN270" s="304">
        <f>SUMIFS('PCO Log'!$E94:$SJ94,'PCO Log'!$E$9:$SJ$9,'Graph Data'!BN$187,'PCO Log'!$E$4:$SJ$4,"&lt;&gt;Bid Package",'PCO Log'!$E$7:$SJ$7,"Approved")</f>
        <v>0</v>
      </c>
      <c r="BO270" s="304">
        <f>SUMIFS('PCO Log'!$E94:$SJ94,'PCO Log'!$E$9:$SJ$9,'Graph Data'!BO$187,'PCO Log'!$E$4:$SJ$4,"&lt;&gt;Bid Package",'PCO Log'!$E$7:$SJ$7,"Approved")</f>
        <v>0</v>
      </c>
      <c r="BP270" s="304">
        <f>SUMIFS('PCO Log'!$E94:$SJ94,'PCO Log'!$E$9:$SJ$9,'Graph Data'!BP$187,'PCO Log'!$E$4:$SJ$4,"&lt;&gt;Bid Package",'PCO Log'!$E$7:$SJ$7,"Approved")</f>
        <v>0</v>
      </c>
      <c r="BQ270" s="304">
        <f>SUMIFS('PCO Log'!$E94:$SJ94,'PCO Log'!$E$9:$SJ$9,'Graph Data'!BQ$187,'PCO Log'!$E$4:$SJ$4,"&lt;&gt;Bid Package",'PCO Log'!$E$7:$SJ$7,"Approved")</f>
        <v>0</v>
      </c>
      <c r="BR270" s="304">
        <f>SUMIFS('PCO Log'!$E94:$SJ94,'PCO Log'!$E$9:$SJ$9,'Graph Data'!BR$187,'PCO Log'!$E$4:$SJ$4,"&lt;&gt;Bid Package",'PCO Log'!$E$7:$SJ$7,"Approved")</f>
        <v>0</v>
      </c>
      <c r="BS270" s="304">
        <f>SUMIFS('PCO Log'!$E94:$SJ94,'PCO Log'!$E$9:$SJ$9,'Graph Data'!BS$187,'PCO Log'!$E$4:$SJ$4,"&lt;&gt;Bid Package",'PCO Log'!$E$7:$SJ$7,"Approved")</f>
        <v>0</v>
      </c>
      <c r="BT270" s="304">
        <f>SUMIFS('PCO Log'!$E94:$SJ94,'PCO Log'!$E$9:$SJ$9,'Graph Data'!BT$187,'PCO Log'!$E$4:$SJ$4,"&lt;&gt;Bid Package",'PCO Log'!$E$7:$SJ$7,"Approved")</f>
        <v>0</v>
      </c>
      <c r="BU270" s="304">
        <f>SUMIFS('PCO Log'!$E94:$SJ94,'PCO Log'!$E$9:$SJ$9,'Graph Data'!BU$187,'PCO Log'!$E$4:$SJ$4,"&lt;&gt;Bid Package",'PCO Log'!$E$7:$SJ$7,"Approved")</f>
        <v>0</v>
      </c>
      <c r="BV270" s="304">
        <f>SUMIFS('PCO Log'!$E94:$SJ94,'PCO Log'!$E$9:$SJ$9,'Graph Data'!BV$187,'PCO Log'!$E$4:$SJ$4,"&lt;&gt;Bid Package",'PCO Log'!$E$7:$SJ$7,"Approved")</f>
        <v>0</v>
      </c>
      <c r="BW270" s="304">
        <f>SUMIFS('PCO Log'!$E94:$SJ94,'PCO Log'!$E$9:$SJ$9,'Graph Data'!BW$187,'PCO Log'!$E$4:$SJ$4,"&lt;&gt;Bid Package",'PCO Log'!$E$7:$SJ$7,"Approved")</f>
        <v>0</v>
      </c>
      <c r="BX270" s="304">
        <f>SUMIFS('PCO Log'!$E94:$SJ94,'PCO Log'!$E$9:$SJ$9,'Graph Data'!BX$187,'PCO Log'!$E$4:$SJ$4,"&lt;&gt;Bid Package",'PCO Log'!$E$7:$SJ$7,"Approved")</f>
        <v>0</v>
      </c>
    </row>
    <row r="271" spans="1:76" x14ac:dyDescent="0.25">
      <c r="A271" s="303" t="s">
        <v>621</v>
      </c>
      <c r="B271" s="303">
        <f>'PCO Log'!JN7</f>
        <v>0</v>
      </c>
      <c r="C271" s="303">
        <f>'PCO Log'!JN4</f>
        <v>0</v>
      </c>
      <c r="D271" s="303" cm="1">
        <f t="array" ref="D271">INDEX('PCO Log'!$E$5:$SJ$5, 1, ROWS('Graph Data'!$D$2:D271))</f>
        <v>0</v>
      </c>
      <c r="E271" s="303">
        <f>'PCO Log'!JN8</f>
        <v>0</v>
      </c>
      <c r="F271" s="303">
        <f>'PCO Log'!JN3</f>
        <v>0</v>
      </c>
      <c r="G271" s="304">
        <f>'PCO Log'!JN10</f>
        <v>0</v>
      </c>
      <c r="H271" s="305">
        <f>'PCO Log'!JN6</f>
        <v>0</v>
      </c>
      <c r="K271" s="307"/>
      <c r="P271" s="303" t="str">
        <f t="shared" si="4"/>
        <v>Other - Please Specify</v>
      </c>
      <c r="Q271" s="304">
        <f>SUMIFS('PCO Log'!$E95:$SJ95,'PCO Log'!$E$9:$SJ$9,'Graph Data'!Q$187,'PCO Log'!$E$4:$SJ$4,"&lt;&gt;Bid Package",'PCO Log'!$E$7:$SJ$7,"Approved")</f>
        <v>0</v>
      </c>
      <c r="R271" s="304">
        <f>SUMIFS('PCO Log'!$E95:$SJ95,'PCO Log'!$E$9:$SJ$9,'Graph Data'!R$187,'PCO Log'!$E$4:$SJ$4,"&lt;&gt;Bid Package",'PCO Log'!$E$7:$SJ$7,"Approved")</f>
        <v>0</v>
      </c>
      <c r="S271" s="304">
        <f>SUMIFS('PCO Log'!$E95:$SJ95,'PCO Log'!$E$9:$SJ$9,'Graph Data'!S$187,'PCO Log'!$E$4:$SJ$4,"&lt;&gt;Bid Package",'PCO Log'!$E$7:$SJ$7,"Approved")</f>
        <v>0</v>
      </c>
      <c r="T271" s="304">
        <f>SUMIFS('PCO Log'!$E95:$SJ95,'PCO Log'!$E$9:$SJ$9,'Graph Data'!T$187,'PCO Log'!$E$4:$SJ$4,"&lt;&gt;Bid Package",'PCO Log'!$E$7:$SJ$7,"Approved")</f>
        <v>0</v>
      </c>
      <c r="U271" s="304">
        <f>SUMIFS('PCO Log'!$E95:$SJ95,'PCO Log'!$E$9:$SJ$9,'Graph Data'!U$187,'PCO Log'!$E$4:$SJ$4,"&lt;&gt;Bid Package",'PCO Log'!$E$7:$SJ$7,"Approved")</f>
        <v>0</v>
      </c>
      <c r="V271" s="304">
        <f>SUMIFS('PCO Log'!$E95:$SJ95,'PCO Log'!$E$9:$SJ$9,'Graph Data'!V$187,'PCO Log'!$E$4:$SJ$4,"&lt;&gt;Bid Package",'PCO Log'!$E$7:$SJ$7,"Approved")</f>
        <v>0</v>
      </c>
      <c r="W271" s="304">
        <f>SUMIFS('PCO Log'!$E95:$SJ95,'PCO Log'!$E$9:$SJ$9,'Graph Data'!W$187,'PCO Log'!$E$4:$SJ$4,"&lt;&gt;Bid Package",'PCO Log'!$E$7:$SJ$7,"Approved")</f>
        <v>0</v>
      </c>
      <c r="X271" s="304">
        <f>SUMIFS('PCO Log'!$E95:$SJ95,'PCO Log'!$E$9:$SJ$9,'Graph Data'!X$187,'PCO Log'!$E$4:$SJ$4,"&lt;&gt;Bid Package",'PCO Log'!$E$7:$SJ$7,"Approved")</f>
        <v>0</v>
      </c>
      <c r="Y271" s="304">
        <f>SUMIFS('PCO Log'!$E95:$SJ95,'PCO Log'!$E$9:$SJ$9,'Graph Data'!Y$187,'PCO Log'!$E$4:$SJ$4,"&lt;&gt;Bid Package",'PCO Log'!$E$7:$SJ$7,"Approved")</f>
        <v>0</v>
      </c>
      <c r="Z271" s="304">
        <f>SUMIFS('PCO Log'!$E95:$SJ95,'PCO Log'!$E$9:$SJ$9,'Graph Data'!Z$187,'PCO Log'!$E$4:$SJ$4,"&lt;&gt;Bid Package",'PCO Log'!$E$7:$SJ$7,"Approved")</f>
        <v>0</v>
      </c>
      <c r="AA271" s="304">
        <f>SUMIFS('PCO Log'!$E95:$SJ95,'PCO Log'!$E$9:$SJ$9,'Graph Data'!AA$187,'PCO Log'!$E$4:$SJ$4,"&lt;&gt;Bid Package",'PCO Log'!$E$7:$SJ$7,"Approved")</f>
        <v>0</v>
      </c>
      <c r="AB271" s="304">
        <f>SUMIFS('PCO Log'!$E95:$SJ95,'PCO Log'!$E$9:$SJ$9,'Graph Data'!AB$187,'PCO Log'!$E$4:$SJ$4,"&lt;&gt;Bid Package",'PCO Log'!$E$7:$SJ$7,"Approved")</f>
        <v>0</v>
      </c>
      <c r="AC271" s="304">
        <f>SUMIFS('PCO Log'!$E95:$SJ95,'PCO Log'!$E$9:$SJ$9,'Graph Data'!AC$187,'PCO Log'!$E$4:$SJ$4,"&lt;&gt;Bid Package",'PCO Log'!$E$7:$SJ$7,"Approved")</f>
        <v>0</v>
      </c>
      <c r="AD271" s="304">
        <f>SUMIFS('PCO Log'!$E95:$SJ95,'PCO Log'!$E$9:$SJ$9,'Graph Data'!AD$187,'PCO Log'!$E$4:$SJ$4,"&lt;&gt;Bid Package",'PCO Log'!$E$7:$SJ$7,"Approved")</f>
        <v>0</v>
      </c>
      <c r="AE271" s="304">
        <f>SUMIFS('PCO Log'!$E95:$SJ95,'PCO Log'!$E$9:$SJ$9,'Graph Data'!AE$187,'PCO Log'!$E$4:$SJ$4,"&lt;&gt;Bid Package",'PCO Log'!$E$7:$SJ$7,"Approved")</f>
        <v>0</v>
      </c>
      <c r="AF271" s="304">
        <f>SUMIFS('PCO Log'!$E95:$SJ95,'PCO Log'!$E$9:$SJ$9,'Graph Data'!AF$187,'PCO Log'!$E$4:$SJ$4,"&lt;&gt;Bid Package",'PCO Log'!$E$7:$SJ$7,"Approved")</f>
        <v>0</v>
      </c>
      <c r="AG271" s="304">
        <f>SUMIFS('PCO Log'!$E95:$SJ95,'PCO Log'!$E$9:$SJ$9,'Graph Data'!AG$187,'PCO Log'!$E$4:$SJ$4,"&lt;&gt;Bid Package",'PCO Log'!$E$7:$SJ$7,"Approved")</f>
        <v>0</v>
      </c>
      <c r="AH271" s="304">
        <f>SUMIFS('PCO Log'!$E95:$SJ95,'PCO Log'!$E$9:$SJ$9,'Graph Data'!AH$187,'PCO Log'!$E$4:$SJ$4,"&lt;&gt;Bid Package",'PCO Log'!$E$7:$SJ$7,"Approved")</f>
        <v>0</v>
      </c>
      <c r="AI271" s="304">
        <f>SUMIFS('PCO Log'!$E95:$SJ95,'PCO Log'!$E$9:$SJ$9,'Graph Data'!AI$187,'PCO Log'!$E$4:$SJ$4,"&lt;&gt;Bid Package",'PCO Log'!$E$7:$SJ$7,"Approved")</f>
        <v>0</v>
      </c>
      <c r="AJ271" s="304">
        <f>SUMIFS('PCO Log'!$E95:$SJ95,'PCO Log'!$E$9:$SJ$9,'Graph Data'!AJ$187,'PCO Log'!$E$4:$SJ$4,"&lt;&gt;Bid Package",'PCO Log'!$E$7:$SJ$7,"Approved")</f>
        <v>0</v>
      </c>
      <c r="AK271" s="304">
        <f>SUMIFS('PCO Log'!$E95:$SJ95,'PCO Log'!$E$9:$SJ$9,'Graph Data'!AK$187,'PCO Log'!$E$4:$SJ$4,"&lt;&gt;Bid Package",'PCO Log'!$E$7:$SJ$7,"Approved")</f>
        <v>0</v>
      </c>
      <c r="AL271" s="304">
        <f>SUMIFS('PCO Log'!$E95:$SJ95,'PCO Log'!$E$9:$SJ$9,'Graph Data'!AL$187,'PCO Log'!$E$4:$SJ$4,"&lt;&gt;Bid Package",'PCO Log'!$E$7:$SJ$7,"Approved")</f>
        <v>0</v>
      </c>
      <c r="AM271" s="304">
        <f>SUMIFS('PCO Log'!$E95:$SJ95,'PCO Log'!$E$9:$SJ$9,'Graph Data'!AM$187,'PCO Log'!$E$4:$SJ$4,"&lt;&gt;Bid Package",'PCO Log'!$E$7:$SJ$7,"Approved")</f>
        <v>0</v>
      </c>
      <c r="AN271" s="304">
        <f>SUMIFS('PCO Log'!$E95:$SJ95,'PCO Log'!$E$9:$SJ$9,'Graph Data'!AN$187,'PCO Log'!$E$4:$SJ$4,"&lt;&gt;Bid Package",'PCO Log'!$E$7:$SJ$7,"Approved")</f>
        <v>0</v>
      </c>
      <c r="AO271" s="304">
        <f>SUMIFS('PCO Log'!$E95:$SJ95,'PCO Log'!$E$9:$SJ$9,'Graph Data'!AO$187,'PCO Log'!$E$4:$SJ$4,"&lt;&gt;Bid Package",'PCO Log'!$E$7:$SJ$7,"Approved")</f>
        <v>0</v>
      </c>
      <c r="AP271" s="304">
        <f>SUMIFS('PCO Log'!$E95:$SJ95,'PCO Log'!$E$9:$SJ$9,'Graph Data'!AP$187,'PCO Log'!$E$4:$SJ$4,"&lt;&gt;Bid Package",'PCO Log'!$E$7:$SJ$7,"Approved")</f>
        <v>0</v>
      </c>
      <c r="AQ271" s="304">
        <f>SUMIFS('PCO Log'!$E95:$SJ95,'PCO Log'!$E$9:$SJ$9,'Graph Data'!AQ$187,'PCO Log'!$E$4:$SJ$4,"&lt;&gt;Bid Package",'PCO Log'!$E$7:$SJ$7,"Approved")</f>
        <v>0</v>
      </c>
      <c r="AR271" s="304">
        <f>SUMIFS('PCO Log'!$E95:$SJ95,'PCO Log'!$E$9:$SJ$9,'Graph Data'!AR$187,'PCO Log'!$E$4:$SJ$4,"&lt;&gt;Bid Package",'PCO Log'!$E$7:$SJ$7,"Approved")</f>
        <v>0</v>
      </c>
      <c r="AS271" s="304">
        <f>SUMIFS('PCO Log'!$E95:$SJ95,'PCO Log'!$E$9:$SJ$9,'Graph Data'!AS$187,'PCO Log'!$E$4:$SJ$4,"&lt;&gt;Bid Package",'PCO Log'!$E$7:$SJ$7,"Approved")</f>
        <v>0</v>
      </c>
      <c r="AT271" s="304">
        <f>SUMIFS('PCO Log'!$E95:$SJ95,'PCO Log'!$E$9:$SJ$9,'Graph Data'!AT$187,'PCO Log'!$E$4:$SJ$4,"&lt;&gt;Bid Package",'PCO Log'!$E$7:$SJ$7,"Approved")</f>
        <v>0</v>
      </c>
      <c r="AU271" s="304">
        <f>SUMIFS('PCO Log'!$E95:$SJ95,'PCO Log'!$E$9:$SJ$9,'Graph Data'!AU$187,'PCO Log'!$E$4:$SJ$4,"&lt;&gt;Bid Package",'PCO Log'!$E$7:$SJ$7,"Approved")</f>
        <v>0</v>
      </c>
      <c r="AV271" s="304">
        <f>SUMIFS('PCO Log'!$E95:$SJ95,'PCO Log'!$E$9:$SJ$9,'Graph Data'!AV$187,'PCO Log'!$E$4:$SJ$4,"&lt;&gt;Bid Package",'PCO Log'!$E$7:$SJ$7,"Approved")</f>
        <v>0</v>
      </c>
      <c r="AW271" s="304">
        <f>SUMIFS('PCO Log'!$E95:$SJ95,'PCO Log'!$E$9:$SJ$9,'Graph Data'!AW$187,'PCO Log'!$E$4:$SJ$4,"&lt;&gt;Bid Package",'PCO Log'!$E$7:$SJ$7,"Approved")</f>
        <v>0</v>
      </c>
      <c r="AX271" s="304">
        <f>SUMIFS('PCO Log'!$E95:$SJ95,'PCO Log'!$E$9:$SJ$9,'Graph Data'!AX$187,'PCO Log'!$E$4:$SJ$4,"&lt;&gt;Bid Package",'PCO Log'!$E$7:$SJ$7,"Approved")</f>
        <v>0</v>
      </c>
      <c r="AY271" s="304">
        <f>SUMIFS('PCO Log'!$E95:$SJ95,'PCO Log'!$E$9:$SJ$9,'Graph Data'!AY$187,'PCO Log'!$E$4:$SJ$4,"&lt;&gt;Bid Package",'PCO Log'!$E$7:$SJ$7,"Approved")</f>
        <v>0</v>
      </c>
      <c r="AZ271" s="304">
        <f>SUMIFS('PCO Log'!$E95:$SJ95,'PCO Log'!$E$9:$SJ$9,'Graph Data'!AZ$187,'PCO Log'!$E$4:$SJ$4,"&lt;&gt;Bid Package",'PCO Log'!$E$7:$SJ$7,"Approved")</f>
        <v>0</v>
      </c>
      <c r="BA271" s="304">
        <f>SUMIFS('PCO Log'!$E95:$SJ95,'PCO Log'!$E$9:$SJ$9,'Graph Data'!BA$187,'PCO Log'!$E$4:$SJ$4,"&lt;&gt;Bid Package",'PCO Log'!$E$7:$SJ$7,"Approved")</f>
        <v>0</v>
      </c>
      <c r="BB271" s="304">
        <f>SUMIFS('PCO Log'!$E95:$SJ95,'PCO Log'!$E$9:$SJ$9,'Graph Data'!BB$187,'PCO Log'!$E$4:$SJ$4,"&lt;&gt;Bid Package",'PCO Log'!$E$7:$SJ$7,"Approved")</f>
        <v>0</v>
      </c>
      <c r="BC271" s="304">
        <f>SUMIFS('PCO Log'!$E95:$SJ95,'PCO Log'!$E$9:$SJ$9,'Graph Data'!BC$187,'PCO Log'!$E$4:$SJ$4,"&lt;&gt;Bid Package",'PCO Log'!$E$7:$SJ$7,"Approved")</f>
        <v>0</v>
      </c>
      <c r="BD271" s="304">
        <f>SUMIFS('PCO Log'!$E95:$SJ95,'PCO Log'!$E$9:$SJ$9,'Graph Data'!BD$187,'PCO Log'!$E$4:$SJ$4,"&lt;&gt;Bid Package",'PCO Log'!$E$7:$SJ$7,"Approved")</f>
        <v>0</v>
      </c>
      <c r="BE271" s="304">
        <f>SUMIFS('PCO Log'!$E95:$SJ95,'PCO Log'!$E$9:$SJ$9,'Graph Data'!BE$187,'PCO Log'!$E$4:$SJ$4,"&lt;&gt;Bid Package",'PCO Log'!$E$7:$SJ$7,"Approved")</f>
        <v>0</v>
      </c>
      <c r="BF271" s="304">
        <f>SUMIFS('PCO Log'!$E95:$SJ95,'PCO Log'!$E$9:$SJ$9,'Graph Data'!BF$187,'PCO Log'!$E$4:$SJ$4,"&lt;&gt;Bid Package",'PCO Log'!$E$7:$SJ$7,"Approved")</f>
        <v>0</v>
      </c>
      <c r="BG271" s="304">
        <f>SUMIFS('PCO Log'!$E95:$SJ95,'PCO Log'!$E$9:$SJ$9,'Graph Data'!BG$187,'PCO Log'!$E$4:$SJ$4,"&lt;&gt;Bid Package",'PCO Log'!$E$7:$SJ$7,"Approved")</f>
        <v>0</v>
      </c>
      <c r="BH271" s="304">
        <f>SUMIFS('PCO Log'!$E95:$SJ95,'PCO Log'!$E$9:$SJ$9,'Graph Data'!BH$187,'PCO Log'!$E$4:$SJ$4,"&lt;&gt;Bid Package",'PCO Log'!$E$7:$SJ$7,"Approved")</f>
        <v>0</v>
      </c>
      <c r="BI271" s="304">
        <f>SUMIFS('PCO Log'!$E95:$SJ95,'PCO Log'!$E$9:$SJ$9,'Graph Data'!BI$187,'PCO Log'!$E$4:$SJ$4,"&lt;&gt;Bid Package",'PCO Log'!$E$7:$SJ$7,"Approved")</f>
        <v>0</v>
      </c>
      <c r="BJ271" s="304">
        <f>SUMIFS('PCO Log'!$E95:$SJ95,'PCO Log'!$E$9:$SJ$9,'Graph Data'!BJ$187,'PCO Log'!$E$4:$SJ$4,"&lt;&gt;Bid Package",'PCO Log'!$E$7:$SJ$7,"Approved")</f>
        <v>0</v>
      </c>
      <c r="BK271" s="304">
        <f>SUMIFS('PCO Log'!$E95:$SJ95,'PCO Log'!$E$9:$SJ$9,'Graph Data'!BK$187,'PCO Log'!$E$4:$SJ$4,"&lt;&gt;Bid Package",'PCO Log'!$E$7:$SJ$7,"Approved")</f>
        <v>0</v>
      </c>
      <c r="BL271" s="304">
        <f>SUMIFS('PCO Log'!$E95:$SJ95,'PCO Log'!$E$9:$SJ$9,'Graph Data'!BL$187,'PCO Log'!$E$4:$SJ$4,"&lt;&gt;Bid Package",'PCO Log'!$E$7:$SJ$7,"Approved")</f>
        <v>0</v>
      </c>
      <c r="BM271" s="304">
        <f>SUMIFS('PCO Log'!$E95:$SJ95,'PCO Log'!$E$9:$SJ$9,'Graph Data'!BM$187,'PCO Log'!$E$4:$SJ$4,"&lt;&gt;Bid Package",'PCO Log'!$E$7:$SJ$7,"Approved")</f>
        <v>0</v>
      </c>
      <c r="BN271" s="304">
        <f>SUMIFS('PCO Log'!$E95:$SJ95,'PCO Log'!$E$9:$SJ$9,'Graph Data'!BN$187,'PCO Log'!$E$4:$SJ$4,"&lt;&gt;Bid Package",'PCO Log'!$E$7:$SJ$7,"Approved")</f>
        <v>0</v>
      </c>
      <c r="BO271" s="304">
        <f>SUMIFS('PCO Log'!$E95:$SJ95,'PCO Log'!$E$9:$SJ$9,'Graph Data'!BO$187,'PCO Log'!$E$4:$SJ$4,"&lt;&gt;Bid Package",'PCO Log'!$E$7:$SJ$7,"Approved")</f>
        <v>0</v>
      </c>
      <c r="BP271" s="304">
        <f>SUMIFS('PCO Log'!$E95:$SJ95,'PCO Log'!$E$9:$SJ$9,'Graph Data'!BP$187,'PCO Log'!$E$4:$SJ$4,"&lt;&gt;Bid Package",'PCO Log'!$E$7:$SJ$7,"Approved")</f>
        <v>0</v>
      </c>
      <c r="BQ271" s="304">
        <f>SUMIFS('PCO Log'!$E95:$SJ95,'PCO Log'!$E$9:$SJ$9,'Graph Data'!BQ$187,'PCO Log'!$E$4:$SJ$4,"&lt;&gt;Bid Package",'PCO Log'!$E$7:$SJ$7,"Approved")</f>
        <v>0</v>
      </c>
      <c r="BR271" s="304">
        <f>SUMIFS('PCO Log'!$E95:$SJ95,'PCO Log'!$E$9:$SJ$9,'Graph Data'!BR$187,'PCO Log'!$E$4:$SJ$4,"&lt;&gt;Bid Package",'PCO Log'!$E$7:$SJ$7,"Approved")</f>
        <v>0</v>
      </c>
      <c r="BS271" s="304">
        <f>SUMIFS('PCO Log'!$E95:$SJ95,'PCO Log'!$E$9:$SJ$9,'Graph Data'!BS$187,'PCO Log'!$E$4:$SJ$4,"&lt;&gt;Bid Package",'PCO Log'!$E$7:$SJ$7,"Approved")</f>
        <v>0</v>
      </c>
      <c r="BT271" s="304">
        <f>SUMIFS('PCO Log'!$E95:$SJ95,'PCO Log'!$E$9:$SJ$9,'Graph Data'!BT$187,'PCO Log'!$E$4:$SJ$4,"&lt;&gt;Bid Package",'PCO Log'!$E$7:$SJ$7,"Approved")</f>
        <v>0</v>
      </c>
      <c r="BU271" s="304">
        <f>SUMIFS('PCO Log'!$E95:$SJ95,'PCO Log'!$E$9:$SJ$9,'Graph Data'!BU$187,'PCO Log'!$E$4:$SJ$4,"&lt;&gt;Bid Package",'PCO Log'!$E$7:$SJ$7,"Approved")</f>
        <v>0</v>
      </c>
      <c r="BV271" s="304">
        <f>SUMIFS('PCO Log'!$E95:$SJ95,'PCO Log'!$E$9:$SJ$9,'Graph Data'!BV$187,'PCO Log'!$E$4:$SJ$4,"&lt;&gt;Bid Package",'PCO Log'!$E$7:$SJ$7,"Approved")</f>
        <v>0</v>
      </c>
      <c r="BW271" s="304">
        <f>SUMIFS('PCO Log'!$E95:$SJ95,'PCO Log'!$E$9:$SJ$9,'Graph Data'!BW$187,'PCO Log'!$E$4:$SJ$4,"&lt;&gt;Bid Package",'PCO Log'!$E$7:$SJ$7,"Approved")</f>
        <v>0</v>
      </c>
      <c r="BX271" s="304">
        <f>SUMIFS('PCO Log'!$E95:$SJ95,'PCO Log'!$E$9:$SJ$9,'Graph Data'!BX$187,'PCO Log'!$E$4:$SJ$4,"&lt;&gt;Bid Package",'PCO Log'!$E$7:$SJ$7,"Approved")</f>
        <v>0</v>
      </c>
    </row>
    <row r="272" spans="1:76" x14ac:dyDescent="0.25">
      <c r="A272" s="303" t="s">
        <v>622</v>
      </c>
      <c r="B272" s="303">
        <f>'PCO Log'!JO7</f>
        <v>0</v>
      </c>
      <c r="C272" s="303">
        <f>'PCO Log'!JO4</f>
        <v>0</v>
      </c>
      <c r="D272" s="303" cm="1">
        <f t="array" ref="D272">INDEX('PCO Log'!$E$5:$SJ$5, 1, ROWS('Graph Data'!$D$2:D272))</f>
        <v>0</v>
      </c>
      <c r="E272" s="303">
        <f>'PCO Log'!JO8</f>
        <v>0</v>
      </c>
      <c r="F272" s="303">
        <f>'PCO Log'!JO3</f>
        <v>0</v>
      </c>
      <c r="G272" s="304">
        <f>'PCO Log'!JO10</f>
        <v>0</v>
      </c>
      <c r="H272" s="305">
        <f>'PCO Log'!JO6</f>
        <v>0</v>
      </c>
      <c r="K272" s="307"/>
      <c r="P272" s="303" t="str">
        <f t="shared" si="4"/>
        <v>Other - Please Specify</v>
      </c>
      <c r="Q272" s="304">
        <f>SUMIFS('PCO Log'!$E96:$SJ96,'PCO Log'!$E$9:$SJ$9,'Graph Data'!Q$187,'PCO Log'!$E$4:$SJ$4,"&lt;&gt;Bid Package",'PCO Log'!$E$7:$SJ$7,"Approved")</f>
        <v>0</v>
      </c>
      <c r="R272" s="304">
        <f>SUMIFS('PCO Log'!$E96:$SJ96,'PCO Log'!$E$9:$SJ$9,'Graph Data'!R$187,'PCO Log'!$E$4:$SJ$4,"&lt;&gt;Bid Package",'PCO Log'!$E$7:$SJ$7,"Approved")</f>
        <v>0</v>
      </c>
      <c r="S272" s="304">
        <f>SUMIFS('PCO Log'!$E96:$SJ96,'PCO Log'!$E$9:$SJ$9,'Graph Data'!S$187,'PCO Log'!$E$4:$SJ$4,"&lt;&gt;Bid Package",'PCO Log'!$E$7:$SJ$7,"Approved")</f>
        <v>0</v>
      </c>
      <c r="T272" s="304">
        <f>SUMIFS('PCO Log'!$E96:$SJ96,'PCO Log'!$E$9:$SJ$9,'Graph Data'!T$187,'PCO Log'!$E$4:$SJ$4,"&lt;&gt;Bid Package",'PCO Log'!$E$7:$SJ$7,"Approved")</f>
        <v>0</v>
      </c>
      <c r="U272" s="304">
        <f>SUMIFS('PCO Log'!$E96:$SJ96,'PCO Log'!$E$9:$SJ$9,'Graph Data'!U$187,'PCO Log'!$E$4:$SJ$4,"&lt;&gt;Bid Package",'PCO Log'!$E$7:$SJ$7,"Approved")</f>
        <v>0</v>
      </c>
      <c r="V272" s="304">
        <f>SUMIFS('PCO Log'!$E96:$SJ96,'PCO Log'!$E$9:$SJ$9,'Graph Data'!V$187,'PCO Log'!$E$4:$SJ$4,"&lt;&gt;Bid Package",'PCO Log'!$E$7:$SJ$7,"Approved")</f>
        <v>0</v>
      </c>
      <c r="W272" s="304">
        <f>SUMIFS('PCO Log'!$E96:$SJ96,'PCO Log'!$E$9:$SJ$9,'Graph Data'!W$187,'PCO Log'!$E$4:$SJ$4,"&lt;&gt;Bid Package",'PCO Log'!$E$7:$SJ$7,"Approved")</f>
        <v>0</v>
      </c>
      <c r="X272" s="304">
        <f>SUMIFS('PCO Log'!$E96:$SJ96,'PCO Log'!$E$9:$SJ$9,'Graph Data'!X$187,'PCO Log'!$E$4:$SJ$4,"&lt;&gt;Bid Package",'PCO Log'!$E$7:$SJ$7,"Approved")</f>
        <v>0</v>
      </c>
      <c r="Y272" s="304">
        <f>SUMIFS('PCO Log'!$E96:$SJ96,'PCO Log'!$E$9:$SJ$9,'Graph Data'!Y$187,'PCO Log'!$E$4:$SJ$4,"&lt;&gt;Bid Package",'PCO Log'!$E$7:$SJ$7,"Approved")</f>
        <v>0</v>
      </c>
      <c r="Z272" s="304">
        <f>SUMIFS('PCO Log'!$E96:$SJ96,'PCO Log'!$E$9:$SJ$9,'Graph Data'!Z$187,'PCO Log'!$E$4:$SJ$4,"&lt;&gt;Bid Package",'PCO Log'!$E$7:$SJ$7,"Approved")</f>
        <v>0</v>
      </c>
      <c r="AA272" s="304">
        <f>SUMIFS('PCO Log'!$E96:$SJ96,'PCO Log'!$E$9:$SJ$9,'Graph Data'!AA$187,'PCO Log'!$E$4:$SJ$4,"&lt;&gt;Bid Package",'PCO Log'!$E$7:$SJ$7,"Approved")</f>
        <v>0</v>
      </c>
      <c r="AB272" s="304">
        <f>SUMIFS('PCO Log'!$E96:$SJ96,'PCO Log'!$E$9:$SJ$9,'Graph Data'!AB$187,'PCO Log'!$E$4:$SJ$4,"&lt;&gt;Bid Package",'PCO Log'!$E$7:$SJ$7,"Approved")</f>
        <v>0</v>
      </c>
      <c r="AC272" s="304">
        <f>SUMIFS('PCO Log'!$E96:$SJ96,'PCO Log'!$E$9:$SJ$9,'Graph Data'!AC$187,'PCO Log'!$E$4:$SJ$4,"&lt;&gt;Bid Package",'PCO Log'!$E$7:$SJ$7,"Approved")</f>
        <v>0</v>
      </c>
      <c r="AD272" s="304">
        <f>SUMIFS('PCO Log'!$E96:$SJ96,'PCO Log'!$E$9:$SJ$9,'Graph Data'!AD$187,'PCO Log'!$E$4:$SJ$4,"&lt;&gt;Bid Package",'PCO Log'!$E$7:$SJ$7,"Approved")</f>
        <v>0</v>
      </c>
      <c r="AE272" s="304">
        <f>SUMIFS('PCO Log'!$E96:$SJ96,'PCO Log'!$E$9:$SJ$9,'Graph Data'!AE$187,'PCO Log'!$E$4:$SJ$4,"&lt;&gt;Bid Package",'PCO Log'!$E$7:$SJ$7,"Approved")</f>
        <v>0</v>
      </c>
      <c r="AF272" s="304">
        <f>SUMIFS('PCO Log'!$E96:$SJ96,'PCO Log'!$E$9:$SJ$9,'Graph Data'!AF$187,'PCO Log'!$E$4:$SJ$4,"&lt;&gt;Bid Package",'PCO Log'!$E$7:$SJ$7,"Approved")</f>
        <v>0</v>
      </c>
      <c r="AG272" s="304">
        <f>SUMIFS('PCO Log'!$E96:$SJ96,'PCO Log'!$E$9:$SJ$9,'Graph Data'!AG$187,'PCO Log'!$E$4:$SJ$4,"&lt;&gt;Bid Package",'PCO Log'!$E$7:$SJ$7,"Approved")</f>
        <v>0</v>
      </c>
      <c r="AH272" s="304">
        <f>SUMIFS('PCO Log'!$E96:$SJ96,'PCO Log'!$E$9:$SJ$9,'Graph Data'!AH$187,'PCO Log'!$E$4:$SJ$4,"&lt;&gt;Bid Package",'PCO Log'!$E$7:$SJ$7,"Approved")</f>
        <v>0</v>
      </c>
      <c r="AI272" s="304">
        <f>SUMIFS('PCO Log'!$E96:$SJ96,'PCO Log'!$E$9:$SJ$9,'Graph Data'!AI$187,'PCO Log'!$E$4:$SJ$4,"&lt;&gt;Bid Package",'PCO Log'!$E$7:$SJ$7,"Approved")</f>
        <v>0</v>
      </c>
      <c r="AJ272" s="304">
        <f>SUMIFS('PCO Log'!$E96:$SJ96,'PCO Log'!$E$9:$SJ$9,'Graph Data'!AJ$187,'PCO Log'!$E$4:$SJ$4,"&lt;&gt;Bid Package",'PCO Log'!$E$7:$SJ$7,"Approved")</f>
        <v>0</v>
      </c>
      <c r="AK272" s="304">
        <f>SUMIFS('PCO Log'!$E96:$SJ96,'PCO Log'!$E$9:$SJ$9,'Graph Data'!AK$187,'PCO Log'!$E$4:$SJ$4,"&lt;&gt;Bid Package",'PCO Log'!$E$7:$SJ$7,"Approved")</f>
        <v>0</v>
      </c>
      <c r="AL272" s="304">
        <f>SUMIFS('PCO Log'!$E96:$SJ96,'PCO Log'!$E$9:$SJ$9,'Graph Data'!AL$187,'PCO Log'!$E$4:$SJ$4,"&lt;&gt;Bid Package",'PCO Log'!$E$7:$SJ$7,"Approved")</f>
        <v>0</v>
      </c>
      <c r="AM272" s="304">
        <f>SUMIFS('PCO Log'!$E96:$SJ96,'PCO Log'!$E$9:$SJ$9,'Graph Data'!AM$187,'PCO Log'!$E$4:$SJ$4,"&lt;&gt;Bid Package",'PCO Log'!$E$7:$SJ$7,"Approved")</f>
        <v>0</v>
      </c>
      <c r="AN272" s="304">
        <f>SUMIFS('PCO Log'!$E96:$SJ96,'PCO Log'!$E$9:$SJ$9,'Graph Data'!AN$187,'PCO Log'!$E$4:$SJ$4,"&lt;&gt;Bid Package",'PCO Log'!$E$7:$SJ$7,"Approved")</f>
        <v>0</v>
      </c>
      <c r="AO272" s="304">
        <f>SUMIFS('PCO Log'!$E96:$SJ96,'PCO Log'!$E$9:$SJ$9,'Graph Data'!AO$187,'PCO Log'!$E$4:$SJ$4,"&lt;&gt;Bid Package",'PCO Log'!$E$7:$SJ$7,"Approved")</f>
        <v>0</v>
      </c>
      <c r="AP272" s="304">
        <f>SUMIFS('PCO Log'!$E96:$SJ96,'PCO Log'!$E$9:$SJ$9,'Graph Data'!AP$187,'PCO Log'!$E$4:$SJ$4,"&lt;&gt;Bid Package",'PCO Log'!$E$7:$SJ$7,"Approved")</f>
        <v>0</v>
      </c>
      <c r="AQ272" s="304">
        <f>SUMIFS('PCO Log'!$E96:$SJ96,'PCO Log'!$E$9:$SJ$9,'Graph Data'!AQ$187,'PCO Log'!$E$4:$SJ$4,"&lt;&gt;Bid Package",'PCO Log'!$E$7:$SJ$7,"Approved")</f>
        <v>0</v>
      </c>
      <c r="AR272" s="304">
        <f>SUMIFS('PCO Log'!$E96:$SJ96,'PCO Log'!$E$9:$SJ$9,'Graph Data'!AR$187,'PCO Log'!$E$4:$SJ$4,"&lt;&gt;Bid Package",'PCO Log'!$E$7:$SJ$7,"Approved")</f>
        <v>0</v>
      </c>
      <c r="AS272" s="304">
        <f>SUMIFS('PCO Log'!$E96:$SJ96,'PCO Log'!$E$9:$SJ$9,'Graph Data'!AS$187,'PCO Log'!$E$4:$SJ$4,"&lt;&gt;Bid Package",'PCO Log'!$E$7:$SJ$7,"Approved")</f>
        <v>0</v>
      </c>
      <c r="AT272" s="304">
        <f>SUMIFS('PCO Log'!$E96:$SJ96,'PCO Log'!$E$9:$SJ$9,'Graph Data'!AT$187,'PCO Log'!$E$4:$SJ$4,"&lt;&gt;Bid Package",'PCO Log'!$E$7:$SJ$7,"Approved")</f>
        <v>0</v>
      </c>
      <c r="AU272" s="304">
        <f>SUMIFS('PCO Log'!$E96:$SJ96,'PCO Log'!$E$9:$SJ$9,'Graph Data'!AU$187,'PCO Log'!$E$4:$SJ$4,"&lt;&gt;Bid Package",'PCO Log'!$E$7:$SJ$7,"Approved")</f>
        <v>0</v>
      </c>
      <c r="AV272" s="304">
        <f>SUMIFS('PCO Log'!$E96:$SJ96,'PCO Log'!$E$9:$SJ$9,'Graph Data'!AV$187,'PCO Log'!$E$4:$SJ$4,"&lt;&gt;Bid Package",'PCO Log'!$E$7:$SJ$7,"Approved")</f>
        <v>0</v>
      </c>
      <c r="AW272" s="304">
        <f>SUMIFS('PCO Log'!$E96:$SJ96,'PCO Log'!$E$9:$SJ$9,'Graph Data'!AW$187,'PCO Log'!$E$4:$SJ$4,"&lt;&gt;Bid Package",'PCO Log'!$E$7:$SJ$7,"Approved")</f>
        <v>0</v>
      </c>
      <c r="AX272" s="304">
        <f>SUMIFS('PCO Log'!$E96:$SJ96,'PCO Log'!$E$9:$SJ$9,'Graph Data'!AX$187,'PCO Log'!$E$4:$SJ$4,"&lt;&gt;Bid Package",'PCO Log'!$E$7:$SJ$7,"Approved")</f>
        <v>0</v>
      </c>
      <c r="AY272" s="304">
        <f>SUMIFS('PCO Log'!$E96:$SJ96,'PCO Log'!$E$9:$SJ$9,'Graph Data'!AY$187,'PCO Log'!$E$4:$SJ$4,"&lt;&gt;Bid Package",'PCO Log'!$E$7:$SJ$7,"Approved")</f>
        <v>0</v>
      </c>
      <c r="AZ272" s="304">
        <f>SUMIFS('PCO Log'!$E96:$SJ96,'PCO Log'!$E$9:$SJ$9,'Graph Data'!AZ$187,'PCO Log'!$E$4:$SJ$4,"&lt;&gt;Bid Package",'PCO Log'!$E$7:$SJ$7,"Approved")</f>
        <v>0</v>
      </c>
      <c r="BA272" s="304">
        <f>SUMIFS('PCO Log'!$E96:$SJ96,'PCO Log'!$E$9:$SJ$9,'Graph Data'!BA$187,'PCO Log'!$E$4:$SJ$4,"&lt;&gt;Bid Package",'PCO Log'!$E$7:$SJ$7,"Approved")</f>
        <v>0</v>
      </c>
      <c r="BB272" s="304">
        <f>SUMIFS('PCO Log'!$E96:$SJ96,'PCO Log'!$E$9:$SJ$9,'Graph Data'!BB$187,'PCO Log'!$E$4:$SJ$4,"&lt;&gt;Bid Package",'PCO Log'!$E$7:$SJ$7,"Approved")</f>
        <v>0</v>
      </c>
      <c r="BC272" s="304">
        <f>SUMIFS('PCO Log'!$E96:$SJ96,'PCO Log'!$E$9:$SJ$9,'Graph Data'!BC$187,'PCO Log'!$E$4:$SJ$4,"&lt;&gt;Bid Package",'PCO Log'!$E$7:$SJ$7,"Approved")</f>
        <v>0</v>
      </c>
      <c r="BD272" s="304">
        <f>SUMIFS('PCO Log'!$E96:$SJ96,'PCO Log'!$E$9:$SJ$9,'Graph Data'!BD$187,'PCO Log'!$E$4:$SJ$4,"&lt;&gt;Bid Package",'PCO Log'!$E$7:$SJ$7,"Approved")</f>
        <v>0</v>
      </c>
      <c r="BE272" s="304">
        <f>SUMIFS('PCO Log'!$E96:$SJ96,'PCO Log'!$E$9:$SJ$9,'Graph Data'!BE$187,'PCO Log'!$E$4:$SJ$4,"&lt;&gt;Bid Package",'PCO Log'!$E$7:$SJ$7,"Approved")</f>
        <v>0</v>
      </c>
      <c r="BF272" s="304">
        <f>SUMIFS('PCO Log'!$E96:$SJ96,'PCO Log'!$E$9:$SJ$9,'Graph Data'!BF$187,'PCO Log'!$E$4:$SJ$4,"&lt;&gt;Bid Package",'PCO Log'!$E$7:$SJ$7,"Approved")</f>
        <v>0</v>
      </c>
      <c r="BG272" s="304">
        <f>SUMIFS('PCO Log'!$E96:$SJ96,'PCO Log'!$E$9:$SJ$9,'Graph Data'!BG$187,'PCO Log'!$E$4:$SJ$4,"&lt;&gt;Bid Package",'PCO Log'!$E$7:$SJ$7,"Approved")</f>
        <v>0</v>
      </c>
      <c r="BH272" s="304">
        <f>SUMIFS('PCO Log'!$E96:$SJ96,'PCO Log'!$E$9:$SJ$9,'Graph Data'!BH$187,'PCO Log'!$E$4:$SJ$4,"&lt;&gt;Bid Package",'PCO Log'!$E$7:$SJ$7,"Approved")</f>
        <v>0</v>
      </c>
      <c r="BI272" s="304">
        <f>SUMIFS('PCO Log'!$E96:$SJ96,'PCO Log'!$E$9:$SJ$9,'Graph Data'!BI$187,'PCO Log'!$E$4:$SJ$4,"&lt;&gt;Bid Package",'PCO Log'!$E$7:$SJ$7,"Approved")</f>
        <v>0</v>
      </c>
      <c r="BJ272" s="304">
        <f>SUMIFS('PCO Log'!$E96:$SJ96,'PCO Log'!$E$9:$SJ$9,'Graph Data'!BJ$187,'PCO Log'!$E$4:$SJ$4,"&lt;&gt;Bid Package",'PCO Log'!$E$7:$SJ$7,"Approved")</f>
        <v>0</v>
      </c>
      <c r="BK272" s="304">
        <f>SUMIFS('PCO Log'!$E96:$SJ96,'PCO Log'!$E$9:$SJ$9,'Graph Data'!BK$187,'PCO Log'!$E$4:$SJ$4,"&lt;&gt;Bid Package",'PCO Log'!$E$7:$SJ$7,"Approved")</f>
        <v>0</v>
      </c>
      <c r="BL272" s="304">
        <f>SUMIFS('PCO Log'!$E96:$SJ96,'PCO Log'!$E$9:$SJ$9,'Graph Data'!BL$187,'PCO Log'!$E$4:$SJ$4,"&lt;&gt;Bid Package",'PCO Log'!$E$7:$SJ$7,"Approved")</f>
        <v>0</v>
      </c>
      <c r="BM272" s="304">
        <f>SUMIFS('PCO Log'!$E96:$SJ96,'PCO Log'!$E$9:$SJ$9,'Graph Data'!BM$187,'PCO Log'!$E$4:$SJ$4,"&lt;&gt;Bid Package",'PCO Log'!$E$7:$SJ$7,"Approved")</f>
        <v>0</v>
      </c>
      <c r="BN272" s="304">
        <f>SUMIFS('PCO Log'!$E96:$SJ96,'PCO Log'!$E$9:$SJ$9,'Graph Data'!BN$187,'PCO Log'!$E$4:$SJ$4,"&lt;&gt;Bid Package",'PCO Log'!$E$7:$SJ$7,"Approved")</f>
        <v>0</v>
      </c>
      <c r="BO272" s="304">
        <f>SUMIFS('PCO Log'!$E96:$SJ96,'PCO Log'!$E$9:$SJ$9,'Graph Data'!BO$187,'PCO Log'!$E$4:$SJ$4,"&lt;&gt;Bid Package",'PCO Log'!$E$7:$SJ$7,"Approved")</f>
        <v>0</v>
      </c>
      <c r="BP272" s="304">
        <f>SUMIFS('PCO Log'!$E96:$SJ96,'PCO Log'!$E$9:$SJ$9,'Graph Data'!BP$187,'PCO Log'!$E$4:$SJ$4,"&lt;&gt;Bid Package",'PCO Log'!$E$7:$SJ$7,"Approved")</f>
        <v>0</v>
      </c>
      <c r="BQ272" s="304">
        <f>SUMIFS('PCO Log'!$E96:$SJ96,'PCO Log'!$E$9:$SJ$9,'Graph Data'!BQ$187,'PCO Log'!$E$4:$SJ$4,"&lt;&gt;Bid Package",'PCO Log'!$E$7:$SJ$7,"Approved")</f>
        <v>0</v>
      </c>
      <c r="BR272" s="304">
        <f>SUMIFS('PCO Log'!$E96:$SJ96,'PCO Log'!$E$9:$SJ$9,'Graph Data'!BR$187,'PCO Log'!$E$4:$SJ$4,"&lt;&gt;Bid Package",'PCO Log'!$E$7:$SJ$7,"Approved")</f>
        <v>0</v>
      </c>
      <c r="BS272" s="304">
        <f>SUMIFS('PCO Log'!$E96:$SJ96,'PCO Log'!$E$9:$SJ$9,'Graph Data'!BS$187,'PCO Log'!$E$4:$SJ$4,"&lt;&gt;Bid Package",'PCO Log'!$E$7:$SJ$7,"Approved")</f>
        <v>0</v>
      </c>
      <c r="BT272" s="304">
        <f>SUMIFS('PCO Log'!$E96:$SJ96,'PCO Log'!$E$9:$SJ$9,'Graph Data'!BT$187,'PCO Log'!$E$4:$SJ$4,"&lt;&gt;Bid Package",'PCO Log'!$E$7:$SJ$7,"Approved")</f>
        <v>0</v>
      </c>
      <c r="BU272" s="304">
        <f>SUMIFS('PCO Log'!$E96:$SJ96,'PCO Log'!$E$9:$SJ$9,'Graph Data'!BU$187,'PCO Log'!$E$4:$SJ$4,"&lt;&gt;Bid Package",'PCO Log'!$E$7:$SJ$7,"Approved")</f>
        <v>0</v>
      </c>
      <c r="BV272" s="304">
        <f>SUMIFS('PCO Log'!$E96:$SJ96,'PCO Log'!$E$9:$SJ$9,'Graph Data'!BV$187,'PCO Log'!$E$4:$SJ$4,"&lt;&gt;Bid Package",'PCO Log'!$E$7:$SJ$7,"Approved")</f>
        <v>0</v>
      </c>
      <c r="BW272" s="304">
        <f>SUMIFS('PCO Log'!$E96:$SJ96,'PCO Log'!$E$9:$SJ$9,'Graph Data'!BW$187,'PCO Log'!$E$4:$SJ$4,"&lt;&gt;Bid Package",'PCO Log'!$E$7:$SJ$7,"Approved")</f>
        <v>0</v>
      </c>
      <c r="BX272" s="304">
        <f>SUMIFS('PCO Log'!$E96:$SJ96,'PCO Log'!$E$9:$SJ$9,'Graph Data'!BX$187,'PCO Log'!$E$4:$SJ$4,"&lt;&gt;Bid Package",'PCO Log'!$E$7:$SJ$7,"Approved")</f>
        <v>0</v>
      </c>
    </row>
    <row r="273" spans="1:76" x14ac:dyDescent="0.25">
      <c r="A273" s="303" t="s">
        <v>623</v>
      </c>
      <c r="B273" s="303">
        <f>'PCO Log'!JP7</f>
        <v>0</v>
      </c>
      <c r="C273" s="303">
        <f>'PCO Log'!JP4</f>
        <v>0</v>
      </c>
      <c r="D273" s="303" cm="1">
        <f t="array" ref="D273">INDEX('PCO Log'!$E$5:$SJ$5, 1, ROWS('Graph Data'!$D$2:D273))</f>
        <v>0</v>
      </c>
      <c r="E273" s="303">
        <f>'PCO Log'!JP8</f>
        <v>0</v>
      </c>
      <c r="F273" s="303">
        <f>'PCO Log'!JP3</f>
        <v>0</v>
      </c>
      <c r="G273" s="304">
        <f>'PCO Log'!JP10</f>
        <v>0</v>
      </c>
      <c r="H273" s="305">
        <f>'PCO Log'!JP6</f>
        <v>0</v>
      </c>
      <c r="K273" s="307"/>
      <c r="P273" s="303" t="str">
        <f t="shared" si="4"/>
        <v>Other - Please Specify</v>
      </c>
      <c r="Q273" s="304">
        <f>SUMIFS('PCO Log'!$E97:$SJ97,'PCO Log'!$E$9:$SJ$9,'Graph Data'!Q$187,'PCO Log'!$E$4:$SJ$4,"&lt;&gt;Bid Package",'PCO Log'!$E$7:$SJ$7,"Approved")</f>
        <v>0</v>
      </c>
      <c r="R273" s="304">
        <f>SUMIFS('PCO Log'!$E97:$SJ97,'PCO Log'!$E$9:$SJ$9,'Graph Data'!R$187,'PCO Log'!$E$4:$SJ$4,"&lt;&gt;Bid Package",'PCO Log'!$E$7:$SJ$7,"Approved")</f>
        <v>0</v>
      </c>
      <c r="S273" s="304">
        <f>SUMIFS('PCO Log'!$E97:$SJ97,'PCO Log'!$E$9:$SJ$9,'Graph Data'!S$187,'PCO Log'!$E$4:$SJ$4,"&lt;&gt;Bid Package",'PCO Log'!$E$7:$SJ$7,"Approved")</f>
        <v>0</v>
      </c>
      <c r="T273" s="304">
        <f>SUMIFS('PCO Log'!$E97:$SJ97,'PCO Log'!$E$9:$SJ$9,'Graph Data'!T$187,'PCO Log'!$E$4:$SJ$4,"&lt;&gt;Bid Package",'PCO Log'!$E$7:$SJ$7,"Approved")</f>
        <v>0</v>
      </c>
      <c r="U273" s="304">
        <f>SUMIFS('PCO Log'!$E97:$SJ97,'PCO Log'!$E$9:$SJ$9,'Graph Data'!U$187,'PCO Log'!$E$4:$SJ$4,"&lt;&gt;Bid Package",'PCO Log'!$E$7:$SJ$7,"Approved")</f>
        <v>0</v>
      </c>
      <c r="V273" s="304">
        <f>SUMIFS('PCO Log'!$E97:$SJ97,'PCO Log'!$E$9:$SJ$9,'Graph Data'!V$187,'PCO Log'!$E$4:$SJ$4,"&lt;&gt;Bid Package",'PCO Log'!$E$7:$SJ$7,"Approved")</f>
        <v>0</v>
      </c>
      <c r="W273" s="304">
        <f>SUMIFS('PCO Log'!$E97:$SJ97,'PCO Log'!$E$9:$SJ$9,'Graph Data'!W$187,'PCO Log'!$E$4:$SJ$4,"&lt;&gt;Bid Package",'PCO Log'!$E$7:$SJ$7,"Approved")</f>
        <v>0</v>
      </c>
      <c r="X273" s="304">
        <f>SUMIFS('PCO Log'!$E97:$SJ97,'PCO Log'!$E$9:$SJ$9,'Graph Data'!X$187,'PCO Log'!$E$4:$SJ$4,"&lt;&gt;Bid Package",'PCO Log'!$E$7:$SJ$7,"Approved")</f>
        <v>0</v>
      </c>
      <c r="Y273" s="304">
        <f>SUMIFS('PCO Log'!$E97:$SJ97,'PCO Log'!$E$9:$SJ$9,'Graph Data'!Y$187,'PCO Log'!$E$4:$SJ$4,"&lt;&gt;Bid Package",'PCO Log'!$E$7:$SJ$7,"Approved")</f>
        <v>0</v>
      </c>
      <c r="Z273" s="304">
        <f>SUMIFS('PCO Log'!$E97:$SJ97,'PCO Log'!$E$9:$SJ$9,'Graph Data'!Z$187,'PCO Log'!$E$4:$SJ$4,"&lt;&gt;Bid Package",'PCO Log'!$E$7:$SJ$7,"Approved")</f>
        <v>0</v>
      </c>
      <c r="AA273" s="304">
        <f>SUMIFS('PCO Log'!$E97:$SJ97,'PCO Log'!$E$9:$SJ$9,'Graph Data'!AA$187,'PCO Log'!$E$4:$SJ$4,"&lt;&gt;Bid Package",'PCO Log'!$E$7:$SJ$7,"Approved")</f>
        <v>0</v>
      </c>
      <c r="AB273" s="304">
        <f>SUMIFS('PCO Log'!$E97:$SJ97,'PCO Log'!$E$9:$SJ$9,'Graph Data'!AB$187,'PCO Log'!$E$4:$SJ$4,"&lt;&gt;Bid Package",'PCO Log'!$E$7:$SJ$7,"Approved")</f>
        <v>0</v>
      </c>
      <c r="AC273" s="304">
        <f>SUMIFS('PCO Log'!$E97:$SJ97,'PCO Log'!$E$9:$SJ$9,'Graph Data'!AC$187,'PCO Log'!$E$4:$SJ$4,"&lt;&gt;Bid Package",'PCO Log'!$E$7:$SJ$7,"Approved")</f>
        <v>0</v>
      </c>
      <c r="AD273" s="304">
        <f>SUMIFS('PCO Log'!$E97:$SJ97,'PCO Log'!$E$9:$SJ$9,'Graph Data'!AD$187,'PCO Log'!$E$4:$SJ$4,"&lt;&gt;Bid Package",'PCO Log'!$E$7:$SJ$7,"Approved")</f>
        <v>0</v>
      </c>
      <c r="AE273" s="304">
        <f>SUMIFS('PCO Log'!$E97:$SJ97,'PCO Log'!$E$9:$SJ$9,'Graph Data'!AE$187,'PCO Log'!$E$4:$SJ$4,"&lt;&gt;Bid Package",'PCO Log'!$E$7:$SJ$7,"Approved")</f>
        <v>0</v>
      </c>
      <c r="AF273" s="304">
        <f>SUMIFS('PCO Log'!$E97:$SJ97,'PCO Log'!$E$9:$SJ$9,'Graph Data'!AF$187,'PCO Log'!$E$4:$SJ$4,"&lt;&gt;Bid Package",'PCO Log'!$E$7:$SJ$7,"Approved")</f>
        <v>0</v>
      </c>
      <c r="AG273" s="304">
        <f>SUMIFS('PCO Log'!$E97:$SJ97,'PCO Log'!$E$9:$SJ$9,'Graph Data'!AG$187,'PCO Log'!$E$4:$SJ$4,"&lt;&gt;Bid Package",'PCO Log'!$E$7:$SJ$7,"Approved")</f>
        <v>0</v>
      </c>
      <c r="AH273" s="304">
        <f>SUMIFS('PCO Log'!$E97:$SJ97,'PCO Log'!$E$9:$SJ$9,'Graph Data'!AH$187,'PCO Log'!$E$4:$SJ$4,"&lt;&gt;Bid Package",'PCO Log'!$E$7:$SJ$7,"Approved")</f>
        <v>0</v>
      </c>
      <c r="AI273" s="304">
        <f>SUMIFS('PCO Log'!$E97:$SJ97,'PCO Log'!$E$9:$SJ$9,'Graph Data'!AI$187,'PCO Log'!$E$4:$SJ$4,"&lt;&gt;Bid Package",'PCO Log'!$E$7:$SJ$7,"Approved")</f>
        <v>0</v>
      </c>
      <c r="AJ273" s="304">
        <f>SUMIFS('PCO Log'!$E97:$SJ97,'PCO Log'!$E$9:$SJ$9,'Graph Data'!AJ$187,'PCO Log'!$E$4:$SJ$4,"&lt;&gt;Bid Package",'PCO Log'!$E$7:$SJ$7,"Approved")</f>
        <v>0</v>
      </c>
      <c r="AK273" s="304">
        <f>SUMIFS('PCO Log'!$E97:$SJ97,'PCO Log'!$E$9:$SJ$9,'Graph Data'!AK$187,'PCO Log'!$E$4:$SJ$4,"&lt;&gt;Bid Package",'PCO Log'!$E$7:$SJ$7,"Approved")</f>
        <v>0</v>
      </c>
      <c r="AL273" s="304">
        <f>SUMIFS('PCO Log'!$E97:$SJ97,'PCO Log'!$E$9:$SJ$9,'Graph Data'!AL$187,'PCO Log'!$E$4:$SJ$4,"&lt;&gt;Bid Package",'PCO Log'!$E$7:$SJ$7,"Approved")</f>
        <v>0</v>
      </c>
      <c r="AM273" s="304">
        <f>SUMIFS('PCO Log'!$E97:$SJ97,'PCO Log'!$E$9:$SJ$9,'Graph Data'!AM$187,'PCO Log'!$E$4:$SJ$4,"&lt;&gt;Bid Package",'PCO Log'!$E$7:$SJ$7,"Approved")</f>
        <v>0</v>
      </c>
      <c r="AN273" s="304">
        <f>SUMIFS('PCO Log'!$E97:$SJ97,'PCO Log'!$E$9:$SJ$9,'Graph Data'!AN$187,'PCO Log'!$E$4:$SJ$4,"&lt;&gt;Bid Package",'PCO Log'!$E$7:$SJ$7,"Approved")</f>
        <v>0</v>
      </c>
      <c r="AO273" s="304">
        <f>SUMIFS('PCO Log'!$E97:$SJ97,'PCO Log'!$E$9:$SJ$9,'Graph Data'!AO$187,'PCO Log'!$E$4:$SJ$4,"&lt;&gt;Bid Package",'PCO Log'!$E$7:$SJ$7,"Approved")</f>
        <v>0</v>
      </c>
      <c r="AP273" s="304">
        <f>SUMIFS('PCO Log'!$E97:$SJ97,'PCO Log'!$E$9:$SJ$9,'Graph Data'!AP$187,'PCO Log'!$E$4:$SJ$4,"&lt;&gt;Bid Package",'PCO Log'!$E$7:$SJ$7,"Approved")</f>
        <v>0</v>
      </c>
      <c r="AQ273" s="304">
        <f>SUMIFS('PCO Log'!$E97:$SJ97,'PCO Log'!$E$9:$SJ$9,'Graph Data'!AQ$187,'PCO Log'!$E$4:$SJ$4,"&lt;&gt;Bid Package",'PCO Log'!$E$7:$SJ$7,"Approved")</f>
        <v>0</v>
      </c>
      <c r="AR273" s="304">
        <f>SUMIFS('PCO Log'!$E97:$SJ97,'PCO Log'!$E$9:$SJ$9,'Graph Data'!AR$187,'PCO Log'!$E$4:$SJ$4,"&lt;&gt;Bid Package",'PCO Log'!$E$7:$SJ$7,"Approved")</f>
        <v>0</v>
      </c>
      <c r="AS273" s="304">
        <f>SUMIFS('PCO Log'!$E97:$SJ97,'PCO Log'!$E$9:$SJ$9,'Graph Data'!AS$187,'PCO Log'!$E$4:$SJ$4,"&lt;&gt;Bid Package",'PCO Log'!$E$7:$SJ$7,"Approved")</f>
        <v>0</v>
      </c>
      <c r="AT273" s="304">
        <f>SUMIFS('PCO Log'!$E97:$SJ97,'PCO Log'!$E$9:$SJ$9,'Graph Data'!AT$187,'PCO Log'!$E$4:$SJ$4,"&lt;&gt;Bid Package",'PCO Log'!$E$7:$SJ$7,"Approved")</f>
        <v>0</v>
      </c>
      <c r="AU273" s="304">
        <f>SUMIFS('PCO Log'!$E97:$SJ97,'PCO Log'!$E$9:$SJ$9,'Graph Data'!AU$187,'PCO Log'!$E$4:$SJ$4,"&lt;&gt;Bid Package",'PCO Log'!$E$7:$SJ$7,"Approved")</f>
        <v>0</v>
      </c>
      <c r="AV273" s="304">
        <f>SUMIFS('PCO Log'!$E97:$SJ97,'PCO Log'!$E$9:$SJ$9,'Graph Data'!AV$187,'PCO Log'!$E$4:$SJ$4,"&lt;&gt;Bid Package",'PCO Log'!$E$7:$SJ$7,"Approved")</f>
        <v>0</v>
      </c>
      <c r="AW273" s="304">
        <f>SUMIFS('PCO Log'!$E97:$SJ97,'PCO Log'!$E$9:$SJ$9,'Graph Data'!AW$187,'PCO Log'!$E$4:$SJ$4,"&lt;&gt;Bid Package",'PCO Log'!$E$7:$SJ$7,"Approved")</f>
        <v>0</v>
      </c>
      <c r="AX273" s="304">
        <f>SUMIFS('PCO Log'!$E97:$SJ97,'PCO Log'!$E$9:$SJ$9,'Graph Data'!AX$187,'PCO Log'!$E$4:$SJ$4,"&lt;&gt;Bid Package",'PCO Log'!$E$7:$SJ$7,"Approved")</f>
        <v>0</v>
      </c>
      <c r="AY273" s="304">
        <f>SUMIFS('PCO Log'!$E97:$SJ97,'PCO Log'!$E$9:$SJ$9,'Graph Data'!AY$187,'PCO Log'!$E$4:$SJ$4,"&lt;&gt;Bid Package",'PCO Log'!$E$7:$SJ$7,"Approved")</f>
        <v>0</v>
      </c>
      <c r="AZ273" s="304">
        <f>SUMIFS('PCO Log'!$E97:$SJ97,'PCO Log'!$E$9:$SJ$9,'Graph Data'!AZ$187,'PCO Log'!$E$4:$SJ$4,"&lt;&gt;Bid Package",'PCO Log'!$E$7:$SJ$7,"Approved")</f>
        <v>0</v>
      </c>
      <c r="BA273" s="304">
        <f>SUMIFS('PCO Log'!$E97:$SJ97,'PCO Log'!$E$9:$SJ$9,'Graph Data'!BA$187,'PCO Log'!$E$4:$SJ$4,"&lt;&gt;Bid Package",'PCO Log'!$E$7:$SJ$7,"Approved")</f>
        <v>0</v>
      </c>
      <c r="BB273" s="304">
        <f>SUMIFS('PCO Log'!$E97:$SJ97,'PCO Log'!$E$9:$SJ$9,'Graph Data'!BB$187,'PCO Log'!$E$4:$SJ$4,"&lt;&gt;Bid Package",'PCO Log'!$E$7:$SJ$7,"Approved")</f>
        <v>0</v>
      </c>
      <c r="BC273" s="304">
        <f>SUMIFS('PCO Log'!$E97:$SJ97,'PCO Log'!$E$9:$SJ$9,'Graph Data'!BC$187,'PCO Log'!$E$4:$SJ$4,"&lt;&gt;Bid Package",'PCO Log'!$E$7:$SJ$7,"Approved")</f>
        <v>0</v>
      </c>
      <c r="BD273" s="304">
        <f>SUMIFS('PCO Log'!$E97:$SJ97,'PCO Log'!$E$9:$SJ$9,'Graph Data'!BD$187,'PCO Log'!$E$4:$SJ$4,"&lt;&gt;Bid Package",'PCO Log'!$E$7:$SJ$7,"Approved")</f>
        <v>0</v>
      </c>
      <c r="BE273" s="304">
        <f>SUMIFS('PCO Log'!$E97:$SJ97,'PCO Log'!$E$9:$SJ$9,'Graph Data'!BE$187,'PCO Log'!$E$4:$SJ$4,"&lt;&gt;Bid Package",'PCO Log'!$E$7:$SJ$7,"Approved")</f>
        <v>0</v>
      </c>
      <c r="BF273" s="304">
        <f>SUMIFS('PCO Log'!$E97:$SJ97,'PCO Log'!$E$9:$SJ$9,'Graph Data'!BF$187,'PCO Log'!$E$4:$SJ$4,"&lt;&gt;Bid Package",'PCO Log'!$E$7:$SJ$7,"Approved")</f>
        <v>0</v>
      </c>
      <c r="BG273" s="304">
        <f>SUMIFS('PCO Log'!$E97:$SJ97,'PCO Log'!$E$9:$SJ$9,'Graph Data'!BG$187,'PCO Log'!$E$4:$SJ$4,"&lt;&gt;Bid Package",'PCO Log'!$E$7:$SJ$7,"Approved")</f>
        <v>0</v>
      </c>
      <c r="BH273" s="304">
        <f>SUMIFS('PCO Log'!$E97:$SJ97,'PCO Log'!$E$9:$SJ$9,'Graph Data'!BH$187,'PCO Log'!$E$4:$SJ$4,"&lt;&gt;Bid Package",'PCO Log'!$E$7:$SJ$7,"Approved")</f>
        <v>0</v>
      </c>
      <c r="BI273" s="304">
        <f>SUMIFS('PCO Log'!$E97:$SJ97,'PCO Log'!$E$9:$SJ$9,'Graph Data'!BI$187,'PCO Log'!$E$4:$SJ$4,"&lt;&gt;Bid Package",'PCO Log'!$E$7:$SJ$7,"Approved")</f>
        <v>0</v>
      </c>
      <c r="BJ273" s="304">
        <f>SUMIFS('PCO Log'!$E97:$SJ97,'PCO Log'!$E$9:$SJ$9,'Graph Data'!BJ$187,'PCO Log'!$E$4:$SJ$4,"&lt;&gt;Bid Package",'PCO Log'!$E$7:$SJ$7,"Approved")</f>
        <v>0</v>
      </c>
      <c r="BK273" s="304">
        <f>SUMIFS('PCO Log'!$E97:$SJ97,'PCO Log'!$E$9:$SJ$9,'Graph Data'!BK$187,'PCO Log'!$E$4:$SJ$4,"&lt;&gt;Bid Package",'PCO Log'!$E$7:$SJ$7,"Approved")</f>
        <v>0</v>
      </c>
      <c r="BL273" s="304">
        <f>SUMIFS('PCO Log'!$E97:$SJ97,'PCO Log'!$E$9:$SJ$9,'Graph Data'!BL$187,'PCO Log'!$E$4:$SJ$4,"&lt;&gt;Bid Package",'PCO Log'!$E$7:$SJ$7,"Approved")</f>
        <v>0</v>
      </c>
      <c r="BM273" s="304">
        <f>SUMIFS('PCO Log'!$E97:$SJ97,'PCO Log'!$E$9:$SJ$9,'Graph Data'!BM$187,'PCO Log'!$E$4:$SJ$4,"&lt;&gt;Bid Package",'PCO Log'!$E$7:$SJ$7,"Approved")</f>
        <v>0</v>
      </c>
      <c r="BN273" s="304">
        <f>SUMIFS('PCO Log'!$E97:$SJ97,'PCO Log'!$E$9:$SJ$9,'Graph Data'!BN$187,'PCO Log'!$E$4:$SJ$4,"&lt;&gt;Bid Package",'PCO Log'!$E$7:$SJ$7,"Approved")</f>
        <v>0</v>
      </c>
      <c r="BO273" s="304">
        <f>SUMIFS('PCO Log'!$E97:$SJ97,'PCO Log'!$E$9:$SJ$9,'Graph Data'!BO$187,'PCO Log'!$E$4:$SJ$4,"&lt;&gt;Bid Package",'PCO Log'!$E$7:$SJ$7,"Approved")</f>
        <v>0</v>
      </c>
      <c r="BP273" s="304">
        <f>SUMIFS('PCO Log'!$E97:$SJ97,'PCO Log'!$E$9:$SJ$9,'Graph Data'!BP$187,'PCO Log'!$E$4:$SJ$4,"&lt;&gt;Bid Package",'PCO Log'!$E$7:$SJ$7,"Approved")</f>
        <v>0</v>
      </c>
      <c r="BQ273" s="304">
        <f>SUMIFS('PCO Log'!$E97:$SJ97,'PCO Log'!$E$9:$SJ$9,'Graph Data'!BQ$187,'PCO Log'!$E$4:$SJ$4,"&lt;&gt;Bid Package",'PCO Log'!$E$7:$SJ$7,"Approved")</f>
        <v>0</v>
      </c>
      <c r="BR273" s="304">
        <f>SUMIFS('PCO Log'!$E97:$SJ97,'PCO Log'!$E$9:$SJ$9,'Graph Data'!BR$187,'PCO Log'!$E$4:$SJ$4,"&lt;&gt;Bid Package",'PCO Log'!$E$7:$SJ$7,"Approved")</f>
        <v>0</v>
      </c>
      <c r="BS273" s="304">
        <f>SUMIFS('PCO Log'!$E97:$SJ97,'PCO Log'!$E$9:$SJ$9,'Graph Data'!BS$187,'PCO Log'!$E$4:$SJ$4,"&lt;&gt;Bid Package",'PCO Log'!$E$7:$SJ$7,"Approved")</f>
        <v>0</v>
      </c>
      <c r="BT273" s="304">
        <f>SUMIFS('PCO Log'!$E97:$SJ97,'PCO Log'!$E$9:$SJ$9,'Graph Data'!BT$187,'PCO Log'!$E$4:$SJ$4,"&lt;&gt;Bid Package",'PCO Log'!$E$7:$SJ$7,"Approved")</f>
        <v>0</v>
      </c>
      <c r="BU273" s="304">
        <f>SUMIFS('PCO Log'!$E97:$SJ97,'PCO Log'!$E$9:$SJ$9,'Graph Data'!BU$187,'PCO Log'!$E$4:$SJ$4,"&lt;&gt;Bid Package",'PCO Log'!$E$7:$SJ$7,"Approved")</f>
        <v>0</v>
      </c>
      <c r="BV273" s="304">
        <f>SUMIFS('PCO Log'!$E97:$SJ97,'PCO Log'!$E$9:$SJ$9,'Graph Data'!BV$187,'PCO Log'!$E$4:$SJ$4,"&lt;&gt;Bid Package",'PCO Log'!$E$7:$SJ$7,"Approved")</f>
        <v>0</v>
      </c>
      <c r="BW273" s="304">
        <f>SUMIFS('PCO Log'!$E97:$SJ97,'PCO Log'!$E$9:$SJ$9,'Graph Data'!BW$187,'PCO Log'!$E$4:$SJ$4,"&lt;&gt;Bid Package",'PCO Log'!$E$7:$SJ$7,"Approved")</f>
        <v>0</v>
      </c>
      <c r="BX273" s="304">
        <f>SUMIFS('PCO Log'!$E97:$SJ97,'PCO Log'!$E$9:$SJ$9,'Graph Data'!BX$187,'PCO Log'!$E$4:$SJ$4,"&lt;&gt;Bid Package",'PCO Log'!$E$7:$SJ$7,"Approved")</f>
        <v>0</v>
      </c>
    </row>
    <row r="274" spans="1:76" x14ac:dyDescent="0.25">
      <c r="A274" s="303" t="s">
        <v>624</v>
      </c>
      <c r="B274" s="303">
        <f>'PCO Log'!JQ7</f>
        <v>0</v>
      </c>
      <c r="C274" s="303">
        <f>'PCO Log'!JQ4</f>
        <v>0</v>
      </c>
      <c r="D274" s="303" cm="1">
        <f t="array" ref="D274">INDEX('PCO Log'!$E$5:$SJ$5, 1, ROWS('Graph Data'!$D$2:D274))</f>
        <v>0</v>
      </c>
      <c r="E274" s="303">
        <f>'PCO Log'!JQ8</f>
        <v>0</v>
      </c>
      <c r="F274" s="303">
        <f>'PCO Log'!JQ3</f>
        <v>0</v>
      </c>
      <c r="G274" s="304">
        <f>'PCO Log'!JQ10</f>
        <v>0</v>
      </c>
      <c r="H274" s="305">
        <f>'PCO Log'!JQ6</f>
        <v>0</v>
      </c>
      <c r="K274" s="307"/>
      <c r="P274" s="303" t="str">
        <f t="shared" si="4"/>
        <v>Other - Please Specify</v>
      </c>
      <c r="Q274" s="304">
        <f>SUMIFS('PCO Log'!$E98:$SJ98,'PCO Log'!$E$9:$SJ$9,'Graph Data'!Q$187,'PCO Log'!$E$4:$SJ$4,"&lt;&gt;Bid Package",'PCO Log'!$E$7:$SJ$7,"Approved")</f>
        <v>0</v>
      </c>
      <c r="R274" s="304">
        <f>SUMIFS('PCO Log'!$E98:$SJ98,'PCO Log'!$E$9:$SJ$9,'Graph Data'!R$187,'PCO Log'!$E$4:$SJ$4,"&lt;&gt;Bid Package",'PCO Log'!$E$7:$SJ$7,"Approved")</f>
        <v>0</v>
      </c>
      <c r="S274" s="304">
        <f>SUMIFS('PCO Log'!$E98:$SJ98,'PCO Log'!$E$9:$SJ$9,'Graph Data'!S$187,'PCO Log'!$E$4:$SJ$4,"&lt;&gt;Bid Package",'PCO Log'!$E$7:$SJ$7,"Approved")</f>
        <v>0</v>
      </c>
      <c r="T274" s="304">
        <f>SUMIFS('PCO Log'!$E98:$SJ98,'PCO Log'!$E$9:$SJ$9,'Graph Data'!T$187,'PCO Log'!$E$4:$SJ$4,"&lt;&gt;Bid Package",'PCO Log'!$E$7:$SJ$7,"Approved")</f>
        <v>0</v>
      </c>
      <c r="U274" s="304">
        <f>SUMIFS('PCO Log'!$E98:$SJ98,'PCO Log'!$E$9:$SJ$9,'Graph Data'!U$187,'PCO Log'!$E$4:$SJ$4,"&lt;&gt;Bid Package",'PCO Log'!$E$7:$SJ$7,"Approved")</f>
        <v>0</v>
      </c>
      <c r="V274" s="304">
        <f>SUMIFS('PCO Log'!$E98:$SJ98,'PCO Log'!$E$9:$SJ$9,'Graph Data'!V$187,'PCO Log'!$E$4:$SJ$4,"&lt;&gt;Bid Package",'PCO Log'!$E$7:$SJ$7,"Approved")</f>
        <v>0</v>
      </c>
      <c r="W274" s="304">
        <f>SUMIFS('PCO Log'!$E98:$SJ98,'PCO Log'!$E$9:$SJ$9,'Graph Data'!W$187,'PCO Log'!$E$4:$SJ$4,"&lt;&gt;Bid Package",'PCO Log'!$E$7:$SJ$7,"Approved")</f>
        <v>0</v>
      </c>
      <c r="X274" s="304">
        <f>SUMIFS('PCO Log'!$E98:$SJ98,'PCO Log'!$E$9:$SJ$9,'Graph Data'!X$187,'PCO Log'!$E$4:$SJ$4,"&lt;&gt;Bid Package",'PCO Log'!$E$7:$SJ$7,"Approved")</f>
        <v>0</v>
      </c>
      <c r="Y274" s="304">
        <f>SUMIFS('PCO Log'!$E98:$SJ98,'PCO Log'!$E$9:$SJ$9,'Graph Data'!Y$187,'PCO Log'!$E$4:$SJ$4,"&lt;&gt;Bid Package",'PCO Log'!$E$7:$SJ$7,"Approved")</f>
        <v>0</v>
      </c>
      <c r="Z274" s="304">
        <f>SUMIFS('PCO Log'!$E98:$SJ98,'PCO Log'!$E$9:$SJ$9,'Graph Data'!Z$187,'PCO Log'!$E$4:$SJ$4,"&lt;&gt;Bid Package",'PCO Log'!$E$7:$SJ$7,"Approved")</f>
        <v>0</v>
      </c>
      <c r="AA274" s="304">
        <f>SUMIFS('PCO Log'!$E98:$SJ98,'PCO Log'!$E$9:$SJ$9,'Graph Data'!AA$187,'PCO Log'!$E$4:$SJ$4,"&lt;&gt;Bid Package",'PCO Log'!$E$7:$SJ$7,"Approved")</f>
        <v>0</v>
      </c>
      <c r="AB274" s="304">
        <f>SUMIFS('PCO Log'!$E98:$SJ98,'PCO Log'!$E$9:$SJ$9,'Graph Data'!AB$187,'PCO Log'!$E$4:$SJ$4,"&lt;&gt;Bid Package",'PCO Log'!$E$7:$SJ$7,"Approved")</f>
        <v>0</v>
      </c>
      <c r="AC274" s="304">
        <f>SUMIFS('PCO Log'!$E98:$SJ98,'PCO Log'!$E$9:$SJ$9,'Graph Data'!AC$187,'PCO Log'!$E$4:$SJ$4,"&lt;&gt;Bid Package",'PCO Log'!$E$7:$SJ$7,"Approved")</f>
        <v>0</v>
      </c>
      <c r="AD274" s="304">
        <f>SUMIFS('PCO Log'!$E98:$SJ98,'PCO Log'!$E$9:$SJ$9,'Graph Data'!AD$187,'PCO Log'!$E$4:$SJ$4,"&lt;&gt;Bid Package",'PCO Log'!$E$7:$SJ$7,"Approved")</f>
        <v>0</v>
      </c>
      <c r="AE274" s="304">
        <f>SUMIFS('PCO Log'!$E98:$SJ98,'PCO Log'!$E$9:$SJ$9,'Graph Data'!AE$187,'PCO Log'!$E$4:$SJ$4,"&lt;&gt;Bid Package",'PCO Log'!$E$7:$SJ$7,"Approved")</f>
        <v>0</v>
      </c>
      <c r="AF274" s="304">
        <f>SUMIFS('PCO Log'!$E98:$SJ98,'PCO Log'!$E$9:$SJ$9,'Graph Data'!AF$187,'PCO Log'!$E$4:$SJ$4,"&lt;&gt;Bid Package",'PCO Log'!$E$7:$SJ$7,"Approved")</f>
        <v>0</v>
      </c>
      <c r="AG274" s="304">
        <f>SUMIFS('PCO Log'!$E98:$SJ98,'PCO Log'!$E$9:$SJ$9,'Graph Data'!AG$187,'PCO Log'!$E$4:$SJ$4,"&lt;&gt;Bid Package",'PCO Log'!$E$7:$SJ$7,"Approved")</f>
        <v>0</v>
      </c>
      <c r="AH274" s="304">
        <f>SUMIFS('PCO Log'!$E98:$SJ98,'PCO Log'!$E$9:$SJ$9,'Graph Data'!AH$187,'PCO Log'!$E$4:$SJ$4,"&lt;&gt;Bid Package",'PCO Log'!$E$7:$SJ$7,"Approved")</f>
        <v>0</v>
      </c>
      <c r="AI274" s="304">
        <f>SUMIFS('PCO Log'!$E98:$SJ98,'PCO Log'!$E$9:$SJ$9,'Graph Data'!AI$187,'PCO Log'!$E$4:$SJ$4,"&lt;&gt;Bid Package",'PCO Log'!$E$7:$SJ$7,"Approved")</f>
        <v>0</v>
      </c>
      <c r="AJ274" s="304">
        <f>SUMIFS('PCO Log'!$E98:$SJ98,'PCO Log'!$E$9:$SJ$9,'Graph Data'!AJ$187,'PCO Log'!$E$4:$SJ$4,"&lt;&gt;Bid Package",'PCO Log'!$E$7:$SJ$7,"Approved")</f>
        <v>0</v>
      </c>
      <c r="AK274" s="304">
        <f>SUMIFS('PCO Log'!$E98:$SJ98,'PCO Log'!$E$9:$SJ$9,'Graph Data'!AK$187,'PCO Log'!$E$4:$SJ$4,"&lt;&gt;Bid Package",'PCO Log'!$E$7:$SJ$7,"Approved")</f>
        <v>0</v>
      </c>
      <c r="AL274" s="304">
        <f>SUMIFS('PCO Log'!$E98:$SJ98,'PCO Log'!$E$9:$SJ$9,'Graph Data'!AL$187,'PCO Log'!$E$4:$SJ$4,"&lt;&gt;Bid Package",'PCO Log'!$E$7:$SJ$7,"Approved")</f>
        <v>0</v>
      </c>
      <c r="AM274" s="304">
        <f>SUMIFS('PCO Log'!$E98:$SJ98,'PCO Log'!$E$9:$SJ$9,'Graph Data'!AM$187,'PCO Log'!$E$4:$SJ$4,"&lt;&gt;Bid Package",'PCO Log'!$E$7:$SJ$7,"Approved")</f>
        <v>0</v>
      </c>
      <c r="AN274" s="304">
        <f>SUMIFS('PCO Log'!$E98:$SJ98,'PCO Log'!$E$9:$SJ$9,'Graph Data'!AN$187,'PCO Log'!$E$4:$SJ$4,"&lt;&gt;Bid Package",'PCO Log'!$E$7:$SJ$7,"Approved")</f>
        <v>0</v>
      </c>
      <c r="AO274" s="304">
        <f>SUMIFS('PCO Log'!$E98:$SJ98,'PCO Log'!$E$9:$SJ$9,'Graph Data'!AO$187,'PCO Log'!$E$4:$SJ$4,"&lt;&gt;Bid Package",'PCO Log'!$E$7:$SJ$7,"Approved")</f>
        <v>0</v>
      </c>
      <c r="AP274" s="304">
        <f>SUMIFS('PCO Log'!$E98:$SJ98,'PCO Log'!$E$9:$SJ$9,'Graph Data'!AP$187,'PCO Log'!$E$4:$SJ$4,"&lt;&gt;Bid Package",'PCO Log'!$E$7:$SJ$7,"Approved")</f>
        <v>0</v>
      </c>
      <c r="AQ274" s="304">
        <f>SUMIFS('PCO Log'!$E98:$SJ98,'PCO Log'!$E$9:$SJ$9,'Graph Data'!AQ$187,'PCO Log'!$E$4:$SJ$4,"&lt;&gt;Bid Package",'PCO Log'!$E$7:$SJ$7,"Approved")</f>
        <v>0</v>
      </c>
      <c r="AR274" s="304">
        <f>SUMIFS('PCO Log'!$E98:$SJ98,'PCO Log'!$E$9:$SJ$9,'Graph Data'!AR$187,'PCO Log'!$E$4:$SJ$4,"&lt;&gt;Bid Package",'PCO Log'!$E$7:$SJ$7,"Approved")</f>
        <v>0</v>
      </c>
      <c r="AS274" s="304">
        <f>SUMIFS('PCO Log'!$E98:$SJ98,'PCO Log'!$E$9:$SJ$9,'Graph Data'!AS$187,'PCO Log'!$E$4:$SJ$4,"&lt;&gt;Bid Package",'PCO Log'!$E$7:$SJ$7,"Approved")</f>
        <v>0</v>
      </c>
      <c r="AT274" s="304">
        <f>SUMIFS('PCO Log'!$E98:$SJ98,'PCO Log'!$E$9:$SJ$9,'Graph Data'!AT$187,'PCO Log'!$E$4:$SJ$4,"&lt;&gt;Bid Package",'PCO Log'!$E$7:$SJ$7,"Approved")</f>
        <v>0</v>
      </c>
      <c r="AU274" s="304">
        <f>SUMIFS('PCO Log'!$E98:$SJ98,'PCO Log'!$E$9:$SJ$9,'Graph Data'!AU$187,'PCO Log'!$E$4:$SJ$4,"&lt;&gt;Bid Package",'PCO Log'!$E$7:$SJ$7,"Approved")</f>
        <v>0</v>
      </c>
      <c r="AV274" s="304">
        <f>SUMIFS('PCO Log'!$E98:$SJ98,'PCO Log'!$E$9:$SJ$9,'Graph Data'!AV$187,'PCO Log'!$E$4:$SJ$4,"&lt;&gt;Bid Package",'PCO Log'!$E$7:$SJ$7,"Approved")</f>
        <v>0</v>
      </c>
      <c r="AW274" s="304">
        <f>SUMIFS('PCO Log'!$E98:$SJ98,'PCO Log'!$E$9:$SJ$9,'Graph Data'!AW$187,'PCO Log'!$E$4:$SJ$4,"&lt;&gt;Bid Package",'PCO Log'!$E$7:$SJ$7,"Approved")</f>
        <v>0</v>
      </c>
      <c r="AX274" s="304">
        <f>SUMIFS('PCO Log'!$E98:$SJ98,'PCO Log'!$E$9:$SJ$9,'Graph Data'!AX$187,'PCO Log'!$E$4:$SJ$4,"&lt;&gt;Bid Package",'PCO Log'!$E$7:$SJ$7,"Approved")</f>
        <v>0</v>
      </c>
      <c r="AY274" s="304">
        <f>SUMIFS('PCO Log'!$E98:$SJ98,'PCO Log'!$E$9:$SJ$9,'Graph Data'!AY$187,'PCO Log'!$E$4:$SJ$4,"&lt;&gt;Bid Package",'PCO Log'!$E$7:$SJ$7,"Approved")</f>
        <v>0</v>
      </c>
      <c r="AZ274" s="304">
        <f>SUMIFS('PCO Log'!$E98:$SJ98,'PCO Log'!$E$9:$SJ$9,'Graph Data'!AZ$187,'PCO Log'!$E$4:$SJ$4,"&lt;&gt;Bid Package",'PCO Log'!$E$7:$SJ$7,"Approved")</f>
        <v>0</v>
      </c>
      <c r="BA274" s="304">
        <f>SUMIFS('PCO Log'!$E98:$SJ98,'PCO Log'!$E$9:$SJ$9,'Graph Data'!BA$187,'PCO Log'!$E$4:$SJ$4,"&lt;&gt;Bid Package",'PCO Log'!$E$7:$SJ$7,"Approved")</f>
        <v>0</v>
      </c>
      <c r="BB274" s="304">
        <f>SUMIFS('PCO Log'!$E98:$SJ98,'PCO Log'!$E$9:$SJ$9,'Graph Data'!BB$187,'PCO Log'!$E$4:$SJ$4,"&lt;&gt;Bid Package",'PCO Log'!$E$7:$SJ$7,"Approved")</f>
        <v>0</v>
      </c>
      <c r="BC274" s="304">
        <f>SUMIFS('PCO Log'!$E98:$SJ98,'PCO Log'!$E$9:$SJ$9,'Graph Data'!BC$187,'PCO Log'!$E$4:$SJ$4,"&lt;&gt;Bid Package",'PCO Log'!$E$7:$SJ$7,"Approved")</f>
        <v>0</v>
      </c>
      <c r="BD274" s="304">
        <f>SUMIFS('PCO Log'!$E98:$SJ98,'PCO Log'!$E$9:$SJ$9,'Graph Data'!BD$187,'PCO Log'!$E$4:$SJ$4,"&lt;&gt;Bid Package",'PCO Log'!$E$7:$SJ$7,"Approved")</f>
        <v>0</v>
      </c>
      <c r="BE274" s="304">
        <f>SUMIFS('PCO Log'!$E98:$SJ98,'PCO Log'!$E$9:$SJ$9,'Graph Data'!BE$187,'PCO Log'!$E$4:$SJ$4,"&lt;&gt;Bid Package",'PCO Log'!$E$7:$SJ$7,"Approved")</f>
        <v>0</v>
      </c>
      <c r="BF274" s="304">
        <f>SUMIFS('PCO Log'!$E98:$SJ98,'PCO Log'!$E$9:$SJ$9,'Graph Data'!BF$187,'PCO Log'!$E$4:$SJ$4,"&lt;&gt;Bid Package",'PCO Log'!$E$7:$SJ$7,"Approved")</f>
        <v>0</v>
      </c>
      <c r="BG274" s="304">
        <f>SUMIFS('PCO Log'!$E98:$SJ98,'PCO Log'!$E$9:$SJ$9,'Graph Data'!BG$187,'PCO Log'!$E$4:$SJ$4,"&lt;&gt;Bid Package",'PCO Log'!$E$7:$SJ$7,"Approved")</f>
        <v>0</v>
      </c>
      <c r="BH274" s="304">
        <f>SUMIFS('PCO Log'!$E98:$SJ98,'PCO Log'!$E$9:$SJ$9,'Graph Data'!BH$187,'PCO Log'!$E$4:$SJ$4,"&lt;&gt;Bid Package",'PCO Log'!$E$7:$SJ$7,"Approved")</f>
        <v>0</v>
      </c>
      <c r="BI274" s="304">
        <f>SUMIFS('PCO Log'!$E98:$SJ98,'PCO Log'!$E$9:$SJ$9,'Graph Data'!BI$187,'PCO Log'!$E$4:$SJ$4,"&lt;&gt;Bid Package",'PCO Log'!$E$7:$SJ$7,"Approved")</f>
        <v>0</v>
      </c>
      <c r="BJ274" s="304">
        <f>SUMIFS('PCO Log'!$E98:$SJ98,'PCO Log'!$E$9:$SJ$9,'Graph Data'!BJ$187,'PCO Log'!$E$4:$SJ$4,"&lt;&gt;Bid Package",'PCO Log'!$E$7:$SJ$7,"Approved")</f>
        <v>0</v>
      </c>
      <c r="BK274" s="304">
        <f>SUMIFS('PCO Log'!$E98:$SJ98,'PCO Log'!$E$9:$SJ$9,'Graph Data'!BK$187,'PCO Log'!$E$4:$SJ$4,"&lt;&gt;Bid Package",'PCO Log'!$E$7:$SJ$7,"Approved")</f>
        <v>0</v>
      </c>
      <c r="BL274" s="304">
        <f>SUMIFS('PCO Log'!$E98:$SJ98,'PCO Log'!$E$9:$SJ$9,'Graph Data'!BL$187,'PCO Log'!$E$4:$SJ$4,"&lt;&gt;Bid Package",'PCO Log'!$E$7:$SJ$7,"Approved")</f>
        <v>0</v>
      </c>
      <c r="BM274" s="304">
        <f>SUMIFS('PCO Log'!$E98:$SJ98,'PCO Log'!$E$9:$SJ$9,'Graph Data'!BM$187,'PCO Log'!$E$4:$SJ$4,"&lt;&gt;Bid Package",'PCO Log'!$E$7:$SJ$7,"Approved")</f>
        <v>0</v>
      </c>
      <c r="BN274" s="304">
        <f>SUMIFS('PCO Log'!$E98:$SJ98,'PCO Log'!$E$9:$SJ$9,'Graph Data'!BN$187,'PCO Log'!$E$4:$SJ$4,"&lt;&gt;Bid Package",'PCO Log'!$E$7:$SJ$7,"Approved")</f>
        <v>0</v>
      </c>
      <c r="BO274" s="304">
        <f>SUMIFS('PCO Log'!$E98:$SJ98,'PCO Log'!$E$9:$SJ$9,'Graph Data'!BO$187,'PCO Log'!$E$4:$SJ$4,"&lt;&gt;Bid Package",'PCO Log'!$E$7:$SJ$7,"Approved")</f>
        <v>0</v>
      </c>
      <c r="BP274" s="304">
        <f>SUMIFS('PCO Log'!$E98:$SJ98,'PCO Log'!$E$9:$SJ$9,'Graph Data'!BP$187,'PCO Log'!$E$4:$SJ$4,"&lt;&gt;Bid Package",'PCO Log'!$E$7:$SJ$7,"Approved")</f>
        <v>0</v>
      </c>
      <c r="BQ274" s="304">
        <f>SUMIFS('PCO Log'!$E98:$SJ98,'PCO Log'!$E$9:$SJ$9,'Graph Data'!BQ$187,'PCO Log'!$E$4:$SJ$4,"&lt;&gt;Bid Package",'PCO Log'!$E$7:$SJ$7,"Approved")</f>
        <v>0</v>
      </c>
      <c r="BR274" s="304">
        <f>SUMIFS('PCO Log'!$E98:$SJ98,'PCO Log'!$E$9:$SJ$9,'Graph Data'!BR$187,'PCO Log'!$E$4:$SJ$4,"&lt;&gt;Bid Package",'PCO Log'!$E$7:$SJ$7,"Approved")</f>
        <v>0</v>
      </c>
      <c r="BS274" s="304">
        <f>SUMIFS('PCO Log'!$E98:$SJ98,'PCO Log'!$E$9:$SJ$9,'Graph Data'!BS$187,'PCO Log'!$E$4:$SJ$4,"&lt;&gt;Bid Package",'PCO Log'!$E$7:$SJ$7,"Approved")</f>
        <v>0</v>
      </c>
      <c r="BT274" s="304">
        <f>SUMIFS('PCO Log'!$E98:$SJ98,'PCO Log'!$E$9:$SJ$9,'Graph Data'!BT$187,'PCO Log'!$E$4:$SJ$4,"&lt;&gt;Bid Package",'PCO Log'!$E$7:$SJ$7,"Approved")</f>
        <v>0</v>
      </c>
      <c r="BU274" s="304">
        <f>SUMIFS('PCO Log'!$E98:$SJ98,'PCO Log'!$E$9:$SJ$9,'Graph Data'!BU$187,'PCO Log'!$E$4:$SJ$4,"&lt;&gt;Bid Package",'PCO Log'!$E$7:$SJ$7,"Approved")</f>
        <v>0</v>
      </c>
      <c r="BV274" s="304">
        <f>SUMIFS('PCO Log'!$E98:$SJ98,'PCO Log'!$E$9:$SJ$9,'Graph Data'!BV$187,'PCO Log'!$E$4:$SJ$4,"&lt;&gt;Bid Package",'PCO Log'!$E$7:$SJ$7,"Approved")</f>
        <v>0</v>
      </c>
      <c r="BW274" s="304">
        <f>SUMIFS('PCO Log'!$E98:$SJ98,'PCO Log'!$E$9:$SJ$9,'Graph Data'!BW$187,'PCO Log'!$E$4:$SJ$4,"&lt;&gt;Bid Package",'PCO Log'!$E$7:$SJ$7,"Approved")</f>
        <v>0</v>
      </c>
      <c r="BX274" s="304">
        <f>SUMIFS('PCO Log'!$E98:$SJ98,'PCO Log'!$E$9:$SJ$9,'Graph Data'!BX$187,'PCO Log'!$E$4:$SJ$4,"&lt;&gt;Bid Package",'PCO Log'!$E$7:$SJ$7,"Approved")</f>
        <v>0</v>
      </c>
    </row>
    <row r="275" spans="1:76" x14ac:dyDescent="0.25">
      <c r="A275" s="303" t="s">
        <v>625</v>
      </c>
      <c r="B275" s="303">
        <f>'PCO Log'!JR7</f>
        <v>0</v>
      </c>
      <c r="C275" s="303">
        <f>'PCO Log'!JR4</f>
        <v>0</v>
      </c>
      <c r="D275" s="303" cm="1">
        <f t="array" ref="D275">INDEX('PCO Log'!$E$5:$SJ$5, 1, ROWS('Graph Data'!$D$2:D275))</f>
        <v>0</v>
      </c>
      <c r="E275" s="303">
        <f>'PCO Log'!JR8</f>
        <v>0</v>
      </c>
      <c r="F275" s="303">
        <f>'PCO Log'!JR3</f>
        <v>0</v>
      </c>
      <c r="G275" s="304">
        <f>'PCO Log'!JR10</f>
        <v>0</v>
      </c>
      <c r="H275" s="305">
        <f>'PCO Log'!JR6</f>
        <v>0</v>
      </c>
      <c r="K275" s="307"/>
      <c r="Q275" s="304"/>
      <c r="R275" s="304"/>
      <c r="S275" s="304"/>
      <c r="T275" s="304"/>
      <c r="U275" s="304"/>
      <c r="V275" s="304"/>
      <c r="W275" s="304"/>
      <c r="X275" s="304"/>
      <c r="Y275" s="304"/>
      <c r="Z275" s="304"/>
      <c r="AA275" s="304"/>
      <c r="AB275" s="304"/>
      <c r="AC275" s="304"/>
      <c r="AD275" s="304"/>
      <c r="AE275" s="304"/>
      <c r="AF275" s="304"/>
      <c r="AG275" s="304"/>
      <c r="AH275" s="304"/>
      <c r="AI275" s="304"/>
      <c r="AJ275" s="304"/>
      <c r="AK275" s="304"/>
      <c r="AL275" s="304"/>
      <c r="AM275" s="304"/>
      <c r="AN275" s="304"/>
      <c r="AO275" s="304"/>
      <c r="AP275" s="304"/>
      <c r="AQ275" s="304"/>
      <c r="AR275" s="304"/>
      <c r="AS275" s="304"/>
      <c r="AT275" s="304"/>
      <c r="AU275" s="304"/>
      <c r="AV275" s="304"/>
      <c r="AW275" s="304"/>
      <c r="AX275" s="304"/>
      <c r="AY275" s="304"/>
      <c r="AZ275" s="304"/>
      <c r="BA275" s="304"/>
      <c r="BB275" s="304"/>
      <c r="BC275" s="304"/>
      <c r="BD275" s="304"/>
      <c r="BE275" s="304"/>
      <c r="BF275" s="304"/>
      <c r="BG275" s="304"/>
      <c r="BH275" s="304"/>
      <c r="BI275" s="304"/>
      <c r="BJ275" s="304"/>
      <c r="BK275" s="304"/>
      <c r="BL275" s="304"/>
      <c r="BM275" s="304"/>
      <c r="BN275" s="304"/>
      <c r="BO275" s="304"/>
      <c r="BP275" s="304"/>
      <c r="BQ275" s="304"/>
      <c r="BR275" s="304"/>
      <c r="BS275" s="304"/>
      <c r="BT275" s="304"/>
      <c r="BU275" s="304"/>
      <c r="BV275" s="304"/>
      <c r="BW275" s="304"/>
      <c r="BX275" s="304"/>
    </row>
    <row r="276" spans="1:76" ht="15.75" thickBot="1" x14ac:dyDescent="0.3">
      <c r="A276" s="303" t="s">
        <v>626</v>
      </c>
      <c r="B276" s="303">
        <f>'PCO Log'!JS7</f>
        <v>0</v>
      </c>
      <c r="C276" s="303">
        <f>'PCO Log'!JS4</f>
        <v>0</v>
      </c>
      <c r="D276" s="303" cm="1">
        <f t="array" ref="D276">INDEX('PCO Log'!$E$5:$SJ$5, 1, ROWS('Graph Data'!$D$2:D276))</f>
        <v>0</v>
      </c>
      <c r="E276" s="303">
        <f>'PCO Log'!JS8</f>
        <v>0</v>
      </c>
      <c r="F276" s="303">
        <f>'PCO Log'!JS3</f>
        <v>0</v>
      </c>
      <c r="G276" s="304">
        <f>'PCO Log'!JS10</f>
        <v>0</v>
      </c>
      <c r="H276" s="305">
        <f>'PCO Log'!JS6</f>
        <v>0</v>
      </c>
      <c r="K276" s="307"/>
      <c r="P276" s="308"/>
      <c r="Q276" s="309">
        <f>SUM(Q188:Q274)</f>
        <v>0</v>
      </c>
      <c r="R276" s="309">
        <f>SUM(R188:R274)</f>
        <v>0</v>
      </c>
      <c r="S276" s="309">
        <f t="shared" ref="S276:BX276" si="5">SUM(S188:S274)</f>
        <v>0</v>
      </c>
      <c r="T276" s="309">
        <f t="shared" si="5"/>
        <v>0</v>
      </c>
      <c r="U276" s="309">
        <f t="shared" si="5"/>
        <v>0</v>
      </c>
      <c r="V276" s="309">
        <f t="shared" si="5"/>
        <v>0</v>
      </c>
      <c r="W276" s="309">
        <f t="shared" si="5"/>
        <v>0</v>
      </c>
      <c r="X276" s="309">
        <f t="shared" si="5"/>
        <v>0</v>
      </c>
      <c r="Y276" s="309">
        <f t="shared" si="5"/>
        <v>0</v>
      </c>
      <c r="Z276" s="309">
        <f t="shared" si="5"/>
        <v>0</v>
      </c>
      <c r="AA276" s="309">
        <f t="shared" si="5"/>
        <v>0</v>
      </c>
      <c r="AB276" s="309">
        <f t="shared" si="5"/>
        <v>0</v>
      </c>
      <c r="AC276" s="309">
        <f t="shared" si="5"/>
        <v>0</v>
      </c>
      <c r="AD276" s="309">
        <f t="shared" si="5"/>
        <v>0</v>
      </c>
      <c r="AE276" s="309">
        <f t="shared" si="5"/>
        <v>0</v>
      </c>
      <c r="AF276" s="309">
        <f t="shared" si="5"/>
        <v>0</v>
      </c>
      <c r="AG276" s="309">
        <f t="shared" si="5"/>
        <v>0</v>
      </c>
      <c r="AH276" s="309">
        <f t="shared" si="5"/>
        <v>0</v>
      </c>
      <c r="AI276" s="309">
        <f t="shared" si="5"/>
        <v>0</v>
      </c>
      <c r="AJ276" s="309">
        <f t="shared" si="5"/>
        <v>0</v>
      </c>
      <c r="AK276" s="309">
        <f t="shared" si="5"/>
        <v>0</v>
      </c>
      <c r="AL276" s="309">
        <f t="shared" si="5"/>
        <v>0</v>
      </c>
      <c r="AM276" s="309">
        <f t="shared" si="5"/>
        <v>0</v>
      </c>
      <c r="AN276" s="309">
        <f t="shared" si="5"/>
        <v>0</v>
      </c>
      <c r="AO276" s="309">
        <f t="shared" si="5"/>
        <v>0</v>
      </c>
      <c r="AP276" s="309">
        <f t="shared" si="5"/>
        <v>0</v>
      </c>
      <c r="AQ276" s="309">
        <f t="shared" si="5"/>
        <v>0</v>
      </c>
      <c r="AR276" s="309">
        <f t="shared" si="5"/>
        <v>0</v>
      </c>
      <c r="AS276" s="309">
        <f t="shared" si="5"/>
        <v>0</v>
      </c>
      <c r="AT276" s="309">
        <f t="shared" si="5"/>
        <v>0</v>
      </c>
      <c r="AU276" s="309">
        <f t="shared" si="5"/>
        <v>0</v>
      </c>
      <c r="AV276" s="309">
        <f t="shared" si="5"/>
        <v>0</v>
      </c>
      <c r="AW276" s="309">
        <f t="shared" si="5"/>
        <v>0</v>
      </c>
      <c r="AX276" s="309">
        <f t="shared" si="5"/>
        <v>0</v>
      </c>
      <c r="AY276" s="309">
        <f t="shared" si="5"/>
        <v>0</v>
      </c>
      <c r="AZ276" s="309">
        <f t="shared" si="5"/>
        <v>0</v>
      </c>
      <c r="BA276" s="309">
        <f t="shared" si="5"/>
        <v>0</v>
      </c>
      <c r="BB276" s="309">
        <f t="shared" si="5"/>
        <v>0</v>
      </c>
      <c r="BC276" s="309">
        <f t="shared" si="5"/>
        <v>0</v>
      </c>
      <c r="BD276" s="309">
        <f t="shared" si="5"/>
        <v>0</v>
      </c>
      <c r="BE276" s="309">
        <f t="shared" si="5"/>
        <v>0</v>
      </c>
      <c r="BF276" s="309">
        <f t="shared" si="5"/>
        <v>0</v>
      </c>
      <c r="BG276" s="309">
        <f t="shared" si="5"/>
        <v>0</v>
      </c>
      <c r="BH276" s="309">
        <f t="shared" si="5"/>
        <v>0</v>
      </c>
      <c r="BI276" s="309">
        <f t="shared" si="5"/>
        <v>0</v>
      </c>
      <c r="BJ276" s="309">
        <f t="shared" si="5"/>
        <v>0</v>
      </c>
      <c r="BK276" s="309">
        <f t="shared" si="5"/>
        <v>0</v>
      </c>
      <c r="BL276" s="309">
        <f t="shared" si="5"/>
        <v>0</v>
      </c>
      <c r="BM276" s="309">
        <f t="shared" si="5"/>
        <v>0</v>
      </c>
      <c r="BN276" s="309">
        <f t="shared" si="5"/>
        <v>0</v>
      </c>
      <c r="BO276" s="309">
        <f t="shared" si="5"/>
        <v>0</v>
      </c>
      <c r="BP276" s="309">
        <f t="shared" si="5"/>
        <v>0</v>
      </c>
      <c r="BQ276" s="309">
        <f t="shared" si="5"/>
        <v>0</v>
      </c>
      <c r="BR276" s="309">
        <f t="shared" si="5"/>
        <v>0</v>
      </c>
      <c r="BS276" s="309">
        <f t="shared" si="5"/>
        <v>0</v>
      </c>
      <c r="BT276" s="309">
        <f t="shared" si="5"/>
        <v>0</v>
      </c>
      <c r="BU276" s="309">
        <f t="shared" si="5"/>
        <v>0</v>
      </c>
      <c r="BV276" s="309">
        <f t="shared" si="5"/>
        <v>0</v>
      </c>
      <c r="BW276" s="309">
        <f t="shared" si="5"/>
        <v>0</v>
      </c>
      <c r="BX276" s="309">
        <f t="shared" si="5"/>
        <v>0</v>
      </c>
    </row>
    <row r="277" spans="1:76" ht="15.75" thickTop="1" x14ac:dyDescent="0.25">
      <c r="A277" s="303" t="s">
        <v>627</v>
      </c>
      <c r="B277" s="303">
        <f>'PCO Log'!JT7</f>
        <v>0</v>
      </c>
      <c r="C277" s="303">
        <f>'PCO Log'!JT4</f>
        <v>0</v>
      </c>
      <c r="D277" s="303" cm="1">
        <f t="array" ref="D277">INDEX('PCO Log'!$E$5:$SJ$5, 1, ROWS('Graph Data'!$D$2:D277))</f>
        <v>0</v>
      </c>
      <c r="E277" s="303">
        <f>'PCO Log'!JT8</f>
        <v>0</v>
      </c>
      <c r="F277" s="303">
        <f>'PCO Log'!JT3</f>
        <v>0</v>
      </c>
      <c r="G277" s="304">
        <f>'PCO Log'!JT10</f>
        <v>0</v>
      </c>
      <c r="H277" s="305">
        <f>'PCO Log'!JT6</f>
        <v>0</v>
      </c>
      <c r="K277" s="307"/>
    </row>
    <row r="278" spans="1:76" x14ac:dyDescent="0.25">
      <c r="A278" s="303" t="s">
        <v>628</v>
      </c>
      <c r="B278" s="303">
        <f>'PCO Log'!JU7</f>
        <v>0</v>
      </c>
      <c r="C278" s="303">
        <f>'PCO Log'!JU4</f>
        <v>0</v>
      </c>
      <c r="D278" s="303" cm="1">
        <f t="array" ref="D278">INDEX('PCO Log'!$E$5:$SJ$5, 1, ROWS('Graph Data'!$D$2:D278))</f>
        <v>0</v>
      </c>
      <c r="E278" s="303">
        <f>'PCO Log'!JU8</f>
        <v>0</v>
      </c>
      <c r="F278" s="303">
        <f>'PCO Log'!JU3</f>
        <v>0</v>
      </c>
      <c r="G278" s="304">
        <f>'PCO Log'!JU10</f>
        <v>0</v>
      </c>
      <c r="H278" s="305">
        <f>'PCO Log'!JU6</f>
        <v>0</v>
      </c>
      <c r="K278" s="307"/>
    </row>
    <row r="279" spans="1:76" x14ac:dyDescent="0.25">
      <c r="A279" s="303" t="s">
        <v>629</v>
      </c>
      <c r="B279" s="303">
        <f>'PCO Log'!JV7</f>
        <v>0</v>
      </c>
      <c r="C279" s="303">
        <f>'PCO Log'!JV4</f>
        <v>0</v>
      </c>
      <c r="D279" s="303" cm="1">
        <f t="array" ref="D279">INDEX('PCO Log'!$E$5:$SJ$5, 1, ROWS('Graph Data'!$D$2:D279))</f>
        <v>0</v>
      </c>
      <c r="E279" s="303">
        <f>'PCO Log'!JV8</f>
        <v>0</v>
      </c>
      <c r="F279" s="303">
        <f>'PCO Log'!JV3</f>
        <v>0</v>
      </c>
      <c r="G279" s="304">
        <f>'PCO Log'!JV10</f>
        <v>0</v>
      </c>
      <c r="H279" s="305">
        <f>'PCO Log'!JV6</f>
        <v>0</v>
      </c>
      <c r="K279" s="307"/>
    </row>
    <row r="280" spans="1:76" x14ac:dyDescent="0.25">
      <c r="A280" s="303" t="s">
        <v>630</v>
      </c>
      <c r="B280" s="303">
        <f>'PCO Log'!JW7</f>
        <v>0</v>
      </c>
      <c r="C280" s="303">
        <f>'PCO Log'!JW4</f>
        <v>0</v>
      </c>
      <c r="D280" s="303" cm="1">
        <f t="array" ref="D280">INDEX('PCO Log'!$E$5:$SJ$5, 1, ROWS('Graph Data'!$D$2:D280))</f>
        <v>0</v>
      </c>
      <c r="E280" s="303">
        <f>'PCO Log'!JW8</f>
        <v>0</v>
      </c>
      <c r="F280" s="303">
        <f>'PCO Log'!JW3</f>
        <v>0</v>
      </c>
      <c r="G280" s="304">
        <f>'PCO Log'!JW10</f>
        <v>0</v>
      </c>
      <c r="H280" s="305">
        <f>'PCO Log'!JW6</f>
        <v>0</v>
      </c>
    </row>
    <row r="281" spans="1:76" x14ac:dyDescent="0.25">
      <c r="A281" s="303" t="s">
        <v>631</v>
      </c>
      <c r="B281" s="303">
        <f>'PCO Log'!JX7</f>
        <v>0</v>
      </c>
      <c r="C281" s="303">
        <f>'PCO Log'!JX4</f>
        <v>0</v>
      </c>
      <c r="D281" s="303" cm="1">
        <f t="array" ref="D281">INDEX('PCO Log'!$E$5:$SJ$5, 1, ROWS('Graph Data'!$D$2:D281))</f>
        <v>0</v>
      </c>
      <c r="E281" s="303">
        <f>'PCO Log'!JX8</f>
        <v>0</v>
      </c>
      <c r="F281" s="303">
        <f>'PCO Log'!JX3</f>
        <v>0</v>
      </c>
      <c r="G281" s="304">
        <f>'PCO Log'!JX10</f>
        <v>0</v>
      </c>
      <c r="H281" s="305">
        <f>'PCO Log'!JX6</f>
        <v>0</v>
      </c>
      <c r="Q281" s="304"/>
    </row>
    <row r="282" spans="1:76" x14ac:dyDescent="0.25">
      <c r="A282" s="303" t="s">
        <v>632</v>
      </c>
      <c r="B282" s="303">
        <f>'PCO Log'!JY7</f>
        <v>0</v>
      </c>
      <c r="C282" s="303">
        <f>'PCO Log'!JY4</f>
        <v>0</v>
      </c>
      <c r="D282" s="303" cm="1">
        <f t="array" ref="D282">INDEX('PCO Log'!$E$5:$SJ$5, 1, ROWS('Graph Data'!$D$2:D282))</f>
        <v>0</v>
      </c>
      <c r="E282" s="303">
        <f>'PCO Log'!JY8</f>
        <v>0</v>
      </c>
      <c r="F282" s="303">
        <f>'PCO Log'!JY3</f>
        <v>0</v>
      </c>
      <c r="G282" s="304">
        <f>'PCO Log'!JY10</f>
        <v>0</v>
      </c>
      <c r="H282" s="305">
        <f>'PCO Log'!JY6</f>
        <v>0</v>
      </c>
      <c r="Q282" s="304"/>
    </row>
    <row r="283" spans="1:76" x14ac:dyDescent="0.25">
      <c r="A283" s="303" t="s">
        <v>633</v>
      </c>
      <c r="B283" s="303">
        <f>'PCO Log'!JZ7</f>
        <v>0</v>
      </c>
      <c r="C283" s="303">
        <f>'PCO Log'!JZ4</f>
        <v>0</v>
      </c>
      <c r="D283" s="303" cm="1">
        <f t="array" ref="D283">INDEX('PCO Log'!$E$5:$SJ$5, 1, ROWS('Graph Data'!$D$2:D283))</f>
        <v>0</v>
      </c>
      <c r="E283" s="303">
        <f>'PCO Log'!JZ8</f>
        <v>0</v>
      </c>
      <c r="F283" s="303">
        <f>'PCO Log'!JZ3</f>
        <v>0</v>
      </c>
      <c r="G283" s="304">
        <f>'PCO Log'!JZ10</f>
        <v>0</v>
      </c>
      <c r="H283" s="305">
        <f>'PCO Log'!JZ6</f>
        <v>0</v>
      </c>
      <c r="Q283" s="304"/>
    </row>
    <row r="284" spans="1:76" x14ac:dyDescent="0.25">
      <c r="A284" s="303" t="s">
        <v>634</v>
      </c>
      <c r="B284" s="303">
        <f>'PCO Log'!KA7</f>
        <v>0</v>
      </c>
      <c r="C284" s="303">
        <f>'PCO Log'!KA4</f>
        <v>0</v>
      </c>
      <c r="D284" s="303" cm="1">
        <f t="array" ref="D284">INDEX('PCO Log'!$E$5:$SJ$5, 1, ROWS('Graph Data'!$D$2:D284))</f>
        <v>0</v>
      </c>
      <c r="E284" s="303">
        <f>'PCO Log'!KA8</f>
        <v>0</v>
      </c>
      <c r="F284" s="303">
        <f>'PCO Log'!KA3</f>
        <v>0</v>
      </c>
      <c r="G284" s="304">
        <f>'PCO Log'!KA10</f>
        <v>0</v>
      </c>
      <c r="H284" s="305">
        <f>'PCO Log'!KA6</f>
        <v>0</v>
      </c>
      <c r="Q284" s="304"/>
    </row>
    <row r="285" spans="1:76" x14ac:dyDescent="0.25">
      <c r="A285" s="303" t="s">
        <v>635</v>
      </c>
      <c r="B285" s="303">
        <f>'PCO Log'!KB7</f>
        <v>0</v>
      </c>
      <c r="C285" s="303">
        <f>'PCO Log'!KB4</f>
        <v>0</v>
      </c>
      <c r="D285" s="303" cm="1">
        <f t="array" ref="D285">INDEX('PCO Log'!$E$5:$SJ$5, 1, ROWS('Graph Data'!$D$2:D285))</f>
        <v>0</v>
      </c>
      <c r="E285" s="303">
        <f>'PCO Log'!KB8</f>
        <v>0</v>
      </c>
      <c r="F285" s="303">
        <f>'PCO Log'!KB3</f>
        <v>0</v>
      </c>
      <c r="G285" s="304">
        <f>'PCO Log'!KB10</f>
        <v>0</v>
      </c>
      <c r="H285" s="305">
        <f>'PCO Log'!KB6</f>
        <v>0</v>
      </c>
      <c r="Q285" s="304"/>
    </row>
    <row r="286" spans="1:76" x14ac:dyDescent="0.25">
      <c r="A286" s="303" t="s">
        <v>636</v>
      </c>
      <c r="B286" s="303">
        <f>'PCO Log'!KC7</f>
        <v>0</v>
      </c>
      <c r="C286" s="303">
        <f>'PCO Log'!KC4</f>
        <v>0</v>
      </c>
      <c r="D286" s="303" cm="1">
        <f t="array" ref="D286">INDEX('PCO Log'!$E$5:$SJ$5, 1, ROWS('Graph Data'!$D$2:D286))</f>
        <v>0</v>
      </c>
      <c r="E286" s="303">
        <f>'PCO Log'!KC8</f>
        <v>0</v>
      </c>
      <c r="F286" s="303">
        <f>'PCO Log'!KC3</f>
        <v>0</v>
      </c>
      <c r="G286" s="304">
        <f>'PCO Log'!KC10</f>
        <v>0</v>
      </c>
      <c r="H286" s="305">
        <f>'PCO Log'!KC6</f>
        <v>0</v>
      </c>
      <c r="Q286" s="304"/>
    </row>
    <row r="287" spans="1:76" x14ac:dyDescent="0.25">
      <c r="A287" s="303" t="s">
        <v>637</v>
      </c>
      <c r="B287" s="303">
        <f>'PCO Log'!KD7</f>
        <v>0</v>
      </c>
      <c r="C287" s="303">
        <f>'PCO Log'!KD4</f>
        <v>0</v>
      </c>
      <c r="D287" s="303" cm="1">
        <f t="array" ref="D287">INDEX('PCO Log'!$E$5:$SJ$5, 1, ROWS('Graph Data'!$D$2:D287))</f>
        <v>0</v>
      </c>
      <c r="E287" s="303">
        <f>'PCO Log'!KD8</f>
        <v>0</v>
      </c>
      <c r="F287" s="303">
        <f>'PCO Log'!KD3</f>
        <v>0</v>
      </c>
      <c r="G287" s="304">
        <f>'PCO Log'!KD10</f>
        <v>0</v>
      </c>
      <c r="H287" s="305">
        <f>'PCO Log'!KD6</f>
        <v>0</v>
      </c>
      <c r="Q287" s="304"/>
    </row>
    <row r="288" spans="1:76" x14ac:dyDescent="0.25">
      <c r="A288" s="303" t="s">
        <v>638</v>
      </c>
      <c r="B288" s="303">
        <f>'PCO Log'!KE7</f>
        <v>0</v>
      </c>
      <c r="C288" s="303">
        <f>'PCO Log'!KE4</f>
        <v>0</v>
      </c>
      <c r="D288" s="303" cm="1">
        <f t="array" ref="D288">INDEX('PCO Log'!$E$5:$SJ$5, 1, ROWS('Graph Data'!$D$2:D288))</f>
        <v>0</v>
      </c>
      <c r="E288" s="303">
        <f>'PCO Log'!KE8</f>
        <v>0</v>
      </c>
      <c r="F288" s="303">
        <f>'PCO Log'!KE3</f>
        <v>0</v>
      </c>
      <c r="G288" s="304">
        <f>'PCO Log'!KE10</f>
        <v>0</v>
      </c>
      <c r="H288" s="305">
        <f>'PCO Log'!KE6</f>
        <v>0</v>
      </c>
      <c r="Q288" s="304"/>
    </row>
    <row r="289" spans="1:17" x14ac:dyDescent="0.25">
      <c r="A289" s="303" t="s">
        <v>639</v>
      </c>
      <c r="B289" s="303">
        <f>'PCO Log'!KF7</f>
        <v>0</v>
      </c>
      <c r="C289" s="303">
        <f>'PCO Log'!KF4</f>
        <v>0</v>
      </c>
      <c r="D289" s="303" cm="1">
        <f t="array" ref="D289">INDEX('PCO Log'!$E$5:$SJ$5, 1, ROWS('Graph Data'!$D$2:D289))</f>
        <v>0</v>
      </c>
      <c r="E289" s="303">
        <f>'PCO Log'!KF8</f>
        <v>0</v>
      </c>
      <c r="F289" s="303">
        <f>'PCO Log'!KF3</f>
        <v>0</v>
      </c>
      <c r="G289" s="304">
        <f>'PCO Log'!KF10</f>
        <v>0</v>
      </c>
      <c r="H289" s="305">
        <f>'PCO Log'!KF6</f>
        <v>0</v>
      </c>
      <c r="Q289" s="304"/>
    </row>
    <row r="290" spans="1:17" x14ac:dyDescent="0.25">
      <c r="A290" s="303" t="s">
        <v>640</v>
      </c>
      <c r="B290" s="303">
        <f>'PCO Log'!KG7</f>
        <v>0</v>
      </c>
      <c r="C290" s="303">
        <f>'PCO Log'!KG4</f>
        <v>0</v>
      </c>
      <c r="D290" s="303" cm="1">
        <f t="array" ref="D290">INDEX('PCO Log'!$E$5:$SJ$5, 1, ROWS('Graph Data'!$D$2:D290))</f>
        <v>0</v>
      </c>
      <c r="E290" s="303">
        <f>'PCO Log'!KG8</f>
        <v>0</v>
      </c>
      <c r="F290" s="303">
        <f>'PCO Log'!KG3</f>
        <v>0</v>
      </c>
      <c r="G290" s="304">
        <f>'PCO Log'!KG10</f>
        <v>0</v>
      </c>
      <c r="H290" s="305">
        <f>'PCO Log'!KG6</f>
        <v>0</v>
      </c>
      <c r="Q290" s="304"/>
    </row>
    <row r="291" spans="1:17" x14ac:dyDescent="0.25">
      <c r="A291" s="303" t="s">
        <v>641</v>
      </c>
      <c r="B291" s="303">
        <f>'PCO Log'!KH7</f>
        <v>0</v>
      </c>
      <c r="C291" s="303">
        <f>'PCO Log'!KH4</f>
        <v>0</v>
      </c>
      <c r="D291" s="303" cm="1">
        <f t="array" ref="D291">INDEX('PCO Log'!$E$5:$SJ$5, 1, ROWS('Graph Data'!$D$2:D291))</f>
        <v>0</v>
      </c>
      <c r="E291" s="303">
        <f>'PCO Log'!KH8</f>
        <v>0</v>
      </c>
      <c r="F291" s="303">
        <f>'PCO Log'!KH3</f>
        <v>0</v>
      </c>
      <c r="G291" s="304">
        <f>'PCO Log'!KH10</f>
        <v>0</v>
      </c>
      <c r="H291" s="305">
        <f>'PCO Log'!KH6</f>
        <v>0</v>
      </c>
      <c r="Q291" s="304"/>
    </row>
    <row r="292" spans="1:17" x14ac:dyDescent="0.25">
      <c r="A292" s="303" t="s">
        <v>642</v>
      </c>
      <c r="B292" s="303">
        <f>'PCO Log'!KI7</f>
        <v>0</v>
      </c>
      <c r="C292" s="303">
        <f>'PCO Log'!KI4</f>
        <v>0</v>
      </c>
      <c r="D292" s="303" cm="1">
        <f t="array" ref="D292">INDEX('PCO Log'!$E$5:$SJ$5, 1, ROWS('Graph Data'!$D$2:D292))</f>
        <v>0</v>
      </c>
      <c r="E292" s="303">
        <f>'PCO Log'!KI8</f>
        <v>0</v>
      </c>
      <c r="F292" s="303">
        <f>'PCO Log'!KI3</f>
        <v>0</v>
      </c>
      <c r="G292" s="304">
        <f>'PCO Log'!KI10</f>
        <v>0</v>
      </c>
      <c r="H292" s="305">
        <f>'PCO Log'!KI6</f>
        <v>0</v>
      </c>
      <c r="Q292" s="304"/>
    </row>
    <row r="293" spans="1:17" x14ac:dyDescent="0.25">
      <c r="A293" s="303" t="s">
        <v>643</v>
      </c>
      <c r="B293" s="303">
        <f>'PCO Log'!KJ7</f>
        <v>0</v>
      </c>
      <c r="C293" s="303">
        <f>'PCO Log'!KJ4</f>
        <v>0</v>
      </c>
      <c r="D293" s="303" cm="1">
        <f t="array" ref="D293">INDEX('PCO Log'!$E$5:$SJ$5, 1, ROWS('Graph Data'!$D$2:D293))</f>
        <v>0</v>
      </c>
      <c r="E293" s="303">
        <f>'PCO Log'!KJ8</f>
        <v>0</v>
      </c>
      <c r="F293" s="303">
        <f>'PCO Log'!KJ3</f>
        <v>0</v>
      </c>
      <c r="G293" s="304">
        <f>'PCO Log'!KJ10</f>
        <v>0</v>
      </c>
      <c r="H293" s="305">
        <f>'PCO Log'!KJ6</f>
        <v>0</v>
      </c>
      <c r="Q293" s="304"/>
    </row>
    <row r="294" spans="1:17" x14ac:dyDescent="0.25">
      <c r="A294" s="303" t="s">
        <v>644</v>
      </c>
      <c r="B294" s="303">
        <f>'PCO Log'!KK7</f>
        <v>0</v>
      </c>
      <c r="C294" s="303">
        <f>'PCO Log'!KK4</f>
        <v>0</v>
      </c>
      <c r="D294" s="303" cm="1">
        <f t="array" ref="D294">INDEX('PCO Log'!$E$5:$SJ$5, 1, ROWS('Graph Data'!$D$2:D294))</f>
        <v>0</v>
      </c>
      <c r="E294" s="303">
        <f>'PCO Log'!KK8</f>
        <v>0</v>
      </c>
      <c r="F294" s="303">
        <f>'PCO Log'!KK3</f>
        <v>0</v>
      </c>
      <c r="G294" s="304">
        <f>'PCO Log'!KK10</f>
        <v>0</v>
      </c>
      <c r="H294" s="305">
        <f>'PCO Log'!KK6</f>
        <v>0</v>
      </c>
      <c r="Q294" s="304"/>
    </row>
    <row r="295" spans="1:17" x14ac:dyDescent="0.25">
      <c r="A295" s="303" t="s">
        <v>645</v>
      </c>
      <c r="B295" s="303">
        <f>'PCO Log'!KL7</f>
        <v>0</v>
      </c>
      <c r="C295" s="303">
        <f>'PCO Log'!KL4</f>
        <v>0</v>
      </c>
      <c r="D295" s="303" cm="1">
        <f t="array" ref="D295">INDEX('PCO Log'!$E$5:$SJ$5, 1, ROWS('Graph Data'!$D$2:D295))</f>
        <v>0</v>
      </c>
      <c r="E295" s="303">
        <f>'PCO Log'!KL8</f>
        <v>0</v>
      </c>
      <c r="F295" s="303">
        <f>'PCO Log'!KL3</f>
        <v>0</v>
      </c>
      <c r="G295" s="304">
        <f>'PCO Log'!KL10</f>
        <v>0</v>
      </c>
      <c r="H295" s="305">
        <f>'PCO Log'!KL6</f>
        <v>0</v>
      </c>
      <c r="Q295" s="304"/>
    </row>
    <row r="296" spans="1:17" x14ac:dyDescent="0.25">
      <c r="A296" s="303" t="s">
        <v>646</v>
      </c>
      <c r="B296" s="303">
        <f>'PCO Log'!KM7</f>
        <v>0</v>
      </c>
      <c r="C296" s="303">
        <f>'PCO Log'!KM4</f>
        <v>0</v>
      </c>
      <c r="D296" s="303" cm="1">
        <f t="array" ref="D296">INDEX('PCO Log'!$E$5:$SJ$5, 1, ROWS('Graph Data'!$D$2:D296))</f>
        <v>0</v>
      </c>
      <c r="E296" s="303">
        <f>'PCO Log'!KM8</f>
        <v>0</v>
      </c>
      <c r="F296" s="303">
        <f>'PCO Log'!KM3</f>
        <v>0</v>
      </c>
      <c r="G296" s="304">
        <f>'PCO Log'!KM10</f>
        <v>0</v>
      </c>
      <c r="H296" s="305">
        <f>'PCO Log'!KM6</f>
        <v>0</v>
      </c>
      <c r="Q296" s="304"/>
    </row>
    <row r="297" spans="1:17" x14ac:dyDescent="0.25">
      <c r="A297" s="303" t="s">
        <v>647</v>
      </c>
      <c r="B297" s="303">
        <f>'PCO Log'!KN7</f>
        <v>0</v>
      </c>
      <c r="C297" s="303">
        <f>'PCO Log'!KN4</f>
        <v>0</v>
      </c>
      <c r="D297" s="303" cm="1">
        <f t="array" ref="D297">INDEX('PCO Log'!$E$5:$SJ$5, 1, ROWS('Graph Data'!$D$2:D297))</f>
        <v>0</v>
      </c>
      <c r="E297" s="303">
        <f>'PCO Log'!KN8</f>
        <v>0</v>
      </c>
      <c r="F297" s="303">
        <f>'PCO Log'!KN3</f>
        <v>0</v>
      </c>
      <c r="G297" s="304">
        <f>'PCO Log'!KN10</f>
        <v>0</v>
      </c>
      <c r="H297" s="305">
        <f>'PCO Log'!KN6</f>
        <v>0</v>
      </c>
    </row>
    <row r="298" spans="1:17" x14ac:dyDescent="0.25">
      <c r="A298" s="303" t="s">
        <v>648</v>
      </c>
      <c r="B298" s="303">
        <f>'PCO Log'!KO7</f>
        <v>0</v>
      </c>
      <c r="C298" s="303">
        <f>'PCO Log'!KO4</f>
        <v>0</v>
      </c>
      <c r="D298" s="303" cm="1">
        <f t="array" ref="D298">INDEX('PCO Log'!$E$5:$SJ$5, 1, ROWS('Graph Data'!$D$2:D298))</f>
        <v>0</v>
      </c>
      <c r="E298" s="303">
        <f>'PCO Log'!KO8</f>
        <v>0</v>
      </c>
      <c r="F298" s="303">
        <f>'PCO Log'!KO3</f>
        <v>0</v>
      </c>
      <c r="G298" s="304">
        <f>'PCO Log'!KO10</f>
        <v>0</v>
      </c>
      <c r="H298" s="305">
        <f>'PCO Log'!KO6</f>
        <v>0</v>
      </c>
    </row>
    <row r="299" spans="1:17" x14ac:dyDescent="0.25">
      <c r="A299" s="303" t="s">
        <v>649</v>
      </c>
      <c r="B299" s="303">
        <f>'PCO Log'!KP7</f>
        <v>0</v>
      </c>
      <c r="C299" s="303">
        <f>'PCO Log'!KP4</f>
        <v>0</v>
      </c>
      <c r="D299" s="303" cm="1">
        <f t="array" ref="D299">INDEX('PCO Log'!$E$5:$SJ$5, 1, ROWS('Graph Data'!$D$2:D299))</f>
        <v>0</v>
      </c>
      <c r="E299" s="303">
        <f>'PCO Log'!KP8</f>
        <v>0</v>
      </c>
      <c r="F299" s="303">
        <f>'PCO Log'!KP3</f>
        <v>0</v>
      </c>
      <c r="G299" s="304">
        <f>'PCO Log'!KP10</f>
        <v>0</v>
      </c>
      <c r="H299" s="305">
        <f>'PCO Log'!KP6</f>
        <v>0</v>
      </c>
    </row>
    <row r="300" spans="1:17" x14ac:dyDescent="0.25">
      <c r="A300" s="303" t="s">
        <v>650</v>
      </c>
      <c r="B300" s="303">
        <f>'PCO Log'!KQ7</f>
        <v>0</v>
      </c>
      <c r="C300" s="303">
        <f>'PCO Log'!KQ4</f>
        <v>0</v>
      </c>
      <c r="D300" s="303" cm="1">
        <f t="array" ref="D300">INDEX('PCO Log'!$E$5:$SJ$5, 1, ROWS('Graph Data'!$D$2:D300))</f>
        <v>0</v>
      </c>
      <c r="E300" s="303">
        <f>'PCO Log'!KQ8</f>
        <v>0</v>
      </c>
      <c r="F300" s="303">
        <f>'PCO Log'!KQ3</f>
        <v>0</v>
      </c>
      <c r="G300" s="304">
        <f>'PCO Log'!KQ10</f>
        <v>0</v>
      </c>
      <c r="H300" s="305">
        <f>'PCO Log'!KQ6</f>
        <v>0</v>
      </c>
    </row>
    <row r="301" spans="1:17" x14ac:dyDescent="0.25">
      <c r="A301" s="303" t="s">
        <v>651</v>
      </c>
      <c r="B301" s="303">
        <f>'PCO Log'!KR7</f>
        <v>0</v>
      </c>
      <c r="C301" s="303">
        <f>'PCO Log'!KR4</f>
        <v>0</v>
      </c>
      <c r="D301" s="303" cm="1">
        <f t="array" ref="D301">INDEX('PCO Log'!$E$5:$SJ$5, 1, ROWS('Graph Data'!$D$2:D301))</f>
        <v>0</v>
      </c>
      <c r="E301" s="303">
        <f>'PCO Log'!KR8</f>
        <v>0</v>
      </c>
      <c r="F301" s="303">
        <f>'PCO Log'!KR3</f>
        <v>0</v>
      </c>
      <c r="G301" s="304">
        <f>'PCO Log'!KR10</f>
        <v>0</v>
      </c>
      <c r="H301" s="305">
        <f>'PCO Log'!KR6</f>
        <v>0</v>
      </c>
    </row>
    <row r="302" spans="1:17" x14ac:dyDescent="0.25">
      <c r="A302" s="303" t="s">
        <v>652</v>
      </c>
      <c r="B302" s="303">
        <f>'PCO Log'!KS7</f>
        <v>0</v>
      </c>
      <c r="C302" s="303">
        <f>'PCO Log'!KS4</f>
        <v>0</v>
      </c>
      <c r="D302" s="303" cm="1">
        <f t="array" ref="D302">INDEX('PCO Log'!$E$5:$SJ$5, 1, ROWS('Graph Data'!$D$2:D302))</f>
        <v>0</v>
      </c>
      <c r="E302" s="303">
        <f>'PCO Log'!KS8</f>
        <v>0</v>
      </c>
      <c r="F302" s="303">
        <f>'PCO Log'!KS3</f>
        <v>0</v>
      </c>
      <c r="G302" s="304">
        <f>'PCO Log'!KS10</f>
        <v>0</v>
      </c>
      <c r="H302" s="305">
        <f>'PCO Log'!KS6</f>
        <v>0</v>
      </c>
    </row>
    <row r="303" spans="1:17" x14ac:dyDescent="0.25">
      <c r="A303" s="303" t="s">
        <v>653</v>
      </c>
      <c r="B303" s="303">
        <f>'PCO Log'!KT7</f>
        <v>0</v>
      </c>
      <c r="C303" s="303">
        <f>'PCO Log'!KT4</f>
        <v>0</v>
      </c>
      <c r="D303" s="303" cm="1">
        <f t="array" ref="D303">INDEX('PCO Log'!$E$5:$SJ$5, 1, ROWS('Graph Data'!$D$2:D303))</f>
        <v>0</v>
      </c>
      <c r="E303" s="303">
        <f>'PCO Log'!KT8</f>
        <v>0</v>
      </c>
      <c r="F303" s="303">
        <f>'PCO Log'!KT3</f>
        <v>0</v>
      </c>
      <c r="G303" s="304">
        <f>'PCO Log'!KT10</f>
        <v>0</v>
      </c>
      <c r="H303" s="305">
        <f>'PCO Log'!KT6</f>
        <v>0</v>
      </c>
    </row>
    <row r="304" spans="1:17" x14ac:dyDescent="0.25">
      <c r="A304" s="303" t="s">
        <v>654</v>
      </c>
      <c r="B304" s="303">
        <f>'PCO Log'!KU7</f>
        <v>0</v>
      </c>
      <c r="C304" s="303">
        <f>'PCO Log'!KU4</f>
        <v>0</v>
      </c>
      <c r="D304" s="303" cm="1">
        <f t="array" ref="D304">INDEX('PCO Log'!$E$5:$SJ$5, 1, ROWS('Graph Data'!$D$2:D304))</f>
        <v>0</v>
      </c>
      <c r="E304" s="303">
        <f>'PCO Log'!KU8</f>
        <v>0</v>
      </c>
      <c r="F304" s="303">
        <f>'PCO Log'!KU3</f>
        <v>0</v>
      </c>
      <c r="G304" s="304">
        <f>'PCO Log'!KU10</f>
        <v>0</v>
      </c>
      <c r="H304" s="305">
        <f>'PCO Log'!KU6</f>
        <v>0</v>
      </c>
    </row>
    <row r="305" spans="1:8" x14ac:dyDescent="0.25">
      <c r="A305" s="303" t="s">
        <v>655</v>
      </c>
      <c r="B305" s="303">
        <f>'PCO Log'!KV7</f>
        <v>0</v>
      </c>
      <c r="C305" s="303">
        <f>'PCO Log'!KV4</f>
        <v>0</v>
      </c>
      <c r="D305" s="303" cm="1">
        <f t="array" ref="D305">INDEX('PCO Log'!$E$5:$SJ$5, 1, ROWS('Graph Data'!$D$2:D305))</f>
        <v>0</v>
      </c>
      <c r="E305" s="303">
        <f>'PCO Log'!KV8</f>
        <v>0</v>
      </c>
      <c r="F305" s="303">
        <f>'PCO Log'!KV3</f>
        <v>0</v>
      </c>
      <c r="G305" s="304">
        <f>'PCO Log'!KV10</f>
        <v>0</v>
      </c>
      <c r="H305" s="305">
        <f>'PCO Log'!KV6</f>
        <v>0</v>
      </c>
    </row>
    <row r="306" spans="1:8" x14ac:dyDescent="0.25">
      <c r="A306" s="303" t="s">
        <v>656</v>
      </c>
      <c r="B306" s="303">
        <f>'PCO Log'!KW7</f>
        <v>0</v>
      </c>
      <c r="C306" s="303">
        <f>'PCO Log'!KW4</f>
        <v>0</v>
      </c>
      <c r="D306" s="303" cm="1">
        <f t="array" ref="D306">INDEX('PCO Log'!$E$5:$SJ$5, 1, ROWS('Graph Data'!$D$2:D306))</f>
        <v>0</v>
      </c>
      <c r="E306" s="303">
        <f>'PCO Log'!KW8</f>
        <v>0</v>
      </c>
      <c r="F306" s="303">
        <f>'PCO Log'!KW3</f>
        <v>0</v>
      </c>
      <c r="G306" s="304">
        <f>'PCO Log'!KW10</f>
        <v>0</v>
      </c>
      <c r="H306" s="305">
        <f>'PCO Log'!KW6</f>
        <v>0</v>
      </c>
    </row>
    <row r="307" spans="1:8" x14ac:dyDescent="0.25">
      <c r="A307" s="303" t="s">
        <v>657</v>
      </c>
      <c r="B307" s="303">
        <f>'PCO Log'!KX7</f>
        <v>0</v>
      </c>
      <c r="C307" s="303">
        <f>'PCO Log'!KX4</f>
        <v>0</v>
      </c>
      <c r="D307" s="303" cm="1">
        <f t="array" ref="D307">INDEX('PCO Log'!$E$5:$SJ$5, 1, ROWS('Graph Data'!$D$2:D307))</f>
        <v>0</v>
      </c>
      <c r="E307" s="303">
        <f>'PCO Log'!KX8</f>
        <v>0</v>
      </c>
      <c r="F307" s="303">
        <f>'PCO Log'!KX3</f>
        <v>0</v>
      </c>
      <c r="G307" s="304">
        <f>'PCO Log'!KX10</f>
        <v>0</v>
      </c>
      <c r="H307" s="305">
        <f>'PCO Log'!KX6</f>
        <v>0</v>
      </c>
    </row>
    <row r="308" spans="1:8" x14ac:dyDescent="0.25">
      <c r="A308" s="303" t="s">
        <v>658</v>
      </c>
      <c r="B308" s="303">
        <f>'PCO Log'!KY7</f>
        <v>0</v>
      </c>
      <c r="C308" s="303">
        <f>'PCO Log'!KY4</f>
        <v>0</v>
      </c>
      <c r="D308" s="303" cm="1">
        <f t="array" ref="D308">INDEX('PCO Log'!$E$5:$SJ$5, 1, ROWS('Graph Data'!$D$2:D308))</f>
        <v>0</v>
      </c>
      <c r="E308" s="303">
        <f>'PCO Log'!KY8</f>
        <v>0</v>
      </c>
      <c r="F308" s="303">
        <f>'PCO Log'!KY3</f>
        <v>0</v>
      </c>
      <c r="G308" s="304">
        <f>'PCO Log'!KY10</f>
        <v>0</v>
      </c>
      <c r="H308" s="305">
        <f>'PCO Log'!KY6</f>
        <v>0</v>
      </c>
    </row>
    <row r="309" spans="1:8" x14ac:dyDescent="0.25">
      <c r="A309" s="303" t="s">
        <v>659</v>
      </c>
      <c r="B309" s="303">
        <f>'PCO Log'!KZ7</f>
        <v>0</v>
      </c>
      <c r="C309" s="303">
        <f>'PCO Log'!KZ4</f>
        <v>0</v>
      </c>
      <c r="D309" s="303" cm="1">
        <f t="array" ref="D309">INDEX('PCO Log'!$E$5:$SJ$5, 1, ROWS('Graph Data'!$D$2:D309))</f>
        <v>0</v>
      </c>
      <c r="E309" s="303">
        <f>'PCO Log'!KZ8</f>
        <v>0</v>
      </c>
      <c r="F309" s="303">
        <f>'PCO Log'!KZ3</f>
        <v>0</v>
      </c>
      <c r="G309" s="304">
        <f>'PCO Log'!KZ10</f>
        <v>0</v>
      </c>
      <c r="H309" s="305">
        <f>'PCO Log'!KZ6</f>
        <v>0</v>
      </c>
    </row>
    <row r="310" spans="1:8" x14ac:dyDescent="0.25">
      <c r="A310" s="303" t="s">
        <v>660</v>
      </c>
      <c r="B310" s="303">
        <f>'PCO Log'!LA7</f>
        <v>0</v>
      </c>
      <c r="C310" s="303">
        <f>'PCO Log'!LA4</f>
        <v>0</v>
      </c>
      <c r="D310" s="303" cm="1">
        <f t="array" ref="D310">INDEX('PCO Log'!$E$5:$SJ$5, 1, ROWS('Graph Data'!$D$2:D310))</f>
        <v>0</v>
      </c>
      <c r="E310" s="303">
        <f>'PCO Log'!LA8</f>
        <v>0</v>
      </c>
      <c r="F310" s="303">
        <f>'PCO Log'!LA3</f>
        <v>0</v>
      </c>
      <c r="G310" s="304">
        <f>'PCO Log'!LA10</f>
        <v>0</v>
      </c>
      <c r="H310" s="305">
        <f>'PCO Log'!LA6</f>
        <v>0</v>
      </c>
    </row>
    <row r="311" spans="1:8" x14ac:dyDescent="0.25">
      <c r="A311" s="303" t="s">
        <v>661</v>
      </c>
      <c r="B311" s="303">
        <f>'PCO Log'!LB7</f>
        <v>0</v>
      </c>
      <c r="C311" s="303">
        <f>'PCO Log'!LB4</f>
        <v>0</v>
      </c>
      <c r="D311" s="303" cm="1">
        <f t="array" ref="D311">INDEX('PCO Log'!$E$5:$SJ$5, 1, ROWS('Graph Data'!$D$2:D311))</f>
        <v>0</v>
      </c>
      <c r="E311" s="303">
        <f>'PCO Log'!LB8</f>
        <v>0</v>
      </c>
      <c r="F311" s="303">
        <f>'PCO Log'!LB3</f>
        <v>0</v>
      </c>
      <c r="G311" s="304">
        <f>'PCO Log'!LB10</f>
        <v>0</v>
      </c>
      <c r="H311" s="305">
        <f>'PCO Log'!LB6</f>
        <v>0</v>
      </c>
    </row>
    <row r="312" spans="1:8" x14ac:dyDescent="0.25">
      <c r="A312" s="303" t="s">
        <v>662</v>
      </c>
      <c r="B312" s="303">
        <f>'PCO Log'!LC7</f>
        <v>0</v>
      </c>
      <c r="C312" s="303">
        <f>'PCO Log'!LC4</f>
        <v>0</v>
      </c>
      <c r="D312" s="303" cm="1">
        <f t="array" ref="D312">INDEX('PCO Log'!$E$5:$SJ$5, 1, ROWS('Graph Data'!$D$2:D312))</f>
        <v>0</v>
      </c>
      <c r="E312" s="303">
        <f>'PCO Log'!LC8</f>
        <v>0</v>
      </c>
      <c r="F312" s="303">
        <f>'PCO Log'!LC3</f>
        <v>0</v>
      </c>
      <c r="G312" s="304">
        <f>'PCO Log'!LC10</f>
        <v>0</v>
      </c>
      <c r="H312" s="305">
        <f>'PCO Log'!LC6</f>
        <v>0</v>
      </c>
    </row>
    <row r="313" spans="1:8" x14ac:dyDescent="0.25">
      <c r="A313" s="303" t="s">
        <v>663</v>
      </c>
      <c r="B313" s="303">
        <f>'PCO Log'!LD7</f>
        <v>0</v>
      </c>
      <c r="C313" s="303">
        <f>'PCO Log'!LD4</f>
        <v>0</v>
      </c>
      <c r="D313" s="303" cm="1">
        <f t="array" ref="D313">INDEX('PCO Log'!$E$5:$SJ$5, 1, ROWS('Graph Data'!$D$2:D313))</f>
        <v>0</v>
      </c>
      <c r="E313" s="303">
        <f>'PCO Log'!LD8</f>
        <v>0</v>
      </c>
      <c r="F313" s="303">
        <f>'PCO Log'!LD3</f>
        <v>0</v>
      </c>
      <c r="G313" s="304">
        <f>'PCO Log'!LD10</f>
        <v>0</v>
      </c>
      <c r="H313" s="305">
        <f>'PCO Log'!LD6</f>
        <v>0</v>
      </c>
    </row>
    <row r="314" spans="1:8" x14ac:dyDescent="0.25">
      <c r="A314" s="303" t="s">
        <v>664</v>
      </c>
      <c r="B314" s="303">
        <f>'PCO Log'!LE7</f>
        <v>0</v>
      </c>
      <c r="C314" s="303">
        <f>'PCO Log'!LE4</f>
        <v>0</v>
      </c>
      <c r="D314" s="303" cm="1">
        <f t="array" ref="D314">INDEX('PCO Log'!$E$5:$SJ$5, 1, ROWS('Graph Data'!$D$2:D314))</f>
        <v>0</v>
      </c>
      <c r="E314" s="303">
        <f>'PCO Log'!LE8</f>
        <v>0</v>
      </c>
      <c r="F314" s="303">
        <f>'PCO Log'!LE3</f>
        <v>0</v>
      </c>
      <c r="G314" s="304">
        <f>'PCO Log'!LE10</f>
        <v>0</v>
      </c>
      <c r="H314" s="305">
        <f>'PCO Log'!LE6</f>
        <v>0</v>
      </c>
    </row>
    <row r="315" spans="1:8" x14ac:dyDescent="0.25">
      <c r="A315" s="303" t="s">
        <v>665</v>
      </c>
      <c r="B315" s="303">
        <f>'PCO Log'!LF7</f>
        <v>0</v>
      </c>
      <c r="C315" s="303">
        <f>'PCO Log'!LF4</f>
        <v>0</v>
      </c>
      <c r="D315" s="303" cm="1">
        <f t="array" ref="D315">INDEX('PCO Log'!$E$5:$SJ$5, 1, ROWS('Graph Data'!$D$2:D315))</f>
        <v>0</v>
      </c>
      <c r="E315" s="303">
        <f>'PCO Log'!LF8</f>
        <v>0</v>
      </c>
      <c r="F315" s="303">
        <f>'PCO Log'!LF3</f>
        <v>0</v>
      </c>
      <c r="G315" s="304">
        <f>'PCO Log'!LF10</f>
        <v>0</v>
      </c>
      <c r="H315" s="305">
        <f>'PCO Log'!LF6</f>
        <v>0</v>
      </c>
    </row>
    <row r="316" spans="1:8" x14ac:dyDescent="0.25">
      <c r="A316" s="303" t="s">
        <v>666</v>
      </c>
      <c r="B316" s="303">
        <f>'PCO Log'!LG7</f>
        <v>0</v>
      </c>
      <c r="C316" s="303">
        <f>'PCO Log'!LG4</f>
        <v>0</v>
      </c>
      <c r="D316" s="303" cm="1">
        <f t="array" ref="D316">INDEX('PCO Log'!$E$5:$SJ$5, 1, ROWS('Graph Data'!$D$2:D316))</f>
        <v>0</v>
      </c>
      <c r="E316" s="303">
        <f>'PCO Log'!LG8</f>
        <v>0</v>
      </c>
      <c r="F316" s="303">
        <f>'PCO Log'!LG3</f>
        <v>0</v>
      </c>
      <c r="G316" s="304">
        <f>'PCO Log'!LG10</f>
        <v>0</v>
      </c>
      <c r="H316" s="305">
        <f>'PCO Log'!LG6</f>
        <v>0</v>
      </c>
    </row>
    <row r="317" spans="1:8" x14ac:dyDescent="0.25">
      <c r="A317" s="303" t="s">
        <v>667</v>
      </c>
      <c r="B317" s="303">
        <f>'PCO Log'!LH7</f>
        <v>0</v>
      </c>
      <c r="C317" s="303">
        <f>'PCO Log'!LH4</f>
        <v>0</v>
      </c>
      <c r="D317" s="303" cm="1">
        <f t="array" ref="D317">INDEX('PCO Log'!$E$5:$SJ$5, 1, ROWS('Graph Data'!$D$2:D317))</f>
        <v>0</v>
      </c>
      <c r="E317" s="303">
        <f>'PCO Log'!LH8</f>
        <v>0</v>
      </c>
      <c r="F317" s="303">
        <f>'PCO Log'!LH3</f>
        <v>0</v>
      </c>
      <c r="G317" s="304">
        <f>'PCO Log'!LH10</f>
        <v>0</v>
      </c>
      <c r="H317" s="305">
        <f>'PCO Log'!LH6</f>
        <v>0</v>
      </c>
    </row>
    <row r="318" spans="1:8" x14ac:dyDescent="0.25">
      <c r="A318" s="303" t="s">
        <v>668</v>
      </c>
      <c r="B318" s="303">
        <f>'PCO Log'!LI7</f>
        <v>0</v>
      </c>
      <c r="C318" s="303">
        <f>'PCO Log'!LI4</f>
        <v>0</v>
      </c>
      <c r="D318" s="303" cm="1">
        <f t="array" ref="D318">INDEX('PCO Log'!$E$5:$SJ$5, 1, ROWS('Graph Data'!$D$2:D318))</f>
        <v>0</v>
      </c>
      <c r="E318" s="303">
        <f>'PCO Log'!LI8</f>
        <v>0</v>
      </c>
      <c r="F318" s="303">
        <f>'PCO Log'!LI3</f>
        <v>0</v>
      </c>
      <c r="G318" s="304">
        <f>'PCO Log'!LI10</f>
        <v>0</v>
      </c>
      <c r="H318" s="305">
        <f>'PCO Log'!LI6</f>
        <v>0</v>
      </c>
    </row>
    <row r="319" spans="1:8" x14ac:dyDescent="0.25">
      <c r="A319" s="303" t="s">
        <v>669</v>
      </c>
      <c r="B319" s="303">
        <f>'PCO Log'!LJ7</f>
        <v>0</v>
      </c>
      <c r="C319" s="303">
        <f>'PCO Log'!LJ4</f>
        <v>0</v>
      </c>
      <c r="D319" s="303" cm="1">
        <f t="array" ref="D319">INDEX('PCO Log'!$E$5:$SJ$5, 1, ROWS('Graph Data'!$D$2:D319))</f>
        <v>0</v>
      </c>
      <c r="E319" s="303">
        <f>'PCO Log'!LJ8</f>
        <v>0</v>
      </c>
      <c r="F319" s="303">
        <f>'PCO Log'!LJ3</f>
        <v>0</v>
      </c>
      <c r="G319" s="304">
        <f>'PCO Log'!LJ10</f>
        <v>0</v>
      </c>
      <c r="H319" s="305">
        <f>'PCO Log'!LJ6</f>
        <v>0</v>
      </c>
    </row>
    <row r="320" spans="1:8" x14ac:dyDescent="0.25">
      <c r="A320" s="303" t="s">
        <v>670</v>
      </c>
      <c r="B320" s="303">
        <f>'PCO Log'!LK7</f>
        <v>0</v>
      </c>
      <c r="C320" s="303">
        <f>'PCO Log'!LK4</f>
        <v>0</v>
      </c>
      <c r="D320" s="303" cm="1">
        <f t="array" ref="D320">INDEX('PCO Log'!$E$5:$SJ$5, 1, ROWS('Graph Data'!$D$2:D320))</f>
        <v>0</v>
      </c>
      <c r="E320" s="303">
        <f>'PCO Log'!LK8</f>
        <v>0</v>
      </c>
      <c r="F320" s="303">
        <f>'PCO Log'!LK3</f>
        <v>0</v>
      </c>
      <c r="G320" s="304">
        <f>'PCO Log'!LK10</f>
        <v>0</v>
      </c>
      <c r="H320" s="305">
        <f>'PCO Log'!LK6</f>
        <v>0</v>
      </c>
    </row>
    <row r="321" spans="1:8" x14ac:dyDescent="0.25">
      <c r="A321" s="303" t="s">
        <v>671</v>
      </c>
      <c r="B321" s="303">
        <f>'PCO Log'!LL7</f>
        <v>0</v>
      </c>
      <c r="C321" s="303">
        <f>'PCO Log'!LL4</f>
        <v>0</v>
      </c>
      <c r="D321" s="303" cm="1">
        <f t="array" ref="D321">INDEX('PCO Log'!$E$5:$SJ$5, 1, ROWS('Graph Data'!$D$2:D321))</f>
        <v>0</v>
      </c>
      <c r="E321" s="303">
        <f>'PCO Log'!LL8</f>
        <v>0</v>
      </c>
      <c r="F321" s="303">
        <f>'PCO Log'!LL3</f>
        <v>0</v>
      </c>
      <c r="G321" s="304">
        <f>'PCO Log'!LL10</f>
        <v>0</v>
      </c>
      <c r="H321" s="305">
        <f>'PCO Log'!LL6</f>
        <v>0</v>
      </c>
    </row>
    <row r="322" spans="1:8" x14ac:dyDescent="0.25">
      <c r="A322" s="303" t="s">
        <v>672</v>
      </c>
      <c r="B322" s="303">
        <f>'PCO Log'!LM7</f>
        <v>0</v>
      </c>
      <c r="C322" s="303">
        <f>'PCO Log'!LM4</f>
        <v>0</v>
      </c>
      <c r="D322" s="303" cm="1">
        <f t="array" ref="D322">INDEX('PCO Log'!$E$5:$SJ$5, 1, ROWS('Graph Data'!$D$2:D322))</f>
        <v>0</v>
      </c>
      <c r="E322" s="303">
        <f>'PCO Log'!LM8</f>
        <v>0</v>
      </c>
      <c r="F322" s="303">
        <f>'PCO Log'!LM3</f>
        <v>0</v>
      </c>
      <c r="G322" s="304">
        <f>'PCO Log'!LM10</f>
        <v>0</v>
      </c>
      <c r="H322" s="305">
        <f>'PCO Log'!LM6</f>
        <v>0</v>
      </c>
    </row>
    <row r="323" spans="1:8" x14ac:dyDescent="0.25">
      <c r="A323" s="303" t="s">
        <v>673</v>
      </c>
      <c r="B323" s="303">
        <f>'PCO Log'!LN7</f>
        <v>0</v>
      </c>
      <c r="C323" s="303">
        <f>'PCO Log'!LN4</f>
        <v>0</v>
      </c>
      <c r="D323" s="303" cm="1">
        <f t="array" ref="D323">INDEX('PCO Log'!$E$5:$SJ$5, 1, ROWS('Graph Data'!$D$2:D323))</f>
        <v>0</v>
      </c>
      <c r="E323" s="303">
        <f>'PCO Log'!LN8</f>
        <v>0</v>
      </c>
      <c r="F323" s="303">
        <f>'PCO Log'!LN3</f>
        <v>0</v>
      </c>
      <c r="G323" s="304">
        <f>'PCO Log'!LN10</f>
        <v>0</v>
      </c>
      <c r="H323" s="305">
        <f>'PCO Log'!LN6</f>
        <v>0</v>
      </c>
    </row>
    <row r="324" spans="1:8" x14ac:dyDescent="0.25">
      <c r="A324" s="303" t="s">
        <v>674</v>
      </c>
      <c r="B324" s="303">
        <f>'PCO Log'!LO7</f>
        <v>0</v>
      </c>
      <c r="C324" s="303">
        <f>'PCO Log'!LO4</f>
        <v>0</v>
      </c>
      <c r="D324" s="303" cm="1">
        <f t="array" ref="D324">INDEX('PCO Log'!$E$5:$SJ$5, 1, ROWS('Graph Data'!$D$2:D324))</f>
        <v>0</v>
      </c>
      <c r="E324" s="303">
        <f>'PCO Log'!LO8</f>
        <v>0</v>
      </c>
      <c r="F324" s="303">
        <f>'PCO Log'!LO3</f>
        <v>0</v>
      </c>
      <c r="G324" s="304">
        <f>'PCO Log'!LO10</f>
        <v>0</v>
      </c>
      <c r="H324" s="305">
        <f>'PCO Log'!LO6</f>
        <v>0</v>
      </c>
    </row>
    <row r="325" spans="1:8" x14ac:dyDescent="0.25">
      <c r="A325" s="303" t="s">
        <v>675</v>
      </c>
      <c r="B325" s="303">
        <f>'PCO Log'!LP7</f>
        <v>0</v>
      </c>
      <c r="C325" s="303">
        <f>'PCO Log'!LP4</f>
        <v>0</v>
      </c>
      <c r="D325" s="303" cm="1">
        <f t="array" ref="D325">INDEX('PCO Log'!$E$5:$SJ$5, 1, ROWS('Graph Data'!$D$2:D325))</f>
        <v>0</v>
      </c>
      <c r="E325" s="303">
        <f>'PCO Log'!LP8</f>
        <v>0</v>
      </c>
      <c r="F325" s="303">
        <f>'PCO Log'!LP3</f>
        <v>0</v>
      </c>
      <c r="G325" s="304">
        <f>'PCO Log'!LP10</f>
        <v>0</v>
      </c>
      <c r="H325" s="305">
        <f>'PCO Log'!LP6</f>
        <v>0</v>
      </c>
    </row>
    <row r="326" spans="1:8" x14ac:dyDescent="0.25">
      <c r="A326" s="303" t="s">
        <v>676</v>
      </c>
      <c r="B326" s="303">
        <f>'PCO Log'!LQ7</f>
        <v>0</v>
      </c>
      <c r="C326" s="303">
        <f>'PCO Log'!LQ4</f>
        <v>0</v>
      </c>
      <c r="D326" s="303" cm="1">
        <f t="array" ref="D326">INDEX('PCO Log'!$E$5:$SJ$5, 1, ROWS('Graph Data'!$D$2:D326))</f>
        <v>0</v>
      </c>
      <c r="E326" s="303">
        <f>'PCO Log'!LQ8</f>
        <v>0</v>
      </c>
      <c r="F326" s="303">
        <f>'PCO Log'!LQ3</f>
        <v>0</v>
      </c>
      <c r="G326" s="304">
        <f>'PCO Log'!LQ10</f>
        <v>0</v>
      </c>
      <c r="H326" s="305">
        <f>'PCO Log'!LQ6</f>
        <v>0</v>
      </c>
    </row>
    <row r="327" spans="1:8" x14ac:dyDescent="0.25">
      <c r="A327" s="303" t="s">
        <v>677</v>
      </c>
      <c r="B327" s="303">
        <f>'PCO Log'!LR7</f>
        <v>0</v>
      </c>
      <c r="C327" s="303">
        <f>'PCO Log'!LR4</f>
        <v>0</v>
      </c>
      <c r="D327" s="303" cm="1">
        <f t="array" ref="D327">INDEX('PCO Log'!$E$5:$SJ$5, 1, ROWS('Graph Data'!$D$2:D327))</f>
        <v>0</v>
      </c>
      <c r="E327" s="303">
        <f>'PCO Log'!LR8</f>
        <v>0</v>
      </c>
      <c r="F327" s="303">
        <f>'PCO Log'!LR3</f>
        <v>0</v>
      </c>
      <c r="G327" s="304">
        <f>'PCO Log'!LR10</f>
        <v>0</v>
      </c>
      <c r="H327" s="305">
        <f>'PCO Log'!LR6</f>
        <v>0</v>
      </c>
    </row>
    <row r="328" spans="1:8" x14ac:dyDescent="0.25">
      <c r="A328" s="303" t="s">
        <v>678</v>
      </c>
      <c r="B328" s="303">
        <f>'PCO Log'!LS7</f>
        <v>0</v>
      </c>
      <c r="C328" s="303">
        <f>'PCO Log'!LS4</f>
        <v>0</v>
      </c>
      <c r="D328" s="303" cm="1">
        <f t="array" ref="D328">INDEX('PCO Log'!$E$5:$SJ$5, 1, ROWS('Graph Data'!$D$2:D328))</f>
        <v>0</v>
      </c>
      <c r="E328" s="303">
        <f>'PCO Log'!LS8</f>
        <v>0</v>
      </c>
      <c r="F328" s="303">
        <f>'PCO Log'!LS3</f>
        <v>0</v>
      </c>
      <c r="G328" s="304">
        <f>'PCO Log'!LS10</f>
        <v>0</v>
      </c>
      <c r="H328" s="305">
        <f>'PCO Log'!LS6</f>
        <v>0</v>
      </c>
    </row>
    <row r="329" spans="1:8" x14ac:dyDescent="0.25">
      <c r="A329" s="303" t="s">
        <v>679</v>
      </c>
      <c r="B329" s="303">
        <f>'PCO Log'!LT7</f>
        <v>0</v>
      </c>
      <c r="C329" s="303">
        <f>'PCO Log'!LT4</f>
        <v>0</v>
      </c>
      <c r="D329" s="303" cm="1">
        <f t="array" ref="D329">INDEX('PCO Log'!$E$5:$SJ$5, 1, ROWS('Graph Data'!$D$2:D329))</f>
        <v>0</v>
      </c>
      <c r="E329" s="303">
        <f>'PCO Log'!LT8</f>
        <v>0</v>
      </c>
      <c r="F329" s="303">
        <f>'PCO Log'!LT3</f>
        <v>0</v>
      </c>
      <c r="G329" s="304">
        <f>'PCO Log'!LT10</f>
        <v>0</v>
      </c>
      <c r="H329" s="305">
        <f>'PCO Log'!LT6</f>
        <v>0</v>
      </c>
    </row>
    <row r="330" spans="1:8" x14ac:dyDescent="0.25">
      <c r="A330" s="303" t="s">
        <v>680</v>
      </c>
      <c r="B330" s="303">
        <f>'PCO Log'!LU7</f>
        <v>0</v>
      </c>
      <c r="C330" s="303">
        <f>'PCO Log'!LU4</f>
        <v>0</v>
      </c>
      <c r="D330" s="303" cm="1">
        <f t="array" ref="D330">INDEX('PCO Log'!$E$5:$SJ$5, 1, ROWS('Graph Data'!$D$2:D330))</f>
        <v>0</v>
      </c>
      <c r="E330" s="303">
        <f>'PCO Log'!LU8</f>
        <v>0</v>
      </c>
      <c r="F330" s="303">
        <f>'PCO Log'!LU3</f>
        <v>0</v>
      </c>
      <c r="G330" s="304">
        <f>'PCO Log'!LU10</f>
        <v>0</v>
      </c>
      <c r="H330" s="305">
        <f>'PCO Log'!LU6</f>
        <v>0</v>
      </c>
    </row>
    <row r="331" spans="1:8" x14ac:dyDescent="0.25">
      <c r="A331" s="303" t="s">
        <v>681</v>
      </c>
      <c r="B331" s="303">
        <f>'PCO Log'!LV7</f>
        <v>0</v>
      </c>
      <c r="C331" s="303">
        <f>'PCO Log'!LV4</f>
        <v>0</v>
      </c>
      <c r="D331" s="303" cm="1">
        <f t="array" ref="D331">INDEX('PCO Log'!$E$5:$SJ$5, 1, ROWS('Graph Data'!$D$2:D331))</f>
        <v>0</v>
      </c>
      <c r="E331" s="303">
        <f>'PCO Log'!LV8</f>
        <v>0</v>
      </c>
      <c r="F331" s="303">
        <f>'PCO Log'!LV3</f>
        <v>0</v>
      </c>
      <c r="G331" s="304">
        <f>'PCO Log'!LV10</f>
        <v>0</v>
      </c>
      <c r="H331" s="305">
        <f>'PCO Log'!LV6</f>
        <v>0</v>
      </c>
    </row>
    <row r="332" spans="1:8" x14ac:dyDescent="0.25">
      <c r="A332" s="303" t="s">
        <v>682</v>
      </c>
      <c r="B332" s="303">
        <f>'PCO Log'!LW7</f>
        <v>0</v>
      </c>
      <c r="C332" s="303">
        <f>'PCO Log'!LW4</f>
        <v>0</v>
      </c>
      <c r="D332" s="303" cm="1">
        <f t="array" ref="D332">INDEX('PCO Log'!$E$5:$SJ$5, 1, ROWS('Graph Data'!$D$2:D332))</f>
        <v>0</v>
      </c>
      <c r="E332" s="303">
        <f>'PCO Log'!LW8</f>
        <v>0</v>
      </c>
      <c r="F332" s="303">
        <f>'PCO Log'!LW3</f>
        <v>0</v>
      </c>
      <c r="G332" s="304">
        <f>'PCO Log'!LW10</f>
        <v>0</v>
      </c>
      <c r="H332" s="305">
        <f>'PCO Log'!LW6</f>
        <v>0</v>
      </c>
    </row>
    <row r="333" spans="1:8" x14ac:dyDescent="0.25">
      <c r="A333" s="303" t="s">
        <v>683</v>
      </c>
      <c r="B333" s="303">
        <f>'PCO Log'!LX7</f>
        <v>0</v>
      </c>
      <c r="C333" s="303">
        <f>'PCO Log'!LX4</f>
        <v>0</v>
      </c>
      <c r="D333" s="303" cm="1">
        <f t="array" ref="D333">INDEX('PCO Log'!$E$5:$SJ$5, 1, ROWS('Graph Data'!$D$2:D333))</f>
        <v>0</v>
      </c>
      <c r="E333" s="303">
        <f>'PCO Log'!LX8</f>
        <v>0</v>
      </c>
      <c r="F333" s="303">
        <f>'PCO Log'!LX3</f>
        <v>0</v>
      </c>
      <c r="G333" s="304">
        <f>'PCO Log'!LX10</f>
        <v>0</v>
      </c>
      <c r="H333" s="305">
        <f>'PCO Log'!LX6</f>
        <v>0</v>
      </c>
    </row>
    <row r="334" spans="1:8" x14ac:dyDescent="0.25">
      <c r="A334" s="303" t="s">
        <v>684</v>
      </c>
      <c r="B334" s="303">
        <f>'PCO Log'!LY7</f>
        <v>0</v>
      </c>
      <c r="C334" s="303">
        <f>'PCO Log'!LY4</f>
        <v>0</v>
      </c>
      <c r="D334" s="303" cm="1">
        <f t="array" ref="D334">INDEX('PCO Log'!$E$5:$SJ$5, 1, ROWS('Graph Data'!$D$2:D334))</f>
        <v>0</v>
      </c>
      <c r="E334" s="303">
        <f>'PCO Log'!LY8</f>
        <v>0</v>
      </c>
      <c r="F334" s="303">
        <f>'PCO Log'!LY3</f>
        <v>0</v>
      </c>
      <c r="G334" s="304">
        <f>'PCO Log'!LY10</f>
        <v>0</v>
      </c>
      <c r="H334" s="305">
        <f>'PCO Log'!LY6</f>
        <v>0</v>
      </c>
    </row>
    <row r="335" spans="1:8" x14ac:dyDescent="0.25">
      <c r="A335" s="303" t="s">
        <v>685</v>
      </c>
      <c r="B335" s="303">
        <f>'PCO Log'!LZ7</f>
        <v>0</v>
      </c>
      <c r="C335" s="303">
        <f>'PCO Log'!LZ4</f>
        <v>0</v>
      </c>
      <c r="D335" s="303" cm="1">
        <f t="array" ref="D335">INDEX('PCO Log'!$E$5:$SJ$5, 1, ROWS('Graph Data'!$D$2:D335))</f>
        <v>0</v>
      </c>
      <c r="E335" s="303">
        <f>'PCO Log'!LZ8</f>
        <v>0</v>
      </c>
      <c r="F335" s="303">
        <f>'PCO Log'!LZ3</f>
        <v>0</v>
      </c>
      <c r="G335" s="304">
        <f>'PCO Log'!LZ10</f>
        <v>0</v>
      </c>
      <c r="H335" s="305">
        <f>'PCO Log'!LZ6</f>
        <v>0</v>
      </c>
    </row>
    <row r="336" spans="1:8" x14ac:dyDescent="0.25">
      <c r="A336" s="303" t="s">
        <v>686</v>
      </c>
      <c r="B336" s="303">
        <f>'PCO Log'!MA7</f>
        <v>0</v>
      </c>
      <c r="C336" s="303">
        <f>'PCO Log'!MA4</f>
        <v>0</v>
      </c>
      <c r="D336" s="303" cm="1">
        <f t="array" ref="D336">INDEX('PCO Log'!$E$5:$SJ$5, 1, ROWS('Graph Data'!$D$2:D336))</f>
        <v>0</v>
      </c>
      <c r="E336" s="303">
        <f>'PCO Log'!MA8</f>
        <v>0</v>
      </c>
      <c r="F336" s="303">
        <f>'PCO Log'!MA3</f>
        <v>0</v>
      </c>
      <c r="G336" s="304">
        <f>'PCO Log'!MA10</f>
        <v>0</v>
      </c>
      <c r="H336" s="305">
        <f>'PCO Log'!MA6</f>
        <v>0</v>
      </c>
    </row>
    <row r="337" spans="1:8" x14ac:dyDescent="0.25">
      <c r="A337" s="303" t="s">
        <v>687</v>
      </c>
      <c r="B337" s="303">
        <f>'PCO Log'!MB7</f>
        <v>0</v>
      </c>
      <c r="C337" s="303">
        <f>'PCO Log'!MB4</f>
        <v>0</v>
      </c>
      <c r="D337" s="303" cm="1">
        <f t="array" ref="D337">INDEX('PCO Log'!$E$5:$SJ$5, 1, ROWS('Graph Data'!$D$2:D337))</f>
        <v>0</v>
      </c>
      <c r="E337" s="303">
        <f>'PCO Log'!MB8</f>
        <v>0</v>
      </c>
      <c r="F337" s="303">
        <f>'PCO Log'!MB3</f>
        <v>0</v>
      </c>
      <c r="G337" s="304">
        <f>'PCO Log'!MB10</f>
        <v>0</v>
      </c>
      <c r="H337" s="305">
        <f>'PCO Log'!MB6</f>
        <v>0</v>
      </c>
    </row>
    <row r="338" spans="1:8" x14ac:dyDescent="0.25">
      <c r="A338" s="303" t="s">
        <v>688</v>
      </c>
      <c r="B338" s="303">
        <f>'PCO Log'!MC7</f>
        <v>0</v>
      </c>
      <c r="C338" s="303">
        <f>'PCO Log'!MC4</f>
        <v>0</v>
      </c>
      <c r="D338" s="303" cm="1">
        <f t="array" ref="D338">INDEX('PCO Log'!$E$5:$SJ$5, 1, ROWS('Graph Data'!$D$2:D338))</f>
        <v>0</v>
      </c>
      <c r="E338" s="303">
        <f>'PCO Log'!MC8</f>
        <v>0</v>
      </c>
      <c r="F338" s="303">
        <f>'PCO Log'!MC3</f>
        <v>0</v>
      </c>
      <c r="G338" s="304">
        <f>'PCO Log'!MC10</f>
        <v>0</v>
      </c>
      <c r="H338" s="305">
        <f>'PCO Log'!MC6</f>
        <v>0</v>
      </c>
    </row>
    <row r="339" spans="1:8" x14ac:dyDescent="0.25">
      <c r="A339" s="303" t="s">
        <v>689</v>
      </c>
      <c r="B339" s="303">
        <f>'PCO Log'!MD7</f>
        <v>0</v>
      </c>
      <c r="C339" s="303">
        <f>'PCO Log'!MD4</f>
        <v>0</v>
      </c>
      <c r="D339" s="303" cm="1">
        <f t="array" ref="D339">INDEX('PCO Log'!$E$5:$SJ$5, 1, ROWS('Graph Data'!$D$2:D339))</f>
        <v>0</v>
      </c>
      <c r="E339" s="303">
        <f>'PCO Log'!MD8</f>
        <v>0</v>
      </c>
      <c r="F339" s="303">
        <f>'PCO Log'!MD3</f>
        <v>0</v>
      </c>
      <c r="G339" s="304">
        <f>'PCO Log'!MD10</f>
        <v>0</v>
      </c>
      <c r="H339" s="305">
        <f>'PCO Log'!MD6</f>
        <v>0</v>
      </c>
    </row>
    <row r="340" spans="1:8" x14ac:dyDescent="0.25">
      <c r="A340" s="303" t="s">
        <v>690</v>
      </c>
      <c r="B340" s="303">
        <f>'PCO Log'!ME7</f>
        <v>0</v>
      </c>
      <c r="C340" s="303">
        <f>'PCO Log'!ME4</f>
        <v>0</v>
      </c>
      <c r="D340" s="303" cm="1">
        <f t="array" ref="D340">INDEX('PCO Log'!$E$5:$SJ$5, 1, ROWS('Graph Data'!$D$2:D340))</f>
        <v>0</v>
      </c>
      <c r="E340" s="303">
        <f>'PCO Log'!ME8</f>
        <v>0</v>
      </c>
      <c r="F340" s="303">
        <f>'PCO Log'!ME3</f>
        <v>0</v>
      </c>
      <c r="G340" s="304">
        <f>'PCO Log'!ME10</f>
        <v>0</v>
      </c>
      <c r="H340" s="305">
        <f>'PCO Log'!ME6</f>
        <v>0</v>
      </c>
    </row>
    <row r="341" spans="1:8" x14ac:dyDescent="0.25">
      <c r="A341" s="303" t="s">
        <v>691</v>
      </c>
      <c r="B341" s="303">
        <f>'PCO Log'!MF7</f>
        <v>0</v>
      </c>
      <c r="C341" s="303">
        <f>'PCO Log'!MF4</f>
        <v>0</v>
      </c>
      <c r="D341" s="303" cm="1">
        <f t="array" ref="D341">INDEX('PCO Log'!$E$5:$SJ$5, 1, ROWS('Graph Data'!$D$2:D341))</f>
        <v>0</v>
      </c>
      <c r="E341" s="303">
        <f>'PCO Log'!MF8</f>
        <v>0</v>
      </c>
      <c r="F341" s="303">
        <f>'PCO Log'!MF3</f>
        <v>0</v>
      </c>
      <c r="G341" s="304">
        <f>'PCO Log'!MF10</f>
        <v>0</v>
      </c>
      <c r="H341" s="305">
        <f>'PCO Log'!MF6</f>
        <v>0</v>
      </c>
    </row>
    <row r="342" spans="1:8" x14ac:dyDescent="0.25">
      <c r="A342" s="303" t="s">
        <v>692</v>
      </c>
      <c r="B342" s="303">
        <f>'PCO Log'!MG7</f>
        <v>0</v>
      </c>
      <c r="C342" s="303">
        <f>'PCO Log'!MG4</f>
        <v>0</v>
      </c>
      <c r="D342" s="303" cm="1">
        <f t="array" ref="D342">INDEX('PCO Log'!$E$5:$SJ$5, 1, ROWS('Graph Data'!$D$2:D342))</f>
        <v>0</v>
      </c>
      <c r="E342" s="303">
        <f>'PCO Log'!MG8</f>
        <v>0</v>
      </c>
      <c r="F342" s="303">
        <f>'PCO Log'!MG3</f>
        <v>0</v>
      </c>
      <c r="G342" s="304">
        <f>'PCO Log'!MG10</f>
        <v>0</v>
      </c>
      <c r="H342" s="305">
        <f>'PCO Log'!MG6</f>
        <v>0</v>
      </c>
    </row>
    <row r="343" spans="1:8" x14ac:dyDescent="0.25">
      <c r="A343" s="303" t="s">
        <v>693</v>
      </c>
      <c r="B343" s="303">
        <f>'PCO Log'!MH7</f>
        <v>0</v>
      </c>
      <c r="C343" s="303">
        <f>'PCO Log'!MH4</f>
        <v>0</v>
      </c>
      <c r="D343" s="303" cm="1">
        <f t="array" ref="D343">INDEX('PCO Log'!$E$5:$SJ$5, 1, ROWS('Graph Data'!$D$2:D343))</f>
        <v>0</v>
      </c>
      <c r="E343" s="303">
        <f>'PCO Log'!MH8</f>
        <v>0</v>
      </c>
      <c r="F343" s="303">
        <f>'PCO Log'!MH3</f>
        <v>0</v>
      </c>
      <c r="G343" s="304">
        <f>'PCO Log'!MH10</f>
        <v>0</v>
      </c>
      <c r="H343" s="305">
        <f>'PCO Log'!MH6</f>
        <v>0</v>
      </c>
    </row>
    <row r="344" spans="1:8" x14ac:dyDescent="0.25">
      <c r="A344" s="303" t="s">
        <v>694</v>
      </c>
      <c r="B344" s="303">
        <f>'PCO Log'!MI7</f>
        <v>0</v>
      </c>
      <c r="C344" s="303">
        <f>'PCO Log'!MI4</f>
        <v>0</v>
      </c>
      <c r="D344" s="303" cm="1">
        <f t="array" ref="D344">INDEX('PCO Log'!$E$5:$SJ$5, 1, ROWS('Graph Data'!$D$2:D344))</f>
        <v>0</v>
      </c>
      <c r="E344" s="303">
        <f>'PCO Log'!MI8</f>
        <v>0</v>
      </c>
      <c r="F344" s="303">
        <f>'PCO Log'!MI3</f>
        <v>0</v>
      </c>
      <c r="G344" s="304">
        <f>'PCO Log'!MI10</f>
        <v>0</v>
      </c>
      <c r="H344" s="305">
        <f>'PCO Log'!MI6</f>
        <v>0</v>
      </c>
    </row>
    <row r="345" spans="1:8" x14ac:dyDescent="0.25">
      <c r="A345" s="303" t="s">
        <v>695</v>
      </c>
      <c r="B345" s="303">
        <f>'PCO Log'!MJ7</f>
        <v>0</v>
      </c>
      <c r="C345" s="303">
        <f>'PCO Log'!MJ4</f>
        <v>0</v>
      </c>
      <c r="D345" s="303" cm="1">
        <f t="array" ref="D345">INDEX('PCO Log'!$E$5:$SJ$5, 1, ROWS('Graph Data'!$D$2:D345))</f>
        <v>0</v>
      </c>
      <c r="E345" s="303">
        <f>'PCO Log'!MJ8</f>
        <v>0</v>
      </c>
      <c r="F345" s="303">
        <f>'PCO Log'!MJ3</f>
        <v>0</v>
      </c>
      <c r="G345" s="304">
        <f>'PCO Log'!MJ10</f>
        <v>0</v>
      </c>
      <c r="H345" s="305">
        <f>'PCO Log'!MJ6</f>
        <v>0</v>
      </c>
    </row>
    <row r="346" spans="1:8" x14ac:dyDescent="0.25">
      <c r="A346" s="303" t="s">
        <v>696</v>
      </c>
      <c r="B346" s="303">
        <f>'PCO Log'!MK7</f>
        <v>0</v>
      </c>
      <c r="C346" s="303">
        <f>'PCO Log'!MK4</f>
        <v>0</v>
      </c>
      <c r="D346" s="303" cm="1">
        <f t="array" ref="D346">INDEX('PCO Log'!$E$5:$SJ$5, 1, ROWS('Graph Data'!$D$2:D346))</f>
        <v>0</v>
      </c>
      <c r="E346" s="303">
        <f>'PCO Log'!MK8</f>
        <v>0</v>
      </c>
      <c r="F346" s="303">
        <f>'PCO Log'!MK3</f>
        <v>0</v>
      </c>
      <c r="G346" s="304">
        <f>'PCO Log'!MK10</f>
        <v>0</v>
      </c>
      <c r="H346" s="305">
        <f>'PCO Log'!MK6</f>
        <v>0</v>
      </c>
    </row>
    <row r="347" spans="1:8" x14ac:dyDescent="0.25">
      <c r="A347" s="303" t="s">
        <v>697</v>
      </c>
      <c r="B347" s="303">
        <f>'PCO Log'!ML7</f>
        <v>0</v>
      </c>
      <c r="C347" s="303">
        <f>'PCO Log'!ML4</f>
        <v>0</v>
      </c>
      <c r="D347" s="303" cm="1">
        <f t="array" ref="D347">INDEX('PCO Log'!$E$5:$SJ$5, 1, ROWS('Graph Data'!$D$2:D347))</f>
        <v>0</v>
      </c>
      <c r="E347" s="303">
        <f>'PCO Log'!ML8</f>
        <v>0</v>
      </c>
      <c r="F347" s="303">
        <f>'PCO Log'!ML3</f>
        <v>0</v>
      </c>
      <c r="G347" s="304">
        <f>'PCO Log'!ML10</f>
        <v>0</v>
      </c>
      <c r="H347" s="305">
        <f>'PCO Log'!ML6</f>
        <v>0</v>
      </c>
    </row>
    <row r="348" spans="1:8" x14ac:dyDescent="0.25">
      <c r="A348" s="303" t="s">
        <v>698</v>
      </c>
      <c r="B348" s="303">
        <f>'PCO Log'!MM7</f>
        <v>0</v>
      </c>
      <c r="C348" s="303">
        <f>'PCO Log'!MM4</f>
        <v>0</v>
      </c>
      <c r="D348" s="303" cm="1">
        <f t="array" ref="D348">INDEX('PCO Log'!$E$5:$SJ$5, 1, ROWS('Graph Data'!$D$2:D348))</f>
        <v>0</v>
      </c>
      <c r="E348" s="303">
        <f>'PCO Log'!MM8</f>
        <v>0</v>
      </c>
      <c r="F348" s="303">
        <f>'PCO Log'!MM3</f>
        <v>0</v>
      </c>
      <c r="G348" s="304">
        <f>'PCO Log'!MM10</f>
        <v>0</v>
      </c>
      <c r="H348" s="305">
        <f>'PCO Log'!MM6</f>
        <v>0</v>
      </c>
    </row>
    <row r="349" spans="1:8" x14ac:dyDescent="0.25">
      <c r="A349" s="303" t="s">
        <v>699</v>
      </c>
      <c r="B349" s="303">
        <f>'PCO Log'!MN7</f>
        <v>0</v>
      </c>
      <c r="C349" s="303">
        <f>'PCO Log'!MN4</f>
        <v>0</v>
      </c>
      <c r="D349" s="303" cm="1">
        <f t="array" ref="D349">INDEX('PCO Log'!$E$5:$SJ$5, 1, ROWS('Graph Data'!$D$2:D349))</f>
        <v>0</v>
      </c>
      <c r="E349" s="303">
        <f>'PCO Log'!MN8</f>
        <v>0</v>
      </c>
      <c r="F349" s="303">
        <f>'PCO Log'!MN3</f>
        <v>0</v>
      </c>
      <c r="G349" s="304">
        <f>'PCO Log'!MN10</f>
        <v>0</v>
      </c>
      <c r="H349" s="305">
        <f>'PCO Log'!MN6</f>
        <v>0</v>
      </c>
    </row>
    <row r="350" spans="1:8" x14ac:dyDescent="0.25">
      <c r="A350" s="303" t="s">
        <v>700</v>
      </c>
      <c r="B350" s="303">
        <f>'PCO Log'!MO7</f>
        <v>0</v>
      </c>
      <c r="C350" s="303">
        <f>'PCO Log'!MO4</f>
        <v>0</v>
      </c>
      <c r="D350" s="303" cm="1">
        <f t="array" ref="D350">INDEX('PCO Log'!$E$5:$SJ$5, 1, ROWS('Graph Data'!$D$2:D350))</f>
        <v>0</v>
      </c>
      <c r="E350" s="303">
        <f>'PCO Log'!MO8</f>
        <v>0</v>
      </c>
      <c r="F350" s="303">
        <f>'PCO Log'!MO3</f>
        <v>0</v>
      </c>
      <c r="G350" s="304">
        <f>'PCO Log'!MO10</f>
        <v>0</v>
      </c>
      <c r="H350" s="305">
        <f>'PCO Log'!MO6</f>
        <v>0</v>
      </c>
    </row>
    <row r="351" spans="1:8" x14ac:dyDescent="0.25">
      <c r="A351" s="303" t="s">
        <v>701</v>
      </c>
      <c r="B351" s="303">
        <f>'PCO Log'!MP7</f>
        <v>0</v>
      </c>
      <c r="C351" s="303">
        <f>'PCO Log'!MP4</f>
        <v>0</v>
      </c>
      <c r="D351" s="303" cm="1">
        <f t="array" ref="D351">INDEX('PCO Log'!$E$5:$SJ$5, 1, ROWS('Graph Data'!$D$2:D351))</f>
        <v>0</v>
      </c>
      <c r="E351" s="303">
        <f>'PCO Log'!MP8</f>
        <v>0</v>
      </c>
      <c r="F351" s="303">
        <f>'PCO Log'!MP3</f>
        <v>0</v>
      </c>
      <c r="G351" s="304">
        <f>'PCO Log'!MP10</f>
        <v>0</v>
      </c>
      <c r="H351" s="305">
        <f>'PCO Log'!MP6</f>
        <v>0</v>
      </c>
    </row>
    <row r="352" spans="1:8" x14ac:dyDescent="0.25">
      <c r="A352" s="303" t="s">
        <v>702</v>
      </c>
      <c r="B352" s="303">
        <f>'PCO Log'!MQ7</f>
        <v>0</v>
      </c>
      <c r="C352" s="303">
        <f>'PCO Log'!MQ4</f>
        <v>0</v>
      </c>
      <c r="D352" s="303" cm="1">
        <f t="array" ref="D352">INDEX('PCO Log'!$E$5:$SJ$5, 1, ROWS('Graph Data'!$D$2:D352))</f>
        <v>0</v>
      </c>
      <c r="E352" s="303">
        <f>'PCO Log'!MQ8</f>
        <v>0</v>
      </c>
      <c r="F352" s="303">
        <f>'PCO Log'!MQ3</f>
        <v>0</v>
      </c>
      <c r="G352" s="304">
        <f>'PCO Log'!MQ10</f>
        <v>0</v>
      </c>
      <c r="H352" s="305">
        <f>'PCO Log'!MQ6</f>
        <v>0</v>
      </c>
    </row>
    <row r="353" spans="1:8" x14ac:dyDescent="0.25">
      <c r="A353" s="303" t="s">
        <v>703</v>
      </c>
      <c r="B353" s="303">
        <f>'PCO Log'!MR7</f>
        <v>0</v>
      </c>
      <c r="C353" s="303">
        <f>'PCO Log'!MR4</f>
        <v>0</v>
      </c>
      <c r="D353" s="303" cm="1">
        <f t="array" ref="D353">INDEX('PCO Log'!$E$5:$SJ$5, 1, ROWS('Graph Data'!$D$2:D353))</f>
        <v>0</v>
      </c>
      <c r="E353" s="303">
        <f>'PCO Log'!MR8</f>
        <v>0</v>
      </c>
      <c r="F353" s="303">
        <f>'PCO Log'!MR3</f>
        <v>0</v>
      </c>
      <c r="G353" s="304">
        <f>'PCO Log'!MR10</f>
        <v>0</v>
      </c>
      <c r="H353" s="305">
        <f>'PCO Log'!MR6</f>
        <v>0</v>
      </c>
    </row>
    <row r="354" spans="1:8" x14ac:dyDescent="0.25">
      <c r="A354" s="303" t="s">
        <v>704</v>
      </c>
      <c r="B354" s="303">
        <f>'PCO Log'!MS7</f>
        <v>0</v>
      </c>
      <c r="C354" s="303">
        <f>'PCO Log'!MS4</f>
        <v>0</v>
      </c>
      <c r="D354" s="303" cm="1">
        <f t="array" ref="D354">INDEX('PCO Log'!$E$5:$SJ$5, 1, ROWS('Graph Data'!$D$2:D354))</f>
        <v>0</v>
      </c>
      <c r="E354" s="303">
        <f>'PCO Log'!MS8</f>
        <v>0</v>
      </c>
      <c r="F354" s="303">
        <f>'PCO Log'!MS3</f>
        <v>0</v>
      </c>
      <c r="G354" s="304">
        <f>'PCO Log'!MS10</f>
        <v>0</v>
      </c>
      <c r="H354" s="305">
        <f>'PCO Log'!MS6</f>
        <v>0</v>
      </c>
    </row>
    <row r="355" spans="1:8" x14ac:dyDescent="0.25">
      <c r="A355" s="303" t="s">
        <v>705</v>
      </c>
      <c r="B355" s="303">
        <f>'PCO Log'!MT7</f>
        <v>0</v>
      </c>
      <c r="C355" s="303">
        <f>'PCO Log'!MT4</f>
        <v>0</v>
      </c>
      <c r="D355" s="303" cm="1">
        <f t="array" ref="D355">INDEX('PCO Log'!$E$5:$SJ$5, 1, ROWS('Graph Data'!$D$2:D355))</f>
        <v>0</v>
      </c>
      <c r="E355" s="303">
        <f>'PCO Log'!MT8</f>
        <v>0</v>
      </c>
      <c r="F355" s="303">
        <f>'PCO Log'!MT3</f>
        <v>0</v>
      </c>
      <c r="G355" s="304">
        <f>'PCO Log'!MT10</f>
        <v>0</v>
      </c>
      <c r="H355" s="305">
        <f>'PCO Log'!MT6</f>
        <v>0</v>
      </c>
    </row>
    <row r="356" spans="1:8" x14ac:dyDescent="0.25">
      <c r="A356" s="303" t="s">
        <v>706</v>
      </c>
      <c r="B356" s="303">
        <f>'PCO Log'!MU7</f>
        <v>0</v>
      </c>
      <c r="C356" s="303">
        <f>'PCO Log'!MU4</f>
        <v>0</v>
      </c>
      <c r="D356" s="303" cm="1">
        <f t="array" ref="D356">INDEX('PCO Log'!$E$5:$SJ$5, 1, ROWS('Graph Data'!$D$2:D356))</f>
        <v>0</v>
      </c>
      <c r="E356" s="303">
        <f>'PCO Log'!MU8</f>
        <v>0</v>
      </c>
      <c r="F356" s="303">
        <f>'PCO Log'!MU3</f>
        <v>0</v>
      </c>
      <c r="G356" s="304">
        <f>'PCO Log'!MU10</f>
        <v>0</v>
      </c>
      <c r="H356" s="305">
        <f>'PCO Log'!MU6</f>
        <v>0</v>
      </c>
    </row>
    <row r="357" spans="1:8" x14ac:dyDescent="0.25">
      <c r="A357" s="303" t="s">
        <v>707</v>
      </c>
      <c r="B357" s="303">
        <f>'PCO Log'!MV7</f>
        <v>0</v>
      </c>
      <c r="C357" s="303">
        <f>'PCO Log'!MV4</f>
        <v>0</v>
      </c>
      <c r="D357" s="303" cm="1">
        <f t="array" ref="D357">INDEX('PCO Log'!$E$5:$SJ$5, 1, ROWS('Graph Data'!$D$2:D357))</f>
        <v>0</v>
      </c>
      <c r="E357" s="303">
        <f>'PCO Log'!MV8</f>
        <v>0</v>
      </c>
      <c r="F357" s="303">
        <f>'PCO Log'!MV3</f>
        <v>0</v>
      </c>
      <c r="G357" s="304">
        <f>'PCO Log'!MV10</f>
        <v>0</v>
      </c>
      <c r="H357" s="305">
        <f>'PCO Log'!MV6</f>
        <v>0</v>
      </c>
    </row>
    <row r="358" spans="1:8" x14ac:dyDescent="0.25">
      <c r="A358" s="303" t="s">
        <v>708</v>
      </c>
      <c r="B358" s="303">
        <f>'PCO Log'!MW7</f>
        <v>0</v>
      </c>
      <c r="C358" s="303">
        <f>'PCO Log'!MW4</f>
        <v>0</v>
      </c>
      <c r="D358" s="303" cm="1">
        <f t="array" ref="D358">INDEX('PCO Log'!$E$5:$SJ$5, 1, ROWS('Graph Data'!$D$2:D358))</f>
        <v>0</v>
      </c>
      <c r="E358" s="303">
        <f>'PCO Log'!MW8</f>
        <v>0</v>
      </c>
      <c r="F358" s="303">
        <f>'PCO Log'!MW3</f>
        <v>0</v>
      </c>
      <c r="G358" s="304">
        <f>'PCO Log'!MW10</f>
        <v>0</v>
      </c>
      <c r="H358" s="305">
        <f>'PCO Log'!MW6</f>
        <v>0</v>
      </c>
    </row>
    <row r="359" spans="1:8" x14ac:dyDescent="0.25">
      <c r="A359" s="303" t="s">
        <v>709</v>
      </c>
      <c r="B359" s="303">
        <f>'PCO Log'!MX7</f>
        <v>0</v>
      </c>
      <c r="C359" s="303">
        <f>'PCO Log'!MX4</f>
        <v>0</v>
      </c>
      <c r="D359" s="303" cm="1">
        <f t="array" ref="D359">INDEX('PCO Log'!$E$5:$SJ$5, 1, ROWS('Graph Data'!$D$2:D359))</f>
        <v>0</v>
      </c>
      <c r="E359" s="303">
        <f>'PCO Log'!MX8</f>
        <v>0</v>
      </c>
      <c r="F359" s="303">
        <f>'PCO Log'!MX3</f>
        <v>0</v>
      </c>
      <c r="G359" s="304">
        <f>'PCO Log'!MX10</f>
        <v>0</v>
      </c>
      <c r="H359" s="305">
        <f>'PCO Log'!MX6</f>
        <v>0</v>
      </c>
    </row>
    <row r="360" spans="1:8" x14ac:dyDescent="0.25">
      <c r="A360" s="303" t="s">
        <v>710</v>
      </c>
      <c r="B360" s="303">
        <f>'PCO Log'!MY7</f>
        <v>0</v>
      </c>
      <c r="C360" s="303">
        <f>'PCO Log'!MY4</f>
        <v>0</v>
      </c>
      <c r="D360" s="303" cm="1">
        <f t="array" ref="D360">INDEX('PCO Log'!$E$5:$SJ$5, 1, ROWS('Graph Data'!$D$2:D360))</f>
        <v>0</v>
      </c>
      <c r="E360" s="303">
        <f>'PCO Log'!MY8</f>
        <v>0</v>
      </c>
      <c r="F360" s="303">
        <f>'PCO Log'!MY3</f>
        <v>0</v>
      </c>
      <c r="G360" s="304">
        <f>'PCO Log'!MY10</f>
        <v>0</v>
      </c>
      <c r="H360" s="305">
        <f>'PCO Log'!MY6</f>
        <v>0</v>
      </c>
    </row>
    <row r="361" spans="1:8" x14ac:dyDescent="0.25">
      <c r="A361" s="303" t="s">
        <v>711</v>
      </c>
      <c r="B361" s="303">
        <f>'PCO Log'!MZ7</f>
        <v>0</v>
      </c>
      <c r="C361" s="303">
        <f>'PCO Log'!MZ4</f>
        <v>0</v>
      </c>
      <c r="D361" s="303" cm="1">
        <f t="array" ref="D361">INDEX('PCO Log'!$E$5:$SJ$5, 1, ROWS('Graph Data'!$D$2:D361))</f>
        <v>0</v>
      </c>
      <c r="E361" s="303">
        <f>'PCO Log'!MZ8</f>
        <v>0</v>
      </c>
      <c r="F361" s="303">
        <f>'PCO Log'!MZ3</f>
        <v>0</v>
      </c>
      <c r="G361" s="304">
        <f>'PCO Log'!MZ10</f>
        <v>0</v>
      </c>
      <c r="H361" s="305">
        <f>'PCO Log'!MZ6</f>
        <v>0</v>
      </c>
    </row>
    <row r="362" spans="1:8" x14ac:dyDescent="0.25">
      <c r="A362" s="303" t="s">
        <v>712</v>
      </c>
      <c r="B362" s="303">
        <f>'PCO Log'!NA7</f>
        <v>0</v>
      </c>
      <c r="C362" s="303">
        <f>'PCO Log'!NA4</f>
        <v>0</v>
      </c>
      <c r="D362" s="303" cm="1">
        <f t="array" ref="D362">INDEX('PCO Log'!$E$5:$SJ$5, 1, ROWS('Graph Data'!$D$2:D362))</f>
        <v>0</v>
      </c>
      <c r="E362" s="303">
        <f>'PCO Log'!NA8</f>
        <v>0</v>
      </c>
      <c r="F362" s="303">
        <f>'PCO Log'!NA3</f>
        <v>0</v>
      </c>
      <c r="G362" s="304">
        <f>'PCO Log'!NA10</f>
        <v>0</v>
      </c>
      <c r="H362" s="305">
        <f>'PCO Log'!NA6</f>
        <v>0</v>
      </c>
    </row>
    <row r="363" spans="1:8" x14ac:dyDescent="0.25">
      <c r="A363" s="303" t="s">
        <v>713</v>
      </c>
      <c r="B363" s="303">
        <f>'PCO Log'!NB7</f>
        <v>0</v>
      </c>
      <c r="C363" s="303">
        <f>'PCO Log'!NB4</f>
        <v>0</v>
      </c>
      <c r="D363" s="303" cm="1">
        <f t="array" ref="D363">INDEX('PCO Log'!$E$5:$SJ$5, 1, ROWS('Graph Data'!$D$2:D363))</f>
        <v>0</v>
      </c>
      <c r="E363" s="303">
        <f>'PCO Log'!NB8</f>
        <v>0</v>
      </c>
      <c r="F363" s="303">
        <f>'PCO Log'!NB3</f>
        <v>0</v>
      </c>
      <c r="G363" s="304">
        <f>'PCO Log'!NB10</f>
        <v>0</v>
      </c>
      <c r="H363" s="305">
        <f>'PCO Log'!NB6</f>
        <v>0</v>
      </c>
    </row>
    <row r="364" spans="1:8" x14ac:dyDescent="0.25">
      <c r="A364" s="303" t="s">
        <v>714</v>
      </c>
      <c r="B364" s="303">
        <f>'PCO Log'!NC7</f>
        <v>0</v>
      </c>
      <c r="C364" s="303">
        <f>'PCO Log'!NC4</f>
        <v>0</v>
      </c>
      <c r="D364" s="303" cm="1">
        <f t="array" ref="D364">INDEX('PCO Log'!$E$5:$SJ$5, 1, ROWS('Graph Data'!$D$2:D364))</f>
        <v>0</v>
      </c>
      <c r="E364" s="303">
        <f>'PCO Log'!NC8</f>
        <v>0</v>
      </c>
      <c r="F364" s="303">
        <f>'PCO Log'!NC3</f>
        <v>0</v>
      </c>
      <c r="G364" s="304">
        <f>'PCO Log'!NC10</f>
        <v>0</v>
      </c>
      <c r="H364" s="305">
        <f>'PCO Log'!NC6</f>
        <v>0</v>
      </c>
    </row>
    <row r="365" spans="1:8" x14ac:dyDescent="0.25">
      <c r="A365" s="303" t="s">
        <v>715</v>
      </c>
      <c r="B365" s="303">
        <f>'PCO Log'!ND7</f>
        <v>0</v>
      </c>
      <c r="C365" s="303">
        <f>'PCO Log'!ND4</f>
        <v>0</v>
      </c>
      <c r="D365" s="303" cm="1">
        <f t="array" ref="D365">INDEX('PCO Log'!$E$5:$SJ$5, 1, ROWS('Graph Data'!$D$2:D365))</f>
        <v>0</v>
      </c>
      <c r="E365" s="303">
        <f>'PCO Log'!ND8</f>
        <v>0</v>
      </c>
      <c r="F365" s="303">
        <f>'PCO Log'!ND3</f>
        <v>0</v>
      </c>
      <c r="G365" s="304">
        <f>'PCO Log'!ND10</f>
        <v>0</v>
      </c>
      <c r="H365" s="305">
        <f>'PCO Log'!ND6</f>
        <v>0</v>
      </c>
    </row>
    <row r="366" spans="1:8" x14ac:dyDescent="0.25">
      <c r="A366" s="303" t="s">
        <v>716</v>
      </c>
      <c r="B366" s="303">
        <f>'PCO Log'!NE7</f>
        <v>0</v>
      </c>
      <c r="C366" s="303">
        <f>'PCO Log'!NE4</f>
        <v>0</v>
      </c>
      <c r="D366" s="303" cm="1">
        <f t="array" ref="D366">INDEX('PCO Log'!$E$5:$SJ$5, 1, ROWS('Graph Data'!$D$2:D366))</f>
        <v>0</v>
      </c>
      <c r="E366" s="303">
        <f>'PCO Log'!NE8</f>
        <v>0</v>
      </c>
      <c r="F366" s="303">
        <f>'PCO Log'!NE3</f>
        <v>0</v>
      </c>
      <c r="G366" s="304">
        <f>'PCO Log'!NE10</f>
        <v>0</v>
      </c>
      <c r="H366" s="305">
        <f>'PCO Log'!NE6</f>
        <v>0</v>
      </c>
    </row>
    <row r="367" spans="1:8" x14ac:dyDescent="0.25">
      <c r="A367" s="303" t="s">
        <v>717</v>
      </c>
      <c r="B367" s="303">
        <f>'PCO Log'!NF7</f>
        <v>0</v>
      </c>
      <c r="C367" s="303">
        <f>'PCO Log'!NF4</f>
        <v>0</v>
      </c>
      <c r="D367" s="303" cm="1">
        <f t="array" ref="D367">INDEX('PCO Log'!$E$5:$SJ$5, 1, ROWS('Graph Data'!$D$2:D367))</f>
        <v>0</v>
      </c>
      <c r="E367" s="303">
        <f>'PCO Log'!NF8</f>
        <v>0</v>
      </c>
      <c r="F367" s="303">
        <f>'PCO Log'!NF3</f>
        <v>0</v>
      </c>
      <c r="G367" s="304">
        <f>'PCO Log'!NF10</f>
        <v>0</v>
      </c>
      <c r="H367" s="305">
        <f>'PCO Log'!NF6</f>
        <v>0</v>
      </c>
    </row>
    <row r="368" spans="1:8" x14ac:dyDescent="0.25">
      <c r="A368" s="303" t="s">
        <v>718</v>
      </c>
      <c r="B368" s="303">
        <f>'PCO Log'!NG7</f>
        <v>0</v>
      </c>
      <c r="C368" s="303">
        <f>'PCO Log'!NG4</f>
        <v>0</v>
      </c>
      <c r="D368" s="303" cm="1">
        <f t="array" ref="D368">INDEX('PCO Log'!$E$5:$SJ$5, 1, ROWS('Graph Data'!$D$2:D368))</f>
        <v>0</v>
      </c>
      <c r="E368" s="303">
        <f>'PCO Log'!NG8</f>
        <v>0</v>
      </c>
      <c r="F368" s="303">
        <f>'PCO Log'!NG3</f>
        <v>0</v>
      </c>
      <c r="G368" s="304">
        <f>'PCO Log'!NG10</f>
        <v>0</v>
      </c>
      <c r="H368" s="305">
        <f>'PCO Log'!NG6</f>
        <v>0</v>
      </c>
    </row>
    <row r="369" spans="1:8" x14ac:dyDescent="0.25">
      <c r="A369" s="303" t="s">
        <v>719</v>
      </c>
      <c r="B369" s="303">
        <f>'PCO Log'!NH7</f>
        <v>0</v>
      </c>
      <c r="C369" s="303">
        <f>'PCO Log'!NH4</f>
        <v>0</v>
      </c>
      <c r="D369" s="303" cm="1">
        <f t="array" ref="D369">INDEX('PCO Log'!$E$5:$SJ$5, 1, ROWS('Graph Data'!$D$2:D369))</f>
        <v>0</v>
      </c>
      <c r="E369" s="303">
        <f>'PCO Log'!NH8</f>
        <v>0</v>
      </c>
      <c r="F369" s="303">
        <f>'PCO Log'!NH3</f>
        <v>0</v>
      </c>
      <c r="G369" s="304">
        <f>'PCO Log'!NH10</f>
        <v>0</v>
      </c>
      <c r="H369" s="305">
        <f>'PCO Log'!NH6</f>
        <v>0</v>
      </c>
    </row>
    <row r="370" spans="1:8" x14ac:dyDescent="0.25">
      <c r="A370" s="303" t="s">
        <v>720</v>
      </c>
      <c r="B370" s="303">
        <f>'PCO Log'!NI7</f>
        <v>0</v>
      </c>
      <c r="C370" s="303">
        <f>'PCO Log'!NI4</f>
        <v>0</v>
      </c>
      <c r="D370" s="303" cm="1">
        <f t="array" ref="D370">INDEX('PCO Log'!$E$5:$SJ$5, 1, ROWS('Graph Data'!$D$2:D370))</f>
        <v>0</v>
      </c>
      <c r="E370" s="303">
        <f>'PCO Log'!NI8</f>
        <v>0</v>
      </c>
      <c r="F370" s="303">
        <f>'PCO Log'!NI3</f>
        <v>0</v>
      </c>
      <c r="G370" s="304">
        <f>'PCO Log'!NI10</f>
        <v>0</v>
      </c>
      <c r="H370" s="305">
        <f>'PCO Log'!NI6</f>
        <v>0</v>
      </c>
    </row>
    <row r="371" spans="1:8" x14ac:dyDescent="0.25">
      <c r="A371" s="303" t="s">
        <v>721</v>
      </c>
      <c r="B371" s="303">
        <f>'PCO Log'!NJ7</f>
        <v>0</v>
      </c>
      <c r="C371" s="303">
        <f>'PCO Log'!NJ4</f>
        <v>0</v>
      </c>
      <c r="D371" s="303" cm="1">
        <f t="array" ref="D371">INDEX('PCO Log'!$E$5:$SJ$5, 1, ROWS('Graph Data'!$D$2:D371))</f>
        <v>0</v>
      </c>
      <c r="E371" s="303">
        <f>'PCO Log'!NJ8</f>
        <v>0</v>
      </c>
      <c r="F371" s="303">
        <f>'PCO Log'!NJ3</f>
        <v>0</v>
      </c>
      <c r="G371" s="304">
        <f>'PCO Log'!NJ10</f>
        <v>0</v>
      </c>
      <c r="H371" s="305">
        <f>'PCO Log'!NJ6</f>
        <v>0</v>
      </c>
    </row>
    <row r="372" spans="1:8" x14ac:dyDescent="0.25">
      <c r="A372" s="303" t="s">
        <v>722</v>
      </c>
      <c r="B372" s="303">
        <f>'PCO Log'!NK7</f>
        <v>0</v>
      </c>
      <c r="C372" s="303">
        <f>'PCO Log'!NK4</f>
        <v>0</v>
      </c>
      <c r="D372" s="303" cm="1">
        <f t="array" ref="D372">INDEX('PCO Log'!$E$5:$SJ$5, 1, ROWS('Graph Data'!$D$2:D372))</f>
        <v>0</v>
      </c>
      <c r="E372" s="303">
        <f>'PCO Log'!NK8</f>
        <v>0</v>
      </c>
      <c r="F372" s="303">
        <f>'PCO Log'!NK3</f>
        <v>0</v>
      </c>
      <c r="G372" s="304">
        <f>'PCO Log'!NK10</f>
        <v>0</v>
      </c>
      <c r="H372" s="305">
        <f>'PCO Log'!NK6</f>
        <v>0</v>
      </c>
    </row>
    <row r="373" spans="1:8" x14ac:dyDescent="0.25">
      <c r="A373" s="303" t="s">
        <v>723</v>
      </c>
      <c r="B373" s="303">
        <f>'PCO Log'!NL7</f>
        <v>0</v>
      </c>
      <c r="C373" s="303">
        <f>'PCO Log'!NL4</f>
        <v>0</v>
      </c>
      <c r="D373" s="303" cm="1">
        <f t="array" ref="D373">INDEX('PCO Log'!$E$5:$SJ$5, 1, ROWS('Graph Data'!$D$2:D373))</f>
        <v>0</v>
      </c>
      <c r="E373" s="303">
        <f>'PCO Log'!NL8</f>
        <v>0</v>
      </c>
      <c r="F373" s="303">
        <f>'PCO Log'!NL3</f>
        <v>0</v>
      </c>
      <c r="G373" s="304">
        <f>'PCO Log'!NL10</f>
        <v>0</v>
      </c>
      <c r="H373" s="305">
        <f>'PCO Log'!NL6</f>
        <v>0</v>
      </c>
    </row>
    <row r="374" spans="1:8" x14ac:dyDescent="0.25">
      <c r="A374" s="303" t="s">
        <v>724</v>
      </c>
      <c r="B374" s="303">
        <f>'PCO Log'!NM7</f>
        <v>0</v>
      </c>
      <c r="C374" s="303">
        <f>'PCO Log'!NM4</f>
        <v>0</v>
      </c>
      <c r="D374" s="303" cm="1">
        <f t="array" ref="D374">INDEX('PCO Log'!$E$5:$SJ$5, 1, ROWS('Graph Data'!$D$2:D374))</f>
        <v>0</v>
      </c>
      <c r="E374" s="303">
        <f>'PCO Log'!NM8</f>
        <v>0</v>
      </c>
      <c r="F374" s="303">
        <f>'PCO Log'!NM3</f>
        <v>0</v>
      </c>
      <c r="G374" s="304">
        <f>'PCO Log'!NM10</f>
        <v>0</v>
      </c>
      <c r="H374" s="305">
        <f>'PCO Log'!NM6</f>
        <v>0</v>
      </c>
    </row>
    <row r="375" spans="1:8" x14ac:dyDescent="0.25">
      <c r="A375" s="303" t="s">
        <v>725</v>
      </c>
      <c r="B375" s="303">
        <f>'PCO Log'!NN7</f>
        <v>0</v>
      </c>
      <c r="C375" s="303">
        <f>'PCO Log'!NN4</f>
        <v>0</v>
      </c>
      <c r="D375" s="303" cm="1">
        <f t="array" ref="D375">INDEX('PCO Log'!$E$5:$SJ$5, 1, ROWS('Graph Data'!$D$2:D375))</f>
        <v>0</v>
      </c>
      <c r="E375" s="303">
        <f>'PCO Log'!NN8</f>
        <v>0</v>
      </c>
      <c r="F375" s="303">
        <f>'PCO Log'!NN3</f>
        <v>0</v>
      </c>
      <c r="G375" s="304">
        <f>'PCO Log'!NN10</f>
        <v>0</v>
      </c>
      <c r="H375" s="305">
        <f>'PCO Log'!NN6</f>
        <v>0</v>
      </c>
    </row>
    <row r="376" spans="1:8" x14ac:dyDescent="0.25">
      <c r="A376" s="303" t="s">
        <v>726</v>
      </c>
      <c r="B376" s="303">
        <f>'PCO Log'!NO7</f>
        <v>0</v>
      </c>
      <c r="C376" s="303">
        <f>'PCO Log'!NO4</f>
        <v>0</v>
      </c>
      <c r="D376" s="303" cm="1">
        <f t="array" ref="D376">INDEX('PCO Log'!$E$5:$SJ$5, 1, ROWS('Graph Data'!$D$2:D376))</f>
        <v>0</v>
      </c>
      <c r="E376" s="303">
        <f>'PCO Log'!NO8</f>
        <v>0</v>
      </c>
      <c r="F376" s="303">
        <f>'PCO Log'!NO3</f>
        <v>0</v>
      </c>
      <c r="G376" s="304">
        <f>'PCO Log'!NO10</f>
        <v>0</v>
      </c>
      <c r="H376" s="305">
        <f>'PCO Log'!NO6</f>
        <v>0</v>
      </c>
    </row>
    <row r="377" spans="1:8" x14ac:dyDescent="0.25">
      <c r="A377" s="303" t="s">
        <v>727</v>
      </c>
      <c r="B377" s="303">
        <f>'PCO Log'!NP7</f>
        <v>0</v>
      </c>
      <c r="C377" s="303">
        <f>'PCO Log'!NP4</f>
        <v>0</v>
      </c>
      <c r="D377" s="303" cm="1">
        <f t="array" ref="D377">INDEX('PCO Log'!$E$5:$SJ$5, 1, ROWS('Graph Data'!$D$2:D377))</f>
        <v>0</v>
      </c>
      <c r="E377" s="303">
        <f>'PCO Log'!NP8</f>
        <v>0</v>
      </c>
      <c r="F377" s="303">
        <f>'PCO Log'!NP3</f>
        <v>0</v>
      </c>
      <c r="G377" s="304">
        <f>'PCO Log'!NP10</f>
        <v>0</v>
      </c>
      <c r="H377" s="305">
        <f>'PCO Log'!NP6</f>
        <v>0</v>
      </c>
    </row>
    <row r="378" spans="1:8" x14ac:dyDescent="0.25">
      <c r="A378" s="303" t="s">
        <v>728</v>
      </c>
      <c r="B378" s="303">
        <f>'PCO Log'!NQ7</f>
        <v>0</v>
      </c>
      <c r="C378" s="303">
        <f>'PCO Log'!NQ4</f>
        <v>0</v>
      </c>
      <c r="D378" s="303" cm="1">
        <f t="array" ref="D378">INDEX('PCO Log'!$E$5:$SJ$5, 1, ROWS('Graph Data'!$D$2:D378))</f>
        <v>0</v>
      </c>
      <c r="E378" s="303">
        <f>'PCO Log'!NQ8</f>
        <v>0</v>
      </c>
      <c r="F378" s="303">
        <f>'PCO Log'!NQ3</f>
        <v>0</v>
      </c>
      <c r="G378" s="304">
        <f>'PCO Log'!NQ10</f>
        <v>0</v>
      </c>
      <c r="H378" s="305">
        <f>'PCO Log'!NQ6</f>
        <v>0</v>
      </c>
    </row>
    <row r="379" spans="1:8" x14ac:dyDescent="0.25">
      <c r="A379" s="303" t="s">
        <v>729</v>
      </c>
      <c r="B379" s="303">
        <f>'PCO Log'!NR7</f>
        <v>0</v>
      </c>
      <c r="C379" s="303">
        <f>'PCO Log'!NR4</f>
        <v>0</v>
      </c>
      <c r="D379" s="303" cm="1">
        <f t="array" ref="D379">INDEX('PCO Log'!$E$5:$SJ$5, 1, ROWS('Graph Data'!$D$2:D379))</f>
        <v>0</v>
      </c>
      <c r="E379" s="303">
        <f>'PCO Log'!NR8</f>
        <v>0</v>
      </c>
      <c r="F379" s="303">
        <f>'PCO Log'!NR3</f>
        <v>0</v>
      </c>
      <c r="G379" s="304">
        <f>'PCO Log'!NR10</f>
        <v>0</v>
      </c>
      <c r="H379" s="305">
        <f>'PCO Log'!NR6</f>
        <v>0</v>
      </c>
    </row>
    <row r="380" spans="1:8" x14ac:dyDescent="0.25">
      <c r="A380" s="303" t="s">
        <v>730</v>
      </c>
      <c r="B380" s="303">
        <f>'PCO Log'!NS7</f>
        <v>0</v>
      </c>
      <c r="C380" s="303">
        <f>'PCO Log'!NS4</f>
        <v>0</v>
      </c>
      <c r="D380" s="303" cm="1">
        <f t="array" ref="D380">INDEX('PCO Log'!$E$5:$SJ$5, 1, ROWS('Graph Data'!$D$2:D380))</f>
        <v>0</v>
      </c>
      <c r="E380" s="303">
        <f>'PCO Log'!NS8</f>
        <v>0</v>
      </c>
      <c r="F380" s="303">
        <f>'PCO Log'!NS3</f>
        <v>0</v>
      </c>
      <c r="G380" s="304">
        <f>'PCO Log'!NS10</f>
        <v>0</v>
      </c>
      <c r="H380" s="305">
        <f>'PCO Log'!NS6</f>
        <v>0</v>
      </c>
    </row>
    <row r="381" spans="1:8" x14ac:dyDescent="0.25">
      <c r="A381" s="303" t="s">
        <v>731</v>
      </c>
      <c r="B381" s="303">
        <f>'PCO Log'!NT7</f>
        <v>0</v>
      </c>
      <c r="C381" s="303">
        <f>'PCO Log'!NT4</f>
        <v>0</v>
      </c>
      <c r="D381" s="303" cm="1">
        <f t="array" ref="D381">INDEX('PCO Log'!$E$5:$SJ$5, 1, ROWS('Graph Data'!$D$2:D381))</f>
        <v>0</v>
      </c>
      <c r="E381" s="303">
        <f>'PCO Log'!NT8</f>
        <v>0</v>
      </c>
      <c r="F381" s="303">
        <f>'PCO Log'!NT3</f>
        <v>0</v>
      </c>
      <c r="G381" s="304">
        <f>'PCO Log'!NT10</f>
        <v>0</v>
      </c>
      <c r="H381" s="305">
        <f>'PCO Log'!NT6</f>
        <v>0</v>
      </c>
    </row>
    <row r="382" spans="1:8" x14ac:dyDescent="0.25">
      <c r="A382" s="303" t="s">
        <v>732</v>
      </c>
      <c r="B382" s="303">
        <f>'PCO Log'!NU7</f>
        <v>0</v>
      </c>
      <c r="C382" s="303">
        <f>'PCO Log'!NU4</f>
        <v>0</v>
      </c>
      <c r="D382" s="303" cm="1">
        <f t="array" ref="D382">INDEX('PCO Log'!$E$5:$SJ$5, 1, ROWS('Graph Data'!$D$2:D382))</f>
        <v>0</v>
      </c>
      <c r="E382" s="303">
        <f>'PCO Log'!NU8</f>
        <v>0</v>
      </c>
      <c r="F382" s="303">
        <f>'PCO Log'!NU3</f>
        <v>0</v>
      </c>
      <c r="G382" s="304">
        <f>'PCO Log'!NU10</f>
        <v>0</v>
      </c>
      <c r="H382" s="305">
        <f>'PCO Log'!NU6</f>
        <v>0</v>
      </c>
    </row>
    <row r="383" spans="1:8" x14ac:dyDescent="0.25">
      <c r="A383" s="303" t="s">
        <v>733</v>
      </c>
      <c r="B383" s="303">
        <f>'PCO Log'!NV7</f>
        <v>0</v>
      </c>
      <c r="C383" s="303">
        <f>'PCO Log'!NV4</f>
        <v>0</v>
      </c>
      <c r="D383" s="303" cm="1">
        <f t="array" ref="D383">INDEX('PCO Log'!$E$5:$SJ$5, 1, ROWS('Graph Data'!$D$2:D383))</f>
        <v>0</v>
      </c>
      <c r="E383" s="303">
        <f>'PCO Log'!NV8</f>
        <v>0</v>
      </c>
      <c r="F383" s="303">
        <f>'PCO Log'!NV3</f>
        <v>0</v>
      </c>
      <c r="G383" s="304">
        <f>'PCO Log'!NV10</f>
        <v>0</v>
      </c>
      <c r="H383" s="305">
        <f>'PCO Log'!NV6</f>
        <v>0</v>
      </c>
    </row>
    <row r="384" spans="1:8" x14ac:dyDescent="0.25">
      <c r="A384" s="303" t="s">
        <v>734</v>
      </c>
      <c r="B384" s="303">
        <f>'PCO Log'!NW7</f>
        <v>0</v>
      </c>
      <c r="C384" s="303">
        <f>'PCO Log'!NW4</f>
        <v>0</v>
      </c>
      <c r="D384" s="303" cm="1">
        <f t="array" ref="D384">INDEX('PCO Log'!$E$5:$SJ$5, 1, ROWS('Graph Data'!$D$2:D384))</f>
        <v>0</v>
      </c>
      <c r="E384" s="303">
        <f>'PCO Log'!NW8</f>
        <v>0</v>
      </c>
      <c r="F384" s="303">
        <f>'PCO Log'!NW3</f>
        <v>0</v>
      </c>
      <c r="G384" s="304">
        <f>'PCO Log'!NW10</f>
        <v>0</v>
      </c>
      <c r="H384" s="305">
        <f>'PCO Log'!NW6</f>
        <v>0</v>
      </c>
    </row>
    <row r="385" spans="1:8" x14ac:dyDescent="0.25">
      <c r="A385" s="303" t="s">
        <v>735</v>
      </c>
      <c r="B385" s="303">
        <f>'PCO Log'!NX7</f>
        <v>0</v>
      </c>
      <c r="C385" s="303">
        <f>'PCO Log'!NX4</f>
        <v>0</v>
      </c>
      <c r="D385" s="303" cm="1">
        <f t="array" ref="D385">INDEX('PCO Log'!$E$5:$SJ$5, 1, ROWS('Graph Data'!$D$2:D385))</f>
        <v>0</v>
      </c>
      <c r="E385" s="303">
        <f>'PCO Log'!NX8</f>
        <v>0</v>
      </c>
      <c r="F385" s="303">
        <f>'PCO Log'!NX3</f>
        <v>0</v>
      </c>
      <c r="G385" s="304">
        <f>'PCO Log'!NX10</f>
        <v>0</v>
      </c>
      <c r="H385" s="305">
        <f>'PCO Log'!NX6</f>
        <v>0</v>
      </c>
    </row>
    <row r="386" spans="1:8" x14ac:dyDescent="0.25">
      <c r="A386" s="303" t="s">
        <v>736</v>
      </c>
      <c r="B386" s="303">
        <f>'PCO Log'!NY7</f>
        <v>0</v>
      </c>
      <c r="C386" s="303">
        <f>'PCO Log'!NY4</f>
        <v>0</v>
      </c>
      <c r="D386" s="303" cm="1">
        <f t="array" ref="D386">INDEX('PCO Log'!$E$5:$SJ$5, 1, ROWS('Graph Data'!$D$2:D386))</f>
        <v>0</v>
      </c>
      <c r="E386" s="303">
        <f>'PCO Log'!NY8</f>
        <v>0</v>
      </c>
      <c r="F386" s="303">
        <f>'PCO Log'!NY3</f>
        <v>0</v>
      </c>
      <c r="G386" s="304">
        <f>'PCO Log'!NY10</f>
        <v>0</v>
      </c>
      <c r="H386" s="305">
        <f>'PCO Log'!NY6</f>
        <v>0</v>
      </c>
    </row>
    <row r="387" spans="1:8" x14ac:dyDescent="0.25">
      <c r="A387" s="303" t="s">
        <v>737</v>
      </c>
      <c r="B387" s="303">
        <f>'PCO Log'!NZ7</f>
        <v>0</v>
      </c>
      <c r="C387" s="303">
        <f>'PCO Log'!NZ4</f>
        <v>0</v>
      </c>
      <c r="D387" s="303" cm="1">
        <f t="array" ref="D387">INDEX('PCO Log'!$E$5:$SJ$5, 1, ROWS('Graph Data'!$D$2:D387))</f>
        <v>0</v>
      </c>
      <c r="E387" s="303">
        <f>'PCO Log'!NZ8</f>
        <v>0</v>
      </c>
      <c r="F387" s="303">
        <f>'PCO Log'!NZ3</f>
        <v>0</v>
      </c>
      <c r="G387" s="304">
        <f>'PCO Log'!NZ10</f>
        <v>0</v>
      </c>
      <c r="H387" s="305">
        <f>'PCO Log'!NZ6</f>
        <v>0</v>
      </c>
    </row>
    <row r="388" spans="1:8" x14ac:dyDescent="0.25">
      <c r="A388" s="303" t="s">
        <v>738</v>
      </c>
      <c r="B388" s="303">
        <f>'PCO Log'!OA7</f>
        <v>0</v>
      </c>
      <c r="C388" s="303">
        <f>'PCO Log'!OA4</f>
        <v>0</v>
      </c>
      <c r="D388" s="303" cm="1">
        <f t="array" ref="D388">INDEX('PCO Log'!$E$5:$SJ$5, 1, ROWS('Graph Data'!$D$2:D388))</f>
        <v>0</v>
      </c>
      <c r="E388" s="303">
        <f>'PCO Log'!OA8</f>
        <v>0</v>
      </c>
      <c r="F388" s="303">
        <f>'PCO Log'!OA3</f>
        <v>0</v>
      </c>
      <c r="G388" s="304">
        <f>'PCO Log'!OA10</f>
        <v>0</v>
      </c>
      <c r="H388" s="305">
        <f>'PCO Log'!OA6</f>
        <v>0</v>
      </c>
    </row>
    <row r="389" spans="1:8" x14ac:dyDescent="0.25">
      <c r="A389" s="303" t="s">
        <v>739</v>
      </c>
      <c r="B389" s="303">
        <f>'PCO Log'!OB7</f>
        <v>0</v>
      </c>
      <c r="C389" s="303">
        <f>'PCO Log'!OB4</f>
        <v>0</v>
      </c>
      <c r="D389" s="303" cm="1">
        <f t="array" ref="D389">INDEX('PCO Log'!$E$5:$SJ$5, 1, ROWS('Graph Data'!$D$2:D389))</f>
        <v>0</v>
      </c>
      <c r="E389" s="303">
        <f>'PCO Log'!OB8</f>
        <v>0</v>
      </c>
      <c r="F389" s="303">
        <f>'PCO Log'!OB3</f>
        <v>0</v>
      </c>
      <c r="G389" s="304">
        <f>'PCO Log'!OB10</f>
        <v>0</v>
      </c>
      <c r="H389" s="305">
        <f>'PCO Log'!OB6</f>
        <v>0</v>
      </c>
    </row>
    <row r="390" spans="1:8" x14ac:dyDescent="0.25">
      <c r="A390" s="303" t="s">
        <v>740</v>
      </c>
      <c r="B390" s="303">
        <f>'PCO Log'!OC7</f>
        <v>0</v>
      </c>
      <c r="C390" s="303">
        <f>'PCO Log'!OC4</f>
        <v>0</v>
      </c>
      <c r="D390" s="303" cm="1">
        <f t="array" ref="D390">INDEX('PCO Log'!$E$5:$SJ$5, 1, ROWS('Graph Data'!$D$2:D390))</f>
        <v>0</v>
      </c>
      <c r="E390" s="303">
        <f>'PCO Log'!OC8</f>
        <v>0</v>
      </c>
      <c r="F390" s="303">
        <f>'PCO Log'!OC3</f>
        <v>0</v>
      </c>
      <c r="G390" s="304">
        <f>'PCO Log'!OC10</f>
        <v>0</v>
      </c>
      <c r="H390" s="305">
        <f>'PCO Log'!OC6</f>
        <v>0</v>
      </c>
    </row>
    <row r="391" spans="1:8" x14ac:dyDescent="0.25">
      <c r="A391" s="303" t="s">
        <v>741</v>
      </c>
      <c r="B391" s="303">
        <f>'PCO Log'!OD7</f>
        <v>0</v>
      </c>
      <c r="C391" s="303">
        <f>'PCO Log'!OD4</f>
        <v>0</v>
      </c>
      <c r="D391" s="303" cm="1">
        <f t="array" ref="D391">INDEX('PCO Log'!$E$5:$SJ$5, 1, ROWS('Graph Data'!$D$2:D391))</f>
        <v>0</v>
      </c>
      <c r="E391" s="303">
        <f>'PCO Log'!OD8</f>
        <v>0</v>
      </c>
      <c r="F391" s="303">
        <f>'PCO Log'!OD3</f>
        <v>0</v>
      </c>
      <c r="G391" s="304">
        <f>'PCO Log'!OD10</f>
        <v>0</v>
      </c>
      <c r="H391" s="305">
        <f>'PCO Log'!OD6</f>
        <v>0</v>
      </c>
    </row>
    <row r="392" spans="1:8" x14ac:dyDescent="0.25">
      <c r="A392" s="303" t="s">
        <v>742</v>
      </c>
      <c r="B392" s="303">
        <f>'PCO Log'!OE7</f>
        <v>0</v>
      </c>
      <c r="C392" s="303">
        <f>'PCO Log'!OE4</f>
        <v>0</v>
      </c>
      <c r="D392" s="303" cm="1">
        <f t="array" ref="D392">INDEX('PCO Log'!$E$5:$SJ$5, 1, ROWS('Graph Data'!$D$2:D392))</f>
        <v>0</v>
      </c>
      <c r="E392" s="303">
        <f>'PCO Log'!OE8</f>
        <v>0</v>
      </c>
      <c r="F392" s="303">
        <f>'PCO Log'!OE3</f>
        <v>0</v>
      </c>
      <c r="G392" s="304">
        <f>'PCO Log'!OE10</f>
        <v>0</v>
      </c>
      <c r="H392" s="305">
        <f>'PCO Log'!OE6</f>
        <v>0</v>
      </c>
    </row>
    <row r="393" spans="1:8" x14ac:dyDescent="0.25">
      <c r="A393" s="303" t="s">
        <v>743</v>
      </c>
      <c r="B393" s="303">
        <f>'PCO Log'!OF7</f>
        <v>0</v>
      </c>
      <c r="C393" s="303">
        <f>'PCO Log'!OF4</f>
        <v>0</v>
      </c>
      <c r="D393" s="303" cm="1">
        <f t="array" ref="D393">INDEX('PCO Log'!$E$5:$SJ$5, 1, ROWS('Graph Data'!$D$2:D393))</f>
        <v>0</v>
      </c>
      <c r="E393" s="303">
        <f>'PCO Log'!OF8</f>
        <v>0</v>
      </c>
      <c r="F393" s="303">
        <f>'PCO Log'!OF3</f>
        <v>0</v>
      </c>
      <c r="G393" s="304">
        <f>'PCO Log'!OF10</f>
        <v>0</v>
      </c>
      <c r="H393" s="305">
        <f>'PCO Log'!OF6</f>
        <v>0</v>
      </c>
    </row>
    <row r="394" spans="1:8" x14ac:dyDescent="0.25">
      <c r="A394" s="303" t="s">
        <v>744</v>
      </c>
      <c r="B394" s="303">
        <f>'PCO Log'!OG7</f>
        <v>0</v>
      </c>
      <c r="C394" s="303">
        <f>'PCO Log'!OG4</f>
        <v>0</v>
      </c>
      <c r="D394" s="303" cm="1">
        <f t="array" ref="D394">INDEX('PCO Log'!$E$5:$SJ$5, 1, ROWS('Graph Data'!$D$2:D394))</f>
        <v>0</v>
      </c>
      <c r="E394" s="303">
        <f>'PCO Log'!OG8</f>
        <v>0</v>
      </c>
      <c r="F394" s="303">
        <f>'PCO Log'!OG3</f>
        <v>0</v>
      </c>
      <c r="G394" s="304">
        <f>'PCO Log'!OG10</f>
        <v>0</v>
      </c>
      <c r="H394" s="305">
        <f>'PCO Log'!OG6</f>
        <v>0</v>
      </c>
    </row>
    <row r="395" spans="1:8" x14ac:dyDescent="0.25">
      <c r="A395" s="303" t="s">
        <v>745</v>
      </c>
      <c r="B395" s="303">
        <f>'PCO Log'!OH7</f>
        <v>0</v>
      </c>
      <c r="C395" s="303">
        <f>'PCO Log'!OH4</f>
        <v>0</v>
      </c>
      <c r="D395" s="303" cm="1">
        <f t="array" ref="D395">INDEX('PCO Log'!$E$5:$SJ$5, 1, ROWS('Graph Data'!$D$2:D395))</f>
        <v>0</v>
      </c>
      <c r="E395" s="303">
        <f>'PCO Log'!OH8</f>
        <v>0</v>
      </c>
      <c r="F395" s="303">
        <f>'PCO Log'!OH3</f>
        <v>0</v>
      </c>
      <c r="G395" s="304">
        <f>'PCO Log'!OH10</f>
        <v>0</v>
      </c>
      <c r="H395" s="305">
        <f>'PCO Log'!OH6</f>
        <v>0</v>
      </c>
    </row>
    <row r="396" spans="1:8" x14ac:dyDescent="0.25">
      <c r="A396" s="303" t="s">
        <v>746</v>
      </c>
      <c r="B396" s="303">
        <f>'PCO Log'!OI7</f>
        <v>0</v>
      </c>
      <c r="C396" s="303">
        <f>'PCO Log'!OI4</f>
        <v>0</v>
      </c>
      <c r="D396" s="303" cm="1">
        <f t="array" ref="D396">INDEX('PCO Log'!$E$5:$SJ$5, 1, ROWS('Graph Data'!$D$2:D396))</f>
        <v>0</v>
      </c>
      <c r="E396" s="303">
        <f>'PCO Log'!OI8</f>
        <v>0</v>
      </c>
      <c r="F396" s="303">
        <f>'PCO Log'!OI3</f>
        <v>0</v>
      </c>
      <c r="G396" s="304">
        <f>'PCO Log'!OI10</f>
        <v>0</v>
      </c>
      <c r="H396" s="305">
        <f>'PCO Log'!OI6</f>
        <v>0</v>
      </c>
    </row>
    <row r="397" spans="1:8" x14ac:dyDescent="0.25">
      <c r="A397" s="303" t="s">
        <v>747</v>
      </c>
      <c r="B397" s="303">
        <f>'PCO Log'!OJ7</f>
        <v>0</v>
      </c>
      <c r="C397" s="303">
        <f>'PCO Log'!OJ4</f>
        <v>0</v>
      </c>
      <c r="D397" s="303" cm="1">
        <f t="array" ref="D397">INDEX('PCO Log'!$E$5:$SJ$5, 1, ROWS('Graph Data'!$D$2:D397))</f>
        <v>0</v>
      </c>
      <c r="E397" s="303">
        <f>'PCO Log'!OJ8</f>
        <v>0</v>
      </c>
      <c r="F397" s="303">
        <f>'PCO Log'!OJ3</f>
        <v>0</v>
      </c>
      <c r="G397" s="304">
        <f>'PCO Log'!OJ10</f>
        <v>0</v>
      </c>
      <c r="H397" s="305">
        <f>'PCO Log'!OJ6</f>
        <v>0</v>
      </c>
    </row>
    <row r="398" spans="1:8" x14ac:dyDescent="0.25">
      <c r="A398" s="303" t="s">
        <v>748</v>
      </c>
      <c r="B398" s="303">
        <f>'PCO Log'!OK7</f>
        <v>0</v>
      </c>
      <c r="C398" s="303">
        <f>'PCO Log'!OK4</f>
        <v>0</v>
      </c>
      <c r="D398" s="303" cm="1">
        <f t="array" ref="D398">INDEX('PCO Log'!$E$5:$SJ$5, 1, ROWS('Graph Data'!$D$2:D398))</f>
        <v>0</v>
      </c>
      <c r="E398" s="303">
        <f>'PCO Log'!OK8</f>
        <v>0</v>
      </c>
      <c r="F398" s="303">
        <f>'PCO Log'!OK3</f>
        <v>0</v>
      </c>
      <c r="G398" s="304">
        <f>'PCO Log'!OK10</f>
        <v>0</v>
      </c>
      <c r="H398" s="305">
        <f>'PCO Log'!OK6</f>
        <v>0</v>
      </c>
    </row>
    <row r="399" spans="1:8" x14ac:dyDescent="0.25">
      <c r="A399" s="303" t="s">
        <v>749</v>
      </c>
      <c r="B399" s="303">
        <f>'PCO Log'!OL7</f>
        <v>0</v>
      </c>
      <c r="C399" s="303">
        <f>'PCO Log'!OL4</f>
        <v>0</v>
      </c>
      <c r="D399" s="303" cm="1">
        <f t="array" ref="D399">INDEX('PCO Log'!$E$5:$SJ$5, 1, ROWS('Graph Data'!$D$2:D399))</f>
        <v>0</v>
      </c>
      <c r="E399" s="303">
        <f>'PCO Log'!OL8</f>
        <v>0</v>
      </c>
      <c r="F399" s="303">
        <f>'PCO Log'!OL3</f>
        <v>0</v>
      </c>
      <c r="G399" s="304">
        <f>'PCO Log'!OL10</f>
        <v>0</v>
      </c>
      <c r="H399" s="305">
        <f>'PCO Log'!OL6</f>
        <v>0</v>
      </c>
    </row>
    <row r="400" spans="1:8" x14ac:dyDescent="0.25">
      <c r="A400" s="303" t="s">
        <v>750</v>
      </c>
      <c r="B400" s="303">
        <f>'PCO Log'!OM7</f>
        <v>0</v>
      </c>
      <c r="C400" s="303">
        <f>'PCO Log'!OM4</f>
        <v>0</v>
      </c>
      <c r="D400" s="303" cm="1">
        <f t="array" ref="D400">INDEX('PCO Log'!$E$5:$SJ$5, 1, ROWS('Graph Data'!$D$2:D400))</f>
        <v>0</v>
      </c>
      <c r="E400" s="303">
        <f>'PCO Log'!OM8</f>
        <v>0</v>
      </c>
      <c r="F400" s="303">
        <f>'PCO Log'!OM3</f>
        <v>0</v>
      </c>
      <c r="G400" s="304">
        <f>'PCO Log'!OM10</f>
        <v>0</v>
      </c>
      <c r="H400" s="305">
        <f>'PCO Log'!OM6</f>
        <v>0</v>
      </c>
    </row>
    <row r="401" spans="1:8" x14ac:dyDescent="0.25">
      <c r="A401" s="303" t="s">
        <v>751</v>
      </c>
      <c r="B401" s="303">
        <f>'PCO Log'!ON7</f>
        <v>0</v>
      </c>
      <c r="C401" s="303">
        <f>'PCO Log'!ON4</f>
        <v>0</v>
      </c>
      <c r="D401" s="303" cm="1">
        <f t="array" ref="D401">INDEX('PCO Log'!$E$5:$SJ$5, 1, ROWS('Graph Data'!$D$2:D401))</f>
        <v>0</v>
      </c>
      <c r="E401" s="303">
        <f>'PCO Log'!ON8</f>
        <v>0</v>
      </c>
      <c r="F401" s="303">
        <f>'PCO Log'!ON3</f>
        <v>0</v>
      </c>
      <c r="G401" s="304">
        <f>'PCO Log'!ON10</f>
        <v>0</v>
      </c>
      <c r="H401" s="305">
        <f>'PCO Log'!ON6</f>
        <v>0</v>
      </c>
    </row>
    <row r="402" spans="1:8" x14ac:dyDescent="0.25">
      <c r="A402" s="303" t="s">
        <v>752</v>
      </c>
      <c r="B402" s="303">
        <f>'PCO Log'!OO7</f>
        <v>0</v>
      </c>
      <c r="C402" s="303">
        <f>'PCO Log'!OO4</f>
        <v>0</v>
      </c>
      <c r="D402" s="303" cm="1">
        <f t="array" ref="D402">INDEX('PCO Log'!$E$5:$SJ$5, 1, ROWS('Graph Data'!$D$2:D402))</f>
        <v>0</v>
      </c>
      <c r="E402" s="303">
        <f>'PCO Log'!OO8</f>
        <v>0</v>
      </c>
      <c r="F402" s="303">
        <f>'PCO Log'!OO3</f>
        <v>0</v>
      </c>
      <c r="G402" s="304">
        <f>'PCO Log'!OO10</f>
        <v>0</v>
      </c>
      <c r="H402" s="305">
        <f>'PCO Log'!OO6</f>
        <v>0</v>
      </c>
    </row>
    <row r="403" spans="1:8" x14ac:dyDescent="0.25">
      <c r="A403" s="303" t="s">
        <v>753</v>
      </c>
      <c r="B403" s="303">
        <f>'PCO Log'!OP7</f>
        <v>0</v>
      </c>
      <c r="C403" s="303">
        <f>'PCO Log'!OP4</f>
        <v>0</v>
      </c>
      <c r="D403" s="303" cm="1">
        <f t="array" ref="D403">INDEX('PCO Log'!$E$5:$SJ$5, 1, ROWS('Graph Data'!$D$2:D403))</f>
        <v>0</v>
      </c>
      <c r="E403" s="303">
        <f>'PCO Log'!OP8</f>
        <v>0</v>
      </c>
      <c r="F403" s="303">
        <f>'PCO Log'!OP3</f>
        <v>0</v>
      </c>
      <c r="G403" s="304">
        <f>'PCO Log'!OP10</f>
        <v>0</v>
      </c>
      <c r="H403" s="305">
        <f>'PCO Log'!OP6</f>
        <v>0</v>
      </c>
    </row>
    <row r="404" spans="1:8" x14ac:dyDescent="0.25">
      <c r="A404" s="303" t="s">
        <v>754</v>
      </c>
      <c r="B404" s="303">
        <f>'PCO Log'!OQ7</f>
        <v>0</v>
      </c>
      <c r="C404" s="303">
        <f>'PCO Log'!OQ4</f>
        <v>0</v>
      </c>
      <c r="D404" s="303" cm="1">
        <f t="array" ref="D404">INDEX('PCO Log'!$E$5:$SJ$5, 1, ROWS('Graph Data'!$D$2:D404))</f>
        <v>0</v>
      </c>
      <c r="E404" s="303">
        <f>'PCO Log'!OQ8</f>
        <v>0</v>
      </c>
      <c r="F404" s="303">
        <f>'PCO Log'!OQ3</f>
        <v>0</v>
      </c>
      <c r="G404" s="304">
        <f>'PCO Log'!OQ10</f>
        <v>0</v>
      </c>
      <c r="H404" s="305">
        <f>'PCO Log'!OQ6</f>
        <v>0</v>
      </c>
    </row>
    <row r="405" spans="1:8" x14ac:dyDescent="0.25">
      <c r="A405" s="303" t="s">
        <v>755</v>
      </c>
      <c r="B405" s="303">
        <f>'PCO Log'!OR7</f>
        <v>0</v>
      </c>
      <c r="C405" s="303">
        <f>'PCO Log'!OR4</f>
        <v>0</v>
      </c>
      <c r="D405" s="303" cm="1">
        <f t="array" ref="D405">INDEX('PCO Log'!$E$5:$SJ$5, 1, ROWS('Graph Data'!$D$2:D405))</f>
        <v>0</v>
      </c>
      <c r="E405" s="303">
        <f>'PCO Log'!OR8</f>
        <v>0</v>
      </c>
      <c r="F405" s="303">
        <f>'PCO Log'!OR3</f>
        <v>0</v>
      </c>
      <c r="G405" s="304">
        <f>'PCO Log'!OR10</f>
        <v>0</v>
      </c>
      <c r="H405" s="305">
        <f>'PCO Log'!OR6</f>
        <v>0</v>
      </c>
    </row>
    <row r="406" spans="1:8" x14ac:dyDescent="0.25">
      <c r="A406" s="303" t="s">
        <v>756</v>
      </c>
      <c r="B406" s="303">
        <f>'PCO Log'!OS7</f>
        <v>0</v>
      </c>
      <c r="C406" s="303">
        <f>'PCO Log'!OS4</f>
        <v>0</v>
      </c>
      <c r="D406" s="303" cm="1">
        <f t="array" ref="D406">INDEX('PCO Log'!$E$5:$SJ$5, 1, ROWS('Graph Data'!$D$2:D406))</f>
        <v>0</v>
      </c>
      <c r="E406" s="303">
        <f>'PCO Log'!OS8</f>
        <v>0</v>
      </c>
      <c r="F406" s="303">
        <f>'PCO Log'!OS3</f>
        <v>0</v>
      </c>
      <c r="G406" s="304">
        <f>'PCO Log'!OS10</f>
        <v>0</v>
      </c>
      <c r="H406" s="305">
        <f>'PCO Log'!OS6</f>
        <v>0</v>
      </c>
    </row>
    <row r="407" spans="1:8" x14ac:dyDescent="0.25">
      <c r="A407" s="303" t="s">
        <v>757</v>
      </c>
      <c r="B407" s="303">
        <f>'PCO Log'!OT7</f>
        <v>0</v>
      </c>
      <c r="C407" s="303">
        <f>'PCO Log'!OT4</f>
        <v>0</v>
      </c>
      <c r="D407" s="303" cm="1">
        <f t="array" ref="D407">INDEX('PCO Log'!$E$5:$SJ$5, 1, ROWS('Graph Data'!$D$2:D407))</f>
        <v>0</v>
      </c>
      <c r="E407" s="303">
        <f>'PCO Log'!OT8</f>
        <v>0</v>
      </c>
      <c r="F407" s="303">
        <f>'PCO Log'!OT3</f>
        <v>0</v>
      </c>
      <c r="G407" s="304">
        <f>'PCO Log'!OT10</f>
        <v>0</v>
      </c>
      <c r="H407" s="305">
        <f>'PCO Log'!OT6</f>
        <v>0</v>
      </c>
    </row>
    <row r="408" spans="1:8" x14ac:dyDescent="0.25">
      <c r="A408" s="303" t="s">
        <v>758</v>
      </c>
      <c r="B408" s="303">
        <f>'PCO Log'!OU7</f>
        <v>0</v>
      </c>
      <c r="C408" s="303">
        <f>'PCO Log'!OU4</f>
        <v>0</v>
      </c>
      <c r="D408" s="303" cm="1">
        <f t="array" ref="D408">INDEX('PCO Log'!$E$5:$SJ$5, 1, ROWS('Graph Data'!$D$2:D408))</f>
        <v>0</v>
      </c>
      <c r="E408" s="303">
        <f>'PCO Log'!OU8</f>
        <v>0</v>
      </c>
      <c r="F408" s="303">
        <f>'PCO Log'!OU3</f>
        <v>0</v>
      </c>
      <c r="G408" s="304">
        <f>'PCO Log'!OU10</f>
        <v>0</v>
      </c>
      <c r="H408" s="305">
        <f>'PCO Log'!OU6</f>
        <v>0</v>
      </c>
    </row>
    <row r="409" spans="1:8" x14ac:dyDescent="0.25">
      <c r="A409" s="303" t="s">
        <v>759</v>
      </c>
      <c r="B409" s="303">
        <f>'PCO Log'!OV7</f>
        <v>0</v>
      </c>
      <c r="C409" s="303">
        <f>'PCO Log'!OV4</f>
        <v>0</v>
      </c>
      <c r="D409" s="303" cm="1">
        <f t="array" ref="D409">INDEX('PCO Log'!$E$5:$SJ$5, 1, ROWS('Graph Data'!$D$2:D409))</f>
        <v>0</v>
      </c>
      <c r="E409" s="303">
        <f>'PCO Log'!OV8</f>
        <v>0</v>
      </c>
      <c r="F409" s="303">
        <f>'PCO Log'!OV3</f>
        <v>0</v>
      </c>
      <c r="G409" s="304">
        <f>'PCO Log'!OV10</f>
        <v>0</v>
      </c>
      <c r="H409" s="305">
        <f>'PCO Log'!OV6</f>
        <v>0</v>
      </c>
    </row>
    <row r="410" spans="1:8" x14ac:dyDescent="0.25">
      <c r="A410" s="303" t="s">
        <v>760</v>
      </c>
      <c r="B410" s="303">
        <f>'PCO Log'!OW7</f>
        <v>0</v>
      </c>
      <c r="C410" s="303">
        <f>'PCO Log'!OW4</f>
        <v>0</v>
      </c>
      <c r="D410" s="303" cm="1">
        <f t="array" ref="D410">INDEX('PCO Log'!$E$5:$SJ$5, 1, ROWS('Graph Data'!$D$2:D410))</f>
        <v>0</v>
      </c>
      <c r="E410" s="303">
        <f>'PCO Log'!OW8</f>
        <v>0</v>
      </c>
      <c r="F410" s="303">
        <f>'PCO Log'!OW3</f>
        <v>0</v>
      </c>
      <c r="G410" s="304">
        <f>'PCO Log'!OW10</f>
        <v>0</v>
      </c>
      <c r="H410" s="305">
        <f>'PCO Log'!OW6</f>
        <v>0</v>
      </c>
    </row>
    <row r="411" spans="1:8" x14ac:dyDescent="0.25">
      <c r="A411" s="303" t="s">
        <v>761</v>
      </c>
      <c r="B411" s="303">
        <f>'PCO Log'!OX7</f>
        <v>0</v>
      </c>
      <c r="C411" s="303">
        <f>'PCO Log'!OX4</f>
        <v>0</v>
      </c>
      <c r="D411" s="303" cm="1">
        <f t="array" ref="D411">INDEX('PCO Log'!$E$5:$SJ$5, 1, ROWS('Graph Data'!$D$2:D411))</f>
        <v>0</v>
      </c>
      <c r="E411" s="303">
        <f>'PCO Log'!OX8</f>
        <v>0</v>
      </c>
      <c r="F411" s="303">
        <f>'PCO Log'!OX3</f>
        <v>0</v>
      </c>
      <c r="G411" s="304">
        <f>'PCO Log'!OX10</f>
        <v>0</v>
      </c>
      <c r="H411" s="305">
        <f>'PCO Log'!OX6</f>
        <v>0</v>
      </c>
    </row>
    <row r="412" spans="1:8" x14ac:dyDescent="0.25">
      <c r="A412" s="303" t="s">
        <v>762</v>
      </c>
      <c r="B412" s="303">
        <f>'PCO Log'!OY7</f>
        <v>0</v>
      </c>
      <c r="C412" s="303">
        <f>'PCO Log'!OY4</f>
        <v>0</v>
      </c>
      <c r="D412" s="303" cm="1">
        <f t="array" ref="D412">INDEX('PCO Log'!$E$5:$SJ$5, 1, ROWS('Graph Data'!$D$2:D412))</f>
        <v>0</v>
      </c>
      <c r="E412" s="303">
        <f>'PCO Log'!OY8</f>
        <v>0</v>
      </c>
      <c r="F412" s="303">
        <f>'PCO Log'!OY3</f>
        <v>0</v>
      </c>
      <c r="G412" s="304">
        <f>'PCO Log'!OY10</f>
        <v>0</v>
      </c>
      <c r="H412" s="305">
        <f>'PCO Log'!OY6</f>
        <v>0</v>
      </c>
    </row>
    <row r="413" spans="1:8" x14ac:dyDescent="0.25">
      <c r="A413" s="303" t="s">
        <v>763</v>
      </c>
      <c r="B413" s="303">
        <f>'PCO Log'!OZ7</f>
        <v>0</v>
      </c>
      <c r="C413" s="303">
        <f>'PCO Log'!OZ4</f>
        <v>0</v>
      </c>
      <c r="D413" s="303" cm="1">
        <f t="array" ref="D413">INDEX('PCO Log'!$E$5:$SJ$5, 1, ROWS('Graph Data'!$D$2:D413))</f>
        <v>0</v>
      </c>
      <c r="E413" s="303">
        <f>'PCO Log'!OZ8</f>
        <v>0</v>
      </c>
      <c r="F413" s="303">
        <f>'PCO Log'!OZ3</f>
        <v>0</v>
      </c>
      <c r="G413" s="304">
        <f>'PCO Log'!OZ10</f>
        <v>0</v>
      </c>
      <c r="H413" s="305">
        <f>'PCO Log'!OZ6</f>
        <v>0</v>
      </c>
    </row>
    <row r="414" spans="1:8" x14ac:dyDescent="0.25">
      <c r="A414" s="303" t="s">
        <v>764</v>
      </c>
      <c r="B414" s="303">
        <f>'PCO Log'!PA7</f>
        <v>0</v>
      </c>
      <c r="C414" s="303">
        <f>'PCO Log'!PA4</f>
        <v>0</v>
      </c>
      <c r="D414" s="303" cm="1">
        <f t="array" ref="D414">INDEX('PCO Log'!$E$5:$SJ$5, 1, ROWS('Graph Data'!$D$2:D414))</f>
        <v>0</v>
      </c>
      <c r="E414" s="303">
        <f>'PCO Log'!PA8</f>
        <v>0</v>
      </c>
      <c r="F414" s="303">
        <f>'PCO Log'!PA3</f>
        <v>0</v>
      </c>
      <c r="G414" s="304">
        <f>'PCO Log'!PA10</f>
        <v>0</v>
      </c>
      <c r="H414" s="305">
        <f>'PCO Log'!PA6</f>
        <v>0</v>
      </c>
    </row>
    <row r="415" spans="1:8" x14ac:dyDescent="0.25">
      <c r="A415" s="303" t="s">
        <v>765</v>
      </c>
      <c r="B415" s="303">
        <f>'PCO Log'!PB7</f>
        <v>0</v>
      </c>
      <c r="C415" s="303">
        <f>'PCO Log'!PB4</f>
        <v>0</v>
      </c>
      <c r="D415" s="303" cm="1">
        <f t="array" ref="D415">INDEX('PCO Log'!$E$5:$SJ$5, 1, ROWS('Graph Data'!$D$2:D415))</f>
        <v>0</v>
      </c>
      <c r="E415" s="303">
        <f>'PCO Log'!PB8</f>
        <v>0</v>
      </c>
      <c r="F415" s="303">
        <f>'PCO Log'!PB3</f>
        <v>0</v>
      </c>
      <c r="G415" s="304">
        <f>'PCO Log'!PB10</f>
        <v>0</v>
      </c>
      <c r="H415" s="305">
        <f>'PCO Log'!PB6</f>
        <v>0</v>
      </c>
    </row>
    <row r="416" spans="1:8" x14ac:dyDescent="0.25">
      <c r="A416" s="303" t="s">
        <v>766</v>
      </c>
      <c r="B416" s="303">
        <f>'PCO Log'!PC7</f>
        <v>0</v>
      </c>
      <c r="C416" s="303">
        <f>'PCO Log'!PC4</f>
        <v>0</v>
      </c>
      <c r="D416" s="303" cm="1">
        <f t="array" ref="D416">INDEX('PCO Log'!$E$5:$SJ$5, 1, ROWS('Graph Data'!$D$2:D416))</f>
        <v>0</v>
      </c>
      <c r="E416" s="303">
        <f>'PCO Log'!PC8</f>
        <v>0</v>
      </c>
      <c r="F416" s="303">
        <f>'PCO Log'!PC3</f>
        <v>0</v>
      </c>
      <c r="G416" s="304">
        <f>'PCO Log'!PC10</f>
        <v>0</v>
      </c>
      <c r="H416" s="305">
        <f>'PCO Log'!PC6</f>
        <v>0</v>
      </c>
    </row>
    <row r="417" spans="1:8" x14ac:dyDescent="0.25">
      <c r="A417" s="303" t="s">
        <v>767</v>
      </c>
      <c r="B417" s="303">
        <f>'PCO Log'!PD7</f>
        <v>0</v>
      </c>
      <c r="C417" s="303">
        <f>'PCO Log'!PD4</f>
        <v>0</v>
      </c>
      <c r="D417" s="303" cm="1">
        <f t="array" ref="D417">INDEX('PCO Log'!$E$5:$SJ$5, 1, ROWS('Graph Data'!$D$2:D417))</f>
        <v>0</v>
      </c>
      <c r="E417" s="303">
        <f>'PCO Log'!PD8</f>
        <v>0</v>
      </c>
      <c r="F417" s="303">
        <f>'PCO Log'!PD3</f>
        <v>0</v>
      </c>
      <c r="G417" s="304">
        <f>'PCO Log'!PD10</f>
        <v>0</v>
      </c>
      <c r="H417" s="305">
        <f>'PCO Log'!PD6</f>
        <v>0</v>
      </c>
    </row>
    <row r="418" spans="1:8" x14ac:dyDescent="0.25">
      <c r="A418" s="303" t="s">
        <v>768</v>
      </c>
      <c r="B418" s="303">
        <f>'PCO Log'!PE7</f>
        <v>0</v>
      </c>
      <c r="C418" s="303">
        <f>'PCO Log'!PE4</f>
        <v>0</v>
      </c>
      <c r="D418" s="303" cm="1">
        <f t="array" ref="D418">INDEX('PCO Log'!$E$5:$SJ$5, 1, ROWS('Graph Data'!$D$2:D418))</f>
        <v>0</v>
      </c>
      <c r="E418" s="303">
        <f>'PCO Log'!PE8</f>
        <v>0</v>
      </c>
      <c r="F418" s="303">
        <f>'PCO Log'!PE3</f>
        <v>0</v>
      </c>
      <c r="G418" s="304">
        <f>'PCO Log'!PE10</f>
        <v>0</v>
      </c>
      <c r="H418" s="305">
        <f>'PCO Log'!PE6</f>
        <v>0</v>
      </c>
    </row>
    <row r="419" spans="1:8" x14ac:dyDescent="0.25">
      <c r="A419" s="303" t="s">
        <v>769</v>
      </c>
      <c r="B419" s="303">
        <f>'PCO Log'!PF7</f>
        <v>0</v>
      </c>
      <c r="C419" s="303">
        <f>'PCO Log'!PF4</f>
        <v>0</v>
      </c>
      <c r="D419" s="303" cm="1">
        <f t="array" ref="D419">INDEX('PCO Log'!$E$5:$SJ$5, 1, ROWS('Graph Data'!$D$2:D419))</f>
        <v>0</v>
      </c>
      <c r="E419" s="303">
        <f>'PCO Log'!PF8</f>
        <v>0</v>
      </c>
      <c r="F419" s="303">
        <f>'PCO Log'!PF3</f>
        <v>0</v>
      </c>
      <c r="G419" s="304">
        <f>'PCO Log'!PF10</f>
        <v>0</v>
      </c>
      <c r="H419" s="305">
        <f>'PCO Log'!PF6</f>
        <v>0</v>
      </c>
    </row>
    <row r="420" spans="1:8" x14ac:dyDescent="0.25">
      <c r="A420" s="303" t="s">
        <v>770</v>
      </c>
      <c r="B420" s="303">
        <f>'PCO Log'!PG7</f>
        <v>0</v>
      </c>
      <c r="C420" s="303">
        <f>'PCO Log'!PG4</f>
        <v>0</v>
      </c>
      <c r="D420" s="303" cm="1">
        <f t="array" ref="D420">INDEX('PCO Log'!$E$5:$SJ$5, 1, ROWS('Graph Data'!$D$2:D420))</f>
        <v>0</v>
      </c>
      <c r="E420" s="303">
        <f>'PCO Log'!PG8</f>
        <v>0</v>
      </c>
      <c r="F420" s="303">
        <f>'PCO Log'!PG3</f>
        <v>0</v>
      </c>
      <c r="G420" s="304">
        <f>'PCO Log'!PG10</f>
        <v>0</v>
      </c>
      <c r="H420" s="305">
        <f>'PCO Log'!PG6</f>
        <v>0</v>
      </c>
    </row>
    <row r="421" spans="1:8" x14ac:dyDescent="0.25">
      <c r="A421" s="303" t="s">
        <v>771</v>
      </c>
      <c r="B421" s="303">
        <f>'PCO Log'!PH7</f>
        <v>0</v>
      </c>
      <c r="C421" s="303">
        <f>'PCO Log'!PH4</f>
        <v>0</v>
      </c>
      <c r="D421" s="303" cm="1">
        <f t="array" ref="D421">INDEX('PCO Log'!$E$5:$SJ$5, 1, ROWS('Graph Data'!$D$2:D421))</f>
        <v>0</v>
      </c>
      <c r="E421" s="303">
        <f>'PCO Log'!PH8</f>
        <v>0</v>
      </c>
      <c r="F421" s="303">
        <f>'PCO Log'!PH3</f>
        <v>0</v>
      </c>
      <c r="G421" s="304">
        <f>'PCO Log'!PH10</f>
        <v>0</v>
      </c>
      <c r="H421" s="305">
        <f>'PCO Log'!PH6</f>
        <v>0</v>
      </c>
    </row>
    <row r="422" spans="1:8" x14ac:dyDescent="0.25">
      <c r="A422" s="303" t="s">
        <v>772</v>
      </c>
      <c r="B422" s="303">
        <f>'PCO Log'!PI7</f>
        <v>0</v>
      </c>
      <c r="C422" s="303">
        <f>'PCO Log'!PI4</f>
        <v>0</v>
      </c>
      <c r="D422" s="303" cm="1">
        <f t="array" ref="D422">INDEX('PCO Log'!$E$5:$SJ$5, 1, ROWS('Graph Data'!$D$2:D422))</f>
        <v>0</v>
      </c>
      <c r="E422" s="303">
        <f>'PCO Log'!PI8</f>
        <v>0</v>
      </c>
      <c r="F422" s="303">
        <f>'PCO Log'!PI3</f>
        <v>0</v>
      </c>
      <c r="G422" s="304">
        <f>'PCO Log'!PI10</f>
        <v>0</v>
      </c>
      <c r="H422" s="305">
        <f>'PCO Log'!PI6</f>
        <v>0</v>
      </c>
    </row>
    <row r="423" spans="1:8" x14ac:dyDescent="0.25">
      <c r="A423" s="303" t="s">
        <v>773</v>
      </c>
      <c r="B423" s="303">
        <f>'PCO Log'!PJ7</f>
        <v>0</v>
      </c>
      <c r="C423" s="303">
        <f>'PCO Log'!PJ4</f>
        <v>0</v>
      </c>
      <c r="D423" s="303" cm="1">
        <f t="array" ref="D423">INDEX('PCO Log'!$E$5:$SJ$5, 1, ROWS('Graph Data'!$D$2:D423))</f>
        <v>0</v>
      </c>
      <c r="E423" s="303">
        <f>'PCO Log'!PJ8</f>
        <v>0</v>
      </c>
      <c r="F423" s="303">
        <f>'PCO Log'!PJ3</f>
        <v>0</v>
      </c>
      <c r="G423" s="304">
        <f>'PCO Log'!PJ10</f>
        <v>0</v>
      </c>
      <c r="H423" s="305">
        <f>'PCO Log'!PJ6</f>
        <v>0</v>
      </c>
    </row>
    <row r="424" spans="1:8" x14ac:dyDescent="0.25">
      <c r="A424" s="303" t="s">
        <v>774</v>
      </c>
      <c r="B424" s="303">
        <f>'PCO Log'!PK7</f>
        <v>0</v>
      </c>
      <c r="C424" s="303">
        <f>'PCO Log'!PK4</f>
        <v>0</v>
      </c>
      <c r="D424" s="303" cm="1">
        <f t="array" ref="D424">INDEX('PCO Log'!$E$5:$SJ$5, 1, ROWS('Graph Data'!$D$2:D424))</f>
        <v>0</v>
      </c>
      <c r="E424" s="303">
        <f>'PCO Log'!PK8</f>
        <v>0</v>
      </c>
      <c r="F424" s="303">
        <f>'PCO Log'!PK3</f>
        <v>0</v>
      </c>
      <c r="G424" s="304">
        <f>'PCO Log'!PK10</f>
        <v>0</v>
      </c>
      <c r="H424" s="305">
        <f>'PCO Log'!PK6</f>
        <v>0</v>
      </c>
    </row>
    <row r="425" spans="1:8" x14ac:dyDescent="0.25">
      <c r="A425" s="303" t="s">
        <v>775</v>
      </c>
      <c r="B425" s="303">
        <f>'PCO Log'!PL7</f>
        <v>0</v>
      </c>
      <c r="C425" s="303">
        <f>'PCO Log'!PL4</f>
        <v>0</v>
      </c>
      <c r="D425" s="303" cm="1">
        <f t="array" ref="D425">INDEX('PCO Log'!$E$5:$SJ$5, 1, ROWS('Graph Data'!$D$2:D425))</f>
        <v>0</v>
      </c>
      <c r="E425" s="303">
        <f>'PCO Log'!PL8</f>
        <v>0</v>
      </c>
      <c r="F425" s="303">
        <f>'PCO Log'!PL3</f>
        <v>0</v>
      </c>
      <c r="G425" s="304">
        <f>'PCO Log'!PL10</f>
        <v>0</v>
      </c>
      <c r="H425" s="305">
        <f>'PCO Log'!PL6</f>
        <v>0</v>
      </c>
    </row>
    <row r="426" spans="1:8" x14ac:dyDescent="0.25">
      <c r="A426" s="303" t="s">
        <v>776</v>
      </c>
      <c r="B426" s="303">
        <f>'PCO Log'!PM7</f>
        <v>0</v>
      </c>
      <c r="C426" s="303">
        <f>'PCO Log'!PM4</f>
        <v>0</v>
      </c>
      <c r="D426" s="303" cm="1">
        <f t="array" ref="D426">INDEX('PCO Log'!$E$5:$SJ$5, 1, ROWS('Graph Data'!$D$2:D426))</f>
        <v>0</v>
      </c>
      <c r="E426" s="303">
        <f>'PCO Log'!PM8</f>
        <v>0</v>
      </c>
      <c r="F426" s="303">
        <f>'PCO Log'!PM3</f>
        <v>0</v>
      </c>
      <c r="G426" s="304">
        <f>'PCO Log'!PM10</f>
        <v>0</v>
      </c>
      <c r="H426" s="305">
        <f>'PCO Log'!PM6</f>
        <v>0</v>
      </c>
    </row>
    <row r="427" spans="1:8" x14ac:dyDescent="0.25">
      <c r="A427" s="303" t="s">
        <v>777</v>
      </c>
      <c r="B427" s="303">
        <f>'PCO Log'!PN7</f>
        <v>0</v>
      </c>
      <c r="C427" s="303">
        <f>'PCO Log'!PN4</f>
        <v>0</v>
      </c>
      <c r="D427" s="303" cm="1">
        <f t="array" ref="D427">INDEX('PCO Log'!$E$5:$SJ$5, 1, ROWS('Graph Data'!$D$2:D427))</f>
        <v>0</v>
      </c>
      <c r="E427" s="303">
        <f>'PCO Log'!PN8</f>
        <v>0</v>
      </c>
      <c r="F427" s="303">
        <f>'PCO Log'!PN3</f>
        <v>0</v>
      </c>
      <c r="G427" s="304">
        <f>'PCO Log'!PN10</f>
        <v>0</v>
      </c>
      <c r="H427" s="305">
        <f>'PCO Log'!PN6</f>
        <v>0</v>
      </c>
    </row>
    <row r="428" spans="1:8" x14ac:dyDescent="0.25">
      <c r="A428" s="303" t="s">
        <v>778</v>
      </c>
      <c r="B428" s="303">
        <f>'PCO Log'!PO7</f>
        <v>0</v>
      </c>
      <c r="C428" s="303">
        <f>'PCO Log'!PO4</f>
        <v>0</v>
      </c>
      <c r="D428" s="303" cm="1">
        <f t="array" ref="D428">INDEX('PCO Log'!$E$5:$SJ$5, 1, ROWS('Graph Data'!$D$2:D428))</f>
        <v>0</v>
      </c>
      <c r="E428" s="303">
        <f>'PCO Log'!PO8</f>
        <v>0</v>
      </c>
      <c r="F428" s="303">
        <f>'PCO Log'!PO3</f>
        <v>0</v>
      </c>
      <c r="G428" s="304">
        <f>'PCO Log'!PO10</f>
        <v>0</v>
      </c>
      <c r="H428" s="305">
        <f>'PCO Log'!PO6</f>
        <v>0</v>
      </c>
    </row>
    <row r="429" spans="1:8" x14ac:dyDescent="0.25">
      <c r="A429" s="303" t="s">
        <v>779</v>
      </c>
      <c r="B429" s="303">
        <f>'PCO Log'!PP7</f>
        <v>0</v>
      </c>
      <c r="C429" s="303">
        <f>'PCO Log'!PP4</f>
        <v>0</v>
      </c>
      <c r="D429" s="303" cm="1">
        <f t="array" ref="D429">INDEX('PCO Log'!$E$5:$SJ$5, 1, ROWS('Graph Data'!$D$2:D429))</f>
        <v>0</v>
      </c>
      <c r="E429" s="303">
        <f>'PCO Log'!PP8</f>
        <v>0</v>
      </c>
      <c r="F429" s="303">
        <f>'PCO Log'!PP3</f>
        <v>0</v>
      </c>
      <c r="G429" s="304">
        <f>'PCO Log'!PP10</f>
        <v>0</v>
      </c>
      <c r="H429" s="305">
        <f>'PCO Log'!PP6</f>
        <v>0</v>
      </c>
    </row>
    <row r="430" spans="1:8" x14ac:dyDescent="0.25">
      <c r="A430" s="303" t="s">
        <v>780</v>
      </c>
      <c r="B430" s="303">
        <f>'PCO Log'!PQ7</f>
        <v>0</v>
      </c>
      <c r="C430" s="303">
        <f>'PCO Log'!PQ4</f>
        <v>0</v>
      </c>
      <c r="D430" s="303" cm="1">
        <f t="array" ref="D430">INDEX('PCO Log'!$E$5:$SJ$5, 1, ROWS('Graph Data'!$D$2:D430))</f>
        <v>0</v>
      </c>
      <c r="E430" s="303">
        <f>'PCO Log'!PQ8</f>
        <v>0</v>
      </c>
      <c r="F430" s="303">
        <f>'PCO Log'!PQ3</f>
        <v>0</v>
      </c>
      <c r="G430" s="304">
        <f>'PCO Log'!PQ10</f>
        <v>0</v>
      </c>
      <c r="H430" s="305">
        <f>'PCO Log'!PQ6</f>
        <v>0</v>
      </c>
    </row>
    <row r="431" spans="1:8" x14ac:dyDescent="0.25">
      <c r="A431" s="303" t="s">
        <v>781</v>
      </c>
      <c r="B431" s="303">
        <f>'PCO Log'!PR7</f>
        <v>0</v>
      </c>
      <c r="C431" s="303">
        <f>'PCO Log'!PR4</f>
        <v>0</v>
      </c>
      <c r="D431" s="303" cm="1">
        <f t="array" ref="D431">INDEX('PCO Log'!$E$5:$SJ$5, 1, ROWS('Graph Data'!$D$2:D431))</f>
        <v>0</v>
      </c>
      <c r="E431" s="303">
        <f>'PCO Log'!PR8</f>
        <v>0</v>
      </c>
      <c r="F431" s="303">
        <f>'PCO Log'!PR3</f>
        <v>0</v>
      </c>
      <c r="G431" s="304">
        <f>'PCO Log'!PR10</f>
        <v>0</v>
      </c>
      <c r="H431" s="305">
        <f>'PCO Log'!PR6</f>
        <v>0</v>
      </c>
    </row>
    <row r="432" spans="1:8" x14ac:dyDescent="0.25">
      <c r="A432" s="303" t="s">
        <v>782</v>
      </c>
      <c r="B432" s="303">
        <f>'PCO Log'!PS7</f>
        <v>0</v>
      </c>
      <c r="C432" s="303">
        <f>'PCO Log'!PS4</f>
        <v>0</v>
      </c>
      <c r="D432" s="303" cm="1">
        <f t="array" ref="D432">INDEX('PCO Log'!$E$5:$SJ$5, 1, ROWS('Graph Data'!$D$2:D432))</f>
        <v>0</v>
      </c>
      <c r="E432" s="303">
        <f>'PCO Log'!PS8</f>
        <v>0</v>
      </c>
      <c r="F432" s="303">
        <f>'PCO Log'!PS3</f>
        <v>0</v>
      </c>
      <c r="G432" s="304">
        <f>'PCO Log'!PS10</f>
        <v>0</v>
      </c>
      <c r="H432" s="305">
        <f>'PCO Log'!PS6</f>
        <v>0</v>
      </c>
    </row>
    <row r="433" spans="1:8" x14ac:dyDescent="0.25">
      <c r="A433" s="303" t="s">
        <v>783</v>
      </c>
      <c r="B433" s="303">
        <f>'PCO Log'!PT7</f>
        <v>0</v>
      </c>
      <c r="C433" s="303">
        <f>'PCO Log'!PT4</f>
        <v>0</v>
      </c>
      <c r="D433" s="303" cm="1">
        <f t="array" ref="D433">INDEX('PCO Log'!$E$5:$SJ$5, 1, ROWS('Graph Data'!$D$2:D433))</f>
        <v>0</v>
      </c>
      <c r="E433" s="303">
        <f>'PCO Log'!PT8</f>
        <v>0</v>
      </c>
      <c r="F433" s="303">
        <f>'PCO Log'!PT3</f>
        <v>0</v>
      </c>
      <c r="G433" s="304">
        <f>'PCO Log'!PT10</f>
        <v>0</v>
      </c>
      <c r="H433" s="305">
        <f>'PCO Log'!PT6</f>
        <v>0</v>
      </c>
    </row>
    <row r="434" spans="1:8" x14ac:dyDescent="0.25">
      <c r="A434" s="303" t="s">
        <v>784</v>
      </c>
      <c r="B434" s="303">
        <f>'PCO Log'!PU7</f>
        <v>0</v>
      </c>
      <c r="C434" s="303">
        <f>'PCO Log'!PU4</f>
        <v>0</v>
      </c>
      <c r="D434" s="303" cm="1">
        <f t="array" ref="D434">INDEX('PCO Log'!$E$5:$SJ$5, 1, ROWS('Graph Data'!$D$2:D434))</f>
        <v>0</v>
      </c>
      <c r="E434" s="303">
        <f>'PCO Log'!PU8</f>
        <v>0</v>
      </c>
      <c r="F434" s="303">
        <f>'PCO Log'!PU3</f>
        <v>0</v>
      </c>
      <c r="G434" s="304">
        <f>'PCO Log'!PU10</f>
        <v>0</v>
      </c>
      <c r="H434" s="305">
        <f>'PCO Log'!PU6</f>
        <v>0</v>
      </c>
    </row>
    <row r="435" spans="1:8" x14ac:dyDescent="0.25">
      <c r="A435" s="303" t="s">
        <v>785</v>
      </c>
      <c r="B435" s="303">
        <f>'PCO Log'!PV7</f>
        <v>0</v>
      </c>
      <c r="C435" s="303">
        <f>'PCO Log'!PV4</f>
        <v>0</v>
      </c>
      <c r="D435" s="303" cm="1">
        <f t="array" ref="D435">INDEX('PCO Log'!$E$5:$SJ$5, 1, ROWS('Graph Data'!$D$2:D435))</f>
        <v>0</v>
      </c>
      <c r="E435" s="303">
        <f>'PCO Log'!PV8</f>
        <v>0</v>
      </c>
      <c r="F435" s="303">
        <f>'PCO Log'!PV3</f>
        <v>0</v>
      </c>
      <c r="G435" s="304">
        <f>'PCO Log'!PV10</f>
        <v>0</v>
      </c>
      <c r="H435" s="305">
        <f>'PCO Log'!PV6</f>
        <v>0</v>
      </c>
    </row>
    <row r="436" spans="1:8" x14ac:dyDescent="0.25">
      <c r="A436" s="303" t="s">
        <v>786</v>
      </c>
      <c r="B436" s="303">
        <f>'PCO Log'!PW7</f>
        <v>0</v>
      </c>
      <c r="C436" s="303">
        <f>'PCO Log'!PW4</f>
        <v>0</v>
      </c>
      <c r="D436" s="303" cm="1">
        <f t="array" ref="D436">INDEX('PCO Log'!$E$5:$SJ$5, 1, ROWS('Graph Data'!$D$2:D436))</f>
        <v>0</v>
      </c>
      <c r="E436" s="303">
        <f>'PCO Log'!PW8</f>
        <v>0</v>
      </c>
      <c r="F436" s="303">
        <f>'PCO Log'!PW3</f>
        <v>0</v>
      </c>
      <c r="G436" s="304">
        <f>'PCO Log'!PW10</f>
        <v>0</v>
      </c>
      <c r="H436" s="305">
        <f>'PCO Log'!PW6</f>
        <v>0</v>
      </c>
    </row>
    <row r="437" spans="1:8" x14ac:dyDescent="0.25">
      <c r="A437" s="303" t="s">
        <v>787</v>
      </c>
      <c r="B437" s="303">
        <f>'PCO Log'!PX7</f>
        <v>0</v>
      </c>
      <c r="C437" s="303">
        <f>'PCO Log'!PX4</f>
        <v>0</v>
      </c>
      <c r="D437" s="303" cm="1">
        <f t="array" ref="D437">INDEX('PCO Log'!$E$5:$SJ$5, 1, ROWS('Graph Data'!$D$2:D437))</f>
        <v>0</v>
      </c>
      <c r="E437" s="303">
        <f>'PCO Log'!PX8</f>
        <v>0</v>
      </c>
      <c r="F437" s="303">
        <f>'PCO Log'!PX3</f>
        <v>0</v>
      </c>
      <c r="G437" s="304">
        <f>'PCO Log'!PX10</f>
        <v>0</v>
      </c>
      <c r="H437" s="305">
        <f>'PCO Log'!PX6</f>
        <v>0</v>
      </c>
    </row>
    <row r="438" spans="1:8" x14ac:dyDescent="0.25">
      <c r="A438" s="303" t="s">
        <v>788</v>
      </c>
      <c r="B438" s="303">
        <f>'PCO Log'!PY7</f>
        <v>0</v>
      </c>
      <c r="C438" s="303">
        <f>'PCO Log'!PY4</f>
        <v>0</v>
      </c>
      <c r="D438" s="303" cm="1">
        <f t="array" ref="D438">INDEX('PCO Log'!$E$5:$SJ$5, 1, ROWS('Graph Data'!$D$2:D438))</f>
        <v>0</v>
      </c>
      <c r="E438" s="303">
        <f>'PCO Log'!PY8</f>
        <v>0</v>
      </c>
      <c r="F438" s="303">
        <f>'PCO Log'!PY3</f>
        <v>0</v>
      </c>
      <c r="G438" s="304">
        <f>'PCO Log'!PY10</f>
        <v>0</v>
      </c>
      <c r="H438" s="305">
        <f>'PCO Log'!PY6</f>
        <v>0</v>
      </c>
    </row>
    <row r="439" spans="1:8" x14ac:dyDescent="0.25">
      <c r="A439" s="303" t="s">
        <v>789</v>
      </c>
      <c r="B439" s="303">
        <f>'PCO Log'!PZ7</f>
        <v>0</v>
      </c>
      <c r="C439" s="303">
        <f>'PCO Log'!PZ4</f>
        <v>0</v>
      </c>
      <c r="D439" s="303" cm="1">
        <f t="array" ref="D439">INDEX('PCO Log'!$E$5:$SJ$5, 1, ROWS('Graph Data'!$D$2:D439))</f>
        <v>0</v>
      </c>
      <c r="E439" s="303">
        <f>'PCO Log'!PZ8</f>
        <v>0</v>
      </c>
      <c r="F439" s="303">
        <f>'PCO Log'!PZ3</f>
        <v>0</v>
      </c>
      <c r="G439" s="304">
        <f>'PCO Log'!PZ10</f>
        <v>0</v>
      </c>
      <c r="H439" s="305">
        <f>'PCO Log'!PZ6</f>
        <v>0</v>
      </c>
    </row>
    <row r="440" spans="1:8" x14ac:dyDescent="0.25">
      <c r="A440" s="303" t="s">
        <v>790</v>
      </c>
      <c r="B440" s="303">
        <f>'PCO Log'!QA7</f>
        <v>0</v>
      </c>
      <c r="C440" s="303">
        <f>'PCO Log'!QA4</f>
        <v>0</v>
      </c>
      <c r="D440" s="303" cm="1">
        <f t="array" ref="D440">INDEX('PCO Log'!$E$5:$SJ$5, 1, ROWS('Graph Data'!$D$2:D440))</f>
        <v>0</v>
      </c>
      <c r="E440" s="303">
        <f>'PCO Log'!QA8</f>
        <v>0</v>
      </c>
      <c r="F440" s="303">
        <f>'PCO Log'!QA3</f>
        <v>0</v>
      </c>
      <c r="G440" s="304">
        <f>'PCO Log'!QA10</f>
        <v>0</v>
      </c>
      <c r="H440" s="305">
        <f>'PCO Log'!QA6</f>
        <v>0</v>
      </c>
    </row>
    <row r="441" spans="1:8" x14ac:dyDescent="0.25">
      <c r="A441" s="303" t="s">
        <v>791</v>
      </c>
      <c r="B441" s="303">
        <f>'PCO Log'!QB7</f>
        <v>0</v>
      </c>
      <c r="C441" s="303">
        <f>'PCO Log'!QB4</f>
        <v>0</v>
      </c>
      <c r="D441" s="303" cm="1">
        <f t="array" ref="D441">INDEX('PCO Log'!$E$5:$SJ$5, 1, ROWS('Graph Data'!$D$2:D441))</f>
        <v>0</v>
      </c>
      <c r="E441" s="303">
        <f>'PCO Log'!QB8</f>
        <v>0</v>
      </c>
      <c r="F441" s="303">
        <f>'PCO Log'!QB3</f>
        <v>0</v>
      </c>
      <c r="G441" s="304">
        <f>'PCO Log'!QB10</f>
        <v>0</v>
      </c>
      <c r="H441" s="305">
        <f>'PCO Log'!QB6</f>
        <v>0</v>
      </c>
    </row>
    <row r="442" spans="1:8" x14ac:dyDescent="0.25">
      <c r="A442" s="303" t="s">
        <v>792</v>
      </c>
      <c r="B442" s="303">
        <f>'PCO Log'!QC7</f>
        <v>0</v>
      </c>
      <c r="C442" s="303">
        <f>'PCO Log'!QC4</f>
        <v>0</v>
      </c>
      <c r="D442" s="303" cm="1">
        <f t="array" ref="D442">INDEX('PCO Log'!$E$5:$SJ$5, 1, ROWS('Graph Data'!$D$2:D442))</f>
        <v>0</v>
      </c>
      <c r="E442" s="303">
        <f>'PCO Log'!QC8</f>
        <v>0</v>
      </c>
      <c r="F442" s="303">
        <f>'PCO Log'!QC3</f>
        <v>0</v>
      </c>
      <c r="G442" s="304">
        <f>'PCO Log'!QC10</f>
        <v>0</v>
      </c>
      <c r="H442" s="305">
        <f>'PCO Log'!QC6</f>
        <v>0</v>
      </c>
    </row>
    <row r="443" spans="1:8" x14ac:dyDescent="0.25">
      <c r="A443" s="303" t="s">
        <v>793</v>
      </c>
      <c r="B443" s="303">
        <f>'PCO Log'!QD7</f>
        <v>0</v>
      </c>
      <c r="C443" s="303">
        <f>'PCO Log'!QD4</f>
        <v>0</v>
      </c>
      <c r="D443" s="303" cm="1">
        <f t="array" ref="D443">INDEX('PCO Log'!$E$5:$SJ$5, 1, ROWS('Graph Data'!$D$2:D443))</f>
        <v>0</v>
      </c>
      <c r="E443" s="303">
        <f>'PCO Log'!QD8</f>
        <v>0</v>
      </c>
      <c r="F443" s="303">
        <f>'PCO Log'!QD3</f>
        <v>0</v>
      </c>
      <c r="G443" s="304">
        <f>'PCO Log'!QD10</f>
        <v>0</v>
      </c>
      <c r="H443" s="305">
        <f>'PCO Log'!QD6</f>
        <v>0</v>
      </c>
    </row>
    <row r="444" spans="1:8" x14ac:dyDescent="0.25">
      <c r="A444" s="303" t="s">
        <v>794</v>
      </c>
      <c r="B444" s="303">
        <f>'PCO Log'!QE7</f>
        <v>0</v>
      </c>
      <c r="C444" s="303">
        <f>'PCO Log'!QE4</f>
        <v>0</v>
      </c>
      <c r="D444" s="303" cm="1">
        <f t="array" ref="D444">INDEX('PCO Log'!$E$5:$SJ$5, 1, ROWS('Graph Data'!$D$2:D444))</f>
        <v>0</v>
      </c>
      <c r="E444" s="303">
        <f>'PCO Log'!QE8</f>
        <v>0</v>
      </c>
      <c r="F444" s="303">
        <f>'PCO Log'!QE3</f>
        <v>0</v>
      </c>
      <c r="G444" s="304">
        <f>'PCO Log'!QE10</f>
        <v>0</v>
      </c>
      <c r="H444" s="305">
        <f>'PCO Log'!QE6</f>
        <v>0</v>
      </c>
    </row>
    <row r="445" spans="1:8" x14ac:dyDescent="0.25">
      <c r="A445" s="303" t="s">
        <v>795</v>
      </c>
      <c r="B445" s="303">
        <f>'PCO Log'!QF7</f>
        <v>0</v>
      </c>
      <c r="C445" s="303">
        <f>'PCO Log'!QF4</f>
        <v>0</v>
      </c>
      <c r="D445" s="303" cm="1">
        <f t="array" ref="D445">INDEX('PCO Log'!$E$5:$SJ$5, 1, ROWS('Graph Data'!$D$2:D445))</f>
        <v>0</v>
      </c>
      <c r="E445" s="303">
        <f>'PCO Log'!QF8</f>
        <v>0</v>
      </c>
      <c r="F445" s="303">
        <f>'PCO Log'!QF3</f>
        <v>0</v>
      </c>
      <c r="G445" s="304">
        <f>'PCO Log'!QF10</f>
        <v>0</v>
      </c>
      <c r="H445" s="305">
        <f>'PCO Log'!QF6</f>
        <v>0</v>
      </c>
    </row>
    <row r="446" spans="1:8" x14ac:dyDescent="0.25">
      <c r="A446" s="303" t="s">
        <v>796</v>
      </c>
      <c r="B446" s="303">
        <f>'PCO Log'!QG7</f>
        <v>0</v>
      </c>
      <c r="C446" s="303">
        <f>'PCO Log'!QG4</f>
        <v>0</v>
      </c>
      <c r="D446" s="303" cm="1">
        <f t="array" ref="D446">INDEX('PCO Log'!$E$5:$SJ$5, 1, ROWS('Graph Data'!$D$2:D446))</f>
        <v>0</v>
      </c>
      <c r="E446" s="303">
        <f>'PCO Log'!QG8</f>
        <v>0</v>
      </c>
      <c r="F446" s="303">
        <f>'PCO Log'!QG3</f>
        <v>0</v>
      </c>
      <c r="G446" s="304">
        <f>'PCO Log'!QG10</f>
        <v>0</v>
      </c>
      <c r="H446" s="305">
        <f>'PCO Log'!QG6</f>
        <v>0</v>
      </c>
    </row>
    <row r="447" spans="1:8" x14ac:dyDescent="0.25">
      <c r="A447" s="303" t="s">
        <v>797</v>
      </c>
      <c r="B447" s="303">
        <f>'PCO Log'!QH7</f>
        <v>0</v>
      </c>
      <c r="C447" s="303">
        <f>'PCO Log'!QH4</f>
        <v>0</v>
      </c>
      <c r="D447" s="303" cm="1">
        <f t="array" ref="D447">INDEX('PCO Log'!$E$5:$SJ$5, 1, ROWS('Graph Data'!$D$2:D447))</f>
        <v>0</v>
      </c>
      <c r="E447" s="303">
        <f>'PCO Log'!QH8</f>
        <v>0</v>
      </c>
      <c r="F447" s="303">
        <f>'PCO Log'!QH3</f>
        <v>0</v>
      </c>
      <c r="G447" s="304">
        <f>'PCO Log'!QH10</f>
        <v>0</v>
      </c>
      <c r="H447" s="305">
        <f>'PCO Log'!QH6</f>
        <v>0</v>
      </c>
    </row>
    <row r="448" spans="1:8" x14ac:dyDescent="0.25">
      <c r="A448" s="303" t="s">
        <v>798</v>
      </c>
      <c r="B448" s="303">
        <f>'PCO Log'!QI7</f>
        <v>0</v>
      </c>
      <c r="C448" s="303">
        <f>'PCO Log'!QI4</f>
        <v>0</v>
      </c>
      <c r="D448" s="303" cm="1">
        <f t="array" ref="D448">INDEX('PCO Log'!$E$5:$SJ$5, 1, ROWS('Graph Data'!$D$2:D448))</f>
        <v>0</v>
      </c>
      <c r="E448" s="303">
        <f>'PCO Log'!QI8</f>
        <v>0</v>
      </c>
      <c r="F448" s="303">
        <f>'PCO Log'!QI3</f>
        <v>0</v>
      </c>
      <c r="G448" s="304">
        <f>'PCO Log'!QI10</f>
        <v>0</v>
      </c>
      <c r="H448" s="305">
        <f>'PCO Log'!QI6</f>
        <v>0</v>
      </c>
    </row>
    <row r="449" spans="1:8" x14ac:dyDescent="0.25">
      <c r="A449" s="303" t="s">
        <v>799</v>
      </c>
      <c r="B449" s="303">
        <f>'PCO Log'!QJ7</f>
        <v>0</v>
      </c>
      <c r="C449" s="303">
        <f>'PCO Log'!QJ4</f>
        <v>0</v>
      </c>
      <c r="D449" s="303" cm="1">
        <f t="array" ref="D449">INDEX('PCO Log'!$E$5:$SJ$5, 1, ROWS('Graph Data'!$D$2:D449))</f>
        <v>0</v>
      </c>
      <c r="E449" s="303">
        <f>'PCO Log'!QJ8</f>
        <v>0</v>
      </c>
      <c r="F449" s="303">
        <f>'PCO Log'!QJ3</f>
        <v>0</v>
      </c>
      <c r="G449" s="304">
        <f>'PCO Log'!QJ10</f>
        <v>0</v>
      </c>
      <c r="H449" s="305">
        <f>'PCO Log'!QJ6</f>
        <v>0</v>
      </c>
    </row>
    <row r="450" spans="1:8" x14ac:dyDescent="0.25">
      <c r="A450" s="303" t="s">
        <v>800</v>
      </c>
      <c r="B450" s="303">
        <f>'PCO Log'!QK7</f>
        <v>0</v>
      </c>
      <c r="C450" s="303">
        <f>'PCO Log'!QK4</f>
        <v>0</v>
      </c>
      <c r="D450" s="303" cm="1">
        <f t="array" ref="D450">INDEX('PCO Log'!$E$5:$SJ$5, 1, ROWS('Graph Data'!$D$2:D450))</f>
        <v>0</v>
      </c>
      <c r="E450" s="303">
        <f>'PCO Log'!QK8</f>
        <v>0</v>
      </c>
      <c r="F450" s="303">
        <f>'PCO Log'!QK3</f>
        <v>0</v>
      </c>
      <c r="G450" s="304">
        <f>'PCO Log'!QK10</f>
        <v>0</v>
      </c>
      <c r="H450" s="305">
        <f>'PCO Log'!QK6</f>
        <v>0</v>
      </c>
    </row>
    <row r="451" spans="1:8" x14ac:dyDescent="0.25">
      <c r="A451" s="303" t="s">
        <v>801</v>
      </c>
      <c r="B451" s="303">
        <f>'PCO Log'!QL7</f>
        <v>0</v>
      </c>
      <c r="C451" s="303">
        <f>'PCO Log'!QL4</f>
        <v>0</v>
      </c>
      <c r="D451" s="303" cm="1">
        <f t="array" ref="D451">INDEX('PCO Log'!$E$5:$SJ$5, 1, ROWS('Graph Data'!$D$2:D451))</f>
        <v>0</v>
      </c>
      <c r="E451" s="303">
        <f>'PCO Log'!QL8</f>
        <v>0</v>
      </c>
      <c r="F451" s="303">
        <f>'PCO Log'!QL3</f>
        <v>0</v>
      </c>
      <c r="G451" s="304">
        <f>'PCO Log'!QL10</f>
        <v>0</v>
      </c>
      <c r="H451" s="305">
        <f>'PCO Log'!QL6</f>
        <v>0</v>
      </c>
    </row>
    <row r="452" spans="1:8" x14ac:dyDescent="0.25">
      <c r="A452" s="303" t="s">
        <v>802</v>
      </c>
      <c r="B452" s="303">
        <f>'PCO Log'!QM7</f>
        <v>0</v>
      </c>
      <c r="C452" s="303">
        <f>'PCO Log'!QM4</f>
        <v>0</v>
      </c>
      <c r="D452" s="303" cm="1">
        <f t="array" ref="D452">INDEX('PCO Log'!$E$5:$SJ$5, 1, ROWS('Graph Data'!$D$2:D452))</f>
        <v>0</v>
      </c>
      <c r="E452" s="303">
        <f>'PCO Log'!QM8</f>
        <v>0</v>
      </c>
      <c r="F452" s="303">
        <f>'PCO Log'!QM3</f>
        <v>0</v>
      </c>
      <c r="G452" s="304">
        <f>'PCO Log'!QM10</f>
        <v>0</v>
      </c>
      <c r="H452" s="305">
        <f>'PCO Log'!QM6</f>
        <v>0</v>
      </c>
    </row>
    <row r="453" spans="1:8" x14ac:dyDescent="0.25">
      <c r="A453" s="303" t="s">
        <v>803</v>
      </c>
      <c r="B453" s="303">
        <f>'PCO Log'!QN7</f>
        <v>0</v>
      </c>
      <c r="C453" s="303">
        <f>'PCO Log'!QN4</f>
        <v>0</v>
      </c>
      <c r="D453" s="303" cm="1">
        <f t="array" ref="D453">INDEX('PCO Log'!$E$5:$SJ$5, 1, ROWS('Graph Data'!$D$2:D453))</f>
        <v>0</v>
      </c>
      <c r="E453" s="303">
        <f>'PCO Log'!QN8</f>
        <v>0</v>
      </c>
      <c r="F453" s="303">
        <f>'PCO Log'!QN3</f>
        <v>0</v>
      </c>
      <c r="G453" s="304">
        <f>'PCO Log'!QN10</f>
        <v>0</v>
      </c>
      <c r="H453" s="305">
        <f>'PCO Log'!QN6</f>
        <v>0</v>
      </c>
    </row>
    <row r="454" spans="1:8" x14ac:dyDescent="0.25">
      <c r="A454" s="303" t="s">
        <v>804</v>
      </c>
      <c r="B454" s="303">
        <f>'PCO Log'!QO7</f>
        <v>0</v>
      </c>
      <c r="C454" s="303">
        <f>'PCO Log'!QO4</f>
        <v>0</v>
      </c>
      <c r="D454" s="303" cm="1">
        <f t="array" ref="D454">INDEX('PCO Log'!$E$5:$SJ$5, 1, ROWS('Graph Data'!$D$2:D454))</f>
        <v>0</v>
      </c>
      <c r="E454" s="303">
        <f>'PCO Log'!QO8</f>
        <v>0</v>
      </c>
      <c r="F454" s="303">
        <f>'PCO Log'!QO3</f>
        <v>0</v>
      </c>
      <c r="G454" s="304">
        <f>'PCO Log'!QO10</f>
        <v>0</v>
      </c>
      <c r="H454" s="305">
        <f>'PCO Log'!QO6</f>
        <v>0</v>
      </c>
    </row>
    <row r="455" spans="1:8" x14ac:dyDescent="0.25">
      <c r="A455" s="303" t="s">
        <v>805</v>
      </c>
      <c r="B455" s="303">
        <f>'PCO Log'!QP7</f>
        <v>0</v>
      </c>
      <c r="C455" s="303">
        <f>'PCO Log'!QP4</f>
        <v>0</v>
      </c>
      <c r="D455" s="303" cm="1">
        <f t="array" ref="D455">INDEX('PCO Log'!$E$5:$SJ$5, 1, ROWS('Graph Data'!$D$2:D455))</f>
        <v>0</v>
      </c>
      <c r="E455" s="303">
        <f>'PCO Log'!QP8</f>
        <v>0</v>
      </c>
      <c r="F455" s="303">
        <f>'PCO Log'!QP3</f>
        <v>0</v>
      </c>
      <c r="G455" s="304">
        <f>'PCO Log'!QP10</f>
        <v>0</v>
      </c>
      <c r="H455" s="305">
        <f>'PCO Log'!QP6</f>
        <v>0</v>
      </c>
    </row>
    <row r="456" spans="1:8" x14ac:dyDescent="0.25">
      <c r="A456" s="303" t="s">
        <v>806</v>
      </c>
      <c r="B456" s="303">
        <f>'PCO Log'!QQ7</f>
        <v>0</v>
      </c>
      <c r="C456" s="303">
        <f>'PCO Log'!QQ4</f>
        <v>0</v>
      </c>
      <c r="D456" s="303" cm="1">
        <f t="array" ref="D456">INDEX('PCO Log'!$E$5:$SJ$5, 1, ROWS('Graph Data'!$D$2:D456))</f>
        <v>0</v>
      </c>
      <c r="E456" s="303">
        <f>'PCO Log'!QQ8</f>
        <v>0</v>
      </c>
      <c r="F456" s="303">
        <f>'PCO Log'!QQ3</f>
        <v>0</v>
      </c>
      <c r="G456" s="304">
        <f>'PCO Log'!QQ10</f>
        <v>0</v>
      </c>
      <c r="H456" s="305">
        <f>'PCO Log'!QQ6</f>
        <v>0</v>
      </c>
    </row>
    <row r="457" spans="1:8" x14ac:dyDescent="0.25">
      <c r="A457" s="303" t="s">
        <v>807</v>
      </c>
      <c r="B457" s="303">
        <f>'PCO Log'!QR7</f>
        <v>0</v>
      </c>
      <c r="C457" s="303">
        <f>'PCO Log'!QR4</f>
        <v>0</v>
      </c>
      <c r="D457" s="303" cm="1">
        <f t="array" ref="D457">INDEX('PCO Log'!$E$5:$SJ$5, 1, ROWS('Graph Data'!$D$2:D457))</f>
        <v>0</v>
      </c>
      <c r="E457" s="303">
        <f>'PCO Log'!QR8</f>
        <v>0</v>
      </c>
      <c r="F457" s="303">
        <f>'PCO Log'!QR3</f>
        <v>0</v>
      </c>
      <c r="G457" s="304">
        <f>'PCO Log'!QR10</f>
        <v>0</v>
      </c>
      <c r="H457" s="305">
        <f>'PCO Log'!QR6</f>
        <v>0</v>
      </c>
    </row>
    <row r="458" spans="1:8" x14ac:dyDescent="0.25">
      <c r="A458" s="303" t="s">
        <v>808</v>
      </c>
      <c r="B458" s="303">
        <f>'PCO Log'!QS7</f>
        <v>0</v>
      </c>
      <c r="C458" s="303">
        <f>'PCO Log'!QS4</f>
        <v>0</v>
      </c>
      <c r="D458" s="303" cm="1">
        <f t="array" ref="D458">INDEX('PCO Log'!$E$5:$SJ$5, 1, ROWS('Graph Data'!$D$2:D458))</f>
        <v>0</v>
      </c>
      <c r="E458" s="303">
        <f>'PCO Log'!QS8</f>
        <v>0</v>
      </c>
      <c r="F458" s="303">
        <f>'PCO Log'!QS3</f>
        <v>0</v>
      </c>
      <c r="G458" s="304">
        <f>'PCO Log'!QS10</f>
        <v>0</v>
      </c>
      <c r="H458" s="305">
        <f>'PCO Log'!QS6</f>
        <v>0</v>
      </c>
    </row>
    <row r="459" spans="1:8" x14ac:dyDescent="0.25">
      <c r="A459" s="303" t="s">
        <v>809</v>
      </c>
      <c r="B459" s="303">
        <f>'PCO Log'!QT7</f>
        <v>0</v>
      </c>
      <c r="C459" s="303">
        <f>'PCO Log'!QT4</f>
        <v>0</v>
      </c>
      <c r="D459" s="303" cm="1">
        <f t="array" ref="D459">INDEX('PCO Log'!$E$5:$SJ$5, 1, ROWS('Graph Data'!$D$2:D459))</f>
        <v>0</v>
      </c>
      <c r="E459" s="303">
        <f>'PCO Log'!QT8</f>
        <v>0</v>
      </c>
      <c r="F459" s="303">
        <f>'PCO Log'!QT3</f>
        <v>0</v>
      </c>
      <c r="G459" s="304">
        <f>'PCO Log'!QT10</f>
        <v>0</v>
      </c>
      <c r="H459" s="305">
        <f>'PCO Log'!QT6</f>
        <v>0</v>
      </c>
    </row>
    <row r="460" spans="1:8" x14ac:dyDescent="0.25">
      <c r="A460" s="303" t="s">
        <v>810</v>
      </c>
      <c r="B460" s="303">
        <f>'PCO Log'!QU7</f>
        <v>0</v>
      </c>
      <c r="C460" s="303">
        <f>'PCO Log'!QU4</f>
        <v>0</v>
      </c>
      <c r="D460" s="303" cm="1">
        <f t="array" ref="D460">INDEX('PCO Log'!$E$5:$SJ$5, 1, ROWS('Graph Data'!$D$2:D460))</f>
        <v>0</v>
      </c>
      <c r="E460" s="303">
        <f>'PCO Log'!QU8</f>
        <v>0</v>
      </c>
      <c r="F460" s="303">
        <f>'PCO Log'!QU3</f>
        <v>0</v>
      </c>
      <c r="G460" s="304">
        <f>'PCO Log'!QU10</f>
        <v>0</v>
      </c>
      <c r="H460" s="305">
        <f>'PCO Log'!QU6</f>
        <v>0</v>
      </c>
    </row>
    <row r="461" spans="1:8" x14ac:dyDescent="0.25">
      <c r="A461" s="303" t="s">
        <v>811</v>
      </c>
      <c r="B461" s="303">
        <f>'PCO Log'!QV7</f>
        <v>0</v>
      </c>
      <c r="C461" s="303">
        <f>'PCO Log'!QV4</f>
        <v>0</v>
      </c>
      <c r="D461" s="303" cm="1">
        <f t="array" ref="D461">INDEX('PCO Log'!$E$5:$SJ$5, 1, ROWS('Graph Data'!$D$2:D461))</f>
        <v>0</v>
      </c>
      <c r="E461" s="303">
        <f>'PCO Log'!QV8</f>
        <v>0</v>
      </c>
      <c r="F461" s="303">
        <f>'PCO Log'!QV3</f>
        <v>0</v>
      </c>
      <c r="G461" s="304">
        <f>'PCO Log'!QV10</f>
        <v>0</v>
      </c>
      <c r="H461" s="305">
        <f>'PCO Log'!QV6</f>
        <v>0</v>
      </c>
    </row>
    <row r="462" spans="1:8" x14ac:dyDescent="0.25">
      <c r="A462" s="303" t="s">
        <v>812</v>
      </c>
      <c r="B462" s="303">
        <f>'PCO Log'!QW7</f>
        <v>0</v>
      </c>
      <c r="C462" s="303">
        <f>'PCO Log'!QW4</f>
        <v>0</v>
      </c>
      <c r="D462" s="303" cm="1">
        <f t="array" ref="D462">INDEX('PCO Log'!$E$5:$SJ$5, 1, ROWS('Graph Data'!$D$2:D462))</f>
        <v>0</v>
      </c>
      <c r="E462" s="303">
        <f>'PCO Log'!QW8</f>
        <v>0</v>
      </c>
      <c r="F462" s="303">
        <f>'PCO Log'!QW3</f>
        <v>0</v>
      </c>
      <c r="G462" s="304">
        <f>'PCO Log'!QW10</f>
        <v>0</v>
      </c>
      <c r="H462" s="305">
        <f>'PCO Log'!QW6</f>
        <v>0</v>
      </c>
    </row>
    <row r="463" spans="1:8" x14ac:dyDescent="0.25">
      <c r="A463" s="303" t="s">
        <v>813</v>
      </c>
      <c r="B463" s="303">
        <f>'PCO Log'!QX7</f>
        <v>0</v>
      </c>
      <c r="C463" s="303">
        <f>'PCO Log'!QX4</f>
        <v>0</v>
      </c>
      <c r="D463" s="303" cm="1">
        <f t="array" ref="D463">INDEX('PCO Log'!$E$5:$SJ$5, 1, ROWS('Graph Data'!$D$2:D463))</f>
        <v>0</v>
      </c>
      <c r="E463" s="303">
        <f>'PCO Log'!QX8</f>
        <v>0</v>
      </c>
      <c r="F463" s="303">
        <f>'PCO Log'!QX3</f>
        <v>0</v>
      </c>
      <c r="G463" s="304">
        <f>'PCO Log'!QX10</f>
        <v>0</v>
      </c>
      <c r="H463" s="305">
        <f>'PCO Log'!QX6</f>
        <v>0</v>
      </c>
    </row>
    <row r="464" spans="1:8" x14ac:dyDescent="0.25">
      <c r="A464" s="303" t="s">
        <v>814</v>
      </c>
      <c r="B464" s="303">
        <f>'PCO Log'!QY7</f>
        <v>0</v>
      </c>
      <c r="C464" s="303">
        <f>'PCO Log'!QY4</f>
        <v>0</v>
      </c>
      <c r="D464" s="303" cm="1">
        <f t="array" ref="D464">INDEX('PCO Log'!$E$5:$SJ$5, 1, ROWS('Graph Data'!$D$2:D464))</f>
        <v>0</v>
      </c>
      <c r="E464" s="303">
        <f>'PCO Log'!QY8</f>
        <v>0</v>
      </c>
      <c r="F464" s="303">
        <f>'PCO Log'!QY3</f>
        <v>0</v>
      </c>
      <c r="G464" s="304">
        <f>'PCO Log'!QY10</f>
        <v>0</v>
      </c>
      <c r="H464" s="305">
        <f>'PCO Log'!QY6</f>
        <v>0</v>
      </c>
    </row>
    <row r="465" spans="1:8" x14ac:dyDescent="0.25">
      <c r="A465" s="303" t="s">
        <v>815</v>
      </c>
      <c r="B465" s="303">
        <f>'PCO Log'!QZ7</f>
        <v>0</v>
      </c>
      <c r="C465" s="303">
        <f>'PCO Log'!QZ4</f>
        <v>0</v>
      </c>
      <c r="D465" s="303" cm="1">
        <f t="array" ref="D465">INDEX('PCO Log'!$E$5:$SJ$5, 1, ROWS('Graph Data'!$D$2:D465))</f>
        <v>0</v>
      </c>
      <c r="E465" s="303">
        <f>'PCO Log'!QZ8</f>
        <v>0</v>
      </c>
      <c r="F465" s="303">
        <f>'PCO Log'!QZ3</f>
        <v>0</v>
      </c>
      <c r="G465" s="304">
        <f>'PCO Log'!QZ10</f>
        <v>0</v>
      </c>
      <c r="H465" s="305">
        <f>'PCO Log'!QZ6</f>
        <v>0</v>
      </c>
    </row>
    <row r="466" spans="1:8" x14ac:dyDescent="0.25">
      <c r="A466" s="303" t="s">
        <v>816</v>
      </c>
      <c r="B466" s="303">
        <f>'PCO Log'!RA7</f>
        <v>0</v>
      </c>
      <c r="C466" s="303">
        <f>'PCO Log'!RA4</f>
        <v>0</v>
      </c>
      <c r="D466" s="303" cm="1">
        <f t="array" ref="D466">INDEX('PCO Log'!$E$5:$SJ$5, 1, ROWS('Graph Data'!$D$2:D466))</f>
        <v>0</v>
      </c>
      <c r="E466" s="303">
        <f>'PCO Log'!RA8</f>
        <v>0</v>
      </c>
      <c r="F466" s="303">
        <f>'PCO Log'!RA3</f>
        <v>0</v>
      </c>
      <c r="G466" s="304">
        <f>'PCO Log'!RA10</f>
        <v>0</v>
      </c>
      <c r="H466" s="305">
        <f>'PCO Log'!RA6</f>
        <v>0</v>
      </c>
    </row>
    <row r="467" spans="1:8" x14ac:dyDescent="0.25">
      <c r="A467" s="303" t="s">
        <v>817</v>
      </c>
      <c r="B467" s="303">
        <f>'PCO Log'!RB7</f>
        <v>0</v>
      </c>
      <c r="C467" s="303">
        <f>'PCO Log'!RB4</f>
        <v>0</v>
      </c>
      <c r="D467" s="303" cm="1">
        <f t="array" ref="D467">INDEX('PCO Log'!$E$5:$SJ$5, 1, ROWS('Graph Data'!$D$2:D467))</f>
        <v>0</v>
      </c>
      <c r="E467" s="303">
        <f>'PCO Log'!RB8</f>
        <v>0</v>
      </c>
      <c r="F467" s="303">
        <f>'PCO Log'!RB3</f>
        <v>0</v>
      </c>
      <c r="G467" s="304">
        <f>'PCO Log'!RB10</f>
        <v>0</v>
      </c>
      <c r="H467" s="305">
        <f>'PCO Log'!RB6</f>
        <v>0</v>
      </c>
    </row>
    <row r="468" spans="1:8" x14ac:dyDescent="0.25">
      <c r="A468" s="303" t="s">
        <v>818</v>
      </c>
      <c r="B468" s="303">
        <f>'PCO Log'!RC7</f>
        <v>0</v>
      </c>
      <c r="C468" s="303">
        <f>'PCO Log'!RC4</f>
        <v>0</v>
      </c>
      <c r="D468" s="303" cm="1">
        <f t="array" ref="D468">INDEX('PCO Log'!$E$5:$SJ$5, 1, ROWS('Graph Data'!$D$2:D468))</f>
        <v>0</v>
      </c>
      <c r="E468" s="303">
        <f>'PCO Log'!RC8</f>
        <v>0</v>
      </c>
      <c r="F468" s="303">
        <f>'PCO Log'!RC3</f>
        <v>0</v>
      </c>
      <c r="G468" s="304">
        <f>'PCO Log'!RC10</f>
        <v>0</v>
      </c>
      <c r="H468" s="305">
        <f>'PCO Log'!RC6</f>
        <v>0</v>
      </c>
    </row>
    <row r="469" spans="1:8" x14ac:dyDescent="0.25">
      <c r="A469" s="303" t="s">
        <v>819</v>
      </c>
      <c r="B469" s="303">
        <f>'PCO Log'!RD7</f>
        <v>0</v>
      </c>
      <c r="C469" s="303">
        <f>'PCO Log'!RD4</f>
        <v>0</v>
      </c>
      <c r="D469" s="303" cm="1">
        <f t="array" ref="D469">INDEX('PCO Log'!$E$5:$SJ$5, 1, ROWS('Graph Data'!$D$2:D469))</f>
        <v>0</v>
      </c>
      <c r="E469" s="303">
        <f>'PCO Log'!RD8</f>
        <v>0</v>
      </c>
      <c r="F469" s="303">
        <f>'PCO Log'!RD3</f>
        <v>0</v>
      </c>
      <c r="G469" s="304">
        <f>'PCO Log'!RD10</f>
        <v>0</v>
      </c>
      <c r="H469" s="305">
        <f>'PCO Log'!RD6</f>
        <v>0</v>
      </c>
    </row>
    <row r="470" spans="1:8" x14ac:dyDescent="0.25">
      <c r="A470" s="303" t="s">
        <v>820</v>
      </c>
      <c r="B470" s="303">
        <f>'PCO Log'!RE7</f>
        <v>0</v>
      </c>
      <c r="C470" s="303">
        <f>'PCO Log'!RE4</f>
        <v>0</v>
      </c>
      <c r="D470" s="303" cm="1">
        <f t="array" ref="D470">INDEX('PCO Log'!$E$5:$SJ$5, 1, ROWS('Graph Data'!$D$2:D470))</f>
        <v>0</v>
      </c>
      <c r="E470" s="303">
        <f>'PCO Log'!RE8</f>
        <v>0</v>
      </c>
      <c r="F470" s="303">
        <f>'PCO Log'!RE3</f>
        <v>0</v>
      </c>
      <c r="G470" s="304">
        <f>'PCO Log'!RE10</f>
        <v>0</v>
      </c>
      <c r="H470" s="305">
        <f>'PCO Log'!RE6</f>
        <v>0</v>
      </c>
    </row>
    <row r="471" spans="1:8" x14ac:dyDescent="0.25">
      <c r="A471" s="303" t="s">
        <v>821</v>
      </c>
      <c r="B471" s="303">
        <f>'PCO Log'!RF7</f>
        <v>0</v>
      </c>
      <c r="C471" s="303">
        <f>'PCO Log'!RF4</f>
        <v>0</v>
      </c>
      <c r="D471" s="303" cm="1">
        <f t="array" ref="D471">INDEX('PCO Log'!$E$5:$SJ$5, 1, ROWS('Graph Data'!$D$2:D471))</f>
        <v>0</v>
      </c>
      <c r="E471" s="303">
        <f>'PCO Log'!RF8</f>
        <v>0</v>
      </c>
      <c r="F471" s="303">
        <f>'PCO Log'!RF3</f>
        <v>0</v>
      </c>
      <c r="G471" s="304">
        <f>'PCO Log'!RF10</f>
        <v>0</v>
      </c>
      <c r="H471" s="305">
        <f>'PCO Log'!RF6</f>
        <v>0</v>
      </c>
    </row>
    <row r="472" spans="1:8" x14ac:dyDescent="0.25">
      <c r="A472" s="303" t="s">
        <v>822</v>
      </c>
      <c r="B472" s="303">
        <f>'PCO Log'!RG7</f>
        <v>0</v>
      </c>
      <c r="C472" s="303">
        <f>'PCO Log'!RG4</f>
        <v>0</v>
      </c>
      <c r="D472" s="303" cm="1">
        <f t="array" ref="D472">INDEX('PCO Log'!$E$5:$SJ$5, 1, ROWS('Graph Data'!$D$2:D472))</f>
        <v>0</v>
      </c>
      <c r="E472" s="303">
        <f>'PCO Log'!RG8</f>
        <v>0</v>
      </c>
      <c r="F472" s="303">
        <f>'PCO Log'!RG3</f>
        <v>0</v>
      </c>
      <c r="G472" s="304">
        <f>'PCO Log'!RG10</f>
        <v>0</v>
      </c>
      <c r="H472" s="305">
        <f>'PCO Log'!RG6</f>
        <v>0</v>
      </c>
    </row>
    <row r="473" spans="1:8" x14ac:dyDescent="0.25">
      <c r="A473" s="303" t="s">
        <v>823</v>
      </c>
      <c r="B473" s="303">
        <f>'PCO Log'!RH7</f>
        <v>0</v>
      </c>
      <c r="C473" s="303">
        <f>'PCO Log'!RH4</f>
        <v>0</v>
      </c>
      <c r="D473" s="303" cm="1">
        <f t="array" ref="D473">INDEX('PCO Log'!$E$5:$SJ$5, 1, ROWS('Graph Data'!$D$2:D473))</f>
        <v>0</v>
      </c>
      <c r="E473" s="303">
        <f>'PCO Log'!RH8</f>
        <v>0</v>
      </c>
      <c r="F473" s="303">
        <f>'PCO Log'!RH3</f>
        <v>0</v>
      </c>
      <c r="G473" s="304">
        <f>'PCO Log'!RH10</f>
        <v>0</v>
      </c>
      <c r="H473" s="305">
        <f>'PCO Log'!RH6</f>
        <v>0</v>
      </c>
    </row>
    <row r="474" spans="1:8" x14ac:dyDescent="0.25">
      <c r="A474" s="303" t="s">
        <v>824</v>
      </c>
      <c r="B474" s="303">
        <f>'PCO Log'!RI7</f>
        <v>0</v>
      </c>
      <c r="C474" s="303">
        <f>'PCO Log'!RI4</f>
        <v>0</v>
      </c>
      <c r="D474" s="303" cm="1">
        <f t="array" ref="D474">INDEX('PCO Log'!$E$5:$SJ$5, 1, ROWS('Graph Data'!$D$2:D474))</f>
        <v>0</v>
      </c>
      <c r="E474" s="303">
        <f>'PCO Log'!RI8</f>
        <v>0</v>
      </c>
      <c r="F474" s="303">
        <f>'PCO Log'!RI3</f>
        <v>0</v>
      </c>
      <c r="G474" s="304">
        <f>'PCO Log'!RI10</f>
        <v>0</v>
      </c>
      <c r="H474" s="305">
        <f>'PCO Log'!RI6</f>
        <v>0</v>
      </c>
    </row>
    <row r="475" spans="1:8" x14ac:dyDescent="0.25">
      <c r="A475" s="303" t="s">
        <v>825</v>
      </c>
      <c r="B475" s="303">
        <f>'PCO Log'!RJ7</f>
        <v>0</v>
      </c>
      <c r="C475" s="303">
        <f>'PCO Log'!RJ4</f>
        <v>0</v>
      </c>
      <c r="D475" s="303" cm="1">
        <f t="array" ref="D475">INDEX('PCO Log'!$E$5:$SJ$5, 1, ROWS('Graph Data'!$D$2:D475))</f>
        <v>0</v>
      </c>
      <c r="E475" s="303">
        <f>'PCO Log'!RJ8</f>
        <v>0</v>
      </c>
      <c r="F475" s="303">
        <f>'PCO Log'!RJ3</f>
        <v>0</v>
      </c>
      <c r="G475" s="304">
        <f>'PCO Log'!RJ10</f>
        <v>0</v>
      </c>
      <c r="H475" s="305">
        <f>'PCO Log'!RJ6</f>
        <v>0</v>
      </c>
    </row>
    <row r="476" spans="1:8" x14ac:dyDescent="0.25">
      <c r="A476" s="303" t="s">
        <v>826</v>
      </c>
      <c r="B476" s="303">
        <f>'PCO Log'!RK7</f>
        <v>0</v>
      </c>
      <c r="C476" s="303">
        <f>'PCO Log'!RK4</f>
        <v>0</v>
      </c>
      <c r="D476" s="303" cm="1">
        <f t="array" ref="D476">INDEX('PCO Log'!$E$5:$SJ$5, 1, ROWS('Graph Data'!$D$2:D476))</f>
        <v>0</v>
      </c>
      <c r="E476" s="303">
        <f>'PCO Log'!RK8</f>
        <v>0</v>
      </c>
      <c r="F476" s="303">
        <f>'PCO Log'!RK3</f>
        <v>0</v>
      </c>
      <c r="G476" s="304">
        <f>'PCO Log'!RK10</f>
        <v>0</v>
      </c>
      <c r="H476" s="305">
        <f>'PCO Log'!RK6</f>
        <v>0</v>
      </c>
    </row>
    <row r="477" spans="1:8" x14ac:dyDescent="0.25">
      <c r="A477" s="303" t="s">
        <v>827</v>
      </c>
      <c r="B477" s="303">
        <f>'PCO Log'!RL7</f>
        <v>0</v>
      </c>
      <c r="C477" s="303">
        <f>'PCO Log'!RL4</f>
        <v>0</v>
      </c>
      <c r="D477" s="303" cm="1">
        <f t="array" ref="D477">INDEX('PCO Log'!$E$5:$SJ$5, 1, ROWS('Graph Data'!$D$2:D477))</f>
        <v>0</v>
      </c>
      <c r="E477" s="303">
        <f>'PCO Log'!RL8</f>
        <v>0</v>
      </c>
      <c r="F477" s="303">
        <f>'PCO Log'!RL3</f>
        <v>0</v>
      </c>
      <c r="G477" s="304">
        <f>'PCO Log'!RL10</f>
        <v>0</v>
      </c>
      <c r="H477" s="305">
        <f>'PCO Log'!RL6</f>
        <v>0</v>
      </c>
    </row>
    <row r="478" spans="1:8" x14ac:dyDescent="0.25">
      <c r="A478" s="303" t="s">
        <v>828</v>
      </c>
      <c r="B478" s="303">
        <f>'PCO Log'!RM7</f>
        <v>0</v>
      </c>
      <c r="C478" s="303">
        <f>'PCO Log'!RM4</f>
        <v>0</v>
      </c>
      <c r="D478" s="303" cm="1">
        <f t="array" ref="D478">INDEX('PCO Log'!$E$5:$SJ$5, 1, ROWS('Graph Data'!$D$2:D478))</f>
        <v>0</v>
      </c>
      <c r="E478" s="303">
        <f>'PCO Log'!RM8</f>
        <v>0</v>
      </c>
      <c r="F478" s="303">
        <f>'PCO Log'!RM3</f>
        <v>0</v>
      </c>
      <c r="G478" s="304">
        <f>'PCO Log'!RM10</f>
        <v>0</v>
      </c>
      <c r="H478" s="305">
        <f>'PCO Log'!RM6</f>
        <v>0</v>
      </c>
    </row>
    <row r="479" spans="1:8" x14ac:dyDescent="0.25">
      <c r="A479" s="303" t="s">
        <v>829</v>
      </c>
      <c r="B479" s="303">
        <f>'PCO Log'!RN7</f>
        <v>0</v>
      </c>
      <c r="C479" s="303">
        <f>'PCO Log'!RN4</f>
        <v>0</v>
      </c>
      <c r="D479" s="303" cm="1">
        <f t="array" ref="D479">INDEX('PCO Log'!$E$5:$SJ$5, 1, ROWS('Graph Data'!$D$2:D479))</f>
        <v>0</v>
      </c>
      <c r="E479" s="303">
        <f>'PCO Log'!RN8</f>
        <v>0</v>
      </c>
      <c r="F479" s="303">
        <f>'PCO Log'!RN3</f>
        <v>0</v>
      </c>
      <c r="G479" s="304">
        <f>'PCO Log'!RN10</f>
        <v>0</v>
      </c>
      <c r="H479" s="305">
        <f>'PCO Log'!RN6</f>
        <v>0</v>
      </c>
    </row>
    <row r="480" spans="1:8" x14ac:dyDescent="0.25">
      <c r="A480" s="303" t="s">
        <v>830</v>
      </c>
      <c r="B480" s="303">
        <f>'PCO Log'!RO7</f>
        <v>0</v>
      </c>
      <c r="C480" s="303">
        <f>'PCO Log'!RO4</f>
        <v>0</v>
      </c>
      <c r="D480" s="303" cm="1">
        <f t="array" ref="D480">INDEX('PCO Log'!$E$5:$SJ$5, 1, ROWS('Graph Data'!$D$2:D480))</f>
        <v>0</v>
      </c>
      <c r="E480" s="303">
        <f>'PCO Log'!RO8</f>
        <v>0</v>
      </c>
      <c r="F480" s="303">
        <f>'PCO Log'!RO3</f>
        <v>0</v>
      </c>
      <c r="G480" s="304">
        <f>'PCO Log'!RO10</f>
        <v>0</v>
      </c>
      <c r="H480" s="305">
        <f>'PCO Log'!RO6</f>
        <v>0</v>
      </c>
    </row>
    <row r="481" spans="1:8" x14ac:dyDescent="0.25">
      <c r="A481" s="303" t="s">
        <v>831</v>
      </c>
      <c r="B481" s="303">
        <f>'PCO Log'!RP7</f>
        <v>0</v>
      </c>
      <c r="C481" s="303">
        <f>'PCO Log'!RP4</f>
        <v>0</v>
      </c>
      <c r="D481" s="303" cm="1">
        <f t="array" ref="D481">INDEX('PCO Log'!$E$5:$SJ$5, 1, ROWS('Graph Data'!$D$2:D481))</f>
        <v>0</v>
      </c>
      <c r="E481" s="303">
        <f>'PCO Log'!RP8</f>
        <v>0</v>
      </c>
      <c r="F481" s="303">
        <f>'PCO Log'!RP3</f>
        <v>0</v>
      </c>
      <c r="G481" s="304">
        <f>'PCO Log'!RP10</f>
        <v>0</v>
      </c>
      <c r="H481" s="305">
        <f>'PCO Log'!RP6</f>
        <v>0</v>
      </c>
    </row>
    <row r="482" spans="1:8" x14ac:dyDescent="0.25">
      <c r="A482" s="303" t="s">
        <v>832</v>
      </c>
      <c r="B482" s="303">
        <f>'PCO Log'!RQ7</f>
        <v>0</v>
      </c>
      <c r="C482" s="303">
        <f>'PCO Log'!RQ4</f>
        <v>0</v>
      </c>
      <c r="D482" s="303" cm="1">
        <f t="array" ref="D482">INDEX('PCO Log'!$E$5:$SJ$5, 1, ROWS('Graph Data'!$D$2:D482))</f>
        <v>0</v>
      </c>
      <c r="E482" s="303">
        <f>'PCO Log'!RQ8</f>
        <v>0</v>
      </c>
      <c r="F482" s="303">
        <f>'PCO Log'!RQ3</f>
        <v>0</v>
      </c>
      <c r="G482" s="304">
        <f>'PCO Log'!RQ10</f>
        <v>0</v>
      </c>
      <c r="H482" s="305">
        <f>'PCO Log'!RQ6</f>
        <v>0</v>
      </c>
    </row>
    <row r="483" spans="1:8" x14ac:dyDescent="0.25">
      <c r="A483" s="303" t="s">
        <v>833</v>
      </c>
      <c r="B483" s="303">
        <f>'PCO Log'!RR7</f>
        <v>0</v>
      </c>
      <c r="C483" s="303">
        <f>'PCO Log'!RR4</f>
        <v>0</v>
      </c>
      <c r="D483" s="303" cm="1">
        <f t="array" ref="D483">INDEX('PCO Log'!$E$5:$SJ$5, 1, ROWS('Graph Data'!$D$2:D483))</f>
        <v>0</v>
      </c>
      <c r="E483" s="303">
        <f>'PCO Log'!RR8</f>
        <v>0</v>
      </c>
      <c r="F483" s="303">
        <f>'PCO Log'!RR3</f>
        <v>0</v>
      </c>
      <c r="G483" s="304">
        <f>'PCO Log'!RR10</f>
        <v>0</v>
      </c>
      <c r="H483" s="305">
        <f>'PCO Log'!RR6</f>
        <v>0</v>
      </c>
    </row>
    <row r="484" spans="1:8" x14ac:dyDescent="0.25">
      <c r="A484" s="303" t="s">
        <v>834</v>
      </c>
      <c r="B484" s="303">
        <f>'PCO Log'!RS7</f>
        <v>0</v>
      </c>
      <c r="C484" s="303">
        <f>'PCO Log'!RS4</f>
        <v>0</v>
      </c>
      <c r="D484" s="303" cm="1">
        <f t="array" ref="D484">INDEX('PCO Log'!$E$5:$SJ$5, 1, ROWS('Graph Data'!$D$2:D484))</f>
        <v>0</v>
      </c>
      <c r="E484" s="303">
        <f>'PCO Log'!RS8</f>
        <v>0</v>
      </c>
      <c r="F484" s="303">
        <f>'PCO Log'!RS3</f>
        <v>0</v>
      </c>
      <c r="G484" s="304">
        <f>'PCO Log'!RS10</f>
        <v>0</v>
      </c>
      <c r="H484" s="305">
        <f>'PCO Log'!RS6</f>
        <v>0</v>
      </c>
    </row>
    <row r="485" spans="1:8" x14ac:dyDescent="0.25">
      <c r="A485" s="303" t="s">
        <v>835</v>
      </c>
      <c r="B485" s="303">
        <f>'PCO Log'!RT7</f>
        <v>0</v>
      </c>
      <c r="C485" s="303">
        <f>'PCO Log'!RT4</f>
        <v>0</v>
      </c>
      <c r="D485" s="303" cm="1">
        <f t="array" ref="D485">INDEX('PCO Log'!$E$5:$SJ$5, 1, ROWS('Graph Data'!$D$2:D485))</f>
        <v>0</v>
      </c>
      <c r="E485" s="303">
        <f>'PCO Log'!RT8</f>
        <v>0</v>
      </c>
      <c r="F485" s="303">
        <f>'PCO Log'!RT3</f>
        <v>0</v>
      </c>
      <c r="G485" s="304">
        <f>'PCO Log'!RT10</f>
        <v>0</v>
      </c>
      <c r="H485" s="305">
        <f>'PCO Log'!RT6</f>
        <v>0</v>
      </c>
    </row>
    <row r="486" spans="1:8" x14ac:dyDescent="0.25">
      <c r="A486" s="303" t="s">
        <v>836</v>
      </c>
      <c r="B486" s="303">
        <f>'PCO Log'!RU7</f>
        <v>0</v>
      </c>
      <c r="C486" s="303">
        <f>'PCO Log'!RU4</f>
        <v>0</v>
      </c>
      <c r="D486" s="303" cm="1">
        <f t="array" ref="D486">INDEX('PCO Log'!$E$5:$SJ$5, 1, ROWS('Graph Data'!$D$2:D486))</f>
        <v>0</v>
      </c>
      <c r="E486" s="303">
        <f>'PCO Log'!RU8</f>
        <v>0</v>
      </c>
      <c r="F486" s="303">
        <f>'PCO Log'!RU3</f>
        <v>0</v>
      </c>
      <c r="G486" s="304">
        <f>'PCO Log'!RU10</f>
        <v>0</v>
      </c>
      <c r="H486" s="305">
        <f>'PCO Log'!RU6</f>
        <v>0</v>
      </c>
    </row>
    <row r="487" spans="1:8" x14ac:dyDescent="0.25">
      <c r="A487" s="303" t="s">
        <v>837</v>
      </c>
      <c r="B487" s="303">
        <f>'PCO Log'!RV7</f>
        <v>0</v>
      </c>
      <c r="C487" s="303">
        <f>'PCO Log'!RV4</f>
        <v>0</v>
      </c>
      <c r="D487" s="303" cm="1">
        <f t="array" ref="D487">INDEX('PCO Log'!$E$5:$SJ$5, 1, ROWS('Graph Data'!$D$2:D487))</f>
        <v>0</v>
      </c>
      <c r="E487" s="303">
        <f>'PCO Log'!RV8</f>
        <v>0</v>
      </c>
      <c r="F487" s="303">
        <f>'PCO Log'!RV3</f>
        <v>0</v>
      </c>
      <c r="G487" s="304">
        <f>'PCO Log'!RV10</f>
        <v>0</v>
      </c>
      <c r="H487" s="305">
        <f>'PCO Log'!RV6</f>
        <v>0</v>
      </c>
    </row>
    <row r="488" spans="1:8" x14ac:dyDescent="0.25">
      <c r="A488" s="303" t="s">
        <v>838</v>
      </c>
      <c r="B488" s="303">
        <f>'PCO Log'!RW7</f>
        <v>0</v>
      </c>
      <c r="C488" s="303">
        <f>'PCO Log'!RW4</f>
        <v>0</v>
      </c>
      <c r="D488" s="303" cm="1">
        <f t="array" ref="D488">INDEX('PCO Log'!$E$5:$SJ$5, 1, ROWS('Graph Data'!$D$2:D488))</f>
        <v>0</v>
      </c>
      <c r="E488" s="303">
        <f>'PCO Log'!RW8</f>
        <v>0</v>
      </c>
      <c r="F488" s="303">
        <f>'PCO Log'!RW3</f>
        <v>0</v>
      </c>
      <c r="G488" s="304">
        <f>'PCO Log'!RW10</f>
        <v>0</v>
      </c>
      <c r="H488" s="305">
        <f>'PCO Log'!RW6</f>
        <v>0</v>
      </c>
    </row>
    <row r="489" spans="1:8" x14ac:dyDescent="0.25">
      <c r="A489" s="303" t="s">
        <v>839</v>
      </c>
      <c r="B489" s="303">
        <f>'PCO Log'!RX7</f>
        <v>0</v>
      </c>
      <c r="C489" s="303">
        <f>'PCO Log'!RX4</f>
        <v>0</v>
      </c>
      <c r="D489" s="303" cm="1">
        <f t="array" ref="D489">INDEX('PCO Log'!$E$5:$SJ$5, 1, ROWS('Graph Data'!$D$2:D489))</f>
        <v>0</v>
      </c>
      <c r="E489" s="303">
        <f>'PCO Log'!RX8</f>
        <v>0</v>
      </c>
      <c r="F489" s="303">
        <f>'PCO Log'!RX3</f>
        <v>0</v>
      </c>
      <c r="G489" s="304">
        <f>'PCO Log'!RX10</f>
        <v>0</v>
      </c>
      <c r="H489" s="305">
        <f>'PCO Log'!RX6</f>
        <v>0</v>
      </c>
    </row>
    <row r="490" spans="1:8" x14ac:dyDescent="0.25">
      <c r="A490" s="303" t="s">
        <v>840</v>
      </c>
      <c r="B490" s="303">
        <f>'PCO Log'!RY7</f>
        <v>0</v>
      </c>
      <c r="C490" s="303">
        <f>'PCO Log'!RY4</f>
        <v>0</v>
      </c>
      <c r="D490" s="303" cm="1">
        <f t="array" ref="D490">INDEX('PCO Log'!$E$5:$SJ$5, 1, ROWS('Graph Data'!$D$2:D490))</f>
        <v>0</v>
      </c>
      <c r="E490" s="303">
        <f>'PCO Log'!RY8</f>
        <v>0</v>
      </c>
      <c r="F490" s="303">
        <f>'PCO Log'!RY3</f>
        <v>0</v>
      </c>
      <c r="G490" s="304">
        <f>'PCO Log'!RY10</f>
        <v>0</v>
      </c>
      <c r="H490" s="305">
        <f>'PCO Log'!RY6</f>
        <v>0</v>
      </c>
    </row>
    <row r="491" spans="1:8" x14ac:dyDescent="0.25">
      <c r="A491" s="303" t="s">
        <v>841</v>
      </c>
      <c r="B491" s="303">
        <f>'PCO Log'!RZ7</f>
        <v>0</v>
      </c>
      <c r="C491" s="303">
        <f>'PCO Log'!RZ4</f>
        <v>0</v>
      </c>
      <c r="D491" s="303" cm="1">
        <f t="array" ref="D491">INDEX('PCO Log'!$E$5:$SJ$5, 1, ROWS('Graph Data'!$D$2:D491))</f>
        <v>0</v>
      </c>
      <c r="E491" s="303">
        <f>'PCO Log'!RZ8</f>
        <v>0</v>
      </c>
      <c r="F491" s="303">
        <f>'PCO Log'!RZ3</f>
        <v>0</v>
      </c>
      <c r="G491" s="304">
        <f>'PCO Log'!RZ10</f>
        <v>0</v>
      </c>
      <c r="H491" s="305">
        <f>'PCO Log'!RZ6</f>
        <v>0</v>
      </c>
    </row>
    <row r="492" spans="1:8" x14ac:dyDescent="0.25">
      <c r="A492" s="303" t="s">
        <v>842</v>
      </c>
      <c r="B492" s="303">
        <f>'PCO Log'!SA7</f>
        <v>0</v>
      </c>
      <c r="C492" s="303">
        <f>'PCO Log'!SA4</f>
        <v>0</v>
      </c>
      <c r="D492" s="303" cm="1">
        <f t="array" ref="D492">INDEX('PCO Log'!$E$5:$SJ$5, 1, ROWS('Graph Data'!$D$2:D492))</f>
        <v>0</v>
      </c>
      <c r="E492" s="303">
        <f>'PCO Log'!SA8</f>
        <v>0</v>
      </c>
      <c r="F492" s="303">
        <f>'PCO Log'!SA3</f>
        <v>0</v>
      </c>
      <c r="G492" s="304">
        <f>'PCO Log'!SA10</f>
        <v>0</v>
      </c>
      <c r="H492" s="305">
        <f>'PCO Log'!SA6</f>
        <v>0</v>
      </c>
    </row>
    <row r="493" spans="1:8" x14ac:dyDescent="0.25">
      <c r="A493" s="303" t="s">
        <v>843</v>
      </c>
      <c r="B493" s="303">
        <f>'PCO Log'!SB7</f>
        <v>0</v>
      </c>
      <c r="C493" s="303">
        <f>'PCO Log'!SB4</f>
        <v>0</v>
      </c>
      <c r="D493" s="303" cm="1">
        <f t="array" ref="D493">INDEX('PCO Log'!$E$5:$SJ$5, 1, ROWS('Graph Data'!$D$2:D493))</f>
        <v>0</v>
      </c>
      <c r="E493" s="303">
        <f>'PCO Log'!SB8</f>
        <v>0</v>
      </c>
      <c r="F493" s="303">
        <f>'PCO Log'!SB3</f>
        <v>0</v>
      </c>
      <c r="G493" s="304">
        <f>'PCO Log'!SB10</f>
        <v>0</v>
      </c>
      <c r="H493" s="305">
        <f>'PCO Log'!SB6</f>
        <v>0</v>
      </c>
    </row>
    <row r="494" spans="1:8" x14ac:dyDescent="0.25">
      <c r="A494" s="303" t="s">
        <v>844</v>
      </c>
      <c r="B494" s="303">
        <f>'PCO Log'!SC7</f>
        <v>0</v>
      </c>
      <c r="C494" s="303">
        <f>'PCO Log'!SC4</f>
        <v>0</v>
      </c>
      <c r="D494" s="303" cm="1">
        <f t="array" ref="D494">INDEX('PCO Log'!$E$5:$SJ$5, 1, ROWS('Graph Data'!$D$2:D494))</f>
        <v>0</v>
      </c>
      <c r="E494" s="303">
        <f>'PCO Log'!SC8</f>
        <v>0</v>
      </c>
      <c r="F494" s="303">
        <f>'PCO Log'!SC3</f>
        <v>0</v>
      </c>
      <c r="G494" s="304">
        <f>'PCO Log'!SC10</f>
        <v>0</v>
      </c>
      <c r="H494" s="305">
        <f>'PCO Log'!SC6</f>
        <v>0</v>
      </c>
    </row>
    <row r="495" spans="1:8" x14ac:dyDescent="0.25">
      <c r="A495" s="303" t="s">
        <v>845</v>
      </c>
      <c r="B495" s="303">
        <f>'PCO Log'!SD7</f>
        <v>0</v>
      </c>
      <c r="C495" s="303">
        <f>'PCO Log'!SD4</f>
        <v>0</v>
      </c>
      <c r="D495" s="303" cm="1">
        <f t="array" ref="D495">INDEX('PCO Log'!$E$5:$SJ$5, 1, ROWS('Graph Data'!$D$2:D495))</f>
        <v>0</v>
      </c>
      <c r="E495" s="303">
        <f>'PCO Log'!SD8</f>
        <v>0</v>
      </c>
      <c r="F495" s="303">
        <f>'PCO Log'!SD3</f>
        <v>0</v>
      </c>
      <c r="G495" s="304">
        <f>'PCO Log'!SD10</f>
        <v>0</v>
      </c>
      <c r="H495" s="305">
        <f>'PCO Log'!SD6</f>
        <v>0</v>
      </c>
    </row>
    <row r="496" spans="1:8" x14ac:dyDescent="0.25">
      <c r="A496" s="303" t="s">
        <v>846</v>
      </c>
      <c r="B496" s="303">
        <f>'PCO Log'!SE7</f>
        <v>0</v>
      </c>
      <c r="C496" s="303">
        <f>'PCO Log'!SE4</f>
        <v>0</v>
      </c>
      <c r="D496" s="303" cm="1">
        <f t="array" ref="D496">INDEX('PCO Log'!$E$5:$SJ$5, 1, ROWS('Graph Data'!$D$2:D496))</f>
        <v>0</v>
      </c>
      <c r="E496" s="303">
        <f>'PCO Log'!SE8</f>
        <v>0</v>
      </c>
      <c r="F496" s="303">
        <f>'PCO Log'!SE3</f>
        <v>0</v>
      </c>
      <c r="G496" s="304">
        <f>'PCO Log'!SE10</f>
        <v>0</v>
      </c>
      <c r="H496" s="305">
        <f>'PCO Log'!SE6</f>
        <v>0</v>
      </c>
    </row>
    <row r="497" spans="1:8" x14ac:dyDescent="0.25">
      <c r="A497" s="303" t="s">
        <v>847</v>
      </c>
      <c r="B497" s="303">
        <f>'PCO Log'!SF7</f>
        <v>0</v>
      </c>
      <c r="C497" s="303">
        <f>'PCO Log'!SF4</f>
        <v>0</v>
      </c>
      <c r="D497" s="303" cm="1">
        <f t="array" ref="D497">INDEX('PCO Log'!$E$5:$SJ$5, 1, ROWS('Graph Data'!$D$2:D497))</f>
        <v>0</v>
      </c>
      <c r="E497" s="303">
        <f>'PCO Log'!SF8</f>
        <v>0</v>
      </c>
      <c r="F497" s="303">
        <f>'PCO Log'!SF3</f>
        <v>0</v>
      </c>
      <c r="G497" s="304">
        <f>'PCO Log'!SF10</f>
        <v>0</v>
      </c>
      <c r="H497" s="305">
        <f>'PCO Log'!SF6</f>
        <v>0</v>
      </c>
    </row>
    <row r="498" spans="1:8" x14ac:dyDescent="0.25">
      <c r="A498" s="303" t="s">
        <v>848</v>
      </c>
      <c r="B498" s="303">
        <f>'PCO Log'!SG7</f>
        <v>0</v>
      </c>
      <c r="C498" s="303">
        <f>'PCO Log'!SG4</f>
        <v>0</v>
      </c>
      <c r="D498" s="303" cm="1">
        <f t="array" ref="D498">INDEX('PCO Log'!$E$5:$SJ$5, 1, ROWS('Graph Data'!$D$2:D498))</f>
        <v>0</v>
      </c>
      <c r="E498" s="303">
        <f>'PCO Log'!SG8</f>
        <v>0</v>
      </c>
      <c r="F498" s="303">
        <f>'PCO Log'!SG3</f>
        <v>0</v>
      </c>
      <c r="G498" s="304">
        <f>'PCO Log'!SG10</f>
        <v>0</v>
      </c>
      <c r="H498" s="305">
        <f>'PCO Log'!SG6</f>
        <v>0</v>
      </c>
    </row>
    <row r="499" spans="1:8" x14ac:dyDescent="0.25">
      <c r="A499" s="303" t="s">
        <v>849</v>
      </c>
      <c r="B499" s="303">
        <f>'PCO Log'!SH7</f>
        <v>0</v>
      </c>
      <c r="C499" s="303">
        <f>'PCO Log'!SH4</f>
        <v>0</v>
      </c>
      <c r="D499" s="303" cm="1">
        <f t="array" ref="D499">INDEX('PCO Log'!$E$5:$SJ$5, 1, ROWS('Graph Data'!$D$2:D499))</f>
        <v>0</v>
      </c>
      <c r="E499" s="303">
        <f>'PCO Log'!SH8</f>
        <v>0</v>
      </c>
      <c r="F499" s="303">
        <f>'PCO Log'!SH3</f>
        <v>0</v>
      </c>
      <c r="G499" s="304">
        <f>'PCO Log'!SH10</f>
        <v>0</v>
      </c>
      <c r="H499" s="305">
        <f>'PCO Log'!SH6</f>
        <v>0</v>
      </c>
    </row>
    <row r="500" spans="1:8" x14ac:dyDescent="0.25">
      <c r="A500" s="303" t="s">
        <v>850</v>
      </c>
      <c r="B500" s="303">
        <f>'PCO Log'!SI7</f>
        <v>0</v>
      </c>
      <c r="C500" s="303">
        <f>'PCO Log'!SI4</f>
        <v>0</v>
      </c>
      <c r="D500" s="303" cm="1">
        <f t="array" ref="D500">INDEX('PCO Log'!$E$5:$SJ$5, 1, ROWS('Graph Data'!$D$2:D500))</f>
        <v>0</v>
      </c>
      <c r="E500" s="303">
        <f>'PCO Log'!SI8</f>
        <v>0</v>
      </c>
      <c r="F500" s="303">
        <f>'PCO Log'!SI3</f>
        <v>0</v>
      </c>
      <c r="G500" s="304">
        <f>'PCO Log'!SI10</f>
        <v>0</v>
      </c>
      <c r="H500" s="305">
        <f>'PCO Log'!SI6</f>
        <v>0</v>
      </c>
    </row>
    <row r="501" spans="1:8" x14ac:dyDescent="0.25">
      <c r="A501" s="303" t="s">
        <v>851</v>
      </c>
      <c r="B501" s="303">
        <f>'PCO Log'!SJ7</f>
        <v>0</v>
      </c>
      <c r="C501" s="303">
        <f>'PCO Log'!SJ4</f>
        <v>0</v>
      </c>
      <c r="D501" s="303" cm="1">
        <f t="array" ref="D501">INDEX('PCO Log'!$E$5:$SJ$5, 1, ROWS('Graph Data'!$D$2:D501))</f>
        <v>0</v>
      </c>
      <c r="E501" s="303">
        <f>'PCO Log'!SJ8</f>
        <v>0</v>
      </c>
      <c r="F501" s="303">
        <f>'PCO Log'!SJ3</f>
        <v>0</v>
      </c>
      <c r="G501" s="304">
        <f>'PCO Log'!SJ10</f>
        <v>0</v>
      </c>
      <c r="H501" s="305">
        <f>'PCO Log'!SJ6</f>
        <v>0</v>
      </c>
    </row>
  </sheetData>
  <sheetProtection algorithmName="SHA-512" hashValue="MRedkae7IUTyyPRL9p/WnlE2AZ8eZa/utZ012V+y/TDoTN+8lSmOWl/2rh4CiIUPq/tte470VIj78B4DKqBWBQ==" saltValue="4/4VCU6DCwIJ4jnv/XwWdw==" spinCount="100000" sheet="1" objects="1" selectLockedCells="1"/>
  <phoneticPr fontId="1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26E0B-9C91-4E50-84AB-BF77DB0A255B}">
  <sheetPr>
    <tabColor rgb="FF00B0F0"/>
    <pageSetUpPr autoPageBreaks="0"/>
  </sheetPr>
  <dimension ref="B1:DU92"/>
  <sheetViews>
    <sheetView showGridLines="0" zoomScaleNormal="100" workbookViewId="0">
      <pane xSplit="5" ySplit="3" topLeftCell="F4" activePane="bottomRight" state="frozen"/>
      <selection pane="topRight" activeCell="G1" sqref="G1"/>
      <selection pane="bottomLeft" activeCell="A4" sqref="A4"/>
      <selection pane="bottomRight" activeCell="B91" sqref="B91"/>
    </sheetView>
  </sheetViews>
  <sheetFormatPr defaultColWidth="9.140625" defaultRowHeight="15" x14ac:dyDescent="0.25"/>
  <cols>
    <col min="1" max="1" width="1.28515625" style="83" customWidth="1"/>
    <col min="2" max="2" width="6.5703125" customWidth="1"/>
    <col min="3" max="3" width="21.5703125" customWidth="1"/>
    <col min="4" max="4" width="7.85546875" style="283" customWidth="1"/>
    <col min="5" max="5" width="8.28515625" style="81" customWidth="1"/>
    <col min="6" max="6" width="11" style="82" customWidth="1"/>
    <col min="7" max="7" width="8.85546875" style="82" hidden="1" customWidth="1"/>
    <col min="8" max="8" width="11" style="81" customWidth="1"/>
    <col min="9" max="9" width="8.85546875" style="81" hidden="1" customWidth="1"/>
    <col min="10" max="10" width="11" style="81" customWidth="1"/>
    <col min="11" max="11" width="8.85546875" style="81" hidden="1" customWidth="1"/>
    <col min="12" max="12" width="11" style="81" customWidth="1"/>
    <col min="13" max="13" width="11.5703125" style="81" hidden="1" customWidth="1"/>
    <col min="14" max="14" width="11" style="81" customWidth="1"/>
    <col min="15" max="15" width="11.5703125" style="81" hidden="1" customWidth="1"/>
    <col min="16" max="16" width="11" style="81" customWidth="1"/>
    <col min="17" max="17" width="11.5703125" style="81" hidden="1" customWidth="1"/>
    <col min="18" max="18" width="11" style="81" customWidth="1"/>
    <col min="19" max="19" width="11.5703125" style="81" hidden="1" customWidth="1"/>
    <col min="20" max="20" width="11" style="81" customWidth="1"/>
    <col min="21" max="21" width="11.5703125" style="81" hidden="1" customWidth="1"/>
    <col min="22" max="22" width="11" style="81" customWidth="1"/>
    <col min="23" max="23" width="11.5703125" style="81" hidden="1" customWidth="1"/>
    <col min="24" max="24" width="11" style="81" customWidth="1"/>
    <col min="25" max="25" width="11.5703125" style="81" hidden="1" customWidth="1"/>
    <col min="26" max="26" width="11" style="81" customWidth="1"/>
    <col min="27" max="27" width="11.5703125" style="81" hidden="1" customWidth="1"/>
    <col min="28" max="28" width="11" style="81" customWidth="1"/>
    <col min="29" max="29" width="11.5703125" style="81" hidden="1" customWidth="1"/>
    <col min="30" max="30" width="11" style="81" customWidth="1"/>
    <col min="31" max="31" width="11.5703125" style="81" hidden="1" customWidth="1"/>
    <col min="32" max="32" width="11" style="81" customWidth="1"/>
    <col min="33" max="33" width="11.5703125" style="81" hidden="1" customWidth="1"/>
    <col min="34" max="34" width="11" style="81" customWidth="1"/>
    <col min="35" max="35" width="11.5703125" style="81" hidden="1" customWidth="1"/>
    <col min="36" max="36" width="11.5703125" style="81" customWidth="1"/>
    <col min="37" max="37" width="11.5703125" style="81" hidden="1" customWidth="1"/>
    <col min="38" max="38" width="11.5703125" style="81" customWidth="1"/>
    <col min="39" max="39" width="11.5703125" style="81" hidden="1" customWidth="1"/>
    <col min="40" max="40" width="11.5703125" style="81" customWidth="1"/>
    <col min="41" max="41" width="11.5703125" style="81" hidden="1" customWidth="1"/>
    <col min="42" max="42" width="11.5703125" style="81" customWidth="1"/>
    <col min="43" max="43" width="11.5703125" style="81" hidden="1" customWidth="1"/>
    <col min="44" max="44" width="11" style="81" customWidth="1"/>
    <col min="45" max="45" width="11" style="81" hidden="1" customWidth="1"/>
    <col min="46" max="46" width="11.5703125" style="81" customWidth="1"/>
    <col min="47" max="47" width="11.5703125" style="81" hidden="1" customWidth="1"/>
    <col min="48" max="48" width="11.5703125" style="81" customWidth="1"/>
    <col min="49" max="49" width="11.5703125" style="81" hidden="1" customWidth="1"/>
    <col min="50" max="50" width="11.5703125" style="81" customWidth="1"/>
    <col min="51" max="51" width="11.5703125" style="81" hidden="1" customWidth="1"/>
    <col min="52" max="52" width="11.5703125" style="81" customWidth="1"/>
    <col min="53" max="53" width="11.5703125" style="81" hidden="1" customWidth="1"/>
    <col min="54" max="54" width="11.5703125" style="81" customWidth="1"/>
    <col min="55" max="55" width="11.5703125" style="81" hidden="1" customWidth="1"/>
    <col min="56" max="56" width="11.5703125" style="81" customWidth="1"/>
    <col min="57" max="57" width="11.5703125" style="81" hidden="1" customWidth="1"/>
    <col min="58" max="58" width="11.5703125" style="81" customWidth="1"/>
    <col min="59" max="59" width="11.5703125" style="81" hidden="1" customWidth="1"/>
    <col min="60" max="60" width="11.5703125" style="81" customWidth="1"/>
    <col min="61" max="61" width="11.5703125" style="81" hidden="1" customWidth="1"/>
    <col min="62" max="62" width="11.5703125" style="81" customWidth="1"/>
    <col min="63" max="63" width="11.5703125" style="81" hidden="1" customWidth="1"/>
    <col min="64" max="64" width="11.5703125" style="81" customWidth="1"/>
    <col min="65" max="65" width="11.5703125" style="81" hidden="1" customWidth="1"/>
    <col min="66" max="66" width="11.5703125" style="81" customWidth="1"/>
    <col min="67" max="67" width="11.5703125" style="81" hidden="1" customWidth="1"/>
    <col min="68" max="68" width="11.5703125" style="81" customWidth="1"/>
    <col min="69" max="69" width="11.5703125" style="81" hidden="1" customWidth="1"/>
    <col min="70" max="70" width="11.5703125" style="81" customWidth="1"/>
    <col min="71" max="71" width="11.5703125" style="81" hidden="1" customWidth="1"/>
    <col min="72" max="72" width="11.5703125" style="81" customWidth="1"/>
    <col min="73" max="73" width="11.5703125" style="81" hidden="1" customWidth="1"/>
    <col min="74" max="74" width="11.5703125" style="81" customWidth="1"/>
    <col min="75" max="75" width="11.5703125" style="81" hidden="1" customWidth="1"/>
    <col min="76" max="76" width="11.5703125" style="81" customWidth="1"/>
    <col min="77" max="77" width="11.5703125" style="81" hidden="1" customWidth="1"/>
    <col min="78" max="78" width="11.5703125" style="81" customWidth="1"/>
    <col min="79" max="79" width="11.5703125" style="81" hidden="1" customWidth="1"/>
    <col min="80" max="80" width="11.5703125" style="81" customWidth="1"/>
    <col min="81" max="81" width="11.5703125" style="81" hidden="1" customWidth="1"/>
    <col min="82" max="82" width="11.5703125" style="81" customWidth="1"/>
    <col min="83" max="83" width="11.5703125" style="81" hidden="1" customWidth="1"/>
    <col min="84" max="84" width="11.5703125" style="81" customWidth="1"/>
    <col min="85" max="85" width="11.5703125" style="81" hidden="1" customWidth="1"/>
    <col min="86" max="86" width="11.5703125" style="81" customWidth="1"/>
    <col min="87" max="87" width="11.5703125" style="81" hidden="1" customWidth="1"/>
    <col min="88" max="88" width="11.5703125" style="81" customWidth="1"/>
    <col min="89" max="89" width="11.5703125" style="81" hidden="1" customWidth="1"/>
    <col min="90" max="90" width="11.5703125" style="81" customWidth="1"/>
    <col min="91" max="91" width="11.5703125" style="81" hidden="1" customWidth="1"/>
    <col min="92" max="92" width="11.5703125" style="81" customWidth="1"/>
    <col min="93" max="93" width="11.5703125" style="81" hidden="1" customWidth="1"/>
    <col min="94" max="94" width="11.5703125" style="81" customWidth="1"/>
    <col min="95" max="95" width="11.5703125" style="81" hidden="1" customWidth="1"/>
    <col min="96" max="96" width="11.5703125" style="81" customWidth="1"/>
    <col min="97" max="97" width="11.5703125" style="81" hidden="1" customWidth="1"/>
    <col min="98" max="98" width="11.5703125" style="81" customWidth="1"/>
    <col min="99" max="99" width="11.5703125" style="81" hidden="1" customWidth="1"/>
    <col min="100" max="100" width="11.5703125" style="81" customWidth="1"/>
    <col min="101" max="101" width="11.5703125" style="81" hidden="1" customWidth="1"/>
    <col min="102" max="102" width="11.5703125" style="81" customWidth="1"/>
    <col min="103" max="103" width="11.5703125" style="81" hidden="1" customWidth="1"/>
    <col min="104" max="104" width="11.5703125" style="81" customWidth="1"/>
    <col min="105" max="105" width="11.5703125" style="81" hidden="1" customWidth="1"/>
    <col min="106" max="106" width="11.5703125" style="81" customWidth="1"/>
    <col min="107" max="107" width="11.5703125" style="81" hidden="1" customWidth="1"/>
    <col min="108" max="108" width="11.5703125" style="81" customWidth="1"/>
    <col min="109" max="109" width="11.5703125" style="81" hidden="1" customWidth="1"/>
    <col min="110" max="110" width="11.5703125" style="81" customWidth="1"/>
    <col min="111" max="111" width="11.5703125" style="81" hidden="1" customWidth="1"/>
    <col min="112" max="112" width="11.5703125" style="81" customWidth="1"/>
    <col min="113" max="113" width="11.5703125" style="81" hidden="1" customWidth="1"/>
    <col min="114" max="114" width="11.5703125" style="81" customWidth="1"/>
    <col min="115" max="115" width="11.5703125" style="81" hidden="1" customWidth="1"/>
    <col min="116" max="116" width="11.5703125" style="81" customWidth="1"/>
    <col min="117" max="117" width="11.5703125" style="81" hidden="1" customWidth="1"/>
    <col min="118" max="118" width="11.5703125" style="81" customWidth="1"/>
    <col min="119" max="119" width="11.5703125" style="81" hidden="1" customWidth="1"/>
    <col min="120" max="120" width="11.5703125" style="81" customWidth="1"/>
    <col min="121" max="121" width="11.5703125" style="81" hidden="1" customWidth="1"/>
    <col min="122" max="122" width="11.5703125" style="81" customWidth="1"/>
    <col min="123" max="123" width="11.5703125" style="81" hidden="1" customWidth="1"/>
    <col min="124" max="124" width="11.5703125" style="81" customWidth="1"/>
    <col min="125" max="125" width="11.5703125" style="81" hidden="1" customWidth="1"/>
    <col min="126" max="16384" width="9.140625" style="83"/>
  </cols>
  <sheetData>
    <row r="1" spans="2:125" ht="38.25" customHeight="1" x14ac:dyDescent="0.25">
      <c r="D1" s="367" t="s">
        <v>913</v>
      </c>
      <c r="E1" s="367"/>
      <c r="F1" s="284" t="s">
        <v>914</v>
      </c>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65"/>
      <c r="AL1" s="265"/>
      <c r="AM1" s="265"/>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c r="DQ1" s="101"/>
      <c r="DR1" s="101"/>
      <c r="DS1" s="101"/>
      <c r="DT1" s="101"/>
      <c r="DU1" s="101"/>
    </row>
    <row r="2" spans="2:125" s="274" customFormat="1" ht="15" customHeight="1" x14ac:dyDescent="0.25">
      <c r="B2" s="368" t="s">
        <v>273</v>
      </c>
      <c r="C2" s="370" t="s">
        <v>188</v>
      </c>
      <c r="D2" s="372" t="s">
        <v>912</v>
      </c>
      <c r="E2" s="374" t="s">
        <v>924</v>
      </c>
      <c r="F2" s="272" t="s">
        <v>266</v>
      </c>
      <c r="G2" s="270"/>
      <c r="H2" s="272" t="s">
        <v>267</v>
      </c>
      <c r="I2" s="269"/>
      <c r="J2" s="272" t="s">
        <v>268</v>
      </c>
      <c r="K2" s="278"/>
      <c r="L2" s="272" t="s">
        <v>269</v>
      </c>
      <c r="M2" s="109"/>
      <c r="N2" s="272" t="s">
        <v>270</v>
      </c>
      <c r="O2" s="87"/>
      <c r="P2" s="272" t="s">
        <v>274</v>
      </c>
      <c r="Q2" s="86"/>
      <c r="R2" s="272" t="s">
        <v>275</v>
      </c>
      <c r="S2" s="87"/>
      <c r="T2" s="272" t="s">
        <v>276</v>
      </c>
      <c r="U2" s="86"/>
      <c r="V2" s="272" t="s">
        <v>277</v>
      </c>
      <c r="W2" s="87"/>
      <c r="X2" s="272" t="s">
        <v>278</v>
      </c>
      <c r="Y2" s="273"/>
      <c r="Z2" s="272" t="s">
        <v>279</v>
      </c>
      <c r="AA2" s="267"/>
      <c r="AB2" s="272" t="s">
        <v>280</v>
      </c>
      <c r="AC2" s="273"/>
      <c r="AD2" s="272" t="s">
        <v>281</v>
      </c>
      <c r="AE2" s="267"/>
      <c r="AF2" s="272" t="s">
        <v>282</v>
      </c>
      <c r="AG2" s="273"/>
      <c r="AH2" s="272" t="s">
        <v>283</v>
      </c>
      <c r="AI2" s="267"/>
      <c r="AJ2" s="273" t="s">
        <v>284</v>
      </c>
      <c r="AK2" s="273"/>
      <c r="AL2" s="267" t="s">
        <v>285</v>
      </c>
      <c r="AM2" s="267"/>
      <c r="AN2" s="273" t="s">
        <v>286</v>
      </c>
      <c r="AO2" s="273"/>
      <c r="AP2" s="267" t="s">
        <v>287</v>
      </c>
      <c r="AQ2" s="267"/>
      <c r="AR2" s="273" t="s">
        <v>288</v>
      </c>
      <c r="AS2" s="273"/>
      <c r="AT2" s="267" t="s">
        <v>289</v>
      </c>
      <c r="AU2" s="267"/>
      <c r="AV2" s="273" t="s">
        <v>290</v>
      </c>
      <c r="AW2" s="273"/>
      <c r="AX2" s="267" t="s">
        <v>291</v>
      </c>
      <c r="AY2" s="267"/>
      <c r="AZ2" s="273" t="s">
        <v>292</v>
      </c>
      <c r="BA2" s="273"/>
      <c r="BB2" s="267" t="s">
        <v>293</v>
      </c>
      <c r="BC2" s="267"/>
      <c r="BD2" s="273" t="s">
        <v>294</v>
      </c>
      <c r="BE2" s="273"/>
      <c r="BF2" s="267" t="s">
        <v>295</v>
      </c>
      <c r="BG2" s="267"/>
      <c r="BH2" s="273" t="s">
        <v>296</v>
      </c>
      <c r="BI2" s="273"/>
      <c r="BJ2" s="267" t="s">
        <v>297</v>
      </c>
      <c r="BK2" s="267"/>
      <c r="BL2" s="273" t="s">
        <v>298</v>
      </c>
      <c r="BM2" s="273"/>
      <c r="BN2" s="267" t="s">
        <v>299</v>
      </c>
      <c r="BO2" s="267"/>
      <c r="BP2" s="273" t="s">
        <v>300</v>
      </c>
      <c r="BQ2" s="273"/>
      <c r="BR2" s="267" t="s">
        <v>301</v>
      </c>
      <c r="BS2" s="267"/>
      <c r="BT2" s="273" t="s">
        <v>302</v>
      </c>
      <c r="BU2" s="273"/>
      <c r="BV2" s="267" t="s">
        <v>303</v>
      </c>
      <c r="BW2" s="267"/>
      <c r="BX2" s="273" t="s">
        <v>304</v>
      </c>
      <c r="BY2" s="273"/>
      <c r="BZ2" s="267" t="s">
        <v>305</v>
      </c>
      <c r="CA2" s="267"/>
      <c r="CB2" s="273" t="s">
        <v>306</v>
      </c>
      <c r="CC2" s="273"/>
      <c r="CD2" s="267" t="s">
        <v>307</v>
      </c>
      <c r="CE2" s="267"/>
      <c r="CF2" s="273" t="s">
        <v>308</v>
      </c>
      <c r="CG2" s="273"/>
      <c r="CH2" s="267" t="s">
        <v>309</v>
      </c>
      <c r="CI2" s="267"/>
      <c r="CJ2" s="273" t="s">
        <v>310</v>
      </c>
      <c r="CK2" s="273"/>
      <c r="CL2" s="267" t="s">
        <v>311</v>
      </c>
      <c r="CM2" s="267"/>
      <c r="CN2" s="273" t="s">
        <v>312</v>
      </c>
      <c r="CO2" s="273"/>
      <c r="CP2" s="267" t="s">
        <v>313</v>
      </c>
      <c r="CQ2" s="267"/>
      <c r="CR2" s="273" t="s">
        <v>314</v>
      </c>
      <c r="CS2" s="273"/>
      <c r="CT2" s="267" t="s">
        <v>315</v>
      </c>
      <c r="CU2" s="267"/>
      <c r="CV2" s="273" t="s">
        <v>316</v>
      </c>
      <c r="CW2" s="273"/>
      <c r="CX2" s="267" t="s">
        <v>317</v>
      </c>
      <c r="CY2" s="267"/>
      <c r="CZ2" s="273" t="s">
        <v>318</v>
      </c>
      <c r="DA2" s="273"/>
      <c r="DB2" s="267" t="s">
        <v>319</v>
      </c>
      <c r="DC2" s="267"/>
      <c r="DD2" s="273" t="s">
        <v>320</v>
      </c>
      <c r="DE2" s="273"/>
      <c r="DF2" s="267" t="s">
        <v>321</v>
      </c>
      <c r="DG2" s="267"/>
      <c r="DH2" s="273" t="s">
        <v>322</v>
      </c>
      <c r="DI2" s="273"/>
      <c r="DJ2" s="267" t="s">
        <v>323</v>
      </c>
      <c r="DK2" s="267"/>
      <c r="DL2" s="273" t="s">
        <v>324</v>
      </c>
      <c r="DM2" s="273"/>
      <c r="DN2" s="267" t="s">
        <v>325</v>
      </c>
      <c r="DO2" s="267"/>
      <c r="DP2" s="273" t="s">
        <v>326</v>
      </c>
      <c r="DQ2" s="273"/>
      <c r="DR2" s="267" t="s">
        <v>327</v>
      </c>
      <c r="DS2" s="267"/>
      <c r="DT2" s="273" t="s">
        <v>328</v>
      </c>
      <c r="DU2" s="273"/>
    </row>
    <row r="3" spans="2:125" s="274" customFormat="1" ht="12.75" x14ac:dyDescent="0.2">
      <c r="B3" s="369"/>
      <c r="C3" s="371"/>
      <c r="D3" s="373"/>
      <c r="E3" s="375"/>
      <c r="F3" s="279" t="s">
        <v>911</v>
      </c>
      <c r="G3" s="279" t="s">
        <v>911</v>
      </c>
      <c r="H3" s="279" t="s">
        <v>911</v>
      </c>
      <c r="I3" s="279" t="s">
        <v>911</v>
      </c>
      <c r="J3" s="279" t="s">
        <v>911</v>
      </c>
      <c r="K3" s="279" t="s">
        <v>911</v>
      </c>
      <c r="L3" s="279" t="s">
        <v>911</v>
      </c>
      <c r="M3" s="279" t="s">
        <v>911</v>
      </c>
      <c r="N3" s="279" t="s">
        <v>911</v>
      </c>
      <c r="O3" s="279" t="s">
        <v>911</v>
      </c>
      <c r="P3" s="279" t="s">
        <v>911</v>
      </c>
      <c r="Q3" s="279" t="s">
        <v>911</v>
      </c>
      <c r="R3" s="279" t="s">
        <v>911</v>
      </c>
      <c r="S3" s="279" t="s">
        <v>911</v>
      </c>
      <c r="T3" s="279" t="s">
        <v>911</v>
      </c>
      <c r="U3" s="279" t="s">
        <v>911</v>
      </c>
      <c r="V3" s="279" t="s">
        <v>911</v>
      </c>
      <c r="W3" s="279" t="s">
        <v>911</v>
      </c>
      <c r="X3" s="279" t="s">
        <v>911</v>
      </c>
      <c r="Y3" s="279" t="s">
        <v>911</v>
      </c>
      <c r="Z3" s="279" t="s">
        <v>911</v>
      </c>
      <c r="AA3" s="279" t="s">
        <v>911</v>
      </c>
      <c r="AB3" s="279" t="s">
        <v>911</v>
      </c>
      <c r="AC3" s="279" t="s">
        <v>911</v>
      </c>
      <c r="AD3" s="280" t="s">
        <v>911</v>
      </c>
      <c r="AE3" s="279" t="s">
        <v>911</v>
      </c>
      <c r="AF3" s="279" t="s">
        <v>911</v>
      </c>
      <c r="AG3" s="279" t="s">
        <v>911</v>
      </c>
      <c r="AH3" s="279" t="s">
        <v>911</v>
      </c>
      <c r="AI3" s="267"/>
      <c r="AJ3" s="279" t="s">
        <v>911</v>
      </c>
      <c r="AK3" s="279" t="s">
        <v>911</v>
      </c>
      <c r="AL3" s="279" t="s">
        <v>911</v>
      </c>
      <c r="AM3" s="279" t="s">
        <v>911</v>
      </c>
      <c r="AN3" s="279" t="s">
        <v>911</v>
      </c>
      <c r="AO3" s="279" t="s">
        <v>911</v>
      </c>
      <c r="AP3" s="279" t="s">
        <v>911</v>
      </c>
      <c r="AQ3" s="279" t="s">
        <v>911</v>
      </c>
      <c r="AR3" s="279" t="s">
        <v>911</v>
      </c>
      <c r="AS3" s="281"/>
      <c r="AT3" s="279" t="s">
        <v>911</v>
      </c>
      <c r="AU3" s="267"/>
      <c r="AV3" s="279" t="s">
        <v>911</v>
      </c>
      <c r="AW3" s="273"/>
      <c r="AX3" s="279" t="s">
        <v>911</v>
      </c>
      <c r="AY3" s="267"/>
      <c r="AZ3" s="279" t="s">
        <v>911</v>
      </c>
      <c r="BA3" s="273"/>
      <c r="BB3" s="279" t="s">
        <v>911</v>
      </c>
      <c r="BC3" s="267"/>
      <c r="BD3" s="279" t="s">
        <v>911</v>
      </c>
      <c r="BE3" s="279" t="s">
        <v>911</v>
      </c>
      <c r="BF3" s="279" t="s">
        <v>911</v>
      </c>
      <c r="BG3" s="279" t="s">
        <v>911</v>
      </c>
      <c r="BH3" s="279" t="s">
        <v>911</v>
      </c>
      <c r="BI3" s="279" t="s">
        <v>911</v>
      </c>
      <c r="BJ3" s="279" t="s">
        <v>911</v>
      </c>
      <c r="BK3" s="279"/>
      <c r="BL3" s="279" t="s">
        <v>911</v>
      </c>
      <c r="BM3" s="279" t="s">
        <v>911</v>
      </c>
      <c r="BN3" s="279" t="s">
        <v>911</v>
      </c>
      <c r="BO3" s="279" t="s">
        <v>911</v>
      </c>
      <c r="BP3" s="279" t="s">
        <v>911</v>
      </c>
      <c r="BQ3" s="279" t="s">
        <v>911</v>
      </c>
      <c r="BR3" s="279" t="s">
        <v>911</v>
      </c>
      <c r="BS3" s="279" t="s">
        <v>911</v>
      </c>
      <c r="BT3" s="279" t="s">
        <v>911</v>
      </c>
      <c r="BU3" s="279" t="s">
        <v>911</v>
      </c>
      <c r="BV3" s="279" t="s">
        <v>911</v>
      </c>
      <c r="BW3" s="279" t="s">
        <v>911</v>
      </c>
      <c r="BX3" s="279" t="s">
        <v>911</v>
      </c>
      <c r="BY3" s="279" t="s">
        <v>911</v>
      </c>
      <c r="BZ3" s="279" t="s">
        <v>911</v>
      </c>
      <c r="CA3" s="279" t="s">
        <v>911</v>
      </c>
      <c r="CB3" s="279" t="s">
        <v>911</v>
      </c>
      <c r="CC3" s="279" t="s">
        <v>911</v>
      </c>
      <c r="CD3" s="279" t="s">
        <v>911</v>
      </c>
      <c r="CE3" s="279" t="s">
        <v>911</v>
      </c>
      <c r="CF3" s="279" t="s">
        <v>911</v>
      </c>
      <c r="CG3" s="279" t="s">
        <v>911</v>
      </c>
      <c r="CH3" s="279" t="s">
        <v>911</v>
      </c>
      <c r="CI3" s="279" t="s">
        <v>911</v>
      </c>
      <c r="CJ3" s="279" t="s">
        <v>911</v>
      </c>
      <c r="CK3" s="279" t="s">
        <v>911</v>
      </c>
      <c r="CL3" s="279" t="s">
        <v>911</v>
      </c>
      <c r="CM3" s="279" t="s">
        <v>911</v>
      </c>
      <c r="CN3" s="279" t="s">
        <v>911</v>
      </c>
      <c r="CO3" s="279" t="s">
        <v>911</v>
      </c>
      <c r="CP3" s="279" t="s">
        <v>911</v>
      </c>
      <c r="CQ3" s="279" t="s">
        <v>911</v>
      </c>
      <c r="CR3" s="279" t="s">
        <v>911</v>
      </c>
      <c r="CS3" s="279" t="s">
        <v>911</v>
      </c>
      <c r="CT3" s="279" t="s">
        <v>911</v>
      </c>
      <c r="CU3" s="279" t="s">
        <v>911</v>
      </c>
      <c r="CV3" s="279" t="s">
        <v>911</v>
      </c>
      <c r="CW3" s="279" t="s">
        <v>911</v>
      </c>
      <c r="CX3" s="279" t="s">
        <v>911</v>
      </c>
      <c r="CY3" s="279" t="s">
        <v>911</v>
      </c>
      <c r="CZ3" s="279" t="s">
        <v>911</v>
      </c>
      <c r="DA3" s="279" t="s">
        <v>911</v>
      </c>
      <c r="DB3" s="279" t="s">
        <v>911</v>
      </c>
      <c r="DC3" s="279" t="s">
        <v>911</v>
      </c>
      <c r="DD3" s="279" t="s">
        <v>911</v>
      </c>
      <c r="DE3" s="279" t="s">
        <v>911</v>
      </c>
      <c r="DF3" s="279" t="s">
        <v>911</v>
      </c>
      <c r="DG3" s="279" t="s">
        <v>911</v>
      </c>
      <c r="DH3" s="279" t="s">
        <v>911</v>
      </c>
      <c r="DI3" s="279" t="s">
        <v>911</v>
      </c>
      <c r="DJ3" s="279" t="s">
        <v>911</v>
      </c>
      <c r="DK3" s="279" t="s">
        <v>911</v>
      </c>
      <c r="DL3" s="279" t="s">
        <v>911</v>
      </c>
      <c r="DM3" s="279" t="s">
        <v>911</v>
      </c>
      <c r="DN3" s="279" t="s">
        <v>911</v>
      </c>
      <c r="DO3" s="279" t="s">
        <v>911</v>
      </c>
      <c r="DP3" s="279" t="s">
        <v>911</v>
      </c>
      <c r="DQ3" s="279" t="s">
        <v>911</v>
      </c>
      <c r="DR3" s="279" t="s">
        <v>911</v>
      </c>
      <c r="DS3" s="279" t="s">
        <v>911</v>
      </c>
      <c r="DT3" s="279" t="s">
        <v>911</v>
      </c>
      <c r="DU3" s="273"/>
    </row>
    <row r="4" spans="2:125" x14ac:dyDescent="0.25">
      <c r="B4" s="48" t="str">
        <f>'Pay App 1'!B57</f>
        <v>00 01 00</v>
      </c>
      <c r="C4" s="24" t="str">
        <f>'Pay App 1'!C57</f>
        <v>Design Fee (if design build)</v>
      </c>
      <c r="D4" s="282" t="str" cm="1">
        <f t="array" ref="D4">IFERROR(1+(LOOKUP(2,1/(E4:DT4&lt;&gt;""),E4:DT4)-E4)/E4,"")</f>
        <v/>
      </c>
      <c r="E4" s="275" t="str">
        <f>IFERROR('GMP Tracker'!D8/'Summary Sheet'!$D$19,"")</f>
        <v/>
      </c>
      <c r="F4" s="276" t="e">
        <f>IF('Pay App 1'!$D$149=0,NA(),IFERROR('Pay App 1'!F57/'Summary Sheet'!$D$19,""))</f>
        <v>#N/A</v>
      </c>
      <c r="G4" s="271"/>
      <c r="H4" s="277" t="e">
        <f>IF('Pay App 2'!$H$149=0,NA(),IFERROR('Pay App 2'!F57/'Summary Sheet'!$D$19,""))</f>
        <v>#N/A</v>
      </c>
      <c r="I4" s="266"/>
      <c r="J4" s="276" t="e">
        <f>IF('Pay App 3'!$H$149=0,NA(),IFERROR('Pay App 3'!F57/'Summary Sheet'!$D$19,""))</f>
        <v>#N/A</v>
      </c>
      <c r="K4" s="268"/>
      <c r="L4" s="277" t="e">
        <f>IF('Pay App 4'!$H$149=0,NA(),IFERROR('Pay App 4'!F57/'Summary Sheet'!$D$19,""))</f>
        <v>#N/A</v>
      </c>
      <c r="M4" s="266"/>
      <c r="N4" s="276" t="e">
        <f>IF('Pay App 5'!$H$149=0,NA(),IFERROR('Pay App 5'!F57/'Summary Sheet'!$D$19,""))</f>
        <v>#N/A</v>
      </c>
      <c r="O4" s="263"/>
      <c r="P4" s="277" t="e">
        <f>IF('Pay App 6'!$H$149=0,NA(),IFERROR('Pay App 6'!F57/'Summary Sheet'!$D$19,""))</f>
        <v>#N/A</v>
      </c>
      <c r="Q4" s="263"/>
      <c r="R4" s="276" t="e">
        <f>IF('Pay App 7'!$H$149=0,NA(),IFERROR('Pay App 7'!F57/'Summary Sheet'!$D$19,""))</f>
        <v>#N/A</v>
      </c>
      <c r="S4" s="263"/>
      <c r="T4" s="277" t="e">
        <f>IF('Pay App 8'!$H$149=0,NA(),IFERROR('Pay App 8'!F57/'Summary Sheet'!$D$19,""))</f>
        <v>#N/A</v>
      </c>
      <c r="U4" s="263"/>
      <c r="V4" s="276" t="e">
        <f>IF('Pay App 9'!$H$149=0,NA(),IFERROR('Pay App 9'!F57/'Summary Sheet'!$D$19,""))</f>
        <v>#N/A</v>
      </c>
      <c r="W4" s="263"/>
      <c r="X4" s="277" t="e">
        <f>IF('Pay App 10'!$H$149=0,NA(),IFERROR('Pay App 10'!F57/'Summary Sheet'!$D$19,""))</f>
        <v>#N/A</v>
      </c>
      <c r="Y4" s="263"/>
      <c r="Z4" s="276" t="e">
        <f>IF('Pay App 11'!$H$149=0,NA(),IFERROR('Pay App 11'!F57/'Summary Sheet'!$D$19,""))</f>
        <v>#N/A</v>
      </c>
      <c r="AA4" s="263"/>
      <c r="AB4" s="277" t="e">
        <f>IF('Pay App 12'!$H$149=0,NA(),IFERROR('Pay App 12'!F57/'Summary Sheet'!$D$19,""))</f>
        <v>#N/A</v>
      </c>
      <c r="AC4" s="263"/>
      <c r="AD4" s="276" t="e">
        <f>IF('Pay App 13'!$H$149=0,NA(),IFERROR('Pay App 13'!F57/'Summary Sheet'!$D$19,""))</f>
        <v>#N/A</v>
      </c>
      <c r="AE4" s="263"/>
      <c r="AF4" s="277" t="e">
        <f>IF('Pay App 14'!$H$149=0,NA(),IFERROR('Pay App 14'!F57/'Summary Sheet'!$D$19,""))</f>
        <v>#N/A</v>
      </c>
      <c r="AG4" s="263"/>
      <c r="AH4" s="276" t="e">
        <f>IF('Pay App 15'!$H$149=0,NA(),IFERROR('Pay App 15'!F57/'Summary Sheet'!$D$19,""))</f>
        <v>#N/A</v>
      </c>
      <c r="AI4" s="263"/>
      <c r="AJ4" s="277" t="e">
        <f>IF('Pay App 16'!$H$149=0,NA(),IFERROR('Pay App 16'!F57/'Summary Sheet'!$D$19,""))</f>
        <v>#N/A</v>
      </c>
      <c r="AK4" s="263"/>
      <c r="AL4" s="276" t="e">
        <f>IF('Pay App 17'!$H$149=0,NA(),IFERROR('Pay App 17'!F57/'Summary Sheet'!$D$19,""))</f>
        <v>#N/A</v>
      </c>
      <c r="AM4" s="263"/>
      <c r="AN4" s="277" t="e">
        <f>IF('Pay App 18'!$H$149=0,NA(),IFERROR('Pay App 18'!F57/'Summary Sheet'!$D$19,""))</f>
        <v>#N/A</v>
      </c>
      <c r="AO4" s="263"/>
      <c r="AP4" s="276" t="e">
        <f>IF('Pay App 19'!$H$149=0,NA(),IFERROR('Pay App 19'!F57/'Summary Sheet'!$D$19,""))</f>
        <v>#N/A</v>
      </c>
      <c r="AQ4" s="263"/>
      <c r="AR4" s="263" t="e">
        <f>IF('Pay App 20'!$H$149=0,NA(),IFERROR('Pay App 20'!F57/'Summary Sheet'!$D$19,""))</f>
        <v>#N/A</v>
      </c>
      <c r="AS4" s="263"/>
      <c r="AT4" s="276" t="e">
        <f>IF('Pay App 21'!$H$149=0,NA(),IFERROR('Pay App 21'!F57/'Summary Sheet'!$D$19,""))</f>
        <v>#N/A</v>
      </c>
      <c r="AU4" s="263"/>
      <c r="AV4" s="263" t="e">
        <f>IF('Pay App 22'!$H$149=0,NA(),IFERROR('Pay App 22'!F57/'Summary Sheet'!$D$19,""))</f>
        <v>#N/A</v>
      </c>
      <c r="AW4" s="263"/>
      <c r="AX4" s="276" t="e">
        <f>IF('Pay App 23'!$H$149=0,NA(),IFERROR('Pay App 23'!F57/'Summary Sheet'!$D$19,""))</f>
        <v>#N/A</v>
      </c>
      <c r="AY4" s="263"/>
      <c r="AZ4" s="263" t="e">
        <f>IF('Pay App 24'!$H$149=0,NA(),IFERROR('Pay App 24'!F57/'Summary Sheet'!$D$19,""))</f>
        <v>#N/A</v>
      </c>
      <c r="BA4" s="263"/>
      <c r="BB4" s="276" t="e">
        <f>IF('Pay App 25'!$H$149=0,NA(),IFERROR('Pay App 25'!F57/'Summary Sheet'!$D$19,""))</f>
        <v>#N/A</v>
      </c>
      <c r="BC4" s="263"/>
      <c r="BD4" s="263" t="e">
        <f>IF('Pay App 26'!$H$149=0,NA(),IFERROR('Pay App 26'!F57/'Summary Sheet'!$D$19,""))</f>
        <v>#N/A</v>
      </c>
      <c r="BE4" s="263"/>
      <c r="BF4" s="276" t="e">
        <f>IF('Pay App 27'!$H$149=0,NA(),IFERROR('Pay App 27'!F57/'Summary Sheet'!$D$19,""))</f>
        <v>#N/A</v>
      </c>
      <c r="BG4" s="263"/>
      <c r="BH4" s="263" t="e">
        <f>IF('Pay App 28'!$H$149=0,NA(),IFERROR('Pay App 28'!F57/'Summary Sheet'!$D$19,""))</f>
        <v>#N/A</v>
      </c>
      <c r="BI4" s="263"/>
      <c r="BJ4" s="276" t="e">
        <f>IF('Pay App 29'!$H$149=0,NA(),IFERROR('Pay App 29'!F57/'Summary Sheet'!$D$19,""))</f>
        <v>#N/A</v>
      </c>
      <c r="BK4" s="271"/>
      <c r="BL4" s="263" t="e">
        <f>IF('Pay App 30'!$H$149=0,NA(),IFERROR('Pay App 30'!F57/'Summary Sheet'!$D$19,""))</f>
        <v>#N/A</v>
      </c>
      <c r="BM4" s="263"/>
      <c r="BN4" s="276" t="e">
        <f>IF('Pay App 31'!$H$149=0,NA(),IFERROR('Pay App 31'!F57/'Summary Sheet'!$D$19,""))</f>
        <v>#N/A</v>
      </c>
      <c r="BO4" s="263"/>
      <c r="BP4" s="263" t="e">
        <f>IF('Pay App 32'!$H$149=0,NA(),IFERROR('Pay App 32'!F57/'Summary Sheet'!$D$19,""))</f>
        <v>#N/A</v>
      </c>
      <c r="BQ4" s="263"/>
      <c r="BR4" s="276" t="e">
        <f>IF('Pay App 33'!$H$149=0,NA(),IFERROR('Pay App 33'!F57/'Summary Sheet'!$D$19,""))</f>
        <v>#N/A</v>
      </c>
      <c r="BS4" s="263"/>
      <c r="BT4" s="263" t="e">
        <f>IF('Pay App 34'!$H$149=0,NA(),IFERROR('Pay App 34'!F57/'Summary Sheet'!$D$19,""))</f>
        <v>#N/A</v>
      </c>
      <c r="BU4" s="263"/>
      <c r="BV4" s="276" t="e">
        <f>IF('Pay App 35'!$H$149=0,NA(),IFERROR('Pay App 35'!F57/'Summary Sheet'!$D$19,""))</f>
        <v>#N/A</v>
      </c>
      <c r="BW4" s="263"/>
      <c r="BX4" s="263" t="e">
        <f>IF('Pay App 36'!$H$149=0,NA(),IFERROR('Pay App 36'!F57/'Summary Sheet'!$D$19,""))</f>
        <v>#N/A</v>
      </c>
      <c r="BY4" s="263"/>
      <c r="BZ4" s="276" t="e">
        <f>IF('Pay App 37'!$H$149=0,NA(),IFERROR('Pay App 37'!F57/'Summary Sheet'!$D$19,""))</f>
        <v>#N/A</v>
      </c>
      <c r="CA4" s="263"/>
      <c r="CB4" s="263" t="e">
        <f>IF('Pay App 38'!$H$149=0,NA(),IFERROR('Pay App 38'!F57/'Summary Sheet'!$D$19,""))</f>
        <v>#N/A</v>
      </c>
      <c r="CC4" s="263"/>
      <c r="CD4" s="276" t="e">
        <f>IF('Pay App 39'!$H$149=0,NA(),IFERROR('Pay App 39'!F57/'Summary Sheet'!$D$19,""))</f>
        <v>#N/A</v>
      </c>
      <c r="CE4" s="263"/>
      <c r="CF4" s="263" t="e">
        <f>IF('Pay App 40'!$H$149=0,NA(),IFERROR('Pay App 40'!F57/'Summary Sheet'!$D$19,""))</f>
        <v>#N/A</v>
      </c>
      <c r="CG4" s="263"/>
      <c r="CH4" s="276" t="e">
        <f>IF('Pay App 41'!$H$149=0,NA(),IFERROR('Pay App 41'!F57/'Summary Sheet'!$D$19,""))</f>
        <v>#N/A</v>
      </c>
      <c r="CI4" s="263"/>
      <c r="CJ4" s="263" t="e">
        <f>IF('Pay App 42'!$H$149=0,NA(),IFERROR('Pay App 42'!F57/'Summary Sheet'!$D$19,""))</f>
        <v>#N/A</v>
      </c>
      <c r="CK4" s="263"/>
      <c r="CL4" s="276" t="e">
        <f>IF('Pay App 43'!$H$149=0,NA(),IFERROR('Pay App 43'!F57/'Summary Sheet'!$D$19,""))</f>
        <v>#N/A</v>
      </c>
      <c r="CM4" s="263"/>
      <c r="CN4" s="263" t="e">
        <f>IF('Pay App 44'!$H$149=0,NA(),IFERROR('Pay App 44'!F57/'Summary Sheet'!$D$19,""))</f>
        <v>#N/A</v>
      </c>
      <c r="CO4" s="263"/>
      <c r="CP4" s="276" t="e">
        <f>IF('Pay App 45'!$H$149=0,NA(),IFERROR('Pay App 45'!F57/'Summary Sheet'!$D$19,""))</f>
        <v>#N/A</v>
      </c>
      <c r="CQ4" s="263"/>
      <c r="CR4" s="263" t="e">
        <f>IF('Pay App 46'!$H$149=0,NA(),IFERROR('Pay App 46'!F57/'Summary Sheet'!$D$19,""))</f>
        <v>#N/A</v>
      </c>
      <c r="CS4" s="263"/>
      <c r="CT4" s="276" t="e">
        <f>IF('Pay App 47'!$H$149=0,NA(),IFERROR('Pay App 47'!F57/'Summary Sheet'!$D$19,""))</f>
        <v>#N/A</v>
      </c>
      <c r="CU4" s="263"/>
      <c r="CV4" s="263" t="e">
        <f>IF('Pay App 48'!$H$149=0,NA(),IFERROR('Pay App 48'!F57/'Summary Sheet'!$D$19,""))</f>
        <v>#N/A</v>
      </c>
      <c r="CW4" s="263"/>
      <c r="CX4" s="276" t="e">
        <f>IF('Pay App 49'!$H$149=0,NA(),IFERROR('Pay App 49'!F57/'Summary Sheet'!$D$19,""))</f>
        <v>#N/A</v>
      </c>
      <c r="CY4" s="263"/>
      <c r="CZ4" s="263" t="e">
        <f>IF('Pay App 50'!$H$149=0,NA(),IFERROR('Pay App 50'!F57/'Summary Sheet'!$D$19,""))</f>
        <v>#N/A</v>
      </c>
      <c r="DA4" s="263"/>
      <c r="DB4" s="276" t="e">
        <f>IF('Pay App 51'!$H$149=0,NA(),IFERROR('Pay App 51'!F57/'Summary Sheet'!$D$19,""))</f>
        <v>#N/A</v>
      </c>
      <c r="DC4" s="263"/>
      <c r="DD4" s="263" t="e">
        <f>IF('Pay App 52'!$H$149=0,NA(),IFERROR('Pay App 52'!F57/'Summary Sheet'!$D$19,""))</f>
        <v>#N/A</v>
      </c>
      <c r="DE4" s="263"/>
      <c r="DF4" s="276" t="e">
        <f>IF('Pay App 53'!$H$149=0,NA(),IFERROR('Pay App 53'!F57/'Summary Sheet'!$D$19,""))</f>
        <v>#N/A</v>
      </c>
      <c r="DG4" s="263"/>
      <c r="DH4" s="263" t="e">
        <f>IF('Pay App 54'!$H$149=0,NA(),IFERROR('Pay App 54'!F57/'Summary Sheet'!$D$19,""))</f>
        <v>#N/A</v>
      </c>
      <c r="DI4" s="263"/>
      <c r="DJ4" s="276" t="e">
        <f>IF('Pay App 55'!$H$149=0,NA(),IFERROR('Pay App 55'!F57/'Summary Sheet'!$D$19,""))</f>
        <v>#N/A</v>
      </c>
      <c r="DK4" s="263"/>
      <c r="DL4" s="263" t="e">
        <f>IF('Pay App 56'!$H$149=0,NA(),IFERROR('Pay App 56'!F57/'Summary Sheet'!$D$19,""))</f>
        <v>#N/A</v>
      </c>
      <c r="DM4" s="263"/>
      <c r="DN4" s="276" t="e">
        <f>IF('Pay App 57'!$H$149=0,NA(),IFERROR('Pay App 57'!F57/'Summary Sheet'!$D$19,""))</f>
        <v>#N/A</v>
      </c>
      <c r="DO4" s="263"/>
      <c r="DP4" s="263" t="e">
        <f>IF('Pay App 58'!$H$149=0,NA(),IFERROR('Pay App 58'!F57/'Summary Sheet'!$D$19,""))</f>
        <v>#N/A</v>
      </c>
      <c r="DQ4" s="263"/>
      <c r="DR4" s="276" t="e">
        <f>IF('Pay App 59'!$H$149=0,NA(),IFERROR('Pay App 59'!F57/'Summary Sheet'!$D$19,""))</f>
        <v>#N/A</v>
      </c>
      <c r="DS4" s="263"/>
      <c r="DT4" s="263" t="e">
        <f>IF('Pay App 60'!$H$149=0,NA(),IFERROR('Pay App 60'!F57/'Summary Sheet'!$D$19,""))</f>
        <v>#N/A</v>
      </c>
      <c r="DU4" s="296"/>
    </row>
    <row r="5" spans="2:125" x14ac:dyDescent="0.25">
      <c r="B5" s="48" t="str">
        <f>'Pay App 1'!B58</f>
        <v>00 02 00</v>
      </c>
      <c r="C5" s="24" t="str">
        <f>'Pay App 1'!C58</f>
        <v>Preconstruction Services</v>
      </c>
      <c r="D5" s="282" t="str" cm="1">
        <f t="array" ref="D5">IFERROR(1+(LOOKUP(2,1/(E5:DT5&lt;&gt;""),E5:DT5)-E5)/E5,"")</f>
        <v/>
      </c>
      <c r="E5" s="275" t="str">
        <f>IFERROR('GMP Tracker'!D9/'Summary Sheet'!$D$19,"")</f>
        <v/>
      </c>
      <c r="F5" s="276" t="e">
        <f>IF('Pay App 1'!$D$149=0,NA(),IFERROR('Pay App 1'!F58/'Summary Sheet'!$D$19,""))</f>
        <v>#N/A</v>
      </c>
      <c r="G5" s="271"/>
      <c r="H5" s="277" t="e">
        <f>IF('Pay App 2'!$H$149=0,NA(),IFERROR('Pay App 2'!F58/'Summary Sheet'!$D$19,""))</f>
        <v>#N/A</v>
      </c>
      <c r="I5" s="266"/>
      <c r="J5" s="276" t="e">
        <f>IF('Pay App 3'!$H$149=0,NA(),IFERROR('Pay App 3'!F58/'Summary Sheet'!$D$19,""))</f>
        <v>#N/A</v>
      </c>
      <c r="K5" s="268"/>
      <c r="L5" s="277" t="e">
        <f>IF('Pay App 4'!$H$149=0,NA(),IFERROR('Pay App 4'!F58/'Summary Sheet'!$D$19,""))</f>
        <v>#N/A</v>
      </c>
      <c r="M5" s="266"/>
      <c r="N5" s="276" t="e">
        <f>IF('Pay App 5'!$H$149=0,NA(),IFERROR('Pay App 5'!F58/'Summary Sheet'!$D$19,""))</f>
        <v>#N/A</v>
      </c>
      <c r="O5" s="263"/>
      <c r="P5" s="277" t="e">
        <f>IF('Pay App 6'!$H$149=0,NA(),IFERROR('Pay App 6'!F58/'Summary Sheet'!$D$19,""))</f>
        <v>#N/A</v>
      </c>
      <c r="Q5" s="263"/>
      <c r="R5" s="276" t="e">
        <f>IF('Pay App 7'!$H$149=0,NA(),IFERROR('Pay App 7'!F58/'Summary Sheet'!$D$19,""))</f>
        <v>#N/A</v>
      </c>
      <c r="S5" s="263"/>
      <c r="T5" s="277" t="e">
        <f>IF('Pay App 8'!$H$149=0,NA(),IFERROR('Pay App 8'!F58/'Summary Sheet'!$D$19,""))</f>
        <v>#N/A</v>
      </c>
      <c r="U5" s="263"/>
      <c r="V5" s="276" t="e">
        <f>IF('Pay App 9'!$H$149=0,NA(),IFERROR('Pay App 9'!F58/'Summary Sheet'!$D$19,""))</f>
        <v>#N/A</v>
      </c>
      <c r="W5" s="263"/>
      <c r="X5" s="277" t="e">
        <f>IF('Pay App 10'!$H$149=0,NA(),IFERROR('Pay App 10'!F58/'Summary Sheet'!$D$19,""))</f>
        <v>#N/A</v>
      </c>
      <c r="Y5" s="263"/>
      <c r="Z5" s="276" t="e">
        <f>IF('Pay App 11'!$H$149=0,NA(),IFERROR('Pay App 11'!F58/'Summary Sheet'!$D$19,""))</f>
        <v>#N/A</v>
      </c>
      <c r="AA5" s="263"/>
      <c r="AB5" s="277" t="e">
        <f>IF('Pay App 12'!$H$149=0,NA(),IFERROR('Pay App 12'!F58/'Summary Sheet'!$D$19,""))</f>
        <v>#N/A</v>
      </c>
      <c r="AC5" s="263"/>
      <c r="AD5" s="276" t="e">
        <f>IF('Pay App 13'!$H$149=0,NA(),IFERROR('Pay App 13'!F58/'Summary Sheet'!$D$19,""))</f>
        <v>#N/A</v>
      </c>
      <c r="AE5" s="263"/>
      <c r="AF5" s="277" t="e">
        <f>IF('Pay App 14'!$H$149=0,NA(),IFERROR('Pay App 14'!F58/'Summary Sheet'!$D$19,""))</f>
        <v>#N/A</v>
      </c>
      <c r="AG5" s="263"/>
      <c r="AH5" s="276" t="e">
        <f>IF('Pay App 15'!$H$149=0,NA(),IFERROR('Pay App 15'!F58/'Summary Sheet'!$D$19,""))</f>
        <v>#N/A</v>
      </c>
      <c r="AI5" s="263"/>
      <c r="AJ5" s="277" t="e">
        <f>IF('Pay App 16'!$H$149=0,NA(),IFERROR('Pay App 16'!F58/'Summary Sheet'!$D$19,""))</f>
        <v>#N/A</v>
      </c>
      <c r="AK5" s="263"/>
      <c r="AL5" s="276" t="e">
        <f>IF('Pay App 17'!$H$149=0,NA(),IFERROR('Pay App 17'!F58/'Summary Sheet'!$D$19,""))</f>
        <v>#N/A</v>
      </c>
      <c r="AM5" s="263"/>
      <c r="AN5" s="277" t="e">
        <f>IF('Pay App 18'!$H$149=0,NA(),IFERROR('Pay App 18'!F58/'Summary Sheet'!$D$19,""))</f>
        <v>#N/A</v>
      </c>
      <c r="AO5" s="263"/>
      <c r="AP5" s="276" t="e">
        <f>IF('Pay App 19'!$H$149=0,NA(),IFERROR('Pay App 19'!F58/'Summary Sheet'!$D$19,""))</f>
        <v>#N/A</v>
      </c>
      <c r="AQ5" s="263"/>
      <c r="AR5" s="263" t="e">
        <f>IF('Pay App 20'!$H$149=0,NA(),IFERROR('Pay App 20'!F58/'Summary Sheet'!$D$19,""))</f>
        <v>#N/A</v>
      </c>
      <c r="AS5" s="264"/>
      <c r="AT5" s="276" t="e">
        <f>IF('Pay App 21'!$H$149=0,NA(),IFERROR('Pay App 21'!F58/'Summary Sheet'!$D$19,""))</f>
        <v>#N/A</v>
      </c>
      <c r="AU5" s="264"/>
      <c r="AV5" s="263" t="e">
        <f>IF('Pay App 22'!$H$149=0,NA(),IFERROR('Pay App 22'!F58/'Summary Sheet'!$D$19,""))</f>
        <v>#N/A</v>
      </c>
      <c r="AW5" s="264"/>
      <c r="AX5" s="276" t="e">
        <f>IF('Pay App 23'!$H$149=0,NA(),IFERROR('Pay App 23'!F58/'Summary Sheet'!$D$19,""))</f>
        <v>#N/A</v>
      </c>
      <c r="AY5" s="264"/>
      <c r="AZ5" s="263" t="e">
        <f>IF('Pay App 24'!$H$149=0,NA(),IFERROR('Pay App 24'!F58/'Summary Sheet'!$D$19,""))</f>
        <v>#N/A</v>
      </c>
      <c r="BA5" s="264"/>
      <c r="BB5" s="276" t="e">
        <f>IF('Pay App 25'!$H$149=0,NA(),IFERROR('Pay App 25'!F58/'Summary Sheet'!$D$19,""))</f>
        <v>#N/A</v>
      </c>
      <c r="BC5" s="264"/>
      <c r="BD5" s="263" t="e">
        <f>IF('Pay App 26'!$H$149=0,NA(),IFERROR('Pay App 26'!F58/'Summary Sheet'!$D$19,""))</f>
        <v>#N/A</v>
      </c>
      <c r="BE5" s="264"/>
      <c r="BF5" s="276" t="e">
        <f>IF('Pay App 27'!$H$149=0,NA(),IFERROR('Pay App 27'!F58/'Summary Sheet'!$D$19,""))</f>
        <v>#N/A</v>
      </c>
      <c r="BG5" s="264"/>
      <c r="BH5" s="263" t="e">
        <f>IF('Pay App 28'!$H$149=0,NA(),IFERROR('Pay App 28'!F58/'Summary Sheet'!$D$19,""))</f>
        <v>#N/A</v>
      </c>
      <c r="BI5" s="264"/>
      <c r="BJ5" s="276" t="e">
        <f>IF('Pay App 29'!$H$149=0,NA(),IFERROR('Pay App 29'!F58/'Summary Sheet'!$D$19,""))</f>
        <v>#N/A</v>
      </c>
      <c r="BK5" s="271"/>
      <c r="BL5" s="263" t="e">
        <f>IF('Pay App 30'!$H$149=0,NA(),IFERROR('Pay App 30'!F58/'Summary Sheet'!$D$19,""))</f>
        <v>#N/A</v>
      </c>
      <c r="BM5" s="264"/>
      <c r="BN5" s="276" t="e">
        <f>IF('Pay App 31'!$H$149=0,NA(),IFERROR('Pay App 31'!F58/'Summary Sheet'!$D$19,""))</f>
        <v>#N/A</v>
      </c>
      <c r="BO5" s="264"/>
      <c r="BP5" s="263" t="e">
        <f>IF('Pay App 32'!$H$149=0,NA(),IFERROR('Pay App 32'!F58/'Summary Sheet'!$D$19,""))</f>
        <v>#N/A</v>
      </c>
      <c r="BQ5" s="264"/>
      <c r="BR5" s="276" t="e">
        <f>IF('Pay App 33'!$H$149=0,NA(),IFERROR('Pay App 33'!F58/'Summary Sheet'!$D$19,""))</f>
        <v>#N/A</v>
      </c>
      <c r="BS5" s="264"/>
      <c r="BT5" s="263" t="e">
        <f>IF('Pay App 34'!$H$149=0,NA(),IFERROR('Pay App 34'!F58/'Summary Sheet'!$D$19,""))</f>
        <v>#N/A</v>
      </c>
      <c r="BU5" s="264"/>
      <c r="BV5" s="276" t="e">
        <f>IF('Pay App 35'!$H$149=0,NA(),IFERROR('Pay App 35'!F58/'Summary Sheet'!$D$19,""))</f>
        <v>#N/A</v>
      </c>
      <c r="BW5" s="264"/>
      <c r="BX5" s="263" t="e">
        <f>IF('Pay App 36'!$H$149=0,NA(),IFERROR('Pay App 36'!F58/'Summary Sheet'!$D$19,""))</f>
        <v>#N/A</v>
      </c>
      <c r="BY5" s="264"/>
      <c r="BZ5" s="276" t="e">
        <f>IF('Pay App 37'!$H$149=0,NA(),IFERROR('Pay App 37'!F58/'Summary Sheet'!$D$19,""))</f>
        <v>#N/A</v>
      </c>
      <c r="CA5" s="264"/>
      <c r="CB5" s="263" t="e">
        <f>IF('Pay App 38'!$H$149=0,NA(),IFERROR('Pay App 38'!F58/'Summary Sheet'!$D$19,""))</f>
        <v>#N/A</v>
      </c>
      <c r="CC5" s="264"/>
      <c r="CD5" s="276" t="e">
        <f>IF('Pay App 39'!$H$149=0,NA(),IFERROR('Pay App 39'!F58/'Summary Sheet'!$D$19,""))</f>
        <v>#N/A</v>
      </c>
      <c r="CE5" s="264"/>
      <c r="CF5" s="263" t="e">
        <f>IF('Pay App 40'!$H$149=0,NA(),IFERROR('Pay App 40'!F58/'Summary Sheet'!$D$19,""))</f>
        <v>#N/A</v>
      </c>
      <c r="CG5" s="264"/>
      <c r="CH5" s="276" t="e">
        <f>IF('Pay App 41'!$H$149=0,NA(),IFERROR('Pay App 41'!F58/'Summary Sheet'!$D$19,""))</f>
        <v>#N/A</v>
      </c>
      <c r="CI5" s="264"/>
      <c r="CJ5" s="263" t="e">
        <f>IF('Pay App 42'!$H$149=0,NA(),IFERROR('Pay App 42'!F58/'Summary Sheet'!$D$19,""))</f>
        <v>#N/A</v>
      </c>
      <c r="CK5" s="264"/>
      <c r="CL5" s="276" t="e">
        <f>IF('Pay App 43'!$H$149=0,NA(),IFERROR('Pay App 43'!F58/'Summary Sheet'!$D$19,""))</f>
        <v>#N/A</v>
      </c>
      <c r="CM5" s="264"/>
      <c r="CN5" s="263" t="e">
        <f>IF('Pay App 44'!$H$149=0,NA(),IFERROR('Pay App 44'!F58/'Summary Sheet'!$D$19,""))</f>
        <v>#N/A</v>
      </c>
      <c r="CO5" s="264"/>
      <c r="CP5" s="276" t="e">
        <f>IF('Pay App 45'!$H$149=0,NA(),IFERROR('Pay App 45'!F58/'Summary Sheet'!$D$19,""))</f>
        <v>#N/A</v>
      </c>
      <c r="CQ5" s="264"/>
      <c r="CR5" s="263" t="e">
        <f>IF('Pay App 46'!$H$149=0,NA(),IFERROR('Pay App 46'!F58/'Summary Sheet'!$D$19,""))</f>
        <v>#N/A</v>
      </c>
      <c r="CS5" s="264"/>
      <c r="CT5" s="276" t="e">
        <f>IF('Pay App 47'!$H$149=0,NA(),IFERROR('Pay App 47'!F58/'Summary Sheet'!$D$19,""))</f>
        <v>#N/A</v>
      </c>
      <c r="CU5" s="264"/>
      <c r="CV5" s="263" t="e">
        <f>IF('Pay App 48'!$H$149=0,NA(),IFERROR('Pay App 48'!F58/'Summary Sheet'!$D$19,""))</f>
        <v>#N/A</v>
      </c>
      <c r="CW5" s="264"/>
      <c r="CX5" s="276" t="e">
        <f>IF('Pay App 49'!$H$149=0,NA(),IFERROR('Pay App 49'!F58/'Summary Sheet'!$D$19,""))</f>
        <v>#N/A</v>
      </c>
      <c r="CY5" s="264"/>
      <c r="CZ5" s="263" t="e">
        <f>IF('Pay App 50'!$H$149=0,NA(),IFERROR('Pay App 50'!F58/'Summary Sheet'!$D$19,""))</f>
        <v>#N/A</v>
      </c>
      <c r="DA5" s="264"/>
      <c r="DB5" s="276" t="e">
        <f>IF('Pay App 51'!$H$149=0,NA(),IFERROR('Pay App 51'!F58/'Summary Sheet'!$D$19,""))</f>
        <v>#N/A</v>
      </c>
      <c r="DC5" s="264"/>
      <c r="DD5" s="263" t="e">
        <f>IF('Pay App 52'!$H$149=0,NA(),IFERROR('Pay App 52'!F58/'Summary Sheet'!$D$19,""))</f>
        <v>#N/A</v>
      </c>
      <c r="DE5" s="264"/>
      <c r="DF5" s="276" t="e">
        <f>IF('Pay App 53'!$H$149=0,NA(),IFERROR('Pay App 53'!F58/'Summary Sheet'!$D$19,""))</f>
        <v>#N/A</v>
      </c>
      <c r="DG5" s="264"/>
      <c r="DH5" s="263" t="e">
        <f>IF('Pay App 54'!$H$149=0,NA(),IFERROR('Pay App 54'!F58/'Summary Sheet'!$D$19,""))</f>
        <v>#N/A</v>
      </c>
      <c r="DI5" s="264"/>
      <c r="DJ5" s="276" t="e">
        <f>IF('Pay App 55'!$H$149=0,NA(),IFERROR('Pay App 55'!F58/'Summary Sheet'!$D$19,""))</f>
        <v>#N/A</v>
      </c>
      <c r="DK5" s="264"/>
      <c r="DL5" s="263" t="e">
        <f>IF('Pay App 56'!$H$149=0,NA(),IFERROR('Pay App 56'!F58/'Summary Sheet'!$D$19,""))</f>
        <v>#N/A</v>
      </c>
      <c r="DM5" s="264"/>
      <c r="DN5" s="276" t="e">
        <f>IF('Pay App 57'!$H$149=0,NA(),IFERROR('Pay App 57'!F58/'Summary Sheet'!$D$19,""))</f>
        <v>#N/A</v>
      </c>
      <c r="DO5" s="264"/>
      <c r="DP5" s="263" t="e">
        <f>IF('Pay App 58'!$H$149=0,NA(),IFERROR('Pay App 58'!F58/'Summary Sheet'!$D$19,""))</f>
        <v>#N/A</v>
      </c>
      <c r="DQ5" s="264"/>
      <c r="DR5" s="276" t="e">
        <f>IF('Pay App 59'!$H$149=0,NA(),IFERROR('Pay App 59'!F58/'Summary Sheet'!$D$19,""))</f>
        <v>#N/A</v>
      </c>
      <c r="DS5" s="264"/>
      <c r="DT5" s="263" t="e">
        <f>IF('Pay App 60'!$H$149=0,NA(),IFERROR('Pay App 60'!F58/'Summary Sheet'!$D$19,""))</f>
        <v>#N/A</v>
      </c>
      <c r="DU5" s="296"/>
    </row>
    <row r="6" spans="2:125" x14ac:dyDescent="0.25">
      <c r="B6" s="49" t="str">
        <f>'Pay App 1'!B59</f>
        <v>01 00 00</v>
      </c>
      <c r="C6" s="25" t="str">
        <f>'Pay App 1'!C59</f>
        <v>General Conditions/Requirements</v>
      </c>
      <c r="D6" s="282" t="str" cm="1">
        <f t="array" ref="D6">IFERROR(1+(LOOKUP(2,1/(E6:DT6&lt;&gt;""),E6:DT6)-E6)/E6,"")</f>
        <v/>
      </c>
      <c r="E6" s="275" t="str">
        <f>IFERROR('GMP Tracker'!D10/'Summary Sheet'!$D$19,"")</f>
        <v/>
      </c>
      <c r="F6" s="276" t="e">
        <f>IF('Pay App 1'!$D$149=0,NA(),IFERROR('Pay App 1'!F59/'Summary Sheet'!$D$19,""))</f>
        <v>#N/A</v>
      </c>
      <c r="G6" s="271"/>
      <c r="H6" s="277" t="e">
        <f>IF('Pay App 2'!$H$149=0,NA(),IFERROR('Pay App 2'!F59/'Summary Sheet'!$D$19,""))</f>
        <v>#N/A</v>
      </c>
      <c r="I6" s="266"/>
      <c r="J6" s="276" t="e">
        <f>IF('Pay App 3'!$H$149=0,NA(),IFERROR('Pay App 3'!F59/'Summary Sheet'!$D$19,""))</f>
        <v>#N/A</v>
      </c>
      <c r="K6" s="268"/>
      <c r="L6" s="277" t="e">
        <f>IF('Pay App 4'!$H$149=0,NA(),IFERROR('Pay App 4'!F59/'Summary Sheet'!$D$19,""))</f>
        <v>#N/A</v>
      </c>
      <c r="M6" s="266"/>
      <c r="N6" s="276" t="e">
        <f>IF('Pay App 5'!$H$149=0,NA(),IFERROR('Pay App 5'!F59/'Summary Sheet'!$D$19,""))</f>
        <v>#N/A</v>
      </c>
      <c r="O6" s="263"/>
      <c r="P6" s="277" t="e">
        <f>IF('Pay App 6'!$H$149=0,NA(),IFERROR('Pay App 6'!F59/'Summary Sheet'!$D$19,""))</f>
        <v>#N/A</v>
      </c>
      <c r="Q6" s="263"/>
      <c r="R6" s="276" t="e">
        <f>IF('Pay App 7'!$H$149=0,NA(),IFERROR('Pay App 7'!F59/'Summary Sheet'!$D$19,""))</f>
        <v>#N/A</v>
      </c>
      <c r="S6" s="263"/>
      <c r="T6" s="277" t="e">
        <f>IF('Pay App 8'!$H$149=0,NA(),IFERROR('Pay App 8'!F59/'Summary Sheet'!$D$19,""))</f>
        <v>#N/A</v>
      </c>
      <c r="U6" s="263"/>
      <c r="V6" s="276" t="e">
        <f>IF('Pay App 9'!$H$149=0,NA(),IFERROR('Pay App 9'!F59/'Summary Sheet'!$D$19,""))</f>
        <v>#N/A</v>
      </c>
      <c r="W6" s="263"/>
      <c r="X6" s="277" t="e">
        <f>IF('Pay App 10'!$H$149=0,NA(),IFERROR('Pay App 10'!F59/'Summary Sheet'!$D$19,""))</f>
        <v>#N/A</v>
      </c>
      <c r="Y6" s="263"/>
      <c r="Z6" s="276" t="e">
        <f>IF('Pay App 11'!$H$149=0,NA(),IFERROR('Pay App 11'!F59/'Summary Sheet'!$D$19,""))</f>
        <v>#N/A</v>
      </c>
      <c r="AA6" s="263"/>
      <c r="AB6" s="277" t="e">
        <f>IF('Pay App 12'!$H$149=0,NA(),IFERROR('Pay App 12'!F59/'Summary Sheet'!$D$19,""))</f>
        <v>#N/A</v>
      </c>
      <c r="AC6" s="263"/>
      <c r="AD6" s="276" t="e">
        <f>IF('Pay App 13'!$H$149=0,NA(),IFERROR('Pay App 13'!F59/'Summary Sheet'!$D$19,""))</f>
        <v>#N/A</v>
      </c>
      <c r="AE6" s="263"/>
      <c r="AF6" s="277" t="e">
        <f>IF('Pay App 14'!$H$149=0,NA(),IFERROR('Pay App 14'!F59/'Summary Sheet'!$D$19,""))</f>
        <v>#N/A</v>
      </c>
      <c r="AG6" s="263"/>
      <c r="AH6" s="276" t="e">
        <f>IF('Pay App 15'!$H$149=0,NA(),IFERROR('Pay App 15'!F59/'Summary Sheet'!$D$19,""))</f>
        <v>#N/A</v>
      </c>
      <c r="AI6" s="263"/>
      <c r="AJ6" s="277" t="e">
        <f>IF('Pay App 16'!$H$149=0,NA(),IFERROR('Pay App 16'!F59/'Summary Sheet'!$D$19,""))</f>
        <v>#N/A</v>
      </c>
      <c r="AK6" s="263"/>
      <c r="AL6" s="276" t="e">
        <f>IF('Pay App 17'!$H$149=0,NA(),IFERROR('Pay App 17'!F59/'Summary Sheet'!$D$19,""))</f>
        <v>#N/A</v>
      </c>
      <c r="AM6" s="263"/>
      <c r="AN6" s="277" t="e">
        <f>IF('Pay App 18'!$H$149=0,NA(),IFERROR('Pay App 18'!F59/'Summary Sheet'!$D$19,""))</f>
        <v>#N/A</v>
      </c>
      <c r="AO6" s="263"/>
      <c r="AP6" s="276" t="e">
        <f>IF('Pay App 19'!$H$149=0,NA(),IFERROR('Pay App 19'!F59/'Summary Sheet'!$D$19,""))</f>
        <v>#N/A</v>
      </c>
      <c r="AQ6" s="263"/>
      <c r="AR6" s="263" t="e">
        <f>IF('Pay App 20'!$H$149=0,NA(),IFERROR('Pay App 20'!F59/'Summary Sheet'!$D$19,""))</f>
        <v>#N/A</v>
      </c>
      <c r="AS6" s="264"/>
      <c r="AT6" s="276" t="e">
        <f>IF('Pay App 21'!$H$149=0,NA(),IFERROR('Pay App 21'!F59/'Summary Sheet'!$D$19,""))</f>
        <v>#N/A</v>
      </c>
      <c r="AU6" s="264"/>
      <c r="AV6" s="263" t="e">
        <f>IF('Pay App 22'!$H$149=0,NA(),IFERROR('Pay App 22'!F59/'Summary Sheet'!$D$19,""))</f>
        <v>#N/A</v>
      </c>
      <c r="AW6" s="264"/>
      <c r="AX6" s="276" t="e">
        <f>IF('Pay App 23'!$H$149=0,NA(),IFERROR('Pay App 23'!F59/'Summary Sheet'!$D$19,""))</f>
        <v>#N/A</v>
      </c>
      <c r="AY6" s="264"/>
      <c r="AZ6" s="263" t="e">
        <f>IF('Pay App 24'!$H$149=0,NA(),IFERROR('Pay App 24'!F59/'Summary Sheet'!$D$19,""))</f>
        <v>#N/A</v>
      </c>
      <c r="BA6" s="264"/>
      <c r="BB6" s="276" t="e">
        <f>IF('Pay App 25'!$H$149=0,NA(),IFERROR('Pay App 25'!F59/'Summary Sheet'!$D$19,""))</f>
        <v>#N/A</v>
      </c>
      <c r="BC6" s="264"/>
      <c r="BD6" s="263" t="e">
        <f>IF('Pay App 26'!$H$149=0,NA(),IFERROR('Pay App 26'!F59/'Summary Sheet'!$D$19,""))</f>
        <v>#N/A</v>
      </c>
      <c r="BE6" s="264"/>
      <c r="BF6" s="276" t="e">
        <f>IF('Pay App 27'!$H$149=0,NA(),IFERROR('Pay App 27'!F59/'Summary Sheet'!$D$19,""))</f>
        <v>#N/A</v>
      </c>
      <c r="BG6" s="264"/>
      <c r="BH6" s="263" t="e">
        <f>IF('Pay App 28'!$H$149=0,NA(),IFERROR('Pay App 28'!F59/'Summary Sheet'!$D$19,""))</f>
        <v>#N/A</v>
      </c>
      <c r="BI6" s="264"/>
      <c r="BJ6" s="276" t="e">
        <f>IF('Pay App 29'!$H$149=0,NA(),IFERROR('Pay App 29'!F59/'Summary Sheet'!$D$19,""))</f>
        <v>#N/A</v>
      </c>
      <c r="BK6" s="271"/>
      <c r="BL6" s="263" t="e">
        <f>IF('Pay App 30'!$H$149=0,NA(),IFERROR('Pay App 30'!F59/'Summary Sheet'!$D$19,""))</f>
        <v>#N/A</v>
      </c>
      <c r="BM6" s="264"/>
      <c r="BN6" s="276" t="e">
        <f>IF('Pay App 31'!$H$149=0,NA(),IFERROR('Pay App 31'!F59/'Summary Sheet'!$D$19,""))</f>
        <v>#N/A</v>
      </c>
      <c r="BO6" s="264"/>
      <c r="BP6" s="263" t="e">
        <f>IF('Pay App 32'!$H$149=0,NA(),IFERROR('Pay App 32'!F59/'Summary Sheet'!$D$19,""))</f>
        <v>#N/A</v>
      </c>
      <c r="BQ6" s="264"/>
      <c r="BR6" s="276" t="e">
        <f>IF('Pay App 33'!$H$149=0,NA(),IFERROR('Pay App 33'!F59/'Summary Sheet'!$D$19,""))</f>
        <v>#N/A</v>
      </c>
      <c r="BS6" s="264"/>
      <c r="BT6" s="263" t="e">
        <f>IF('Pay App 34'!$H$149=0,NA(),IFERROR('Pay App 34'!F59/'Summary Sheet'!$D$19,""))</f>
        <v>#N/A</v>
      </c>
      <c r="BU6" s="264"/>
      <c r="BV6" s="276" t="e">
        <f>IF('Pay App 35'!$H$149=0,NA(),IFERROR('Pay App 35'!F59/'Summary Sheet'!$D$19,""))</f>
        <v>#N/A</v>
      </c>
      <c r="BW6" s="264"/>
      <c r="BX6" s="263" t="e">
        <f>IF('Pay App 36'!$H$149=0,NA(),IFERROR('Pay App 36'!F59/'Summary Sheet'!$D$19,""))</f>
        <v>#N/A</v>
      </c>
      <c r="BY6" s="264"/>
      <c r="BZ6" s="276" t="e">
        <f>IF('Pay App 37'!$H$149=0,NA(),IFERROR('Pay App 37'!F59/'Summary Sheet'!$D$19,""))</f>
        <v>#N/A</v>
      </c>
      <c r="CA6" s="264"/>
      <c r="CB6" s="263" t="e">
        <f>IF('Pay App 38'!$H$149=0,NA(),IFERROR('Pay App 38'!F59/'Summary Sheet'!$D$19,""))</f>
        <v>#N/A</v>
      </c>
      <c r="CC6" s="264"/>
      <c r="CD6" s="276" t="e">
        <f>IF('Pay App 39'!$H$149=0,NA(),IFERROR('Pay App 39'!F59/'Summary Sheet'!$D$19,""))</f>
        <v>#N/A</v>
      </c>
      <c r="CE6" s="264"/>
      <c r="CF6" s="263" t="e">
        <f>IF('Pay App 40'!$H$149=0,NA(),IFERROR('Pay App 40'!F59/'Summary Sheet'!$D$19,""))</f>
        <v>#N/A</v>
      </c>
      <c r="CG6" s="264"/>
      <c r="CH6" s="276" t="e">
        <f>IF('Pay App 41'!$H$149=0,NA(),IFERROR('Pay App 41'!F59/'Summary Sheet'!$D$19,""))</f>
        <v>#N/A</v>
      </c>
      <c r="CI6" s="264"/>
      <c r="CJ6" s="263" t="e">
        <f>IF('Pay App 42'!$H$149=0,NA(),IFERROR('Pay App 42'!F59/'Summary Sheet'!$D$19,""))</f>
        <v>#N/A</v>
      </c>
      <c r="CK6" s="264"/>
      <c r="CL6" s="276" t="e">
        <f>IF('Pay App 43'!$H$149=0,NA(),IFERROR('Pay App 43'!F59/'Summary Sheet'!$D$19,""))</f>
        <v>#N/A</v>
      </c>
      <c r="CM6" s="264"/>
      <c r="CN6" s="263" t="e">
        <f>IF('Pay App 44'!$H$149=0,NA(),IFERROR('Pay App 44'!F59/'Summary Sheet'!$D$19,""))</f>
        <v>#N/A</v>
      </c>
      <c r="CO6" s="264"/>
      <c r="CP6" s="276" t="e">
        <f>IF('Pay App 45'!$H$149=0,NA(),IFERROR('Pay App 45'!F59/'Summary Sheet'!$D$19,""))</f>
        <v>#N/A</v>
      </c>
      <c r="CQ6" s="264"/>
      <c r="CR6" s="263" t="e">
        <f>IF('Pay App 46'!$H$149=0,NA(),IFERROR('Pay App 46'!F59/'Summary Sheet'!$D$19,""))</f>
        <v>#N/A</v>
      </c>
      <c r="CS6" s="264"/>
      <c r="CT6" s="276" t="e">
        <f>IF('Pay App 47'!$H$149=0,NA(),IFERROR('Pay App 47'!F59/'Summary Sheet'!$D$19,""))</f>
        <v>#N/A</v>
      </c>
      <c r="CU6" s="264"/>
      <c r="CV6" s="263" t="e">
        <f>IF('Pay App 48'!$H$149=0,NA(),IFERROR('Pay App 48'!F59/'Summary Sheet'!$D$19,""))</f>
        <v>#N/A</v>
      </c>
      <c r="CW6" s="264"/>
      <c r="CX6" s="276" t="e">
        <f>IF('Pay App 49'!$H$149=0,NA(),IFERROR('Pay App 49'!F59/'Summary Sheet'!$D$19,""))</f>
        <v>#N/A</v>
      </c>
      <c r="CY6" s="264"/>
      <c r="CZ6" s="263" t="e">
        <f>IF('Pay App 50'!$H$149=0,NA(),IFERROR('Pay App 50'!F59/'Summary Sheet'!$D$19,""))</f>
        <v>#N/A</v>
      </c>
      <c r="DA6" s="264"/>
      <c r="DB6" s="276" t="e">
        <f>IF('Pay App 51'!$H$149=0,NA(),IFERROR('Pay App 51'!F59/'Summary Sheet'!$D$19,""))</f>
        <v>#N/A</v>
      </c>
      <c r="DC6" s="264"/>
      <c r="DD6" s="263" t="e">
        <f>IF('Pay App 52'!$H$149=0,NA(),IFERROR('Pay App 52'!F59/'Summary Sheet'!$D$19,""))</f>
        <v>#N/A</v>
      </c>
      <c r="DE6" s="264"/>
      <c r="DF6" s="276" t="e">
        <f>IF('Pay App 53'!$H$149=0,NA(),IFERROR('Pay App 53'!F59/'Summary Sheet'!$D$19,""))</f>
        <v>#N/A</v>
      </c>
      <c r="DG6" s="264"/>
      <c r="DH6" s="263" t="e">
        <f>IF('Pay App 54'!$H$149=0,NA(),IFERROR('Pay App 54'!F59/'Summary Sheet'!$D$19,""))</f>
        <v>#N/A</v>
      </c>
      <c r="DI6" s="264"/>
      <c r="DJ6" s="276" t="e">
        <f>IF('Pay App 55'!$H$149=0,NA(),IFERROR('Pay App 55'!F59/'Summary Sheet'!$D$19,""))</f>
        <v>#N/A</v>
      </c>
      <c r="DK6" s="264"/>
      <c r="DL6" s="263" t="e">
        <f>IF('Pay App 56'!$H$149=0,NA(),IFERROR('Pay App 56'!F59/'Summary Sheet'!$D$19,""))</f>
        <v>#N/A</v>
      </c>
      <c r="DM6" s="264"/>
      <c r="DN6" s="276" t="e">
        <f>IF('Pay App 57'!$H$149=0,NA(),IFERROR('Pay App 57'!F59/'Summary Sheet'!$D$19,""))</f>
        <v>#N/A</v>
      </c>
      <c r="DO6" s="264"/>
      <c r="DP6" s="263" t="e">
        <f>IF('Pay App 58'!$H$149=0,NA(),IFERROR('Pay App 58'!F59/'Summary Sheet'!$D$19,""))</f>
        <v>#N/A</v>
      </c>
      <c r="DQ6" s="264"/>
      <c r="DR6" s="276" t="e">
        <f>IF('Pay App 59'!$H$149=0,NA(),IFERROR('Pay App 59'!F59/'Summary Sheet'!$D$19,""))</f>
        <v>#N/A</v>
      </c>
      <c r="DS6" s="264"/>
      <c r="DT6" s="263" t="e">
        <f>IF('Pay App 60'!$H$149=0,NA(),IFERROR('Pay App 60'!F59/'Summary Sheet'!$D$19,""))</f>
        <v>#N/A</v>
      </c>
      <c r="DU6" s="296"/>
    </row>
    <row r="7" spans="2:125" x14ac:dyDescent="0.25">
      <c r="B7" s="49" t="str">
        <f>'Pay App 1'!B60</f>
        <v>01 13 41</v>
      </c>
      <c r="C7" s="25" t="str">
        <f>'Pay App 1'!C60</f>
        <v>Temp. Scaffolding and Platforms</v>
      </c>
      <c r="D7" s="282" t="str" cm="1">
        <f t="array" ref="D7">IFERROR(1+(LOOKUP(2,1/(E7:DT7&lt;&gt;""),E7:DT7)-E7)/E7,"")</f>
        <v/>
      </c>
      <c r="E7" s="275" t="str">
        <f>IFERROR('GMP Tracker'!D11/'Summary Sheet'!$D$19,"")</f>
        <v/>
      </c>
      <c r="F7" s="276" t="e">
        <f>IF('Pay App 1'!$D$149=0,NA(),IFERROR('Pay App 1'!F60/'Summary Sheet'!$D$19,""))</f>
        <v>#N/A</v>
      </c>
      <c r="G7" s="271"/>
      <c r="H7" s="277" t="e">
        <f>IF('Pay App 2'!$H$149=0,NA(),IFERROR('Pay App 2'!F60/'Summary Sheet'!$D$19,""))</f>
        <v>#N/A</v>
      </c>
      <c r="I7" s="266"/>
      <c r="J7" s="276" t="e">
        <f>IF('Pay App 3'!$H$149=0,NA(),IFERROR('Pay App 3'!F60/'Summary Sheet'!$D$19,""))</f>
        <v>#N/A</v>
      </c>
      <c r="K7" s="268"/>
      <c r="L7" s="277" t="e">
        <f>IF('Pay App 4'!$H$149=0,NA(),IFERROR('Pay App 4'!F60/'Summary Sheet'!$D$19,""))</f>
        <v>#N/A</v>
      </c>
      <c r="M7" s="266"/>
      <c r="N7" s="276" t="e">
        <f>IF('Pay App 5'!$H$149=0,NA(),IFERROR('Pay App 5'!F60/'Summary Sheet'!$D$19,""))</f>
        <v>#N/A</v>
      </c>
      <c r="O7" s="263"/>
      <c r="P7" s="277" t="e">
        <f>IF('Pay App 6'!$H$149=0,NA(),IFERROR('Pay App 6'!F60/'Summary Sheet'!$D$19,""))</f>
        <v>#N/A</v>
      </c>
      <c r="Q7" s="263"/>
      <c r="R7" s="276" t="e">
        <f>IF('Pay App 7'!$H$149=0,NA(),IFERROR('Pay App 7'!F60/'Summary Sheet'!$D$19,""))</f>
        <v>#N/A</v>
      </c>
      <c r="S7" s="263"/>
      <c r="T7" s="277" t="e">
        <f>IF('Pay App 8'!$H$149=0,NA(),IFERROR('Pay App 8'!F60/'Summary Sheet'!$D$19,""))</f>
        <v>#N/A</v>
      </c>
      <c r="U7" s="263"/>
      <c r="V7" s="276" t="e">
        <f>IF('Pay App 9'!$H$149=0,NA(),IFERROR('Pay App 9'!F60/'Summary Sheet'!$D$19,""))</f>
        <v>#N/A</v>
      </c>
      <c r="W7" s="263"/>
      <c r="X7" s="277" t="e">
        <f>IF('Pay App 10'!$H$149=0,NA(),IFERROR('Pay App 10'!F60/'Summary Sheet'!$D$19,""))</f>
        <v>#N/A</v>
      </c>
      <c r="Y7" s="263"/>
      <c r="Z7" s="276" t="e">
        <f>IF('Pay App 11'!$H$149=0,NA(),IFERROR('Pay App 11'!F60/'Summary Sheet'!$D$19,""))</f>
        <v>#N/A</v>
      </c>
      <c r="AA7" s="263"/>
      <c r="AB7" s="277" t="e">
        <f>IF('Pay App 12'!$H$149=0,NA(),IFERROR('Pay App 12'!F60/'Summary Sheet'!$D$19,""))</f>
        <v>#N/A</v>
      </c>
      <c r="AC7" s="263"/>
      <c r="AD7" s="276" t="e">
        <f>IF('Pay App 13'!$H$149=0,NA(),IFERROR('Pay App 13'!F60/'Summary Sheet'!$D$19,""))</f>
        <v>#N/A</v>
      </c>
      <c r="AE7" s="263"/>
      <c r="AF7" s="277" t="e">
        <f>IF('Pay App 14'!$H$149=0,NA(),IFERROR('Pay App 14'!F60/'Summary Sheet'!$D$19,""))</f>
        <v>#N/A</v>
      </c>
      <c r="AG7" s="263"/>
      <c r="AH7" s="276" t="e">
        <f>IF('Pay App 15'!$H$149=0,NA(),IFERROR('Pay App 15'!F60/'Summary Sheet'!$D$19,""))</f>
        <v>#N/A</v>
      </c>
      <c r="AI7" s="263"/>
      <c r="AJ7" s="277" t="e">
        <f>IF('Pay App 16'!$H$149=0,NA(),IFERROR('Pay App 16'!F60/'Summary Sheet'!$D$19,""))</f>
        <v>#N/A</v>
      </c>
      <c r="AK7" s="263"/>
      <c r="AL7" s="276" t="e">
        <f>IF('Pay App 17'!$H$149=0,NA(),IFERROR('Pay App 17'!F60/'Summary Sheet'!$D$19,""))</f>
        <v>#N/A</v>
      </c>
      <c r="AM7" s="263"/>
      <c r="AN7" s="277" t="e">
        <f>IF('Pay App 18'!$H$149=0,NA(),IFERROR('Pay App 18'!F60/'Summary Sheet'!$D$19,""))</f>
        <v>#N/A</v>
      </c>
      <c r="AO7" s="263"/>
      <c r="AP7" s="276" t="e">
        <f>IF('Pay App 19'!$H$149=0,NA(),IFERROR('Pay App 19'!F60/'Summary Sheet'!$D$19,""))</f>
        <v>#N/A</v>
      </c>
      <c r="AQ7" s="263"/>
      <c r="AR7" s="263" t="e">
        <f>IF('Pay App 20'!$H$149=0,NA(),IFERROR('Pay App 20'!F60/'Summary Sheet'!$D$19,""))</f>
        <v>#N/A</v>
      </c>
      <c r="AS7" s="264"/>
      <c r="AT7" s="276" t="e">
        <f>IF('Pay App 21'!$H$149=0,NA(),IFERROR('Pay App 21'!F60/'Summary Sheet'!$D$19,""))</f>
        <v>#N/A</v>
      </c>
      <c r="AU7" s="264"/>
      <c r="AV7" s="263" t="e">
        <f>IF('Pay App 22'!$H$149=0,NA(),IFERROR('Pay App 22'!F60/'Summary Sheet'!$D$19,""))</f>
        <v>#N/A</v>
      </c>
      <c r="AW7" s="264"/>
      <c r="AX7" s="276" t="e">
        <f>IF('Pay App 23'!$H$149=0,NA(),IFERROR('Pay App 23'!F60/'Summary Sheet'!$D$19,""))</f>
        <v>#N/A</v>
      </c>
      <c r="AY7" s="264"/>
      <c r="AZ7" s="263" t="e">
        <f>IF('Pay App 24'!$H$149=0,NA(),IFERROR('Pay App 24'!F60/'Summary Sheet'!$D$19,""))</f>
        <v>#N/A</v>
      </c>
      <c r="BA7" s="264"/>
      <c r="BB7" s="276" t="e">
        <f>IF('Pay App 25'!$H$149=0,NA(),IFERROR('Pay App 25'!F60/'Summary Sheet'!$D$19,""))</f>
        <v>#N/A</v>
      </c>
      <c r="BC7" s="264"/>
      <c r="BD7" s="263" t="e">
        <f>IF('Pay App 26'!$H$149=0,NA(),IFERROR('Pay App 26'!F60/'Summary Sheet'!$D$19,""))</f>
        <v>#N/A</v>
      </c>
      <c r="BE7" s="264"/>
      <c r="BF7" s="276" t="e">
        <f>IF('Pay App 27'!$H$149=0,NA(),IFERROR('Pay App 27'!F60/'Summary Sheet'!$D$19,""))</f>
        <v>#N/A</v>
      </c>
      <c r="BG7" s="264"/>
      <c r="BH7" s="263" t="e">
        <f>IF('Pay App 28'!$H$149=0,NA(),IFERROR('Pay App 28'!F60/'Summary Sheet'!$D$19,""))</f>
        <v>#N/A</v>
      </c>
      <c r="BI7" s="264"/>
      <c r="BJ7" s="276" t="e">
        <f>IF('Pay App 29'!$H$149=0,NA(),IFERROR('Pay App 29'!F60/'Summary Sheet'!$D$19,""))</f>
        <v>#N/A</v>
      </c>
      <c r="BK7" s="271"/>
      <c r="BL7" s="263" t="e">
        <f>IF('Pay App 30'!$H$149=0,NA(),IFERROR('Pay App 30'!F60/'Summary Sheet'!$D$19,""))</f>
        <v>#N/A</v>
      </c>
      <c r="BM7" s="264"/>
      <c r="BN7" s="276" t="e">
        <f>IF('Pay App 31'!$H$149=0,NA(),IFERROR('Pay App 31'!F60/'Summary Sheet'!$D$19,""))</f>
        <v>#N/A</v>
      </c>
      <c r="BO7" s="264"/>
      <c r="BP7" s="263" t="e">
        <f>IF('Pay App 32'!$H$149=0,NA(),IFERROR('Pay App 32'!F60/'Summary Sheet'!$D$19,""))</f>
        <v>#N/A</v>
      </c>
      <c r="BQ7" s="264"/>
      <c r="BR7" s="276" t="e">
        <f>IF('Pay App 33'!$H$149=0,NA(),IFERROR('Pay App 33'!F60/'Summary Sheet'!$D$19,""))</f>
        <v>#N/A</v>
      </c>
      <c r="BS7" s="264"/>
      <c r="BT7" s="263" t="e">
        <f>IF('Pay App 34'!$H$149=0,NA(),IFERROR('Pay App 34'!F60/'Summary Sheet'!$D$19,""))</f>
        <v>#N/A</v>
      </c>
      <c r="BU7" s="264"/>
      <c r="BV7" s="276" t="e">
        <f>IF('Pay App 35'!$H$149=0,NA(),IFERROR('Pay App 35'!F60/'Summary Sheet'!$D$19,""))</f>
        <v>#N/A</v>
      </c>
      <c r="BW7" s="264"/>
      <c r="BX7" s="263" t="e">
        <f>IF('Pay App 36'!$H$149=0,NA(),IFERROR('Pay App 36'!F60/'Summary Sheet'!$D$19,""))</f>
        <v>#N/A</v>
      </c>
      <c r="BY7" s="264"/>
      <c r="BZ7" s="276" t="e">
        <f>IF('Pay App 37'!$H$149=0,NA(),IFERROR('Pay App 37'!F60/'Summary Sheet'!$D$19,""))</f>
        <v>#N/A</v>
      </c>
      <c r="CA7" s="264"/>
      <c r="CB7" s="263" t="e">
        <f>IF('Pay App 38'!$H$149=0,NA(),IFERROR('Pay App 38'!F60/'Summary Sheet'!$D$19,""))</f>
        <v>#N/A</v>
      </c>
      <c r="CC7" s="264"/>
      <c r="CD7" s="276" t="e">
        <f>IF('Pay App 39'!$H$149=0,NA(),IFERROR('Pay App 39'!F60/'Summary Sheet'!$D$19,""))</f>
        <v>#N/A</v>
      </c>
      <c r="CE7" s="264"/>
      <c r="CF7" s="263" t="e">
        <f>IF('Pay App 40'!$H$149=0,NA(),IFERROR('Pay App 40'!F60/'Summary Sheet'!$D$19,""))</f>
        <v>#N/A</v>
      </c>
      <c r="CG7" s="264"/>
      <c r="CH7" s="276" t="e">
        <f>IF('Pay App 41'!$H$149=0,NA(),IFERROR('Pay App 41'!F60/'Summary Sheet'!$D$19,""))</f>
        <v>#N/A</v>
      </c>
      <c r="CI7" s="264"/>
      <c r="CJ7" s="263" t="e">
        <f>IF('Pay App 42'!$H$149=0,NA(),IFERROR('Pay App 42'!F60/'Summary Sheet'!$D$19,""))</f>
        <v>#N/A</v>
      </c>
      <c r="CK7" s="264"/>
      <c r="CL7" s="276" t="e">
        <f>IF('Pay App 43'!$H$149=0,NA(),IFERROR('Pay App 43'!F60/'Summary Sheet'!$D$19,""))</f>
        <v>#N/A</v>
      </c>
      <c r="CM7" s="264"/>
      <c r="CN7" s="263" t="e">
        <f>IF('Pay App 44'!$H$149=0,NA(),IFERROR('Pay App 44'!F60/'Summary Sheet'!$D$19,""))</f>
        <v>#N/A</v>
      </c>
      <c r="CO7" s="264"/>
      <c r="CP7" s="276" t="e">
        <f>IF('Pay App 45'!$H$149=0,NA(),IFERROR('Pay App 45'!F60/'Summary Sheet'!$D$19,""))</f>
        <v>#N/A</v>
      </c>
      <c r="CQ7" s="264"/>
      <c r="CR7" s="263" t="e">
        <f>IF('Pay App 46'!$H$149=0,NA(),IFERROR('Pay App 46'!F60/'Summary Sheet'!$D$19,""))</f>
        <v>#N/A</v>
      </c>
      <c r="CS7" s="264"/>
      <c r="CT7" s="276" t="e">
        <f>IF('Pay App 47'!$H$149=0,NA(),IFERROR('Pay App 47'!F60/'Summary Sheet'!$D$19,""))</f>
        <v>#N/A</v>
      </c>
      <c r="CU7" s="264"/>
      <c r="CV7" s="263" t="e">
        <f>IF('Pay App 48'!$H$149=0,NA(),IFERROR('Pay App 48'!F60/'Summary Sheet'!$D$19,""))</f>
        <v>#N/A</v>
      </c>
      <c r="CW7" s="264"/>
      <c r="CX7" s="276" t="e">
        <f>IF('Pay App 49'!$H$149=0,NA(),IFERROR('Pay App 49'!F60/'Summary Sheet'!$D$19,""))</f>
        <v>#N/A</v>
      </c>
      <c r="CY7" s="264"/>
      <c r="CZ7" s="263" t="e">
        <f>IF('Pay App 50'!$H$149=0,NA(),IFERROR('Pay App 50'!F60/'Summary Sheet'!$D$19,""))</f>
        <v>#N/A</v>
      </c>
      <c r="DA7" s="264"/>
      <c r="DB7" s="276" t="e">
        <f>IF('Pay App 51'!$H$149=0,NA(),IFERROR('Pay App 51'!F60/'Summary Sheet'!$D$19,""))</f>
        <v>#N/A</v>
      </c>
      <c r="DC7" s="264"/>
      <c r="DD7" s="263" t="e">
        <f>IF('Pay App 52'!$H$149=0,NA(),IFERROR('Pay App 52'!F60/'Summary Sheet'!$D$19,""))</f>
        <v>#N/A</v>
      </c>
      <c r="DE7" s="264"/>
      <c r="DF7" s="276" t="e">
        <f>IF('Pay App 53'!$H$149=0,NA(),IFERROR('Pay App 53'!F60/'Summary Sheet'!$D$19,""))</f>
        <v>#N/A</v>
      </c>
      <c r="DG7" s="264"/>
      <c r="DH7" s="263" t="e">
        <f>IF('Pay App 54'!$H$149=0,NA(),IFERROR('Pay App 54'!F60/'Summary Sheet'!$D$19,""))</f>
        <v>#N/A</v>
      </c>
      <c r="DI7" s="264"/>
      <c r="DJ7" s="276" t="e">
        <f>IF('Pay App 55'!$H$149=0,NA(),IFERROR('Pay App 55'!F60/'Summary Sheet'!$D$19,""))</f>
        <v>#N/A</v>
      </c>
      <c r="DK7" s="264"/>
      <c r="DL7" s="263" t="e">
        <f>IF('Pay App 56'!$H$149=0,NA(),IFERROR('Pay App 56'!F60/'Summary Sheet'!$D$19,""))</f>
        <v>#N/A</v>
      </c>
      <c r="DM7" s="264"/>
      <c r="DN7" s="276" t="e">
        <f>IF('Pay App 57'!$H$149=0,NA(),IFERROR('Pay App 57'!F60/'Summary Sheet'!$D$19,""))</f>
        <v>#N/A</v>
      </c>
      <c r="DO7" s="264"/>
      <c r="DP7" s="263" t="e">
        <f>IF('Pay App 58'!$H$149=0,NA(),IFERROR('Pay App 58'!F60/'Summary Sheet'!$D$19,""))</f>
        <v>#N/A</v>
      </c>
      <c r="DQ7" s="264"/>
      <c r="DR7" s="276" t="e">
        <f>IF('Pay App 59'!$H$149=0,NA(),IFERROR('Pay App 59'!F60/'Summary Sheet'!$D$19,""))</f>
        <v>#N/A</v>
      </c>
      <c r="DS7" s="264"/>
      <c r="DT7" s="263" t="e">
        <f>IF('Pay App 60'!$H$149=0,NA(),IFERROR('Pay App 60'!F60/'Summary Sheet'!$D$19,""))</f>
        <v>#N/A</v>
      </c>
      <c r="DU7" s="296"/>
    </row>
    <row r="8" spans="2:125" x14ac:dyDescent="0.25">
      <c r="B8" s="49" t="str">
        <f>'Pay App 1'!B61</f>
        <v>01 13 60</v>
      </c>
      <c r="C8" s="25" t="str">
        <f>'Pay App 1'!C61</f>
        <v>SWPPP</v>
      </c>
      <c r="D8" s="282" t="str" cm="1">
        <f t="array" ref="D8">IFERROR(1+(LOOKUP(2,1/(E8:DT8&lt;&gt;""),E8:DT8)-E8)/E8,"")</f>
        <v/>
      </c>
      <c r="E8" s="275" t="str">
        <f>IFERROR('GMP Tracker'!D12/'Summary Sheet'!$D$19,"")</f>
        <v/>
      </c>
      <c r="F8" s="276" t="e">
        <f>IF('Pay App 1'!$D$149=0,NA(),IFERROR('Pay App 1'!F61/'Summary Sheet'!$D$19,""))</f>
        <v>#N/A</v>
      </c>
      <c r="G8" s="271"/>
      <c r="H8" s="277" t="e">
        <f>IF('Pay App 2'!$H$149=0,NA(),IFERROR('Pay App 2'!F61/'Summary Sheet'!$D$19,""))</f>
        <v>#N/A</v>
      </c>
      <c r="I8" s="266"/>
      <c r="J8" s="276" t="e">
        <f>IF('Pay App 3'!$H$149=0,NA(),IFERROR('Pay App 3'!F61/'Summary Sheet'!$D$19,""))</f>
        <v>#N/A</v>
      </c>
      <c r="K8" s="268"/>
      <c r="L8" s="277" t="e">
        <f>IF('Pay App 4'!$H$149=0,NA(),IFERROR('Pay App 4'!F61/'Summary Sheet'!$D$19,""))</f>
        <v>#N/A</v>
      </c>
      <c r="M8" s="266"/>
      <c r="N8" s="276" t="e">
        <f>IF('Pay App 5'!$H$149=0,NA(),IFERROR('Pay App 5'!F61/'Summary Sheet'!$D$19,""))</f>
        <v>#N/A</v>
      </c>
      <c r="O8" s="263"/>
      <c r="P8" s="277" t="e">
        <f>IF('Pay App 6'!$H$149=0,NA(),IFERROR('Pay App 6'!F61/'Summary Sheet'!$D$19,""))</f>
        <v>#N/A</v>
      </c>
      <c r="Q8" s="263"/>
      <c r="R8" s="276" t="e">
        <f>IF('Pay App 7'!$H$149=0,NA(),IFERROR('Pay App 7'!F61/'Summary Sheet'!$D$19,""))</f>
        <v>#N/A</v>
      </c>
      <c r="S8" s="263"/>
      <c r="T8" s="277" t="e">
        <f>IF('Pay App 8'!$H$149=0,NA(),IFERROR('Pay App 8'!F61/'Summary Sheet'!$D$19,""))</f>
        <v>#N/A</v>
      </c>
      <c r="U8" s="263"/>
      <c r="V8" s="276" t="e">
        <f>IF('Pay App 9'!$H$149=0,NA(),IFERROR('Pay App 9'!F61/'Summary Sheet'!$D$19,""))</f>
        <v>#N/A</v>
      </c>
      <c r="W8" s="263"/>
      <c r="X8" s="277" t="e">
        <f>IF('Pay App 10'!$H$149=0,NA(),IFERROR('Pay App 10'!F61/'Summary Sheet'!$D$19,""))</f>
        <v>#N/A</v>
      </c>
      <c r="Y8" s="263"/>
      <c r="Z8" s="276" t="e">
        <f>IF('Pay App 11'!$H$149=0,NA(),IFERROR('Pay App 11'!F61/'Summary Sheet'!$D$19,""))</f>
        <v>#N/A</v>
      </c>
      <c r="AA8" s="263"/>
      <c r="AB8" s="277" t="e">
        <f>IF('Pay App 12'!$H$149=0,NA(),IFERROR('Pay App 12'!F61/'Summary Sheet'!$D$19,""))</f>
        <v>#N/A</v>
      </c>
      <c r="AC8" s="263"/>
      <c r="AD8" s="276" t="e">
        <f>IF('Pay App 13'!$H$149=0,NA(),IFERROR('Pay App 13'!F61/'Summary Sheet'!$D$19,""))</f>
        <v>#N/A</v>
      </c>
      <c r="AE8" s="263"/>
      <c r="AF8" s="277" t="e">
        <f>IF('Pay App 14'!$H$149=0,NA(),IFERROR('Pay App 14'!F61/'Summary Sheet'!$D$19,""))</f>
        <v>#N/A</v>
      </c>
      <c r="AG8" s="263"/>
      <c r="AH8" s="276" t="e">
        <f>IF('Pay App 15'!$H$149=0,NA(),IFERROR('Pay App 15'!F61/'Summary Sheet'!$D$19,""))</f>
        <v>#N/A</v>
      </c>
      <c r="AI8" s="263"/>
      <c r="AJ8" s="277" t="e">
        <f>IF('Pay App 16'!$H$149=0,NA(),IFERROR('Pay App 16'!F61/'Summary Sheet'!$D$19,""))</f>
        <v>#N/A</v>
      </c>
      <c r="AK8" s="263"/>
      <c r="AL8" s="276" t="e">
        <f>IF('Pay App 17'!$H$149=0,NA(),IFERROR('Pay App 17'!F61/'Summary Sheet'!$D$19,""))</f>
        <v>#N/A</v>
      </c>
      <c r="AM8" s="263"/>
      <c r="AN8" s="277" t="e">
        <f>IF('Pay App 18'!$H$149=0,NA(),IFERROR('Pay App 18'!F61/'Summary Sheet'!$D$19,""))</f>
        <v>#N/A</v>
      </c>
      <c r="AO8" s="263"/>
      <c r="AP8" s="276" t="e">
        <f>IF('Pay App 19'!$H$149=0,NA(),IFERROR('Pay App 19'!F61/'Summary Sheet'!$D$19,""))</f>
        <v>#N/A</v>
      </c>
      <c r="AQ8" s="263"/>
      <c r="AR8" s="263" t="e">
        <f>IF('Pay App 20'!$H$149=0,NA(),IFERROR('Pay App 20'!F61/'Summary Sheet'!$D$19,""))</f>
        <v>#N/A</v>
      </c>
      <c r="AS8" s="264"/>
      <c r="AT8" s="276" t="e">
        <f>IF('Pay App 21'!$H$149=0,NA(),IFERROR('Pay App 21'!F61/'Summary Sheet'!$D$19,""))</f>
        <v>#N/A</v>
      </c>
      <c r="AU8" s="264"/>
      <c r="AV8" s="263" t="e">
        <f>IF('Pay App 22'!$H$149=0,NA(),IFERROR('Pay App 22'!F61/'Summary Sheet'!$D$19,""))</f>
        <v>#N/A</v>
      </c>
      <c r="AW8" s="264"/>
      <c r="AX8" s="276" t="e">
        <f>IF('Pay App 23'!$H$149=0,NA(),IFERROR('Pay App 23'!F61/'Summary Sheet'!$D$19,""))</f>
        <v>#N/A</v>
      </c>
      <c r="AY8" s="264"/>
      <c r="AZ8" s="263" t="e">
        <f>IF('Pay App 24'!$H$149=0,NA(),IFERROR('Pay App 24'!F61/'Summary Sheet'!$D$19,""))</f>
        <v>#N/A</v>
      </c>
      <c r="BA8" s="264"/>
      <c r="BB8" s="276" t="e">
        <f>IF('Pay App 25'!$H$149=0,NA(),IFERROR('Pay App 25'!F61/'Summary Sheet'!$D$19,""))</f>
        <v>#N/A</v>
      </c>
      <c r="BC8" s="264"/>
      <c r="BD8" s="263" t="e">
        <f>IF('Pay App 26'!$H$149=0,NA(),IFERROR('Pay App 26'!F61/'Summary Sheet'!$D$19,""))</f>
        <v>#N/A</v>
      </c>
      <c r="BE8" s="264"/>
      <c r="BF8" s="276" t="e">
        <f>IF('Pay App 27'!$H$149=0,NA(),IFERROR('Pay App 27'!F61/'Summary Sheet'!$D$19,""))</f>
        <v>#N/A</v>
      </c>
      <c r="BG8" s="264"/>
      <c r="BH8" s="263" t="e">
        <f>IF('Pay App 28'!$H$149=0,NA(),IFERROR('Pay App 28'!F61/'Summary Sheet'!$D$19,""))</f>
        <v>#N/A</v>
      </c>
      <c r="BI8" s="264"/>
      <c r="BJ8" s="276" t="e">
        <f>IF('Pay App 29'!$H$149=0,NA(),IFERROR('Pay App 29'!F61/'Summary Sheet'!$D$19,""))</f>
        <v>#N/A</v>
      </c>
      <c r="BK8" s="271"/>
      <c r="BL8" s="263" t="e">
        <f>IF('Pay App 30'!$H$149=0,NA(),IFERROR('Pay App 30'!F61/'Summary Sheet'!$D$19,""))</f>
        <v>#N/A</v>
      </c>
      <c r="BM8" s="264"/>
      <c r="BN8" s="276" t="e">
        <f>IF('Pay App 31'!$H$149=0,NA(),IFERROR('Pay App 31'!F61/'Summary Sheet'!$D$19,""))</f>
        <v>#N/A</v>
      </c>
      <c r="BO8" s="264"/>
      <c r="BP8" s="263" t="e">
        <f>IF('Pay App 32'!$H$149=0,NA(),IFERROR('Pay App 32'!F61/'Summary Sheet'!$D$19,""))</f>
        <v>#N/A</v>
      </c>
      <c r="BQ8" s="264"/>
      <c r="BR8" s="276" t="e">
        <f>IF('Pay App 33'!$H$149=0,NA(),IFERROR('Pay App 33'!F61/'Summary Sheet'!$D$19,""))</f>
        <v>#N/A</v>
      </c>
      <c r="BS8" s="264"/>
      <c r="BT8" s="263" t="e">
        <f>IF('Pay App 34'!$H$149=0,NA(),IFERROR('Pay App 34'!F61/'Summary Sheet'!$D$19,""))</f>
        <v>#N/A</v>
      </c>
      <c r="BU8" s="264"/>
      <c r="BV8" s="276" t="e">
        <f>IF('Pay App 35'!$H$149=0,NA(),IFERROR('Pay App 35'!F61/'Summary Sheet'!$D$19,""))</f>
        <v>#N/A</v>
      </c>
      <c r="BW8" s="264"/>
      <c r="BX8" s="263" t="e">
        <f>IF('Pay App 36'!$H$149=0,NA(),IFERROR('Pay App 36'!F61/'Summary Sheet'!$D$19,""))</f>
        <v>#N/A</v>
      </c>
      <c r="BY8" s="264"/>
      <c r="BZ8" s="276" t="e">
        <f>IF('Pay App 37'!$H$149=0,NA(),IFERROR('Pay App 37'!F61/'Summary Sheet'!$D$19,""))</f>
        <v>#N/A</v>
      </c>
      <c r="CA8" s="264"/>
      <c r="CB8" s="263" t="e">
        <f>IF('Pay App 38'!$H$149=0,NA(),IFERROR('Pay App 38'!F61/'Summary Sheet'!$D$19,""))</f>
        <v>#N/A</v>
      </c>
      <c r="CC8" s="264"/>
      <c r="CD8" s="276" t="e">
        <f>IF('Pay App 39'!$H$149=0,NA(),IFERROR('Pay App 39'!F61/'Summary Sheet'!$D$19,""))</f>
        <v>#N/A</v>
      </c>
      <c r="CE8" s="264"/>
      <c r="CF8" s="263" t="e">
        <f>IF('Pay App 40'!$H$149=0,NA(),IFERROR('Pay App 40'!F61/'Summary Sheet'!$D$19,""))</f>
        <v>#N/A</v>
      </c>
      <c r="CG8" s="264"/>
      <c r="CH8" s="276" t="e">
        <f>IF('Pay App 41'!$H$149=0,NA(),IFERROR('Pay App 41'!F61/'Summary Sheet'!$D$19,""))</f>
        <v>#N/A</v>
      </c>
      <c r="CI8" s="264"/>
      <c r="CJ8" s="263" t="e">
        <f>IF('Pay App 42'!$H$149=0,NA(),IFERROR('Pay App 42'!F61/'Summary Sheet'!$D$19,""))</f>
        <v>#N/A</v>
      </c>
      <c r="CK8" s="264"/>
      <c r="CL8" s="276" t="e">
        <f>IF('Pay App 43'!$H$149=0,NA(),IFERROR('Pay App 43'!F61/'Summary Sheet'!$D$19,""))</f>
        <v>#N/A</v>
      </c>
      <c r="CM8" s="264"/>
      <c r="CN8" s="263" t="e">
        <f>IF('Pay App 44'!$H$149=0,NA(),IFERROR('Pay App 44'!F61/'Summary Sheet'!$D$19,""))</f>
        <v>#N/A</v>
      </c>
      <c r="CO8" s="264"/>
      <c r="CP8" s="276" t="e">
        <f>IF('Pay App 45'!$H$149=0,NA(),IFERROR('Pay App 45'!F61/'Summary Sheet'!$D$19,""))</f>
        <v>#N/A</v>
      </c>
      <c r="CQ8" s="264"/>
      <c r="CR8" s="263" t="e">
        <f>IF('Pay App 46'!$H$149=0,NA(),IFERROR('Pay App 46'!F61/'Summary Sheet'!$D$19,""))</f>
        <v>#N/A</v>
      </c>
      <c r="CS8" s="264"/>
      <c r="CT8" s="276" t="e">
        <f>IF('Pay App 47'!$H$149=0,NA(),IFERROR('Pay App 47'!F61/'Summary Sheet'!$D$19,""))</f>
        <v>#N/A</v>
      </c>
      <c r="CU8" s="264"/>
      <c r="CV8" s="263" t="e">
        <f>IF('Pay App 48'!$H$149=0,NA(),IFERROR('Pay App 48'!F61/'Summary Sheet'!$D$19,""))</f>
        <v>#N/A</v>
      </c>
      <c r="CW8" s="264"/>
      <c r="CX8" s="276" t="e">
        <f>IF('Pay App 49'!$H$149=0,NA(),IFERROR('Pay App 49'!F61/'Summary Sheet'!$D$19,""))</f>
        <v>#N/A</v>
      </c>
      <c r="CY8" s="264"/>
      <c r="CZ8" s="263" t="e">
        <f>IF('Pay App 50'!$H$149=0,NA(),IFERROR('Pay App 50'!F61/'Summary Sheet'!$D$19,""))</f>
        <v>#N/A</v>
      </c>
      <c r="DA8" s="264"/>
      <c r="DB8" s="276" t="e">
        <f>IF('Pay App 51'!$H$149=0,NA(),IFERROR('Pay App 51'!F61/'Summary Sheet'!$D$19,""))</f>
        <v>#N/A</v>
      </c>
      <c r="DC8" s="264"/>
      <c r="DD8" s="263" t="e">
        <f>IF('Pay App 52'!$H$149=0,NA(),IFERROR('Pay App 52'!F61/'Summary Sheet'!$D$19,""))</f>
        <v>#N/A</v>
      </c>
      <c r="DE8" s="264"/>
      <c r="DF8" s="276" t="e">
        <f>IF('Pay App 53'!$H$149=0,NA(),IFERROR('Pay App 53'!F61/'Summary Sheet'!$D$19,""))</f>
        <v>#N/A</v>
      </c>
      <c r="DG8" s="264"/>
      <c r="DH8" s="263" t="e">
        <f>IF('Pay App 54'!$H$149=0,NA(),IFERROR('Pay App 54'!F61/'Summary Sheet'!$D$19,""))</f>
        <v>#N/A</v>
      </c>
      <c r="DI8" s="264"/>
      <c r="DJ8" s="276" t="e">
        <f>IF('Pay App 55'!$H$149=0,NA(),IFERROR('Pay App 55'!F61/'Summary Sheet'!$D$19,""))</f>
        <v>#N/A</v>
      </c>
      <c r="DK8" s="264"/>
      <c r="DL8" s="263" t="e">
        <f>IF('Pay App 56'!$H$149=0,NA(),IFERROR('Pay App 56'!F61/'Summary Sheet'!$D$19,""))</f>
        <v>#N/A</v>
      </c>
      <c r="DM8" s="264"/>
      <c r="DN8" s="276" t="e">
        <f>IF('Pay App 57'!$H$149=0,NA(),IFERROR('Pay App 57'!F61/'Summary Sheet'!$D$19,""))</f>
        <v>#N/A</v>
      </c>
      <c r="DO8" s="264"/>
      <c r="DP8" s="263" t="e">
        <f>IF('Pay App 58'!$H$149=0,NA(),IFERROR('Pay App 58'!F61/'Summary Sheet'!$D$19,""))</f>
        <v>#N/A</v>
      </c>
      <c r="DQ8" s="264"/>
      <c r="DR8" s="276" t="e">
        <f>IF('Pay App 59'!$H$149=0,NA(),IFERROR('Pay App 59'!F61/'Summary Sheet'!$D$19,""))</f>
        <v>#N/A</v>
      </c>
      <c r="DS8" s="264"/>
      <c r="DT8" s="263" t="e">
        <f>IF('Pay App 60'!$H$149=0,NA(),IFERROR('Pay App 60'!F61/'Summary Sheet'!$D$19,""))</f>
        <v>#N/A</v>
      </c>
      <c r="DU8" s="296"/>
    </row>
    <row r="9" spans="2:125" x14ac:dyDescent="0.25">
      <c r="B9" s="49" t="str">
        <f>'Pay App 1'!B62</f>
        <v>01 19 70</v>
      </c>
      <c r="C9" s="25" t="str">
        <f>'Pay App 1'!C62</f>
        <v>Construction Cranes and Hoists</v>
      </c>
      <c r="D9" s="282" t="str" cm="1">
        <f t="array" ref="D9">IFERROR(1+(LOOKUP(2,1/(E9:DT9&lt;&gt;""),E9:DT9)-E9)/E9,"")</f>
        <v/>
      </c>
      <c r="E9" s="275" t="str">
        <f>IFERROR('GMP Tracker'!D13/'Summary Sheet'!$D$19,"")</f>
        <v/>
      </c>
      <c r="F9" s="276" t="e">
        <f>IF('Pay App 1'!$D$149=0,NA(),IFERROR('Pay App 1'!F62/'Summary Sheet'!$D$19,""))</f>
        <v>#N/A</v>
      </c>
      <c r="G9" s="271"/>
      <c r="H9" s="277" t="e">
        <f>IF('Pay App 2'!$H$149=0,NA(),IFERROR('Pay App 2'!F62/'Summary Sheet'!$D$19,""))</f>
        <v>#N/A</v>
      </c>
      <c r="I9" s="266"/>
      <c r="J9" s="276" t="e">
        <f>IF('Pay App 3'!$H$149=0,NA(),IFERROR('Pay App 3'!F62/'Summary Sheet'!$D$19,""))</f>
        <v>#N/A</v>
      </c>
      <c r="K9" s="268"/>
      <c r="L9" s="277" t="e">
        <f>IF('Pay App 4'!$H$149=0,NA(),IFERROR('Pay App 4'!F62/'Summary Sheet'!$D$19,""))</f>
        <v>#N/A</v>
      </c>
      <c r="M9" s="266"/>
      <c r="N9" s="276" t="e">
        <f>IF('Pay App 5'!$H$149=0,NA(),IFERROR('Pay App 5'!F62/'Summary Sheet'!$D$19,""))</f>
        <v>#N/A</v>
      </c>
      <c r="O9" s="263"/>
      <c r="P9" s="277" t="e">
        <f>IF('Pay App 6'!$H$149=0,NA(),IFERROR('Pay App 6'!F62/'Summary Sheet'!$D$19,""))</f>
        <v>#N/A</v>
      </c>
      <c r="Q9" s="263"/>
      <c r="R9" s="276" t="e">
        <f>IF('Pay App 7'!$H$149=0,NA(),IFERROR('Pay App 7'!F62/'Summary Sheet'!$D$19,""))</f>
        <v>#N/A</v>
      </c>
      <c r="S9" s="263"/>
      <c r="T9" s="277" t="e">
        <f>IF('Pay App 8'!$H$149=0,NA(),IFERROR('Pay App 8'!F62/'Summary Sheet'!$D$19,""))</f>
        <v>#N/A</v>
      </c>
      <c r="U9" s="263"/>
      <c r="V9" s="276" t="e">
        <f>IF('Pay App 9'!$H$149=0,NA(),IFERROR('Pay App 9'!F62/'Summary Sheet'!$D$19,""))</f>
        <v>#N/A</v>
      </c>
      <c r="W9" s="263"/>
      <c r="X9" s="277" t="e">
        <f>IF('Pay App 10'!$H$149=0,NA(),IFERROR('Pay App 10'!F62/'Summary Sheet'!$D$19,""))</f>
        <v>#N/A</v>
      </c>
      <c r="Y9" s="263"/>
      <c r="Z9" s="276" t="e">
        <f>IF('Pay App 11'!$H$149=0,NA(),IFERROR('Pay App 11'!F62/'Summary Sheet'!$D$19,""))</f>
        <v>#N/A</v>
      </c>
      <c r="AA9" s="263"/>
      <c r="AB9" s="277" t="e">
        <f>IF('Pay App 12'!$H$149=0,NA(),IFERROR('Pay App 12'!F62/'Summary Sheet'!$D$19,""))</f>
        <v>#N/A</v>
      </c>
      <c r="AC9" s="263"/>
      <c r="AD9" s="276" t="e">
        <f>IF('Pay App 13'!$H$149=0,NA(),IFERROR('Pay App 13'!F62/'Summary Sheet'!$D$19,""))</f>
        <v>#N/A</v>
      </c>
      <c r="AE9" s="263"/>
      <c r="AF9" s="277" t="e">
        <f>IF('Pay App 14'!$H$149=0,NA(),IFERROR('Pay App 14'!F62/'Summary Sheet'!$D$19,""))</f>
        <v>#N/A</v>
      </c>
      <c r="AG9" s="263"/>
      <c r="AH9" s="276" t="e">
        <f>IF('Pay App 15'!$H$149=0,NA(),IFERROR('Pay App 15'!F62/'Summary Sheet'!$D$19,""))</f>
        <v>#N/A</v>
      </c>
      <c r="AI9" s="263"/>
      <c r="AJ9" s="277" t="e">
        <f>IF('Pay App 16'!$H$149=0,NA(),IFERROR('Pay App 16'!F62/'Summary Sheet'!$D$19,""))</f>
        <v>#N/A</v>
      </c>
      <c r="AK9" s="263"/>
      <c r="AL9" s="276" t="e">
        <f>IF('Pay App 17'!$H$149=0,NA(),IFERROR('Pay App 17'!F62/'Summary Sheet'!$D$19,""))</f>
        <v>#N/A</v>
      </c>
      <c r="AM9" s="263"/>
      <c r="AN9" s="277" t="e">
        <f>IF('Pay App 18'!$H$149=0,NA(),IFERROR('Pay App 18'!F62/'Summary Sheet'!$D$19,""))</f>
        <v>#N/A</v>
      </c>
      <c r="AO9" s="263"/>
      <c r="AP9" s="276" t="e">
        <f>IF('Pay App 19'!$H$149=0,NA(),IFERROR('Pay App 19'!F62/'Summary Sheet'!$D$19,""))</f>
        <v>#N/A</v>
      </c>
      <c r="AQ9" s="263"/>
      <c r="AR9" s="263" t="e">
        <f>IF('Pay App 20'!$H$149=0,NA(),IFERROR('Pay App 20'!F62/'Summary Sheet'!$D$19,""))</f>
        <v>#N/A</v>
      </c>
      <c r="AS9" s="264"/>
      <c r="AT9" s="276" t="e">
        <f>IF('Pay App 21'!$H$149=0,NA(),IFERROR('Pay App 21'!F62/'Summary Sheet'!$D$19,""))</f>
        <v>#N/A</v>
      </c>
      <c r="AU9" s="264"/>
      <c r="AV9" s="263" t="e">
        <f>IF('Pay App 22'!$H$149=0,NA(),IFERROR('Pay App 22'!F62/'Summary Sheet'!$D$19,""))</f>
        <v>#N/A</v>
      </c>
      <c r="AW9" s="264"/>
      <c r="AX9" s="276" t="e">
        <f>IF('Pay App 23'!$H$149=0,NA(),IFERROR('Pay App 23'!F62/'Summary Sheet'!$D$19,""))</f>
        <v>#N/A</v>
      </c>
      <c r="AY9" s="264"/>
      <c r="AZ9" s="263" t="e">
        <f>IF('Pay App 24'!$H$149=0,NA(),IFERROR('Pay App 24'!F62/'Summary Sheet'!$D$19,""))</f>
        <v>#N/A</v>
      </c>
      <c r="BA9" s="264"/>
      <c r="BB9" s="276" t="e">
        <f>IF('Pay App 25'!$H$149=0,NA(),IFERROR('Pay App 25'!F62/'Summary Sheet'!$D$19,""))</f>
        <v>#N/A</v>
      </c>
      <c r="BC9" s="264"/>
      <c r="BD9" s="263" t="e">
        <f>IF('Pay App 26'!$H$149=0,NA(),IFERROR('Pay App 26'!F62/'Summary Sheet'!$D$19,""))</f>
        <v>#N/A</v>
      </c>
      <c r="BE9" s="264"/>
      <c r="BF9" s="276" t="e">
        <f>IF('Pay App 27'!$H$149=0,NA(),IFERROR('Pay App 27'!F62/'Summary Sheet'!$D$19,""))</f>
        <v>#N/A</v>
      </c>
      <c r="BG9" s="264"/>
      <c r="BH9" s="263" t="e">
        <f>IF('Pay App 28'!$H$149=0,NA(),IFERROR('Pay App 28'!F62/'Summary Sheet'!$D$19,""))</f>
        <v>#N/A</v>
      </c>
      <c r="BI9" s="264"/>
      <c r="BJ9" s="276" t="e">
        <f>IF('Pay App 29'!$H$149=0,NA(),IFERROR('Pay App 29'!F62/'Summary Sheet'!$D$19,""))</f>
        <v>#N/A</v>
      </c>
      <c r="BK9" s="271"/>
      <c r="BL9" s="263" t="e">
        <f>IF('Pay App 30'!$H$149=0,NA(),IFERROR('Pay App 30'!F62/'Summary Sheet'!$D$19,""))</f>
        <v>#N/A</v>
      </c>
      <c r="BM9" s="264"/>
      <c r="BN9" s="276" t="e">
        <f>IF('Pay App 31'!$H$149=0,NA(),IFERROR('Pay App 31'!F62/'Summary Sheet'!$D$19,""))</f>
        <v>#N/A</v>
      </c>
      <c r="BO9" s="264"/>
      <c r="BP9" s="263" t="e">
        <f>IF('Pay App 32'!$H$149=0,NA(),IFERROR('Pay App 32'!F62/'Summary Sheet'!$D$19,""))</f>
        <v>#N/A</v>
      </c>
      <c r="BQ9" s="264"/>
      <c r="BR9" s="276" t="e">
        <f>IF('Pay App 33'!$H$149=0,NA(),IFERROR('Pay App 33'!F62/'Summary Sheet'!$D$19,""))</f>
        <v>#N/A</v>
      </c>
      <c r="BS9" s="264"/>
      <c r="BT9" s="263" t="e">
        <f>IF('Pay App 34'!$H$149=0,NA(),IFERROR('Pay App 34'!F62/'Summary Sheet'!$D$19,""))</f>
        <v>#N/A</v>
      </c>
      <c r="BU9" s="264"/>
      <c r="BV9" s="276" t="e">
        <f>IF('Pay App 35'!$H$149=0,NA(),IFERROR('Pay App 35'!F62/'Summary Sheet'!$D$19,""))</f>
        <v>#N/A</v>
      </c>
      <c r="BW9" s="264"/>
      <c r="BX9" s="263" t="e">
        <f>IF('Pay App 36'!$H$149=0,NA(),IFERROR('Pay App 36'!F62/'Summary Sheet'!$D$19,""))</f>
        <v>#N/A</v>
      </c>
      <c r="BY9" s="264"/>
      <c r="BZ9" s="276" t="e">
        <f>IF('Pay App 37'!$H$149=0,NA(),IFERROR('Pay App 37'!F62/'Summary Sheet'!$D$19,""))</f>
        <v>#N/A</v>
      </c>
      <c r="CA9" s="264"/>
      <c r="CB9" s="263" t="e">
        <f>IF('Pay App 38'!$H$149=0,NA(),IFERROR('Pay App 38'!F62/'Summary Sheet'!$D$19,""))</f>
        <v>#N/A</v>
      </c>
      <c r="CC9" s="264"/>
      <c r="CD9" s="276" t="e">
        <f>IF('Pay App 39'!$H$149=0,NA(),IFERROR('Pay App 39'!F62/'Summary Sheet'!$D$19,""))</f>
        <v>#N/A</v>
      </c>
      <c r="CE9" s="264"/>
      <c r="CF9" s="263" t="e">
        <f>IF('Pay App 40'!$H$149=0,NA(),IFERROR('Pay App 40'!F62/'Summary Sheet'!$D$19,""))</f>
        <v>#N/A</v>
      </c>
      <c r="CG9" s="264"/>
      <c r="CH9" s="276" t="e">
        <f>IF('Pay App 41'!$H$149=0,NA(),IFERROR('Pay App 41'!F62/'Summary Sheet'!$D$19,""))</f>
        <v>#N/A</v>
      </c>
      <c r="CI9" s="264"/>
      <c r="CJ9" s="263" t="e">
        <f>IF('Pay App 42'!$H$149=0,NA(),IFERROR('Pay App 42'!F62/'Summary Sheet'!$D$19,""))</f>
        <v>#N/A</v>
      </c>
      <c r="CK9" s="264"/>
      <c r="CL9" s="276" t="e">
        <f>IF('Pay App 43'!$H$149=0,NA(),IFERROR('Pay App 43'!F62/'Summary Sheet'!$D$19,""))</f>
        <v>#N/A</v>
      </c>
      <c r="CM9" s="264"/>
      <c r="CN9" s="263" t="e">
        <f>IF('Pay App 44'!$H$149=0,NA(),IFERROR('Pay App 44'!F62/'Summary Sheet'!$D$19,""))</f>
        <v>#N/A</v>
      </c>
      <c r="CO9" s="264"/>
      <c r="CP9" s="276" t="e">
        <f>IF('Pay App 45'!$H$149=0,NA(),IFERROR('Pay App 45'!F62/'Summary Sheet'!$D$19,""))</f>
        <v>#N/A</v>
      </c>
      <c r="CQ9" s="264"/>
      <c r="CR9" s="263" t="e">
        <f>IF('Pay App 46'!$H$149=0,NA(),IFERROR('Pay App 46'!F62/'Summary Sheet'!$D$19,""))</f>
        <v>#N/A</v>
      </c>
      <c r="CS9" s="264"/>
      <c r="CT9" s="276" t="e">
        <f>IF('Pay App 47'!$H$149=0,NA(),IFERROR('Pay App 47'!F62/'Summary Sheet'!$D$19,""))</f>
        <v>#N/A</v>
      </c>
      <c r="CU9" s="264"/>
      <c r="CV9" s="263" t="e">
        <f>IF('Pay App 48'!$H$149=0,NA(),IFERROR('Pay App 48'!F62/'Summary Sheet'!$D$19,""))</f>
        <v>#N/A</v>
      </c>
      <c r="CW9" s="264"/>
      <c r="CX9" s="276" t="e">
        <f>IF('Pay App 49'!$H$149=0,NA(),IFERROR('Pay App 49'!F62/'Summary Sheet'!$D$19,""))</f>
        <v>#N/A</v>
      </c>
      <c r="CY9" s="264"/>
      <c r="CZ9" s="263" t="e">
        <f>IF('Pay App 50'!$H$149=0,NA(),IFERROR('Pay App 50'!F62/'Summary Sheet'!$D$19,""))</f>
        <v>#N/A</v>
      </c>
      <c r="DA9" s="264"/>
      <c r="DB9" s="276" t="e">
        <f>IF('Pay App 51'!$H$149=0,NA(),IFERROR('Pay App 51'!F62/'Summary Sheet'!$D$19,""))</f>
        <v>#N/A</v>
      </c>
      <c r="DC9" s="264"/>
      <c r="DD9" s="263" t="e">
        <f>IF('Pay App 52'!$H$149=0,NA(),IFERROR('Pay App 52'!F62/'Summary Sheet'!$D$19,""))</f>
        <v>#N/A</v>
      </c>
      <c r="DE9" s="264"/>
      <c r="DF9" s="276" t="e">
        <f>IF('Pay App 53'!$H$149=0,NA(),IFERROR('Pay App 53'!F62/'Summary Sheet'!$D$19,""))</f>
        <v>#N/A</v>
      </c>
      <c r="DG9" s="264"/>
      <c r="DH9" s="263" t="e">
        <f>IF('Pay App 54'!$H$149=0,NA(),IFERROR('Pay App 54'!F62/'Summary Sheet'!$D$19,""))</f>
        <v>#N/A</v>
      </c>
      <c r="DI9" s="264"/>
      <c r="DJ9" s="276" t="e">
        <f>IF('Pay App 55'!$H$149=0,NA(),IFERROR('Pay App 55'!F62/'Summary Sheet'!$D$19,""))</f>
        <v>#N/A</v>
      </c>
      <c r="DK9" s="264"/>
      <c r="DL9" s="263" t="e">
        <f>IF('Pay App 56'!$H$149=0,NA(),IFERROR('Pay App 56'!F62/'Summary Sheet'!$D$19,""))</f>
        <v>#N/A</v>
      </c>
      <c r="DM9" s="264"/>
      <c r="DN9" s="276" t="e">
        <f>IF('Pay App 57'!$H$149=0,NA(),IFERROR('Pay App 57'!F62/'Summary Sheet'!$D$19,""))</f>
        <v>#N/A</v>
      </c>
      <c r="DO9" s="264"/>
      <c r="DP9" s="263" t="e">
        <f>IF('Pay App 58'!$H$149=0,NA(),IFERROR('Pay App 58'!F62/'Summary Sheet'!$D$19,""))</f>
        <v>#N/A</v>
      </c>
      <c r="DQ9" s="264"/>
      <c r="DR9" s="276" t="e">
        <f>IF('Pay App 59'!$H$149=0,NA(),IFERROR('Pay App 59'!F62/'Summary Sheet'!$D$19,""))</f>
        <v>#N/A</v>
      </c>
      <c r="DS9" s="264"/>
      <c r="DT9" s="263" t="e">
        <f>IF('Pay App 60'!$H$149=0,NA(),IFERROR('Pay App 60'!F62/'Summary Sheet'!$D$19,""))</f>
        <v>#N/A</v>
      </c>
      <c r="DU9" s="296"/>
    </row>
    <row r="10" spans="2:125" x14ac:dyDescent="0.25">
      <c r="B10" s="49" t="str">
        <f>'Pay App 1'!B63</f>
        <v>01 31 00</v>
      </c>
      <c r="C10" s="25" t="str">
        <f>'Pay App 1'!C63</f>
        <v>Contractor's Supervision</v>
      </c>
      <c r="D10" s="282" t="str" cm="1">
        <f t="array" ref="D10">IFERROR(1+(LOOKUP(2,1/(E10:DT10&lt;&gt;""),E10:DT10)-E10)/E10,"")</f>
        <v/>
      </c>
      <c r="E10" s="275" t="str">
        <f>IFERROR('GMP Tracker'!D14/'Summary Sheet'!$D$19,"")</f>
        <v/>
      </c>
      <c r="F10" s="276" t="e">
        <f>IF('Pay App 1'!$D$149=0,NA(),IFERROR('Pay App 1'!F63/'Summary Sheet'!$D$19,""))</f>
        <v>#N/A</v>
      </c>
      <c r="G10" s="271"/>
      <c r="H10" s="277" t="e">
        <f>IF('Pay App 2'!$H$149=0,NA(),IFERROR('Pay App 2'!F63/'Summary Sheet'!$D$19,""))</f>
        <v>#N/A</v>
      </c>
      <c r="I10" s="266"/>
      <c r="J10" s="276" t="e">
        <f>IF('Pay App 3'!$H$149=0,NA(),IFERROR('Pay App 3'!F63/'Summary Sheet'!$D$19,""))</f>
        <v>#N/A</v>
      </c>
      <c r="K10" s="268"/>
      <c r="L10" s="277" t="e">
        <f>IF('Pay App 4'!$H$149=0,NA(),IFERROR('Pay App 4'!F63/'Summary Sheet'!$D$19,""))</f>
        <v>#N/A</v>
      </c>
      <c r="M10" s="266"/>
      <c r="N10" s="276" t="e">
        <f>IF('Pay App 5'!$H$149=0,NA(),IFERROR('Pay App 5'!F63/'Summary Sheet'!$D$19,""))</f>
        <v>#N/A</v>
      </c>
      <c r="O10" s="263"/>
      <c r="P10" s="277" t="e">
        <f>IF('Pay App 6'!$H$149=0,NA(),IFERROR('Pay App 6'!F63/'Summary Sheet'!$D$19,""))</f>
        <v>#N/A</v>
      </c>
      <c r="Q10" s="263"/>
      <c r="R10" s="276" t="e">
        <f>IF('Pay App 7'!$H$149=0,NA(),IFERROR('Pay App 7'!F63/'Summary Sheet'!$D$19,""))</f>
        <v>#N/A</v>
      </c>
      <c r="S10" s="263"/>
      <c r="T10" s="277" t="e">
        <f>IF('Pay App 8'!$H$149=0,NA(),IFERROR('Pay App 8'!F63/'Summary Sheet'!$D$19,""))</f>
        <v>#N/A</v>
      </c>
      <c r="U10" s="263"/>
      <c r="V10" s="276" t="e">
        <f>IF('Pay App 9'!$H$149=0,NA(),IFERROR('Pay App 9'!F63/'Summary Sheet'!$D$19,""))</f>
        <v>#N/A</v>
      </c>
      <c r="W10" s="263"/>
      <c r="X10" s="277" t="e">
        <f>IF('Pay App 10'!$H$149=0,NA(),IFERROR('Pay App 10'!F63/'Summary Sheet'!$D$19,""))</f>
        <v>#N/A</v>
      </c>
      <c r="Y10" s="263"/>
      <c r="Z10" s="276" t="e">
        <f>IF('Pay App 11'!$H$149=0,NA(),IFERROR('Pay App 11'!F63/'Summary Sheet'!$D$19,""))</f>
        <v>#N/A</v>
      </c>
      <c r="AA10" s="263"/>
      <c r="AB10" s="277" t="e">
        <f>IF('Pay App 12'!$H$149=0,NA(),IFERROR('Pay App 12'!F63/'Summary Sheet'!$D$19,""))</f>
        <v>#N/A</v>
      </c>
      <c r="AC10" s="263"/>
      <c r="AD10" s="276" t="e">
        <f>IF('Pay App 13'!$H$149=0,NA(),IFERROR('Pay App 13'!F63/'Summary Sheet'!$D$19,""))</f>
        <v>#N/A</v>
      </c>
      <c r="AE10" s="263"/>
      <c r="AF10" s="277" t="e">
        <f>IF('Pay App 14'!$H$149=0,NA(),IFERROR('Pay App 14'!F63/'Summary Sheet'!$D$19,""))</f>
        <v>#N/A</v>
      </c>
      <c r="AG10" s="263"/>
      <c r="AH10" s="276" t="e">
        <f>IF('Pay App 15'!$H$149=0,NA(),IFERROR('Pay App 15'!F63/'Summary Sheet'!$D$19,""))</f>
        <v>#N/A</v>
      </c>
      <c r="AI10" s="263"/>
      <c r="AJ10" s="277" t="e">
        <f>IF('Pay App 16'!$H$149=0,NA(),IFERROR('Pay App 16'!F63/'Summary Sheet'!$D$19,""))</f>
        <v>#N/A</v>
      </c>
      <c r="AK10" s="263"/>
      <c r="AL10" s="276" t="e">
        <f>IF('Pay App 17'!$H$149=0,NA(),IFERROR('Pay App 17'!F63/'Summary Sheet'!$D$19,""))</f>
        <v>#N/A</v>
      </c>
      <c r="AM10" s="263"/>
      <c r="AN10" s="277" t="e">
        <f>IF('Pay App 18'!$H$149=0,NA(),IFERROR('Pay App 18'!F63/'Summary Sheet'!$D$19,""))</f>
        <v>#N/A</v>
      </c>
      <c r="AO10" s="263"/>
      <c r="AP10" s="276" t="e">
        <f>IF('Pay App 19'!$H$149=0,NA(),IFERROR('Pay App 19'!F63/'Summary Sheet'!$D$19,""))</f>
        <v>#N/A</v>
      </c>
      <c r="AQ10" s="263"/>
      <c r="AR10" s="263" t="e">
        <f>IF('Pay App 20'!$H$149=0,NA(),IFERROR('Pay App 20'!F63/'Summary Sheet'!$D$19,""))</f>
        <v>#N/A</v>
      </c>
      <c r="AS10" s="264"/>
      <c r="AT10" s="276" t="e">
        <f>IF('Pay App 21'!$H$149=0,NA(),IFERROR('Pay App 21'!F63/'Summary Sheet'!$D$19,""))</f>
        <v>#N/A</v>
      </c>
      <c r="AU10" s="264"/>
      <c r="AV10" s="263" t="e">
        <f>IF('Pay App 22'!$H$149=0,NA(),IFERROR('Pay App 22'!F63/'Summary Sheet'!$D$19,""))</f>
        <v>#N/A</v>
      </c>
      <c r="AW10" s="264"/>
      <c r="AX10" s="276" t="e">
        <f>IF('Pay App 23'!$H$149=0,NA(),IFERROR('Pay App 23'!F63/'Summary Sheet'!$D$19,""))</f>
        <v>#N/A</v>
      </c>
      <c r="AY10" s="264"/>
      <c r="AZ10" s="263" t="e">
        <f>IF('Pay App 24'!$H$149=0,NA(),IFERROR('Pay App 24'!F63/'Summary Sheet'!$D$19,""))</f>
        <v>#N/A</v>
      </c>
      <c r="BA10" s="264"/>
      <c r="BB10" s="276" t="e">
        <f>IF('Pay App 25'!$H$149=0,NA(),IFERROR('Pay App 25'!F63/'Summary Sheet'!$D$19,""))</f>
        <v>#N/A</v>
      </c>
      <c r="BC10" s="264"/>
      <c r="BD10" s="263" t="e">
        <f>IF('Pay App 26'!$H$149=0,NA(),IFERROR('Pay App 26'!F63/'Summary Sheet'!$D$19,""))</f>
        <v>#N/A</v>
      </c>
      <c r="BE10" s="264"/>
      <c r="BF10" s="276" t="e">
        <f>IF('Pay App 27'!$H$149=0,NA(),IFERROR('Pay App 27'!F63/'Summary Sheet'!$D$19,""))</f>
        <v>#N/A</v>
      </c>
      <c r="BG10" s="264"/>
      <c r="BH10" s="263" t="e">
        <f>IF('Pay App 28'!$H$149=0,NA(),IFERROR('Pay App 28'!F63/'Summary Sheet'!$D$19,""))</f>
        <v>#N/A</v>
      </c>
      <c r="BI10" s="264"/>
      <c r="BJ10" s="276" t="e">
        <f>IF('Pay App 29'!$H$149=0,NA(),IFERROR('Pay App 29'!F63/'Summary Sheet'!$D$19,""))</f>
        <v>#N/A</v>
      </c>
      <c r="BK10" s="271"/>
      <c r="BL10" s="263" t="e">
        <f>IF('Pay App 30'!$H$149=0,NA(),IFERROR('Pay App 30'!F63/'Summary Sheet'!$D$19,""))</f>
        <v>#N/A</v>
      </c>
      <c r="BM10" s="264"/>
      <c r="BN10" s="276" t="e">
        <f>IF('Pay App 31'!$H$149=0,NA(),IFERROR('Pay App 31'!F63/'Summary Sheet'!$D$19,""))</f>
        <v>#N/A</v>
      </c>
      <c r="BO10" s="264"/>
      <c r="BP10" s="263" t="e">
        <f>IF('Pay App 32'!$H$149=0,NA(),IFERROR('Pay App 32'!F63/'Summary Sheet'!$D$19,""))</f>
        <v>#N/A</v>
      </c>
      <c r="BQ10" s="264"/>
      <c r="BR10" s="276" t="e">
        <f>IF('Pay App 33'!$H$149=0,NA(),IFERROR('Pay App 33'!F63/'Summary Sheet'!$D$19,""))</f>
        <v>#N/A</v>
      </c>
      <c r="BS10" s="264"/>
      <c r="BT10" s="263" t="e">
        <f>IF('Pay App 34'!$H$149=0,NA(),IFERROR('Pay App 34'!F63/'Summary Sheet'!$D$19,""))</f>
        <v>#N/A</v>
      </c>
      <c r="BU10" s="264"/>
      <c r="BV10" s="276" t="e">
        <f>IF('Pay App 35'!$H$149=0,NA(),IFERROR('Pay App 35'!F63/'Summary Sheet'!$D$19,""))</f>
        <v>#N/A</v>
      </c>
      <c r="BW10" s="264"/>
      <c r="BX10" s="263" t="e">
        <f>IF('Pay App 36'!$H$149=0,NA(),IFERROR('Pay App 36'!F63/'Summary Sheet'!$D$19,""))</f>
        <v>#N/A</v>
      </c>
      <c r="BY10" s="264"/>
      <c r="BZ10" s="276" t="e">
        <f>IF('Pay App 37'!$H$149=0,NA(),IFERROR('Pay App 37'!F63/'Summary Sheet'!$D$19,""))</f>
        <v>#N/A</v>
      </c>
      <c r="CA10" s="264"/>
      <c r="CB10" s="263" t="e">
        <f>IF('Pay App 38'!$H$149=0,NA(),IFERROR('Pay App 38'!F63/'Summary Sheet'!$D$19,""))</f>
        <v>#N/A</v>
      </c>
      <c r="CC10" s="264"/>
      <c r="CD10" s="276" t="e">
        <f>IF('Pay App 39'!$H$149=0,NA(),IFERROR('Pay App 39'!F63/'Summary Sheet'!$D$19,""))</f>
        <v>#N/A</v>
      </c>
      <c r="CE10" s="264"/>
      <c r="CF10" s="263" t="e">
        <f>IF('Pay App 40'!$H$149=0,NA(),IFERROR('Pay App 40'!F63/'Summary Sheet'!$D$19,""))</f>
        <v>#N/A</v>
      </c>
      <c r="CG10" s="264"/>
      <c r="CH10" s="276" t="e">
        <f>IF('Pay App 41'!$H$149=0,NA(),IFERROR('Pay App 41'!F63/'Summary Sheet'!$D$19,""))</f>
        <v>#N/A</v>
      </c>
      <c r="CI10" s="264"/>
      <c r="CJ10" s="263" t="e">
        <f>IF('Pay App 42'!$H$149=0,NA(),IFERROR('Pay App 42'!F63/'Summary Sheet'!$D$19,""))</f>
        <v>#N/A</v>
      </c>
      <c r="CK10" s="264"/>
      <c r="CL10" s="276" t="e">
        <f>IF('Pay App 43'!$H$149=0,NA(),IFERROR('Pay App 43'!F63/'Summary Sheet'!$D$19,""))</f>
        <v>#N/A</v>
      </c>
      <c r="CM10" s="264"/>
      <c r="CN10" s="263" t="e">
        <f>IF('Pay App 44'!$H$149=0,NA(),IFERROR('Pay App 44'!F63/'Summary Sheet'!$D$19,""))</f>
        <v>#N/A</v>
      </c>
      <c r="CO10" s="264"/>
      <c r="CP10" s="276" t="e">
        <f>IF('Pay App 45'!$H$149=0,NA(),IFERROR('Pay App 45'!F63/'Summary Sheet'!$D$19,""))</f>
        <v>#N/A</v>
      </c>
      <c r="CQ10" s="264"/>
      <c r="CR10" s="263" t="e">
        <f>IF('Pay App 46'!$H$149=0,NA(),IFERROR('Pay App 46'!F63/'Summary Sheet'!$D$19,""))</f>
        <v>#N/A</v>
      </c>
      <c r="CS10" s="264"/>
      <c r="CT10" s="276" t="e">
        <f>IF('Pay App 47'!$H$149=0,NA(),IFERROR('Pay App 47'!F63/'Summary Sheet'!$D$19,""))</f>
        <v>#N/A</v>
      </c>
      <c r="CU10" s="264"/>
      <c r="CV10" s="263" t="e">
        <f>IF('Pay App 48'!$H$149=0,NA(),IFERROR('Pay App 48'!F63/'Summary Sheet'!$D$19,""))</f>
        <v>#N/A</v>
      </c>
      <c r="CW10" s="264"/>
      <c r="CX10" s="276" t="e">
        <f>IF('Pay App 49'!$H$149=0,NA(),IFERROR('Pay App 49'!F63/'Summary Sheet'!$D$19,""))</f>
        <v>#N/A</v>
      </c>
      <c r="CY10" s="264"/>
      <c r="CZ10" s="263" t="e">
        <f>IF('Pay App 50'!$H$149=0,NA(),IFERROR('Pay App 50'!F63/'Summary Sheet'!$D$19,""))</f>
        <v>#N/A</v>
      </c>
      <c r="DA10" s="264"/>
      <c r="DB10" s="276" t="e">
        <f>IF('Pay App 51'!$H$149=0,NA(),IFERROR('Pay App 51'!F63/'Summary Sheet'!$D$19,""))</f>
        <v>#N/A</v>
      </c>
      <c r="DC10" s="264"/>
      <c r="DD10" s="263" t="e">
        <f>IF('Pay App 52'!$H$149=0,NA(),IFERROR('Pay App 52'!F63/'Summary Sheet'!$D$19,""))</f>
        <v>#N/A</v>
      </c>
      <c r="DE10" s="264"/>
      <c r="DF10" s="276" t="e">
        <f>IF('Pay App 53'!$H$149=0,NA(),IFERROR('Pay App 53'!F63/'Summary Sheet'!$D$19,""))</f>
        <v>#N/A</v>
      </c>
      <c r="DG10" s="264"/>
      <c r="DH10" s="263" t="e">
        <f>IF('Pay App 54'!$H$149=0,NA(),IFERROR('Pay App 54'!F63/'Summary Sheet'!$D$19,""))</f>
        <v>#N/A</v>
      </c>
      <c r="DI10" s="264"/>
      <c r="DJ10" s="276" t="e">
        <f>IF('Pay App 55'!$H$149=0,NA(),IFERROR('Pay App 55'!F63/'Summary Sheet'!$D$19,""))</f>
        <v>#N/A</v>
      </c>
      <c r="DK10" s="264"/>
      <c r="DL10" s="263" t="e">
        <f>IF('Pay App 56'!$H$149=0,NA(),IFERROR('Pay App 56'!F63/'Summary Sheet'!$D$19,""))</f>
        <v>#N/A</v>
      </c>
      <c r="DM10" s="264"/>
      <c r="DN10" s="276" t="e">
        <f>IF('Pay App 57'!$H$149=0,NA(),IFERROR('Pay App 57'!F63/'Summary Sheet'!$D$19,""))</f>
        <v>#N/A</v>
      </c>
      <c r="DO10" s="264"/>
      <c r="DP10" s="263" t="e">
        <f>IF('Pay App 58'!$H$149=0,NA(),IFERROR('Pay App 58'!F63/'Summary Sheet'!$D$19,""))</f>
        <v>#N/A</v>
      </c>
      <c r="DQ10" s="264"/>
      <c r="DR10" s="276" t="e">
        <f>IF('Pay App 59'!$H$149=0,NA(),IFERROR('Pay App 59'!F63/'Summary Sheet'!$D$19,""))</f>
        <v>#N/A</v>
      </c>
      <c r="DS10" s="264"/>
      <c r="DT10" s="263" t="e">
        <f>IF('Pay App 60'!$H$149=0,NA(),IFERROR('Pay App 60'!F63/'Summary Sheet'!$D$19,""))</f>
        <v>#N/A</v>
      </c>
      <c r="DU10" s="296"/>
    </row>
    <row r="11" spans="2:125" x14ac:dyDescent="0.25">
      <c r="B11" s="49" t="str">
        <f>'Pay App 1'!B64</f>
        <v>01 32 00</v>
      </c>
      <c r="C11" s="25" t="str">
        <f>'Pay App 1'!C64</f>
        <v>General Liability Insurance</v>
      </c>
      <c r="D11" s="282" t="str" cm="1">
        <f t="array" ref="D11">IFERROR(1+(LOOKUP(2,1/(E11:DT11&lt;&gt;""),E11:DT11)-E11)/E11,"")</f>
        <v/>
      </c>
      <c r="E11" s="275" t="str">
        <f>IFERROR('GMP Tracker'!D15/'Summary Sheet'!$D$19,"")</f>
        <v/>
      </c>
      <c r="F11" s="276" t="e">
        <f>IF('Pay App 1'!$D$149=0,NA(),IFERROR('Pay App 1'!F64/'Summary Sheet'!$D$19,""))</f>
        <v>#N/A</v>
      </c>
      <c r="G11" s="271"/>
      <c r="H11" s="277" t="e">
        <f>IF('Pay App 2'!$H$149=0,NA(),IFERROR('Pay App 2'!F64/'Summary Sheet'!$D$19,""))</f>
        <v>#N/A</v>
      </c>
      <c r="I11" s="266"/>
      <c r="J11" s="276" t="e">
        <f>IF('Pay App 3'!$H$149=0,NA(),IFERROR('Pay App 3'!F64/'Summary Sheet'!$D$19,""))</f>
        <v>#N/A</v>
      </c>
      <c r="K11" s="268"/>
      <c r="L11" s="277" t="e">
        <f>IF('Pay App 4'!$H$149=0,NA(),IFERROR('Pay App 4'!F64/'Summary Sheet'!$D$19,""))</f>
        <v>#N/A</v>
      </c>
      <c r="M11" s="266"/>
      <c r="N11" s="276" t="e">
        <f>IF('Pay App 5'!$H$149=0,NA(),IFERROR('Pay App 5'!F64/'Summary Sheet'!$D$19,""))</f>
        <v>#N/A</v>
      </c>
      <c r="O11" s="263"/>
      <c r="P11" s="277" t="e">
        <f>IF('Pay App 6'!$H$149=0,NA(),IFERROR('Pay App 6'!F64/'Summary Sheet'!$D$19,""))</f>
        <v>#N/A</v>
      </c>
      <c r="Q11" s="263"/>
      <c r="R11" s="276" t="e">
        <f>IF('Pay App 7'!$H$149=0,NA(),IFERROR('Pay App 7'!F64/'Summary Sheet'!$D$19,""))</f>
        <v>#N/A</v>
      </c>
      <c r="S11" s="263"/>
      <c r="T11" s="277" t="e">
        <f>IF('Pay App 8'!$H$149=0,NA(),IFERROR('Pay App 8'!F64/'Summary Sheet'!$D$19,""))</f>
        <v>#N/A</v>
      </c>
      <c r="U11" s="263"/>
      <c r="V11" s="276" t="e">
        <f>IF('Pay App 9'!$H$149=0,NA(),IFERROR('Pay App 9'!F64/'Summary Sheet'!$D$19,""))</f>
        <v>#N/A</v>
      </c>
      <c r="W11" s="263"/>
      <c r="X11" s="277" t="e">
        <f>IF('Pay App 10'!$H$149=0,NA(),IFERROR('Pay App 10'!F64/'Summary Sheet'!$D$19,""))</f>
        <v>#N/A</v>
      </c>
      <c r="Y11" s="263"/>
      <c r="Z11" s="276" t="e">
        <f>IF('Pay App 11'!$H$149=0,NA(),IFERROR('Pay App 11'!F64/'Summary Sheet'!$D$19,""))</f>
        <v>#N/A</v>
      </c>
      <c r="AA11" s="263"/>
      <c r="AB11" s="277" t="e">
        <f>IF('Pay App 12'!$H$149=0,NA(),IFERROR('Pay App 12'!F64/'Summary Sheet'!$D$19,""))</f>
        <v>#N/A</v>
      </c>
      <c r="AC11" s="263"/>
      <c r="AD11" s="276" t="e">
        <f>IF('Pay App 13'!$H$149=0,NA(),IFERROR('Pay App 13'!F64/'Summary Sheet'!$D$19,""))</f>
        <v>#N/A</v>
      </c>
      <c r="AE11" s="263"/>
      <c r="AF11" s="277" t="e">
        <f>IF('Pay App 14'!$H$149=0,NA(),IFERROR('Pay App 14'!F64/'Summary Sheet'!$D$19,""))</f>
        <v>#N/A</v>
      </c>
      <c r="AG11" s="263"/>
      <c r="AH11" s="276" t="e">
        <f>IF('Pay App 15'!$H$149=0,NA(),IFERROR('Pay App 15'!F64/'Summary Sheet'!$D$19,""))</f>
        <v>#N/A</v>
      </c>
      <c r="AI11" s="263"/>
      <c r="AJ11" s="277" t="e">
        <f>IF('Pay App 16'!$H$149=0,NA(),IFERROR('Pay App 16'!F64/'Summary Sheet'!$D$19,""))</f>
        <v>#N/A</v>
      </c>
      <c r="AK11" s="263"/>
      <c r="AL11" s="276" t="e">
        <f>IF('Pay App 17'!$H$149=0,NA(),IFERROR('Pay App 17'!F64/'Summary Sheet'!$D$19,""))</f>
        <v>#N/A</v>
      </c>
      <c r="AM11" s="263"/>
      <c r="AN11" s="277" t="e">
        <f>IF('Pay App 18'!$H$149=0,NA(),IFERROR('Pay App 18'!F64/'Summary Sheet'!$D$19,""))</f>
        <v>#N/A</v>
      </c>
      <c r="AO11" s="263"/>
      <c r="AP11" s="276" t="e">
        <f>IF('Pay App 19'!$H$149=0,NA(),IFERROR('Pay App 19'!F64/'Summary Sheet'!$D$19,""))</f>
        <v>#N/A</v>
      </c>
      <c r="AQ11" s="263"/>
      <c r="AR11" s="263" t="e">
        <f>IF('Pay App 20'!$H$149=0,NA(),IFERROR('Pay App 20'!F64/'Summary Sheet'!$D$19,""))</f>
        <v>#N/A</v>
      </c>
      <c r="AS11" s="264"/>
      <c r="AT11" s="276" t="e">
        <f>IF('Pay App 21'!$H$149=0,NA(),IFERROR('Pay App 21'!F64/'Summary Sheet'!$D$19,""))</f>
        <v>#N/A</v>
      </c>
      <c r="AU11" s="264"/>
      <c r="AV11" s="263" t="e">
        <f>IF('Pay App 22'!$H$149=0,NA(),IFERROR('Pay App 22'!F64/'Summary Sheet'!$D$19,""))</f>
        <v>#N/A</v>
      </c>
      <c r="AW11" s="264"/>
      <c r="AX11" s="276" t="e">
        <f>IF('Pay App 23'!$H$149=0,NA(),IFERROR('Pay App 23'!F64/'Summary Sheet'!$D$19,""))</f>
        <v>#N/A</v>
      </c>
      <c r="AY11" s="264"/>
      <c r="AZ11" s="263" t="e">
        <f>IF('Pay App 24'!$H$149=0,NA(),IFERROR('Pay App 24'!F64/'Summary Sheet'!$D$19,""))</f>
        <v>#N/A</v>
      </c>
      <c r="BA11" s="264"/>
      <c r="BB11" s="276" t="e">
        <f>IF('Pay App 25'!$H$149=0,NA(),IFERROR('Pay App 25'!F64/'Summary Sheet'!$D$19,""))</f>
        <v>#N/A</v>
      </c>
      <c r="BC11" s="264"/>
      <c r="BD11" s="263" t="e">
        <f>IF('Pay App 26'!$H$149=0,NA(),IFERROR('Pay App 26'!F64/'Summary Sheet'!$D$19,""))</f>
        <v>#N/A</v>
      </c>
      <c r="BE11" s="264"/>
      <c r="BF11" s="276" t="e">
        <f>IF('Pay App 27'!$H$149=0,NA(),IFERROR('Pay App 27'!F64/'Summary Sheet'!$D$19,""))</f>
        <v>#N/A</v>
      </c>
      <c r="BG11" s="264"/>
      <c r="BH11" s="263" t="e">
        <f>IF('Pay App 28'!$H$149=0,NA(),IFERROR('Pay App 28'!F64/'Summary Sheet'!$D$19,""))</f>
        <v>#N/A</v>
      </c>
      <c r="BI11" s="264"/>
      <c r="BJ11" s="276" t="e">
        <f>IF('Pay App 29'!$H$149=0,NA(),IFERROR('Pay App 29'!F64/'Summary Sheet'!$D$19,""))</f>
        <v>#N/A</v>
      </c>
      <c r="BK11" s="271"/>
      <c r="BL11" s="263" t="e">
        <f>IF('Pay App 30'!$H$149=0,NA(),IFERROR('Pay App 30'!F64/'Summary Sheet'!$D$19,""))</f>
        <v>#N/A</v>
      </c>
      <c r="BM11" s="264"/>
      <c r="BN11" s="276" t="e">
        <f>IF('Pay App 31'!$H$149=0,NA(),IFERROR('Pay App 31'!F64/'Summary Sheet'!$D$19,""))</f>
        <v>#N/A</v>
      </c>
      <c r="BO11" s="264"/>
      <c r="BP11" s="263" t="e">
        <f>IF('Pay App 32'!$H$149=0,NA(),IFERROR('Pay App 32'!F64/'Summary Sheet'!$D$19,""))</f>
        <v>#N/A</v>
      </c>
      <c r="BQ11" s="264"/>
      <c r="BR11" s="276" t="e">
        <f>IF('Pay App 33'!$H$149=0,NA(),IFERROR('Pay App 33'!F64/'Summary Sheet'!$D$19,""))</f>
        <v>#N/A</v>
      </c>
      <c r="BS11" s="264"/>
      <c r="BT11" s="263" t="e">
        <f>IF('Pay App 34'!$H$149=0,NA(),IFERROR('Pay App 34'!F64/'Summary Sheet'!$D$19,""))</f>
        <v>#N/A</v>
      </c>
      <c r="BU11" s="264"/>
      <c r="BV11" s="276" t="e">
        <f>IF('Pay App 35'!$H$149=0,NA(),IFERROR('Pay App 35'!F64/'Summary Sheet'!$D$19,""))</f>
        <v>#N/A</v>
      </c>
      <c r="BW11" s="264"/>
      <c r="BX11" s="263" t="e">
        <f>IF('Pay App 36'!$H$149=0,NA(),IFERROR('Pay App 36'!F64/'Summary Sheet'!$D$19,""))</f>
        <v>#N/A</v>
      </c>
      <c r="BY11" s="264"/>
      <c r="BZ11" s="276" t="e">
        <f>IF('Pay App 37'!$H$149=0,NA(),IFERROR('Pay App 37'!F64/'Summary Sheet'!$D$19,""))</f>
        <v>#N/A</v>
      </c>
      <c r="CA11" s="264"/>
      <c r="CB11" s="263" t="e">
        <f>IF('Pay App 38'!$H$149=0,NA(),IFERROR('Pay App 38'!F64/'Summary Sheet'!$D$19,""))</f>
        <v>#N/A</v>
      </c>
      <c r="CC11" s="264"/>
      <c r="CD11" s="276" t="e">
        <f>IF('Pay App 39'!$H$149=0,NA(),IFERROR('Pay App 39'!F64/'Summary Sheet'!$D$19,""))</f>
        <v>#N/A</v>
      </c>
      <c r="CE11" s="264"/>
      <c r="CF11" s="263" t="e">
        <f>IF('Pay App 40'!$H$149=0,NA(),IFERROR('Pay App 40'!F64/'Summary Sheet'!$D$19,""))</f>
        <v>#N/A</v>
      </c>
      <c r="CG11" s="264"/>
      <c r="CH11" s="276" t="e">
        <f>IF('Pay App 41'!$H$149=0,NA(),IFERROR('Pay App 41'!F64/'Summary Sheet'!$D$19,""))</f>
        <v>#N/A</v>
      </c>
      <c r="CI11" s="264"/>
      <c r="CJ11" s="263" t="e">
        <f>IF('Pay App 42'!$H$149=0,NA(),IFERROR('Pay App 42'!F64/'Summary Sheet'!$D$19,""))</f>
        <v>#N/A</v>
      </c>
      <c r="CK11" s="264"/>
      <c r="CL11" s="276" t="e">
        <f>IF('Pay App 43'!$H$149=0,NA(),IFERROR('Pay App 43'!F64/'Summary Sheet'!$D$19,""))</f>
        <v>#N/A</v>
      </c>
      <c r="CM11" s="264"/>
      <c r="CN11" s="263" t="e">
        <f>IF('Pay App 44'!$H$149=0,NA(),IFERROR('Pay App 44'!F64/'Summary Sheet'!$D$19,""))</f>
        <v>#N/A</v>
      </c>
      <c r="CO11" s="264"/>
      <c r="CP11" s="276" t="e">
        <f>IF('Pay App 45'!$H$149=0,NA(),IFERROR('Pay App 45'!F64/'Summary Sheet'!$D$19,""))</f>
        <v>#N/A</v>
      </c>
      <c r="CQ11" s="264"/>
      <c r="CR11" s="263" t="e">
        <f>IF('Pay App 46'!$H$149=0,NA(),IFERROR('Pay App 46'!F64/'Summary Sheet'!$D$19,""))</f>
        <v>#N/A</v>
      </c>
      <c r="CS11" s="264"/>
      <c r="CT11" s="276" t="e">
        <f>IF('Pay App 47'!$H$149=0,NA(),IFERROR('Pay App 47'!F64/'Summary Sheet'!$D$19,""))</f>
        <v>#N/A</v>
      </c>
      <c r="CU11" s="264"/>
      <c r="CV11" s="263" t="e">
        <f>IF('Pay App 48'!$H$149=0,NA(),IFERROR('Pay App 48'!F64/'Summary Sheet'!$D$19,""))</f>
        <v>#N/A</v>
      </c>
      <c r="CW11" s="264"/>
      <c r="CX11" s="276" t="e">
        <f>IF('Pay App 49'!$H$149=0,NA(),IFERROR('Pay App 49'!F64/'Summary Sheet'!$D$19,""))</f>
        <v>#N/A</v>
      </c>
      <c r="CY11" s="264"/>
      <c r="CZ11" s="263" t="e">
        <f>IF('Pay App 50'!$H$149=0,NA(),IFERROR('Pay App 50'!F64/'Summary Sheet'!$D$19,""))</f>
        <v>#N/A</v>
      </c>
      <c r="DA11" s="264"/>
      <c r="DB11" s="276" t="e">
        <f>IF('Pay App 51'!$H$149=0,NA(),IFERROR('Pay App 51'!F64/'Summary Sheet'!$D$19,""))</f>
        <v>#N/A</v>
      </c>
      <c r="DC11" s="264"/>
      <c r="DD11" s="263" t="e">
        <f>IF('Pay App 52'!$H$149=0,NA(),IFERROR('Pay App 52'!F64/'Summary Sheet'!$D$19,""))</f>
        <v>#N/A</v>
      </c>
      <c r="DE11" s="264"/>
      <c r="DF11" s="276" t="e">
        <f>IF('Pay App 53'!$H$149=0,NA(),IFERROR('Pay App 53'!F64/'Summary Sheet'!$D$19,""))</f>
        <v>#N/A</v>
      </c>
      <c r="DG11" s="264"/>
      <c r="DH11" s="263" t="e">
        <f>IF('Pay App 54'!$H$149=0,NA(),IFERROR('Pay App 54'!F64/'Summary Sheet'!$D$19,""))</f>
        <v>#N/A</v>
      </c>
      <c r="DI11" s="264"/>
      <c r="DJ11" s="276" t="e">
        <f>IF('Pay App 55'!$H$149=0,NA(),IFERROR('Pay App 55'!F64/'Summary Sheet'!$D$19,""))</f>
        <v>#N/A</v>
      </c>
      <c r="DK11" s="264"/>
      <c r="DL11" s="263" t="e">
        <f>IF('Pay App 56'!$H$149=0,NA(),IFERROR('Pay App 56'!F64/'Summary Sheet'!$D$19,""))</f>
        <v>#N/A</v>
      </c>
      <c r="DM11" s="264"/>
      <c r="DN11" s="276" t="e">
        <f>IF('Pay App 57'!$H$149=0,NA(),IFERROR('Pay App 57'!F64/'Summary Sheet'!$D$19,""))</f>
        <v>#N/A</v>
      </c>
      <c r="DO11" s="264"/>
      <c r="DP11" s="263" t="e">
        <f>IF('Pay App 58'!$H$149=0,NA(),IFERROR('Pay App 58'!F64/'Summary Sheet'!$D$19,""))</f>
        <v>#N/A</v>
      </c>
      <c r="DQ11" s="264"/>
      <c r="DR11" s="276" t="e">
        <f>IF('Pay App 59'!$H$149=0,NA(),IFERROR('Pay App 59'!F64/'Summary Sheet'!$D$19,""))</f>
        <v>#N/A</v>
      </c>
      <c r="DS11" s="264"/>
      <c r="DT11" s="263" t="e">
        <f>IF('Pay App 60'!$H$149=0,NA(),IFERROR('Pay App 60'!F64/'Summary Sheet'!$D$19,""))</f>
        <v>#N/A</v>
      </c>
      <c r="DU11" s="296"/>
    </row>
    <row r="12" spans="2:125" x14ac:dyDescent="0.25">
      <c r="B12" s="49" t="str">
        <f>'Pay App 1'!B65</f>
        <v>01 33 00</v>
      </c>
      <c r="C12" s="25" t="str">
        <f>'Pay App 1'!C65</f>
        <v xml:space="preserve">Performance &amp; Payment Bond  </v>
      </c>
      <c r="D12" s="282" t="str" cm="1">
        <f t="array" ref="D12">IFERROR(1+(LOOKUP(2,1/(E12:DT12&lt;&gt;""),E12:DT12)-E12)/E12,"")</f>
        <v/>
      </c>
      <c r="E12" s="275" t="str">
        <f>IFERROR('GMP Tracker'!D16/'Summary Sheet'!$D$19,"")</f>
        <v/>
      </c>
      <c r="F12" s="276" t="e">
        <f>IF('Pay App 1'!$D$149=0,NA(),IFERROR('Pay App 1'!F65/'Summary Sheet'!$D$19,""))</f>
        <v>#N/A</v>
      </c>
      <c r="G12" s="271"/>
      <c r="H12" s="277" t="e">
        <f>IF('Pay App 2'!$H$149=0,NA(),IFERROR('Pay App 2'!F65/'Summary Sheet'!$D$19,""))</f>
        <v>#N/A</v>
      </c>
      <c r="I12" s="266"/>
      <c r="J12" s="276" t="e">
        <f>IF('Pay App 3'!$H$149=0,NA(),IFERROR('Pay App 3'!F65/'Summary Sheet'!$D$19,""))</f>
        <v>#N/A</v>
      </c>
      <c r="K12" s="268"/>
      <c r="L12" s="277" t="e">
        <f>IF('Pay App 4'!$H$149=0,NA(),IFERROR('Pay App 4'!F65/'Summary Sheet'!$D$19,""))</f>
        <v>#N/A</v>
      </c>
      <c r="M12" s="266"/>
      <c r="N12" s="276" t="e">
        <f>IF('Pay App 5'!$H$149=0,NA(),IFERROR('Pay App 5'!F65/'Summary Sheet'!$D$19,""))</f>
        <v>#N/A</v>
      </c>
      <c r="O12" s="263"/>
      <c r="P12" s="277" t="e">
        <f>IF('Pay App 6'!$H$149=0,NA(),IFERROR('Pay App 6'!F65/'Summary Sheet'!$D$19,""))</f>
        <v>#N/A</v>
      </c>
      <c r="Q12" s="263"/>
      <c r="R12" s="276" t="e">
        <f>IF('Pay App 7'!$H$149=0,NA(),IFERROR('Pay App 7'!F65/'Summary Sheet'!$D$19,""))</f>
        <v>#N/A</v>
      </c>
      <c r="S12" s="263"/>
      <c r="T12" s="277" t="e">
        <f>IF('Pay App 8'!$H$149=0,NA(),IFERROR('Pay App 8'!F65/'Summary Sheet'!$D$19,""))</f>
        <v>#N/A</v>
      </c>
      <c r="U12" s="263"/>
      <c r="V12" s="276" t="e">
        <f>IF('Pay App 9'!$H$149=0,NA(),IFERROR('Pay App 9'!F65/'Summary Sheet'!$D$19,""))</f>
        <v>#N/A</v>
      </c>
      <c r="W12" s="263"/>
      <c r="X12" s="277" t="e">
        <f>IF('Pay App 10'!$H$149=0,NA(),IFERROR('Pay App 10'!F65/'Summary Sheet'!$D$19,""))</f>
        <v>#N/A</v>
      </c>
      <c r="Y12" s="263"/>
      <c r="Z12" s="276" t="e">
        <f>IF('Pay App 11'!$H$149=0,NA(),IFERROR('Pay App 11'!F65/'Summary Sheet'!$D$19,""))</f>
        <v>#N/A</v>
      </c>
      <c r="AA12" s="263"/>
      <c r="AB12" s="277" t="e">
        <f>IF('Pay App 12'!$H$149=0,NA(),IFERROR('Pay App 12'!F65/'Summary Sheet'!$D$19,""))</f>
        <v>#N/A</v>
      </c>
      <c r="AC12" s="263"/>
      <c r="AD12" s="276" t="e">
        <f>IF('Pay App 13'!$H$149=0,NA(),IFERROR('Pay App 13'!F65/'Summary Sheet'!$D$19,""))</f>
        <v>#N/A</v>
      </c>
      <c r="AE12" s="263"/>
      <c r="AF12" s="277" t="e">
        <f>IF('Pay App 14'!$H$149=0,NA(),IFERROR('Pay App 14'!F65/'Summary Sheet'!$D$19,""))</f>
        <v>#N/A</v>
      </c>
      <c r="AG12" s="263"/>
      <c r="AH12" s="276" t="e">
        <f>IF('Pay App 15'!$H$149=0,NA(),IFERROR('Pay App 15'!F65/'Summary Sheet'!$D$19,""))</f>
        <v>#N/A</v>
      </c>
      <c r="AI12" s="263"/>
      <c r="AJ12" s="277" t="e">
        <f>IF('Pay App 16'!$H$149=0,NA(),IFERROR('Pay App 16'!F65/'Summary Sheet'!$D$19,""))</f>
        <v>#N/A</v>
      </c>
      <c r="AK12" s="263"/>
      <c r="AL12" s="276" t="e">
        <f>IF('Pay App 17'!$H$149=0,NA(),IFERROR('Pay App 17'!F65/'Summary Sheet'!$D$19,""))</f>
        <v>#N/A</v>
      </c>
      <c r="AM12" s="263"/>
      <c r="AN12" s="277" t="e">
        <f>IF('Pay App 18'!$H$149=0,NA(),IFERROR('Pay App 18'!F65/'Summary Sheet'!$D$19,""))</f>
        <v>#N/A</v>
      </c>
      <c r="AO12" s="263"/>
      <c r="AP12" s="276" t="e">
        <f>IF('Pay App 19'!$H$149=0,NA(),IFERROR('Pay App 19'!F65/'Summary Sheet'!$D$19,""))</f>
        <v>#N/A</v>
      </c>
      <c r="AQ12" s="263"/>
      <c r="AR12" s="263" t="e">
        <f>IF('Pay App 20'!$H$149=0,NA(),IFERROR('Pay App 20'!F65/'Summary Sheet'!$D$19,""))</f>
        <v>#N/A</v>
      </c>
      <c r="AS12" s="264"/>
      <c r="AT12" s="276" t="e">
        <f>IF('Pay App 21'!$H$149=0,NA(),IFERROR('Pay App 21'!F65/'Summary Sheet'!$D$19,""))</f>
        <v>#N/A</v>
      </c>
      <c r="AU12" s="264"/>
      <c r="AV12" s="263" t="e">
        <f>IF('Pay App 22'!$H$149=0,NA(),IFERROR('Pay App 22'!F65/'Summary Sheet'!$D$19,""))</f>
        <v>#N/A</v>
      </c>
      <c r="AW12" s="264"/>
      <c r="AX12" s="276" t="e">
        <f>IF('Pay App 23'!$H$149=0,NA(),IFERROR('Pay App 23'!F65/'Summary Sheet'!$D$19,""))</f>
        <v>#N/A</v>
      </c>
      <c r="AY12" s="264"/>
      <c r="AZ12" s="263" t="e">
        <f>IF('Pay App 24'!$H$149=0,NA(),IFERROR('Pay App 24'!F65/'Summary Sheet'!$D$19,""))</f>
        <v>#N/A</v>
      </c>
      <c r="BA12" s="264"/>
      <c r="BB12" s="276" t="e">
        <f>IF('Pay App 25'!$H$149=0,NA(),IFERROR('Pay App 25'!F65/'Summary Sheet'!$D$19,""))</f>
        <v>#N/A</v>
      </c>
      <c r="BC12" s="264"/>
      <c r="BD12" s="263" t="e">
        <f>IF('Pay App 26'!$H$149=0,NA(),IFERROR('Pay App 26'!F65/'Summary Sheet'!$D$19,""))</f>
        <v>#N/A</v>
      </c>
      <c r="BE12" s="264"/>
      <c r="BF12" s="276" t="e">
        <f>IF('Pay App 27'!$H$149=0,NA(),IFERROR('Pay App 27'!F65/'Summary Sheet'!$D$19,""))</f>
        <v>#N/A</v>
      </c>
      <c r="BG12" s="264"/>
      <c r="BH12" s="263" t="e">
        <f>IF('Pay App 28'!$H$149=0,NA(),IFERROR('Pay App 28'!F65/'Summary Sheet'!$D$19,""))</f>
        <v>#N/A</v>
      </c>
      <c r="BI12" s="264"/>
      <c r="BJ12" s="276" t="e">
        <f>IF('Pay App 29'!$H$149=0,NA(),IFERROR('Pay App 29'!F65/'Summary Sheet'!$D$19,""))</f>
        <v>#N/A</v>
      </c>
      <c r="BK12" s="271"/>
      <c r="BL12" s="263" t="e">
        <f>IF('Pay App 30'!$H$149=0,NA(),IFERROR('Pay App 30'!F65/'Summary Sheet'!$D$19,""))</f>
        <v>#N/A</v>
      </c>
      <c r="BM12" s="264"/>
      <c r="BN12" s="276" t="e">
        <f>IF('Pay App 31'!$H$149=0,NA(),IFERROR('Pay App 31'!F65/'Summary Sheet'!$D$19,""))</f>
        <v>#N/A</v>
      </c>
      <c r="BO12" s="264"/>
      <c r="BP12" s="263" t="e">
        <f>IF('Pay App 32'!$H$149=0,NA(),IFERROR('Pay App 32'!F65/'Summary Sheet'!$D$19,""))</f>
        <v>#N/A</v>
      </c>
      <c r="BQ12" s="264"/>
      <c r="BR12" s="276" t="e">
        <f>IF('Pay App 33'!$H$149=0,NA(),IFERROR('Pay App 33'!F65/'Summary Sheet'!$D$19,""))</f>
        <v>#N/A</v>
      </c>
      <c r="BS12" s="264"/>
      <c r="BT12" s="263" t="e">
        <f>IF('Pay App 34'!$H$149=0,NA(),IFERROR('Pay App 34'!F65/'Summary Sheet'!$D$19,""))</f>
        <v>#N/A</v>
      </c>
      <c r="BU12" s="264"/>
      <c r="BV12" s="276" t="e">
        <f>IF('Pay App 35'!$H$149=0,NA(),IFERROR('Pay App 35'!F65/'Summary Sheet'!$D$19,""))</f>
        <v>#N/A</v>
      </c>
      <c r="BW12" s="264"/>
      <c r="BX12" s="263" t="e">
        <f>IF('Pay App 36'!$H$149=0,NA(),IFERROR('Pay App 36'!F65/'Summary Sheet'!$D$19,""))</f>
        <v>#N/A</v>
      </c>
      <c r="BY12" s="264"/>
      <c r="BZ12" s="276" t="e">
        <f>IF('Pay App 37'!$H$149=0,NA(),IFERROR('Pay App 37'!F65/'Summary Sheet'!$D$19,""))</f>
        <v>#N/A</v>
      </c>
      <c r="CA12" s="264"/>
      <c r="CB12" s="263" t="e">
        <f>IF('Pay App 38'!$H$149=0,NA(),IFERROR('Pay App 38'!F65/'Summary Sheet'!$D$19,""))</f>
        <v>#N/A</v>
      </c>
      <c r="CC12" s="264"/>
      <c r="CD12" s="276" t="e">
        <f>IF('Pay App 39'!$H$149=0,NA(),IFERROR('Pay App 39'!F65/'Summary Sheet'!$D$19,""))</f>
        <v>#N/A</v>
      </c>
      <c r="CE12" s="264"/>
      <c r="CF12" s="263" t="e">
        <f>IF('Pay App 40'!$H$149=0,NA(),IFERROR('Pay App 40'!F65/'Summary Sheet'!$D$19,""))</f>
        <v>#N/A</v>
      </c>
      <c r="CG12" s="264"/>
      <c r="CH12" s="276" t="e">
        <f>IF('Pay App 41'!$H$149=0,NA(),IFERROR('Pay App 41'!F65/'Summary Sheet'!$D$19,""))</f>
        <v>#N/A</v>
      </c>
      <c r="CI12" s="264"/>
      <c r="CJ12" s="263" t="e">
        <f>IF('Pay App 42'!$H$149=0,NA(),IFERROR('Pay App 42'!F65/'Summary Sheet'!$D$19,""))</f>
        <v>#N/A</v>
      </c>
      <c r="CK12" s="264"/>
      <c r="CL12" s="276" t="e">
        <f>IF('Pay App 43'!$H$149=0,NA(),IFERROR('Pay App 43'!F65/'Summary Sheet'!$D$19,""))</f>
        <v>#N/A</v>
      </c>
      <c r="CM12" s="264"/>
      <c r="CN12" s="263" t="e">
        <f>IF('Pay App 44'!$H$149=0,NA(),IFERROR('Pay App 44'!F65/'Summary Sheet'!$D$19,""))</f>
        <v>#N/A</v>
      </c>
      <c r="CO12" s="264"/>
      <c r="CP12" s="276" t="e">
        <f>IF('Pay App 45'!$H$149=0,NA(),IFERROR('Pay App 45'!F65/'Summary Sheet'!$D$19,""))</f>
        <v>#N/A</v>
      </c>
      <c r="CQ12" s="264"/>
      <c r="CR12" s="263" t="e">
        <f>IF('Pay App 46'!$H$149=0,NA(),IFERROR('Pay App 46'!F65/'Summary Sheet'!$D$19,""))</f>
        <v>#N/A</v>
      </c>
      <c r="CS12" s="264"/>
      <c r="CT12" s="276" t="e">
        <f>IF('Pay App 47'!$H$149=0,NA(),IFERROR('Pay App 47'!F65/'Summary Sheet'!$D$19,""))</f>
        <v>#N/A</v>
      </c>
      <c r="CU12" s="264"/>
      <c r="CV12" s="263" t="e">
        <f>IF('Pay App 48'!$H$149=0,NA(),IFERROR('Pay App 48'!F65/'Summary Sheet'!$D$19,""))</f>
        <v>#N/A</v>
      </c>
      <c r="CW12" s="264"/>
      <c r="CX12" s="276" t="e">
        <f>IF('Pay App 49'!$H$149=0,NA(),IFERROR('Pay App 49'!F65/'Summary Sheet'!$D$19,""))</f>
        <v>#N/A</v>
      </c>
      <c r="CY12" s="264"/>
      <c r="CZ12" s="263" t="e">
        <f>IF('Pay App 50'!$H$149=0,NA(),IFERROR('Pay App 50'!F65/'Summary Sheet'!$D$19,""))</f>
        <v>#N/A</v>
      </c>
      <c r="DA12" s="264"/>
      <c r="DB12" s="276" t="e">
        <f>IF('Pay App 51'!$H$149=0,NA(),IFERROR('Pay App 51'!F65/'Summary Sheet'!$D$19,""))</f>
        <v>#N/A</v>
      </c>
      <c r="DC12" s="264"/>
      <c r="DD12" s="263" t="e">
        <f>IF('Pay App 52'!$H$149=0,NA(),IFERROR('Pay App 52'!F65/'Summary Sheet'!$D$19,""))</f>
        <v>#N/A</v>
      </c>
      <c r="DE12" s="264"/>
      <c r="DF12" s="276" t="e">
        <f>IF('Pay App 53'!$H$149=0,NA(),IFERROR('Pay App 53'!F65/'Summary Sheet'!$D$19,""))</f>
        <v>#N/A</v>
      </c>
      <c r="DG12" s="264"/>
      <c r="DH12" s="263" t="e">
        <f>IF('Pay App 54'!$H$149=0,NA(),IFERROR('Pay App 54'!F65/'Summary Sheet'!$D$19,""))</f>
        <v>#N/A</v>
      </c>
      <c r="DI12" s="264"/>
      <c r="DJ12" s="276" t="e">
        <f>IF('Pay App 55'!$H$149=0,NA(),IFERROR('Pay App 55'!F65/'Summary Sheet'!$D$19,""))</f>
        <v>#N/A</v>
      </c>
      <c r="DK12" s="264"/>
      <c r="DL12" s="263" t="e">
        <f>IF('Pay App 56'!$H$149=0,NA(),IFERROR('Pay App 56'!F65/'Summary Sheet'!$D$19,""))</f>
        <v>#N/A</v>
      </c>
      <c r="DM12" s="264"/>
      <c r="DN12" s="276" t="e">
        <f>IF('Pay App 57'!$H$149=0,NA(),IFERROR('Pay App 57'!F65/'Summary Sheet'!$D$19,""))</f>
        <v>#N/A</v>
      </c>
      <c r="DO12" s="264"/>
      <c r="DP12" s="263" t="e">
        <f>IF('Pay App 58'!$H$149=0,NA(),IFERROR('Pay App 58'!F65/'Summary Sheet'!$D$19,""))</f>
        <v>#N/A</v>
      </c>
      <c r="DQ12" s="264"/>
      <c r="DR12" s="276" t="e">
        <f>IF('Pay App 59'!$H$149=0,NA(),IFERROR('Pay App 59'!F65/'Summary Sheet'!$D$19,""))</f>
        <v>#N/A</v>
      </c>
      <c r="DS12" s="264"/>
      <c r="DT12" s="263" t="e">
        <f>IF('Pay App 60'!$H$149=0,NA(),IFERROR('Pay App 60'!F65/'Summary Sheet'!$D$19,""))</f>
        <v>#N/A</v>
      </c>
      <c r="DU12" s="296"/>
    </row>
    <row r="13" spans="2:125" x14ac:dyDescent="0.25">
      <c r="B13" s="49" t="str">
        <f>'Pay App 1'!B66</f>
        <v>01 34 00</v>
      </c>
      <c r="C13" s="25" t="str">
        <f>'Pay App 1'!C66</f>
        <v>Subcontractor Default Insurance</v>
      </c>
      <c r="D13" s="282" t="str" cm="1">
        <f t="array" ref="D13">IFERROR(1+(LOOKUP(2,1/(E13:DT13&lt;&gt;""),E13:DT13)-E13)/E13,"")</f>
        <v/>
      </c>
      <c r="E13" s="275" t="str">
        <f>IFERROR('GMP Tracker'!D17/'Summary Sheet'!$D$19,"")</f>
        <v/>
      </c>
      <c r="F13" s="276" t="e">
        <f>IF('Pay App 1'!$D$149=0,NA(),IFERROR('Pay App 1'!F66/'Summary Sheet'!$D$19,""))</f>
        <v>#N/A</v>
      </c>
      <c r="G13" s="271"/>
      <c r="H13" s="277" t="e">
        <f>IF('Pay App 2'!$H$149=0,NA(),IFERROR('Pay App 2'!F66/'Summary Sheet'!$D$19,""))</f>
        <v>#N/A</v>
      </c>
      <c r="I13" s="266"/>
      <c r="J13" s="276" t="e">
        <f>IF('Pay App 3'!$H$149=0,NA(),IFERROR('Pay App 3'!F66/'Summary Sheet'!$D$19,""))</f>
        <v>#N/A</v>
      </c>
      <c r="K13" s="268"/>
      <c r="L13" s="277" t="e">
        <f>IF('Pay App 4'!$H$149=0,NA(),IFERROR('Pay App 4'!F66/'Summary Sheet'!$D$19,""))</f>
        <v>#N/A</v>
      </c>
      <c r="M13" s="266"/>
      <c r="N13" s="276" t="e">
        <f>IF('Pay App 5'!$H$149=0,NA(),IFERROR('Pay App 5'!F66/'Summary Sheet'!$D$19,""))</f>
        <v>#N/A</v>
      </c>
      <c r="O13" s="263"/>
      <c r="P13" s="277" t="e">
        <f>IF('Pay App 6'!$H$149=0,NA(),IFERROR('Pay App 6'!F66/'Summary Sheet'!$D$19,""))</f>
        <v>#N/A</v>
      </c>
      <c r="Q13" s="263"/>
      <c r="R13" s="276" t="e">
        <f>IF('Pay App 7'!$H$149=0,NA(),IFERROR('Pay App 7'!F66/'Summary Sheet'!$D$19,""))</f>
        <v>#N/A</v>
      </c>
      <c r="S13" s="263"/>
      <c r="T13" s="277" t="e">
        <f>IF('Pay App 8'!$H$149=0,NA(),IFERROR('Pay App 8'!F66/'Summary Sheet'!$D$19,""))</f>
        <v>#N/A</v>
      </c>
      <c r="U13" s="263"/>
      <c r="V13" s="276" t="e">
        <f>IF('Pay App 9'!$H$149=0,NA(),IFERROR('Pay App 9'!F66/'Summary Sheet'!$D$19,""))</f>
        <v>#N/A</v>
      </c>
      <c r="W13" s="263"/>
      <c r="X13" s="277" t="e">
        <f>IF('Pay App 10'!$H$149=0,NA(),IFERROR('Pay App 10'!F66/'Summary Sheet'!$D$19,""))</f>
        <v>#N/A</v>
      </c>
      <c r="Y13" s="263"/>
      <c r="Z13" s="276" t="e">
        <f>IF('Pay App 11'!$H$149=0,NA(),IFERROR('Pay App 11'!F66/'Summary Sheet'!$D$19,""))</f>
        <v>#N/A</v>
      </c>
      <c r="AA13" s="263"/>
      <c r="AB13" s="277" t="e">
        <f>IF('Pay App 12'!$H$149=0,NA(),IFERROR('Pay App 12'!F66/'Summary Sheet'!$D$19,""))</f>
        <v>#N/A</v>
      </c>
      <c r="AC13" s="263"/>
      <c r="AD13" s="276" t="e">
        <f>IF('Pay App 13'!$H$149=0,NA(),IFERROR('Pay App 13'!F66/'Summary Sheet'!$D$19,""))</f>
        <v>#N/A</v>
      </c>
      <c r="AE13" s="263"/>
      <c r="AF13" s="277" t="e">
        <f>IF('Pay App 14'!$H$149=0,NA(),IFERROR('Pay App 14'!F66/'Summary Sheet'!$D$19,""))</f>
        <v>#N/A</v>
      </c>
      <c r="AG13" s="263"/>
      <c r="AH13" s="276" t="e">
        <f>IF('Pay App 15'!$H$149=0,NA(),IFERROR('Pay App 15'!F66/'Summary Sheet'!$D$19,""))</f>
        <v>#N/A</v>
      </c>
      <c r="AI13" s="263"/>
      <c r="AJ13" s="277" t="e">
        <f>IF('Pay App 16'!$H$149=0,NA(),IFERROR('Pay App 16'!F66/'Summary Sheet'!$D$19,""))</f>
        <v>#N/A</v>
      </c>
      <c r="AK13" s="263"/>
      <c r="AL13" s="276" t="e">
        <f>IF('Pay App 17'!$H$149=0,NA(),IFERROR('Pay App 17'!F66/'Summary Sheet'!$D$19,""))</f>
        <v>#N/A</v>
      </c>
      <c r="AM13" s="263"/>
      <c r="AN13" s="277" t="e">
        <f>IF('Pay App 18'!$H$149=0,NA(),IFERROR('Pay App 18'!F66/'Summary Sheet'!$D$19,""))</f>
        <v>#N/A</v>
      </c>
      <c r="AO13" s="263"/>
      <c r="AP13" s="276" t="e">
        <f>IF('Pay App 19'!$H$149=0,NA(),IFERROR('Pay App 19'!F66/'Summary Sheet'!$D$19,""))</f>
        <v>#N/A</v>
      </c>
      <c r="AQ13" s="263"/>
      <c r="AR13" s="263" t="e">
        <f>IF('Pay App 20'!$H$149=0,NA(),IFERROR('Pay App 20'!F66/'Summary Sheet'!$D$19,""))</f>
        <v>#N/A</v>
      </c>
      <c r="AS13" s="264"/>
      <c r="AT13" s="276" t="e">
        <f>IF('Pay App 21'!$H$149=0,NA(),IFERROR('Pay App 21'!F66/'Summary Sheet'!$D$19,""))</f>
        <v>#N/A</v>
      </c>
      <c r="AU13" s="264"/>
      <c r="AV13" s="263" t="e">
        <f>IF('Pay App 22'!$H$149=0,NA(),IFERROR('Pay App 22'!F66/'Summary Sheet'!$D$19,""))</f>
        <v>#N/A</v>
      </c>
      <c r="AW13" s="264"/>
      <c r="AX13" s="276" t="e">
        <f>IF('Pay App 23'!$H$149=0,NA(),IFERROR('Pay App 23'!F66/'Summary Sheet'!$D$19,""))</f>
        <v>#N/A</v>
      </c>
      <c r="AY13" s="264"/>
      <c r="AZ13" s="263" t="e">
        <f>IF('Pay App 24'!$H$149=0,NA(),IFERROR('Pay App 24'!F66/'Summary Sheet'!$D$19,""))</f>
        <v>#N/A</v>
      </c>
      <c r="BA13" s="264"/>
      <c r="BB13" s="276" t="e">
        <f>IF('Pay App 25'!$H$149=0,NA(),IFERROR('Pay App 25'!F66/'Summary Sheet'!$D$19,""))</f>
        <v>#N/A</v>
      </c>
      <c r="BC13" s="264"/>
      <c r="BD13" s="263" t="e">
        <f>IF('Pay App 26'!$H$149=0,NA(),IFERROR('Pay App 26'!F66/'Summary Sheet'!$D$19,""))</f>
        <v>#N/A</v>
      </c>
      <c r="BE13" s="264"/>
      <c r="BF13" s="276" t="e">
        <f>IF('Pay App 27'!$H$149=0,NA(),IFERROR('Pay App 27'!F66/'Summary Sheet'!$D$19,""))</f>
        <v>#N/A</v>
      </c>
      <c r="BG13" s="264"/>
      <c r="BH13" s="263" t="e">
        <f>IF('Pay App 28'!$H$149=0,NA(),IFERROR('Pay App 28'!F66/'Summary Sheet'!$D$19,""))</f>
        <v>#N/A</v>
      </c>
      <c r="BI13" s="264"/>
      <c r="BJ13" s="276" t="e">
        <f>IF('Pay App 29'!$H$149=0,NA(),IFERROR('Pay App 29'!F66/'Summary Sheet'!$D$19,""))</f>
        <v>#N/A</v>
      </c>
      <c r="BK13" s="271"/>
      <c r="BL13" s="263" t="e">
        <f>IF('Pay App 30'!$H$149=0,NA(),IFERROR('Pay App 30'!F66/'Summary Sheet'!$D$19,""))</f>
        <v>#N/A</v>
      </c>
      <c r="BM13" s="264"/>
      <c r="BN13" s="276" t="e">
        <f>IF('Pay App 31'!$H$149=0,NA(),IFERROR('Pay App 31'!F66/'Summary Sheet'!$D$19,""))</f>
        <v>#N/A</v>
      </c>
      <c r="BO13" s="264"/>
      <c r="BP13" s="263" t="e">
        <f>IF('Pay App 32'!$H$149=0,NA(),IFERROR('Pay App 32'!F66/'Summary Sheet'!$D$19,""))</f>
        <v>#N/A</v>
      </c>
      <c r="BQ13" s="264"/>
      <c r="BR13" s="276" t="e">
        <f>IF('Pay App 33'!$H$149=0,NA(),IFERROR('Pay App 33'!F66/'Summary Sheet'!$D$19,""))</f>
        <v>#N/A</v>
      </c>
      <c r="BS13" s="264"/>
      <c r="BT13" s="263" t="e">
        <f>IF('Pay App 34'!$H$149=0,NA(),IFERROR('Pay App 34'!F66/'Summary Sheet'!$D$19,""))</f>
        <v>#N/A</v>
      </c>
      <c r="BU13" s="264"/>
      <c r="BV13" s="276" t="e">
        <f>IF('Pay App 35'!$H$149=0,NA(),IFERROR('Pay App 35'!F66/'Summary Sheet'!$D$19,""))</f>
        <v>#N/A</v>
      </c>
      <c r="BW13" s="264"/>
      <c r="BX13" s="263" t="e">
        <f>IF('Pay App 36'!$H$149=0,NA(),IFERROR('Pay App 36'!F66/'Summary Sheet'!$D$19,""))</f>
        <v>#N/A</v>
      </c>
      <c r="BY13" s="264"/>
      <c r="BZ13" s="276" t="e">
        <f>IF('Pay App 37'!$H$149=0,NA(),IFERROR('Pay App 37'!F66/'Summary Sheet'!$D$19,""))</f>
        <v>#N/A</v>
      </c>
      <c r="CA13" s="264"/>
      <c r="CB13" s="263" t="e">
        <f>IF('Pay App 38'!$H$149=0,NA(),IFERROR('Pay App 38'!F66/'Summary Sheet'!$D$19,""))</f>
        <v>#N/A</v>
      </c>
      <c r="CC13" s="264"/>
      <c r="CD13" s="276" t="e">
        <f>IF('Pay App 39'!$H$149=0,NA(),IFERROR('Pay App 39'!F66/'Summary Sheet'!$D$19,""))</f>
        <v>#N/A</v>
      </c>
      <c r="CE13" s="264"/>
      <c r="CF13" s="263" t="e">
        <f>IF('Pay App 40'!$H$149=0,NA(),IFERROR('Pay App 40'!F66/'Summary Sheet'!$D$19,""))</f>
        <v>#N/A</v>
      </c>
      <c r="CG13" s="264"/>
      <c r="CH13" s="276" t="e">
        <f>IF('Pay App 41'!$H$149=0,NA(),IFERROR('Pay App 41'!F66/'Summary Sheet'!$D$19,""))</f>
        <v>#N/A</v>
      </c>
      <c r="CI13" s="264"/>
      <c r="CJ13" s="263" t="e">
        <f>IF('Pay App 42'!$H$149=0,NA(),IFERROR('Pay App 42'!F66/'Summary Sheet'!$D$19,""))</f>
        <v>#N/A</v>
      </c>
      <c r="CK13" s="264"/>
      <c r="CL13" s="276" t="e">
        <f>IF('Pay App 43'!$H$149=0,NA(),IFERROR('Pay App 43'!F66/'Summary Sheet'!$D$19,""))</f>
        <v>#N/A</v>
      </c>
      <c r="CM13" s="264"/>
      <c r="CN13" s="263" t="e">
        <f>IF('Pay App 44'!$H$149=0,NA(),IFERROR('Pay App 44'!F66/'Summary Sheet'!$D$19,""))</f>
        <v>#N/A</v>
      </c>
      <c r="CO13" s="264"/>
      <c r="CP13" s="276" t="e">
        <f>IF('Pay App 45'!$H$149=0,NA(),IFERROR('Pay App 45'!F66/'Summary Sheet'!$D$19,""))</f>
        <v>#N/A</v>
      </c>
      <c r="CQ13" s="264"/>
      <c r="CR13" s="263" t="e">
        <f>IF('Pay App 46'!$H$149=0,NA(),IFERROR('Pay App 46'!F66/'Summary Sheet'!$D$19,""))</f>
        <v>#N/A</v>
      </c>
      <c r="CS13" s="264"/>
      <c r="CT13" s="276" t="e">
        <f>IF('Pay App 47'!$H$149=0,NA(),IFERROR('Pay App 47'!F66/'Summary Sheet'!$D$19,""))</f>
        <v>#N/A</v>
      </c>
      <c r="CU13" s="264"/>
      <c r="CV13" s="263" t="e">
        <f>IF('Pay App 48'!$H$149=0,NA(),IFERROR('Pay App 48'!F66/'Summary Sheet'!$D$19,""))</f>
        <v>#N/A</v>
      </c>
      <c r="CW13" s="264"/>
      <c r="CX13" s="276" t="e">
        <f>IF('Pay App 49'!$H$149=0,NA(),IFERROR('Pay App 49'!F66/'Summary Sheet'!$D$19,""))</f>
        <v>#N/A</v>
      </c>
      <c r="CY13" s="264"/>
      <c r="CZ13" s="263" t="e">
        <f>IF('Pay App 50'!$H$149=0,NA(),IFERROR('Pay App 50'!F66/'Summary Sheet'!$D$19,""))</f>
        <v>#N/A</v>
      </c>
      <c r="DA13" s="264"/>
      <c r="DB13" s="276" t="e">
        <f>IF('Pay App 51'!$H$149=0,NA(),IFERROR('Pay App 51'!F66/'Summary Sheet'!$D$19,""))</f>
        <v>#N/A</v>
      </c>
      <c r="DC13" s="264"/>
      <c r="DD13" s="263" t="e">
        <f>IF('Pay App 52'!$H$149=0,NA(),IFERROR('Pay App 52'!F66/'Summary Sheet'!$D$19,""))</f>
        <v>#N/A</v>
      </c>
      <c r="DE13" s="264"/>
      <c r="DF13" s="276" t="e">
        <f>IF('Pay App 53'!$H$149=0,NA(),IFERROR('Pay App 53'!F66/'Summary Sheet'!$D$19,""))</f>
        <v>#N/A</v>
      </c>
      <c r="DG13" s="264"/>
      <c r="DH13" s="263" t="e">
        <f>IF('Pay App 54'!$H$149=0,NA(),IFERROR('Pay App 54'!F66/'Summary Sheet'!$D$19,""))</f>
        <v>#N/A</v>
      </c>
      <c r="DI13" s="264"/>
      <c r="DJ13" s="276" t="e">
        <f>IF('Pay App 55'!$H$149=0,NA(),IFERROR('Pay App 55'!F66/'Summary Sheet'!$D$19,""))</f>
        <v>#N/A</v>
      </c>
      <c r="DK13" s="264"/>
      <c r="DL13" s="263" t="e">
        <f>IF('Pay App 56'!$H$149=0,NA(),IFERROR('Pay App 56'!F66/'Summary Sheet'!$D$19,""))</f>
        <v>#N/A</v>
      </c>
      <c r="DM13" s="264"/>
      <c r="DN13" s="276" t="e">
        <f>IF('Pay App 57'!$H$149=0,NA(),IFERROR('Pay App 57'!F66/'Summary Sheet'!$D$19,""))</f>
        <v>#N/A</v>
      </c>
      <c r="DO13" s="264"/>
      <c r="DP13" s="263" t="e">
        <f>IF('Pay App 58'!$H$149=0,NA(),IFERROR('Pay App 58'!F66/'Summary Sheet'!$D$19,""))</f>
        <v>#N/A</v>
      </c>
      <c r="DQ13" s="264"/>
      <c r="DR13" s="276" t="e">
        <f>IF('Pay App 59'!$H$149=0,NA(),IFERROR('Pay App 59'!F66/'Summary Sheet'!$D$19,""))</f>
        <v>#N/A</v>
      </c>
      <c r="DS13" s="264"/>
      <c r="DT13" s="263" t="e">
        <f>IF('Pay App 60'!$H$149=0,NA(),IFERROR('Pay App 60'!F66/'Summary Sheet'!$D$19,""))</f>
        <v>#N/A</v>
      </c>
      <c r="DU13" s="296"/>
    </row>
    <row r="14" spans="2:125" x14ac:dyDescent="0.25">
      <c r="B14" s="49" t="str">
        <f>'Pay App 1'!B67</f>
        <v>01 35 00</v>
      </c>
      <c r="C14" s="25" t="str">
        <f>'Pay App 1'!C67</f>
        <v>Construction Management Fee</v>
      </c>
      <c r="D14" s="282" t="str" cm="1">
        <f t="array" ref="D14">IFERROR(1+(LOOKUP(2,1/(E14:DT14&lt;&gt;""),E14:DT14)-E14)/E14,"")</f>
        <v/>
      </c>
      <c r="E14" s="275" t="str">
        <f>IFERROR('GMP Tracker'!D18/'Summary Sheet'!$D$19,"")</f>
        <v/>
      </c>
      <c r="F14" s="276" t="e">
        <f>IF('Pay App 1'!$D$149=0,NA(),IFERROR('Pay App 1'!F67/'Summary Sheet'!$D$19,""))</f>
        <v>#N/A</v>
      </c>
      <c r="G14" s="271"/>
      <c r="H14" s="277" t="e">
        <f>IF('Pay App 2'!$H$149=0,NA(),IFERROR('Pay App 2'!F67/'Summary Sheet'!$D$19,""))</f>
        <v>#N/A</v>
      </c>
      <c r="I14" s="266"/>
      <c r="J14" s="276" t="e">
        <f>IF('Pay App 3'!$H$149=0,NA(),IFERROR('Pay App 3'!F67/'Summary Sheet'!$D$19,""))</f>
        <v>#N/A</v>
      </c>
      <c r="K14" s="268"/>
      <c r="L14" s="277" t="e">
        <f>IF('Pay App 4'!$H$149=0,NA(),IFERROR('Pay App 4'!F67/'Summary Sheet'!$D$19,""))</f>
        <v>#N/A</v>
      </c>
      <c r="M14" s="266"/>
      <c r="N14" s="276" t="e">
        <f>IF('Pay App 5'!$H$149=0,NA(),IFERROR('Pay App 5'!F67/'Summary Sheet'!$D$19,""))</f>
        <v>#N/A</v>
      </c>
      <c r="O14" s="263"/>
      <c r="P14" s="277" t="e">
        <f>IF('Pay App 6'!$H$149=0,NA(),IFERROR('Pay App 6'!F67/'Summary Sheet'!$D$19,""))</f>
        <v>#N/A</v>
      </c>
      <c r="Q14" s="263"/>
      <c r="R14" s="276" t="e">
        <f>IF('Pay App 7'!$H$149=0,NA(),IFERROR('Pay App 7'!F67/'Summary Sheet'!$D$19,""))</f>
        <v>#N/A</v>
      </c>
      <c r="S14" s="263"/>
      <c r="T14" s="277" t="e">
        <f>IF('Pay App 8'!$H$149=0,NA(),IFERROR('Pay App 8'!F67/'Summary Sheet'!$D$19,""))</f>
        <v>#N/A</v>
      </c>
      <c r="U14" s="263"/>
      <c r="V14" s="276" t="e">
        <f>IF('Pay App 9'!$H$149=0,NA(),IFERROR('Pay App 9'!F67/'Summary Sheet'!$D$19,""))</f>
        <v>#N/A</v>
      </c>
      <c r="W14" s="263"/>
      <c r="X14" s="277" t="e">
        <f>IF('Pay App 10'!$H$149=0,NA(),IFERROR('Pay App 10'!F67/'Summary Sheet'!$D$19,""))</f>
        <v>#N/A</v>
      </c>
      <c r="Y14" s="263"/>
      <c r="Z14" s="276" t="e">
        <f>IF('Pay App 11'!$H$149=0,NA(),IFERROR('Pay App 11'!F67/'Summary Sheet'!$D$19,""))</f>
        <v>#N/A</v>
      </c>
      <c r="AA14" s="263"/>
      <c r="AB14" s="277" t="e">
        <f>IF('Pay App 12'!$H$149=0,NA(),IFERROR('Pay App 12'!F67/'Summary Sheet'!$D$19,""))</f>
        <v>#N/A</v>
      </c>
      <c r="AC14" s="263"/>
      <c r="AD14" s="276" t="e">
        <f>IF('Pay App 13'!$H$149=0,NA(),IFERROR('Pay App 13'!F67/'Summary Sheet'!$D$19,""))</f>
        <v>#N/A</v>
      </c>
      <c r="AE14" s="263"/>
      <c r="AF14" s="277" t="e">
        <f>IF('Pay App 14'!$H$149=0,NA(),IFERROR('Pay App 14'!F67/'Summary Sheet'!$D$19,""))</f>
        <v>#N/A</v>
      </c>
      <c r="AG14" s="263"/>
      <c r="AH14" s="276" t="e">
        <f>IF('Pay App 15'!$H$149=0,NA(),IFERROR('Pay App 15'!F67/'Summary Sheet'!$D$19,""))</f>
        <v>#N/A</v>
      </c>
      <c r="AI14" s="263"/>
      <c r="AJ14" s="277" t="e">
        <f>IF('Pay App 16'!$H$149=0,NA(),IFERROR('Pay App 16'!F67/'Summary Sheet'!$D$19,""))</f>
        <v>#N/A</v>
      </c>
      <c r="AK14" s="263"/>
      <c r="AL14" s="276" t="e">
        <f>IF('Pay App 17'!$H$149=0,NA(),IFERROR('Pay App 17'!F67/'Summary Sheet'!$D$19,""))</f>
        <v>#N/A</v>
      </c>
      <c r="AM14" s="263"/>
      <c r="AN14" s="277" t="e">
        <f>IF('Pay App 18'!$H$149=0,NA(),IFERROR('Pay App 18'!F67/'Summary Sheet'!$D$19,""))</f>
        <v>#N/A</v>
      </c>
      <c r="AO14" s="263"/>
      <c r="AP14" s="276" t="e">
        <f>IF('Pay App 19'!$H$149=0,NA(),IFERROR('Pay App 19'!F67/'Summary Sheet'!$D$19,""))</f>
        <v>#N/A</v>
      </c>
      <c r="AQ14" s="263"/>
      <c r="AR14" s="263" t="e">
        <f>IF('Pay App 20'!$H$149=0,NA(),IFERROR('Pay App 20'!F67/'Summary Sheet'!$D$19,""))</f>
        <v>#N/A</v>
      </c>
      <c r="AS14" s="264"/>
      <c r="AT14" s="276" t="e">
        <f>IF('Pay App 21'!$H$149=0,NA(),IFERROR('Pay App 21'!F67/'Summary Sheet'!$D$19,""))</f>
        <v>#N/A</v>
      </c>
      <c r="AU14" s="264"/>
      <c r="AV14" s="263" t="e">
        <f>IF('Pay App 22'!$H$149=0,NA(),IFERROR('Pay App 22'!F67/'Summary Sheet'!$D$19,""))</f>
        <v>#N/A</v>
      </c>
      <c r="AW14" s="264"/>
      <c r="AX14" s="276" t="e">
        <f>IF('Pay App 23'!$H$149=0,NA(),IFERROR('Pay App 23'!F67/'Summary Sheet'!$D$19,""))</f>
        <v>#N/A</v>
      </c>
      <c r="AY14" s="264"/>
      <c r="AZ14" s="263" t="e">
        <f>IF('Pay App 24'!$H$149=0,NA(),IFERROR('Pay App 24'!F67/'Summary Sheet'!$D$19,""))</f>
        <v>#N/A</v>
      </c>
      <c r="BA14" s="264"/>
      <c r="BB14" s="276" t="e">
        <f>IF('Pay App 25'!$H$149=0,NA(),IFERROR('Pay App 25'!F67/'Summary Sheet'!$D$19,""))</f>
        <v>#N/A</v>
      </c>
      <c r="BC14" s="264"/>
      <c r="BD14" s="263" t="e">
        <f>IF('Pay App 26'!$H$149=0,NA(),IFERROR('Pay App 26'!F67/'Summary Sheet'!$D$19,""))</f>
        <v>#N/A</v>
      </c>
      <c r="BE14" s="264"/>
      <c r="BF14" s="276" t="e">
        <f>IF('Pay App 27'!$H$149=0,NA(),IFERROR('Pay App 27'!F67/'Summary Sheet'!$D$19,""))</f>
        <v>#N/A</v>
      </c>
      <c r="BG14" s="264"/>
      <c r="BH14" s="263" t="e">
        <f>IF('Pay App 28'!$H$149=0,NA(),IFERROR('Pay App 28'!F67/'Summary Sheet'!$D$19,""))</f>
        <v>#N/A</v>
      </c>
      <c r="BI14" s="264"/>
      <c r="BJ14" s="276" t="e">
        <f>IF('Pay App 29'!$H$149=0,NA(),IFERROR('Pay App 29'!F67/'Summary Sheet'!$D$19,""))</f>
        <v>#N/A</v>
      </c>
      <c r="BK14" s="271"/>
      <c r="BL14" s="263" t="e">
        <f>IF('Pay App 30'!$H$149=0,NA(),IFERROR('Pay App 30'!F67/'Summary Sheet'!$D$19,""))</f>
        <v>#N/A</v>
      </c>
      <c r="BM14" s="264"/>
      <c r="BN14" s="276" t="e">
        <f>IF('Pay App 31'!$H$149=0,NA(),IFERROR('Pay App 31'!F67/'Summary Sheet'!$D$19,""))</f>
        <v>#N/A</v>
      </c>
      <c r="BO14" s="264"/>
      <c r="BP14" s="263" t="e">
        <f>IF('Pay App 32'!$H$149=0,NA(),IFERROR('Pay App 32'!F67/'Summary Sheet'!$D$19,""))</f>
        <v>#N/A</v>
      </c>
      <c r="BQ14" s="264"/>
      <c r="BR14" s="276" t="e">
        <f>IF('Pay App 33'!$H$149=0,NA(),IFERROR('Pay App 33'!F67/'Summary Sheet'!$D$19,""))</f>
        <v>#N/A</v>
      </c>
      <c r="BS14" s="264"/>
      <c r="BT14" s="263" t="e">
        <f>IF('Pay App 34'!$H$149=0,NA(),IFERROR('Pay App 34'!F67/'Summary Sheet'!$D$19,""))</f>
        <v>#N/A</v>
      </c>
      <c r="BU14" s="264"/>
      <c r="BV14" s="276" t="e">
        <f>IF('Pay App 35'!$H$149=0,NA(),IFERROR('Pay App 35'!F67/'Summary Sheet'!$D$19,""))</f>
        <v>#N/A</v>
      </c>
      <c r="BW14" s="264"/>
      <c r="BX14" s="263" t="e">
        <f>IF('Pay App 36'!$H$149=0,NA(),IFERROR('Pay App 36'!F67/'Summary Sheet'!$D$19,""))</f>
        <v>#N/A</v>
      </c>
      <c r="BY14" s="264"/>
      <c r="BZ14" s="276" t="e">
        <f>IF('Pay App 37'!$H$149=0,NA(),IFERROR('Pay App 37'!F67/'Summary Sheet'!$D$19,""))</f>
        <v>#N/A</v>
      </c>
      <c r="CA14" s="264"/>
      <c r="CB14" s="263" t="e">
        <f>IF('Pay App 38'!$H$149=0,NA(),IFERROR('Pay App 38'!F67/'Summary Sheet'!$D$19,""))</f>
        <v>#N/A</v>
      </c>
      <c r="CC14" s="264"/>
      <c r="CD14" s="276" t="e">
        <f>IF('Pay App 39'!$H$149=0,NA(),IFERROR('Pay App 39'!F67/'Summary Sheet'!$D$19,""))</f>
        <v>#N/A</v>
      </c>
      <c r="CE14" s="264"/>
      <c r="CF14" s="263" t="e">
        <f>IF('Pay App 40'!$H$149=0,NA(),IFERROR('Pay App 40'!F67/'Summary Sheet'!$D$19,""))</f>
        <v>#N/A</v>
      </c>
      <c r="CG14" s="264"/>
      <c r="CH14" s="276" t="e">
        <f>IF('Pay App 41'!$H$149=0,NA(),IFERROR('Pay App 41'!F67/'Summary Sheet'!$D$19,""))</f>
        <v>#N/A</v>
      </c>
      <c r="CI14" s="264"/>
      <c r="CJ14" s="263" t="e">
        <f>IF('Pay App 42'!$H$149=0,NA(),IFERROR('Pay App 42'!F67/'Summary Sheet'!$D$19,""))</f>
        <v>#N/A</v>
      </c>
      <c r="CK14" s="264"/>
      <c r="CL14" s="276" t="e">
        <f>IF('Pay App 43'!$H$149=0,NA(),IFERROR('Pay App 43'!F67/'Summary Sheet'!$D$19,""))</f>
        <v>#N/A</v>
      </c>
      <c r="CM14" s="264"/>
      <c r="CN14" s="263" t="e">
        <f>IF('Pay App 44'!$H$149=0,NA(),IFERROR('Pay App 44'!F67/'Summary Sheet'!$D$19,""))</f>
        <v>#N/A</v>
      </c>
      <c r="CO14" s="264"/>
      <c r="CP14" s="276" t="e">
        <f>IF('Pay App 45'!$H$149=0,NA(),IFERROR('Pay App 45'!F67/'Summary Sheet'!$D$19,""))</f>
        <v>#N/A</v>
      </c>
      <c r="CQ14" s="264"/>
      <c r="CR14" s="263" t="e">
        <f>IF('Pay App 46'!$H$149=0,NA(),IFERROR('Pay App 46'!F67/'Summary Sheet'!$D$19,""))</f>
        <v>#N/A</v>
      </c>
      <c r="CS14" s="264"/>
      <c r="CT14" s="276" t="e">
        <f>IF('Pay App 47'!$H$149=0,NA(),IFERROR('Pay App 47'!F67/'Summary Sheet'!$D$19,""))</f>
        <v>#N/A</v>
      </c>
      <c r="CU14" s="264"/>
      <c r="CV14" s="263" t="e">
        <f>IF('Pay App 48'!$H$149=0,NA(),IFERROR('Pay App 48'!F67/'Summary Sheet'!$D$19,""))</f>
        <v>#N/A</v>
      </c>
      <c r="CW14" s="264"/>
      <c r="CX14" s="276" t="e">
        <f>IF('Pay App 49'!$H$149=0,NA(),IFERROR('Pay App 49'!F67/'Summary Sheet'!$D$19,""))</f>
        <v>#N/A</v>
      </c>
      <c r="CY14" s="264"/>
      <c r="CZ14" s="263" t="e">
        <f>IF('Pay App 50'!$H$149=0,NA(),IFERROR('Pay App 50'!F67/'Summary Sheet'!$D$19,""))</f>
        <v>#N/A</v>
      </c>
      <c r="DA14" s="264"/>
      <c r="DB14" s="276" t="e">
        <f>IF('Pay App 51'!$H$149=0,NA(),IFERROR('Pay App 51'!F67/'Summary Sheet'!$D$19,""))</f>
        <v>#N/A</v>
      </c>
      <c r="DC14" s="264"/>
      <c r="DD14" s="263" t="e">
        <f>IF('Pay App 52'!$H$149=0,NA(),IFERROR('Pay App 52'!F67/'Summary Sheet'!$D$19,""))</f>
        <v>#N/A</v>
      </c>
      <c r="DE14" s="264"/>
      <c r="DF14" s="276" t="e">
        <f>IF('Pay App 53'!$H$149=0,NA(),IFERROR('Pay App 53'!F67/'Summary Sheet'!$D$19,""))</f>
        <v>#N/A</v>
      </c>
      <c r="DG14" s="264"/>
      <c r="DH14" s="263" t="e">
        <f>IF('Pay App 54'!$H$149=0,NA(),IFERROR('Pay App 54'!F67/'Summary Sheet'!$D$19,""))</f>
        <v>#N/A</v>
      </c>
      <c r="DI14" s="264"/>
      <c r="DJ14" s="276" t="e">
        <f>IF('Pay App 55'!$H$149=0,NA(),IFERROR('Pay App 55'!F67/'Summary Sheet'!$D$19,""))</f>
        <v>#N/A</v>
      </c>
      <c r="DK14" s="264"/>
      <c r="DL14" s="263" t="e">
        <f>IF('Pay App 56'!$H$149=0,NA(),IFERROR('Pay App 56'!F67/'Summary Sheet'!$D$19,""))</f>
        <v>#N/A</v>
      </c>
      <c r="DM14" s="264"/>
      <c r="DN14" s="276" t="e">
        <f>IF('Pay App 57'!$H$149=0,NA(),IFERROR('Pay App 57'!F67/'Summary Sheet'!$D$19,""))</f>
        <v>#N/A</v>
      </c>
      <c r="DO14" s="264"/>
      <c r="DP14" s="263" t="e">
        <f>IF('Pay App 58'!$H$149=0,NA(),IFERROR('Pay App 58'!F67/'Summary Sheet'!$D$19,""))</f>
        <v>#N/A</v>
      </c>
      <c r="DQ14" s="264"/>
      <c r="DR14" s="276" t="e">
        <f>IF('Pay App 59'!$H$149=0,NA(),IFERROR('Pay App 59'!F67/'Summary Sheet'!$D$19,""))</f>
        <v>#N/A</v>
      </c>
      <c r="DS14" s="264"/>
      <c r="DT14" s="263" t="e">
        <f>IF('Pay App 60'!$H$149=0,NA(),IFERROR('Pay App 60'!F67/'Summary Sheet'!$D$19,""))</f>
        <v>#N/A</v>
      </c>
      <c r="DU14" s="296"/>
    </row>
    <row r="15" spans="2:125" x14ac:dyDescent="0.25">
      <c r="B15" s="49" t="str">
        <f>'Pay App 1'!B68</f>
        <v>01 36 00</v>
      </c>
      <c r="C15" s="25" t="str">
        <f>'Pay App 1'!C68</f>
        <v>Contingency</v>
      </c>
      <c r="D15" s="282" t="str" cm="1">
        <f t="array" ref="D15">IFERROR(1+(LOOKUP(2,1/(E15:DT15&lt;&gt;""),E15:DT15)-E15)/E15,"")</f>
        <v/>
      </c>
      <c r="E15" s="275" t="str">
        <f>IFERROR('GMP Tracker'!D19/'Summary Sheet'!$D$19,"")</f>
        <v/>
      </c>
      <c r="F15" s="276" t="e">
        <f>IF('Pay App 1'!$D$149=0,NA(),IFERROR('Pay App 1'!F68/'Summary Sheet'!$D$19,""))</f>
        <v>#N/A</v>
      </c>
      <c r="G15" s="271"/>
      <c r="H15" s="277" t="e">
        <f>IF('Pay App 2'!$H$149=0,NA(),IFERROR('Pay App 2'!F68/'Summary Sheet'!$D$19,""))</f>
        <v>#N/A</v>
      </c>
      <c r="I15" s="266"/>
      <c r="J15" s="276" t="e">
        <f>IF('Pay App 3'!$H$149=0,NA(),IFERROR('Pay App 3'!F68/'Summary Sheet'!$D$19,""))</f>
        <v>#N/A</v>
      </c>
      <c r="K15" s="268"/>
      <c r="L15" s="277" t="e">
        <f>IF('Pay App 4'!$H$149=0,NA(),IFERROR('Pay App 4'!F68/'Summary Sheet'!$D$19,""))</f>
        <v>#N/A</v>
      </c>
      <c r="M15" s="266"/>
      <c r="N15" s="276" t="e">
        <f>IF('Pay App 5'!$H$149=0,NA(),IFERROR('Pay App 5'!F68/'Summary Sheet'!$D$19,""))</f>
        <v>#N/A</v>
      </c>
      <c r="O15" s="263"/>
      <c r="P15" s="277" t="e">
        <f>IF('Pay App 6'!$H$149=0,NA(),IFERROR('Pay App 6'!F68/'Summary Sheet'!$D$19,""))</f>
        <v>#N/A</v>
      </c>
      <c r="Q15" s="263"/>
      <c r="R15" s="276" t="e">
        <f>IF('Pay App 7'!$H$149=0,NA(),IFERROR('Pay App 7'!F68/'Summary Sheet'!$D$19,""))</f>
        <v>#N/A</v>
      </c>
      <c r="S15" s="263"/>
      <c r="T15" s="277" t="e">
        <f>IF('Pay App 8'!$H$149=0,NA(),IFERROR('Pay App 8'!F68/'Summary Sheet'!$D$19,""))</f>
        <v>#N/A</v>
      </c>
      <c r="U15" s="263"/>
      <c r="V15" s="276" t="e">
        <f>IF('Pay App 9'!$H$149=0,NA(),IFERROR('Pay App 9'!F68/'Summary Sheet'!$D$19,""))</f>
        <v>#N/A</v>
      </c>
      <c r="W15" s="263"/>
      <c r="X15" s="277" t="e">
        <f>IF('Pay App 10'!$H$149=0,NA(),IFERROR('Pay App 10'!F68/'Summary Sheet'!$D$19,""))</f>
        <v>#N/A</v>
      </c>
      <c r="Y15" s="263"/>
      <c r="Z15" s="276" t="e">
        <f>IF('Pay App 11'!$H$149=0,NA(),IFERROR('Pay App 11'!F68/'Summary Sheet'!$D$19,""))</f>
        <v>#N/A</v>
      </c>
      <c r="AA15" s="263"/>
      <c r="AB15" s="277" t="e">
        <f>IF('Pay App 12'!$H$149=0,NA(),IFERROR('Pay App 12'!F68/'Summary Sheet'!$D$19,""))</f>
        <v>#N/A</v>
      </c>
      <c r="AC15" s="263"/>
      <c r="AD15" s="276" t="e">
        <f>IF('Pay App 13'!$H$149=0,NA(),IFERROR('Pay App 13'!F68/'Summary Sheet'!$D$19,""))</f>
        <v>#N/A</v>
      </c>
      <c r="AE15" s="263"/>
      <c r="AF15" s="277" t="e">
        <f>IF('Pay App 14'!$H$149=0,NA(),IFERROR('Pay App 14'!F68/'Summary Sheet'!$D$19,""))</f>
        <v>#N/A</v>
      </c>
      <c r="AG15" s="263"/>
      <c r="AH15" s="276" t="e">
        <f>IF('Pay App 15'!$H$149=0,NA(),IFERROR('Pay App 15'!F68/'Summary Sheet'!$D$19,""))</f>
        <v>#N/A</v>
      </c>
      <c r="AI15" s="263"/>
      <c r="AJ15" s="277" t="e">
        <f>IF('Pay App 16'!$H$149=0,NA(),IFERROR('Pay App 16'!F68/'Summary Sheet'!$D$19,""))</f>
        <v>#N/A</v>
      </c>
      <c r="AK15" s="263"/>
      <c r="AL15" s="276" t="e">
        <f>IF('Pay App 17'!$H$149=0,NA(),IFERROR('Pay App 17'!F68/'Summary Sheet'!$D$19,""))</f>
        <v>#N/A</v>
      </c>
      <c r="AM15" s="263"/>
      <c r="AN15" s="277" t="e">
        <f>IF('Pay App 18'!$H$149=0,NA(),IFERROR('Pay App 18'!F68/'Summary Sheet'!$D$19,""))</f>
        <v>#N/A</v>
      </c>
      <c r="AO15" s="263"/>
      <c r="AP15" s="276" t="e">
        <f>IF('Pay App 19'!$H$149=0,NA(),IFERROR('Pay App 19'!F68/'Summary Sheet'!$D$19,""))</f>
        <v>#N/A</v>
      </c>
      <c r="AQ15" s="263"/>
      <c r="AR15" s="263" t="e">
        <f>IF('Pay App 20'!$H$149=0,NA(),IFERROR('Pay App 20'!F68/'Summary Sheet'!$D$19,""))</f>
        <v>#N/A</v>
      </c>
      <c r="AS15" s="264"/>
      <c r="AT15" s="276" t="e">
        <f>IF('Pay App 21'!$H$149=0,NA(),IFERROR('Pay App 21'!F68/'Summary Sheet'!$D$19,""))</f>
        <v>#N/A</v>
      </c>
      <c r="AU15" s="264"/>
      <c r="AV15" s="263" t="e">
        <f>IF('Pay App 22'!$H$149=0,NA(),IFERROR('Pay App 22'!F68/'Summary Sheet'!$D$19,""))</f>
        <v>#N/A</v>
      </c>
      <c r="AW15" s="264"/>
      <c r="AX15" s="276" t="e">
        <f>IF('Pay App 23'!$H$149=0,NA(),IFERROR('Pay App 23'!F68/'Summary Sheet'!$D$19,""))</f>
        <v>#N/A</v>
      </c>
      <c r="AY15" s="264"/>
      <c r="AZ15" s="263" t="e">
        <f>IF('Pay App 24'!$H$149=0,NA(),IFERROR('Pay App 24'!F68/'Summary Sheet'!$D$19,""))</f>
        <v>#N/A</v>
      </c>
      <c r="BA15" s="264"/>
      <c r="BB15" s="276" t="e">
        <f>IF('Pay App 25'!$H$149=0,NA(),IFERROR('Pay App 25'!F68/'Summary Sheet'!$D$19,""))</f>
        <v>#N/A</v>
      </c>
      <c r="BC15" s="264"/>
      <c r="BD15" s="263" t="e">
        <f>IF('Pay App 26'!$H$149=0,NA(),IFERROR('Pay App 26'!F68/'Summary Sheet'!$D$19,""))</f>
        <v>#N/A</v>
      </c>
      <c r="BE15" s="264"/>
      <c r="BF15" s="276" t="e">
        <f>IF('Pay App 27'!$H$149=0,NA(),IFERROR('Pay App 27'!F68/'Summary Sheet'!$D$19,""))</f>
        <v>#N/A</v>
      </c>
      <c r="BG15" s="264"/>
      <c r="BH15" s="263" t="e">
        <f>IF('Pay App 28'!$H$149=0,NA(),IFERROR('Pay App 28'!F68/'Summary Sheet'!$D$19,""))</f>
        <v>#N/A</v>
      </c>
      <c r="BI15" s="264"/>
      <c r="BJ15" s="276" t="e">
        <f>IF('Pay App 29'!$H$149=0,NA(),IFERROR('Pay App 29'!F68/'Summary Sheet'!$D$19,""))</f>
        <v>#N/A</v>
      </c>
      <c r="BK15" s="271"/>
      <c r="BL15" s="263" t="e">
        <f>IF('Pay App 30'!$H$149=0,NA(),IFERROR('Pay App 30'!F68/'Summary Sheet'!$D$19,""))</f>
        <v>#N/A</v>
      </c>
      <c r="BM15" s="264"/>
      <c r="BN15" s="276" t="e">
        <f>IF('Pay App 31'!$H$149=0,NA(),IFERROR('Pay App 31'!F68/'Summary Sheet'!$D$19,""))</f>
        <v>#N/A</v>
      </c>
      <c r="BO15" s="264"/>
      <c r="BP15" s="263" t="e">
        <f>IF('Pay App 32'!$H$149=0,NA(),IFERROR('Pay App 32'!F68/'Summary Sheet'!$D$19,""))</f>
        <v>#N/A</v>
      </c>
      <c r="BQ15" s="264"/>
      <c r="BR15" s="276" t="e">
        <f>IF('Pay App 33'!$H$149=0,NA(),IFERROR('Pay App 33'!F68/'Summary Sheet'!$D$19,""))</f>
        <v>#N/A</v>
      </c>
      <c r="BS15" s="264"/>
      <c r="BT15" s="263" t="e">
        <f>IF('Pay App 34'!$H$149=0,NA(),IFERROR('Pay App 34'!F68/'Summary Sheet'!$D$19,""))</f>
        <v>#N/A</v>
      </c>
      <c r="BU15" s="264"/>
      <c r="BV15" s="276" t="e">
        <f>IF('Pay App 35'!$H$149=0,NA(),IFERROR('Pay App 35'!F68/'Summary Sheet'!$D$19,""))</f>
        <v>#N/A</v>
      </c>
      <c r="BW15" s="264"/>
      <c r="BX15" s="263" t="e">
        <f>IF('Pay App 36'!$H$149=0,NA(),IFERROR('Pay App 36'!F68/'Summary Sheet'!$D$19,""))</f>
        <v>#N/A</v>
      </c>
      <c r="BY15" s="264"/>
      <c r="BZ15" s="276" t="e">
        <f>IF('Pay App 37'!$H$149=0,NA(),IFERROR('Pay App 37'!F68/'Summary Sheet'!$D$19,""))</f>
        <v>#N/A</v>
      </c>
      <c r="CA15" s="264"/>
      <c r="CB15" s="263" t="e">
        <f>IF('Pay App 38'!$H$149=0,NA(),IFERROR('Pay App 38'!F68/'Summary Sheet'!$D$19,""))</f>
        <v>#N/A</v>
      </c>
      <c r="CC15" s="264"/>
      <c r="CD15" s="276" t="e">
        <f>IF('Pay App 39'!$H$149=0,NA(),IFERROR('Pay App 39'!F68/'Summary Sheet'!$D$19,""))</f>
        <v>#N/A</v>
      </c>
      <c r="CE15" s="264"/>
      <c r="CF15" s="263" t="e">
        <f>IF('Pay App 40'!$H$149=0,NA(),IFERROR('Pay App 40'!F68/'Summary Sheet'!$D$19,""))</f>
        <v>#N/A</v>
      </c>
      <c r="CG15" s="264"/>
      <c r="CH15" s="276" t="e">
        <f>IF('Pay App 41'!$H$149=0,NA(),IFERROR('Pay App 41'!F68/'Summary Sheet'!$D$19,""))</f>
        <v>#N/A</v>
      </c>
      <c r="CI15" s="264"/>
      <c r="CJ15" s="263" t="e">
        <f>IF('Pay App 42'!$H$149=0,NA(),IFERROR('Pay App 42'!F68/'Summary Sheet'!$D$19,""))</f>
        <v>#N/A</v>
      </c>
      <c r="CK15" s="264"/>
      <c r="CL15" s="276" t="e">
        <f>IF('Pay App 43'!$H$149=0,NA(),IFERROR('Pay App 43'!F68/'Summary Sheet'!$D$19,""))</f>
        <v>#N/A</v>
      </c>
      <c r="CM15" s="264"/>
      <c r="CN15" s="263" t="e">
        <f>IF('Pay App 44'!$H$149=0,NA(),IFERROR('Pay App 44'!F68/'Summary Sheet'!$D$19,""))</f>
        <v>#N/A</v>
      </c>
      <c r="CO15" s="264"/>
      <c r="CP15" s="276" t="e">
        <f>IF('Pay App 45'!$H$149=0,NA(),IFERROR('Pay App 45'!F68/'Summary Sheet'!$D$19,""))</f>
        <v>#N/A</v>
      </c>
      <c r="CQ15" s="264"/>
      <c r="CR15" s="263" t="e">
        <f>IF('Pay App 46'!$H$149=0,NA(),IFERROR('Pay App 46'!F68/'Summary Sheet'!$D$19,""))</f>
        <v>#N/A</v>
      </c>
      <c r="CS15" s="264"/>
      <c r="CT15" s="276" t="e">
        <f>IF('Pay App 47'!$H$149=0,NA(),IFERROR('Pay App 47'!F68/'Summary Sheet'!$D$19,""))</f>
        <v>#N/A</v>
      </c>
      <c r="CU15" s="264"/>
      <c r="CV15" s="263" t="e">
        <f>IF('Pay App 48'!$H$149=0,NA(),IFERROR('Pay App 48'!F68/'Summary Sheet'!$D$19,""))</f>
        <v>#N/A</v>
      </c>
      <c r="CW15" s="264"/>
      <c r="CX15" s="276" t="e">
        <f>IF('Pay App 49'!$H$149=0,NA(),IFERROR('Pay App 49'!F68/'Summary Sheet'!$D$19,""))</f>
        <v>#N/A</v>
      </c>
      <c r="CY15" s="264"/>
      <c r="CZ15" s="263" t="e">
        <f>IF('Pay App 50'!$H$149=0,NA(),IFERROR('Pay App 50'!F68/'Summary Sheet'!$D$19,""))</f>
        <v>#N/A</v>
      </c>
      <c r="DA15" s="264"/>
      <c r="DB15" s="276" t="e">
        <f>IF('Pay App 51'!$H$149=0,NA(),IFERROR('Pay App 51'!F68/'Summary Sheet'!$D$19,""))</f>
        <v>#N/A</v>
      </c>
      <c r="DC15" s="264"/>
      <c r="DD15" s="263" t="e">
        <f>IF('Pay App 52'!$H$149=0,NA(),IFERROR('Pay App 52'!F68/'Summary Sheet'!$D$19,""))</f>
        <v>#N/A</v>
      </c>
      <c r="DE15" s="264"/>
      <c r="DF15" s="276" t="e">
        <f>IF('Pay App 53'!$H$149=0,NA(),IFERROR('Pay App 53'!F68/'Summary Sheet'!$D$19,""))</f>
        <v>#N/A</v>
      </c>
      <c r="DG15" s="264"/>
      <c r="DH15" s="263" t="e">
        <f>IF('Pay App 54'!$H$149=0,NA(),IFERROR('Pay App 54'!F68/'Summary Sheet'!$D$19,""))</f>
        <v>#N/A</v>
      </c>
      <c r="DI15" s="264"/>
      <c r="DJ15" s="276" t="e">
        <f>IF('Pay App 55'!$H$149=0,NA(),IFERROR('Pay App 55'!F68/'Summary Sheet'!$D$19,""))</f>
        <v>#N/A</v>
      </c>
      <c r="DK15" s="264"/>
      <c r="DL15" s="263" t="e">
        <f>IF('Pay App 56'!$H$149=0,NA(),IFERROR('Pay App 56'!F68/'Summary Sheet'!$D$19,""))</f>
        <v>#N/A</v>
      </c>
      <c r="DM15" s="264"/>
      <c r="DN15" s="276" t="e">
        <f>IF('Pay App 57'!$H$149=0,NA(),IFERROR('Pay App 57'!F68/'Summary Sheet'!$D$19,""))</f>
        <v>#N/A</v>
      </c>
      <c r="DO15" s="264"/>
      <c r="DP15" s="263" t="e">
        <f>IF('Pay App 58'!$H$149=0,NA(),IFERROR('Pay App 58'!F68/'Summary Sheet'!$D$19,""))</f>
        <v>#N/A</v>
      </c>
      <c r="DQ15" s="264"/>
      <c r="DR15" s="276" t="e">
        <f>IF('Pay App 59'!$H$149=0,NA(),IFERROR('Pay App 59'!F68/'Summary Sheet'!$D$19,""))</f>
        <v>#N/A</v>
      </c>
      <c r="DS15" s="264"/>
      <c r="DT15" s="263" t="e">
        <f>IF('Pay App 60'!$H$149=0,NA(),IFERROR('Pay App 60'!F68/'Summary Sheet'!$D$19,""))</f>
        <v>#N/A</v>
      </c>
      <c r="DU15" s="296"/>
    </row>
    <row r="16" spans="2:125" x14ac:dyDescent="0.25">
      <c r="B16" s="49" t="str">
        <f>'Pay App 1'!B69</f>
        <v>01 37 00</v>
      </c>
      <c r="C16" s="25" t="str">
        <f>'Pay App 1'!C69</f>
        <v>Weather Allowance (All Trades)</v>
      </c>
      <c r="D16" s="282" t="str" cm="1">
        <f t="array" ref="D16">IFERROR(1+(LOOKUP(2,1/(E16:DT16&lt;&gt;""),E16:DT16)-E16)/E16,"")</f>
        <v/>
      </c>
      <c r="E16" s="275" t="str">
        <f>IFERROR('GMP Tracker'!D20/'Summary Sheet'!$D$19,"")</f>
        <v/>
      </c>
      <c r="F16" s="276" t="e">
        <f>IF('Pay App 1'!$D$149=0,NA(),IFERROR('Pay App 1'!F69/'Summary Sheet'!$D$19,""))</f>
        <v>#N/A</v>
      </c>
      <c r="G16" s="271"/>
      <c r="H16" s="277" t="e">
        <f>IF('Pay App 2'!$H$149=0,NA(),IFERROR('Pay App 2'!F69/'Summary Sheet'!$D$19,""))</f>
        <v>#N/A</v>
      </c>
      <c r="I16" s="266"/>
      <c r="J16" s="276" t="e">
        <f>IF('Pay App 3'!$H$149=0,NA(),IFERROR('Pay App 3'!F69/'Summary Sheet'!$D$19,""))</f>
        <v>#N/A</v>
      </c>
      <c r="K16" s="268"/>
      <c r="L16" s="277" t="e">
        <f>IF('Pay App 4'!$H$149=0,NA(),IFERROR('Pay App 4'!F69/'Summary Sheet'!$D$19,""))</f>
        <v>#N/A</v>
      </c>
      <c r="M16" s="266"/>
      <c r="N16" s="276" t="e">
        <f>IF('Pay App 5'!$H$149=0,NA(),IFERROR('Pay App 5'!F69/'Summary Sheet'!$D$19,""))</f>
        <v>#N/A</v>
      </c>
      <c r="O16" s="263"/>
      <c r="P16" s="277" t="e">
        <f>IF('Pay App 6'!$H$149=0,NA(),IFERROR('Pay App 6'!F69/'Summary Sheet'!$D$19,""))</f>
        <v>#N/A</v>
      </c>
      <c r="Q16" s="263"/>
      <c r="R16" s="276" t="e">
        <f>IF('Pay App 7'!$H$149=0,NA(),IFERROR('Pay App 7'!F69/'Summary Sheet'!$D$19,""))</f>
        <v>#N/A</v>
      </c>
      <c r="S16" s="263"/>
      <c r="T16" s="277" t="e">
        <f>IF('Pay App 8'!$H$149=0,NA(),IFERROR('Pay App 8'!F69/'Summary Sheet'!$D$19,""))</f>
        <v>#N/A</v>
      </c>
      <c r="U16" s="263"/>
      <c r="V16" s="276" t="e">
        <f>IF('Pay App 9'!$H$149=0,NA(),IFERROR('Pay App 9'!F69/'Summary Sheet'!$D$19,""))</f>
        <v>#N/A</v>
      </c>
      <c r="W16" s="263"/>
      <c r="X16" s="277" t="e">
        <f>IF('Pay App 10'!$H$149=0,NA(),IFERROR('Pay App 10'!F69/'Summary Sheet'!$D$19,""))</f>
        <v>#N/A</v>
      </c>
      <c r="Y16" s="263"/>
      <c r="Z16" s="276" t="e">
        <f>IF('Pay App 11'!$H$149=0,NA(),IFERROR('Pay App 11'!F69/'Summary Sheet'!$D$19,""))</f>
        <v>#N/A</v>
      </c>
      <c r="AA16" s="263"/>
      <c r="AB16" s="277" t="e">
        <f>IF('Pay App 12'!$H$149=0,NA(),IFERROR('Pay App 12'!F69/'Summary Sheet'!$D$19,""))</f>
        <v>#N/A</v>
      </c>
      <c r="AC16" s="263"/>
      <c r="AD16" s="276" t="e">
        <f>IF('Pay App 13'!$H$149=0,NA(),IFERROR('Pay App 13'!F69/'Summary Sheet'!$D$19,""))</f>
        <v>#N/A</v>
      </c>
      <c r="AE16" s="263"/>
      <c r="AF16" s="277" t="e">
        <f>IF('Pay App 14'!$H$149=0,NA(),IFERROR('Pay App 14'!F69/'Summary Sheet'!$D$19,""))</f>
        <v>#N/A</v>
      </c>
      <c r="AG16" s="263"/>
      <c r="AH16" s="276" t="e">
        <f>IF('Pay App 15'!$H$149=0,NA(),IFERROR('Pay App 15'!F69/'Summary Sheet'!$D$19,""))</f>
        <v>#N/A</v>
      </c>
      <c r="AI16" s="263"/>
      <c r="AJ16" s="277" t="e">
        <f>IF('Pay App 16'!$H$149=0,NA(),IFERROR('Pay App 16'!F69/'Summary Sheet'!$D$19,""))</f>
        <v>#N/A</v>
      </c>
      <c r="AK16" s="263"/>
      <c r="AL16" s="276" t="e">
        <f>IF('Pay App 17'!$H$149=0,NA(),IFERROR('Pay App 17'!F69/'Summary Sheet'!$D$19,""))</f>
        <v>#N/A</v>
      </c>
      <c r="AM16" s="263"/>
      <c r="AN16" s="277" t="e">
        <f>IF('Pay App 18'!$H$149=0,NA(),IFERROR('Pay App 18'!F69/'Summary Sheet'!$D$19,""))</f>
        <v>#N/A</v>
      </c>
      <c r="AO16" s="263"/>
      <c r="AP16" s="276" t="e">
        <f>IF('Pay App 19'!$H$149=0,NA(),IFERROR('Pay App 19'!F69/'Summary Sheet'!$D$19,""))</f>
        <v>#N/A</v>
      </c>
      <c r="AQ16" s="263"/>
      <c r="AR16" s="263" t="e">
        <f>IF('Pay App 20'!$H$149=0,NA(),IFERROR('Pay App 20'!F69/'Summary Sheet'!$D$19,""))</f>
        <v>#N/A</v>
      </c>
      <c r="AS16" s="264"/>
      <c r="AT16" s="276" t="e">
        <f>IF('Pay App 21'!$H$149=0,NA(),IFERROR('Pay App 21'!F69/'Summary Sheet'!$D$19,""))</f>
        <v>#N/A</v>
      </c>
      <c r="AU16" s="264"/>
      <c r="AV16" s="263" t="e">
        <f>IF('Pay App 22'!$H$149=0,NA(),IFERROR('Pay App 22'!F69/'Summary Sheet'!$D$19,""))</f>
        <v>#N/A</v>
      </c>
      <c r="AW16" s="264"/>
      <c r="AX16" s="276" t="e">
        <f>IF('Pay App 23'!$H$149=0,NA(),IFERROR('Pay App 23'!F69/'Summary Sheet'!$D$19,""))</f>
        <v>#N/A</v>
      </c>
      <c r="AY16" s="264"/>
      <c r="AZ16" s="263" t="e">
        <f>IF('Pay App 24'!$H$149=0,NA(),IFERROR('Pay App 24'!F69/'Summary Sheet'!$D$19,""))</f>
        <v>#N/A</v>
      </c>
      <c r="BA16" s="264"/>
      <c r="BB16" s="276" t="e">
        <f>IF('Pay App 25'!$H$149=0,NA(),IFERROR('Pay App 25'!F69/'Summary Sheet'!$D$19,""))</f>
        <v>#N/A</v>
      </c>
      <c r="BC16" s="264"/>
      <c r="BD16" s="263" t="e">
        <f>IF('Pay App 26'!$H$149=0,NA(),IFERROR('Pay App 26'!F69/'Summary Sheet'!$D$19,""))</f>
        <v>#N/A</v>
      </c>
      <c r="BE16" s="264"/>
      <c r="BF16" s="276" t="e">
        <f>IF('Pay App 27'!$H$149=0,NA(),IFERROR('Pay App 27'!F69/'Summary Sheet'!$D$19,""))</f>
        <v>#N/A</v>
      </c>
      <c r="BG16" s="264"/>
      <c r="BH16" s="263" t="e">
        <f>IF('Pay App 28'!$H$149=0,NA(),IFERROR('Pay App 28'!F69/'Summary Sheet'!$D$19,""))</f>
        <v>#N/A</v>
      </c>
      <c r="BI16" s="264"/>
      <c r="BJ16" s="276" t="e">
        <f>IF('Pay App 29'!$H$149=0,NA(),IFERROR('Pay App 29'!F69/'Summary Sheet'!$D$19,""))</f>
        <v>#N/A</v>
      </c>
      <c r="BK16" s="271"/>
      <c r="BL16" s="263" t="e">
        <f>IF('Pay App 30'!$H$149=0,NA(),IFERROR('Pay App 30'!F69/'Summary Sheet'!$D$19,""))</f>
        <v>#N/A</v>
      </c>
      <c r="BM16" s="264"/>
      <c r="BN16" s="276" t="e">
        <f>IF('Pay App 31'!$H$149=0,NA(),IFERROR('Pay App 31'!F69/'Summary Sheet'!$D$19,""))</f>
        <v>#N/A</v>
      </c>
      <c r="BO16" s="264"/>
      <c r="BP16" s="263" t="e">
        <f>IF('Pay App 32'!$H$149=0,NA(),IFERROR('Pay App 32'!F69/'Summary Sheet'!$D$19,""))</f>
        <v>#N/A</v>
      </c>
      <c r="BQ16" s="264"/>
      <c r="BR16" s="276" t="e">
        <f>IF('Pay App 33'!$H$149=0,NA(),IFERROR('Pay App 33'!F69/'Summary Sheet'!$D$19,""))</f>
        <v>#N/A</v>
      </c>
      <c r="BS16" s="264"/>
      <c r="BT16" s="263" t="e">
        <f>IF('Pay App 34'!$H$149=0,NA(),IFERROR('Pay App 34'!F69/'Summary Sheet'!$D$19,""))</f>
        <v>#N/A</v>
      </c>
      <c r="BU16" s="264"/>
      <c r="BV16" s="276" t="e">
        <f>IF('Pay App 35'!$H$149=0,NA(),IFERROR('Pay App 35'!F69/'Summary Sheet'!$D$19,""))</f>
        <v>#N/A</v>
      </c>
      <c r="BW16" s="264"/>
      <c r="BX16" s="263" t="e">
        <f>IF('Pay App 36'!$H$149=0,NA(),IFERROR('Pay App 36'!F69/'Summary Sheet'!$D$19,""))</f>
        <v>#N/A</v>
      </c>
      <c r="BY16" s="264"/>
      <c r="BZ16" s="276" t="e">
        <f>IF('Pay App 37'!$H$149=0,NA(),IFERROR('Pay App 37'!F69/'Summary Sheet'!$D$19,""))</f>
        <v>#N/A</v>
      </c>
      <c r="CA16" s="264"/>
      <c r="CB16" s="263" t="e">
        <f>IF('Pay App 38'!$H$149=0,NA(),IFERROR('Pay App 38'!F69/'Summary Sheet'!$D$19,""))</f>
        <v>#N/A</v>
      </c>
      <c r="CC16" s="264"/>
      <c r="CD16" s="276" t="e">
        <f>IF('Pay App 39'!$H$149=0,NA(),IFERROR('Pay App 39'!F69/'Summary Sheet'!$D$19,""))</f>
        <v>#N/A</v>
      </c>
      <c r="CE16" s="264"/>
      <c r="CF16" s="263" t="e">
        <f>IF('Pay App 40'!$H$149=0,NA(),IFERROR('Pay App 40'!F69/'Summary Sheet'!$D$19,""))</f>
        <v>#N/A</v>
      </c>
      <c r="CG16" s="264"/>
      <c r="CH16" s="276" t="e">
        <f>IF('Pay App 41'!$H$149=0,NA(),IFERROR('Pay App 41'!F69/'Summary Sheet'!$D$19,""))</f>
        <v>#N/A</v>
      </c>
      <c r="CI16" s="264"/>
      <c r="CJ16" s="263" t="e">
        <f>IF('Pay App 42'!$H$149=0,NA(),IFERROR('Pay App 42'!F69/'Summary Sheet'!$D$19,""))</f>
        <v>#N/A</v>
      </c>
      <c r="CK16" s="264"/>
      <c r="CL16" s="276" t="e">
        <f>IF('Pay App 43'!$H$149=0,NA(),IFERROR('Pay App 43'!F69/'Summary Sheet'!$D$19,""))</f>
        <v>#N/A</v>
      </c>
      <c r="CM16" s="264"/>
      <c r="CN16" s="263" t="e">
        <f>IF('Pay App 44'!$H$149=0,NA(),IFERROR('Pay App 44'!F69/'Summary Sheet'!$D$19,""))</f>
        <v>#N/A</v>
      </c>
      <c r="CO16" s="264"/>
      <c r="CP16" s="276" t="e">
        <f>IF('Pay App 45'!$H$149=0,NA(),IFERROR('Pay App 45'!F69/'Summary Sheet'!$D$19,""))</f>
        <v>#N/A</v>
      </c>
      <c r="CQ16" s="264"/>
      <c r="CR16" s="263" t="e">
        <f>IF('Pay App 46'!$H$149=0,NA(),IFERROR('Pay App 46'!F69/'Summary Sheet'!$D$19,""))</f>
        <v>#N/A</v>
      </c>
      <c r="CS16" s="264"/>
      <c r="CT16" s="276" t="e">
        <f>IF('Pay App 47'!$H$149=0,NA(),IFERROR('Pay App 47'!F69/'Summary Sheet'!$D$19,""))</f>
        <v>#N/A</v>
      </c>
      <c r="CU16" s="264"/>
      <c r="CV16" s="263" t="e">
        <f>IF('Pay App 48'!$H$149=0,NA(),IFERROR('Pay App 48'!F69/'Summary Sheet'!$D$19,""))</f>
        <v>#N/A</v>
      </c>
      <c r="CW16" s="264"/>
      <c r="CX16" s="276" t="e">
        <f>IF('Pay App 49'!$H$149=0,NA(),IFERROR('Pay App 49'!F69/'Summary Sheet'!$D$19,""))</f>
        <v>#N/A</v>
      </c>
      <c r="CY16" s="264"/>
      <c r="CZ16" s="263" t="e">
        <f>IF('Pay App 50'!$H$149=0,NA(),IFERROR('Pay App 50'!F69/'Summary Sheet'!$D$19,""))</f>
        <v>#N/A</v>
      </c>
      <c r="DA16" s="264"/>
      <c r="DB16" s="276" t="e">
        <f>IF('Pay App 51'!$H$149=0,NA(),IFERROR('Pay App 51'!F69/'Summary Sheet'!$D$19,""))</f>
        <v>#N/A</v>
      </c>
      <c r="DC16" s="264"/>
      <c r="DD16" s="263" t="e">
        <f>IF('Pay App 52'!$H$149=0,NA(),IFERROR('Pay App 52'!F69/'Summary Sheet'!$D$19,""))</f>
        <v>#N/A</v>
      </c>
      <c r="DE16" s="264"/>
      <c r="DF16" s="276" t="e">
        <f>IF('Pay App 53'!$H$149=0,NA(),IFERROR('Pay App 53'!F69/'Summary Sheet'!$D$19,""))</f>
        <v>#N/A</v>
      </c>
      <c r="DG16" s="264"/>
      <c r="DH16" s="263" t="e">
        <f>IF('Pay App 54'!$H$149=0,NA(),IFERROR('Pay App 54'!F69/'Summary Sheet'!$D$19,""))</f>
        <v>#N/A</v>
      </c>
      <c r="DI16" s="264"/>
      <c r="DJ16" s="276" t="e">
        <f>IF('Pay App 55'!$H$149=0,NA(),IFERROR('Pay App 55'!F69/'Summary Sheet'!$D$19,""))</f>
        <v>#N/A</v>
      </c>
      <c r="DK16" s="264"/>
      <c r="DL16" s="263" t="e">
        <f>IF('Pay App 56'!$H$149=0,NA(),IFERROR('Pay App 56'!F69/'Summary Sheet'!$D$19,""))</f>
        <v>#N/A</v>
      </c>
      <c r="DM16" s="264"/>
      <c r="DN16" s="276" t="e">
        <f>IF('Pay App 57'!$H$149=0,NA(),IFERROR('Pay App 57'!F69/'Summary Sheet'!$D$19,""))</f>
        <v>#N/A</v>
      </c>
      <c r="DO16" s="264"/>
      <c r="DP16" s="263" t="e">
        <f>IF('Pay App 58'!$H$149=0,NA(),IFERROR('Pay App 58'!F69/'Summary Sheet'!$D$19,""))</f>
        <v>#N/A</v>
      </c>
      <c r="DQ16" s="264"/>
      <c r="DR16" s="276" t="e">
        <f>IF('Pay App 59'!$H$149=0,NA(),IFERROR('Pay App 59'!F69/'Summary Sheet'!$D$19,""))</f>
        <v>#N/A</v>
      </c>
      <c r="DS16" s="264"/>
      <c r="DT16" s="263" t="e">
        <f>IF('Pay App 60'!$H$149=0,NA(),IFERROR('Pay App 60'!F69/'Summary Sheet'!$D$19,""))</f>
        <v>#N/A</v>
      </c>
      <c r="DU16" s="296"/>
    </row>
    <row r="17" spans="2:125" x14ac:dyDescent="0.25">
      <c r="B17" s="49" t="str">
        <f>'Pay App 1'!B70</f>
        <v>01 74 23</v>
      </c>
      <c r="C17" s="25" t="str">
        <f>'Pay App 1'!C70</f>
        <v>Cleaning (Final)</v>
      </c>
      <c r="D17" s="282" t="str" cm="1">
        <f t="array" ref="D17">IFERROR(1+(LOOKUP(2,1/(E17:DT17&lt;&gt;""),E17:DT17)-E17)/E17,"")</f>
        <v/>
      </c>
      <c r="E17" s="275" t="str">
        <f>IFERROR('GMP Tracker'!D21/'Summary Sheet'!$D$19,"")</f>
        <v/>
      </c>
      <c r="F17" s="276" t="e">
        <f>IF('Pay App 1'!$D$149=0,NA(),IFERROR('Pay App 1'!F70/'Summary Sheet'!$D$19,""))</f>
        <v>#N/A</v>
      </c>
      <c r="G17" s="271"/>
      <c r="H17" s="277" t="e">
        <f>IF('Pay App 2'!$H$149=0,NA(),IFERROR('Pay App 2'!F70/'Summary Sheet'!$D$19,""))</f>
        <v>#N/A</v>
      </c>
      <c r="I17" s="266"/>
      <c r="J17" s="276" t="e">
        <f>IF('Pay App 3'!$H$149=0,NA(),IFERROR('Pay App 3'!F70/'Summary Sheet'!$D$19,""))</f>
        <v>#N/A</v>
      </c>
      <c r="K17" s="268"/>
      <c r="L17" s="277" t="e">
        <f>IF('Pay App 4'!$H$149=0,NA(),IFERROR('Pay App 4'!F70/'Summary Sheet'!$D$19,""))</f>
        <v>#N/A</v>
      </c>
      <c r="M17" s="266"/>
      <c r="N17" s="276" t="e">
        <f>IF('Pay App 5'!$H$149=0,NA(),IFERROR('Pay App 5'!F70/'Summary Sheet'!$D$19,""))</f>
        <v>#N/A</v>
      </c>
      <c r="O17" s="263"/>
      <c r="P17" s="277" t="e">
        <f>IF('Pay App 6'!$H$149=0,NA(),IFERROR('Pay App 6'!F70/'Summary Sheet'!$D$19,""))</f>
        <v>#N/A</v>
      </c>
      <c r="Q17" s="263"/>
      <c r="R17" s="276" t="e">
        <f>IF('Pay App 7'!$H$149=0,NA(),IFERROR('Pay App 7'!F70/'Summary Sheet'!$D$19,""))</f>
        <v>#N/A</v>
      </c>
      <c r="S17" s="263"/>
      <c r="T17" s="277" t="e">
        <f>IF('Pay App 8'!$H$149=0,NA(),IFERROR('Pay App 8'!F70/'Summary Sheet'!$D$19,""))</f>
        <v>#N/A</v>
      </c>
      <c r="U17" s="263"/>
      <c r="V17" s="276" t="e">
        <f>IF('Pay App 9'!$H$149=0,NA(),IFERROR('Pay App 9'!F70/'Summary Sheet'!$D$19,""))</f>
        <v>#N/A</v>
      </c>
      <c r="W17" s="263"/>
      <c r="X17" s="277" t="e">
        <f>IF('Pay App 10'!$H$149=0,NA(),IFERROR('Pay App 10'!F70/'Summary Sheet'!$D$19,""))</f>
        <v>#N/A</v>
      </c>
      <c r="Y17" s="263"/>
      <c r="Z17" s="276" t="e">
        <f>IF('Pay App 11'!$H$149=0,NA(),IFERROR('Pay App 11'!F70/'Summary Sheet'!$D$19,""))</f>
        <v>#N/A</v>
      </c>
      <c r="AA17" s="263"/>
      <c r="AB17" s="277" t="e">
        <f>IF('Pay App 12'!$H$149=0,NA(),IFERROR('Pay App 12'!F70/'Summary Sheet'!$D$19,""))</f>
        <v>#N/A</v>
      </c>
      <c r="AC17" s="263"/>
      <c r="AD17" s="276" t="e">
        <f>IF('Pay App 13'!$H$149=0,NA(),IFERROR('Pay App 13'!F70/'Summary Sheet'!$D$19,""))</f>
        <v>#N/A</v>
      </c>
      <c r="AE17" s="263"/>
      <c r="AF17" s="277" t="e">
        <f>IF('Pay App 14'!$H$149=0,NA(),IFERROR('Pay App 14'!F70/'Summary Sheet'!$D$19,""))</f>
        <v>#N/A</v>
      </c>
      <c r="AG17" s="263"/>
      <c r="AH17" s="276" t="e">
        <f>IF('Pay App 15'!$H$149=0,NA(),IFERROR('Pay App 15'!F70/'Summary Sheet'!$D$19,""))</f>
        <v>#N/A</v>
      </c>
      <c r="AI17" s="263"/>
      <c r="AJ17" s="277" t="e">
        <f>IF('Pay App 16'!$H$149=0,NA(),IFERROR('Pay App 16'!F70/'Summary Sheet'!$D$19,""))</f>
        <v>#N/A</v>
      </c>
      <c r="AK17" s="263"/>
      <c r="AL17" s="276" t="e">
        <f>IF('Pay App 17'!$H$149=0,NA(),IFERROR('Pay App 17'!F70/'Summary Sheet'!$D$19,""))</f>
        <v>#N/A</v>
      </c>
      <c r="AM17" s="263"/>
      <c r="AN17" s="277" t="e">
        <f>IF('Pay App 18'!$H$149=0,NA(),IFERROR('Pay App 18'!F70/'Summary Sheet'!$D$19,""))</f>
        <v>#N/A</v>
      </c>
      <c r="AO17" s="263"/>
      <c r="AP17" s="276" t="e">
        <f>IF('Pay App 19'!$H$149=0,NA(),IFERROR('Pay App 19'!F70/'Summary Sheet'!$D$19,""))</f>
        <v>#N/A</v>
      </c>
      <c r="AQ17" s="263"/>
      <c r="AR17" s="263" t="e">
        <f>IF('Pay App 20'!$H$149=0,NA(),IFERROR('Pay App 20'!F70/'Summary Sheet'!$D$19,""))</f>
        <v>#N/A</v>
      </c>
      <c r="AS17" s="264"/>
      <c r="AT17" s="276" t="e">
        <f>IF('Pay App 21'!$H$149=0,NA(),IFERROR('Pay App 21'!F70/'Summary Sheet'!$D$19,""))</f>
        <v>#N/A</v>
      </c>
      <c r="AU17" s="264"/>
      <c r="AV17" s="263" t="e">
        <f>IF('Pay App 22'!$H$149=0,NA(),IFERROR('Pay App 22'!F70/'Summary Sheet'!$D$19,""))</f>
        <v>#N/A</v>
      </c>
      <c r="AW17" s="264"/>
      <c r="AX17" s="276" t="e">
        <f>IF('Pay App 23'!$H$149=0,NA(),IFERROR('Pay App 23'!F70/'Summary Sheet'!$D$19,""))</f>
        <v>#N/A</v>
      </c>
      <c r="AY17" s="264"/>
      <c r="AZ17" s="263" t="e">
        <f>IF('Pay App 24'!$H$149=0,NA(),IFERROR('Pay App 24'!F70/'Summary Sheet'!$D$19,""))</f>
        <v>#N/A</v>
      </c>
      <c r="BA17" s="264"/>
      <c r="BB17" s="276" t="e">
        <f>IF('Pay App 25'!$H$149=0,NA(),IFERROR('Pay App 25'!F70/'Summary Sheet'!$D$19,""))</f>
        <v>#N/A</v>
      </c>
      <c r="BC17" s="264"/>
      <c r="BD17" s="263" t="e">
        <f>IF('Pay App 26'!$H$149=0,NA(),IFERROR('Pay App 26'!F70/'Summary Sheet'!$D$19,""))</f>
        <v>#N/A</v>
      </c>
      <c r="BE17" s="264"/>
      <c r="BF17" s="276" t="e">
        <f>IF('Pay App 27'!$H$149=0,NA(),IFERROR('Pay App 27'!F70/'Summary Sheet'!$D$19,""))</f>
        <v>#N/A</v>
      </c>
      <c r="BG17" s="264"/>
      <c r="BH17" s="263" t="e">
        <f>IF('Pay App 28'!$H$149=0,NA(),IFERROR('Pay App 28'!F70/'Summary Sheet'!$D$19,""))</f>
        <v>#N/A</v>
      </c>
      <c r="BI17" s="264"/>
      <c r="BJ17" s="276" t="e">
        <f>IF('Pay App 29'!$H$149=0,NA(),IFERROR('Pay App 29'!F70/'Summary Sheet'!$D$19,""))</f>
        <v>#N/A</v>
      </c>
      <c r="BK17" s="271"/>
      <c r="BL17" s="263" t="e">
        <f>IF('Pay App 30'!$H$149=0,NA(),IFERROR('Pay App 30'!F70/'Summary Sheet'!$D$19,""))</f>
        <v>#N/A</v>
      </c>
      <c r="BM17" s="264"/>
      <c r="BN17" s="276" t="e">
        <f>IF('Pay App 31'!$H$149=0,NA(),IFERROR('Pay App 31'!F70/'Summary Sheet'!$D$19,""))</f>
        <v>#N/A</v>
      </c>
      <c r="BO17" s="264"/>
      <c r="BP17" s="263" t="e">
        <f>IF('Pay App 32'!$H$149=0,NA(),IFERROR('Pay App 32'!F70/'Summary Sheet'!$D$19,""))</f>
        <v>#N/A</v>
      </c>
      <c r="BQ17" s="264"/>
      <c r="BR17" s="276" t="e">
        <f>IF('Pay App 33'!$H$149=0,NA(),IFERROR('Pay App 33'!F70/'Summary Sheet'!$D$19,""))</f>
        <v>#N/A</v>
      </c>
      <c r="BS17" s="264"/>
      <c r="BT17" s="263" t="e">
        <f>IF('Pay App 34'!$H$149=0,NA(),IFERROR('Pay App 34'!F70/'Summary Sheet'!$D$19,""))</f>
        <v>#N/A</v>
      </c>
      <c r="BU17" s="264"/>
      <c r="BV17" s="276" t="e">
        <f>IF('Pay App 35'!$H$149=0,NA(),IFERROR('Pay App 35'!F70/'Summary Sheet'!$D$19,""))</f>
        <v>#N/A</v>
      </c>
      <c r="BW17" s="264"/>
      <c r="BX17" s="263" t="e">
        <f>IF('Pay App 36'!$H$149=0,NA(),IFERROR('Pay App 36'!F70/'Summary Sheet'!$D$19,""))</f>
        <v>#N/A</v>
      </c>
      <c r="BY17" s="264"/>
      <c r="BZ17" s="276" t="e">
        <f>IF('Pay App 37'!$H$149=0,NA(),IFERROR('Pay App 37'!F70/'Summary Sheet'!$D$19,""))</f>
        <v>#N/A</v>
      </c>
      <c r="CA17" s="264"/>
      <c r="CB17" s="263" t="e">
        <f>IF('Pay App 38'!$H$149=0,NA(),IFERROR('Pay App 38'!F70/'Summary Sheet'!$D$19,""))</f>
        <v>#N/A</v>
      </c>
      <c r="CC17" s="264"/>
      <c r="CD17" s="276" t="e">
        <f>IF('Pay App 39'!$H$149=0,NA(),IFERROR('Pay App 39'!F70/'Summary Sheet'!$D$19,""))</f>
        <v>#N/A</v>
      </c>
      <c r="CE17" s="264"/>
      <c r="CF17" s="263" t="e">
        <f>IF('Pay App 40'!$H$149=0,NA(),IFERROR('Pay App 40'!F70/'Summary Sheet'!$D$19,""))</f>
        <v>#N/A</v>
      </c>
      <c r="CG17" s="264"/>
      <c r="CH17" s="276" t="e">
        <f>IF('Pay App 41'!$H$149=0,NA(),IFERROR('Pay App 41'!F70/'Summary Sheet'!$D$19,""))</f>
        <v>#N/A</v>
      </c>
      <c r="CI17" s="264"/>
      <c r="CJ17" s="263" t="e">
        <f>IF('Pay App 42'!$H$149=0,NA(),IFERROR('Pay App 42'!F70/'Summary Sheet'!$D$19,""))</f>
        <v>#N/A</v>
      </c>
      <c r="CK17" s="264"/>
      <c r="CL17" s="276" t="e">
        <f>IF('Pay App 43'!$H$149=0,NA(),IFERROR('Pay App 43'!F70/'Summary Sheet'!$D$19,""))</f>
        <v>#N/A</v>
      </c>
      <c r="CM17" s="264"/>
      <c r="CN17" s="263" t="e">
        <f>IF('Pay App 44'!$H$149=0,NA(),IFERROR('Pay App 44'!F70/'Summary Sheet'!$D$19,""))</f>
        <v>#N/A</v>
      </c>
      <c r="CO17" s="264"/>
      <c r="CP17" s="276" t="e">
        <f>IF('Pay App 45'!$H$149=0,NA(),IFERROR('Pay App 45'!F70/'Summary Sheet'!$D$19,""))</f>
        <v>#N/A</v>
      </c>
      <c r="CQ17" s="264"/>
      <c r="CR17" s="263" t="e">
        <f>IF('Pay App 46'!$H$149=0,NA(),IFERROR('Pay App 46'!F70/'Summary Sheet'!$D$19,""))</f>
        <v>#N/A</v>
      </c>
      <c r="CS17" s="264"/>
      <c r="CT17" s="276" t="e">
        <f>IF('Pay App 47'!$H$149=0,NA(),IFERROR('Pay App 47'!F70/'Summary Sheet'!$D$19,""))</f>
        <v>#N/A</v>
      </c>
      <c r="CU17" s="264"/>
      <c r="CV17" s="263" t="e">
        <f>IF('Pay App 48'!$H$149=0,NA(),IFERROR('Pay App 48'!F70/'Summary Sheet'!$D$19,""))</f>
        <v>#N/A</v>
      </c>
      <c r="CW17" s="264"/>
      <c r="CX17" s="276" t="e">
        <f>IF('Pay App 49'!$H$149=0,NA(),IFERROR('Pay App 49'!F70/'Summary Sheet'!$D$19,""))</f>
        <v>#N/A</v>
      </c>
      <c r="CY17" s="264"/>
      <c r="CZ17" s="263" t="e">
        <f>IF('Pay App 50'!$H$149=0,NA(),IFERROR('Pay App 50'!F70/'Summary Sheet'!$D$19,""))</f>
        <v>#N/A</v>
      </c>
      <c r="DA17" s="264"/>
      <c r="DB17" s="276" t="e">
        <f>IF('Pay App 51'!$H$149=0,NA(),IFERROR('Pay App 51'!F70/'Summary Sheet'!$D$19,""))</f>
        <v>#N/A</v>
      </c>
      <c r="DC17" s="264"/>
      <c r="DD17" s="263" t="e">
        <f>IF('Pay App 52'!$H$149=0,NA(),IFERROR('Pay App 52'!F70/'Summary Sheet'!$D$19,""))</f>
        <v>#N/A</v>
      </c>
      <c r="DE17" s="264"/>
      <c r="DF17" s="276" t="e">
        <f>IF('Pay App 53'!$H$149=0,NA(),IFERROR('Pay App 53'!F70/'Summary Sheet'!$D$19,""))</f>
        <v>#N/A</v>
      </c>
      <c r="DG17" s="264"/>
      <c r="DH17" s="263" t="e">
        <f>IF('Pay App 54'!$H$149=0,NA(),IFERROR('Pay App 54'!F70/'Summary Sheet'!$D$19,""))</f>
        <v>#N/A</v>
      </c>
      <c r="DI17" s="264"/>
      <c r="DJ17" s="276" t="e">
        <f>IF('Pay App 55'!$H$149=0,NA(),IFERROR('Pay App 55'!F70/'Summary Sheet'!$D$19,""))</f>
        <v>#N/A</v>
      </c>
      <c r="DK17" s="264"/>
      <c r="DL17" s="263" t="e">
        <f>IF('Pay App 56'!$H$149=0,NA(),IFERROR('Pay App 56'!F70/'Summary Sheet'!$D$19,""))</f>
        <v>#N/A</v>
      </c>
      <c r="DM17" s="264"/>
      <c r="DN17" s="276" t="e">
        <f>IF('Pay App 57'!$H$149=0,NA(),IFERROR('Pay App 57'!F70/'Summary Sheet'!$D$19,""))</f>
        <v>#N/A</v>
      </c>
      <c r="DO17" s="264"/>
      <c r="DP17" s="263" t="e">
        <f>IF('Pay App 58'!$H$149=0,NA(),IFERROR('Pay App 58'!F70/'Summary Sheet'!$D$19,""))</f>
        <v>#N/A</v>
      </c>
      <c r="DQ17" s="264"/>
      <c r="DR17" s="276" t="e">
        <f>IF('Pay App 59'!$H$149=0,NA(),IFERROR('Pay App 59'!F70/'Summary Sheet'!$D$19,""))</f>
        <v>#N/A</v>
      </c>
      <c r="DS17" s="264"/>
      <c r="DT17" s="263" t="e">
        <f>IF('Pay App 60'!$H$149=0,NA(),IFERROR('Pay App 60'!F70/'Summary Sheet'!$D$19,""))</f>
        <v>#N/A</v>
      </c>
      <c r="DU17" s="296"/>
    </row>
    <row r="18" spans="2:125" x14ac:dyDescent="0.25">
      <c r="B18" s="35" t="str">
        <f>'Pay App 1'!B71</f>
        <v>02 21 00</v>
      </c>
      <c r="C18" s="27" t="str">
        <f>'Pay App 1'!C71</f>
        <v>Survey/Engineering</v>
      </c>
      <c r="D18" s="282" t="str" cm="1">
        <f t="array" ref="D18">IFERROR(1+(LOOKUP(2,1/(E18:DT18&lt;&gt;""),E18:DT18)-E18)/E18,"")</f>
        <v/>
      </c>
      <c r="E18" s="275" t="str">
        <f>IFERROR('GMP Tracker'!D22/'Summary Sheet'!$D$19,"")</f>
        <v/>
      </c>
      <c r="F18" s="276" t="e">
        <f>IF('Pay App 1'!$D$149=0,NA(),IFERROR('Pay App 1'!F71/'Summary Sheet'!$D$19,""))</f>
        <v>#N/A</v>
      </c>
      <c r="G18" s="271"/>
      <c r="H18" s="277" t="e">
        <f>IF('Pay App 2'!$H$149=0,NA(),IFERROR('Pay App 2'!F71/'Summary Sheet'!$D$19,""))</f>
        <v>#N/A</v>
      </c>
      <c r="I18" s="266"/>
      <c r="J18" s="276" t="e">
        <f>IF('Pay App 3'!$H$149=0,NA(),IFERROR('Pay App 3'!F71/'Summary Sheet'!$D$19,""))</f>
        <v>#N/A</v>
      </c>
      <c r="K18" s="268"/>
      <c r="L18" s="277" t="e">
        <f>IF('Pay App 4'!$H$149=0,NA(),IFERROR('Pay App 4'!F71/'Summary Sheet'!$D$19,""))</f>
        <v>#N/A</v>
      </c>
      <c r="M18" s="266"/>
      <c r="N18" s="276" t="e">
        <f>IF('Pay App 5'!$H$149=0,NA(),IFERROR('Pay App 5'!F71/'Summary Sheet'!$D$19,""))</f>
        <v>#N/A</v>
      </c>
      <c r="O18" s="263"/>
      <c r="P18" s="277" t="e">
        <f>IF('Pay App 6'!$H$149=0,NA(),IFERROR('Pay App 6'!F71/'Summary Sheet'!$D$19,""))</f>
        <v>#N/A</v>
      </c>
      <c r="Q18" s="263"/>
      <c r="R18" s="276" t="e">
        <f>IF('Pay App 7'!$H$149=0,NA(),IFERROR('Pay App 7'!F71/'Summary Sheet'!$D$19,""))</f>
        <v>#N/A</v>
      </c>
      <c r="S18" s="263"/>
      <c r="T18" s="277" t="e">
        <f>IF('Pay App 8'!$H$149=0,NA(),IFERROR('Pay App 8'!F71/'Summary Sheet'!$D$19,""))</f>
        <v>#N/A</v>
      </c>
      <c r="U18" s="263"/>
      <c r="V18" s="276" t="e">
        <f>IF('Pay App 9'!$H$149=0,NA(),IFERROR('Pay App 9'!F71/'Summary Sheet'!$D$19,""))</f>
        <v>#N/A</v>
      </c>
      <c r="W18" s="263"/>
      <c r="X18" s="277" t="e">
        <f>IF('Pay App 10'!$H$149=0,NA(),IFERROR('Pay App 10'!F71/'Summary Sheet'!$D$19,""))</f>
        <v>#N/A</v>
      </c>
      <c r="Y18" s="263"/>
      <c r="Z18" s="276" t="e">
        <f>IF('Pay App 11'!$H$149=0,NA(),IFERROR('Pay App 11'!F71/'Summary Sheet'!$D$19,""))</f>
        <v>#N/A</v>
      </c>
      <c r="AA18" s="263"/>
      <c r="AB18" s="277" t="e">
        <f>IF('Pay App 12'!$H$149=0,NA(),IFERROR('Pay App 12'!F71/'Summary Sheet'!$D$19,""))</f>
        <v>#N/A</v>
      </c>
      <c r="AC18" s="263"/>
      <c r="AD18" s="276" t="e">
        <f>IF('Pay App 13'!$H$149=0,NA(),IFERROR('Pay App 13'!F71/'Summary Sheet'!$D$19,""))</f>
        <v>#N/A</v>
      </c>
      <c r="AE18" s="263"/>
      <c r="AF18" s="277" t="e">
        <f>IF('Pay App 14'!$H$149=0,NA(),IFERROR('Pay App 14'!F71/'Summary Sheet'!$D$19,""))</f>
        <v>#N/A</v>
      </c>
      <c r="AG18" s="263"/>
      <c r="AH18" s="276" t="e">
        <f>IF('Pay App 15'!$H$149=0,NA(),IFERROR('Pay App 15'!F71/'Summary Sheet'!$D$19,""))</f>
        <v>#N/A</v>
      </c>
      <c r="AI18" s="263"/>
      <c r="AJ18" s="277" t="e">
        <f>IF('Pay App 16'!$H$149=0,NA(),IFERROR('Pay App 16'!F71/'Summary Sheet'!$D$19,""))</f>
        <v>#N/A</v>
      </c>
      <c r="AK18" s="263"/>
      <c r="AL18" s="276" t="e">
        <f>IF('Pay App 17'!$H$149=0,NA(),IFERROR('Pay App 17'!F71/'Summary Sheet'!$D$19,""))</f>
        <v>#N/A</v>
      </c>
      <c r="AM18" s="263"/>
      <c r="AN18" s="277" t="e">
        <f>IF('Pay App 18'!$H$149=0,NA(),IFERROR('Pay App 18'!F71/'Summary Sheet'!$D$19,""))</f>
        <v>#N/A</v>
      </c>
      <c r="AO18" s="263"/>
      <c r="AP18" s="276" t="e">
        <f>IF('Pay App 19'!$H$149=0,NA(),IFERROR('Pay App 19'!F71/'Summary Sheet'!$D$19,""))</f>
        <v>#N/A</v>
      </c>
      <c r="AQ18" s="263"/>
      <c r="AR18" s="263" t="e">
        <f>IF('Pay App 20'!$H$149=0,NA(),IFERROR('Pay App 20'!F71/'Summary Sheet'!$D$19,""))</f>
        <v>#N/A</v>
      </c>
      <c r="AS18" s="264"/>
      <c r="AT18" s="276" t="e">
        <f>IF('Pay App 21'!$H$149=0,NA(),IFERROR('Pay App 21'!F71/'Summary Sheet'!$D$19,""))</f>
        <v>#N/A</v>
      </c>
      <c r="AU18" s="264"/>
      <c r="AV18" s="263" t="e">
        <f>IF('Pay App 22'!$H$149=0,NA(),IFERROR('Pay App 22'!F71/'Summary Sheet'!$D$19,""))</f>
        <v>#N/A</v>
      </c>
      <c r="AW18" s="264"/>
      <c r="AX18" s="276" t="e">
        <f>IF('Pay App 23'!$H$149=0,NA(),IFERROR('Pay App 23'!F71/'Summary Sheet'!$D$19,""))</f>
        <v>#N/A</v>
      </c>
      <c r="AY18" s="264"/>
      <c r="AZ18" s="263" t="e">
        <f>IF('Pay App 24'!$H$149=0,NA(),IFERROR('Pay App 24'!F71/'Summary Sheet'!$D$19,""))</f>
        <v>#N/A</v>
      </c>
      <c r="BA18" s="264"/>
      <c r="BB18" s="276" t="e">
        <f>IF('Pay App 25'!$H$149=0,NA(),IFERROR('Pay App 25'!F71/'Summary Sheet'!$D$19,""))</f>
        <v>#N/A</v>
      </c>
      <c r="BC18" s="264"/>
      <c r="BD18" s="263" t="e">
        <f>IF('Pay App 26'!$H$149=0,NA(),IFERROR('Pay App 26'!F71/'Summary Sheet'!$D$19,""))</f>
        <v>#N/A</v>
      </c>
      <c r="BE18" s="264"/>
      <c r="BF18" s="276" t="e">
        <f>IF('Pay App 27'!$H$149=0,NA(),IFERROR('Pay App 27'!F71/'Summary Sheet'!$D$19,""))</f>
        <v>#N/A</v>
      </c>
      <c r="BG18" s="264"/>
      <c r="BH18" s="263" t="e">
        <f>IF('Pay App 28'!$H$149=0,NA(),IFERROR('Pay App 28'!F71/'Summary Sheet'!$D$19,""))</f>
        <v>#N/A</v>
      </c>
      <c r="BI18" s="264"/>
      <c r="BJ18" s="276" t="e">
        <f>IF('Pay App 29'!$H$149=0,NA(),IFERROR('Pay App 29'!F71/'Summary Sheet'!$D$19,""))</f>
        <v>#N/A</v>
      </c>
      <c r="BK18" s="271"/>
      <c r="BL18" s="263" t="e">
        <f>IF('Pay App 30'!$H$149=0,NA(),IFERROR('Pay App 30'!F71/'Summary Sheet'!$D$19,""))</f>
        <v>#N/A</v>
      </c>
      <c r="BM18" s="264"/>
      <c r="BN18" s="276" t="e">
        <f>IF('Pay App 31'!$H$149=0,NA(),IFERROR('Pay App 31'!F71/'Summary Sheet'!$D$19,""))</f>
        <v>#N/A</v>
      </c>
      <c r="BO18" s="264"/>
      <c r="BP18" s="263" t="e">
        <f>IF('Pay App 32'!$H$149=0,NA(),IFERROR('Pay App 32'!F71/'Summary Sheet'!$D$19,""))</f>
        <v>#N/A</v>
      </c>
      <c r="BQ18" s="264"/>
      <c r="BR18" s="276" t="e">
        <f>IF('Pay App 33'!$H$149=0,NA(),IFERROR('Pay App 33'!F71/'Summary Sheet'!$D$19,""))</f>
        <v>#N/A</v>
      </c>
      <c r="BS18" s="264"/>
      <c r="BT18" s="263" t="e">
        <f>IF('Pay App 34'!$H$149=0,NA(),IFERROR('Pay App 34'!F71/'Summary Sheet'!$D$19,""))</f>
        <v>#N/A</v>
      </c>
      <c r="BU18" s="264"/>
      <c r="BV18" s="276" t="e">
        <f>IF('Pay App 35'!$H$149=0,NA(),IFERROR('Pay App 35'!F71/'Summary Sheet'!$D$19,""))</f>
        <v>#N/A</v>
      </c>
      <c r="BW18" s="264"/>
      <c r="BX18" s="263" t="e">
        <f>IF('Pay App 36'!$H$149=0,NA(),IFERROR('Pay App 36'!F71/'Summary Sheet'!$D$19,""))</f>
        <v>#N/A</v>
      </c>
      <c r="BY18" s="264"/>
      <c r="BZ18" s="276" t="e">
        <f>IF('Pay App 37'!$H$149=0,NA(),IFERROR('Pay App 37'!F71/'Summary Sheet'!$D$19,""))</f>
        <v>#N/A</v>
      </c>
      <c r="CA18" s="264"/>
      <c r="CB18" s="263" t="e">
        <f>IF('Pay App 38'!$H$149=0,NA(),IFERROR('Pay App 38'!F71/'Summary Sheet'!$D$19,""))</f>
        <v>#N/A</v>
      </c>
      <c r="CC18" s="264"/>
      <c r="CD18" s="276" t="e">
        <f>IF('Pay App 39'!$H$149=0,NA(),IFERROR('Pay App 39'!F71/'Summary Sheet'!$D$19,""))</f>
        <v>#N/A</v>
      </c>
      <c r="CE18" s="264"/>
      <c r="CF18" s="263" t="e">
        <f>IF('Pay App 40'!$H$149=0,NA(),IFERROR('Pay App 40'!F71/'Summary Sheet'!$D$19,""))</f>
        <v>#N/A</v>
      </c>
      <c r="CG18" s="264"/>
      <c r="CH18" s="276" t="e">
        <f>IF('Pay App 41'!$H$149=0,NA(),IFERROR('Pay App 41'!F71/'Summary Sheet'!$D$19,""))</f>
        <v>#N/A</v>
      </c>
      <c r="CI18" s="264"/>
      <c r="CJ18" s="263" t="e">
        <f>IF('Pay App 42'!$H$149=0,NA(),IFERROR('Pay App 42'!F71/'Summary Sheet'!$D$19,""))</f>
        <v>#N/A</v>
      </c>
      <c r="CK18" s="264"/>
      <c r="CL18" s="276" t="e">
        <f>IF('Pay App 43'!$H$149=0,NA(),IFERROR('Pay App 43'!F71/'Summary Sheet'!$D$19,""))</f>
        <v>#N/A</v>
      </c>
      <c r="CM18" s="264"/>
      <c r="CN18" s="263" t="e">
        <f>IF('Pay App 44'!$H$149=0,NA(),IFERROR('Pay App 44'!F71/'Summary Sheet'!$D$19,""))</f>
        <v>#N/A</v>
      </c>
      <c r="CO18" s="264"/>
      <c r="CP18" s="276" t="e">
        <f>IF('Pay App 45'!$H$149=0,NA(),IFERROR('Pay App 45'!F71/'Summary Sheet'!$D$19,""))</f>
        <v>#N/A</v>
      </c>
      <c r="CQ18" s="264"/>
      <c r="CR18" s="263" t="e">
        <f>IF('Pay App 46'!$H$149=0,NA(),IFERROR('Pay App 46'!F71/'Summary Sheet'!$D$19,""))</f>
        <v>#N/A</v>
      </c>
      <c r="CS18" s="264"/>
      <c r="CT18" s="276" t="e">
        <f>IF('Pay App 47'!$H$149=0,NA(),IFERROR('Pay App 47'!F71/'Summary Sheet'!$D$19,""))</f>
        <v>#N/A</v>
      </c>
      <c r="CU18" s="264"/>
      <c r="CV18" s="263" t="e">
        <f>IF('Pay App 48'!$H$149=0,NA(),IFERROR('Pay App 48'!F71/'Summary Sheet'!$D$19,""))</f>
        <v>#N/A</v>
      </c>
      <c r="CW18" s="264"/>
      <c r="CX18" s="276" t="e">
        <f>IF('Pay App 49'!$H$149=0,NA(),IFERROR('Pay App 49'!F71/'Summary Sheet'!$D$19,""))</f>
        <v>#N/A</v>
      </c>
      <c r="CY18" s="264"/>
      <c r="CZ18" s="263" t="e">
        <f>IF('Pay App 50'!$H$149=0,NA(),IFERROR('Pay App 50'!F71/'Summary Sheet'!$D$19,""))</f>
        <v>#N/A</v>
      </c>
      <c r="DA18" s="264"/>
      <c r="DB18" s="276" t="e">
        <f>IF('Pay App 51'!$H$149=0,NA(),IFERROR('Pay App 51'!F71/'Summary Sheet'!$D$19,""))</f>
        <v>#N/A</v>
      </c>
      <c r="DC18" s="264"/>
      <c r="DD18" s="263" t="e">
        <f>IF('Pay App 52'!$H$149=0,NA(),IFERROR('Pay App 52'!F71/'Summary Sheet'!$D$19,""))</f>
        <v>#N/A</v>
      </c>
      <c r="DE18" s="264"/>
      <c r="DF18" s="276" t="e">
        <f>IF('Pay App 53'!$H$149=0,NA(),IFERROR('Pay App 53'!F71/'Summary Sheet'!$D$19,""))</f>
        <v>#N/A</v>
      </c>
      <c r="DG18" s="264"/>
      <c r="DH18" s="263" t="e">
        <f>IF('Pay App 54'!$H$149=0,NA(),IFERROR('Pay App 54'!F71/'Summary Sheet'!$D$19,""))</f>
        <v>#N/A</v>
      </c>
      <c r="DI18" s="264"/>
      <c r="DJ18" s="276" t="e">
        <f>IF('Pay App 55'!$H$149=0,NA(),IFERROR('Pay App 55'!F71/'Summary Sheet'!$D$19,""))</f>
        <v>#N/A</v>
      </c>
      <c r="DK18" s="264"/>
      <c r="DL18" s="263" t="e">
        <f>IF('Pay App 56'!$H$149=0,NA(),IFERROR('Pay App 56'!F71/'Summary Sheet'!$D$19,""))</f>
        <v>#N/A</v>
      </c>
      <c r="DM18" s="264"/>
      <c r="DN18" s="276" t="e">
        <f>IF('Pay App 57'!$H$149=0,NA(),IFERROR('Pay App 57'!F71/'Summary Sheet'!$D$19,""))</f>
        <v>#N/A</v>
      </c>
      <c r="DO18" s="264"/>
      <c r="DP18" s="263" t="e">
        <f>IF('Pay App 58'!$H$149=0,NA(),IFERROR('Pay App 58'!F71/'Summary Sheet'!$D$19,""))</f>
        <v>#N/A</v>
      </c>
      <c r="DQ18" s="264"/>
      <c r="DR18" s="276" t="e">
        <f>IF('Pay App 59'!$H$149=0,NA(),IFERROR('Pay App 59'!F71/'Summary Sheet'!$D$19,""))</f>
        <v>#N/A</v>
      </c>
      <c r="DS18" s="264"/>
      <c r="DT18" s="263" t="e">
        <f>IF('Pay App 60'!$H$149=0,NA(),IFERROR('Pay App 60'!F71/'Summary Sheet'!$D$19,""))</f>
        <v>#N/A</v>
      </c>
      <c r="DU18" s="296"/>
    </row>
    <row r="19" spans="2:125" x14ac:dyDescent="0.25">
      <c r="B19" s="35" t="str">
        <f>'Pay App 1'!B72</f>
        <v>02 41 00</v>
      </c>
      <c r="C19" s="27" t="str">
        <f>'Pay App 1'!C72</f>
        <v>Demolition</v>
      </c>
      <c r="D19" s="282" t="str" cm="1">
        <f t="array" ref="D19">IFERROR(1+(LOOKUP(2,1/(E19:DT19&lt;&gt;""),E19:DT19)-E19)/E19,"")</f>
        <v/>
      </c>
      <c r="E19" s="275" t="str">
        <f>IFERROR('GMP Tracker'!D23/'Summary Sheet'!$D$19,"")</f>
        <v/>
      </c>
      <c r="F19" s="276" t="e">
        <f>IF('Pay App 1'!$D$149=0,NA(),IFERROR('Pay App 1'!F72/'Summary Sheet'!$D$19,""))</f>
        <v>#N/A</v>
      </c>
      <c r="G19" s="271"/>
      <c r="H19" s="277" t="e">
        <f>IF('Pay App 2'!$H$149=0,NA(),IFERROR('Pay App 2'!F72/'Summary Sheet'!$D$19,""))</f>
        <v>#N/A</v>
      </c>
      <c r="I19" s="266"/>
      <c r="J19" s="276" t="e">
        <f>IF('Pay App 3'!$H$149=0,NA(),IFERROR('Pay App 3'!F72/'Summary Sheet'!$D$19,""))</f>
        <v>#N/A</v>
      </c>
      <c r="K19" s="268"/>
      <c r="L19" s="277" t="e">
        <f>IF('Pay App 4'!$H$149=0,NA(),IFERROR('Pay App 4'!F72/'Summary Sheet'!$D$19,""))</f>
        <v>#N/A</v>
      </c>
      <c r="M19" s="266"/>
      <c r="N19" s="276" t="e">
        <f>IF('Pay App 5'!$H$149=0,NA(),IFERROR('Pay App 5'!F72/'Summary Sheet'!$D$19,""))</f>
        <v>#N/A</v>
      </c>
      <c r="O19" s="263"/>
      <c r="P19" s="277" t="e">
        <f>IF('Pay App 6'!$H$149=0,NA(),IFERROR('Pay App 6'!F72/'Summary Sheet'!$D$19,""))</f>
        <v>#N/A</v>
      </c>
      <c r="Q19" s="263"/>
      <c r="R19" s="276" t="e">
        <f>IF('Pay App 7'!$H$149=0,NA(),IFERROR('Pay App 7'!F72/'Summary Sheet'!$D$19,""))</f>
        <v>#N/A</v>
      </c>
      <c r="S19" s="263"/>
      <c r="T19" s="277" t="e">
        <f>IF('Pay App 8'!$H$149=0,NA(),IFERROR('Pay App 8'!F72/'Summary Sheet'!$D$19,""))</f>
        <v>#N/A</v>
      </c>
      <c r="U19" s="263"/>
      <c r="V19" s="276" t="e">
        <f>IF('Pay App 9'!$H$149=0,NA(),IFERROR('Pay App 9'!F72/'Summary Sheet'!$D$19,""))</f>
        <v>#N/A</v>
      </c>
      <c r="W19" s="263"/>
      <c r="X19" s="277" t="e">
        <f>IF('Pay App 10'!$H$149=0,NA(),IFERROR('Pay App 10'!F72/'Summary Sheet'!$D$19,""))</f>
        <v>#N/A</v>
      </c>
      <c r="Y19" s="263"/>
      <c r="Z19" s="276" t="e">
        <f>IF('Pay App 11'!$H$149=0,NA(),IFERROR('Pay App 11'!F72/'Summary Sheet'!$D$19,""))</f>
        <v>#N/A</v>
      </c>
      <c r="AA19" s="263"/>
      <c r="AB19" s="277" t="e">
        <f>IF('Pay App 12'!$H$149=0,NA(),IFERROR('Pay App 12'!F72/'Summary Sheet'!$D$19,""))</f>
        <v>#N/A</v>
      </c>
      <c r="AC19" s="263"/>
      <c r="AD19" s="276" t="e">
        <f>IF('Pay App 13'!$H$149=0,NA(),IFERROR('Pay App 13'!F72/'Summary Sheet'!$D$19,""))</f>
        <v>#N/A</v>
      </c>
      <c r="AE19" s="263"/>
      <c r="AF19" s="277" t="e">
        <f>IF('Pay App 14'!$H$149=0,NA(),IFERROR('Pay App 14'!F72/'Summary Sheet'!$D$19,""))</f>
        <v>#N/A</v>
      </c>
      <c r="AG19" s="263"/>
      <c r="AH19" s="276" t="e">
        <f>IF('Pay App 15'!$H$149=0,NA(),IFERROR('Pay App 15'!F72/'Summary Sheet'!$D$19,""))</f>
        <v>#N/A</v>
      </c>
      <c r="AI19" s="263"/>
      <c r="AJ19" s="277" t="e">
        <f>IF('Pay App 16'!$H$149=0,NA(),IFERROR('Pay App 16'!F72/'Summary Sheet'!$D$19,""))</f>
        <v>#N/A</v>
      </c>
      <c r="AK19" s="263"/>
      <c r="AL19" s="276" t="e">
        <f>IF('Pay App 17'!$H$149=0,NA(),IFERROR('Pay App 17'!F72/'Summary Sheet'!$D$19,""))</f>
        <v>#N/A</v>
      </c>
      <c r="AM19" s="263"/>
      <c r="AN19" s="277" t="e">
        <f>IF('Pay App 18'!$H$149=0,NA(),IFERROR('Pay App 18'!F72/'Summary Sheet'!$D$19,""))</f>
        <v>#N/A</v>
      </c>
      <c r="AO19" s="263"/>
      <c r="AP19" s="276" t="e">
        <f>IF('Pay App 19'!$H$149=0,NA(),IFERROR('Pay App 19'!F72/'Summary Sheet'!$D$19,""))</f>
        <v>#N/A</v>
      </c>
      <c r="AQ19" s="263"/>
      <c r="AR19" s="263" t="e">
        <f>IF('Pay App 20'!$H$149=0,NA(),IFERROR('Pay App 20'!F72/'Summary Sheet'!$D$19,""))</f>
        <v>#N/A</v>
      </c>
      <c r="AS19" s="264"/>
      <c r="AT19" s="276" t="e">
        <f>IF('Pay App 21'!$H$149=0,NA(),IFERROR('Pay App 21'!F72/'Summary Sheet'!$D$19,""))</f>
        <v>#N/A</v>
      </c>
      <c r="AU19" s="264"/>
      <c r="AV19" s="263" t="e">
        <f>IF('Pay App 22'!$H$149=0,NA(),IFERROR('Pay App 22'!F72/'Summary Sheet'!$D$19,""))</f>
        <v>#N/A</v>
      </c>
      <c r="AW19" s="264"/>
      <c r="AX19" s="276" t="e">
        <f>IF('Pay App 23'!$H$149=0,NA(),IFERROR('Pay App 23'!F72/'Summary Sheet'!$D$19,""))</f>
        <v>#N/A</v>
      </c>
      <c r="AY19" s="264"/>
      <c r="AZ19" s="263" t="e">
        <f>IF('Pay App 24'!$H$149=0,NA(),IFERROR('Pay App 24'!F72/'Summary Sheet'!$D$19,""))</f>
        <v>#N/A</v>
      </c>
      <c r="BA19" s="264"/>
      <c r="BB19" s="276" t="e">
        <f>IF('Pay App 25'!$H$149=0,NA(),IFERROR('Pay App 25'!F72/'Summary Sheet'!$D$19,""))</f>
        <v>#N/A</v>
      </c>
      <c r="BC19" s="264"/>
      <c r="BD19" s="263" t="e">
        <f>IF('Pay App 26'!$H$149=0,NA(),IFERROR('Pay App 26'!F72/'Summary Sheet'!$D$19,""))</f>
        <v>#N/A</v>
      </c>
      <c r="BE19" s="264"/>
      <c r="BF19" s="276" t="e">
        <f>IF('Pay App 27'!$H$149=0,NA(),IFERROR('Pay App 27'!F72/'Summary Sheet'!$D$19,""))</f>
        <v>#N/A</v>
      </c>
      <c r="BG19" s="264"/>
      <c r="BH19" s="263" t="e">
        <f>IF('Pay App 28'!$H$149=0,NA(),IFERROR('Pay App 28'!F72/'Summary Sheet'!$D$19,""))</f>
        <v>#N/A</v>
      </c>
      <c r="BI19" s="264"/>
      <c r="BJ19" s="276" t="e">
        <f>IF('Pay App 29'!$H$149=0,NA(),IFERROR('Pay App 29'!F72/'Summary Sheet'!$D$19,""))</f>
        <v>#N/A</v>
      </c>
      <c r="BK19" s="271"/>
      <c r="BL19" s="263" t="e">
        <f>IF('Pay App 30'!$H$149=0,NA(),IFERROR('Pay App 30'!F72/'Summary Sheet'!$D$19,""))</f>
        <v>#N/A</v>
      </c>
      <c r="BM19" s="264"/>
      <c r="BN19" s="276" t="e">
        <f>IF('Pay App 31'!$H$149=0,NA(),IFERROR('Pay App 31'!F72/'Summary Sheet'!$D$19,""))</f>
        <v>#N/A</v>
      </c>
      <c r="BO19" s="264"/>
      <c r="BP19" s="263" t="e">
        <f>IF('Pay App 32'!$H$149=0,NA(),IFERROR('Pay App 32'!F72/'Summary Sheet'!$D$19,""))</f>
        <v>#N/A</v>
      </c>
      <c r="BQ19" s="264"/>
      <c r="BR19" s="276" t="e">
        <f>IF('Pay App 33'!$H$149=0,NA(),IFERROR('Pay App 33'!F72/'Summary Sheet'!$D$19,""))</f>
        <v>#N/A</v>
      </c>
      <c r="BS19" s="264"/>
      <c r="BT19" s="263" t="e">
        <f>IF('Pay App 34'!$H$149=0,NA(),IFERROR('Pay App 34'!F72/'Summary Sheet'!$D$19,""))</f>
        <v>#N/A</v>
      </c>
      <c r="BU19" s="264"/>
      <c r="BV19" s="276" t="e">
        <f>IF('Pay App 35'!$H$149=0,NA(),IFERROR('Pay App 35'!F72/'Summary Sheet'!$D$19,""))</f>
        <v>#N/A</v>
      </c>
      <c r="BW19" s="264"/>
      <c r="BX19" s="263" t="e">
        <f>IF('Pay App 36'!$H$149=0,NA(),IFERROR('Pay App 36'!F72/'Summary Sheet'!$D$19,""))</f>
        <v>#N/A</v>
      </c>
      <c r="BY19" s="264"/>
      <c r="BZ19" s="276" t="e">
        <f>IF('Pay App 37'!$H$149=0,NA(),IFERROR('Pay App 37'!F72/'Summary Sheet'!$D$19,""))</f>
        <v>#N/A</v>
      </c>
      <c r="CA19" s="264"/>
      <c r="CB19" s="263" t="e">
        <f>IF('Pay App 38'!$H$149=0,NA(),IFERROR('Pay App 38'!F72/'Summary Sheet'!$D$19,""))</f>
        <v>#N/A</v>
      </c>
      <c r="CC19" s="264"/>
      <c r="CD19" s="276" t="e">
        <f>IF('Pay App 39'!$H$149=0,NA(),IFERROR('Pay App 39'!F72/'Summary Sheet'!$D$19,""))</f>
        <v>#N/A</v>
      </c>
      <c r="CE19" s="264"/>
      <c r="CF19" s="263" t="e">
        <f>IF('Pay App 40'!$H$149=0,NA(),IFERROR('Pay App 40'!F72/'Summary Sheet'!$D$19,""))</f>
        <v>#N/A</v>
      </c>
      <c r="CG19" s="264"/>
      <c r="CH19" s="276" t="e">
        <f>IF('Pay App 41'!$H$149=0,NA(),IFERROR('Pay App 41'!F72/'Summary Sheet'!$D$19,""))</f>
        <v>#N/A</v>
      </c>
      <c r="CI19" s="264"/>
      <c r="CJ19" s="263" t="e">
        <f>IF('Pay App 42'!$H$149=0,NA(),IFERROR('Pay App 42'!F72/'Summary Sheet'!$D$19,""))</f>
        <v>#N/A</v>
      </c>
      <c r="CK19" s="264"/>
      <c r="CL19" s="276" t="e">
        <f>IF('Pay App 43'!$H$149=0,NA(),IFERROR('Pay App 43'!F72/'Summary Sheet'!$D$19,""))</f>
        <v>#N/A</v>
      </c>
      <c r="CM19" s="264"/>
      <c r="CN19" s="263" t="e">
        <f>IF('Pay App 44'!$H$149=0,NA(),IFERROR('Pay App 44'!F72/'Summary Sheet'!$D$19,""))</f>
        <v>#N/A</v>
      </c>
      <c r="CO19" s="264"/>
      <c r="CP19" s="276" t="e">
        <f>IF('Pay App 45'!$H$149=0,NA(),IFERROR('Pay App 45'!F72/'Summary Sheet'!$D$19,""))</f>
        <v>#N/A</v>
      </c>
      <c r="CQ19" s="264"/>
      <c r="CR19" s="263" t="e">
        <f>IF('Pay App 46'!$H$149=0,NA(),IFERROR('Pay App 46'!F72/'Summary Sheet'!$D$19,""))</f>
        <v>#N/A</v>
      </c>
      <c r="CS19" s="264"/>
      <c r="CT19" s="276" t="e">
        <f>IF('Pay App 47'!$H$149=0,NA(),IFERROR('Pay App 47'!F72/'Summary Sheet'!$D$19,""))</f>
        <v>#N/A</v>
      </c>
      <c r="CU19" s="264"/>
      <c r="CV19" s="263" t="e">
        <f>IF('Pay App 48'!$H$149=0,NA(),IFERROR('Pay App 48'!F72/'Summary Sheet'!$D$19,""))</f>
        <v>#N/A</v>
      </c>
      <c r="CW19" s="264"/>
      <c r="CX19" s="276" t="e">
        <f>IF('Pay App 49'!$H$149=0,NA(),IFERROR('Pay App 49'!F72/'Summary Sheet'!$D$19,""))</f>
        <v>#N/A</v>
      </c>
      <c r="CY19" s="264"/>
      <c r="CZ19" s="263" t="e">
        <f>IF('Pay App 50'!$H$149=0,NA(),IFERROR('Pay App 50'!F72/'Summary Sheet'!$D$19,""))</f>
        <v>#N/A</v>
      </c>
      <c r="DA19" s="264"/>
      <c r="DB19" s="276" t="e">
        <f>IF('Pay App 51'!$H$149=0,NA(),IFERROR('Pay App 51'!F72/'Summary Sheet'!$D$19,""))</f>
        <v>#N/A</v>
      </c>
      <c r="DC19" s="264"/>
      <c r="DD19" s="263" t="e">
        <f>IF('Pay App 52'!$H$149=0,NA(),IFERROR('Pay App 52'!F72/'Summary Sheet'!$D$19,""))</f>
        <v>#N/A</v>
      </c>
      <c r="DE19" s="264"/>
      <c r="DF19" s="276" t="e">
        <f>IF('Pay App 53'!$H$149=0,NA(),IFERROR('Pay App 53'!F72/'Summary Sheet'!$D$19,""))</f>
        <v>#N/A</v>
      </c>
      <c r="DG19" s="264"/>
      <c r="DH19" s="263" t="e">
        <f>IF('Pay App 54'!$H$149=0,NA(),IFERROR('Pay App 54'!F72/'Summary Sheet'!$D$19,""))</f>
        <v>#N/A</v>
      </c>
      <c r="DI19" s="264"/>
      <c r="DJ19" s="276" t="e">
        <f>IF('Pay App 55'!$H$149=0,NA(),IFERROR('Pay App 55'!F72/'Summary Sheet'!$D$19,""))</f>
        <v>#N/A</v>
      </c>
      <c r="DK19" s="264"/>
      <c r="DL19" s="263" t="e">
        <f>IF('Pay App 56'!$H$149=0,NA(),IFERROR('Pay App 56'!F72/'Summary Sheet'!$D$19,""))</f>
        <v>#N/A</v>
      </c>
      <c r="DM19" s="264"/>
      <c r="DN19" s="276" t="e">
        <f>IF('Pay App 57'!$H$149=0,NA(),IFERROR('Pay App 57'!F72/'Summary Sheet'!$D$19,""))</f>
        <v>#N/A</v>
      </c>
      <c r="DO19" s="264"/>
      <c r="DP19" s="263" t="e">
        <f>IF('Pay App 58'!$H$149=0,NA(),IFERROR('Pay App 58'!F72/'Summary Sheet'!$D$19,""))</f>
        <v>#N/A</v>
      </c>
      <c r="DQ19" s="264"/>
      <c r="DR19" s="276" t="e">
        <f>IF('Pay App 59'!$H$149=0,NA(),IFERROR('Pay App 59'!F72/'Summary Sheet'!$D$19,""))</f>
        <v>#N/A</v>
      </c>
      <c r="DS19" s="264"/>
      <c r="DT19" s="263" t="e">
        <f>IF('Pay App 60'!$H$149=0,NA(),IFERROR('Pay App 60'!F72/'Summary Sheet'!$D$19,""))</f>
        <v>#N/A</v>
      </c>
      <c r="DU19" s="296"/>
    </row>
    <row r="20" spans="2:125" x14ac:dyDescent="0.25">
      <c r="B20" s="35" t="str">
        <f>'Pay App 1'!B73</f>
        <v>02 82 00</v>
      </c>
      <c r="C20" s="27" t="str">
        <f>'Pay App 1'!C73</f>
        <v>Asbestos Abatement</v>
      </c>
      <c r="D20" s="282" t="str" cm="1">
        <f t="array" ref="D20">IFERROR(1+(LOOKUP(2,1/(E20:DT20&lt;&gt;""),E20:DT20)-E20)/E20,"")</f>
        <v/>
      </c>
      <c r="E20" s="275" t="str">
        <f>IFERROR('GMP Tracker'!D24/'Summary Sheet'!$D$19,"")</f>
        <v/>
      </c>
      <c r="F20" s="276" t="e">
        <f>IF('Pay App 1'!$D$149=0,NA(),IFERROR('Pay App 1'!F73/'Summary Sheet'!$D$19,""))</f>
        <v>#N/A</v>
      </c>
      <c r="G20" s="271"/>
      <c r="H20" s="277" t="e">
        <f>IF('Pay App 2'!$H$149=0,NA(),IFERROR('Pay App 2'!F73/'Summary Sheet'!$D$19,""))</f>
        <v>#N/A</v>
      </c>
      <c r="I20" s="266"/>
      <c r="J20" s="276" t="e">
        <f>IF('Pay App 3'!$H$149=0,NA(),IFERROR('Pay App 3'!F73/'Summary Sheet'!$D$19,""))</f>
        <v>#N/A</v>
      </c>
      <c r="K20" s="268"/>
      <c r="L20" s="277" t="e">
        <f>IF('Pay App 4'!$H$149=0,NA(),IFERROR('Pay App 4'!F73/'Summary Sheet'!$D$19,""))</f>
        <v>#N/A</v>
      </c>
      <c r="M20" s="266"/>
      <c r="N20" s="276" t="e">
        <f>IF('Pay App 5'!$H$149=0,NA(),IFERROR('Pay App 5'!F73/'Summary Sheet'!$D$19,""))</f>
        <v>#N/A</v>
      </c>
      <c r="O20" s="263"/>
      <c r="P20" s="277" t="e">
        <f>IF('Pay App 6'!$H$149=0,NA(),IFERROR('Pay App 6'!F73/'Summary Sheet'!$D$19,""))</f>
        <v>#N/A</v>
      </c>
      <c r="Q20" s="263"/>
      <c r="R20" s="276" t="e">
        <f>IF('Pay App 7'!$H$149=0,NA(),IFERROR('Pay App 7'!F73/'Summary Sheet'!$D$19,""))</f>
        <v>#N/A</v>
      </c>
      <c r="S20" s="263"/>
      <c r="T20" s="277" t="e">
        <f>IF('Pay App 8'!$H$149=0,NA(),IFERROR('Pay App 8'!F73/'Summary Sheet'!$D$19,""))</f>
        <v>#N/A</v>
      </c>
      <c r="U20" s="263"/>
      <c r="V20" s="276" t="e">
        <f>IF('Pay App 9'!$H$149=0,NA(),IFERROR('Pay App 9'!F73/'Summary Sheet'!$D$19,""))</f>
        <v>#N/A</v>
      </c>
      <c r="W20" s="263"/>
      <c r="X20" s="277" t="e">
        <f>IF('Pay App 10'!$H$149=0,NA(),IFERROR('Pay App 10'!F73/'Summary Sheet'!$D$19,""))</f>
        <v>#N/A</v>
      </c>
      <c r="Y20" s="263"/>
      <c r="Z20" s="276" t="e">
        <f>IF('Pay App 11'!$H$149=0,NA(),IFERROR('Pay App 11'!F73/'Summary Sheet'!$D$19,""))</f>
        <v>#N/A</v>
      </c>
      <c r="AA20" s="263"/>
      <c r="AB20" s="277" t="e">
        <f>IF('Pay App 12'!$H$149=0,NA(),IFERROR('Pay App 12'!F73/'Summary Sheet'!$D$19,""))</f>
        <v>#N/A</v>
      </c>
      <c r="AC20" s="263"/>
      <c r="AD20" s="276" t="e">
        <f>IF('Pay App 13'!$H$149=0,NA(),IFERROR('Pay App 13'!F73/'Summary Sheet'!$D$19,""))</f>
        <v>#N/A</v>
      </c>
      <c r="AE20" s="263"/>
      <c r="AF20" s="277" t="e">
        <f>IF('Pay App 14'!$H$149=0,NA(),IFERROR('Pay App 14'!F73/'Summary Sheet'!$D$19,""))</f>
        <v>#N/A</v>
      </c>
      <c r="AG20" s="263"/>
      <c r="AH20" s="276" t="e">
        <f>IF('Pay App 15'!$H$149=0,NA(),IFERROR('Pay App 15'!F73/'Summary Sheet'!$D$19,""))</f>
        <v>#N/A</v>
      </c>
      <c r="AI20" s="263"/>
      <c r="AJ20" s="277" t="e">
        <f>IF('Pay App 16'!$H$149=0,NA(),IFERROR('Pay App 16'!F73/'Summary Sheet'!$D$19,""))</f>
        <v>#N/A</v>
      </c>
      <c r="AK20" s="263"/>
      <c r="AL20" s="276" t="e">
        <f>IF('Pay App 17'!$H$149=0,NA(),IFERROR('Pay App 17'!F73/'Summary Sheet'!$D$19,""))</f>
        <v>#N/A</v>
      </c>
      <c r="AM20" s="263"/>
      <c r="AN20" s="277" t="e">
        <f>IF('Pay App 18'!$H$149=0,NA(),IFERROR('Pay App 18'!F73/'Summary Sheet'!$D$19,""))</f>
        <v>#N/A</v>
      </c>
      <c r="AO20" s="263"/>
      <c r="AP20" s="276" t="e">
        <f>IF('Pay App 19'!$H$149=0,NA(),IFERROR('Pay App 19'!F73/'Summary Sheet'!$D$19,""))</f>
        <v>#N/A</v>
      </c>
      <c r="AQ20" s="263"/>
      <c r="AR20" s="263" t="e">
        <f>IF('Pay App 20'!$H$149=0,NA(),IFERROR('Pay App 20'!F73/'Summary Sheet'!$D$19,""))</f>
        <v>#N/A</v>
      </c>
      <c r="AS20" s="264"/>
      <c r="AT20" s="276" t="e">
        <f>IF('Pay App 21'!$H$149=0,NA(),IFERROR('Pay App 21'!F73/'Summary Sheet'!$D$19,""))</f>
        <v>#N/A</v>
      </c>
      <c r="AU20" s="264"/>
      <c r="AV20" s="263" t="e">
        <f>IF('Pay App 22'!$H$149=0,NA(),IFERROR('Pay App 22'!F73/'Summary Sheet'!$D$19,""))</f>
        <v>#N/A</v>
      </c>
      <c r="AW20" s="264"/>
      <c r="AX20" s="276" t="e">
        <f>IF('Pay App 23'!$H$149=0,NA(),IFERROR('Pay App 23'!F73/'Summary Sheet'!$D$19,""))</f>
        <v>#N/A</v>
      </c>
      <c r="AY20" s="264"/>
      <c r="AZ20" s="263" t="e">
        <f>IF('Pay App 24'!$H$149=0,NA(),IFERROR('Pay App 24'!F73/'Summary Sheet'!$D$19,""))</f>
        <v>#N/A</v>
      </c>
      <c r="BA20" s="264"/>
      <c r="BB20" s="276" t="e">
        <f>IF('Pay App 25'!$H$149=0,NA(),IFERROR('Pay App 25'!F73/'Summary Sheet'!$D$19,""))</f>
        <v>#N/A</v>
      </c>
      <c r="BC20" s="264"/>
      <c r="BD20" s="263" t="e">
        <f>IF('Pay App 26'!$H$149=0,NA(),IFERROR('Pay App 26'!F73/'Summary Sheet'!$D$19,""))</f>
        <v>#N/A</v>
      </c>
      <c r="BE20" s="264"/>
      <c r="BF20" s="276" t="e">
        <f>IF('Pay App 27'!$H$149=0,NA(),IFERROR('Pay App 27'!F73/'Summary Sheet'!$D$19,""))</f>
        <v>#N/A</v>
      </c>
      <c r="BG20" s="264"/>
      <c r="BH20" s="263" t="e">
        <f>IF('Pay App 28'!$H$149=0,NA(),IFERROR('Pay App 28'!F73/'Summary Sheet'!$D$19,""))</f>
        <v>#N/A</v>
      </c>
      <c r="BI20" s="264"/>
      <c r="BJ20" s="276" t="e">
        <f>IF('Pay App 29'!$H$149=0,NA(),IFERROR('Pay App 29'!F73/'Summary Sheet'!$D$19,""))</f>
        <v>#N/A</v>
      </c>
      <c r="BK20" s="271"/>
      <c r="BL20" s="263" t="e">
        <f>IF('Pay App 30'!$H$149=0,NA(),IFERROR('Pay App 30'!F73/'Summary Sheet'!$D$19,""))</f>
        <v>#N/A</v>
      </c>
      <c r="BM20" s="264"/>
      <c r="BN20" s="276" t="e">
        <f>IF('Pay App 31'!$H$149=0,NA(),IFERROR('Pay App 31'!F73/'Summary Sheet'!$D$19,""))</f>
        <v>#N/A</v>
      </c>
      <c r="BO20" s="264"/>
      <c r="BP20" s="263" t="e">
        <f>IF('Pay App 32'!$H$149=0,NA(),IFERROR('Pay App 32'!F73/'Summary Sheet'!$D$19,""))</f>
        <v>#N/A</v>
      </c>
      <c r="BQ20" s="264"/>
      <c r="BR20" s="276" t="e">
        <f>IF('Pay App 33'!$H$149=0,NA(),IFERROR('Pay App 33'!F73/'Summary Sheet'!$D$19,""))</f>
        <v>#N/A</v>
      </c>
      <c r="BS20" s="264"/>
      <c r="BT20" s="263" t="e">
        <f>IF('Pay App 34'!$H$149=0,NA(),IFERROR('Pay App 34'!F73/'Summary Sheet'!$D$19,""))</f>
        <v>#N/A</v>
      </c>
      <c r="BU20" s="264"/>
      <c r="BV20" s="276" t="e">
        <f>IF('Pay App 35'!$H$149=0,NA(),IFERROR('Pay App 35'!F73/'Summary Sheet'!$D$19,""))</f>
        <v>#N/A</v>
      </c>
      <c r="BW20" s="264"/>
      <c r="BX20" s="263" t="e">
        <f>IF('Pay App 36'!$H$149=0,NA(),IFERROR('Pay App 36'!F73/'Summary Sheet'!$D$19,""))</f>
        <v>#N/A</v>
      </c>
      <c r="BY20" s="264"/>
      <c r="BZ20" s="276" t="e">
        <f>IF('Pay App 37'!$H$149=0,NA(),IFERROR('Pay App 37'!F73/'Summary Sheet'!$D$19,""))</f>
        <v>#N/A</v>
      </c>
      <c r="CA20" s="264"/>
      <c r="CB20" s="263" t="e">
        <f>IF('Pay App 38'!$H$149=0,NA(),IFERROR('Pay App 38'!F73/'Summary Sheet'!$D$19,""))</f>
        <v>#N/A</v>
      </c>
      <c r="CC20" s="264"/>
      <c r="CD20" s="276" t="e">
        <f>IF('Pay App 39'!$H$149=0,NA(),IFERROR('Pay App 39'!F73/'Summary Sheet'!$D$19,""))</f>
        <v>#N/A</v>
      </c>
      <c r="CE20" s="264"/>
      <c r="CF20" s="263" t="e">
        <f>IF('Pay App 40'!$H$149=0,NA(),IFERROR('Pay App 40'!F73/'Summary Sheet'!$D$19,""))</f>
        <v>#N/A</v>
      </c>
      <c r="CG20" s="264"/>
      <c r="CH20" s="276" t="e">
        <f>IF('Pay App 41'!$H$149=0,NA(),IFERROR('Pay App 41'!F73/'Summary Sheet'!$D$19,""))</f>
        <v>#N/A</v>
      </c>
      <c r="CI20" s="264"/>
      <c r="CJ20" s="263" t="e">
        <f>IF('Pay App 42'!$H$149=0,NA(),IFERROR('Pay App 42'!F73/'Summary Sheet'!$D$19,""))</f>
        <v>#N/A</v>
      </c>
      <c r="CK20" s="264"/>
      <c r="CL20" s="276" t="e">
        <f>IF('Pay App 43'!$H$149=0,NA(),IFERROR('Pay App 43'!F73/'Summary Sheet'!$D$19,""))</f>
        <v>#N/A</v>
      </c>
      <c r="CM20" s="264"/>
      <c r="CN20" s="263" t="e">
        <f>IF('Pay App 44'!$H$149=0,NA(),IFERROR('Pay App 44'!F73/'Summary Sheet'!$D$19,""))</f>
        <v>#N/A</v>
      </c>
      <c r="CO20" s="264"/>
      <c r="CP20" s="276" t="e">
        <f>IF('Pay App 45'!$H$149=0,NA(),IFERROR('Pay App 45'!F73/'Summary Sheet'!$D$19,""))</f>
        <v>#N/A</v>
      </c>
      <c r="CQ20" s="264"/>
      <c r="CR20" s="263" t="e">
        <f>IF('Pay App 46'!$H$149=0,NA(),IFERROR('Pay App 46'!F73/'Summary Sheet'!$D$19,""))</f>
        <v>#N/A</v>
      </c>
      <c r="CS20" s="264"/>
      <c r="CT20" s="276" t="e">
        <f>IF('Pay App 47'!$H$149=0,NA(),IFERROR('Pay App 47'!F73/'Summary Sheet'!$D$19,""))</f>
        <v>#N/A</v>
      </c>
      <c r="CU20" s="264"/>
      <c r="CV20" s="263" t="e">
        <f>IF('Pay App 48'!$H$149=0,NA(),IFERROR('Pay App 48'!F73/'Summary Sheet'!$D$19,""))</f>
        <v>#N/A</v>
      </c>
      <c r="CW20" s="264"/>
      <c r="CX20" s="276" t="e">
        <f>IF('Pay App 49'!$H$149=0,NA(),IFERROR('Pay App 49'!F73/'Summary Sheet'!$D$19,""))</f>
        <v>#N/A</v>
      </c>
      <c r="CY20" s="264"/>
      <c r="CZ20" s="263" t="e">
        <f>IF('Pay App 50'!$H$149=0,NA(),IFERROR('Pay App 50'!F73/'Summary Sheet'!$D$19,""))</f>
        <v>#N/A</v>
      </c>
      <c r="DA20" s="264"/>
      <c r="DB20" s="276" t="e">
        <f>IF('Pay App 51'!$H$149=0,NA(),IFERROR('Pay App 51'!F73/'Summary Sheet'!$D$19,""))</f>
        <v>#N/A</v>
      </c>
      <c r="DC20" s="264"/>
      <c r="DD20" s="263" t="e">
        <f>IF('Pay App 52'!$H$149=0,NA(),IFERROR('Pay App 52'!F73/'Summary Sheet'!$D$19,""))</f>
        <v>#N/A</v>
      </c>
      <c r="DE20" s="264"/>
      <c r="DF20" s="276" t="e">
        <f>IF('Pay App 53'!$H$149=0,NA(),IFERROR('Pay App 53'!F73/'Summary Sheet'!$D$19,""))</f>
        <v>#N/A</v>
      </c>
      <c r="DG20" s="264"/>
      <c r="DH20" s="263" t="e">
        <f>IF('Pay App 54'!$H$149=0,NA(),IFERROR('Pay App 54'!F73/'Summary Sheet'!$D$19,""))</f>
        <v>#N/A</v>
      </c>
      <c r="DI20" s="264"/>
      <c r="DJ20" s="276" t="e">
        <f>IF('Pay App 55'!$H$149=0,NA(),IFERROR('Pay App 55'!F73/'Summary Sheet'!$D$19,""))</f>
        <v>#N/A</v>
      </c>
      <c r="DK20" s="264"/>
      <c r="DL20" s="263" t="e">
        <f>IF('Pay App 56'!$H$149=0,NA(),IFERROR('Pay App 56'!F73/'Summary Sheet'!$D$19,""))</f>
        <v>#N/A</v>
      </c>
      <c r="DM20" s="264"/>
      <c r="DN20" s="276" t="e">
        <f>IF('Pay App 57'!$H$149=0,NA(),IFERROR('Pay App 57'!F73/'Summary Sheet'!$D$19,""))</f>
        <v>#N/A</v>
      </c>
      <c r="DO20" s="264"/>
      <c r="DP20" s="263" t="e">
        <f>IF('Pay App 58'!$H$149=0,NA(),IFERROR('Pay App 58'!F73/'Summary Sheet'!$D$19,""))</f>
        <v>#N/A</v>
      </c>
      <c r="DQ20" s="264"/>
      <c r="DR20" s="276" t="e">
        <f>IF('Pay App 59'!$H$149=0,NA(),IFERROR('Pay App 59'!F73/'Summary Sheet'!$D$19,""))</f>
        <v>#N/A</v>
      </c>
      <c r="DS20" s="264"/>
      <c r="DT20" s="263" t="e">
        <f>IF('Pay App 60'!$H$149=0,NA(),IFERROR('Pay App 60'!F73/'Summary Sheet'!$D$19,""))</f>
        <v>#N/A</v>
      </c>
      <c r="DU20" s="296"/>
    </row>
    <row r="21" spans="2:125" x14ac:dyDescent="0.25">
      <c r="B21" s="36" t="str">
        <f>'Pay App 1'!B74</f>
        <v>03 00 00</v>
      </c>
      <c r="C21" s="37" t="str">
        <f>'Pay App 1'!C74</f>
        <v>Building Concrete</v>
      </c>
      <c r="D21" s="282" t="str" cm="1">
        <f t="array" ref="D21">IFERROR(1+(LOOKUP(2,1/(E21:DT21&lt;&gt;""),E21:DT21)-E21)/E21,"")</f>
        <v/>
      </c>
      <c r="E21" s="275" t="str">
        <f>IFERROR('GMP Tracker'!D25/'Summary Sheet'!$D$19,"")</f>
        <v/>
      </c>
      <c r="F21" s="276" t="e">
        <f>IF('Pay App 1'!$D$149=0,NA(),IFERROR('Pay App 1'!F74/'Summary Sheet'!$D$19,""))</f>
        <v>#N/A</v>
      </c>
      <c r="G21" s="271"/>
      <c r="H21" s="277" t="e">
        <f>IF('Pay App 2'!$H$149=0,NA(),IFERROR('Pay App 2'!F74/'Summary Sheet'!$D$19,""))</f>
        <v>#N/A</v>
      </c>
      <c r="I21" s="266"/>
      <c r="J21" s="276" t="e">
        <f>IF('Pay App 3'!$H$149=0,NA(),IFERROR('Pay App 3'!F74/'Summary Sheet'!$D$19,""))</f>
        <v>#N/A</v>
      </c>
      <c r="K21" s="268"/>
      <c r="L21" s="277" t="e">
        <f>IF('Pay App 4'!$H$149=0,NA(),IFERROR('Pay App 4'!F74/'Summary Sheet'!$D$19,""))</f>
        <v>#N/A</v>
      </c>
      <c r="M21" s="266"/>
      <c r="N21" s="276" t="e">
        <f>IF('Pay App 5'!$H$149=0,NA(),IFERROR('Pay App 5'!F74/'Summary Sheet'!$D$19,""))</f>
        <v>#N/A</v>
      </c>
      <c r="O21" s="263"/>
      <c r="P21" s="277" t="e">
        <f>IF('Pay App 6'!$H$149=0,NA(),IFERROR('Pay App 6'!F74/'Summary Sheet'!$D$19,""))</f>
        <v>#N/A</v>
      </c>
      <c r="Q21" s="263"/>
      <c r="R21" s="276" t="e">
        <f>IF('Pay App 7'!$H$149=0,NA(),IFERROR('Pay App 7'!F74/'Summary Sheet'!$D$19,""))</f>
        <v>#N/A</v>
      </c>
      <c r="S21" s="263"/>
      <c r="T21" s="277" t="e">
        <f>IF('Pay App 8'!$H$149=0,NA(),IFERROR('Pay App 8'!F74/'Summary Sheet'!$D$19,""))</f>
        <v>#N/A</v>
      </c>
      <c r="U21" s="263"/>
      <c r="V21" s="276" t="e">
        <f>IF('Pay App 9'!$H$149=0,NA(),IFERROR('Pay App 9'!F74/'Summary Sheet'!$D$19,""))</f>
        <v>#N/A</v>
      </c>
      <c r="W21" s="263"/>
      <c r="X21" s="277" t="e">
        <f>IF('Pay App 10'!$H$149=0,NA(),IFERROR('Pay App 10'!F74/'Summary Sheet'!$D$19,""))</f>
        <v>#N/A</v>
      </c>
      <c r="Y21" s="263"/>
      <c r="Z21" s="276" t="e">
        <f>IF('Pay App 11'!$H$149=0,NA(),IFERROR('Pay App 11'!F74/'Summary Sheet'!$D$19,""))</f>
        <v>#N/A</v>
      </c>
      <c r="AA21" s="263"/>
      <c r="AB21" s="277" t="e">
        <f>IF('Pay App 12'!$H$149=0,NA(),IFERROR('Pay App 12'!F74/'Summary Sheet'!$D$19,""))</f>
        <v>#N/A</v>
      </c>
      <c r="AC21" s="263"/>
      <c r="AD21" s="276" t="e">
        <f>IF('Pay App 13'!$H$149=0,NA(),IFERROR('Pay App 13'!F74/'Summary Sheet'!$D$19,""))</f>
        <v>#N/A</v>
      </c>
      <c r="AE21" s="263"/>
      <c r="AF21" s="277" t="e">
        <f>IF('Pay App 14'!$H$149=0,NA(),IFERROR('Pay App 14'!F74/'Summary Sheet'!$D$19,""))</f>
        <v>#N/A</v>
      </c>
      <c r="AG21" s="263"/>
      <c r="AH21" s="276" t="e">
        <f>IF('Pay App 15'!$H$149=0,NA(),IFERROR('Pay App 15'!F74/'Summary Sheet'!$D$19,""))</f>
        <v>#N/A</v>
      </c>
      <c r="AI21" s="263"/>
      <c r="AJ21" s="277" t="e">
        <f>IF('Pay App 16'!$H$149=0,NA(),IFERROR('Pay App 16'!F74/'Summary Sheet'!$D$19,""))</f>
        <v>#N/A</v>
      </c>
      <c r="AK21" s="263"/>
      <c r="AL21" s="276" t="e">
        <f>IF('Pay App 17'!$H$149=0,NA(),IFERROR('Pay App 17'!F74/'Summary Sheet'!$D$19,""))</f>
        <v>#N/A</v>
      </c>
      <c r="AM21" s="263"/>
      <c r="AN21" s="277" t="e">
        <f>IF('Pay App 18'!$H$149=0,NA(),IFERROR('Pay App 18'!F74/'Summary Sheet'!$D$19,""))</f>
        <v>#N/A</v>
      </c>
      <c r="AO21" s="263"/>
      <c r="AP21" s="276" t="e">
        <f>IF('Pay App 19'!$H$149=0,NA(),IFERROR('Pay App 19'!F74/'Summary Sheet'!$D$19,""))</f>
        <v>#N/A</v>
      </c>
      <c r="AQ21" s="263"/>
      <c r="AR21" s="263" t="e">
        <f>IF('Pay App 20'!$H$149=0,NA(),IFERROR('Pay App 20'!F74/'Summary Sheet'!$D$19,""))</f>
        <v>#N/A</v>
      </c>
      <c r="AS21" s="264"/>
      <c r="AT21" s="276" t="e">
        <f>IF('Pay App 21'!$H$149=0,NA(),IFERROR('Pay App 21'!F74/'Summary Sheet'!$D$19,""))</f>
        <v>#N/A</v>
      </c>
      <c r="AU21" s="264"/>
      <c r="AV21" s="263" t="e">
        <f>IF('Pay App 22'!$H$149=0,NA(),IFERROR('Pay App 22'!F74/'Summary Sheet'!$D$19,""))</f>
        <v>#N/A</v>
      </c>
      <c r="AW21" s="264"/>
      <c r="AX21" s="276" t="e">
        <f>IF('Pay App 23'!$H$149=0,NA(),IFERROR('Pay App 23'!F74/'Summary Sheet'!$D$19,""))</f>
        <v>#N/A</v>
      </c>
      <c r="AY21" s="264"/>
      <c r="AZ21" s="263" t="e">
        <f>IF('Pay App 24'!$H$149=0,NA(),IFERROR('Pay App 24'!F74/'Summary Sheet'!$D$19,""))</f>
        <v>#N/A</v>
      </c>
      <c r="BA21" s="264"/>
      <c r="BB21" s="276" t="e">
        <f>IF('Pay App 25'!$H$149=0,NA(),IFERROR('Pay App 25'!F74/'Summary Sheet'!$D$19,""))</f>
        <v>#N/A</v>
      </c>
      <c r="BC21" s="264"/>
      <c r="BD21" s="263" t="e">
        <f>IF('Pay App 26'!$H$149=0,NA(),IFERROR('Pay App 26'!F74/'Summary Sheet'!$D$19,""))</f>
        <v>#N/A</v>
      </c>
      <c r="BE21" s="264"/>
      <c r="BF21" s="276" t="e">
        <f>IF('Pay App 27'!$H$149=0,NA(),IFERROR('Pay App 27'!F74/'Summary Sheet'!$D$19,""))</f>
        <v>#N/A</v>
      </c>
      <c r="BG21" s="264"/>
      <c r="BH21" s="263" t="e">
        <f>IF('Pay App 28'!$H$149=0,NA(),IFERROR('Pay App 28'!F74/'Summary Sheet'!$D$19,""))</f>
        <v>#N/A</v>
      </c>
      <c r="BI21" s="264"/>
      <c r="BJ21" s="276" t="e">
        <f>IF('Pay App 29'!$H$149=0,NA(),IFERROR('Pay App 29'!F74/'Summary Sheet'!$D$19,""))</f>
        <v>#N/A</v>
      </c>
      <c r="BK21" s="271"/>
      <c r="BL21" s="263" t="e">
        <f>IF('Pay App 30'!$H$149=0,NA(),IFERROR('Pay App 30'!F74/'Summary Sheet'!$D$19,""))</f>
        <v>#N/A</v>
      </c>
      <c r="BM21" s="264"/>
      <c r="BN21" s="276" t="e">
        <f>IF('Pay App 31'!$H$149=0,NA(),IFERROR('Pay App 31'!F74/'Summary Sheet'!$D$19,""))</f>
        <v>#N/A</v>
      </c>
      <c r="BO21" s="264"/>
      <c r="BP21" s="263" t="e">
        <f>IF('Pay App 32'!$H$149=0,NA(),IFERROR('Pay App 32'!F74/'Summary Sheet'!$D$19,""))</f>
        <v>#N/A</v>
      </c>
      <c r="BQ21" s="264"/>
      <c r="BR21" s="276" t="e">
        <f>IF('Pay App 33'!$H$149=0,NA(),IFERROR('Pay App 33'!F74/'Summary Sheet'!$D$19,""))</f>
        <v>#N/A</v>
      </c>
      <c r="BS21" s="264"/>
      <c r="BT21" s="263" t="e">
        <f>IF('Pay App 34'!$H$149=0,NA(),IFERROR('Pay App 34'!F74/'Summary Sheet'!$D$19,""))</f>
        <v>#N/A</v>
      </c>
      <c r="BU21" s="264"/>
      <c r="BV21" s="276" t="e">
        <f>IF('Pay App 35'!$H$149=0,NA(),IFERROR('Pay App 35'!F74/'Summary Sheet'!$D$19,""))</f>
        <v>#N/A</v>
      </c>
      <c r="BW21" s="264"/>
      <c r="BX21" s="263" t="e">
        <f>IF('Pay App 36'!$H$149=0,NA(),IFERROR('Pay App 36'!F74/'Summary Sheet'!$D$19,""))</f>
        <v>#N/A</v>
      </c>
      <c r="BY21" s="264"/>
      <c r="BZ21" s="276" t="e">
        <f>IF('Pay App 37'!$H$149=0,NA(),IFERROR('Pay App 37'!F74/'Summary Sheet'!$D$19,""))</f>
        <v>#N/A</v>
      </c>
      <c r="CA21" s="264"/>
      <c r="CB21" s="263" t="e">
        <f>IF('Pay App 38'!$H$149=0,NA(),IFERROR('Pay App 38'!F74/'Summary Sheet'!$D$19,""))</f>
        <v>#N/A</v>
      </c>
      <c r="CC21" s="264"/>
      <c r="CD21" s="276" t="e">
        <f>IF('Pay App 39'!$H$149=0,NA(),IFERROR('Pay App 39'!F74/'Summary Sheet'!$D$19,""))</f>
        <v>#N/A</v>
      </c>
      <c r="CE21" s="264"/>
      <c r="CF21" s="263" t="e">
        <f>IF('Pay App 40'!$H$149=0,NA(),IFERROR('Pay App 40'!F74/'Summary Sheet'!$D$19,""))</f>
        <v>#N/A</v>
      </c>
      <c r="CG21" s="264"/>
      <c r="CH21" s="276" t="e">
        <f>IF('Pay App 41'!$H$149=0,NA(),IFERROR('Pay App 41'!F74/'Summary Sheet'!$D$19,""))</f>
        <v>#N/A</v>
      </c>
      <c r="CI21" s="264"/>
      <c r="CJ21" s="263" t="e">
        <f>IF('Pay App 42'!$H$149=0,NA(),IFERROR('Pay App 42'!F74/'Summary Sheet'!$D$19,""))</f>
        <v>#N/A</v>
      </c>
      <c r="CK21" s="264"/>
      <c r="CL21" s="276" t="e">
        <f>IF('Pay App 43'!$H$149=0,NA(),IFERROR('Pay App 43'!F74/'Summary Sheet'!$D$19,""))</f>
        <v>#N/A</v>
      </c>
      <c r="CM21" s="264"/>
      <c r="CN21" s="263" t="e">
        <f>IF('Pay App 44'!$H$149=0,NA(),IFERROR('Pay App 44'!F74/'Summary Sheet'!$D$19,""))</f>
        <v>#N/A</v>
      </c>
      <c r="CO21" s="264"/>
      <c r="CP21" s="276" t="e">
        <f>IF('Pay App 45'!$H$149=0,NA(),IFERROR('Pay App 45'!F74/'Summary Sheet'!$D$19,""))</f>
        <v>#N/A</v>
      </c>
      <c r="CQ21" s="264"/>
      <c r="CR21" s="263" t="e">
        <f>IF('Pay App 46'!$H$149=0,NA(),IFERROR('Pay App 46'!F74/'Summary Sheet'!$D$19,""))</f>
        <v>#N/A</v>
      </c>
      <c r="CS21" s="264"/>
      <c r="CT21" s="276" t="e">
        <f>IF('Pay App 47'!$H$149=0,NA(),IFERROR('Pay App 47'!F74/'Summary Sheet'!$D$19,""))</f>
        <v>#N/A</v>
      </c>
      <c r="CU21" s="264"/>
      <c r="CV21" s="263" t="e">
        <f>IF('Pay App 48'!$H$149=0,NA(),IFERROR('Pay App 48'!F74/'Summary Sheet'!$D$19,""))</f>
        <v>#N/A</v>
      </c>
      <c r="CW21" s="264"/>
      <c r="CX21" s="276" t="e">
        <f>IF('Pay App 49'!$H$149=0,NA(),IFERROR('Pay App 49'!F74/'Summary Sheet'!$D$19,""))</f>
        <v>#N/A</v>
      </c>
      <c r="CY21" s="264"/>
      <c r="CZ21" s="263" t="e">
        <f>IF('Pay App 50'!$H$149=0,NA(),IFERROR('Pay App 50'!F74/'Summary Sheet'!$D$19,""))</f>
        <v>#N/A</v>
      </c>
      <c r="DA21" s="264"/>
      <c r="DB21" s="276" t="e">
        <f>IF('Pay App 51'!$H$149=0,NA(),IFERROR('Pay App 51'!F74/'Summary Sheet'!$D$19,""))</f>
        <v>#N/A</v>
      </c>
      <c r="DC21" s="264"/>
      <c r="DD21" s="263" t="e">
        <f>IF('Pay App 52'!$H$149=0,NA(),IFERROR('Pay App 52'!F74/'Summary Sheet'!$D$19,""))</f>
        <v>#N/A</v>
      </c>
      <c r="DE21" s="264"/>
      <c r="DF21" s="276" t="e">
        <f>IF('Pay App 53'!$H$149=0,NA(),IFERROR('Pay App 53'!F74/'Summary Sheet'!$D$19,""))</f>
        <v>#N/A</v>
      </c>
      <c r="DG21" s="264"/>
      <c r="DH21" s="263" t="e">
        <f>IF('Pay App 54'!$H$149=0,NA(),IFERROR('Pay App 54'!F74/'Summary Sheet'!$D$19,""))</f>
        <v>#N/A</v>
      </c>
      <c r="DI21" s="264"/>
      <c r="DJ21" s="276" t="e">
        <f>IF('Pay App 55'!$H$149=0,NA(),IFERROR('Pay App 55'!F74/'Summary Sheet'!$D$19,""))</f>
        <v>#N/A</v>
      </c>
      <c r="DK21" s="264"/>
      <c r="DL21" s="263" t="e">
        <f>IF('Pay App 56'!$H$149=0,NA(),IFERROR('Pay App 56'!F74/'Summary Sheet'!$D$19,""))</f>
        <v>#N/A</v>
      </c>
      <c r="DM21" s="264"/>
      <c r="DN21" s="276" t="e">
        <f>IF('Pay App 57'!$H$149=0,NA(),IFERROR('Pay App 57'!F74/'Summary Sheet'!$D$19,""))</f>
        <v>#N/A</v>
      </c>
      <c r="DO21" s="264"/>
      <c r="DP21" s="263" t="e">
        <f>IF('Pay App 58'!$H$149=0,NA(),IFERROR('Pay App 58'!F74/'Summary Sheet'!$D$19,""))</f>
        <v>#N/A</v>
      </c>
      <c r="DQ21" s="264"/>
      <c r="DR21" s="276" t="e">
        <f>IF('Pay App 59'!$H$149=0,NA(),IFERROR('Pay App 59'!F74/'Summary Sheet'!$D$19,""))</f>
        <v>#N/A</v>
      </c>
      <c r="DS21" s="264"/>
      <c r="DT21" s="263" t="e">
        <f>IF('Pay App 60'!$H$149=0,NA(),IFERROR('Pay App 60'!F74/'Summary Sheet'!$D$19,""))</f>
        <v>#N/A</v>
      </c>
      <c r="DU21" s="296"/>
    </row>
    <row r="22" spans="2:125" x14ac:dyDescent="0.25">
      <c r="B22" s="36" t="str">
        <f>'Pay App 1'!B75</f>
        <v>03 20 00</v>
      </c>
      <c r="C22" s="37" t="str">
        <f>'Pay App 1'!C75</f>
        <v>Building Concrete Reinforcing</v>
      </c>
      <c r="D22" s="282" t="str" cm="1">
        <f t="array" ref="D22">IFERROR(1+(LOOKUP(2,1/(E22:DT22&lt;&gt;""),E22:DT22)-E22)/E22,"")</f>
        <v/>
      </c>
      <c r="E22" s="275" t="str">
        <f>IFERROR('GMP Tracker'!D26/'Summary Sheet'!$D$19,"")</f>
        <v/>
      </c>
      <c r="F22" s="276" t="e">
        <f>IF('Pay App 1'!$D$149=0,NA(),IFERROR('Pay App 1'!F75/'Summary Sheet'!$D$19,""))</f>
        <v>#N/A</v>
      </c>
      <c r="G22" s="271"/>
      <c r="H22" s="277" t="e">
        <f>IF('Pay App 2'!$H$149=0,NA(),IFERROR('Pay App 2'!F75/'Summary Sheet'!$D$19,""))</f>
        <v>#N/A</v>
      </c>
      <c r="I22" s="266"/>
      <c r="J22" s="276" t="e">
        <f>IF('Pay App 3'!$H$149=0,NA(),IFERROR('Pay App 3'!F75/'Summary Sheet'!$D$19,""))</f>
        <v>#N/A</v>
      </c>
      <c r="K22" s="268"/>
      <c r="L22" s="277" t="e">
        <f>IF('Pay App 4'!$H$149=0,NA(),IFERROR('Pay App 4'!F75/'Summary Sheet'!$D$19,""))</f>
        <v>#N/A</v>
      </c>
      <c r="M22" s="266"/>
      <c r="N22" s="276" t="e">
        <f>IF('Pay App 5'!$H$149=0,NA(),IFERROR('Pay App 5'!F75/'Summary Sheet'!$D$19,""))</f>
        <v>#N/A</v>
      </c>
      <c r="O22" s="263"/>
      <c r="P22" s="277" t="e">
        <f>IF('Pay App 6'!$H$149=0,NA(),IFERROR('Pay App 6'!F75/'Summary Sheet'!$D$19,""))</f>
        <v>#N/A</v>
      </c>
      <c r="Q22" s="263"/>
      <c r="R22" s="276" t="e">
        <f>IF('Pay App 7'!$H$149=0,NA(),IFERROR('Pay App 7'!F75/'Summary Sheet'!$D$19,""))</f>
        <v>#N/A</v>
      </c>
      <c r="S22" s="263"/>
      <c r="T22" s="277" t="e">
        <f>IF('Pay App 8'!$H$149=0,NA(),IFERROR('Pay App 8'!F75/'Summary Sheet'!$D$19,""))</f>
        <v>#N/A</v>
      </c>
      <c r="U22" s="263"/>
      <c r="V22" s="276" t="e">
        <f>IF('Pay App 9'!$H$149=0,NA(),IFERROR('Pay App 9'!F75/'Summary Sheet'!$D$19,""))</f>
        <v>#N/A</v>
      </c>
      <c r="W22" s="263"/>
      <c r="X22" s="277" t="e">
        <f>IF('Pay App 10'!$H$149=0,NA(),IFERROR('Pay App 10'!F75/'Summary Sheet'!$D$19,""))</f>
        <v>#N/A</v>
      </c>
      <c r="Y22" s="263"/>
      <c r="Z22" s="276" t="e">
        <f>IF('Pay App 11'!$H$149=0,NA(),IFERROR('Pay App 11'!F75/'Summary Sheet'!$D$19,""))</f>
        <v>#N/A</v>
      </c>
      <c r="AA22" s="263"/>
      <c r="AB22" s="277" t="e">
        <f>IF('Pay App 12'!$H$149=0,NA(),IFERROR('Pay App 12'!F75/'Summary Sheet'!$D$19,""))</f>
        <v>#N/A</v>
      </c>
      <c r="AC22" s="263"/>
      <c r="AD22" s="276" t="e">
        <f>IF('Pay App 13'!$H$149=0,NA(),IFERROR('Pay App 13'!F75/'Summary Sheet'!$D$19,""))</f>
        <v>#N/A</v>
      </c>
      <c r="AE22" s="263"/>
      <c r="AF22" s="277" t="e">
        <f>IF('Pay App 14'!$H$149=0,NA(),IFERROR('Pay App 14'!F75/'Summary Sheet'!$D$19,""))</f>
        <v>#N/A</v>
      </c>
      <c r="AG22" s="263"/>
      <c r="AH22" s="276" t="e">
        <f>IF('Pay App 15'!$H$149=0,NA(),IFERROR('Pay App 15'!F75/'Summary Sheet'!$D$19,""))</f>
        <v>#N/A</v>
      </c>
      <c r="AI22" s="263"/>
      <c r="AJ22" s="277" t="e">
        <f>IF('Pay App 16'!$H$149=0,NA(),IFERROR('Pay App 16'!F75/'Summary Sheet'!$D$19,""))</f>
        <v>#N/A</v>
      </c>
      <c r="AK22" s="263"/>
      <c r="AL22" s="276" t="e">
        <f>IF('Pay App 17'!$H$149=0,NA(),IFERROR('Pay App 17'!F75/'Summary Sheet'!$D$19,""))</f>
        <v>#N/A</v>
      </c>
      <c r="AM22" s="263"/>
      <c r="AN22" s="277" t="e">
        <f>IF('Pay App 18'!$H$149=0,NA(),IFERROR('Pay App 18'!F75/'Summary Sheet'!$D$19,""))</f>
        <v>#N/A</v>
      </c>
      <c r="AO22" s="263"/>
      <c r="AP22" s="276" t="e">
        <f>IF('Pay App 19'!$H$149=0,NA(),IFERROR('Pay App 19'!F75/'Summary Sheet'!$D$19,""))</f>
        <v>#N/A</v>
      </c>
      <c r="AQ22" s="263"/>
      <c r="AR22" s="263" t="e">
        <f>IF('Pay App 20'!$H$149=0,NA(),IFERROR('Pay App 20'!F75/'Summary Sheet'!$D$19,""))</f>
        <v>#N/A</v>
      </c>
      <c r="AS22" s="264"/>
      <c r="AT22" s="276" t="e">
        <f>IF('Pay App 21'!$H$149=0,NA(),IFERROR('Pay App 21'!F75/'Summary Sheet'!$D$19,""))</f>
        <v>#N/A</v>
      </c>
      <c r="AU22" s="264"/>
      <c r="AV22" s="263" t="e">
        <f>IF('Pay App 22'!$H$149=0,NA(),IFERROR('Pay App 22'!F75/'Summary Sheet'!$D$19,""))</f>
        <v>#N/A</v>
      </c>
      <c r="AW22" s="264"/>
      <c r="AX22" s="276" t="e">
        <f>IF('Pay App 23'!$H$149=0,NA(),IFERROR('Pay App 23'!F75/'Summary Sheet'!$D$19,""))</f>
        <v>#N/A</v>
      </c>
      <c r="AY22" s="264"/>
      <c r="AZ22" s="263" t="e">
        <f>IF('Pay App 24'!$H$149=0,NA(),IFERROR('Pay App 24'!F75/'Summary Sheet'!$D$19,""))</f>
        <v>#N/A</v>
      </c>
      <c r="BA22" s="264"/>
      <c r="BB22" s="276" t="e">
        <f>IF('Pay App 25'!$H$149=0,NA(),IFERROR('Pay App 25'!F75/'Summary Sheet'!$D$19,""))</f>
        <v>#N/A</v>
      </c>
      <c r="BC22" s="264"/>
      <c r="BD22" s="263" t="e">
        <f>IF('Pay App 26'!$H$149=0,NA(),IFERROR('Pay App 26'!F75/'Summary Sheet'!$D$19,""))</f>
        <v>#N/A</v>
      </c>
      <c r="BE22" s="264"/>
      <c r="BF22" s="276" t="e">
        <f>IF('Pay App 27'!$H$149=0,NA(),IFERROR('Pay App 27'!F75/'Summary Sheet'!$D$19,""))</f>
        <v>#N/A</v>
      </c>
      <c r="BG22" s="264"/>
      <c r="BH22" s="263" t="e">
        <f>IF('Pay App 28'!$H$149=0,NA(),IFERROR('Pay App 28'!F75/'Summary Sheet'!$D$19,""))</f>
        <v>#N/A</v>
      </c>
      <c r="BI22" s="264"/>
      <c r="BJ22" s="276" t="e">
        <f>IF('Pay App 29'!$H$149=0,NA(),IFERROR('Pay App 29'!F75/'Summary Sheet'!$D$19,""))</f>
        <v>#N/A</v>
      </c>
      <c r="BK22" s="271"/>
      <c r="BL22" s="263" t="e">
        <f>IF('Pay App 30'!$H$149=0,NA(),IFERROR('Pay App 30'!F75/'Summary Sheet'!$D$19,""))</f>
        <v>#N/A</v>
      </c>
      <c r="BM22" s="264"/>
      <c r="BN22" s="276" t="e">
        <f>IF('Pay App 31'!$H$149=0,NA(),IFERROR('Pay App 31'!F75/'Summary Sheet'!$D$19,""))</f>
        <v>#N/A</v>
      </c>
      <c r="BO22" s="264"/>
      <c r="BP22" s="263" t="e">
        <f>IF('Pay App 32'!$H$149=0,NA(),IFERROR('Pay App 32'!F75/'Summary Sheet'!$D$19,""))</f>
        <v>#N/A</v>
      </c>
      <c r="BQ22" s="264"/>
      <c r="BR22" s="276" t="e">
        <f>IF('Pay App 33'!$H$149=0,NA(),IFERROR('Pay App 33'!F75/'Summary Sheet'!$D$19,""))</f>
        <v>#N/A</v>
      </c>
      <c r="BS22" s="264"/>
      <c r="BT22" s="263" t="e">
        <f>IF('Pay App 34'!$H$149=0,NA(),IFERROR('Pay App 34'!F75/'Summary Sheet'!$D$19,""))</f>
        <v>#N/A</v>
      </c>
      <c r="BU22" s="264"/>
      <c r="BV22" s="276" t="e">
        <f>IF('Pay App 35'!$H$149=0,NA(),IFERROR('Pay App 35'!F75/'Summary Sheet'!$D$19,""))</f>
        <v>#N/A</v>
      </c>
      <c r="BW22" s="264"/>
      <c r="BX22" s="263" t="e">
        <f>IF('Pay App 36'!$H$149=0,NA(),IFERROR('Pay App 36'!F75/'Summary Sheet'!$D$19,""))</f>
        <v>#N/A</v>
      </c>
      <c r="BY22" s="264"/>
      <c r="BZ22" s="276" t="e">
        <f>IF('Pay App 37'!$H$149=0,NA(),IFERROR('Pay App 37'!F75/'Summary Sheet'!$D$19,""))</f>
        <v>#N/A</v>
      </c>
      <c r="CA22" s="264"/>
      <c r="CB22" s="263" t="e">
        <f>IF('Pay App 38'!$H$149=0,NA(),IFERROR('Pay App 38'!F75/'Summary Sheet'!$D$19,""))</f>
        <v>#N/A</v>
      </c>
      <c r="CC22" s="264"/>
      <c r="CD22" s="276" t="e">
        <f>IF('Pay App 39'!$H$149=0,NA(),IFERROR('Pay App 39'!F75/'Summary Sheet'!$D$19,""))</f>
        <v>#N/A</v>
      </c>
      <c r="CE22" s="264"/>
      <c r="CF22" s="263" t="e">
        <f>IF('Pay App 40'!$H$149=0,NA(),IFERROR('Pay App 40'!F75/'Summary Sheet'!$D$19,""))</f>
        <v>#N/A</v>
      </c>
      <c r="CG22" s="264"/>
      <c r="CH22" s="276" t="e">
        <f>IF('Pay App 41'!$H$149=0,NA(),IFERROR('Pay App 41'!F75/'Summary Sheet'!$D$19,""))</f>
        <v>#N/A</v>
      </c>
      <c r="CI22" s="264"/>
      <c r="CJ22" s="263" t="e">
        <f>IF('Pay App 42'!$H$149=0,NA(),IFERROR('Pay App 42'!F75/'Summary Sheet'!$D$19,""))</f>
        <v>#N/A</v>
      </c>
      <c r="CK22" s="264"/>
      <c r="CL22" s="276" t="e">
        <f>IF('Pay App 43'!$H$149=0,NA(),IFERROR('Pay App 43'!F75/'Summary Sheet'!$D$19,""))</f>
        <v>#N/A</v>
      </c>
      <c r="CM22" s="264"/>
      <c r="CN22" s="263" t="e">
        <f>IF('Pay App 44'!$H$149=0,NA(),IFERROR('Pay App 44'!F75/'Summary Sheet'!$D$19,""))</f>
        <v>#N/A</v>
      </c>
      <c r="CO22" s="264"/>
      <c r="CP22" s="276" t="e">
        <f>IF('Pay App 45'!$H$149=0,NA(),IFERROR('Pay App 45'!F75/'Summary Sheet'!$D$19,""))</f>
        <v>#N/A</v>
      </c>
      <c r="CQ22" s="264"/>
      <c r="CR22" s="263" t="e">
        <f>IF('Pay App 46'!$H$149=0,NA(),IFERROR('Pay App 46'!F75/'Summary Sheet'!$D$19,""))</f>
        <v>#N/A</v>
      </c>
      <c r="CS22" s="264"/>
      <c r="CT22" s="276" t="e">
        <f>IF('Pay App 47'!$H$149=0,NA(),IFERROR('Pay App 47'!F75/'Summary Sheet'!$D$19,""))</f>
        <v>#N/A</v>
      </c>
      <c r="CU22" s="264"/>
      <c r="CV22" s="263" t="e">
        <f>IF('Pay App 48'!$H$149=0,NA(),IFERROR('Pay App 48'!F75/'Summary Sheet'!$D$19,""))</f>
        <v>#N/A</v>
      </c>
      <c r="CW22" s="264"/>
      <c r="CX22" s="276" t="e">
        <f>IF('Pay App 49'!$H$149=0,NA(),IFERROR('Pay App 49'!F75/'Summary Sheet'!$D$19,""))</f>
        <v>#N/A</v>
      </c>
      <c r="CY22" s="264"/>
      <c r="CZ22" s="263" t="e">
        <f>IF('Pay App 50'!$H$149=0,NA(),IFERROR('Pay App 50'!F75/'Summary Sheet'!$D$19,""))</f>
        <v>#N/A</v>
      </c>
      <c r="DA22" s="264"/>
      <c r="DB22" s="276" t="e">
        <f>IF('Pay App 51'!$H$149=0,NA(),IFERROR('Pay App 51'!F75/'Summary Sheet'!$D$19,""))</f>
        <v>#N/A</v>
      </c>
      <c r="DC22" s="264"/>
      <c r="DD22" s="263" t="e">
        <f>IF('Pay App 52'!$H$149=0,NA(),IFERROR('Pay App 52'!F75/'Summary Sheet'!$D$19,""))</f>
        <v>#N/A</v>
      </c>
      <c r="DE22" s="264"/>
      <c r="DF22" s="276" t="e">
        <f>IF('Pay App 53'!$H$149=0,NA(),IFERROR('Pay App 53'!F75/'Summary Sheet'!$D$19,""))</f>
        <v>#N/A</v>
      </c>
      <c r="DG22" s="264"/>
      <c r="DH22" s="263" t="e">
        <f>IF('Pay App 54'!$H$149=0,NA(),IFERROR('Pay App 54'!F75/'Summary Sheet'!$D$19,""))</f>
        <v>#N/A</v>
      </c>
      <c r="DI22" s="264"/>
      <c r="DJ22" s="276" t="e">
        <f>IF('Pay App 55'!$H$149=0,NA(),IFERROR('Pay App 55'!F75/'Summary Sheet'!$D$19,""))</f>
        <v>#N/A</v>
      </c>
      <c r="DK22" s="264"/>
      <c r="DL22" s="263" t="e">
        <f>IF('Pay App 56'!$H$149=0,NA(),IFERROR('Pay App 56'!F75/'Summary Sheet'!$D$19,""))</f>
        <v>#N/A</v>
      </c>
      <c r="DM22" s="264"/>
      <c r="DN22" s="276" t="e">
        <f>IF('Pay App 57'!$H$149=0,NA(),IFERROR('Pay App 57'!F75/'Summary Sheet'!$D$19,""))</f>
        <v>#N/A</v>
      </c>
      <c r="DO22" s="264"/>
      <c r="DP22" s="263" t="e">
        <f>IF('Pay App 58'!$H$149=0,NA(),IFERROR('Pay App 58'!F75/'Summary Sheet'!$D$19,""))</f>
        <v>#N/A</v>
      </c>
      <c r="DQ22" s="264"/>
      <c r="DR22" s="276" t="e">
        <f>IF('Pay App 59'!$H$149=0,NA(),IFERROR('Pay App 59'!F75/'Summary Sheet'!$D$19,""))</f>
        <v>#N/A</v>
      </c>
      <c r="DS22" s="264"/>
      <c r="DT22" s="263" t="e">
        <f>IF('Pay App 60'!$H$149=0,NA(),IFERROR('Pay App 60'!F75/'Summary Sheet'!$D$19,""))</f>
        <v>#N/A</v>
      </c>
      <c r="DU22" s="296"/>
    </row>
    <row r="23" spans="2:125" x14ac:dyDescent="0.25">
      <c r="B23" s="36" t="str">
        <f>'Pay App 1'!B76</f>
        <v>03 40 00</v>
      </c>
      <c r="C23" s="37" t="str">
        <f>'Pay App 1'!C76</f>
        <v>Precast</v>
      </c>
      <c r="D23" s="282" t="str" cm="1">
        <f t="array" ref="D23">IFERROR(1+(LOOKUP(2,1/(E23:DT23&lt;&gt;""),E23:DT23)-E23)/E23,"")</f>
        <v/>
      </c>
      <c r="E23" s="275" t="str">
        <f>IFERROR('GMP Tracker'!D27/'Summary Sheet'!$D$19,"")</f>
        <v/>
      </c>
      <c r="F23" s="276" t="e">
        <f>IF('Pay App 1'!$D$149=0,NA(),IFERROR('Pay App 1'!F76/'Summary Sheet'!$D$19,""))</f>
        <v>#N/A</v>
      </c>
      <c r="G23" s="271"/>
      <c r="H23" s="277" t="e">
        <f>IF('Pay App 2'!$H$149=0,NA(),IFERROR('Pay App 2'!F76/'Summary Sheet'!$D$19,""))</f>
        <v>#N/A</v>
      </c>
      <c r="I23" s="266"/>
      <c r="J23" s="276" t="e">
        <f>IF('Pay App 3'!$H$149=0,NA(),IFERROR('Pay App 3'!F76/'Summary Sheet'!$D$19,""))</f>
        <v>#N/A</v>
      </c>
      <c r="K23" s="268"/>
      <c r="L23" s="277" t="e">
        <f>IF('Pay App 4'!$H$149=0,NA(),IFERROR('Pay App 4'!F76/'Summary Sheet'!$D$19,""))</f>
        <v>#N/A</v>
      </c>
      <c r="M23" s="266"/>
      <c r="N23" s="276" t="e">
        <f>IF('Pay App 5'!$H$149=0,NA(),IFERROR('Pay App 5'!F76/'Summary Sheet'!$D$19,""))</f>
        <v>#N/A</v>
      </c>
      <c r="O23" s="263"/>
      <c r="P23" s="277" t="e">
        <f>IF('Pay App 6'!$H$149=0,NA(),IFERROR('Pay App 6'!F76/'Summary Sheet'!$D$19,""))</f>
        <v>#N/A</v>
      </c>
      <c r="Q23" s="263"/>
      <c r="R23" s="276" t="e">
        <f>IF('Pay App 7'!$H$149=0,NA(),IFERROR('Pay App 7'!F76/'Summary Sheet'!$D$19,""))</f>
        <v>#N/A</v>
      </c>
      <c r="S23" s="263"/>
      <c r="T23" s="277" t="e">
        <f>IF('Pay App 8'!$H$149=0,NA(),IFERROR('Pay App 8'!F76/'Summary Sheet'!$D$19,""))</f>
        <v>#N/A</v>
      </c>
      <c r="U23" s="263"/>
      <c r="V23" s="276" t="e">
        <f>IF('Pay App 9'!$H$149=0,NA(),IFERROR('Pay App 9'!F76/'Summary Sheet'!$D$19,""))</f>
        <v>#N/A</v>
      </c>
      <c r="W23" s="263"/>
      <c r="X23" s="277" t="e">
        <f>IF('Pay App 10'!$H$149=0,NA(),IFERROR('Pay App 10'!F76/'Summary Sheet'!$D$19,""))</f>
        <v>#N/A</v>
      </c>
      <c r="Y23" s="263"/>
      <c r="Z23" s="276" t="e">
        <f>IF('Pay App 11'!$H$149=0,NA(),IFERROR('Pay App 11'!F76/'Summary Sheet'!$D$19,""))</f>
        <v>#N/A</v>
      </c>
      <c r="AA23" s="263"/>
      <c r="AB23" s="277" t="e">
        <f>IF('Pay App 12'!$H$149=0,NA(),IFERROR('Pay App 12'!F76/'Summary Sheet'!$D$19,""))</f>
        <v>#N/A</v>
      </c>
      <c r="AC23" s="263"/>
      <c r="AD23" s="276" t="e">
        <f>IF('Pay App 13'!$H$149=0,NA(),IFERROR('Pay App 13'!F76/'Summary Sheet'!$D$19,""))</f>
        <v>#N/A</v>
      </c>
      <c r="AE23" s="263"/>
      <c r="AF23" s="277" t="e">
        <f>IF('Pay App 14'!$H$149=0,NA(),IFERROR('Pay App 14'!F76/'Summary Sheet'!$D$19,""))</f>
        <v>#N/A</v>
      </c>
      <c r="AG23" s="263"/>
      <c r="AH23" s="276" t="e">
        <f>IF('Pay App 15'!$H$149=0,NA(),IFERROR('Pay App 15'!F76/'Summary Sheet'!$D$19,""))</f>
        <v>#N/A</v>
      </c>
      <c r="AI23" s="263"/>
      <c r="AJ23" s="277" t="e">
        <f>IF('Pay App 16'!$H$149=0,NA(),IFERROR('Pay App 16'!F76/'Summary Sheet'!$D$19,""))</f>
        <v>#N/A</v>
      </c>
      <c r="AK23" s="263"/>
      <c r="AL23" s="276" t="e">
        <f>IF('Pay App 17'!$H$149=0,NA(),IFERROR('Pay App 17'!F76/'Summary Sheet'!$D$19,""))</f>
        <v>#N/A</v>
      </c>
      <c r="AM23" s="263"/>
      <c r="AN23" s="277" t="e">
        <f>IF('Pay App 18'!$H$149=0,NA(),IFERROR('Pay App 18'!F76/'Summary Sheet'!$D$19,""))</f>
        <v>#N/A</v>
      </c>
      <c r="AO23" s="263"/>
      <c r="AP23" s="276" t="e">
        <f>IF('Pay App 19'!$H$149=0,NA(),IFERROR('Pay App 19'!F76/'Summary Sheet'!$D$19,""))</f>
        <v>#N/A</v>
      </c>
      <c r="AQ23" s="263"/>
      <c r="AR23" s="263" t="e">
        <f>IF('Pay App 20'!$H$149=0,NA(),IFERROR('Pay App 20'!F76/'Summary Sheet'!$D$19,""))</f>
        <v>#N/A</v>
      </c>
      <c r="AS23" s="264"/>
      <c r="AT23" s="276" t="e">
        <f>IF('Pay App 21'!$H$149=0,NA(),IFERROR('Pay App 21'!F76/'Summary Sheet'!$D$19,""))</f>
        <v>#N/A</v>
      </c>
      <c r="AU23" s="264"/>
      <c r="AV23" s="263" t="e">
        <f>IF('Pay App 22'!$H$149=0,NA(),IFERROR('Pay App 22'!F76/'Summary Sheet'!$D$19,""))</f>
        <v>#N/A</v>
      </c>
      <c r="AW23" s="264"/>
      <c r="AX23" s="276" t="e">
        <f>IF('Pay App 23'!$H$149=0,NA(),IFERROR('Pay App 23'!F76/'Summary Sheet'!$D$19,""))</f>
        <v>#N/A</v>
      </c>
      <c r="AY23" s="264"/>
      <c r="AZ23" s="263" t="e">
        <f>IF('Pay App 24'!$H$149=0,NA(),IFERROR('Pay App 24'!F76/'Summary Sheet'!$D$19,""))</f>
        <v>#N/A</v>
      </c>
      <c r="BA23" s="264"/>
      <c r="BB23" s="276" t="e">
        <f>IF('Pay App 25'!$H$149=0,NA(),IFERROR('Pay App 25'!F76/'Summary Sheet'!$D$19,""))</f>
        <v>#N/A</v>
      </c>
      <c r="BC23" s="264"/>
      <c r="BD23" s="263" t="e">
        <f>IF('Pay App 26'!$H$149=0,NA(),IFERROR('Pay App 26'!F76/'Summary Sheet'!$D$19,""))</f>
        <v>#N/A</v>
      </c>
      <c r="BE23" s="264"/>
      <c r="BF23" s="276" t="e">
        <f>IF('Pay App 27'!$H$149=0,NA(),IFERROR('Pay App 27'!F76/'Summary Sheet'!$D$19,""))</f>
        <v>#N/A</v>
      </c>
      <c r="BG23" s="264"/>
      <c r="BH23" s="263" t="e">
        <f>IF('Pay App 28'!$H$149=0,NA(),IFERROR('Pay App 28'!F76/'Summary Sheet'!$D$19,""))</f>
        <v>#N/A</v>
      </c>
      <c r="BI23" s="264"/>
      <c r="BJ23" s="276" t="e">
        <f>IF('Pay App 29'!$H$149=0,NA(),IFERROR('Pay App 29'!F76/'Summary Sheet'!$D$19,""))</f>
        <v>#N/A</v>
      </c>
      <c r="BK23" s="271"/>
      <c r="BL23" s="263" t="e">
        <f>IF('Pay App 30'!$H$149=0,NA(),IFERROR('Pay App 30'!F76/'Summary Sheet'!$D$19,""))</f>
        <v>#N/A</v>
      </c>
      <c r="BM23" s="264"/>
      <c r="BN23" s="276" t="e">
        <f>IF('Pay App 31'!$H$149=0,NA(),IFERROR('Pay App 31'!F76/'Summary Sheet'!$D$19,""))</f>
        <v>#N/A</v>
      </c>
      <c r="BO23" s="264"/>
      <c r="BP23" s="263" t="e">
        <f>IF('Pay App 32'!$H$149=0,NA(),IFERROR('Pay App 32'!F76/'Summary Sheet'!$D$19,""))</f>
        <v>#N/A</v>
      </c>
      <c r="BQ23" s="264"/>
      <c r="BR23" s="276" t="e">
        <f>IF('Pay App 33'!$H$149=0,NA(),IFERROR('Pay App 33'!F76/'Summary Sheet'!$D$19,""))</f>
        <v>#N/A</v>
      </c>
      <c r="BS23" s="264"/>
      <c r="BT23" s="263" t="e">
        <f>IF('Pay App 34'!$H$149=0,NA(),IFERROR('Pay App 34'!F76/'Summary Sheet'!$D$19,""))</f>
        <v>#N/A</v>
      </c>
      <c r="BU23" s="264"/>
      <c r="BV23" s="276" t="e">
        <f>IF('Pay App 35'!$H$149=0,NA(),IFERROR('Pay App 35'!F76/'Summary Sheet'!$D$19,""))</f>
        <v>#N/A</v>
      </c>
      <c r="BW23" s="264"/>
      <c r="BX23" s="263" t="e">
        <f>IF('Pay App 36'!$H$149=0,NA(),IFERROR('Pay App 36'!F76/'Summary Sheet'!$D$19,""))</f>
        <v>#N/A</v>
      </c>
      <c r="BY23" s="264"/>
      <c r="BZ23" s="276" t="e">
        <f>IF('Pay App 37'!$H$149=0,NA(),IFERROR('Pay App 37'!F76/'Summary Sheet'!$D$19,""))</f>
        <v>#N/A</v>
      </c>
      <c r="CA23" s="264"/>
      <c r="CB23" s="263" t="e">
        <f>IF('Pay App 38'!$H$149=0,NA(),IFERROR('Pay App 38'!F76/'Summary Sheet'!$D$19,""))</f>
        <v>#N/A</v>
      </c>
      <c r="CC23" s="264"/>
      <c r="CD23" s="276" t="e">
        <f>IF('Pay App 39'!$H$149=0,NA(),IFERROR('Pay App 39'!F76/'Summary Sheet'!$D$19,""))</f>
        <v>#N/A</v>
      </c>
      <c r="CE23" s="264"/>
      <c r="CF23" s="263" t="e">
        <f>IF('Pay App 40'!$H$149=0,NA(),IFERROR('Pay App 40'!F76/'Summary Sheet'!$D$19,""))</f>
        <v>#N/A</v>
      </c>
      <c r="CG23" s="264"/>
      <c r="CH23" s="276" t="e">
        <f>IF('Pay App 41'!$H$149=0,NA(),IFERROR('Pay App 41'!F76/'Summary Sheet'!$D$19,""))</f>
        <v>#N/A</v>
      </c>
      <c r="CI23" s="264"/>
      <c r="CJ23" s="263" t="e">
        <f>IF('Pay App 42'!$H$149=0,NA(),IFERROR('Pay App 42'!F76/'Summary Sheet'!$D$19,""))</f>
        <v>#N/A</v>
      </c>
      <c r="CK23" s="264"/>
      <c r="CL23" s="276" t="e">
        <f>IF('Pay App 43'!$H$149=0,NA(),IFERROR('Pay App 43'!F76/'Summary Sheet'!$D$19,""))</f>
        <v>#N/A</v>
      </c>
      <c r="CM23" s="264"/>
      <c r="CN23" s="263" t="e">
        <f>IF('Pay App 44'!$H$149=0,NA(),IFERROR('Pay App 44'!F76/'Summary Sheet'!$D$19,""))</f>
        <v>#N/A</v>
      </c>
      <c r="CO23" s="264"/>
      <c r="CP23" s="276" t="e">
        <f>IF('Pay App 45'!$H$149=0,NA(),IFERROR('Pay App 45'!F76/'Summary Sheet'!$D$19,""))</f>
        <v>#N/A</v>
      </c>
      <c r="CQ23" s="264"/>
      <c r="CR23" s="263" t="e">
        <f>IF('Pay App 46'!$H$149=0,NA(),IFERROR('Pay App 46'!F76/'Summary Sheet'!$D$19,""))</f>
        <v>#N/A</v>
      </c>
      <c r="CS23" s="264"/>
      <c r="CT23" s="276" t="e">
        <f>IF('Pay App 47'!$H$149=0,NA(),IFERROR('Pay App 47'!F76/'Summary Sheet'!$D$19,""))</f>
        <v>#N/A</v>
      </c>
      <c r="CU23" s="264"/>
      <c r="CV23" s="263" t="e">
        <f>IF('Pay App 48'!$H$149=0,NA(),IFERROR('Pay App 48'!F76/'Summary Sheet'!$D$19,""))</f>
        <v>#N/A</v>
      </c>
      <c r="CW23" s="264"/>
      <c r="CX23" s="276" t="e">
        <f>IF('Pay App 49'!$H$149=0,NA(),IFERROR('Pay App 49'!F76/'Summary Sheet'!$D$19,""))</f>
        <v>#N/A</v>
      </c>
      <c r="CY23" s="264"/>
      <c r="CZ23" s="263" t="e">
        <f>IF('Pay App 50'!$H$149=0,NA(),IFERROR('Pay App 50'!F76/'Summary Sheet'!$D$19,""))</f>
        <v>#N/A</v>
      </c>
      <c r="DA23" s="264"/>
      <c r="DB23" s="276" t="e">
        <f>IF('Pay App 51'!$H$149=0,NA(),IFERROR('Pay App 51'!F76/'Summary Sheet'!$D$19,""))</f>
        <v>#N/A</v>
      </c>
      <c r="DC23" s="264"/>
      <c r="DD23" s="263" t="e">
        <f>IF('Pay App 52'!$H$149=0,NA(),IFERROR('Pay App 52'!F76/'Summary Sheet'!$D$19,""))</f>
        <v>#N/A</v>
      </c>
      <c r="DE23" s="264"/>
      <c r="DF23" s="276" t="e">
        <f>IF('Pay App 53'!$H$149=0,NA(),IFERROR('Pay App 53'!F76/'Summary Sheet'!$D$19,""))</f>
        <v>#N/A</v>
      </c>
      <c r="DG23" s="264"/>
      <c r="DH23" s="263" t="e">
        <f>IF('Pay App 54'!$H$149=0,NA(),IFERROR('Pay App 54'!F76/'Summary Sheet'!$D$19,""))</f>
        <v>#N/A</v>
      </c>
      <c r="DI23" s="264"/>
      <c r="DJ23" s="276" t="e">
        <f>IF('Pay App 55'!$H$149=0,NA(),IFERROR('Pay App 55'!F76/'Summary Sheet'!$D$19,""))</f>
        <v>#N/A</v>
      </c>
      <c r="DK23" s="264"/>
      <c r="DL23" s="263" t="e">
        <f>IF('Pay App 56'!$H$149=0,NA(),IFERROR('Pay App 56'!F76/'Summary Sheet'!$D$19,""))</f>
        <v>#N/A</v>
      </c>
      <c r="DM23" s="264"/>
      <c r="DN23" s="276" t="e">
        <f>IF('Pay App 57'!$H$149=0,NA(),IFERROR('Pay App 57'!F76/'Summary Sheet'!$D$19,""))</f>
        <v>#N/A</v>
      </c>
      <c r="DO23" s="264"/>
      <c r="DP23" s="263" t="e">
        <f>IF('Pay App 58'!$H$149=0,NA(),IFERROR('Pay App 58'!F76/'Summary Sheet'!$D$19,""))</f>
        <v>#N/A</v>
      </c>
      <c r="DQ23" s="264"/>
      <c r="DR23" s="276" t="e">
        <f>IF('Pay App 59'!$H$149=0,NA(),IFERROR('Pay App 59'!F76/'Summary Sheet'!$D$19,""))</f>
        <v>#N/A</v>
      </c>
      <c r="DS23" s="264"/>
      <c r="DT23" s="263" t="e">
        <f>IF('Pay App 60'!$H$149=0,NA(),IFERROR('Pay App 60'!F76/'Summary Sheet'!$D$19,""))</f>
        <v>#N/A</v>
      </c>
      <c r="DU23" s="296"/>
    </row>
    <row r="24" spans="2:125" x14ac:dyDescent="0.25">
      <c r="B24" s="38" t="str">
        <f>'Pay App 1'!B77</f>
        <v>04 00 00</v>
      </c>
      <c r="C24" s="39" t="str">
        <f>'Pay App 1'!C77</f>
        <v>Masonry</v>
      </c>
      <c r="D24" s="282" t="str" cm="1">
        <f t="array" ref="D24">IFERROR(1+(LOOKUP(2,1/(E24:DT24&lt;&gt;""),E24:DT24)-E24)/E24,"")</f>
        <v/>
      </c>
      <c r="E24" s="275" t="str">
        <f>IFERROR('GMP Tracker'!D28/'Summary Sheet'!$D$19,"")</f>
        <v/>
      </c>
      <c r="F24" s="276" t="e">
        <f>IF('Pay App 1'!$D$149=0,NA(),IFERROR('Pay App 1'!F77/'Summary Sheet'!$D$19,""))</f>
        <v>#N/A</v>
      </c>
      <c r="G24" s="271"/>
      <c r="H24" s="277" t="e">
        <f>IF('Pay App 2'!$H$149=0,NA(),IFERROR('Pay App 2'!F77/'Summary Sheet'!$D$19,""))</f>
        <v>#N/A</v>
      </c>
      <c r="I24" s="266"/>
      <c r="J24" s="276" t="e">
        <f>IF('Pay App 3'!$H$149=0,NA(),IFERROR('Pay App 3'!F77/'Summary Sheet'!$D$19,""))</f>
        <v>#N/A</v>
      </c>
      <c r="K24" s="268"/>
      <c r="L24" s="277" t="e">
        <f>IF('Pay App 4'!$H$149=0,NA(),IFERROR('Pay App 4'!F77/'Summary Sheet'!$D$19,""))</f>
        <v>#N/A</v>
      </c>
      <c r="M24" s="266"/>
      <c r="N24" s="276" t="e">
        <f>IF('Pay App 5'!$H$149=0,NA(),IFERROR('Pay App 5'!F77/'Summary Sheet'!$D$19,""))</f>
        <v>#N/A</v>
      </c>
      <c r="O24" s="263"/>
      <c r="P24" s="277" t="e">
        <f>IF('Pay App 6'!$H$149=0,NA(),IFERROR('Pay App 6'!F77/'Summary Sheet'!$D$19,""))</f>
        <v>#N/A</v>
      </c>
      <c r="Q24" s="263"/>
      <c r="R24" s="276" t="e">
        <f>IF('Pay App 7'!$H$149=0,NA(),IFERROR('Pay App 7'!F77/'Summary Sheet'!$D$19,""))</f>
        <v>#N/A</v>
      </c>
      <c r="S24" s="263"/>
      <c r="T24" s="277" t="e">
        <f>IF('Pay App 8'!$H$149=0,NA(),IFERROR('Pay App 8'!F77/'Summary Sheet'!$D$19,""))</f>
        <v>#N/A</v>
      </c>
      <c r="U24" s="263"/>
      <c r="V24" s="276" t="e">
        <f>IF('Pay App 9'!$H$149=0,NA(),IFERROR('Pay App 9'!F77/'Summary Sheet'!$D$19,""))</f>
        <v>#N/A</v>
      </c>
      <c r="W24" s="263"/>
      <c r="X24" s="277" t="e">
        <f>IF('Pay App 10'!$H$149=0,NA(),IFERROR('Pay App 10'!F77/'Summary Sheet'!$D$19,""))</f>
        <v>#N/A</v>
      </c>
      <c r="Y24" s="263"/>
      <c r="Z24" s="276" t="e">
        <f>IF('Pay App 11'!$H$149=0,NA(),IFERROR('Pay App 11'!F77/'Summary Sheet'!$D$19,""))</f>
        <v>#N/A</v>
      </c>
      <c r="AA24" s="263"/>
      <c r="AB24" s="277" t="e">
        <f>IF('Pay App 12'!$H$149=0,NA(),IFERROR('Pay App 12'!F77/'Summary Sheet'!$D$19,""))</f>
        <v>#N/A</v>
      </c>
      <c r="AC24" s="263"/>
      <c r="AD24" s="276" t="e">
        <f>IF('Pay App 13'!$H$149=0,NA(),IFERROR('Pay App 13'!F77/'Summary Sheet'!$D$19,""))</f>
        <v>#N/A</v>
      </c>
      <c r="AE24" s="263"/>
      <c r="AF24" s="277" t="e">
        <f>IF('Pay App 14'!$H$149=0,NA(),IFERROR('Pay App 14'!F77/'Summary Sheet'!$D$19,""))</f>
        <v>#N/A</v>
      </c>
      <c r="AG24" s="263"/>
      <c r="AH24" s="276" t="e">
        <f>IF('Pay App 15'!$H$149=0,NA(),IFERROR('Pay App 15'!F77/'Summary Sheet'!$D$19,""))</f>
        <v>#N/A</v>
      </c>
      <c r="AI24" s="263"/>
      <c r="AJ24" s="277" t="e">
        <f>IF('Pay App 16'!$H$149=0,NA(),IFERROR('Pay App 16'!F77/'Summary Sheet'!$D$19,""))</f>
        <v>#N/A</v>
      </c>
      <c r="AK24" s="263"/>
      <c r="AL24" s="276" t="e">
        <f>IF('Pay App 17'!$H$149=0,NA(),IFERROR('Pay App 17'!F77/'Summary Sheet'!$D$19,""))</f>
        <v>#N/A</v>
      </c>
      <c r="AM24" s="263"/>
      <c r="AN24" s="277" t="e">
        <f>IF('Pay App 18'!$H$149=0,NA(),IFERROR('Pay App 18'!F77/'Summary Sheet'!$D$19,""))</f>
        <v>#N/A</v>
      </c>
      <c r="AO24" s="263"/>
      <c r="AP24" s="276" t="e">
        <f>IF('Pay App 19'!$H$149=0,NA(),IFERROR('Pay App 19'!F77/'Summary Sheet'!$D$19,""))</f>
        <v>#N/A</v>
      </c>
      <c r="AQ24" s="263"/>
      <c r="AR24" s="263" t="e">
        <f>IF('Pay App 20'!$H$149=0,NA(),IFERROR('Pay App 20'!F77/'Summary Sheet'!$D$19,""))</f>
        <v>#N/A</v>
      </c>
      <c r="AS24" s="264"/>
      <c r="AT24" s="276" t="e">
        <f>IF('Pay App 21'!$H$149=0,NA(),IFERROR('Pay App 21'!F77/'Summary Sheet'!$D$19,""))</f>
        <v>#N/A</v>
      </c>
      <c r="AU24" s="264"/>
      <c r="AV24" s="263" t="e">
        <f>IF('Pay App 22'!$H$149=0,NA(),IFERROR('Pay App 22'!F77/'Summary Sheet'!$D$19,""))</f>
        <v>#N/A</v>
      </c>
      <c r="AW24" s="264"/>
      <c r="AX24" s="276" t="e">
        <f>IF('Pay App 23'!$H$149=0,NA(),IFERROR('Pay App 23'!F77/'Summary Sheet'!$D$19,""))</f>
        <v>#N/A</v>
      </c>
      <c r="AY24" s="264"/>
      <c r="AZ24" s="263" t="e">
        <f>IF('Pay App 24'!$H$149=0,NA(),IFERROR('Pay App 24'!F77/'Summary Sheet'!$D$19,""))</f>
        <v>#N/A</v>
      </c>
      <c r="BA24" s="264"/>
      <c r="BB24" s="276" t="e">
        <f>IF('Pay App 25'!$H$149=0,NA(),IFERROR('Pay App 25'!F77/'Summary Sheet'!$D$19,""))</f>
        <v>#N/A</v>
      </c>
      <c r="BC24" s="264"/>
      <c r="BD24" s="263" t="e">
        <f>IF('Pay App 26'!$H$149=0,NA(),IFERROR('Pay App 26'!F77/'Summary Sheet'!$D$19,""))</f>
        <v>#N/A</v>
      </c>
      <c r="BE24" s="264"/>
      <c r="BF24" s="276" t="e">
        <f>IF('Pay App 27'!$H$149=0,NA(),IFERROR('Pay App 27'!F77/'Summary Sheet'!$D$19,""))</f>
        <v>#N/A</v>
      </c>
      <c r="BG24" s="264"/>
      <c r="BH24" s="263" t="e">
        <f>IF('Pay App 28'!$H$149=0,NA(),IFERROR('Pay App 28'!F77/'Summary Sheet'!$D$19,""))</f>
        <v>#N/A</v>
      </c>
      <c r="BI24" s="264"/>
      <c r="BJ24" s="276" t="e">
        <f>IF('Pay App 29'!$H$149=0,NA(),IFERROR('Pay App 29'!F77/'Summary Sheet'!$D$19,""))</f>
        <v>#N/A</v>
      </c>
      <c r="BK24" s="271"/>
      <c r="BL24" s="263" t="e">
        <f>IF('Pay App 30'!$H$149=0,NA(),IFERROR('Pay App 30'!F77/'Summary Sheet'!$D$19,""))</f>
        <v>#N/A</v>
      </c>
      <c r="BM24" s="264"/>
      <c r="BN24" s="276" t="e">
        <f>IF('Pay App 31'!$H$149=0,NA(),IFERROR('Pay App 31'!F77/'Summary Sheet'!$D$19,""))</f>
        <v>#N/A</v>
      </c>
      <c r="BO24" s="264"/>
      <c r="BP24" s="263" t="e">
        <f>IF('Pay App 32'!$H$149=0,NA(),IFERROR('Pay App 32'!F77/'Summary Sheet'!$D$19,""))</f>
        <v>#N/A</v>
      </c>
      <c r="BQ24" s="264"/>
      <c r="BR24" s="276" t="e">
        <f>IF('Pay App 33'!$H$149=0,NA(),IFERROR('Pay App 33'!F77/'Summary Sheet'!$D$19,""))</f>
        <v>#N/A</v>
      </c>
      <c r="BS24" s="264"/>
      <c r="BT24" s="263" t="e">
        <f>IF('Pay App 34'!$H$149=0,NA(),IFERROR('Pay App 34'!F77/'Summary Sheet'!$D$19,""))</f>
        <v>#N/A</v>
      </c>
      <c r="BU24" s="264"/>
      <c r="BV24" s="276" t="e">
        <f>IF('Pay App 35'!$H$149=0,NA(),IFERROR('Pay App 35'!F77/'Summary Sheet'!$D$19,""))</f>
        <v>#N/A</v>
      </c>
      <c r="BW24" s="264"/>
      <c r="BX24" s="263" t="e">
        <f>IF('Pay App 36'!$H$149=0,NA(),IFERROR('Pay App 36'!F77/'Summary Sheet'!$D$19,""))</f>
        <v>#N/A</v>
      </c>
      <c r="BY24" s="264"/>
      <c r="BZ24" s="276" t="e">
        <f>IF('Pay App 37'!$H$149=0,NA(),IFERROR('Pay App 37'!F77/'Summary Sheet'!$D$19,""))</f>
        <v>#N/A</v>
      </c>
      <c r="CA24" s="264"/>
      <c r="CB24" s="263" t="e">
        <f>IF('Pay App 38'!$H$149=0,NA(),IFERROR('Pay App 38'!F77/'Summary Sheet'!$D$19,""))</f>
        <v>#N/A</v>
      </c>
      <c r="CC24" s="264"/>
      <c r="CD24" s="276" t="e">
        <f>IF('Pay App 39'!$H$149=0,NA(),IFERROR('Pay App 39'!F77/'Summary Sheet'!$D$19,""))</f>
        <v>#N/A</v>
      </c>
      <c r="CE24" s="264"/>
      <c r="CF24" s="263" t="e">
        <f>IF('Pay App 40'!$H$149=0,NA(),IFERROR('Pay App 40'!F77/'Summary Sheet'!$D$19,""))</f>
        <v>#N/A</v>
      </c>
      <c r="CG24" s="264"/>
      <c r="CH24" s="276" t="e">
        <f>IF('Pay App 41'!$H$149=0,NA(),IFERROR('Pay App 41'!F77/'Summary Sheet'!$D$19,""))</f>
        <v>#N/A</v>
      </c>
      <c r="CI24" s="264"/>
      <c r="CJ24" s="263" t="e">
        <f>IF('Pay App 42'!$H$149=0,NA(),IFERROR('Pay App 42'!F77/'Summary Sheet'!$D$19,""))</f>
        <v>#N/A</v>
      </c>
      <c r="CK24" s="264"/>
      <c r="CL24" s="276" t="e">
        <f>IF('Pay App 43'!$H$149=0,NA(),IFERROR('Pay App 43'!F77/'Summary Sheet'!$D$19,""))</f>
        <v>#N/A</v>
      </c>
      <c r="CM24" s="264"/>
      <c r="CN24" s="263" t="e">
        <f>IF('Pay App 44'!$H$149=0,NA(),IFERROR('Pay App 44'!F77/'Summary Sheet'!$D$19,""))</f>
        <v>#N/A</v>
      </c>
      <c r="CO24" s="264"/>
      <c r="CP24" s="276" t="e">
        <f>IF('Pay App 45'!$H$149=0,NA(),IFERROR('Pay App 45'!F77/'Summary Sheet'!$D$19,""))</f>
        <v>#N/A</v>
      </c>
      <c r="CQ24" s="264"/>
      <c r="CR24" s="263" t="e">
        <f>IF('Pay App 46'!$H$149=0,NA(),IFERROR('Pay App 46'!F77/'Summary Sheet'!$D$19,""))</f>
        <v>#N/A</v>
      </c>
      <c r="CS24" s="264"/>
      <c r="CT24" s="276" t="e">
        <f>IF('Pay App 47'!$H$149=0,NA(),IFERROR('Pay App 47'!F77/'Summary Sheet'!$D$19,""))</f>
        <v>#N/A</v>
      </c>
      <c r="CU24" s="264"/>
      <c r="CV24" s="263" t="e">
        <f>IF('Pay App 48'!$H$149=0,NA(),IFERROR('Pay App 48'!F77/'Summary Sheet'!$D$19,""))</f>
        <v>#N/A</v>
      </c>
      <c r="CW24" s="264"/>
      <c r="CX24" s="276" t="e">
        <f>IF('Pay App 49'!$H$149=0,NA(),IFERROR('Pay App 49'!F77/'Summary Sheet'!$D$19,""))</f>
        <v>#N/A</v>
      </c>
      <c r="CY24" s="264"/>
      <c r="CZ24" s="263" t="e">
        <f>IF('Pay App 50'!$H$149=0,NA(),IFERROR('Pay App 50'!F77/'Summary Sheet'!$D$19,""))</f>
        <v>#N/A</v>
      </c>
      <c r="DA24" s="264"/>
      <c r="DB24" s="276" t="e">
        <f>IF('Pay App 51'!$H$149=0,NA(),IFERROR('Pay App 51'!F77/'Summary Sheet'!$D$19,""))</f>
        <v>#N/A</v>
      </c>
      <c r="DC24" s="264"/>
      <c r="DD24" s="263" t="e">
        <f>IF('Pay App 52'!$H$149=0,NA(),IFERROR('Pay App 52'!F77/'Summary Sheet'!$D$19,""))</f>
        <v>#N/A</v>
      </c>
      <c r="DE24" s="264"/>
      <c r="DF24" s="276" t="e">
        <f>IF('Pay App 53'!$H$149=0,NA(),IFERROR('Pay App 53'!F77/'Summary Sheet'!$D$19,""))</f>
        <v>#N/A</v>
      </c>
      <c r="DG24" s="264"/>
      <c r="DH24" s="263" t="e">
        <f>IF('Pay App 54'!$H$149=0,NA(),IFERROR('Pay App 54'!F77/'Summary Sheet'!$D$19,""))</f>
        <v>#N/A</v>
      </c>
      <c r="DI24" s="264"/>
      <c r="DJ24" s="276" t="e">
        <f>IF('Pay App 55'!$H$149=0,NA(),IFERROR('Pay App 55'!F77/'Summary Sheet'!$D$19,""))</f>
        <v>#N/A</v>
      </c>
      <c r="DK24" s="264"/>
      <c r="DL24" s="263" t="e">
        <f>IF('Pay App 56'!$H$149=0,NA(),IFERROR('Pay App 56'!F77/'Summary Sheet'!$D$19,""))</f>
        <v>#N/A</v>
      </c>
      <c r="DM24" s="264"/>
      <c r="DN24" s="276" t="e">
        <f>IF('Pay App 57'!$H$149=0,NA(),IFERROR('Pay App 57'!F77/'Summary Sheet'!$D$19,""))</f>
        <v>#N/A</v>
      </c>
      <c r="DO24" s="264"/>
      <c r="DP24" s="263" t="e">
        <f>IF('Pay App 58'!$H$149=0,NA(),IFERROR('Pay App 58'!F77/'Summary Sheet'!$D$19,""))</f>
        <v>#N/A</v>
      </c>
      <c r="DQ24" s="264"/>
      <c r="DR24" s="276" t="e">
        <f>IF('Pay App 59'!$H$149=0,NA(),IFERROR('Pay App 59'!F77/'Summary Sheet'!$D$19,""))</f>
        <v>#N/A</v>
      </c>
      <c r="DS24" s="264"/>
      <c r="DT24" s="263" t="e">
        <f>IF('Pay App 60'!$H$149=0,NA(),IFERROR('Pay App 60'!F77/'Summary Sheet'!$D$19,""))</f>
        <v>#N/A</v>
      </c>
      <c r="DU24" s="296"/>
    </row>
    <row r="25" spans="2:125" x14ac:dyDescent="0.25">
      <c r="B25" s="38" t="str">
        <f>'Pay App 1'!B78</f>
        <v>04 05 19</v>
      </c>
      <c r="C25" s="39" t="str">
        <f>'Pay App 1'!C78</f>
        <v>Masonry Reinforcing</v>
      </c>
      <c r="D25" s="282" t="str" cm="1">
        <f t="array" ref="D25">IFERROR(1+(LOOKUP(2,1/(E25:DT25&lt;&gt;""),E25:DT25)-E25)/E25,"")</f>
        <v/>
      </c>
      <c r="E25" s="275" t="str">
        <f>IFERROR('GMP Tracker'!D29/'Summary Sheet'!$D$19,"")</f>
        <v/>
      </c>
      <c r="F25" s="276" t="e">
        <f>IF('Pay App 1'!$D$149=0,NA(),IFERROR('Pay App 1'!F78/'Summary Sheet'!$D$19,""))</f>
        <v>#N/A</v>
      </c>
      <c r="G25" s="271"/>
      <c r="H25" s="277" t="e">
        <f>IF('Pay App 2'!$H$149=0,NA(),IFERROR('Pay App 2'!F78/'Summary Sheet'!$D$19,""))</f>
        <v>#N/A</v>
      </c>
      <c r="I25" s="266"/>
      <c r="J25" s="276" t="e">
        <f>IF('Pay App 3'!$H$149=0,NA(),IFERROR('Pay App 3'!F78/'Summary Sheet'!$D$19,""))</f>
        <v>#N/A</v>
      </c>
      <c r="K25" s="268"/>
      <c r="L25" s="277" t="e">
        <f>IF('Pay App 4'!$H$149=0,NA(),IFERROR('Pay App 4'!F78/'Summary Sheet'!$D$19,""))</f>
        <v>#N/A</v>
      </c>
      <c r="M25" s="266"/>
      <c r="N25" s="276" t="e">
        <f>IF('Pay App 5'!$H$149=0,NA(),IFERROR('Pay App 5'!F78/'Summary Sheet'!$D$19,""))</f>
        <v>#N/A</v>
      </c>
      <c r="O25" s="263"/>
      <c r="P25" s="277" t="e">
        <f>IF('Pay App 6'!$H$149=0,NA(),IFERROR('Pay App 6'!F78/'Summary Sheet'!$D$19,""))</f>
        <v>#N/A</v>
      </c>
      <c r="Q25" s="263"/>
      <c r="R25" s="276" t="e">
        <f>IF('Pay App 7'!$H$149=0,NA(),IFERROR('Pay App 7'!F78/'Summary Sheet'!$D$19,""))</f>
        <v>#N/A</v>
      </c>
      <c r="S25" s="263"/>
      <c r="T25" s="277" t="e">
        <f>IF('Pay App 8'!$H$149=0,NA(),IFERROR('Pay App 8'!F78/'Summary Sheet'!$D$19,""))</f>
        <v>#N/A</v>
      </c>
      <c r="U25" s="263"/>
      <c r="V25" s="276" t="e">
        <f>IF('Pay App 9'!$H$149=0,NA(),IFERROR('Pay App 9'!F78/'Summary Sheet'!$D$19,""))</f>
        <v>#N/A</v>
      </c>
      <c r="W25" s="263"/>
      <c r="X25" s="277" t="e">
        <f>IF('Pay App 10'!$H$149=0,NA(),IFERROR('Pay App 10'!F78/'Summary Sheet'!$D$19,""))</f>
        <v>#N/A</v>
      </c>
      <c r="Y25" s="263"/>
      <c r="Z25" s="276" t="e">
        <f>IF('Pay App 11'!$H$149=0,NA(),IFERROR('Pay App 11'!F78/'Summary Sheet'!$D$19,""))</f>
        <v>#N/A</v>
      </c>
      <c r="AA25" s="263"/>
      <c r="AB25" s="277" t="e">
        <f>IF('Pay App 12'!$H$149=0,NA(),IFERROR('Pay App 12'!F78/'Summary Sheet'!$D$19,""))</f>
        <v>#N/A</v>
      </c>
      <c r="AC25" s="263"/>
      <c r="AD25" s="276" t="e">
        <f>IF('Pay App 13'!$H$149=0,NA(),IFERROR('Pay App 13'!F78/'Summary Sheet'!$D$19,""))</f>
        <v>#N/A</v>
      </c>
      <c r="AE25" s="263"/>
      <c r="AF25" s="277" t="e">
        <f>IF('Pay App 14'!$H$149=0,NA(),IFERROR('Pay App 14'!F78/'Summary Sheet'!$D$19,""))</f>
        <v>#N/A</v>
      </c>
      <c r="AG25" s="263"/>
      <c r="AH25" s="276" t="e">
        <f>IF('Pay App 15'!$H$149=0,NA(),IFERROR('Pay App 15'!F78/'Summary Sheet'!$D$19,""))</f>
        <v>#N/A</v>
      </c>
      <c r="AI25" s="263"/>
      <c r="AJ25" s="277" t="e">
        <f>IF('Pay App 16'!$H$149=0,NA(),IFERROR('Pay App 16'!F78/'Summary Sheet'!$D$19,""))</f>
        <v>#N/A</v>
      </c>
      <c r="AK25" s="263"/>
      <c r="AL25" s="276" t="e">
        <f>IF('Pay App 17'!$H$149=0,NA(),IFERROR('Pay App 17'!F78/'Summary Sheet'!$D$19,""))</f>
        <v>#N/A</v>
      </c>
      <c r="AM25" s="263"/>
      <c r="AN25" s="277" t="e">
        <f>IF('Pay App 18'!$H$149=0,NA(),IFERROR('Pay App 18'!F78/'Summary Sheet'!$D$19,""))</f>
        <v>#N/A</v>
      </c>
      <c r="AO25" s="263"/>
      <c r="AP25" s="276" t="e">
        <f>IF('Pay App 19'!$H$149=0,NA(),IFERROR('Pay App 19'!F78/'Summary Sheet'!$D$19,""))</f>
        <v>#N/A</v>
      </c>
      <c r="AQ25" s="263"/>
      <c r="AR25" s="263" t="e">
        <f>IF('Pay App 20'!$H$149=0,NA(),IFERROR('Pay App 20'!F78/'Summary Sheet'!$D$19,""))</f>
        <v>#N/A</v>
      </c>
      <c r="AS25" s="264"/>
      <c r="AT25" s="276" t="e">
        <f>IF('Pay App 21'!$H$149=0,NA(),IFERROR('Pay App 21'!F78/'Summary Sheet'!$D$19,""))</f>
        <v>#N/A</v>
      </c>
      <c r="AU25" s="264"/>
      <c r="AV25" s="263" t="e">
        <f>IF('Pay App 22'!$H$149=0,NA(),IFERROR('Pay App 22'!F78/'Summary Sheet'!$D$19,""))</f>
        <v>#N/A</v>
      </c>
      <c r="AW25" s="264"/>
      <c r="AX25" s="276" t="e">
        <f>IF('Pay App 23'!$H$149=0,NA(),IFERROR('Pay App 23'!F78/'Summary Sheet'!$D$19,""))</f>
        <v>#N/A</v>
      </c>
      <c r="AY25" s="264"/>
      <c r="AZ25" s="263" t="e">
        <f>IF('Pay App 24'!$H$149=0,NA(),IFERROR('Pay App 24'!F78/'Summary Sheet'!$D$19,""))</f>
        <v>#N/A</v>
      </c>
      <c r="BA25" s="264"/>
      <c r="BB25" s="276" t="e">
        <f>IF('Pay App 25'!$H$149=0,NA(),IFERROR('Pay App 25'!F78/'Summary Sheet'!$D$19,""))</f>
        <v>#N/A</v>
      </c>
      <c r="BC25" s="264"/>
      <c r="BD25" s="263" t="e">
        <f>IF('Pay App 26'!$H$149=0,NA(),IFERROR('Pay App 26'!F78/'Summary Sheet'!$D$19,""))</f>
        <v>#N/A</v>
      </c>
      <c r="BE25" s="264"/>
      <c r="BF25" s="276" t="e">
        <f>IF('Pay App 27'!$H$149=0,NA(),IFERROR('Pay App 27'!F78/'Summary Sheet'!$D$19,""))</f>
        <v>#N/A</v>
      </c>
      <c r="BG25" s="264"/>
      <c r="BH25" s="263" t="e">
        <f>IF('Pay App 28'!$H$149=0,NA(),IFERROR('Pay App 28'!F78/'Summary Sheet'!$D$19,""))</f>
        <v>#N/A</v>
      </c>
      <c r="BI25" s="264"/>
      <c r="BJ25" s="276" t="e">
        <f>IF('Pay App 29'!$H$149=0,NA(),IFERROR('Pay App 29'!F78/'Summary Sheet'!$D$19,""))</f>
        <v>#N/A</v>
      </c>
      <c r="BK25" s="271"/>
      <c r="BL25" s="263" t="e">
        <f>IF('Pay App 30'!$H$149=0,NA(),IFERROR('Pay App 30'!F78/'Summary Sheet'!$D$19,""))</f>
        <v>#N/A</v>
      </c>
      <c r="BM25" s="264"/>
      <c r="BN25" s="276" t="e">
        <f>IF('Pay App 31'!$H$149=0,NA(),IFERROR('Pay App 31'!F78/'Summary Sheet'!$D$19,""))</f>
        <v>#N/A</v>
      </c>
      <c r="BO25" s="264"/>
      <c r="BP25" s="263" t="e">
        <f>IF('Pay App 32'!$H$149=0,NA(),IFERROR('Pay App 32'!F78/'Summary Sheet'!$D$19,""))</f>
        <v>#N/A</v>
      </c>
      <c r="BQ25" s="264"/>
      <c r="BR25" s="276" t="e">
        <f>IF('Pay App 33'!$H$149=0,NA(),IFERROR('Pay App 33'!F78/'Summary Sheet'!$D$19,""))</f>
        <v>#N/A</v>
      </c>
      <c r="BS25" s="264"/>
      <c r="BT25" s="263" t="e">
        <f>IF('Pay App 34'!$H$149=0,NA(),IFERROR('Pay App 34'!F78/'Summary Sheet'!$D$19,""))</f>
        <v>#N/A</v>
      </c>
      <c r="BU25" s="264"/>
      <c r="BV25" s="276" t="e">
        <f>IF('Pay App 35'!$H$149=0,NA(),IFERROR('Pay App 35'!F78/'Summary Sheet'!$D$19,""))</f>
        <v>#N/A</v>
      </c>
      <c r="BW25" s="264"/>
      <c r="BX25" s="263" t="e">
        <f>IF('Pay App 36'!$H$149=0,NA(),IFERROR('Pay App 36'!F78/'Summary Sheet'!$D$19,""))</f>
        <v>#N/A</v>
      </c>
      <c r="BY25" s="264"/>
      <c r="BZ25" s="276" t="e">
        <f>IF('Pay App 37'!$H$149=0,NA(),IFERROR('Pay App 37'!F78/'Summary Sheet'!$D$19,""))</f>
        <v>#N/A</v>
      </c>
      <c r="CA25" s="264"/>
      <c r="CB25" s="263" t="e">
        <f>IF('Pay App 38'!$H$149=0,NA(),IFERROR('Pay App 38'!F78/'Summary Sheet'!$D$19,""))</f>
        <v>#N/A</v>
      </c>
      <c r="CC25" s="264"/>
      <c r="CD25" s="276" t="e">
        <f>IF('Pay App 39'!$H$149=0,NA(),IFERROR('Pay App 39'!F78/'Summary Sheet'!$D$19,""))</f>
        <v>#N/A</v>
      </c>
      <c r="CE25" s="264"/>
      <c r="CF25" s="263" t="e">
        <f>IF('Pay App 40'!$H$149=0,NA(),IFERROR('Pay App 40'!F78/'Summary Sheet'!$D$19,""))</f>
        <v>#N/A</v>
      </c>
      <c r="CG25" s="264"/>
      <c r="CH25" s="276" t="e">
        <f>IF('Pay App 41'!$H$149=0,NA(),IFERROR('Pay App 41'!F78/'Summary Sheet'!$D$19,""))</f>
        <v>#N/A</v>
      </c>
      <c r="CI25" s="264"/>
      <c r="CJ25" s="263" t="e">
        <f>IF('Pay App 42'!$H$149=0,NA(),IFERROR('Pay App 42'!F78/'Summary Sheet'!$D$19,""))</f>
        <v>#N/A</v>
      </c>
      <c r="CK25" s="264"/>
      <c r="CL25" s="276" t="e">
        <f>IF('Pay App 43'!$H$149=0,NA(),IFERROR('Pay App 43'!F78/'Summary Sheet'!$D$19,""))</f>
        <v>#N/A</v>
      </c>
      <c r="CM25" s="264"/>
      <c r="CN25" s="263" t="e">
        <f>IF('Pay App 44'!$H$149=0,NA(),IFERROR('Pay App 44'!F78/'Summary Sheet'!$D$19,""))</f>
        <v>#N/A</v>
      </c>
      <c r="CO25" s="264"/>
      <c r="CP25" s="276" t="e">
        <f>IF('Pay App 45'!$H$149=0,NA(),IFERROR('Pay App 45'!F78/'Summary Sheet'!$D$19,""))</f>
        <v>#N/A</v>
      </c>
      <c r="CQ25" s="264"/>
      <c r="CR25" s="263" t="e">
        <f>IF('Pay App 46'!$H$149=0,NA(),IFERROR('Pay App 46'!F78/'Summary Sheet'!$D$19,""))</f>
        <v>#N/A</v>
      </c>
      <c r="CS25" s="264"/>
      <c r="CT25" s="276" t="e">
        <f>IF('Pay App 47'!$H$149=0,NA(),IFERROR('Pay App 47'!F78/'Summary Sheet'!$D$19,""))</f>
        <v>#N/A</v>
      </c>
      <c r="CU25" s="264"/>
      <c r="CV25" s="263" t="e">
        <f>IF('Pay App 48'!$H$149=0,NA(),IFERROR('Pay App 48'!F78/'Summary Sheet'!$D$19,""))</f>
        <v>#N/A</v>
      </c>
      <c r="CW25" s="264"/>
      <c r="CX25" s="276" t="e">
        <f>IF('Pay App 49'!$H$149=0,NA(),IFERROR('Pay App 49'!F78/'Summary Sheet'!$D$19,""))</f>
        <v>#N/A</v>
      </c>
      <c r="CY25" s="264"/>
      <c r="CZ25" s="263" t="e">
        <f>IF('Pay App 50'!$H$149=0,NA(),IFERROR('Pay App 50'!F78/'Summary Sheet'!$D$19,""))</f>
        <v>#N/A</v>
      </c>
      <c r="DA25" s="264"/>
      <c r="DB25" s="276" t="e">
        <f>IF('Pay App 51'!$H$149=0,NA(),IFERROR('Pay App 51'!F78/'Summary Sheet'!$D$19,""))</f>
        <v>#N/A</v>
      </c>
      <c r="DC25" s="264"/>
      <c r="DD25" s="263" t="e">
        <f>IF('Pay App 52'!$H$149=0,NA(),IFERROR('Pay App 52'!F78/'Summary Sheet'!$D$19,""))</f>
        <v>#N/A</v>
      </c>
      <c r="DE25" s="264"/>
      <c r="DF25" s="276" t="e">
        <f>IF('Pay App 53'!$H$149=0,NA(),IFERROR('Pay App 53'!F78/'Summary Sheet'!$D$19,""))</f>
        <v>#N/A</v>
      </c>
      <c r="DG25" s="264"/>
      <c r="DH25" s="263" t="e">
        <f>IF('Pay App 54'!$H$149=0,NA(),IFERROR('Pay App 54'!F78/'Summary Sheet'!$D$19,""))</f>
        <v>#N/A</v>
      </c>
      <c r="DI25" s="264"/>
      <c r="DJ25" s="276" t="e">
        <f>IF('Pay App 55'!$H$149=0,NA(),IFERROR('Pay App 55'!F78/'Summary Sheet'!$D$19,""))</f>
        <v>#N/A</v>
      </c>
      <c r="DK25" s="264"/>
      <c r="DL25" s="263" t="e">
        <f>IF('Pay App 56'!$H$149=0,NA(),IFERROR('Pay App 56'!F78/'Summary Sheet'!$D$19,""))</f>
        <v>#N/A</v>
      </c>
      <c r="DM25" s="264"/>
      <c r="DN25" s="276" t="e">
        <f>IF('Pay App 57'!$H$149=0,NA(),IFERROR('Pay App 57'!F78/'Summary Sheet'!$D$19,""))</f>
        <v>#N/A</v>
      </c>
      <c r="DO25" s="264"/>
      <c r="DP25" s="263" t="e">
        <f>IF('Pay App 58'!$H$149=0,NA(),IFERROR('Pay App 58'!F78/'Summary Sheet'!$D$19,""))</f>
        <v>#N/A</v>
      </c>
      <c r="DQ25" s="264"/>
      <c r="DR25" s="276" t="e">
        <f>IF('Pay App 59'!$H$149=0,NA(),IFERROR('Pay App 59'!F78/'Summary Sheet'!$D$19,""))</f>
        <v>#N/A</v>
      </c>
      <c r="DS25" s="264"/>
      <c r="DT25" s="263" t="e">
        <f>IF('Pay App 60'!$H$149=0,NA(),IFERROR('Pay App 60'!F78/'Summary Sheet'!$D$19,""))</f>
        <v>#N/A</v>
      </c>
      <c r="DU25" s="296"/>
    </row>
    <row r="26" spans="2:125" x14ac:dyDescent="0.25">
      <c r="B26" s="40" t="str">
        <f>'Pay App 1'!B79</f>
        <v>05 10 00</v>
      </c>
      <c r="C26" s="41" t="str">
        <f>'Pay App 1'!C79</f>
        <v>Structural Steel/Misc. Steel Fab</v>
      </c>
      <c r="D26" s="282" t="str" cm="1">
        <f t="array" ref="D26">IFERROR(1+(LOOKUP(2,1/(E26:DT26&lt;&gt;""),E26:DT26)-E26)/E26,"")</f>
        <v/>
      </c>
      <c r="E26" s="275" t="str">
        <f>IFERROR('GMP Tracker'!D30/'Summary Sheet'!$D$19,"")</f>
        <v/>
      </c>
      <c r="F26" s="276" t="e">
        <f>IF('Pay App 1'!$D$149=0,NA(),IFERROR('Pay App 1'!F79/'Summary Sheet'!$D$19,""))</f>
        <v>#N/A</v>
      </c>
      <c r="G26" s="271"/>
      <c r="H26" s="277" t="e">
        <f>IF('Pay App 2'!$H$149=0,NA(),IFERROR('Pay App 2'!F79/'Summary Sheet'!$D$19,""))</f>
        <v>#N/A</v>
      </c>
      <c r="I26" s="266"/>
      <c r="J26" s="276" t="e">
        <f>IF('Pay App 3'!$H$149=0,NA(),IFERROR('Pay App 3'!F79/'Summary Sheet'!$D$19,""))</f>
        <v>#N/A</v>
      </c>
      <c r="K26" s="268"/>
      <c r="L26" s="277" t="e">
        <f>IF('Pay App 4'!$H$149=0,NA(),IFERROR('Pay App 4'!F79/'Summary Sheet'!$D$19,""))</f>
        <v>#N/A</v>
      </c>
      <c r="M26" s="266"/>
      <c r="N26" s="276" t="e">
        <f>IF('Pay App 5'!$H$149=0,NA(),IFERROR('Pay App 5'!F79/'Summary Sheet'!$D$19,""))</f>
        <v>#N/A</v>
      </c>
      <c r="O26" s="263"/>
      <c r="P26" s="277" t="e">
        <f>IF('Pay App 6'!$H$149=0,NA(),IFERROR('Pay App 6'!F79/'Summary Sheet'!$D$19,""))</f>
        <v>#N/A</v>
      </c>
      <c r="Q26" s="263"/>
      <c r="R26" s="276" t="e">
        <f>IF('Pay App 7'!$H$149=0,NA(),IFERROR('Pay App 7'!F79/'Summary Sheet'!$D$19,""))</f>
        <v>#N/A</v>
      </c>
      <c r="S26" s="263"/>
      <c r="T26" s="277" t="e">
        <f>IF('Pay App 8'!$H$149=0,NA(),IFERROR('Pay App 8'!F79/'Summary Sheet'!$D$19,""))</f>
        <v>#N/A</v>
      </c>
      <c r="U26" s="263"/>
      <c r="V26" s="276" t="e">
        <f>IF('Pay App 9'!$H$149=0,NA(),IFERROR('Pay App 9'!F79/'Summary Sheet'!$D$19,""))</f>
        <v>#N/A</v>
      </c>
      <c r="W26" s="263"/>
      <c r="X26" s="277" t="e">
        <f>IF('Pay App 10'!$H$149=0,NA(),IFERROR('Pay App 10'!F79/'Summary Sheet'!$D$19,""))</f>
        <v>#N/A</v>
      </c>
      <c r="Y26" s="263"/>
      <c r="Z26" s="276" t="e">
        <f>IF('Pay App 11'!$H$149=0,NA(),IFERROR('Pay App 11'!F79/'Summary Sheet'!$D$19,""))</f>
        <v>#N/A</v>
      </c>
      <c r="AA26" s="263"/>
      <c r="AB26" s="277" t="e">
        <f>IF('Pay App 12'!$H$149=0,NA(),IFERROR('Pay App 12'!F79/'Summary Sheet'!$D$19,""))</f>
        <v>#N/A</v>
      </c>
      <c r="AC26" s="263"/>
      <c r="AD26" s="276" t="e">
        <f>IF('Pay App 13'!$H$149=0,NA(),IFERROR('Pay App 13'!F79/'Summary Sheet'!$D$19,""))</f>
        <v>#N/A</v>
      </c>
      <c r="AE26" s="263"/>
      <c r="AF26" s="277" t="e">
        <f>IF('Pay App 14'!$H$149=0,NA(),IFERROR('Pay App 14'!F79/'Summary Sheet'!$D$19,""))</f>
        <v>#N/A</v>
      </c>
      <c r="AG26" s="263"/>
      <c r="AH26" s="276" t="e">
        <f>IF('Pay App 15'!$H$149=0,NA(),IFERROR('Pay App 15'!F79/'Summary Sheet'!$D$19,""))</f>
        <v>#N/A</v>
      </c>
      <c r="AI26" s="263"/>
      <c r="AJ26" s="277" t="e">
        <f>IF('Pay App 16'!$H$149=0,NA(),IFERROR('Pay App 16'!F79/'Summary Sheet'!$D$19,""))</f>
        <v>#N/A</v>
      </c>
      <c r="AK26" s="263"/>
      <c r="AL26" s="276" t="e">
        <f>IF('Pay App 17'!$H$149=0,NA(),IFERROR('Pay App 17'!F79/'Summary Sheet'!$D$19,""))</f>
        <v>#N/A</v>
      </c>
      <c r="AM26" s="263"/>
      <c r="AN26" s="277" t="e">
        <f>IF('Pay App 18'!$H$149=0,NA(),IFERROR('Pay App 18'!F79/'Summary Sheet'!$D$19,""))</f>
        <v>#N/A</v>
      </c>
      <c r="AO26" s="263"/>
      <c r="AP26" s="276" t="e">
        <f>IF('Pay App 19'!$H$149=0,NA(),IFERROR('Pay App 19'!F79/'Summary Sheet'!$D$19,""))</f>
        <v>#N/A</v>
      </c>
      <c r="AQ26" s="263"/>
      <c r="AR26" s="263" t="e">
        <f>IF('Pay App 20'!$H$149=0,NA(),IFERROR('Pay App 20'!F79/'Summary Sheet'!$D$19,""))</f>
        <v>#N/A</v>
      </c>
      <c r="AS26" s="263"/>
      <c r="AT26" s="276" t="e">
        <f>IF('Pay App 21'!$H$149=0,NA(),IFERROR('Pay App 21'!F79/'Summary Sheet'!$D$19,""))</f>
        <v>#N/A</v>
      </c>
      <c r="AU26" s="263"/>
      <c r="AV26" s="263" t="e">
        <f>IF('Pay App 22'!$H$149=0,NA(),IFERROR('Pay App 22'!F79/'Summary Sheet'!$D$19,""))</f>
        <v>#N/A</v>
      </c>
      <c r="AW26" s="263"/>
      <c r="AX26" s="276" t="e">
        <f>IF('Pay App 23'!$H$149=0,NA(),IFERROR('Pay App 23'!F79/'Summary Sheet'!$D$19,""))</f>
        <v>#N/A</v>
      </c>
      <c r="AY26" s="263"/>
      <c r="AZ26" s="263" t="e">
        <f>IF('Pay App 24'!$H$149=0,NA(),IFERROR('Pay App 24'!F79/'Summary Sheet'!$D$19,""))</f>
        <v>#N/A</v>
      </c>
      <c r="BA26" s="263"/>
      <c r="BB26" s="276" t="e">
        <f>IF('Pay App 25'!$H$149=0,NA(),IFERROR('Pay App 25'!F79/'Summary Sheet'!$D$19,""))</f>
        <v>#N/A</v>
      </c>
      <c r="BC26" s="263"/>
      <c r="BD26" s="263" t="e">
        <f>IF('Pay App 26'!$H$149=0,NA(),IFERROR('Pay App 26'!F79/'Summary Sheet'!$D$19,""))</f>
        <v>#N/A</v>
      </c>
      <c r="BE26" s="263"/>
      <c r="BF26" s="276" t="e">
        <f>IF('Pay App 27'!$H$149=0,NA(),IFERROR('Pay App 27'!F79/'Summary Sheet'!$D$19,""))</f>
        <v>#N/A</v>
      </c>
      <c r="BG26" s="263"/>
      <c r="BH26" s="263" t="e">
        <f>IF('Pay App 28'!$H$149=0,NA(),IFERROR('Pay App 28'!F79/'Summary Sheet'!$D$19,""))</f>
        <v>#N/A</v>
      </c>
      <c r="BI26" s="263"/>
      <c r="BJ26" s="276" t="e">
        <f>IF('Pay App 29'!$H$149=0,NA(),IFERROR('Pay App 29'!F79/'Summary Sheet'!$D$19,""))</f>
        <v>#N/A</v>
      </c>
      <c r="BK26" s="271"/>
      <c r="BL26" s="263" t="e">
        <f>IF('Pay App 30'!$H$149=0,NA(),IFERROR('Pay App 30'!F79/'Summary Sheet'!$D$19,""))</f>
        <v>#N/A</v>
      </c>
      <c r="BM26" s="263"/>
      <c r="BN26" s="276" t="e">
        <f>IF('Pay App 31'!$H$149=0,NA(),IFERROR('Pay App 31'!F79/'Summary Sheet'!$D$19,""))</f>
        <v>#N/A</v>
      </c>
      <c r="BO26" s="263"/>
      <c r="BP26" s="263" t="e">
        <f>IF('Pay App 32'!$H$149=0,NA(),IFERROR('Pay App 32'!F79/'Summary Sheet'!$D$19,""))</f>
        <v>#N/A</v>
      </c>
      <c r="BQ26" s="263"/>
      <c r="BR26" s="276" t="e">
        <f>IF('Pay App 33'!$H$149=0,NA(),IFERROR('Pay App 33'!F79/'Summary Sheet'!$D$19,""))</f>
        <v>#N/A</v>
      </c>
      <c r="BS26" s="263"/>
      <c r="BT26" s="263" t="e">
        <f>IF('Pay App 34'!$H$149=0,NA(),IFERROR('Pay App 34'!F79/'Summary Sheet'!$D$19,""))</f>
        <v>#N/A</v>
      </c>
      <c r="BU26" s="263"/>
      <c r="BV26" s="276" t="e">
        <f>IF('Pay App 35'!$H$149=0,NA(),IFERROR('Pay App 35'!F79/'Summary Sheet'!$D$19,""))</f>
        <v>#N/A</v>
      </c>
      <c r="BW26" s="263"/>
      <c r="BX26" s="263" t="e">
        <f>IF('Pay App 36'!$H$149=0,NA(),IFERROR('Pay App 36'!F79/'Summary Sheet'!$D$19,""))</f>
        <v>#N/A</v>
      </c>
      <c r="BY26" s="263"/>
      <c r="BZ26" s="276" t="e">
        <f>IF('Pay App 37'!$H$149=0,NA(),IFERROR('Pay App 37'!F79/'Summary Sheet'!$D$19,""))</f>
        <v>#N/A</v>
      </c>
      <c r="CA26" s="263"/>
      <c r="CB26" s="263" t="e">
        <f>IF('Pay App 38'!$H$149=0,NA(),IFERROR('Pay App 38'!F79/'Summary Sheet'!$D$19,""))</f>
        <v>#N/A</v>
      </c>
      <c r="CC26" s="263"/>
      <c r="CD26" s="276" t="e">
        <f>IF('Pay App 39'!$H$149=0,NA(),IFERROR('Pay App 39'!F79/'Summary Sheet'!$D$19,""))</f>
        <v>#N/A</v>
      </c>
      <c r="CE26" s="263"/>
      <c r="CF26" s="263" t="e">
        <f>IF('Pay App 40'!$H$149=0,NA(),IFERROR('Pay App 40'!F79/'Summary Sheet'!$D$19,""))</f>
        <v>#N/A</v>
      </c>
      <c r="CG26" s="263"/>
      <c r="CH26" s="276" t="e">
        <f>IF('Pay App 41'!$H$149=0,NA(),IFERROR('Pay App 41'!F79/'Summary Sheet'!$D$19,""))</f>
        <v>#N/A</v>
      </c>
      <c r="CI26" s="263"/>
      <c r="CJ26" s="263" t="e">
        <f>IF('Pay App 42'!$H$149=0,NA(),IFERROR('Pay App 42'!F79/'Summary Sheet'!$D$19,""))</f>
        <v>#N/A</v>
      </c>
      <c r="CK26" s="263"/>
      <c r="CL26" s="276" t="e">
        <f>IF('Pay App 43'!$H$149=0,NA(),IFERROR('Pay App 43'!F79/'Summary Sheet'!$D$19,""))</f>
        <v>#N/A</v>
      </c>
      <c r="CM26" s="263"/>
      <c r="CN26" s="263" t="e">
        <f>IF('Pay App 44'!$H$149=0,NA(),IFERROR('Pay App 44'!F79/'Summary Sheet'!$D$19,""))</f>
        <v>#N/A</v>
      </c>
      <c r="CO26" s="263"/>
      <c r="CP26" s="276" t="e">
        <f>IF('Pay App 45'!$H$149=0,NA(),IFERROR('Pay App 45'!F79/'Summary Sheet'!$D$19,""))</f>
        <v>#N/A</v>
      </c>
      <c r="CQ26" s="263"/>
      <c r="CR26" s="263" t="e">
        <f>IF('Pay App 46'!$H$149=0,NA(),IFERROR('Pay App 46'!F79/'Summary Sheet'!$D$19,""))</f>
        <v>#N/A</v>
      </c>
      <c r="CS26" s="263"/>
      <c r="CT26" s="276" t="e">
        <f>IF('Pay App 47'!$H$149=0,NA(),IFERROR('Pay App 47'!F79/'Summary Sheet'!$D$19,""))</f>
        <v>#N/A</v>
      </c>
      <c r="CU26" s="263"/>
      <c r="CV26" s="263" t="e">
        <f>IF('Pay App 48'!$H$149=0,NA(),IFERROR('Pay App 48'!F79/'Summary Sheet'!$D$19,""))</f>
        <v>#N/A</v>
      </c>
      <c r="CW26" s="263"/>
      <c r="CX26" s="276" t="e">
        <f>IF('Pay App 49'!$H$149=0,NA(),IFERROR('Pay App 49'!F79/'Summary Sheet'!$D$19,""))</f>
        <v>#N/A</v>
      </c>
      <c r="CY26" s="263"/>
      <c r="CZ26" s="263" t="e">
        <f>IF('Pay App 50'!$H$149=0,NA(),IFERROR('Pay App 50'!F79/'Summary Sheet'!$D$19,""))</f>
        <v>#N/A</v>
      </c>
      <c r="DA26" s="263"/>
      <c r="DB26" s="276" t="e">
        <f>IF('Pay App 51'!$H$149=0,NA(),IFERROR('Pay App 51'!F79/'Summary Sheet'!$D$19,""))</f>
        <v>#N/A</v>
      </c>
      <c r="DC26" s="263"/>
      <c r="DD26" s="263" t="e">
        <f>IF('Pay App 52'!$H$149=0,NA(),IFERROR('Pay App 52'!F79/'Summary Sheet'!$D$19,""))</f>
        <v>#N/A</v>
      </c>
      <c r="DE26" s="263"/>
      <c r="DF26" s="276" t="e">
        <f>IF('Pay App 53'!$H$149=0,NA(),IFERROR('Pay App 53'!F79/'Summary Sheet'!$D$19,""))</f>
        <v>#N/A</v>
      </c>
      <c r="DG26" s="263"/>
      <c r="DH26" s="263" t="e">
        <f>IF('Pay App 54'!$H$149=0,NA(),IFERROR('Pay App 54'!F79/'Summary Sheet'!$D$19,""))</f>
        <v>#N/A</v>
      </c>
      <c r="DI26" s="263"/>
      <c r="DJ26" s="276" t="e">
        <f>IF('Pay App 55'!$H$149=0,NA(),IFERROR('Pay App 55'!F79/'Summary Sheet'!$D$19,""))</f>
        <v>#N/A</v>
      </c>
      <c r="DK26" s="263"/>
      <c r="DL26" s="263" t="e">
        <f>IF('Pay App 56'!$H$149=0,NA(),IFERROR('Pay App 56'!F79/'Summary Sheet'!$D$19,""))</f>
        <v>#N/A</v>
      </c>
      <c r="DM26" s="263"/>
      <c r="DN26" s="276" t="e">
        <f>IF('Pay App 57'!$H$149=0,NA(),IFERROR('Pay App 57'!F79/'Summary Sheet'!$D$19,""))</f>
        <v>#N/A</v>
      </c>
      <c r="DO26" s="263"/>
      <c r="DP26" s="263" t="e">
        <f>IF('Pay App 58'!$H$149=0,NA(),IFERROR('Pay App 58'!F79/'Summary Sheet'!$D$19,""))</f>
        <v>#N/A</v>
      </c>
      <c r="DQ26" s="263"/>
      <c r="DR26" s="276" t="e">
        <f>IF('Pay App 59'!$H$149=0,NA(),IFERROR('Pay App 59'!F79/'Summary Sheet'!$D$19,""))</f>
        <v>#N/A</v>
      </c>
      <c r="DS26" s="263"/>
      <c r="DT26" s="263" t="e">
        <f>IF('Pay App 60'!$H$149=0,NA(),IFERROR('Pay App 60'!F79/'Summary Sheet'!$D$19,""))</f>
        <v>#N/A</v>
      </c>
      <c r="DU26" s="296"/>
    </row>
    <row r="27" spans="2:125" x14ac:dyDescent="0.25">
      <c r="B27" s="40" t="str">
        <f>'Pay App 1'!B80</f>
        <v>05 20 00</v>
      </c>
      <c r="C27" s="41" t="str">
        <f>'Pay App 1'!C80</f>
        <v>Joists &amp; Deck</v>
      </c>
      <c r="D27" s="282" t="str" cm="1">
        <f t="array" ref="D27">IFERROR(1+(LOOKUP(2,1/(E27:DT27&lt;&gt;""),E27:DT27)-E27)/E27,"")</f>
        <v/>
      </c>
      <c r="E27" s="275" t="str">
        <f>IFERROR('GMP Tracker'!D31/'Summary Sheet'!$D$19,"")</f>
        <v/>
      </c>
      <c r="F27" s="276" t="e">
        <f>IF('Pay App 1'!$D$149=0,NA(),IFERROR('Pay App 1'!F80/'Summary Sheet'!$D$19,""))</f>
        <v>#N/A</v>
      </c>
      <c r="G27" s="271"/>
      <c r="H27" s="277" t="e">
        <f>IF('Pay App 2'!$H$149=0,NA(),IFERROR('Pay App 2'!F80/'Summary Sheet'!$D$19,""))</f>
        <v>#N/A</v>
      </c>
      <c r="I27" s="266"/>
      <c r="J27" s="276" t="e">
        <f>IF('Pay App 3'!$H$149=0,NA(),IFERROR('Pay App 3'!F80/'Summary Sheet'!$D$19,""))</f>
        <v>#N/A</v>
      </c>
      <c r="K27" s="268"/>
      <c r="L27" s="277" t="e">
        <f>IF('Pay App 4'!$H$149=0,NA(),IFERROR('Pay App 4'!F80/'Summary Sheet'!$D$19,""))</f>
        <v>#N/A</v>
      </c>
      <c r="M27" s="266"/>
      <c r="N27" s="276" t="e">
        <f>IF('Pay App 5'!$H$149=0,NA(),IFERROR('Pay App 5'!F80/'Summary Sheet'!$D$19,""))</f>
        <v>#N/A</v>
      </c>
      <c r="O27" s="263"/>
      <c r="P27" s="277" t="e">
        <f>IF('Pay App 6'!$H$149=0,NA(),IFERROR('Pay App 6'!F80/'Summary Sheet'!$D$19,""))</f>
        <v>#N/A</v>
      </c>
      <c r="Q27" s="263"/>
      <c r="R27" s="276" t="e">
        <f>IF('Pay App 7'!$H$149=0,NA(),IFERROR('Pay App 7'!F80/'Summary Sheet'!$D$19,""))</f>
        <v>#N/A</v>
      </c>
      <c r="S27" s="263"/>
      <c r="T27" s="277" t="e">
        <f>IF('Pay App 8'!$H$149=0,NA(),IFERROR('Pay App 8'!F80/'Summary Sheet'!$D$19,""))</f>
        <v>#N/A</v>
      </c>
      <c r="U27" s="263"/>
      <c r="V27" s="276" t="e">
        <f>IF('Pay App 9'!$H$149=0,NA(),IFERROR('Pay App 9'!F80/'Summary Sheet'!$D$19,""))</f>
        <v>#N/A</v>
      </c>
      <c r="W27" s="263"/>
      <c r="X27" s="277" t="e">
        <f>IF('Pay App 10'!$H$149=0,NA(),IFERROR('Pay App 10'!F80/'Summary Sheet'!$D$19,""))</f>
        <v>#N/A</v>
      </c>
      <c r="Y27" s="263"/>
      <c r="Z27" s="276" t="e">
        <f>IF('Pay App 11'!$H$149=0,NA(),IFERROR('Pay App 11'!F80/'Summary Sheet'!$D$19,""))</f>
        <v>#N/A</v>
      </c>
      <c r="AA27" s="263"/>
      <c r="AB27" s="277" t="e">
        <f>IF('Pay App 12'!$H$149=0,NA(),IFERROR('Pay App 12'!F80/'Summary Sheet'!$D$19,""))</f>
        <v>#N/A</v>
      </c>
      <c r="AC27" s="263"/>
      <c r="AD27" s="276" t="e">
        <f>IF('Pay App 13'!$H$149=0,NA(),IFERROR('Pay App 13'!F80/'Summary Sheet'!$D$19,""))</f>
        <v>#N/A</v>
      </c>
      <c r="AE27" s="263"/>
      <c r="AF27" s="277" t="e">
        <f>IF('Pay App 14'!$H$149=0,NA(),IFERROR('Pay App 14'!F80/'Summary Sheet'!$D$19,""))</f>
        <v>#N/A</v>
      </c>
      <c r="AG27" s="263"/>
      <c r="AH27" s="276" t="e">
        <f>IF('Pay App 15'!$H$149=0,NA(),IFERROR('Pay App 15'!F80/'Summary Sheet'!$D$19,""))</f>
        <v>#N/A</v>
      </c>
      <c r="AI27" s="263"/>
      <c r="AJ27" s="277" t="e">
        <f>IF('Pay App 16'!$H$149=0,NA(),IFERROR('Pay App 16'!F80/'Summary Sheet'!$D$19,""))</f>
        <v>#N/A</v>
      </c>
      <c r="AK27" s="263"/>
      <c r="AL27" s="276" t="e">
        <f>IF('Pay App 17'!$H$149=0,NA(),IFERROR('Pay App 17'!F80/'Summary Sheet'!$D$19,""))</f>
        <v>#N/A</v>
      </c>
      <c r="AM27" s="263"/>
      <c r="AN27" s="277" t="e">
        <f>IF('Pay App 18'!$H$149=0,NA(),IFERROR('Pay App 18'!F80/'Summary Sheet'!$D$19,""))</f>
        <v>#N/A</v>
      </c>
      <c r="AO27" s="263"/>
      <c r="AP27" s="276" t="e">
        <f>IF('Pay App 19'!$H$149=0,NA(),IFERROR('Pay App 19'!F80/'Summary Sheet'!$D$19,""))</f>
        <v>#N/A</v>
      </c>
      <c r="AQ27" s="263"/>
      <c r="AR27" s="263" t="e">
        <f>IF('Pay App 20'!$H$149=0,NA(),IFERROR('Pay App 20'!F80/'Summary Sheet'!$D$19,""))</f>
        <v>#N/A</v>
      </c>
      <c r="AS27" s="264"/>
      <c r="AT27" s="276" t="e">
        <f>IF('Pay App 21'!$H$149=0,NA(),IFERROR('Pay App 21'!F80/'Summary Sheet'!$D$19,""))</f>
        <v>#N/A</v>
      </c>
      <c r="AU27" s="264"/>
      <c r="AV27" s="263" t="e">
        <f>IF('Pay App 22'!$H$149=0,NA(),IFERROR('Pay App 22'!F80/'Summary Sheet'!$D$19,""))</f>
        <v>#N/A</v>
      </c>
      <c r="AW27" s="264"/>
      <c r="AX27" s="276" t="e">
        <f>IF('Pay App 23'!$H$149=0,NA(),IFERROR('Pay App 23'!F80/'Summary Sheet'!$D$19,""))</f>
        <v>#N/A</v>
      </c>
      <c r="AY27" s="264"/>
      <c r="AZ27" s="263" t="e">
        <f>IF('Pay App 24'!$H$149=0,NA(),IFERROR('Pay App 24'!F80/'Summary Sheet'!$D$19,""))</f>
        <v>#N/A</v>
      </c>
      <c r="BA27" s="264"/>
      <c r="BB27" s="276" t="e">
        <f>IF('Pay App 25'!$H$149=0,NA(),IFERROR('Pay App 25'!F80/'Summary Sheet'!$D$19,""))</f>
        <v>#N/A</v>
      </c>
      <c r="BC27" s="264"/>
      <c r="BD27" s="263" t="e">
        <f>IF('Pay App 26'!$H$149=0,NA(),IFERROR('Pay App 26'!F80/'Summary Sheet'!$D$19,""))</f>
        <v>#N/A</v>
      </c>
      <c r="BE27" s="264"/>
      <c r="BF27" s="276" t="e">
        <f>IF('Pay App 27'!$H$149=0,NA(),IFERROR('Pay App 27'!F80/'Summary Sheet'!$D$19,""))</f>
        <v>#N/A</v>
      </c>
      <c r="BG27" s="264"/>
      <c r="BH27" s="263" t="e">
        <f>IF('Pay App 28'!$H$149=0,NA(),IFERROR('Pay App 28'!F80/'Summary Sheet'!$D$19,""))</f>
        <v>#N/A</v>
      </c>
      <c r="BI27" s="264"/>
      <c r="BJ27" s="276" t="e">
        <f>IF('Pay App 29'!$H$149=0,NA(),IFERROR('Pay App 29'!F80/'Summary Sheet'!$D$19,""))</f>
        <v>#N/A</v>
      </c>
      <c r="BK27" s="271"/>
      <c r="BL27" s="263" t="e">
        <f>IF('Pay App 30'!$H$149=0,NA(),IFERROR('Pay App 30'!F80/'Summary Sheet'!$D$19,""))</f>
        <v>#N/A</v>
      </c>
      <c r="BM27" s="264"/>
      <c r="BN27" s="276" t="e">
        <f>IF('Pay App 31'!$H$149=0,NA(),IFERROR('Pay App 31'!F80/'Summary Sheet'!$D$19,""))</f>
        <v>#N/A</v>
      </c>
      <c r="BO27" s="264"/>
      <c r="BP27" s="263" t="e">
        <f>IF('Pay App 32'!$H$149=0,NA(),IFERROR('Pay App 32'!F80/'Summary Sheet'!$D$19,""))</f>
        <v>#N/A</v>
      </c>
      <c r="BQ27" s="264"/>
      <c r="BR27" s="276" t="e">
        <f>IF('Pay App 33'!$H$149=0,NA(),IFERROR('Pay App 33'!F80/'Summary Sheet'!$D$19,""))</f>
        <v>#N/A</v>
      </c>
      <c r="BS27" s="264"/>
      <c r="BT27" s="263" t="e">
        <f>IF('Pay App 34'!$H$149=0,NA(),IFERROR('Pay App 34'!F80/'Summary Sheet'!$D$19,""))</f>
        <v>#N/A</v>
      </c>
      <c r="BU27" s="264"/>
      <c r="BV27" s="276" t="e">
        <f>IF('Pay App 35'!$H$149=0,NA(),IFERROR('Pay App 35'!F80/'Summary Sheet'!$D$19,""))</f>
        <v>#N/A</v>
      </c>
      <c r="BW27" s="264"/>
      <c r="BX27" s="263" t="e">
        <f>IF('Pay App 36'!$H$149=0,NA(),IFERROR('Pay App 36'!F80/'Summary Sheet'!$D$19,""))</f>
        <v>#N/A</v>
      </c>
      <c r="BY27" s="264"/>
      <c r="BZ27" s="276" t="e">
        <f>IF('Pay App 37'!$H$149=0,NA(),IFERROR('Pay App 37'!F80/'Summary Sheet'!$D$19,""))</f>
        <v>#N/A</v>
      </c>
      <c r="CA27" s="264"/>
      <c r="CB27" s="263" t="e">
        <f>IF('Pay App 38'!$H$149=0,NA(),IFERROR('Pay App 38'!F80/'Summary Sheet'!$D$19,""))</f>
        <v>#N/A</v>
      </c>
      <c r="CC27" s="264"/>
      <c r="CD27" s="276" t="e">
        <f>IF('Pay App 39'!$H$149=0,NA(),IFERROR('Pay App 39'!F80/'Summary Sheet'!$D$19,""))</f>
        <v>#N/A</v>
      </c>
      <c r="CE27" s="264"/>
      <c r="CF27" s="263" t="e">
        <f>IF('Pay App 40'!$H$149=0,NA(),IFERROR('Pay App 40'!F80/'Summary Sheet'!$D$19,""))</f>
        <v>#N/A</v>
      </c>
      <c r="CG27" s="264"/>
      <c r="CH27" s="276" t="e">
        <f>IF('Pay App 41'!$H$149=0,NA(),IFERROR('Pay App 41'!F80/'Summary Sheet'!$D$19,""))</f>
        <v>#N/A</v>
      </c>
      <c r="CI27" s="264"/>
      <c r="CJ27" s="263" t="e">
        <f>IF('Pay App 42'!$H$149=0,NA(),IFERROR('Pay App 42'!F80/'Summary Sheet'!$D$19,""))</f>
        <v>#N/A</v>
      </c>
      <c r="CK27" s="264"/>
      <c r="CL27" s="276" t="e">
        <f>IF('Pay App 43'!$H$149=0,NA(),IFERROR('Pay App 43'!F80/'Summary Sheet'!$D$19,""))</f>
        <v>#N/A</v>
      </c>
      <c r="CM27" s="264"/>
      <c r="CN27" s="263" t="e">
        <f>IF('Pay App 44'!$H$149=0,NA(),IFERROR('Pay App 44'!F80/'Summary Sheet'!$D$19,""))</f>
        <v>#N/A</v>
      </c>
      <c r="CO27" s="264"/>
      <c r="CP27" s="276" t="e">
        <f>IF('Pay App 45'!$H$149=0,NA(),IFERROR('Pay App 45'!F80/'Summary Sheet'!$D$19,""))</f>
        <v>#N/A</v>
      </c>
      <c r="CQ27" s="264"/>
      <c r="CR27" s="263" t="e">
        <f>IF('Pay App 46'!$H$149=0,NA(),IFERROR('Pay App 46'!F80/'Summary Sheet'!$D$19,""))</f>
        <v>#N/A</v>
      </c>
      <c r="CS27" s="264"/>
      <c r="CT27" s="276" t="e">
        <f>IF('Pay App 47'!$H$149=0,NA(),IFERROR('Pay App 47'!F80/'Summary Sheet'!$D$19,""))</f>
        <v>#N/A</v>
      </c>
      <c r="CU27" s="264"/>
      <c r="CV27" s="263" t="e">
        <f>IF('Pay App 48'!$H$149=0,NA(),IFERROR('Pay App 48'!F80/'Summary Sheet'!$D$19,""))</f>
        <v>#N/A</v>
      </c>
      <c r="CW27" s="264"/>
      <c r="CX27" s="276" t="e">
        <f>IF('Pay App 49'!$H$149=0,NA(),IFERROR('Pay App 49'!F80/'Summary Sheet'!$D$19,""))</f>
        <v>#N/A</v>
      </c>
      <c r="CY27" s="264"/>
      <c r="CZ27" s="263" t="e">
        <f>IF('Pay App 50'!$H$149=0,NA(),IFERROR('Pay App 50'!F80/'Summary Sheet'!$D$19,""))</f>
        <v>#N/A</v>
      </c>
      <c r="DA27" s="264"/>
      <c r="DB27" s="276" t="e">
        <f>IF('Pay App 51'!$H$149=0,NA(),IFERROR('Pay App 51'!F80/'Summary Sheet'!$D$19,""))</f>
        <v>#N/A</v>
      </c>
      <c r="DC27" s="264"/>
      <c r="DD27" s="263" t="e">
        <f>IF('Pay App 52'!$H$149=0,NA(),IFERROR('Pay App 52'!F80/'Summary Sheet'!$D$19,""))</f>
        <v>#N/A</v>
      </c>
      <c r="DE27" s="264"/>
      <c r="DF27" s="276" t="e">
        <f>IF('Pay App 53'!$H$149=0,NA(),IFERROR('Pay App 53'!F80/'Summary Sheet'!$D$19,""))</f>
        <v>#N/A</v>
      </c>
      <c r="DG27" s="264"/>
      <c r="DH27" s="263" t="e">
        <f>IF('Pay App 54'!$H$149=0,NA(),IFERROR('Pay App 54'!F80/'Summary Sheet'!$D$19,""))</f>
        <v>#N/A</v>
      </c>
      <c r="DI27" s="264"/>
      <c r="DJ27" s="276" t="e">
        <f>IF('Pay App 55'!$H$149=0,NA(),IFERROR('Pay App 55'!F80/'Summary Sheet'!$D$19,""))</f>
        <v>#N/A</v>
      </c>
      <c r="DK27" s="264"/>
      <c r="DL27" s="263" t="e">
        <f>IF('Pay App 56'!$H$149=0,NA(),IFERROR('Pay App 56'!F80/'Summary Sheet'!$D$19,""))</f>
        <v>#N/A</v>
      </c>
      <c r="DM27" s="264"/>
      <c r="DN27" s="276" t="e">
        <f>IF('Pay App 57'!$H$149=0,NA(),IFERROR('Pay App 57'!F80/'Summary Sheet'!$D$19,""))</f>
        <v>#N/A</v>
      </c>
      <c r="DO27" s="264"/>
      <c r="DP27" s="263" t="e">
        <f>IF('Pay App 58'!$H$149=0,NA(),IFERROR('Pay App 58'!F80/'Summary Sheet'!$D$19,""))</f>
        <v>#N/A</v>
      </c>
      <c r="DQ27" s="264"/>
      <c r="DR27" s="276" t="e">
        <f>IF('Pay App 59'!$H$149=0,NA(),IFERROR('Pay App 59'!F80/'Summary Sheet'!$D$19,""))</f>
        <v>#N/A</v>
      </c>
      <c r="DS27" s="264"/>
      <c r="DT27" s="263" t="e">
        <f>IF('Pay App 60'!$H$149=0,NA(),IFERROR('Pay App 60'!F80/'Summary Sheet'!$D$19,""))</f>
        <v>#N/A</v>
      </c>
      <c r="DU27" s="296"/>
    </row>
    <row r="28" spans="2:125" x14ac:dyDescent="0.25">
      <c r="B28" s="40" t="str">
        <f>'Pay App 1'!B81</f>
        <v>05 70 00</v>
      </c>
      <c r="C28" s="41" t="str">
        <f>'Pay App 1'!C81</f>
        <v>Ornamental Metal</v>
      </c>
      <c r="D28" s="282" t="str" cm="1">
        <f t="array" ref="D28">IFERROR(1+(LOOKUP(2,1/(E28:DT28&lt;&gt;""),E28:DT28)-E28)/E28,"")</f>
        <v/>
      </c>
      <c r="E28" s="275" t="str">
        <f>IFERROR('GMP Tracker'!D32/'Summary Sheet'!$D$19,"")</f>
        <v/>
      </c>
      <c r="F28" s="276" t="e">
        <f>IF('Pay App 1'!$D$149=0,NA(),IFERROR('Pay App 1'!F81/'Summary Sheet'!$D$19,""))</f>
        <v>#N/A</v>
      </c>
      <c r="G28" s="271"/>
      <c r="H28" s="277" t="e">
        <f>IF('Pay App 2'!$H$149=0,NA(),IFERROR('Pay App 2'!F81/'Summary Sheet'!$D$19,""))</f>
        <v>#N/A</v>
      </c>
      <c r="I28" s="266"/>
      <c r="J28" s="276" t="e">
        <f>IF('Pay App 3'!$H$149=0,NA(),IFERROR('Pay App 3'!F81/'Summary Sheet'!$D$19,""))</f>
        <v>#N/A</v>
      </c>
      <c r="K28" s="268"/>
      <c r="L28" s="277" t="e">
        <f>IF('Pay App 4'!$H$149=0,NA(),IFERROR('Pay App 4'!F81/'Summary Sheet'!$D$19,""))</f>
        <v>#N/A</v>
      </c>
      <c r="M28" s="266"/>
      <c r="N28" s="276" t="e">
        <f>IF('Pay App 5'!$H$149=0,NA(),IFERROR('Pay App 5'!F81/'Summary Sheet'!$D$19,""))</f>
        <v>#N/A</v>
      </c>
      <c r="O28" s="263"/>
      <c r="P28" s="277" t="e">
        <f>IF('Pay App 6'!$H$149=0,NA(),IFERROR('Pay App 6'!F81/'Summary Sheet'!$D$19,""))</f>
        <v>#N/A</v>
      </c>
      <c r="Q28" s="263"/>
      <c r="R28" s="276" t="e">
        <f>IF('Pay App 7'!$H$149=0,NA(),IFERROR('Pay App 7'!F81/'Summary Sheet'!$D$19,""))</f>
        <v>#N/A</v>
      </c>
      <c r="S28" s="263"/>
      <c r="T28" s="277" t="e">
        <f>IF('Pay App 8'!$H$149=0,NA(),IFERROR('Pay App 8'!F81/'Summary Sheet'!$D$19,""))</f>
        <v>#N/A</v>
      </c>
      <c r="U28" s="263"/>
      <c r="V28" s="276" t="e">
        <f>IF('Pay App 9'!$H$149=0,NA(),IFERROR('Pay App 9'!F81/'Summary Sheet'!$D$19,""))</f>
        <v>#N/A</v>
      </c>
      <c r="W28" s="263"/>
      <c r="X28" s="277" t="e">
        <f>IF('Pay App 10'!$H$149=0,NA(),IFERROR('Pay App 10'!F81/'Summary Sheet'!$D$19,""))</f>
        <v>#N/A</v>
      </c>
      <c r="Y28" s="263"/>
      <c r="Z28" s="276" t="e">
        <f>IF('Pay App 11'!$H$149=0,NA(),IFERROR('Pay App 11'!F81/'Summary Sheet'!$D$19,""))</f>
        <v>#N/A</v>
      </c>
      <c r="AA28" s="263"/>
      <c r="AB28" s="277" t="e">
        <f>IF('Pay App 12'!$H$149=0,NA(),IFERROR('Pay App 12'!F81/'Summary Sheet'!$D$19,""))</f>
        <v>#N/A</v>
      </c>
      <c r="AC28" s="263"/>
      <c r="AD28" s="276" t="e">
        <f>IF('Pay App 13'!$H$149=0,NA(),IFERROR('Pay App 13'!F81/'Summary Sheet'!$D$19,""))</f>
        <v>#N/A</v>
      </c>
      <c r="AE28" s="263"/>
      <c r="AF28" s="277" t="e">
        <f>IF('Pay App 14'!$H$149=0,NA(),IFERROR('Pay App 14'!F81/'Summary Sheet'!$D$19,""))</f>
        <v>#N/A</v>
      </c>
      <c r="AG28" s="263"/>
      <c r="AH28" s="276" t="e">
        <f>IF('Pay App 15'!$H$149=0,NA(),IFERROR('Pay App 15'!F81/'Summary Sheet'!$D$19,""))</f>
        <v>#N/A</v>
      </c>
      <c r="AI28" s="263"/>
      <c r="AJ28" s="277" t="e">
        <f>IF('Pay App 16'!$H$149=0,NA(),IFERROR('Pay App 16'!F81/'Summary Sheet'!$D$19,""))</f>
        <v>#N/A</v>
      </c>
      <c r="AK28" s="263"/>
      <c r="AL28" s="276" t="e">
        <f>IF('Pay App 17'!$H$149=0,NA(),IFERROR('Pay App 17'!F81/'Summary Sheet'!$D$19,""))</f>
        <v>#N/A</v>
      </c>
      <c r="AM28" s="263"/>
      <c r="AN28" s="277" t="e">
        <f>IF('Pay App 18'!$H$149=0,NA(),IFERROR('Pay App 18'!F81/'Summary Sheet'!$D$19,""))</f>
        <v>#N/A</v>
      </c>
      <c r="AO28" s="263"/>
      <c r="AP28" s="276" t="e">
        <f>IF('Pay App 19'!$H$149=0,NA(),IFERROR('Pay App 19'!F81/'Summary Sheet'!$D$19,""))</f>
        <v>#N/A</v>
      </c>
      <c r="AQ28" s="263"/>
      <c r="AR28" s="263" t="e">
        <f>IF('Pay App 20'!$H$149=0,NA(),IFERROR('Pay App 20'!F81/'Summary Sheet'!$D$19,""))</f>
        <v>#N/A</v>
      </c>
      <c r="AS28" s="264"/>
      <c r="AT28" s="276" t="e">
        <f>IF('Pay App 21'!$H$149=0,NA(),IFERROR('Pay App 21'!F81/'Summary Sheet'!$D$19,""))</f>
        <v>#N/A</v>
      </c>
      <c r="AU28" s="264"/>
      <c r="AV28" s="263" t="e">
        <f>IF('Pay App 22'!$H$149=0,NA(),IFERROR('Pay App 22'!F81/'Summary Sheet'!$D$19,""))</f>
        <v>#N/A</v>
      </c>
      <c r="AW28" s="264"/>
      <c r="AX28" s="276" t="e">
        <f>IF('Pay App 23'!$H$149=0,NA(),IFERROR('Pay App 23'!F81/'Summary Sheet'!$D$19,""))</f>
        <v>#N/A</v>
      </c>
      <c r="AY28" s="264"/>
      <c r="AZ28" s="263" t="e">
        <f>IF('Pay App 24'!$H$149=0,NA(),IFERROR('Pay App 24'!F81/'Summary Sheet'!$D$19,""))</f>
        <v>#N/A</v>
      </c>
      <c r="BA28" s="264"/>
      <c r="BB28" s="276" t="e">
        <f>IF('Pay App 25'!$H$149=0,NA(),IFERROR('Pay App 25'!F81/'Summary Sheet'!$D$19,""))</f>
        <v>#N/A</v>
      </c>
      <c r="BC28" s="264"/>
      <c r="BD28" s="263" t="e">
        <f>IF('Pay App 26'!$H$149=0,NA(),IFERROR('Pay App 26'!F81/'Summary Sheet'!$D$19,""))</f>
        <v>#N/A</v>
      </c>
      <c r="BE28" s="264"/>
      <c r="BF28" s="276" t="e">
        <f>IF('Pay App 27'!$H$149=0,NA(),IFERROR('Pay App 27'!F81/'Summary Sheet'!$D$19,""))</f>
        <v>#N/A</v>
      </c>
      <c r="BG28" s="264"/>
      <c r="BH28" s="263" t="e">
        <f>IF('Pay App 28'!$H$149=0,NA(),IFERROR('Pay App 28'!F81/'Summary Sheet'!$D$19,""))</f>
        <v>#N/A</v>
      </c>
      <c r="BI28" s="264"/>
      <c r="BJ28" s="276" t="e">
        <f>IF('Pay App 29'!$H$149=0,NA(),IFERROR('Pay App 29'!F81/'Summary Sheet'!$D$19,""))</f>
        <v>#N/A</v>
      </c>
      <c r="BK28" s="271"/>
      <c r="BL28" s="263" t="e">
        <f>IF('Pay App 30'!$H$149=0,NA(),IFERROR('Pay App 30'!F81/'Summary Sheet'!$D$19,""))</f>
        <v>#N/A</v>
      </c>
      <c r="BM28" s="264"/>
      <c r="BN28" s="276" t="e">
        <f>IF('Pay App 31'!$H$149=0,NA(),IFERROR('Pay App 31'!F81/'Summary Sheet'!$D$19,""))</f>
        <v>#N/A</v>
      </c>
      <c r="BO28" s="264"/>
      <c r="BP28" s="263" t="e">
        <f>IF('Pay App 32'!$H$149=0,NA(),IFERROR('Pay App 32'!F81/'Summary Sheet'!$D$19,""))</f>
        <v>#N/A</v>
      </c>
      <c r="BQ28" s="264"/>
      <c r="BR28" s="276" t="e">
        <f>IF('Pay App 33'!$H$149=0,NA(),IFERROR('Pay App 33'!F81/'Summary Sheet'!$D$19,""))</f>
        <v>#N/A</v>
      </c>
      <c r="BS28" s="264"/>
      <c r="BT28" s="263" t="e">
        <f>IF('Pay App 34'!$H$149=0,NA(),IFERROR('Pay App 34'!F81/'Summary Sheet'!$D$19,""))</f>
        <v>#N/A</v>
      </c>
      <c r="BU28" s="264"/>
      <c r="BV28" s="276" t="e">
        <f>IF('Pay App 35'!$H$149=0,NA(),IFERROR('Pay App 35'!F81/'Summary Sheet'!$D$19,""))</f>
        <v>#N/A</v>
      </c>
      <c r="BW28" s="264"/>
      <c r="BX28" s="263" t="e">
        <f>IF('Pay App 36'!$H$149=0,NA(),IFERROR('Pay App 36'!F81/'Summary Sheet'!$D$19,""))</f>
        <v>#N/A</v>
      </c>
      <c r="BY28" s="264"/>
      <c r="BZ28" s="276" t="e">
        <f>IF('Pay App 37'!$H$149=0,NA(),IFERROR('Pay App 37'!F81/'Summary Sheet'!$D$19,""))</f>
        <v>#N/A</v>
      </c>
      <c r="CA28" s="264"/>
      <c r="CB28" s="263" t="e">
        <f>IF('Pay App 38'!$H$149=0,NA(),IFERROR('Pay App 38'!F81/'Summary Sheet'!$D$19,""))</f>
        <v>#N/A</v>
      </c>
      <c r="CC28" s="264"/>
      <c r="CD28" s="276" t="e">
        <f>IF('Pay App 39'!$H$149=0,NA(),IFERROR('Pay App 39'!F81/'Summary Sheet'!$D$19,""))</f>
        <v>#N/A</v>
      </c>
      <c r="CE28" s="264"/>
      <c r="CF28" s="263" t="e">
        <f>IF('Pay App 40'!$H$149=0,NA(),IFERROR('Pay App 40'!F81/'Summary Sheet'!$D$19,""))</f>
        <v>#N/A</v>
      </c>
      <c r="CG28" s="264"/>
      <c r="CH28" s="276" t="e">
        <f>IF('Pay App 41'!$H$149=0,NA(),IFERROR('Pay App 41'!F81/'Summary Sheet'!$D$19,""))</f>
        <v>#N/A</v>
      </c>
      <c r="CI28" s="264"/>
      <c r="CJ28" s="263" t="e">
        <f>IF('Pay App 42'!$H$149=0,NA(),IFERROR('Pay App 42'!F81/'Summary Sheet'!$D$19,""))</f>
        <v>#N/A</v>
      </c>
      <c r="CK28" s="264"/>
      <c r="CL28" s="276" t="e">
        <f>IF('Pay App 43'!$H$149=0,NA(),IFERROR('Pay App 43'!F81/'Summary Sheet'!$D$19,""))</f>
        <v>#N/A</v>
      </c>
      <c r="CM28" s="264"/>
      <c r="CN28" s="263" t="e">
        <f>IF('Pay App 44'!$H$149=0,NA(),IFERROR('Pay App 44'!F81/'Summary Sheet'!$D$19,""))</f>
        <v>#N/A</v>
      </c>
      <c r="CO28" s="264"/>
      <c r="CP28" s="276" t="e">
        <f>IF('Pay App 45'!$H$149=0,NA(),IFERROR('Pay App 45'!F81/'Summary Sheet'!$D$19,""))</f>
        <v>#N/A</v>
      </c>
      <c r="CQ28" s="264"/>
      <c r="CR28" s="263" t="e">
        <f>IF('Pay App 46'!$H$149=0,NA(),IFERROR('Pay App 46'!F81/'Summary Sheet'!$D$19,""))</f>
        <v>#N/A</v>
      </c>
      <c r="CS28" s="264"/>
      <c r="CT28" s="276" t="e">
        <f>IF('Pay App 47'!$H$149=0,NA(),IFERROR('Pay App 47'!F81/'Summary Sheet'!$D$19,""))</f>
        <v>#N/A</v>
      </c>
      <c r="CU28" s="264"/>
      <c r="CV28" s="263" t="e">
        <f>IF('Pay App 48'!$H$149=0,NA(),IFERROR('Pay App 48'!F81/'Summary Sheet'!$D$19,""))</f>
        <v>#N/A</v>
      </c>
      <c r="CW28" s="264"/>
      <c r="CX28" s="276" t="e">
        <f>IF('Pay App 49'!$H$149=0,NA(),IFERROR('Pay App 49'!F81/'Summary Sheet'!$D$19,""))</f>
        <v>#N/A</v>
      </c>
      <c r="CY28" s="264"/>
      <c r="CZ28" s="263" t="e">
        <f>IF('Pay App 50'!$H$149=0,NA(),IFERROR('Pay App 50'!F81/'Summary Sheet'!$D$19,""))</f>
        <v>#N/A</v>
      </c>
      <c r="DA28" s="264"/>
      <c r="DB28" s="276" t="e">
        <f>IF('Pay App 51'!$H$149=0,NA(),IFERROR('Pay App 51'!F81/'Summary Sheet'!$D$19,""))</f>
        <v>#N/A</v>
      </c>
      <c r="DC28" s="264"/>
      <c r="DD28" s="263" t="e">
        <f>IF('Pay App 52'!$H$149=0,NA(),IFERROR('Pay App 52'!F81/'Summary Sheet'!$D$19,""))</f>
        <v>#N/A</v>
      </c>
      <c r="DE28" s="264"/>
      <c r="DF28" s="276" t="e">
        <f>IF('Pay App 53'!$H$149=0,NA(),IFERROR('Pay App 53'!F81/'Summary Sheet'!$D$19,""))</f>
        <v>#N/A</v>
      </c>
      <c r="DG28" s="264"/>
      <c r="DH28" s="263" t="e">
        <f>IF('Pay App 54'!$H$149=0,NA(),IFERROR('Pay App 54'!F81/'Summary Sheet'!$D$19,""))</f>
        <v>#N/A</v>
      </c>
      <c r="DI28" s="264"/>
      <c r="DJ28" s="276" t="e">
        <f>IF('Pay App 55'!$H$149=0,NA(),IFERROR('Pay App 55'!F81/'Summary Sheet'!$D$19,""))</f>
        <v>#N/A</v>
      </c>
      <c r="DK28" s="264"/>
      <c r="DL28" s="263" t="e">
        <f>IF('Pay App 56'!$H$149=0,NA(),IFERROR('Pay App 56'!F81/'Summary Sheet'!$D$19,""))</f>
        <v>#N/A</v>
      </c>
      <c r="DM28" s="264"/>
      <c r="DN28" s="276" t="e">
        <f>IF('Pay App 57'!$H$149=0,NA(),IFERROR('Pay App 57'!F81/'Summary Sheet'!$D$19,""))</f>
        <v>#N/A</v>
      </c>
      <c r="DO28" s="264"/>
      <c r="DP28" s="263" t="e">
        <f>IF('Pay App 58'!$H$149=0,NA(),IFERROR('Pay App 58'!F81/'Summary Sheet'!$D$19,""))</f>
        <v>#N/A</v>
      </c>
      <c r="DQ28" s="264"/>
      <c r="DR28" s="276" t="e">
        <f>IF('Pay App 59'!$H$149=0,NA(),IFERROR('Pay App 59'!F81/'Summary Sheet'!$D$19,""))</f>
        <v>#N/A</v>
      </c>
      <c r="DS28" s="264"/>
      <c r="DT28" s="263" t="e">
        <f>IF('Pay App 60'!$H$149=0,NA(),IFERROR('Pay App 60'!F81/'Summary Sheet'!$D$19,""))</f>
        <v>#N/A</v>
      </c>
      <c r="DU28" s="296"/>
    </row>
    <row r="29" spans="2:125" x14ac:dyDescent="0.25">
      <c r="B29" s="48" t="str">
        <f>'Pay App 1'!B82</f>
        <v>06 10 00</v>
      </c>
      <c r="C29" s="24" t="str">
        <f>'Pay App 1'!C82</f>
        <v>Rough Carpentry</v>
      </c>
      <c r="D29" s="282" t="str" cm="1">
        <f t="array" ref="D29">IFERROR(1+(LOOKUP(2,1/(E29:DT29&lt;&gt;""),E29:DT29)-E29)/E29,"")</f>
        <v/>
      </c>
      <c r="E29" s="275" t="str">
        <f>IFERROR('GMP Tracker'!D33/'Summary Sheet'!$D$19,"")</f>
        <v/>
      </c>
      <c r="F29" s="276" t="e">
        <f>IF('Pay App 1'!$D$149=0,NA(),IFERROR('Pay App 1'!F82/'Summary Sheet'!$D$19,""))</f>
        <v>#N/A</v>
      </c>
      <c r="G29" s="271"/>
      <c r="H29" s="277" t="e">
        <f>IF('Pay App 2'!$H$149=0,NA(),IFERROR('Pay App 2'!F82/'Summary Sheet'!$D$19,""))</f>
        <v>#N/A</v>
      </c>
      <c r="I29" s="266"/>
      <c r="J29" s="276" t="e">
        <f>IF('Pay App 3'!$H$149=0,NA(),IFERROR('Pay App 3'!F82/'Summary Sheet'!$D$19,""))</f>
        <v>#N/A</v>
      </c>
      <c r="K29" s="268"/>
      <c r="L29" s="277" t="e">
        <f>IF('Pay App 4'!$H$149=0,NA(),IFERROR('Pay App 4'!F82/'Summary Sheet'!$D$19,""))</f>
        <v>#N/A</v>
      </c>
      <c r="M29" s="266"/>
      <c r="N29" s="276" t="e">
        <f>IF('Pay App 5'!$H$149=0,NA(),IFERROR('Pay App 5'!F82/'Summary Sheet'!$D$19,""))</f>
        <v>#N/A</v>
      </c>
      <c r="O29" s="263"/>
      <c r="P29" s="277" t="e">
        <f>IF('Pay App 6'!$H$149=0,NA(),IFERROR('Pay App 6'!F82/'Summary Sheet'!$D$19,""))</f>
        <v>#N/A</v>
      </c>
      <c r="Q29" s="263"/>
      <c r="R29" s="276" t="e">
        <f>IF('Pay App 7'!$H$149=0,NA(),IFERROR('Pay App 7'!F82/'Summary Sheet'!$D$19,""))</f>
        <v>#N/A</v>
      </c>
      <c r="S29" s="263"/>
      <c r="T29" s="277" t="e">
        <f>IF('Pay App 8'!$H$149=0,NA(),IFERROR('Pay App 8'!F82/'Summary Sheet'!$D$19,""))</f>
        <v>#N/A</v>
      </c>
      <c r="U29" s="263"/>
      <c r="V29" s="276" t="e">
        <f>IF('Pay App 9'!$H$149=0,NA(),IFERROR('Pay App 9'!F82/'Summary Sheet'!$D$19,""))</f>
        <v>#N/A</v>
      </c>
      <c r="W29" s="263"/>
      <c r="X29" s="277" t="e">
        <f>IF('Pay App 10'!$H$149=0,NA(),IFERROR('Pay App 10'!F82/'Summary Sheet'!$D$19,""))</f>
        <v>#N/A</v>
      </c>
      <c r="Y29" s="263"/>
      <c r="Z29" s="276" t="e">
        <f>IF('Pay App 11'!$H$149=0,NA(),IFERROR('Pay App 11'!F82/'Summary Sheet'!$D$19,""))</f>
        <v>#N/A</v>
      </c>
      <c r="AA29" s="263"/>
      <c r="AB29" s="277" t="e">
        <f>IF('Pay App 12'!$H$149=0,NA(),IFERROR('Pay App 12'!F82/'Summary Sheet'!$D$19,""))</f>
        <v>#N/A</v>
      </c>
      <c r="AC29" s="263"/>
      <c r="AD29" s="276" t="e">
        <f>IF('Pay App 13'!$H$149=0,NA(),IFERROR('Pay App 13'!F82/'Summary Sheet'!$D$19,""))</f>
        <v>#N/A</v>
      </c>
      <c r="AE29" s="263"/>
      <c r="AF29" s="277" t="e">
        <f>IF('Pay App 14'!$H$149=0,NA(),IFERROR('Pay App 14'!F82/'Summary Sheet'!$D$19,""))</f>
        <v>#N/A</v>
      </c>
      <c r="AG29" s="263"/>
      <c r="AH29" s="276" t="e">
        <f>IF('Pay App 15'!$H$149=0,NA(),IFERROR('Pay App 15'!F82/'Summary Sheet'!$D$19,""))</f>
        <v>#N/A</v>
      </c>
      <c r="AI29" s="263"/>
      <c r="AJ29" s="277" t="e">
        <f>IF('Pay App 16'!$H$149=0,NA(),IFERROR('Pay App 16'!F82/'Summary Sheet'!$D$19,""))</f>
        <v>#N/A</v>
      </c>
      <c r="AK29" s="263"/>
      <c r="AL29" s="276" t="e">
        <f>IF('Pay App 17'!$H$149=0,NA(),IFERROR('Pay App 17'!F82/'Summary Sheet'!$D$19,""))</f>
        <v>#N/A</v>
      </c>
      <c r="AM29" s="263"/>
      <c r="AN29" s="277" t="e">
        <f>IF('Pay App 18'!$H$149=0,NA(),IFERROR('Pay App 18'!F82/'Summary Sheet'!$D$19,""))</f>
        <v>#N/A</v>
      </c>
      <c r="AO29" s="263"/>
      <c r="AP29" s="276" t="e">
        <f>IF('Pay App 19'!$H$149=0,NA(),IFERROR('Pay App 19'!F82/'Summary Sheet'!$D$19,""))</f>
        <v>#N/A</v>
      </c>
      <c r="AQ29" s="263"/>
      <c r="AR29" s="263" t="e">
        <f>IF('Pay App 20'!$H$149=0,NA(),IFERROR('Pay App 20'!F82/'Summary Sheet'!$D$19,""))</f>
        <v>#N/A</v>
      </c>
      <c r="AS29" s="264"/>
      <c r="AT29" s="276" t="e">
        <f>IF('Pay App 21'!$H$149=0,NA(),IFERROR('Pay App 21'!F82/'Summary Sheet'!$D$19,""))</f>
        <v>#N/A</v>
      </c>
      <c r="AU29" s="264"/>
      <c r="AV29" s="263" t="e">
        <f>IF('Pay App 22'!$H$149=0,NA(),IFERROR('Pay App 22'!F82/'Summary Sheet'!$D$19,""))</f>
        <v>#N/A</v>
      </c>
      <c r="AW29" s="264"/>
      <c r="AX29" s="276" t="e">
        <f>IF('Pay App 23'!$H$149=0,NA(),IFERROR('Pay App 23'!F82/'Summary Sheet'!$D$19,""))</f>
        <v>#N/A</v>
      </c>
      <c r="AY29" s="264"/>
      <c r="AZ29" s="263" t="e">
        <f>IF('Pay App 24'!$H$149=0,NA(),IFERROR('Pay App 24'!F82/'Summary Sheet'!$D$19,""))</f>
        <v>#N/A</v>
      </c>
      <c r="BA29" s="264"/>
      <c r="BB29" s="276" t="e">
        <f>IF('Pay App 25'!$H$149=0,NA(),IFERROR('Pay App 25'!F82/'Summary Sheet'!$D$19,""))</f>
        <v>#N/A</v>
      </c>
      <c r="BC29" s="264"/>
      <c r="BD29" s="263" t="e">
        <f>IF('Pay App 26'!$H$149=0,NA(),IFERROR('Pay App 26'!F82/'Summary Sheet'!$D$19,""))</f>
        <v>#N/A</v>
      </c>
      <c r="BE29" s="264"/>
      <c r="BF29" s="276" t="e">
        <f>IF('Pay App 27'!$H$149=0,NA(),IFERROR('Pay App 27'!F82/'Summary Sheet'!$D$19,""))</f>
        <v>#N/A</v>
      </c>
      <c r="BG29" s="264"/>
      <c r="BH29" s="263" t="e">
        <f>IF('Pay App 28'!$H$149=0,NA(),IFERROR('Pay App 28'!F82/'Summary Sheet'!$D$19,""))</f>
        <v>#N/A</v>
      </c>
      <c r="BI29" s="264"/>
      <c r="BJ29" s="276" t="e">
        <f>IF('Pay App 29'!$H$149=0,NA(),IFERROR('Pay App 29'!F82/'Summary Sheet'!$D$19,""))</f>
        <v>#N/A</v>
      </c>
      <c r="BK29" s="271"/>
      <c r="BL29" s="263" t="e">
        <f>IF('Pay App 30'!$H$149=0,NA(),IFERROR('Pay App 30'!F82/'Summary Sheet'!$D$19,""))</f>
        <v>#N/A</v>
      </c>
      <c r="BM29" s="264"/>
      <c r="BN29" s="276" t="e">
        <f>IF('Pay App 31'!$H$149=0,NA(),IFERROR('Pay App 31'!F82/'Summary Sheet'!$D$19,""))</f>
        <v>#N/A</v>
      </c>
      <c r="BO29" s="264"/>
      <c r="BP29" s="263" t="e">
        <f>IF('Pay App 32'!$H$149=0,NA(),IFERROR('Pay App 32'!F82/'Summary Sheet'!$D$19,""))</f>
        <v>#N/A</v>
      </c>
      <c r="BQ29" s="264"/>
      <c r="BR29" s="276" t="e">
        <f>IF('Pay App 33'!$H$149=0,NA(),IFERROR('Pay App 33'!F82/'Summary Sheet'!$D$19,""))</f>
        <v>#N/A</v>
      </c>
      <c r="BS29" s="264"/>
      <c r="BT29" s="263" t="e">
        <f>IF('Pay App 34'!$H$149=0,NA(),IFERROR('Pay App 34'!F82/'Summary Sheet'!$D$19,""))</f>
        <v>#N/A</v>
      </c>
      <c r="BU29" s="264"/>
      <c r="BV29" s="276" t="e">
        <f>IF('Pay App 35'!$H$149=0,NA(),IFERROR('Pay App 35'!F82/'Summary Sheet'!$D$19,""))</f>
        <v>#N/A</v>
      </c>
      <c r="BW29" s="264"/>
      <c r="BX29" s="263" t="e">
        <f>IF('Pay App 36'!$H$149=0,NA(),IFERROR('Pay App 36'!F82/'Summary Sheet'!$D$19,""))</f>
        <v>#N/A</v>
      </c>
      <c r="BY29" s="264"/>
      <c r="BZ29" s="276" t="e">
        <f>IF('Pay App 37'!$H$149=0,NA(),IFERROR('Pay App 37'!F82/'Summary Sheet'!$D$19,""))</f>
        <v>#N/A</v>
      </c>
      <c r="CA29" s="264"/>
      <c r="CB29" s="263" t="e">
        <f>IF('Pay App 38'!$H$149=0,NA(),IFERROR('Pay App 38'!F82/'Summary Sheet'!$D$19,""))</f>
        <v>#N/A</v>
      </c>
      <c r="CC29" s="264"/>
      <c r="CD29" s="276" t="e">
        <f>IF('Pay App 39'!$H$149=0,NA(),IFERROR('Pay App 39'!F82/'Summary Sheet'!$D$19,""))</f>
        <v>#N/A</v>
      </c>
      <c r="CE29" s="264"/>
      <c r="CF29" s="263" t="e">
        <f>IF('Pay App 40'!$H$149=0,NA(),IFERROR('Pay App 40'!F82/'Summary Sheet'!$D$19,""))</f>
        <v>#N/A</v>
      </c>
      <c r="CG29" s="264"/>
      <c r="CH29" s="276" t="e">
        <f>IF('Pay App 41'!$H$149=0,NA(),IFERROR('Pay App 41'!F82/'Summary Sheet'!$D$19,""))</f>
        <v>#N/A</v>
      </c>
      <c r="CI29" s="264"/>
      <c r="CJ29" s="263" t="e">
        <f>IF('Pay App 42'!$H$149=0,NA(),IFERROR('Pay App 42'!F82/'Summary Sheet'!$D$19,""))</f>
        <v>#N/A</v>
      </c>
      <c r="CK29" s="264"/>
      <c r="CL29" s="276" t="e">
        <f>IF('Pay App 43'!$H$149=0,NA(),IFERROR('Pay App 43'!F82/'Summary Sheet'!$D$19,""))</f>
        <v>#N/A</v>
      </c>
      <c r="CM29" s="264"/>
      <c r="CN29" s="263" t="e">
        <f>IF('Pay App 44'!$H$149=0,NA(),IFERROR('Pay App 44'!F82/'Summary Sheet'!$D$19,""))</f>
        <v>#N/A</v>
      </c>
      <c r="CO29" s="264"/>
      <c r="CP29" s="276" t="e">
        <f>IF('Pay App 45'!$H$149=0,NA(),IFERROR('Pay App 45'!F82/'Summary Sheet'!$D$19,""))</f>
        <v>#N/A</v>
      </c>
      <c r="CQ29" s="264"/>
      <c r="CR29" s="263" t="e">
        <f>IF('Pay App 46'!$H$149=0,NA(),IFERROR('Pay App 46'!F82/'Summary Sheet'!$D$19,""))</f>
        <v>#N/A</v>
      </c>
      <c r="CS29" s="264"/>
      <c r="CT29" s="276" t="e">
        <f>IF('Pay App 47'!$H$149=0,NA(),IFERROR('Pay App 47'!F82/'Summary Sheet'!$D$19,""))</f>
        <v>#N/A</v>
      </c>
      <c r="CU29" s="264"/>
      <c r="CV29" s="263" t="e">
        <f>IF('Pay App 48'!$H$149=0,NA(),IFERROR('Pay App 48'!F82/'Summary Sheet'!$D$19,""))</f>
        <v>#N/A</v>
      </c>
      <c r="CW29" s="264"/>
      <c r="CX29" s="276" t="e">
        <f>IF('Pay App 49'!$H$149=0,NA(),IFERROR('Pay App 49'!F82/'Summary Sheet'!$D$19,""))</f>
        <v>#N/A</v>
      </c>
      <c r="CY29" s="264"/>
      <c r="CZ29" s="263" t="e">
        <f>IF('Pay App 50'!$H$149=0,NA(),IFERROR('Pay App 50'!F82/'Summary Sheet'!$D$19,""))</f>
        <v>#N/A</v>
      </c>
      <c r="DA29" s="264"/>
      <c r="DB29" s="276" t="e">
        <f>IF('Pay App 51'!$H$149=0,NA(),IFERROR('Pay App 51'!F82/'Summary Sheet'!$D$19,""))</f>
        <v>#N/A</v>
      </c>
      <c r="DC29" s="264"/>
      <c r="DD29" s="263" t="e">
        <f>IF('Pay App 52'!$H$149=0,NA(),IFERROR('Pay App 52'!F82/'Summary Sheet'!$D$19,""))</f>
        <v>#N/A</v>
      </c>
      <c r="DE29" s="264"/>
      <c r="DF29" s="276" t="e">
        <f>IF('Pay App 53'!$H$149=0,NA(),IFERROR('Pay App 53'!F82/'Summary Sheet'!$D$19,""))</f>
        <v>#N/A</v>
      </c>
      <c r="DG29" s="264"/>
      <c r="DH29" s="263" t="e">
        <f>IF('Pay App 54'!$H$149=0,NA(),IFERROR('Pay App 54'!F82/'Summary Sheet'!$D$19,""))</f>
        <v>#N/A</v>
      </c>
      <c r="DI29" s="264"/>
      <c r="DJ29" s="276" t="e">
        <f>IF('Pay App 55'!$H$149=0,NA(),IFERROR('Pay App 55'!F82/'Summary Sheet'!$D$19,""))</f>
        <v>#N/A</v>
      </c>
      <c r="DK29" s="264"/>
      <c r="DL29" s="263" t="e">
        <f>IF('Pay App 56'!$H$149=0,NA(),IFERROR('Pay App 56'!F82/'Summary Sheet'!$D$19,""))</f>
        <v>#N/A</v>
      </c>
      <c r="DM29" s="264"/>
      <c r="DN29" s="276" t="e">
        <f>IF('Pay App 57'!$H$149=0,NA(),IFERROR('Pay App 57'!F82/'Summary Sheet'!$D$19,""))</f>
        <v>#N/A</v>
      </c>
      <c r="DO29" s="264"/>
      <c r="DP29" s="263" t="e">
        <f>IF('Pay App 58'!$H$149=0,NA(),IFERROR('Pay App 58'!F82/'Summary Sheet'!$D$19,""))</f>
        <v>#N/A</v>
      </c>
      <c r="DQ29" s="264"/>
      <c r="DR29" s="276" t="e">
        <f>IF('Pay App 59'!$H$149=0,NA(),IFERROR('Pay App 59'!F82/'Summary Sheet'!$D$19,""))</f>
        <v>#N/A</v>
      </c>
      <c r="DS29" s="264"/>
      <c r="DT29" s="263" t="e">
        <f>IF('Pay App 60'!$H$149=0,NA(),IFERROR('Pay App 60'!F82/'Summary Sheet'!$D$19,""))</f>
        <v>#N/A</v>
      </c>
      <c r="DU29" s="296"/>
    </row>
    <row r="30" spans="2:125" x14ac:dyDescent="0.25">
      <c r="B30" s="48" t="str">
        <f>'Pay App 1'!B83</f>
        <v>06 40 00</v>
      </c>
      <c r="C30" s="24" t="str">
        <f>'Pay App 1'!C83</f>
        <v>Arch. Woodwork &amp; Finish Carp.</v>
      </c>
      <c r="D30" s="282" t="str" cm="1">
        <f t="array" ref="D30">IFERROR(1+(LOOKUP(2,1/(E30:DT30&lt;&gt;""),E30:DT30)-E30)/E30,"")</f>
        <v/>
      </c>
      <c r="E30" s="275" t="str">
        <f>IFERROR('GMP Tracker'!D34/'Summary Sheet'!$D$19,"")</f>
        <v/>
      </c>
      <c r="F30" s="276" t="e">
        <f>IF('Pay App 1'!$D$149=0,NA(),IFERROR('Pay App 1'!F83/'Summary Sheet'!$D$19,""))</f>
        <v>#N/A</v>
      </c>
      <c r="G30" s="271"/>
      <c r="H30" s="277" t="e">
        <f>IF('Pay App 2'!$H$149=0,NA(),IFERROR('Pay App 2'!F83/'Summary Sheet'!$D$19,""))</f>
        <v>#N/A</v>
      </c>
      <c r="I30" s="266"/>
      <c r="J30" s="276" t="e">
        <f>IF('Pay App 3'!$H$149=0,NA(),IFERROR('Pay App 3'!F83/'Summary Sheet'!$D$19,""))</f>
        <v>#N/A</v>
      </c>
      <c r="K30" s="268"/>
      <c r="L30" s="277" t="e">
        <f>IF('Pay App 4'!$H$149=0,NA(),IFERROR('Pay App 4'!F83/'Summary Sheet'!$D$19,""))</f>
        <v>#N/A</v>
      </c>
      <c r="M30" s="266"/>
      <c r="N30" s="276" t="e">
        <f>IF('Pay App 5'!$H$149=0,NA(),IFERROR('Pay App 5'!F83/'Summary Sheet'!$D$19,""))</f>
        <v>#N/A</v>
      </c>
      <c r="O30" s="263"/>
      <c r="P30" s="277" t="e">
        <f>IF('Pay App 6'!$H$149=0,NA(),IFERROR('Pay App 6'!F83/'Summary Sheet'!$D$19,""))</f>
        <v>#N/A</v>
      </c>
      <c r="Q30" s="263"/>
      <c r="R30" s="276" t="e">
        <f>IF('Pay App 7'!$H$149=0,NA(),IFERROR('Pay App 7'!F83/'Summary Sheet'!$D$19,""))</f>
        <v>#N/A</v>
      </c>
      <c r="S30" s="263"/>
      <c r="T30" s="277" t="e">
        <f>IF('Pay App 8'!$H$149=0,NA(),IFERROR('Pay App 8'!F83/'Summary Sheet'!$D$19,""))</f>
        <v>#N/A</v>
      </c>
      <c r="U30" s="263"/>
      <c r="V30" s="276" t="e">
        <f>IF('Pay App 9'!$H$149=0,NA(),IFERROR('Pay App 9'!F83/'Summary Sheet'!$D$19,""))</f>
        <v>#N/A</v>
      </c>
      <c r="W30" s="263"/>
      <c r="X30" s="277" t="e">
        <f>IF('Pay App 10'!$H$149=0,NA(),IFERROR('Pay App 10'!F83/'Summary Sheet'!$D$19,""))</f>
        <v>#N/A</v>
      </c>
      <c r="Y30" s="263"/>
      <c r="Z30" s="276" t="e">
        <f>IF('Pay App 11'!$H$149=0,NA(),IFERROR('Pay App 11'!F83/'Summary Sheet'!$D$19,""))</f>
        <v>#N/A</v>
      </c>
      <c r="AA30" s="263"/>
      <c r="AB30" s="277" t="e">
        <f>IF('Pay App 12'!$H$149=0,NA(),IFERROR('Pay App 12'!F83/'Summary Sheet'!$D$19,""))</f>
        <v>#N/A</v>
      </c>
      <c r="AC30" s="263"/>
      <c r="AD30" s="276" t="e">
        <f>IF('Pay App 13'!$H$149=0,NA(),IFERROR('Pay App 13'!F83/'Summary Sheet'!$D$19,""))</f>
        <v>#N/A</v>
      </c>
      <c r="AE30" s="263"/>
      <c r="AF30" s="277" t="e">
        <f>IF('Pay App 14'!$H$149=0,NA(),IFERROR('Pay App 14'!F83/'Summary Sheet'!$D$19,""))</f>
        <v>#N/A</v>
      </c>
      <c r="AG30" s="263"/>
      <c r="AH30" s="276" t="e">
        <f>IF('Pay App 15'!$H$149=0,NA(),IFERROR('Pay App 15'!F83/'Summary Sheet'!$D$19,""))</f>
        <v>#N/A</v>
      </c>
      <c r="AI30" s="263"/>
      <c r="AJ30" s="277" t="e">
        <f>IF('Pay App 16'!$H$149=0,NA(),IFERROR('Pay App 16'!F83/'Summary Sheet'!$D$19,""))</f>
        <v>#N/A</v>
      </c>
      <c r="AK30" s="263"/>
      <c r="AL30" s="276" t="e">
        <f>IF('Pay App 17'!$H$149=0,NA(),IFERROR('Pay App 17'!F83/'Summary Sheet'!$D$19,""))</f>
        <v>#N/A</v>
      </c>
      <c r="AM30" s="263"/>
      <c r="AN30" s="277" t="e">
        <f>IF('Pay App 18'!$H$149=0,NA(),IFERROR('Pay App 18'!F83/'Summary Sheet'!$D$19,""))</f>
        <v>#N/A</v>
      </c>
      <c r="AO30" s="263"/>
      <c r="AP30" s="276" t="e">
        <f>IF('Pay App 19'!$H$149=0,NA(),IFERROR('Pay App 19'!F83/'Summary Sheet'!$D$19,""))</f>
        <v>#N/A</v>
      </c>
      <c r="AQ30" s="263"/>
      <c r="AR30" s="263" t="e">
        <f>IF('Pay App 20'!$H$149=0,NA(),IFERROR('Pay App 20'!F83/'Summary Sheet'!$D$19,""))</f>
        <v>#N/A</v>
      </c>
      <c r="AS30" s="264"/>
      <c r="AT30" s="276" t="e">
        <f>IF('Pay App 21'!$H$149=0,NA(),IFERROR('Pay App 21'!F83/'Summary Sheet'!$D$19,""))</f>
        <v>#N/A</v>
      </c>
      <c r="AU30" s="264"/>
      <c r="AV30" s="263" t="e">
        <f>IF('Pay App 22'!$H$149=0,NA(),IFERROR('Pay App 22'!F83/'Summary Sheet'!$D$19,""))</f>
        <v>#N/A</v>
      </c>
      <c r="AW30" s="264"/>
      <c r="AX30" s="276" t="e">
        <f>IF('Pay App 23'!$H$149=0,NA(),IFERROR('Pay App 23'!F83/'Summary Sheet'!$D$19,""))</f>
        <v>#N/A</v>
      </c>
      <c r="AY30" s="264"/>
      <c r="AZ30" s="263" t="e">
        <f>IF('Pay App 24'!$H$149=0,NA(),IFERROR('Pay App 24'!F83/'Summary Sheet'!$D$19,""))</f>
        <v>#N/A</v>
      </c>
      <c r="BA30" s="264"/>
      <c r="BB30" s="276" t="e">
        <f>IF('Pay App 25'!$H$149=0,NA(),IFERROR('Pay App 25'!F83/'Summary Sheet'!$D$19,""))</f>
        <v>#N/A</v>
      </c>
      <c r="BC30" s="264"/>
      <c r="BD30" s="263" t="e">
        <f>IF('Pay App 26'!$H$149=0,NA(),IFERROR('Pay App 26'!F83/'Summary Sheet'!$D$19,""))</f>
        <v>#N/A</v>
      </c>
      <c r="BE30" s="264"/>
      <c r="BF30" s="276" t="e">
        <f>IF('Pay App 27'!$H$149=0,NA(),IFERROR('Pay App 27'!F83/'Summary Sheet'!$D$19,""))</f>
        <v>#N/A</v>
      </c>
      <c r="BG30" s="264"/>
      <c r="BH30" s="263" t="e">
        <f>IF('Pay App 28'!$H$149=0,NA(),IFERROR('Pay App 28'!F83/'Summary Sheet'!$D$19,""))</f>
        <v>#N/A</v>
      </c>
      <c r="BI30" s="264"/>
      <c r="BJ30" s="276" t="e">
        <f>IF('Pay App 29'!$H$149=0,NA(),IFERROR('Pay App 29'!F83/'Summary Sheet'!$D$19,""))</f>
        <v>#N/A</v>
      </c>
      <c r="BK30" s="271"/>
      <c r="BL30" s="263" t="e">
        <f>IF('Pay App 30'!$H$149=0,NA(),IFERROR('Pay App 30'!F83/'Summary Sheet'!$D$19,""))</f>
        <v>#N/A</v>
      </c>
      <c r="BM30" s="264"/>
      <c r="BN30" s="276" t="e">
        <f>IF('Pay App 31'!$H$149=0,NA(),IFERROR('Pay App 31'!F83/'Summary Sheet'!$D$19,""))</f>
        <v>#N/A</v>
      </c>
      <c r="BO30" s="264"/>
      <c r="BP30" s="263" t="e">
        <f>IF('Pay App 32'!$H$149=0,NA(),IFERROR('Pay App 32'!F83/'Summary Sheet'!$D$19,""))</f>
        <v>#N/A</v>
      </c>
      <c r="BQ30" s="264"/>
      <c r="BR30" s="276" t="e">
        <f>IF('Pay App 33'!$H$149=0,NA(),IFERROR('Pay App 33'!F83/'Summary Sheet'!$D$19,""))</f>
        <v>#N/A</v>
      </c>
      <c r="BS30" s="264"/>
      <c r="BT30" s="263" t="e">
        <f>IF('Pay App 34'!$H$149=0,NA(),IFERROR('Pay App 34'!F83/'Summary Sheet'!$D$19,""))</f>
        <v>#N/A</v>
      </c>
      <c r="BU30" s="264"/>
      <c r="BV30" s="276" t="e">
        <f>IF('Pay App 35'!$H$149=0,NA(),IFERROR('Pay App 35'!F83/'Summary Sheet'!$D$19,""))</f>
        <v>#N/A</v>
      </c>
      <c r="BW30" s="264"/>
      <c r="BX30" s="263" t="e">
        <f>IF('Pay App 36'!$H$149=0,NA(),IFERROR('Pay App 36'!F83/'Summary Sheet'!$D$19,""))</f>
        <v>#N/A</v>
      </c>
      <c r="BY30" s="264"/>
      <c r="BZ30" s="276" t="e">
        <f>IF('Pay App 37'!$H$149=0,NA(),IFERROR('Pay App 37'!F83/'Summary Sheet'!$D$19,""))</f>
        <v>#N/A</v>
      </c>
      <c r="CA30" s="264"/>
      <c r="CB30" s="263" t="e">
        <f>IF('Pay App 38'!$H$149=0,NA(),IFERROR('Pay App 38'!F83/'Summary Sheet'!$D$19,""))</f>
        <v>#N/A</v>
      </c>
      <c r="CC30" s="264"/>
      <c r="CD30" s="276" t="e">
        <f>IF('Pay App 39'!$H$149=0,NA(),IFERROR('Pay App 39'!F83/'Summary Sheet'!$D$19,""))</f>
        <v>#N/A</v>
      </c>
      <c r="CE30" s="264"/>
      <c r="CF30" s="263" t="e">
        <f>IF('Pay App 40'!$H$149=0,NA(),IFERROR('Pay App 40'!F83/'Summary Sheet'!$D$19,""))</f>
        <v>#N/A</v>
      </c>
      <c r="CG30" s="264"/>
      <c r="CH30" s="276" t="e">
        <f>IF('Pay App 41'!$H$149=0,NA(),IFERROR('Pay App 41'!F83/'Summary Sheet'!$D$19,""))</f>
        <v>#N/A</v>
      </c>
      <c r="CI30" s="264"/>
      <c r="CJ30" s="263" t="e">
        <f>IF('Pay App 42'!$H$149=0,NA(),IFERROR('Pay App 42'!F83/'Summary Sheet'!$D$19,""))</f>
        <v>#N/A</v>
      </c>
      <c r="CK30" s="264"/>
      <c r="CL30" s="276" t="e">
        <f>IF('Pay App 43'!$H$149=0,NA(),IFERROR('Pay App 43'!F83/'Summary Sheet'!$D$19,""))</f>
        <v>#N/A</v>
      </c>
      <c r="CM30" s="264"/>
      <c r="CN30" s="263" t="e">
        <f>IF('Pay App 44'!$H$149=0,NA(),IFERROR('Pay App 44'!F83/'Summary Sheet'!$D$19,""))</f>
        <v>#N/A</v>
      </c>
      <c r="CO30" s="264"/>
      <c r="CP30" s="276" t="e">
        <f>IF('Pay App 45'!$H$149=0,NA(),IFERROR('Pay App 45'!F83/'Summary Sheet'!$D$19,""))</f>
        <v>#N/A</v>
      </c>
      <c r="CQ30" s="264"/>
      <c r="CR30" s="263" t="e">
        <f>IF('Pay App 46'!$H$149=0,NA(),IFERROR('Pay App 46'!F83/'Summary Sheet'!$D$19,""))</f>
        <v>#N/A</v>
      </c>
      <c r="CS30" s="264"/>
      <c r="CT30" s="276" t="e">
        <f>IF('Pay App 47'!$H$149=0,NA(),IFERROR('Pay App 47'!F83/'Summary Sheet'!$D$19,""))</f>
        <v>#N/A</v>
      </c>
      <c r="CU30" s="264"/>
      <c r="CV30" s="263" t="e">
        <f>IF('Pay App 48'!$H$149=0,NA(),IFERROR('Pay App 48'!F83/'Summary Sheet'!$D$19,""))</f>
        <v>#N/A</v>
      </c>
      <c r="CW30" s="264"/>
      <c r="CX30" s="276" t="e">
        <f>IF('Pay App 49'!$H$149=0,NA(),IFERROR('Pay App 49'!F83/'Summary Sheet'!$D$19,""))</f>
        <v>#N/A</v>
      </c>
      <c r="CY30" s="264"/>
      <c r="CZ30" s="263" t="e">
        <f>IF('Pay App 50'!$H$149=0,NA(),IFERROR('Pay App 50'!F83/'Summary Sheet'!$D$19,""))</f>
        <v>#N/A</v>
      </c>
      <c r="DA30" s="264"/>
      <c r="DB30" s="276" t="e">
        <f>IF('Pay App 51'!$H$149=0,NA(),IFERROR('Pay App 51'!F83/'Summary Sheet'!$D$19,""))</f>
        <v>#N/A</v>
      </c>
      <c r="DC30" s="264"/>
      <c r="DD30" s="263" t="e">
        <f>IF('Pay App 52'!$H$149=0,NA(),IFERROR('Pay App 52'!F83/'Summary Sheet'!$D$19,""))</f>
        <v>#N/A</v>
      </c>
      <c r="DE30" s="264"/>
      <c r="DF30" s="276" t="e">
        <f>IF('Pay App 53'!$H$149=0,NA(),IFERROR('Pay App 53'!F83/'Summary Sheet'!$D$19,""))</f>
        <v>#N/A</v>
      </c>
      <c r="DG30" s="264"/>
      <c r="DH30" s="263" t="e">
        <f>IF('Pay App 54'!$H$149=0,NA(),IFERROR('Pay App 54'!F83/'Summary Sheet'!$D$19,""))</f>
        <v>#N/A</v>
      </c>
      <c r="DI30" s="264"/>
      <c r="DJ30" s="276" t="e">
        <f>IF('Pay App 55'!$H$149=0,NA(),IFERROR('Pay App 55'!F83/'Summary Sheet'!$D$19,""))</f>
        <v>#N/A</v>
      </c>
      <c r="DK30" s="264"/>
      <c r="DL30" s="263" t="e">
        <f>IF('Pay App 56'!$H$149=0,NA(),IFERROR('Pay App 56'!F83/'Summary Sheet'!$D$19,""))</f>
        <v>#N/A</v>
      </c>
      <c r="DM30" s="264"/>
      <c r="DN30" s="276" t="e">
        <f>IF('Pay App 57'!$H$149=0,NA(),IFERROR('Pay App 57'!F83/'Summary Sheet'!$D$19,""))</f>
        <v>#N/A</v>
      </c>
      <c r="DO30" s="264"/>
      <c r="DP30" s="263" t="e">
        <f>IF('Pay App 58'!$H$149=0,NA(),IFERROR('Pay App 58'!F83/'Summary Sheet'!$D$19,""))</f>
        <v>#N/A</v>
      </c>
      <c r="DQ30" s="264"/>
      <c r="DR30" s="276" t="e">
        <f>IF('Pay App 59'!$H$149=0,NA(),IFERROR('Pay App 59'!F83/'Summary Sheet'!$D$19,""))</f>
        <v>#N/A</v>
      </c>
      <c r="DS30" s="264"/>
      <c r="DT30" s="263" t="e">
        <f>IF('Pay App 60'!$H$149=0,NA(),IFERROR('Pay App 60'!F83/'Summary Sheet'!$D$19,""))</f>
        <v>#N/A</v>
      </c>
      <c r="DU30" s="296"/>
    </row>
    <row r="31" spans="2:125" x14ac:dyDescent="0.25">
      <c r="B31" s="49" t="str">
        <f>'Pay App 1'!B84</f>
        <v>07 10 00</v>
      </c>
      <c r="C31" s="25" t="str">
        <f>'Pay App 1'!C84</f>
        <v>Waterproofing/Water Repellents</v>
      </c>
      <c r="D31" s="282" t="str" cm="1">
        <f t="array" ref="D31">IFERROR(1+(LOOKUP(2,1/(E31:DT31&lt;&gt;""),E31:DT31)-E31)/E31,"")</f>
        <v/>
      </c>
      <c r="E31" s="275" t="str">
        <f>IFERROR('GMP Tracker'!D35/'Summary Sheet'!$D$19,"")</f>
        <v/>
      </c>
      <c r="F31" s="276" t="e">
        <f>IF('Pay App 1'!$D$149=0,NA(),IFERROR('Pay App 1'!F84/'Summary Sheet'!$D$19,""))</f>
        <v>#N/A</v>
      </c>
      <c r="G31" s="271"/>
      <c r="H31" s="277" t="e">
        <f>IF('Pay App 2'!$H$149=0,NA(),IFERROR('Pay App 2'!F84/'Summary Sheet'!$D$19,""))</f>
        <v>#N/A</v>
      </c>
      <c r="I31" s="266"/>
      <c r="J31" s="276" t="e">
        <f>IF('Pay App 3'!$H$149=0,NA(),IFERROR('Pay App 3'!F84/'Summary Sheet'!$D$19,""))</f>
        <v>#N/A</v>
      </c>
      <c r="K31" s="268"/>
      <c r="L31" s="277" t="e">
        <f>IF('Pay App 4'!$H$149=0,NA(),IFERROR('Pay App 4'!F84/'Summary Sheet'!$D$19,""))</f>
        <v>#N/A</v>
      </c>
      <c r="M31" s="266"/>
      <c r="N31" s="276" t="e">
        <f>IF('Pay App 5'!$H$149=0,NA(),IFERROR('Pay App 5'!F84/'Summary Sheet'!$D$19,""))</f>
        <v>#N/A</v>
      </c>
      <c r="O31" s="263"/>
      <c r="P31" s="277" t="e">
        <f>IF('Pay App 6'!$H$149=0,NA(),IFERROR('Pay App 6'!F84/'Summary Sheet'!$D$19,""))</f>
        <v>#N/A</v>
      </c>
      <c r="Q31" s="263"/>
      <c r="R31" s="276" t="e">
        <f>IF('Pay App 7'!$H$149=0,NA(),IFERROR('Pay App 7'!F84/'Summary Sheet'!$D$19,""))</f>
        <v>#N/A</v>
      </c>
      <c r="S31" s="263"/>
      <c r="T31" s="277" t="e">
        <f>IF('Pay App 8'!$H$149=0,NA(),IFERROR('Pay App 8'!F84/'Summary Sheet'!$D$19,""))</f>
        <v>#N/A</v>
      </c>
      <c r="U31" s="263"/>
      <c r="V31" s="276" t="e">
        <f>IF('Pay App 9'!$H$149=0,NA(),IFERROR('Pay App 9'!F84/'Summary Sheet'!$D$19,""))</f>
        <v>#N/A</v>
      </c>
      <c r="W31" s="263"/>
      <c r="X31" s="277" t="e">
        <f>IF('Pay App 10'!$H$149=0,NA(),IFERROR('Pay App 10'!F84/'Summary Sheet'!$D$19,""))</f>
        <v>#N/A</v>
      </c>
      <c r="Y31" s="263"/>
      <c r="Z31" s="276" t="e">
        <f>IF('Pay App 11'!$H$149=0,NA(),IFERROR('Pay App 11'!F84/'Summary Sheet'!$D$19,""))</f>
        <v>#N/A</v>
      </c>
      <c r="AA31" s="263"/>
      <c r="AB31" s="277" t="e">
        <f>IF('Pay App 12'!$H$149=0,NA(),IFERROR('Pay App 12'!F84/'Summary Sheet'!$D$19,""))</f>
        <v>#N/A</v>
      </c>
      <c r="AC31" s="263"/>
      <c r="AD31" s="276" t="e">
        <f>IF('Pay App 13'!$H$149=0,NA(),IFERROR('Pay App 13'!F84/'Summary Sheet'!$D$19,""))</f>
        <v>#N/A</v>
      </c>
      <c r="AE31" s="263"/>
      <c r="AF31" s="277" t="e">
        <f>IF('Pay App 14'!$H$149=0,NA(),IFERROR('Pay App 14'!F84/'Summary Sheet'!$D$19,""))</f>
        <v>#N/A</v>
      </c>
      <c r="AG31" s="263"/>
      <c r="AH31" s="276" t="e">
        <f>IF('Pay App 15'!$H$149=0,NA(),IFERROR('Pay App 15'!F84/'Summary Sheet'!$D$19,""))</f>
        <v>#N/A</v>
      </c>
      <c r="AI31" s="263"/>
      <c r="AJ31" s="277" t="e">
        <f>IF('Pay App 16'!$H$149=0,NA(),IFERROR('Pay App 16'!F84/'Summary Sheet'!$D$19,""))</f>
        <v>#N/A</v>
      </c>
      <c r="AK31" s="263"/>
      <c r="AL31" s="276" t="e">
        <f>IF('Pay App 17'!$H$149=0,NA(),IFERROR('Pay App 17'!F84/'Summary Sheet'!$D$19,""))</f>
        <v>#N/A</v>
      </c>
      <c r="AM31" s="263"/>
      <c r="AN31" s="277" t="e">
        <f>IF('Pay App 18'!$H$149=0,NA(),IFERROR('Pay App 18'!F84/'Summary Sheet'!$D$19,""))</f>
        <v>#N/A</v>
      </c>
      <c r="AO31" s="263"/>
      <c r="AP31" s="276" t="e">
        <f>IF('Pay App 19'!$H$149=0,NA(),IFERROR('Pay App 19'!F84/'Summary Sheet'!$D$19,""))</f>
        <v>#N/A</v>
      </c>
      <c r="AQ31" s="263"/>
      <c r="AR31" s="263" t="e">
        <f>IF('Pay App 20'!$H$149=0,NA(),IFERROR('Pay App 20'!F84/'Summary Sheet'!$D$19,""))</f>
        <v>#N/A</v>
      </c>
      <c r="AS31" s="264"/>
      <c r="AT31" s="276" t="e">
        <f>IF('Pay App 21'!$H$149=0,NA(),IFERROR('Pay App 21'!F84/'Summary Sheet'!$D$19,""))</f>
        <v>#N/A</v>
      </c>
      <c r="AU31" s="264"/>
      <c r="AV31" s="263" t="e">
        <f>IF('Pay App 22'!$H$149=0,NA(),IFERROR('Pay App 22'!F84/'Summary Sheet'!$D$19,""))</f>
        <v>#N/A</v>
      </c>
      <c r="AW31" s="264"/>
      <c r="AX31" s="276" t="e">
        <f>IF('Pay App 23'!$H$149=0,NA(),IFERROR('Pay App 23'!F84/'Summary Sheet'!$D$19,""))</f>
        <v>#N/A</v>
      </c>
      <c r="AY31" s="264"/>
      <c r="AZ31" s="263" t="e">
        <f>IF('Pay App 24'!$H$149=0,NA(),IFERROR('Pay App 24'!F84/'Summary Sheet'!$D$19,""))</f>
        <v>#N/A</v>
      </c>
      <c r="BA31" s="264"/>
      <c r="BB31" s="276" t="e">
        <f>IF('Pay App 25'!$H$149=0,NA(),IFERROR('Pay App 25'!F84/'Summary Sheet'!$D$19,""))</f>
        <v>#N/A</v>
      </c>
      <c r="BC31" s="264"/>
      <c r="BD31" s="263" t="e">
        <f>IF('Pay App 26'!$H$149=0,NA(),IFERROR('Pay App 26'!F84/'Summary Sheet'!$D$19,""))</f>
        <v>#N/A</v>
      </c>
      <c r="BE31" s="264"/>
      <c r="BF31" s="276" t="e">
        <f>IF('Pay App 27'!$H$149=0,NA(),IFERROR('Pay App 27'!F84/'Summary Sheet'!$D$19,""))</f>
        <v>#N/A</v>
      </c>
      <c r="BG31" s="264"/>
      <c r="BH31" s="263" t="e">
        <f>IF('Pay App 28'!$H$149=0,NA(),IFERROR('Pay App 28'!F84/'Summary Sheet'!$D$19,""))</f>
        <v>#N/A</v>
      </c>
      <c r="BI31" s="264"/>
      <c r="BJ31" s="276" t="e">
        <f>IF('Pay App 29'!$H$149=0,NA(),IFERROR('Pay App 29'!F84/'Summary Sheet'!$D$19,""))</f>
        <v>#N/A</v>
      </c>
      <c r="BK31" s="271"/>
      <c r="BL31" s="263" t="e">
        <f>IF('Pay App 30'!$H$149=0,NA(),IFERROR('Pay App 30'!F84/'Summary Sheet'!$D$19,""))</f>
        <v>#N/A</v>
      </c>
      <c r="BM31" s="264"/>
      <c r="BN31" s="276" t="e">
        <f>IF('Pay App 31'!$H$149=0,NA(),IFERROR('Pay App 31'!F84/'Summary Sheet'!$D$19,""))</f>
        <v>#N/A</v>
      </c>
      <c r="BO31" s="264"/>
      <c r="BP31" s="263" t="e">
        <f>IF('Pay App 32'!$H$149=0,NA(),IFERROR('Pay App 32'!F84/'Summary Sheet'!$D$19,""))</f>
        <v>#N/A</v>
      </c>
      <c r="BQ31" s="264"/>
      <c r="BR31" s="276" t="e">
        <f>IF('Pay App 33'!$H$149=0,NA(),IFERROR('Pay App 33'!F84/'Summary Sheet'!$D$19,""))</f>
        <v>#N/A</v>
      </c>
      <c r="BS31" s="264"/>
      <c r="BT31" s="263" t="e">
        <f>IF('Pay App 34'!$H$149=0,NA(),IFERROR('Pay App 34'!F84/'Summary Sheet'!$D$19,""))</f>
        <v>#N/A</v>
      </c>
      <c r="BU31" s="264"/>
      <c r="BV31" s="276" t="e">
        <f>IF('Pay App 35'!$H$149=0,NA(),IFERROR('Pay App 35'!F84/'Summary Sheet'!$D$19,""))</f>
        <v>#N/A</v>
      </c>
      <c r="BW31" s="264"/>
      <c r="BX31" s="263" t="e">
        <f>IF('Pay App 36'!$H$149=0,NA(),IFERROR('Pay App 36'!F84/'Summary Sheet'!$D$19,""))</f>
        <v>#N/A</v>
      </c>
      <c r="BY31" s="264"/>
      <c r="BZ31" s="276" t="e">
        <f>IF('Pay App 37'!$H$149=0,NA(),IFERROR('Pay App 37'!F84/'Summary Sheet'!$D$19,""))</f>
        <v>#N/A</v>
      </c>
      <c r="CA31" s="264"/>
      <c r="CB31" s="263" t="e">
        <f>IF('Pay App 38'!$H$149=0,NA(),IFERROR('Pay App 38'!F84/'Summary Sheet'!$D$19,""))</f>
        <v>#N/A</v>
      </c>
      <c r="CC31" s="264"/>
      <c r="CD31" s="276" t="e">
        <f>IF('Pay App 39'!$H$149=0,NA(),IFERROR('Pay App 39'!F84/'Summary Sheet'!$D$19,""))</f>
        <v>#N/A</v>
      </c>
      <c r="CE31" s="264"/>
      <c r="CF31" s="263" t="e">
        <f>IF('Pay App 40'!$H$149=0,NA(),IFERROR('Pay App 40'!F84/'Summary Sheet'!$D$19,""))</f>
        <v>#N/A</v>
      </c>
      <c r="CG31" s="264"/>
      <c r="CH31" s="276" t="e">
        <f>IF('Pay App 41'!$H$149=0,NA(),IFERROR('Pay App 41'!F84/'Summary Sheet'!$D$19,""))</f>
        <v>#N/A</v>
      </c>
      <c r="CI31" s="264"/>
      <c r="CJ31" s="263" t="e">
        <f>IF('Pay App 42'!$H$149=0,NA(),IFERROR('Pay App 42'!F84/'Summary Sheet'!$D$19,""))</f>
        <v>#N/A</v>
      </c>
      <c r="CK31" s="264"/>
      <c r="CL31" s="276" t="e">
        <f>IF('Pay App 43'!$H$149=0,NA(),IFERROR('Pay App 43'!F84/'Summary Sheet'!$D$19,""))</f>
        <v>#N/A</v>
      </c>
      <c r="CM31" s="264"/>
      <c r="CN31" s="263" t="e">
        <f>IF('Pay App 44'!$H$149=0,NA(),IFERROR('Pay App 44'!F84/'Summary Sheet'!$D$19,""))</f>
        <v>#N/A</v>
      </c>
      <c r="CO31" s="264"/>
      <c r="CP31" s="276" t="e">
        <f>IF('Pay App 45'!$H$149=0,NA(),IFERROR('Pay App 45'!F84/'Summary Sheet'!$D$19,""))</f>
        <v>#N/A</v>
      </c>
      <c r="CQ31" s="264"/>
      <c r="CR31" s="263" t="e">
        <f>IF('Pay App 46'!$H$149=0,NA(),IFERROR('Pay App 46'!F84/'Summary Sheet'!$D$19,""))</f>
        <v>#N/A</v>
      </c>
      <c r="CS31" s="264"/>
      <c r="CT31" s="276" t="e">
        <f>IF('Pay App 47'!$H$149=0,NA(),IFERROR('Pay App 47'!F84/'Summary Sheet'!$D$19,""))</f>
        <v>#N/A</v>
      </c>
      <c r="CU31" s="264"/>
      <c r="CV31" s="263" t="e">
        <f>IF('Pay App 48'!$H$149=0,NA(),IFERROR('Pay App 48'!F84/'Summary Sheet'!$D$19,""))</f>
        <v>#N/A</v>
      </c>
      <c r="CW31" s="264"/>
      <c r="CX31" s="276" t="e">
        <f>IF('Pay App 49'!$H$149=0,NA(),IFERROR('Pay App 49'!F84/'Summary Sheet'!$D$19,""))</f>
        <v>#N/A</v>
      </c>
      <c r="CY31" s="264"/>
      <c r="CZ31" s="263" t="e">
        <f>IF('Pay App 50'!$H$149=0,NA(),IFERROR('Pay App 50'!F84/'Summary Sheet'!$D$19,""))</f>
        <v>#N/A</v>
      </c>
      <c r="DA31" s="264"/>
      <c r="DB31" s="276" t="e">
        <f>IF('Pay App 51'!$H$149=0,NA(),IFERROR('Pay App 51'!F84/'Summary Sheet'!$D$19,""))</f>
        <v>#N/A</v>
      </c>
      <c r="DC31" s="264"/>
      <c r="DD31" s="263" t="e">
        <f>IF('Pay App 52'!$H$149=0,NA(),IFERROR('Pay App 52'!F84/'Summary Sheet'!$D$19,""))</f>
        <v>#N/A</v>
      </c>
      <c r="DE31" s="264"/>
      <c r="DF31" s="276" t="e">
        <f>IF('Pay App 53'!$H$149=0,NA(),IFERROR('Pay App 53'!F84/'Summary Sheet'!$D$19,""))</f>
        <v>#N/A</v>
      </c>
      <c r="DG31" s="264"/>
      <c r="DH31" s="263" t="e">
        <f>IF('Pay App 54'!$H$149=0,NA(),IFERROR('Pay App 54'!F84/'Summary Sheet'!$D$19,""))</f>
        <v>#N/A</v>
      </c>
      <c r="DI31" s="264"/>
      <c r="DJ31" s="276" t="e">
        <f>IF('Pay App 55'!$H$149=0,NA(),IFERROR('Pay App 55'!F84/'Summary Sheet'!$D$19,""))</f>
        <v>#N/A</v>
      </c>
      <c r="DK31" s="264"/>
      <c r="DL31" s="263" t="e">
        <f>IF('Pay App 56'!$H$149=0,NA(),IFERROR('Pay App 56'!F84/'Summary Sheet'!$D$19,""))</f>
        <v>#N/A</v>
      </c>
      <c r="DM31" s="264"/>
      <c r="DN31" s="276" t="e">
        <f>IF('Pay App 57'!$H$149=0,NA(),IFERROR('Pay App 57'!F84/'Summary Sheet'!$D$19,""))</f>
        <v>#N/A</v>
      </c>
      <c r="DO31" s="264"/>
      <c r="DP31" s="263" t="e">
        <f>IF('Pay App 58'!$H$149=0,NA(),IFERROR('Pay App 58'!F84/'Summary Sheet'!$D$19,""))</f>
        <v>#N/A</v>
      </c>
      <c r="DQ31" s="264"/>
      <c r="DR31" s="276" t="e">
        <f>IF('Pay App 59'!$H$149=0,NA(),IFERROR('Pay App 59'!F84/'Summary Sheet'!$D$19,""))</f>
        <v>#N/A</v>
      </c>
      <c r="DS31" s="264"/>
      <c r="DT31" s="263" t="e">
        <f>IF('Pay App 60'!$H$149=0,NA(),IFERROR('Pay App 60'!F84/'Summary Sheet'!$D$19,""))</f>
        <v>#N/A</v>
      </c>
      <c r="DU31" s="296"/>
    </row>
    <row r="32" spans="2:125" x14ac:dyDescent="0.25">
      <c r="B32" s="49" t="str">
        <f>'Pay App 1'!B85</f>
        <v>07 20 00</v>
      </c>
      <c r="C32" s="25" t="str">
        <f>'Pay App 1'!C85</f>
        <v>Insulation</v>
      </c>
      <c r="D32" s="282" t="str" cm="1">
        <f t="array" ref="D32">IFERROR(1+(LOOKUP(2,1/(E32:DT32&lt;&gt;""),E32:DT32)-E32)/E32,"")</f>
        <v/>
      </c>
      <c r="E32" s="275" t="str">
        <f>IFERROR('GMP Tracker'!D36/'Summary Sheet'!$D$19,"")</f>
        <v/>
      </c>
      <c r="F32" s="276" t="e">
        <f>IF('Pay App 1'!$D$149=0,NA(),IFERROR('Pay App 1'!F85/'Summary Sheet'!$D$19,""))</f>
        <v>#N/A</v>
      </c>
      <c r="G32" s="271"/>
      <c r="H32" s="277" t="e">
        <f>IF('Pay App 2'!$H$149=0,NA(),IFERROR('Pay App 2'!F85/'Summary Sheet'!$D$19,""))</f>
        <v>#N/A</v>
      </c>
      <c r="I32" s="266"/>
      <c r="J32" s="276" t="e">
        <f>IF('Pay App 3'!$H$149=0,NA(),IFERROR('Pay App 3'!F85/'Summary Sheet'!$D$19,""))</f>
        <v>#N/A</v>
      </c>
      <c r="K32" s="268"/>
      <c r="L32" s="277" t="e">
        <f>IF('Pay App 4'!$H$149=0,NA(),IFERROR('Pay App 4'!F85/'Summary Sheet'!$D$19,""))</f>
        <v>#N/A</v>
      </c>
      <c r="M32" s="266"/>
      <c r="N32" s="276" t="e">
        <f>IF('Pay App 5'!$H$149=0,NA(),IFERROR('Pay App 5'!F85/'Summary Sheet'!$D$19,""))</f>
        <v>#N/A</v>
      </c>
      <c r="O32" s="263"/>
      <c r="P32" s="277" t="e">
        <f>IF('Pay App 6'!$H$149=0,NA(),IFERROR('Pay App 6'!F85/'Summary Sheet'!$D$19,""))</f>
        <v>#N/A</v>
      </c>
      <c r="Q32" s="263"/>
      <c r="R32" s="276" t="e">
        <f>IF('Pay App 7'!$H$149=0,NA(),IFERROR('Pay App 7'!F85/'Summary Sheet'!$D$19,""))</f>
        <v>#N/A</v>
      </c>
      <c r="S32" s="263"/>
      <c r="T32" s="277" t="e">
        <f>IF('Pay App 8'!$H$149=0,NA(),IFERROR('Pay App 8'!F85/'Summary Sheet'!$D$19,""))</f>
        <v>#N/A</v>
      </c>
      <c r="U32" s="263"/>
      <c r="V32" s="276" t="e">
        <f>IF('Pay App 9'!$H$149=0,NA(),IFERROR('Pay App 9'!F85/'Summary Sheet'!$D$19,""))</f>
        <v>#N/A</v>
      </c>
      <c r="W32" s="263"/>
      <c r="X32" s="277" t="e">
        <f>IF('Pay App 10'!$H$149=0,NA(),IFERROR('Pay App 10'!F85/'Summary Sheet'!$D$19,""))</f>
        <v>#N/A</v>
      </c>
      <c r="Y32" s="263"/>
      <c r="Z32" s="276" t="e">
        <f>IF('Pay App 11'!$H$149=0,NA(),IFERROR('Pay App 11'!F85/'Summary Sheet'!$D$19,""))</f>
        <v>#N/A</v>
      </c>
      <c r="AA32" s="263"/>
      <c r="AB32" s="277" t="e">
        <f>IF('Pay App 12'!$H$149=0,NA(),IFERROR('Pay App 12'!F85/'Summary Sheet'!$D$19,""))</f>
        <v>#N/A</v>
      </c>
      <c r="AC32" s="263"/>
      <c r="AD32" s="276" t="e">
        <f>IF('Pay App 13'!$H$149=0,NA(),IFERROR('Pay App 13'!F85/'Summary Sheet'!$D$19,""))</f>
        <v>#N/A</v>
      </c>
      <c r="AE32" s="263"/>
      <c r="AF32" s="277" t="e">
        <f>IF('Pay App 14'!$H$149=0,NA(),IFERROR('Pay App 14'!F85/'Summary Sheet'!$D$19,""))</f>
        <v>#N/A</v>
      </c>
      <c r="AG32" s="263"/>
      <c r="AH32" s="276" t="e">
        <f>IF('Pay App 15'!$H$149=0,NA(),IFERROR('Pay App 15'!F85/'Summary Sheet'!$D$19,""))</f>
        <v>#N/A</v>
      </c>
      <c r="AI32" s="263"/>
      <c r="AJ32" s="277" t="e">
        <f>IF('Pay App 16'!$H$149=0,NA(),IFERROR('Pay App 16'!F85/'Summary Sheet'!$D$19,""))</f>
        <v>#N/A</v>
      </c>
      <c r="AK32" s="263"/>
      <c r="AL32" s="276" t="e">
        <f>IF('Pay App 17'!$H$149=0,NA(),IFERROR('Pay App 17'!F85/'Summary Sheet'!$D$19,""))</f>
        <v>#N/A</v>
      </c>
      <c r="AM32" s="263"/>
      <c r="AN32" s="277" t="e">
        <f>IF('Pay App 18'!$H$149=0,NA(),IFERROR('Pay App 18'!F85/'Summary Sheet'!$D$19,""))</f>
        <v>#N/A</v>
      </c>
      <c r="AO32" s="263"/>
      <c r="AP32" s="276" t="e">
        <f>IF('Pay App 19'!$H$149=0,NA(),IFERROR('Pay App 19'!F85/'Summary Sheet'!$D$19,""))</f>
        <v>#N/A</v>
      </c>
      <c r="AQ32" s="263"/>
      <c r="AR32" s="263" t="e">
        <f>IF('Pay App 20'!$H$149=0,NA(),IFERROR('Pay App 20'!F85/'Summary Sheet'!$D$19,""))</f>
        <v>#N/A</v>
      </c>
      <c r="AS32" s="264"/>
      <c r="AT32" s="276" t="e">
        <f>IF('Pay App 21'!$H$149=0,NA(),IFERROR('Pay App 21'!F85/'Summary Sheet'!$D$19,""))</f>
        <v>#N/A</v>
      </c>
      <c r="AU32" s="264"/>
      <c r="AV32" s="263" t="e">
        <f>IF('Pay App 22'!$H$149=0,NA(),IFERROR('Pay App 22'!F85/'Summary Sheet'!$D$19,""))</f>
        <v>#N/A</v>
      </c>
      <c r="AW32" s="264"/>
      <c r="AX32" s="276" t="e">
        <f>IF('Pay App 23'!$H$149=0,NA(),IFERROR('Pay App 23'!F85/'Summary Sheet'!$D$19,""))</f>
        <v>#N/A</v>
      </c>
      <c r="AY32" s="264"/>
      <c r="AZ32" s="263" t="e">
        <f>IF('Pay App 24'!$H$149=0,NA(),IFERROR('Pay App 24'!F85/'Summary Sheet'!$D$19,""))</f>
        <v>#N/A</v>
      </c>
      <c r="BA32" s="264"/>
      <c r="BB32" s="276" t="e">
        <f>IF('Pay App 25'!$H$149=0,NA(),IFERROR('Pay App 25'!F85/'Summary Sheet'!$D$19,""))</f>
        <v>#N/A</v>
      </c>
      <c r="BC32" s="264"/>
      <c r="BD32" s="263" t="e">
        <f>IF('Pay App 26'!$H$149=0,NA(),IFERROR('Pay App 26'!F85/'Summary Sheet'!$D$19,""))</f>
        <v>#N/A</v>
      </c>
      <c r="BE32" s="264"/>
      <c r="BF32" s="276" t="e">
        <f>IF('Pay App 27'!$H$149=0,NA(),IFERROR('Pay App 27'!F85/'Summary Sheet'!$D$19,""))</f>
        <v>#N/A</v>
      </c>
      <c r="BG32" s="264"/>
      <c r="BH32" s="263" t="e">
        <f>IF('Pay App 28'!$H$149=0,NA(),IFERROR('Pay App 28'!F85/'Summary Sheet'!$D$19,""))</f>
        <v>#N/A</v>
      </c>
      <c r="BI32" s="264"/>
      <c r="BJ32" s="276" t="e">
        <f>IF('Pay App 29'!$H$149=0,NA(),IFERROR('Pay App 29'!F85/'Summary Sheet'!$D$19,""))</f>
        <v>#N/A</v>
      </c>
      <c r="BK32" s="271"/>
      <c r="BL32" s="263" t="e">
        <f>IF('Pay App 30'!$H$149=0,NA(),IFERROR('Pay App 30'!F85/'Summary Sheet'!$D$19,""))</f>
        <v>#N/A</v>
      </c>
      <c r="BM32" s="264"/>
      <c r="BN32" s="276" t="e">
        <f>IF('Pay App 31'!$H$149=0,NA(),IFERROR('Pay App 31'!F85/'Summary Sheet'!$D$19,""))</f>
        <v>#N/A</v>
      </c>
      <c r="BO32" s="264"/>
      <c r="BP32" s="263" t="e">
        <f>IF('Pay App 32'!$H$149=0,NA(),IFERROR('Pay App 32'!F85/'Summary Sheet'!$D$19,""))</f>
        <v>#N/A</v>
      </c>
      <c r="BQ32" s="264"/>
      <c r="BR32" s="276" t="e">
        <f>IF('Pay App 33'!$H$149=0,NA(),IFERROR('Pay App 33'!F85/'Summary Sheet'!$D$19,""))</f>
        <v>#N/A</v>
      </c>
      <c r="BS32" s="264"/>
      <c r="BT32" s="263" t="e">
        <f>IF('Pay App 34'!$H$149=0,NA(),IFERROR('Pay App 34'!F85/'Summary Sheet'!$D$19,""))</f>
        <v>#N/A</v>
      </c>
      <c r="BU32" s="264"/>
      <c r="BV32" s="276" t="e">
        <f>IF('Pay App 35'!$H$149=0,NA(),IFERROR('Pay App 35'!F85/'Summary Sheet'!$D$19,""))</f>
        <v>#N/A</v>
      </c>
      <c r="BW32" s="264"/>
      <c r="BX32" s="263" t="e">
        <f>IF('Pay App 36'!$H$149=0,NA(),IFERROR('Pay App 36'!F85/'Summary Sheet'!$D$19,""))</f>
        <v>#N/A</v>
      </c>
      <c r="BY32" s="264"/>
      <c r="BZ32" s="276" t="e">
        <f>IF('Pay App 37'!$H$149=0,NA(),IFERROR('Pay App 37'!F85/'Summary Sheet'!$D$19,""))</f>
        <v>#N/A</v>
      </c>
      <c r="CA32" s="264"/>
      <c r="CB32" s="263" t="e">
        <f>IF('Pay App 38'!$H$149=0,NA(),IFERROR('Pay App 38'!F85/'Summary Sheet'!$D$19,""))</f>
        <v>#N/A</v>
      </c>
      <c r="CC32" s="264"/>
      <c r="CD32" s="276" t="e">
        <f>IF('Pay App 39'!$H$149=0,NA(),IFERROR('Pay App 39'!F85/'Summary Sheet'!$D$19,""))</f>
        <v>#N/A</v>
      </c>
      <c r="CE32" s="264"/>
      <c r="CF32" s="263" t="e">
        <f>IF('Pay App 40'!$H$149=0,NA(),IFERROR('Pay App 40'!F85/'Summary Sheet'!$D$19,""))</f>
        <v>#N/A</v>
      </c>
      <c r="CG32" s="264"/>
      <c r="CH32" s="276" t="e">
        <f>IF('Pay App 41'!$H$149=0,NA(),IFERROR('Pay App 41'!F85/'Summary Sheet'!$D$19,""))</f>
        <v>#N/A</v>
      </c>
      <c r="CI32" s="264"/>
      <c r="CJ32" s="263" t="e">
        <f>IF('Pay App 42'!$H$149=0,NA(),IFERROR('Pay App 42'!F85/'Summary Sheet'!$D$19,""))</f>
        <v>#N/A</v>
      </c>
      <c r="CK32" s="264"/>
      <c r="CL32" s="276" t="e">
        <f>IF('Pay App 43'!$H$149=0,NA(),IFERROR('Pay App 43'!F85/'Summary Sheet'!$D$19,""))</f>
        <v>#N/A</v>
      </c>
      <c r="CM32" s="264"/>
      <c r="CN32" s="263" t="e">
        <f>IF('Pay App 44'!$H$149=0,NA(),IFERROR('Pay App 44'!F85/'Summary Sheet'!$D$19,""))</f>
        <v>#N/A</v>
      </c>
      <c r="CO32" s="264"/>
      <c r="CP32" s="276" t="e">
        <f>IF('Pay App 45'!$H$149=0,NA(),IFERROR('Pay App 45'!F85/'Summary Sheet'!$D$19,""))</f>
        <v>#N/A</v>
      </c>
      <c r="CQ32" s="264"/>
      <c r="CR32" s="263" t="e">
        <f>IF('Pay App 46'!$H$149=0,NA(),IFERROR('Pay App 46'!F85/'Summary Sheet'!$D$19,""))</f>
        <v>#N/A</v>
      </c>
      <c r="CS32" s="264"/>
      <c r="CT32" s="276" t="e">
        <f>IF('Pay App 47'!$H$149=0,NA(),IFERROR('Pay App 47'!F85/'Summary Sheet'!$D$19,""))</f>
        <v>#N/A</v>
      </c>
      <c r="CU32" s="264"/>
      <c r="CV32" s="263" t="e">
        <f>IF('Pay App 48'!$H$149=0,NA(),IFERROR('Pay App 48'!F85/'Summary Sheet'!$D$19,""))</f>
        <v>#N/A</v>
      </c>
      <c r="CW32" s="264"/>
      <c r="CX32" s="276" t="e">
        <f>IF('Pay App 49'!$H$149=0,NA(),IFERROR('Pay App 49'!F85/'Summary Sheet'!$D$19,""))</f>
        <v>#N/A</v>
      </c>
      <c r="CY32" s="264"/>
      <c r="CZ32" s="263" t="e">
        <f>IF('Pay App 50'!$H$149=0,NA(),IFERROR('Pay App 50'!F85/'Summary Sheet'!$D$19,""))</f>
        <v>#N/A</v>
      </c>
      <c r="DA32" s="264"/>
      <c r="DB32" s="276" t="e">
        <f>IF('Pay App 51'!$H$149=0,NA(),IFERROR('Pay App 51'!F85/'Summary Sheet'!$D$19,""))</f>
        <v>#N/A</v>
      </c>
      <c r="DC32" s="264"/>
      <c r="DD32" s="263" t="e">
        <f>IF('Pay App 52'!$H$149=0,NA(),IFERROR('Pay App 52'!F85/'Summary Sheet'!$D$19,""))</f>
        <v>#N/A</v>
      </c>
      <c r="DE32" s="264"/>
      <c r="DF32" s="276" t="e">
        <f>IF('Pay App 53'!$H$149=0,NA(),IFERROR('Pay App 53'!F85/'Summary Sheet'!$D$19,""))</f>
        <v>#N/A</v>
      </c>
      <c r="DG32" s="264"/>
      <c r="DH32" s="263" t="e">
        <f>IF('Pay App 54'!$H$149=0,NA(),IFERROR('Pay App 54'!F85/'Summary Sheet'!$D$19,""))</f>
        <v>#N/A</v>
      </c>
      <c r="DI32" s="264"/>
      <c r="DJ32" s="276" t="e">
        <f>IF('Pay App 55'!$H$149=0,NA(),IFERROR('Pay App 55'!F85/'Summary Sheet'!$D$19,""))</f>
        <v>#N/A</v>
      </c>
      <c r="DK32" s="264"/>
      <c r="DL32" s="263" t="e">
        <f>IF('Pay App 56'!$H$149=0,NA(),IFERROR('Pay App 56'!F85/'Summary Sheet'!$D$19,""))</f>
        <v>#N/A</v>
      </c>
      <c r="DM32" s="264"/>
      <c r="DN32" s="276" t="e">
        <f>IF('Pay App 57'!$H$149=0,NA(),IFERROR('Pay App 57'!F85/'Summary Sheet'!$D$19,""))</f>
        <v>#N/A</v>
      </c>
      <c r="DO32" s="264"/>
      <c r="DP32" s="263" t="e">
        <f>IF('Pay App 58'!$H$149=0,NA(),IFERROR('Pay App 58'!F85/'Summary Sheet'!$D$19,""))</f>
        <v>#N/A</v>
      </c>
      <c r="DQ32" s="264"/>
      <c r="DR32" s="276" t="e">
        <f>IF('Pay App 59'!$H$149=0,NA(),IFERROR('Pay App 59'!F85/'Summary Sheet'!$D$19,""))</f>
        <v>#N/A</v>
      </c>
      <c r="DS32" s="264"/>
      <c r="DT32" s="263" t="e">
        <f>IF('Pay App 60'!$H$149=0,NA(),IFERROR('Pay App 60'!F85/'Summary Sheet'!$D$19,""))</f>
        <v>#N/A</v>
      </c>
      <c r="DU32" s="296"/>
    </row>
    <row r="33" spans="2:125" x14ac:dyDescent="0.25">
      <c r="B33" s="49" t="str">
        <f>'Pay App 1'!B86</f>
        <v>07 24 00</v>
      </c>
      <c r="C33" s="25" t="str">
        <f>'Pay App 1'!C86</f>
        <v>EIFS</v>
      </c>
      <c r="D33" s="282" t="str" cm="1">
        <f t="array" ref="D33">IFERROR(1+(LOOKUP(2,1/(E33:DT33&lt;&gt;""),E33:DT33)-E33)/E33,"")</f>
        <v/>
      </c>
      <c r="E33" s="275" t="str">
        <f>IFERROR('GMP Tracker'!D37/'Summary Sheet'!$D$19,"")</f>
        <v/>
      </c>
      <c r="F33" s="276" t="e">
        <f>IF('Pay App 1'!$D$149=0,NA(),IFERROR('Pay App 1'!F86/'Summary Sheet'!$D$19,""))</f>
        <v>#N/A</v>
      </c>
      <c r="G33" s="271"/>
      <c r="H33" s="277" t="e">
        <f>IF('Pay App 2'!$H$149=0,NA(),IFERROR('Pay App 2'!F86/'Summary Sheet'!$D$19,""))</f>
        <v>#N/A</v>
      </c>
      <c r="I33" s="266"/>
      <c r="J33" s="276" t="e">
        <f>IF('Pay App 3'!$H$149=0,NA(),IFERROR('Pay App 3'!F86/'Summary Sheet'!$D$19,""))</f>
        <v>#N/A</v>
      </c>
      <c r="K33" s="268"/>
      <c r="L33" s="277" t="e">
        <f>IF('Pay App 4'!$H$149=0,NA(),IFERROR('Pay App 4'!F86/'Summary Sheet'!$D$19,""))</f>
        <v>#N/A</v>
      </c>
      <c r="M33" s="266"/>
      <c r="N33" s="276" t="e">
        <f>IF('Pay App 5'!$H$149=0,NA(),IFERROR('Pay App 5'!F86/'Summary Sheet'!$D$19,""))</f>
        <v>#N/A</v>
      </c>
      <c r="O33" s="263"/>
      <c r="P33" s="277" t="e">
        <f>IF('Pay App 6'!$H$149=0,NA(),IFERROR('Pay App 6'!F86/'Summary Sheet'!$D$19,""))</f>
        <v>#N/A</v>
      </c>
      <c r="Q33" s="263"/>
      <c r="R33" s="276" t="e">
        <f>IF('Pay App 7'!$H$149=0,NA(),IFERROR('Pay App 7'!F86/'Summary Sheet'!$D$19,""))</f>
        <v>#N/A</v>
      </c>
      <c r="S33" s="263"/>
      <c r="T33" s="277" t="e">
        <f>IF('Pay App 8'!$H$149=0,NA(),IFERROR('Pay App 8'!F86/'Summary Sheet'!$D$19,""))</f>
        <v>#N/A</v>
      </c>
      <c r="U33" s="263"/>
      <c r="V33" s="276" t="e">
        <f>IF('Pay App 9'!$H$149=0,NA(),IFERROR('Pay App 9'!F86/'Summary Sheet'!$D$19,""))</f>
        <v>#N/A</v>
      </c>
      <c r="W33" s="263"/>
      <c r="X33" s="277" t="e">
        <f>IF('Pay App 10'!$H$149=0,NA(),IFERROR('Pay App 10'!F86/'Summary Sheet'!$D$19,""))</f>
        <v>#N/A</v>
      </c>
      <c r="Y33" s="263"/>
      <c r="Z33" s="276" t="e">
        <f>IF('Pay App 11'!$H$149=0,NA(),IFERROR('Pay App 11'!F86/'Summary Sheet'!$D$19,""))</f>
        <v>#N/A</v>
      </c>
      <c r="AA33" s="263"/>
      <c r="AB33" s="277" t="e">
        <f>IF('Pay App 12'!$H$149=0,NA(),IFERROR('Pay App 12'!F86/'Summary Sheet'!$D$19,""))</f>
        <v>#N/A</v>
      </c>
      <c r="AC33" s="263"/>
      <c r="AD33" s="276" t="e">
        <f>IF('Pay App 13'!$H$149=0,NA(),IFERROR('Pay App 13'!F86/'Summary Sheet'!$D$19,""))</f>
        <v>#N/A</v>
      </c>
      <c r="AE33" s="263"/>
      <c r="AF33" s="277" t="e">
        <f>IF('Pay App 14'!$H$149=0,NA(),IFERROR('Pay App 14'!F86/'Summary Sheet'!$D$19,""))</f>
        <v>#N/A</v>
      </c>
      <c r="AG33" s="263"/>
      <c r="AH33" s="276" t="e">
        <f>IF('Pay App 15'!$H$149=0,NA(),IFERROR('Pay App 15'!F86/'Summary Sheet'!$D$19,""))</f>
        <v>#N/A</v>
      </c>
      <c r="AI33" s="263"/>
      <c r="AJ33" s="277" t="e">
        <f>IF('Pay App 16'!$H$149=0,NA(),IFERROR('Pay App 16'!F86/'Summary Sheet'!$D$19,""))</f>
        <v>#N/A</v>
      </c>
      <c r="AK33" s="263"/>
      <c r="AL33" s="276" t="e">
        <f>IF('Pay App 17'!$H$149=0,NA(),IFERROR('Pay App 17'!F86/'Summary Sheet'!$D$19,""))</f>
        <v>#N/A</v>
      </c>
      <c r="AM33" s="263"/>
      <c r="AN33" s="277" t="e">
        <f>IF('Pay App 18'!$H$149=0,NA(),IFERROR('Pay App 18'!F86/'Summary Sheet'!$D$19,""))</f>
        <v>#N/A</v>
      </c>
      <c r="AO33" s="263"/>
      <c r="AP33" s="276" t="e">
        <f>IF('Pay App 19'!$H$149=0,NA(),IFERROR('Pay App 19'!F86/'Summary Sheet'!$D$19,""))</f>
        <v>#N/A</v>
      </c>
      <c r="AQ33" s="263"/>
      <c r="AR33" s="263" t="e">
        <f>IF('Pay App 20'!$H$149=0,NA(),IFERROR('Pay App 20'!F86/'Summary Sheet'!$D$19,""))</f>
        <v>#N/A</v>
      </c>
      <c r="AS33" s="264"/>
      <c r="AT33" s="276" t="e">
        <f>IF('Pay App 21'!$H$149=0,NA(),IFERROR('Pay App 21'!F86/'Summary Sheet'!$D$19,""))</f>
        <v>#N/A</v>
      </c>
      <c r="AU33" s="264"/>
      <c r="AV33" s="263" t="e">
        <f>IF('Pay App 22'!$H$149=0,NA(),IFERROR('Pay App 22'!F86/'Summary Sheet'!$D$19,""))</f>
        <v>#N/A</v>
      </c>
      <c r="AW33" s="264"/>
      <c r="AX33" s="276" t="e">
        <f>IF('Pay App 23'!$H$149=0,NA(),IFERROR('Pay App 23'!F86/'Summary Sheet'!$D$19,""))</f>
        <v>#N/A</v>
      </c>
      <c r="AY33" s="264"/>
      <c r="AZ33" s="263" t="e">
        <f>IF('Pay App 24'!$H$149=0,NA(),IFERROR('Pay App 24'!F86/'Summary Sheet'!$D$19,""))</f>
        <v>#N/A</v>
      </c>
      <c r="BA33" s="264"/>
      <c r="BB33" s="276" t="e">
        <f>IF('Pay App 25'!$H$149=0,NA(),IFERROR('Pay App 25'!F86/'Summary Sheet'!$D$19,""))</f>
        <v>#N/A</v>
      </c>
      <c r="BC33" s="264"/>
      <c r="BD33" s="263" t="e">
        <f>IF('Pay App 26'!$H$149=0,NA(),IFERROR('Pay App 26'!F86/'Summary Sheet'!$D$19,""))</f>
        <v>#N/A</v>
      </c>
      <c r="BE33" s="264"/>
      <c r="BF33" s="276" t="e">
        <f>IF('Pay App 27'!$H$149=0,NA(),IFERROR('Pay App 27'!F86/'Summary Sheet'!$D$19,""))</f>
        <v>#N/A</v>
      </c>
      <c r="BG33" s="264"/>
      <c r="BH33" s="263" t="e">
        <f>IF('Pay App 28'!$H$149=0,NA(),IFERROR('Pay App 28'!F86/'Summary Sheet'!$D$19,""))</f>
        <v>#N/A</v>
      </c>
      <c r="BI33" s="264"/>
      <c r="BJ33" s="276" t="e">
        <f>IF('Pay App 29'!$H$149=0,NA(),IFERROR('Pay App 29'!F86/'Summary Sheet'!$D$19,""))</f>
        <v>#N/A</v>
      </c>
      <c r="BK33" s="271"/>
      <c r="BL33" s="263" t="e">
        <f>IF('Pay App 30'!$H$149=0,NA(),IFERROR('Pay App 30'!F86/'Summary Sheet'!$D$19,""))</f>
        <v>#N/A</v>
      </c>
      <c r="BM33" s="264"/>
      <c r="BN33" s="276" t="e">
        <f>IF('Pay App 31'!$H$149=0,NA(),IFERROR('Pay App 31'!F86/'Summary Sheet'!$D$19,""))</f>
        <v>#N/A</v>
      </c>
      <c r="BO33" s="264"/>
      <c r="BP33" s="263" t="e">
        <f>IF('Pay App 32'!$H$149=0,NA(),IFERROR('Pay App 32'!F86/'Summary Sheet'!$D$19,""))</f>
        <v>#N/A</v>
      </c>
      <c r="BQ33" s="264"/>
      <c r="BR33" s="276" t="e">
        <f>IF('Pay App 33'!$H$149=0,NA(),IFERROR('Pay App 33'!F86/'Summary Sheet'!$D$19,""))</f>
        <v>#N/A</v>
      </c>
      <c r="BS33" s="264"/>
      <c r="BT33" s="263" t="e">
        <f>IF('Pay App 34'!$H$149=0,NA(),IFERROR('Pay App 34'!F86/'Summary Sheet'!$D$19,""))</f>
        <v>#N/A</v>
      </c>
      <c r="BU33" s="264"/>
      <c r="BV33" s="276" t="e">
        <f>IF('Pay App 35'!$H$149=0,NA(),IFERROR('Pay App 35'!F86/'Summary Sheet'!$D$19,""))</f>
        <v>#N/A</v>
      </c>
      <c r="BW33" s="264"/>
      <c r="BX33" s="263" t="e">
        <f>IF('Pay App 36'!$H$149=0,NA(),IFERROR('Pay App 36'!F86/'Summary Sheet'!$D$19,""))</f>
        <v>#N/A</v>
      </c>
      <c r="BY33" s="264"/>
      <c r="BZ33" s="276" t="e">
        <f>IF('Pay App 37'!$H$149=0,NA(),IFERROR('Pay App 37'!F86/'Summary Sheet'!$D$19,""))</f>
        <v>#N/A</v>
      </c>
      <c r="CA33" s="264"/>
      <c r="CB33" s="263" t="e">
        <f>IF('Pay App 38'!$H$149=0,NA(),IFERROR('Pay App 38'!F86/'Summary Sheet'!$D$19,""))</f>
        <v>#N/A</v>
      </c>
      <c r="CC33" s="264"/>
      <c r="CD33" s="276" t="e">
        <f>IF('Pay App 39'!$H$149=0,NA(),IFERROR('Pay App 39'!F86/'Summary Sheet'!$D$19,""))</f>
        <v>#N/A</v>
      </c>
      <c r="CE33" s="264"/>
      <c r="CF33" s="263" t="e">
        <f>IF('Pay App 40'!$H$149=0,NA(),IFERROR('Pay App 40'!F86/'Summary Sheet'!$D$19,""))</f>
        <v>#N/A</v>
      </c>
      <c r="CG33" s="264"/>
      <c r="CH33" s="276" t="e">
        <f>IF('Pay App 41'!$H$149=0,NA(),IFERROR('Pay App 41'!F86/'Summary Sheet'!$D$19,""))</f>
        <v>#N/A</v>
      </c>
      <c r="CI33" s="264"/>
      <c r="CJ33" s="263" t="e">
        <f>IF('Pay App 42'!$H$149=0,NA(),IFERROR('Pay App 42'!F86/'Summary Sheet'!$D$19,""))</f>
        <v>#N/A</v>
      </c>
      <c r="CK33" s="264"/>
      <c r="CL33" s="276" t="e">
        <f>IF('Pay App 43'!$H$149=0,NA(),IFERROR('Pay App 43'!F86/'Summary Sheet'!$D$19,""))</f>
        <v>#N/A</v>
      </c>
      <c r="CM33" s="264"/>
      <c r="CN33" s="263" t="e">
        <f>IF('Pay App 44'!$H$149=0,NA(),IFERROR('Pay App 44'!F86/'Summary Sheet'!$D$19,""))</f>
        <v>#N/A</v>
      </c>
      <c r="CO33" s="264"/>
      <c r="CP33" s="276" t="e">
        <f>IF('Pay App 45'!$H$149=0,NA(),IFERROR('Pay App 45'!F86/'Summary Sheet'!$D$19,""))</f>
        <v>#N/A</v>
      </c>
      <c r="CQ33" s="264"/>
      <c r="CR33" s="263" t="e">
        <f>IF('Pay App 46'!$H$149=0,NA(),IFERROR('Pay App 46'!F86/'Summary Sheet'!$D$19,""))</f>
        <v>#N/A</v>
      </c>
      <c r="CS33" s="264"/>
      <c r="CT33" s="276" t="e">
        <f>IF('Pay App 47'!$H$149=0,NA(),IFERROR('Pay App 47'!F86/'Summary Sheet'!$D$19,""))</f>
        <v>#N/A</v>
      </c>
      <c r="CU33" s="264"/>
      <c r="CV33" s="263" t="e">
        <f>IF('Pay App 48'!$H$149=0,NA(),IFERROR('Pay App 48'!F86/'Summary Sheet'!$D$19,""))</f>
        <v>#N/A</v>
      </c>
      <c r="CW33" s="264"/>
      <c r="CX33" s="276" t="e">
        <f>IF('Pay App 49'!$H$149=0,NA(),IFERROR('Pay App 49'!F86/'Summary Sheet'!$D$19,""))</f>
        <v>#N/A</v>
      </c>
      <c r="CY33" s="264"/>
      <c r="CZ33" s="263" t="e">
        <f>IF('Pay App 50'!$H$149=0,NA(),IFERROR('Pay App 50'!F86/'Summary Sheet'!$D$19,""))</f>
        <v>#N/A</v>
      </c>
      <c r="DA33" s="264"/>
      <c r="DB33" s="276" t="e">
        <f>IF('Pay App 51'!$H$149=0,NA(),IFERROR('Pay App 51'!F86/'Summary Sheet'!$D$19,""))</f>
        <v>#N/A</v>
      </c>
      <c r="DC33" s="264"/>
      <c r="DD33" s="263" t="e">
        <f>IF('Pay App 52'!$H$149=0,NA(),IFERROR('Pay App 52'!F86/'Summary Sheet'!$D$19,""))</f>
        <v>#N/A</v>
      </c>
      <c r="DE33" s="264"/>
      <c r="DF33" s="276" t="e">
        <f>IF('Pay App 53'!$H$149=0,NA(),IFERROR('Pay App 53'!F86/'Summary Sheet'!$D$19,""))</f>
        <v>#N/A</v>
      </c>
      <c r="DG33" s="264"/>
      <c r="DH33" s="263" t="e">
        <f>IF('Pay App 54'!$H$149=0,NA(),IFERROR('Pay App 54'!F86/'Summary Sheet'!$D$19,""))</f>
        <v>#N/A</v>
      </c>
      <c r="DI33" s="264"/>
      <c r="DJ33" s="276" t="e">
        <f>IF('Pay App 55'!$H$149=0,NA(),IFERROR('Pay App 55'!F86/'Summary Sheet'!$D$19,""))</f>
        <v>#N/A</v>
      </c>
      <c r="DK33" s="264"/>
      <c r="DL33" s="263" t="e">
        <f>IF('Pay App 56'!$H$149=0,NA(),IFERROR('Pay App 56'!F86/'Summary Sheet'!$D$19,""))</f>
        <v>#N/A</v>
      </c>
      <c r="DM33" s="264"/>
      <c r="DN33" s="276" t="e">
        <f>IF('Pay App 57'!$H$149=0,NA(),IFERROR('Pay App 57'!F86/'Summary Sheet'!$D$19,""))</f>
        <v>#N/A</v>
      </c>
      <c r="DO33" s="264"/>
      <c r="DP33" s="263" t="e">
        <f>IF('Pay App 58'!$H$149=0,NA(),IFERROR('Pay App 58'!F86/'Summary Sheet'!$D$19,""))</f>
        <v>#N/A</v>
      </c>
      <c r="DQ33" s="264"/>
      <c r="DR33" s="276" t="e">
        <f>IF('Pay App 59'!$H$149=0,NA(),IFERROR('Pay App 59'!F86/'Summary Sheet'!$D$19,""))</f>
        <v>#N/A</v>
      </c>
      <c r="DS33" s="264"/>
      <c r="DT33" s="263" t="e">
        <f>IF('Pay App 60'!$H$149=0,NA(),IFERROR('Pay App 60'!F86/'Summary Sheet'!$D$19,""))</f>
        <v>#N/A</v>
      </c>
      <c r="DU33" s="296"/>
    </row>
    <row r="34" spans="2:125" x14ac:dyDescent="0.25">
      <c r="B34" s="49" t="str">
        <f>'Pay App 1'!B87</f>
        <v>07 26 00</v>
      </c>
      <c r="C34" s="25" t="str">
        <f>'Pay App 1'!C87</f>
        <v>Vapor Retarders</v>
      </c>
      <c r="D34" s="282" t="str" cm="1">
        <f t="array" ref="D34">IFERROR(1+(LOOKUP(2,1/(E34:DT34&lt;&gt;""),E34:DT34)-E34)/E34,"")</f>
        <v/>
      </c>
      <c r="E34" s="275" t="str">
        <f>IFERROR('GMP Tracker'!D38/'Summary Sheet'!$D$19,"")</f>
        <v/>
      </c>
      <c r="F34" s="276" t="e">
        <f>IF('Pay App 1'!$D$149=0,NA(),IFERROR('Pay App 1'!F87/'Summary Sheet'!$D$19,""))</f>
        <v>#N/A</v>
      </c>
      <c r="G34" s="271"/>
      <c r="H34" s="277" t="e">
        <f>IF('Pay App 2'!$H$149=0,NA(),IFERROR('Pay App 2'!F87/'Summary Sheet'!$D$19,""))</f>
        <v>#N/A</v>
      </c>
      <c r="I34" s="266"/>
      <c r="J34" s="276" t="e">
        <f>IF('Pay App 3'!$H$149=0,NA(),IFERROR('Pay App 3'!F87/'Summary Sheet'!$D$19,""))</f>
        <v>#N/A</v>
      </c>
      <c r="K34" s="268"/>
      <c r="L34" s="277" t="e">
        <f>IF('Pay App 4'!$H$149=0,NA(),IFERROR('Pay App 4'!F87/'Summary Sheet'!$D$19,""))</f>
        <v>#N/A</v>
      </c>
      <c r="M34" s="266"/>
      <c r="N34" s="276" t="e">
        <f>IF('Pay App 5'!$H$149=0,NA(),IFERROR('Pay App 5'!F87/'Summary Sheet'!$D$19,""))</f>
        <v>#N/A</v>
      </c>
      <c r="O34" s="263"/>
      <c r="P34" s="277" t="e">
        <f>IF('Pay App 6'!$H$149=0,NA(),IFERROR('Pay App 6'!F87/'Summary Sheet'!$D$19,""))</f>
        <v>#N/A</v>
      </c>
      <c r="Q34" s="263"/>
      <c r="R34" s="276" t="e">
        <f>IF('Pay App 7'!$H$149=0,NA(),IFERROR('Pay App 7'!F87/'Summary Sheet'!$D$19,""))</f>
        <v>#N/A</v>
      </c>
      <c r="S34" s="263"/>
      <c r="T34" s="277" t="e">
        <f>IF('Pay App 8'!$H$149=0,NA(),IFERROR('Pay App 8'!F87/'Summary Sheet'!$D$19,""))</f>
        <v>#N/A</v>
      </c>
      <c r="U34" s="263"/>
      <c r="V34" s="276" t="e">
        <f>IF('Pay App 9'!$H$149=0,NA(),IFERROR('Pay App 9'!F87/'Summary Sheet'!$D$19,""))</f>
        <v>#N/A</v>
      </c>
      <c r="W34" s="263"/>
      <c r="X34" s="277" t="e">
        <f>IF('Pay App 10'!$H$149=0,NA(),IFERROR('Pay App 10'!F87/'Summary Sheet'!$D$19,""))</f>
        <v>#N/A</v>
      </c>
      <c r="Y34" s="263"/>
      <c r="Z34" s="276" t="e">
        <f>IF('Pay App 11'!$H$149=0,NA(),IFERROR('Pay App 11'!F87/'Summary Sheet'!$D$19,""))</f>
        <v>#N/A</v>
      </c>
      <c r="AA34" s="263"/>
      <c r="AB34" s="277" t="e">
        <f>IF('Pay App 12'!$H$149=0,NA(),IFERROR('Pay App 12'!F87/'Summary Sheet'!$D$19,""))</f>
        <v>#N/A</v>
      </c>
      <c r="AC34" s="263"/>
      <c r="AD34" s="276" t="e">
        <f>IF('Pay App 13'!$H$149=0,NA(),IFERROR('Pay App 13'!F87/'Summary Sheet'!$D$19,""))</f>
        <v>#N/A</v>
      </c>
      <c r="AE34" s="263"/>
      <c r="AF34" s="277" t="e">
        <f>IF('Pay App 14'!$H$149=0,NA(),IFERROR('Pay App 14'!F87/'Summary Sheet'!$D$19,""))</f>
        <v>#N/A</v>
      </c>
      <c r="AG34" s="263"/>
      <c r="AH34" s="276" t="e">
        <f>IF('Pay App 15'!$H$149=0,NA(),IFERROR('Pay App 15'!F87/'Summary Sheet'!$D$19,""))</f>
        <v>#N/A</v>
      </c>
      <c r="AI34" s="263"/>
      <c r="AJ34" s="277" t="e">
        <f>IF('Pay App 16'!$H$149=0,NA(),IFERROR('Pay App 16'!F87/'Summary Sheet'!$D$19,""))</f>
        <v>#N/A</v>
      </c>
      <c r="AK34" s="263"/>
      <c r="AL34" s="276" t="e">
        <f>IF('Pay App 17'!$H$149=0,NA(),IFERROR('Pay App 17'!F87/'Summary Sheet'!$D$19,""))</f>
        <v>#N/A</v>
      </c>
      <c r="AM34" s="263"/>
      <c r="AN34" s="277" t="e">
        <f>IF('Pay App 18'!$H$149=0,NA(),IFERROR('Pay App 18'!F87/'Summary Sheet'!$D$19,""))</f>
        <v>#N/A</v>
      </c>
      <c r="AO34" s="263"/>
      <c r="AP34" s="276" t="e">
        <f>IF('Pay App 19'!$H$149=0,NA(),IFERROR('Pay App 19'!F87/'Summary Sheet'!$D$19,""))</f>
        <v>#N/A</v>
      </c>
      <c r="AQ34" s="263"/>
      <c r="AR34" s="263" t="e">
        <f>IF('Pay App 20'!$H$149=0,NA(),IFERROR('Pay App 20'!F87/'Summary Sheet'!$D$19,""))</f>
        <v>#N/A</v>
      </c>
      <c r="AS34" s="264"/>
      <c r="AT34" s="276" t="e">
        <f>IF('Pay App 21'!$H$149=0,NA(),IFERROR('Pay App 21'!F87/'Summary Sheet'!$D$19,""))</f>
        <v>#N/A</v>
      </c>
      <c r="AU34" s="264"/>
      <c r="AV34" s="263" t="e">
        <f>IF('Pay App 22'!$H$149=0,NA(),IFERROR('Pay App 22'!F87/'Summary Sheet'!$D$19,""))</f>
        <v>#N/A</v>
      </c>
      <c r="AW34" s="264"/>
      <c r="AX34" s="276" t="e">
        <f>IF('Pay App 23'!$H$149=0,NA(),IFERROR('Pay App 23'!F87/'Summary Sheet'!$D$19,""))</f>
        <v>#N/A</v>
      </c>
      <c r="AY34" s="264"/>
      <c r="AZ34" s="263" t="e">
        <f>IF('Pay App 24'!$H$149=0,NA(),IFERROR('Pay App 24'!F87/'Summary Sheet'!$D$19,""))</f>
        <v>#N/A</v>
      </c>
      <c r="BA34" s="264"/>
      <c r="BB34" s="276" t="e">
        <f>IF('Pay App 25'!$H$149=0,NA(),IFERROR('Pay App 25'!F87/'Summary Sheet'!$D$19,""))</f>
        <v>#N/A</v>
      </c>
      <c r="BC34" s="264"/>
      <c r="BD34" s="263" t="e">
        <f>IF('Pay App 26'!$H$149=0,NA(),IFERROR('Pay App 26'!F87/'Summary Sheet'!$D$19,""))</f>
        <v>#N/A</v>
      </c>
      <c r="BE34" s="264"/>
      <c r="BF34" s="276" t="e">
        <f>IF('Pay App 27'!$H$149=0,NA(),IFERROR('Pay App 27'!F87/'Summary Sheet'!$D$19,""))</f>
        <v>#N/A</v>
      </c>
      <c r="BG34" s="264"/>
      <c r="BH34" s="263" t="e">
        <f>IF('Pay App 28'!$H$149=0,NA(),IFERROR('Pay App 28'!F87/'Summary Sheet'!$D$19,""))</f>
        <v>#N/A</v>
      </c>
      <c r="BI34" s="264"/>
      <c r="BJ34" s="276" t="e">
        <f>IF('Pay App 29'!$H$149=0,NA(),IFERROR('Pay App 29'!F87/'Summary Sheet'!$D$19,""))</f>
        <v>#N/A</v>
      </c>
      <c r="BK34" s="271"/>
      <c r="BL34" s="263" t="e">
        <f>IF('Pay App 30'!$H$149=0,NA(),IFERROR('Pay App 30'!F87/'Summary Sheet'!$D$19,""))</f>
        <v>#N/A</v>
      </c>
      <c r="BM34" s="264"/>
      <c r="BN34" s="276" t="e">
        <f>IF('Pay App 31'!$H$149=0,NA(),IFERROR('Pay App 31'!F87/'Summary Sheet'!$D$19,""))</f>
        <v>#N/A</v>
      </c>
      <c r="BO34" s="264"/>
      <c r="BP34" s="263" t="e">
        <f>IF('Pay App 32'!$H$149=0,NA(),IFERROR('Pay App 32'!F87/'Summary Sheet'!$D$19,""))</f>
        <v>#N/A</v>
      </c>
      <c r="BQ34" s="264"/>
      <c r="BR34" s="276" t="e">
        <f>IF('Pay App 33'!$H$149=0,NA(),IFERROR('Pay App 33'!F87/'Summary Sheet'!$D$19,""))</f>
        <v>#N/A</v>
      </c>
      <c r="BS34" s="264"/>
      <c r="BT34" s="263" t="e">
        <f>IF('Pay App 34'!$H$149=0,NA(),IFERROR('Pay App 34'!F87/'Summary Sheet'!$D$19,""))</f>
        <v>#N/A</v>
      </c>
      <c r="BU34" s="264"/>
      <c r="BV34" s="276" t="e">
        <f>IF('Pay App 35'!$H$149=0,NA(),IFERROR('Pay App 35'!F87/'Summary Sheet'!$D$19,""))</f>
        <v>#N/A</v>
      </c>
      <c r="BW34" s="264"/>
      <c r="BX34" s="263" t="e">
        <f>IF('Pay App 36'!$H$149=0,NA(),IFERROR('Pay App 36'!F87/'Summary Sheet'!$D$19,""))</f>
        <v>#N/A</v>
      </c>
      <c r="BY34" s="264"/>
      <c r="BZ34" s="276" t="e">
        <f>IF('Pay App 37'!$H$149=0,NA(),IFERROR('Pay App 37'!F87/'Summary Sheet'!$D$19,""))</f>
        <v>#N/A</v>
      </c>
      <c r="CA34" s="264"/>
      <c r="CB34" s="263" t="e">
        <f>IF('Pay App 38'!$H$149=0,NA(),IFERROR('Pay App 38'!F87/'Summary Sheet'!$D$19,""))</f>
        <v>#N/A</v>
      </c>
      <c r="CC34" s="264"/>
      <c r="CD34" s="276" t="e">
        <f>IF('Pay App 39'!$H$149=0,NA(),IFERROR('Pay App 39'!F87/'Summary Sheet'!$D$19,""))</f>
        <v>#N/A</v>
      </c>
      <c r="CE34" s="264"/>
      <c r="CF34" s="263" t="e">
        <f>IF('Pay App 40'!$H$149=0,NA(),IFERROR('Pay App 40'!F87/'Summary Sheet'!$D$19,""))</f>
        <v>#N/A</v>
      </c>
      <c r="CG34" s="264"/>
      <c r="CH34" s="276" t="e">
        <f>IF('Pay App 41'!$H$149=0,NA(),IFERROR('Pay App 41'!F87/'Summary Sheet'!$D$19,""))</f>
        <v>#N/A</v>
      </c>
      <c r="CI34" s="264"/>
      <c r="CJ34" s="263" t="e">
        <f>IF('Pay App 42'!$H$149=0,NA(),IFERROR('Pay App 42'!F87/'Summary Sheet'!$D$19,""))</f>
        <v>#N/A</v>
      </c>
      <c r="CK34" s="264"/>
      <c r="CL34" s="276" t="e">
        <f>IF('Pay App 43'!$H$149=0,NA(),IFERROR('Pay App 43'!F87/'Summary Sheet'!$D$19,""))</f>
        <v>#N/A</v>
      </c>
      <c r="CM34" s="264"/>
      <c r="CN34" s="263" t="e">
        <f>IF('Pay App 44'!$H$149=0,NA(),IFERROR('Pay App 44'!F87/'Summary Sheet'!$D$19,""))</f>
        <v>#N/A</v>
      </c>
      <c r="CO34" s="264"/>
      <c r="CP34" s="276" t="e">
        <f>IF('Pay App 45'!$H$149=0,NA(),IFERROR('Pay App 45'!F87/'Summary Sheet'!$D$19,""))</f>
        <v>#N/A</v>
      </c>
      <c r="CQ34" s="264"/>
      <c r="CR34" s="263" t="e">
        <f>IF('Pay App 46'!$H$149=0,NA(),IFERROR('Pay App 46'!F87/'Summary Sheet'!$D$19,""))</f>
        <v>#N/A</v>
      </c>
      <c r="CS34" s="264"/>
      <c r="CT34" s="276" t="e">
        <f>IF('Pay App 47'!$H$149=0,NA(),IFERROR('Pay App 47'!F87/'Summary Sheet'!$D$19,""))</f>
        <v>#N/A</v>
      </c>
      <c r="CU34" s="264"/>
      <c r="CV34" s="263" t="e">
        <f>IF('Pay App 48'!$H$149=0,NA(),IFERROR('Pay App 48'!F87/'Summary Sheet'!$D$19,""))</f>
        <v>#N/A</v>
      </c>
      <c r="CW34" s="264"/>
      <c r="CX34" s="276" t="e">
        <f>IF('Pay App 49'!$H$149=0,NA(),IFERROR('Pay App 49'!F87/'Summary Sheet'!$D$19,""))</f>
        <v>#N/A</v>
      </c>
      <c r="CY34" s="264"/>
      <c r="CZ34" s="263" t="e">
        <f>IF('Pay App 50'!$H$149=0,NA(),IFERROR('Pay App 50'!F87/'Summary Sheet'!$D$19,""))</f>
        <v>#N/A</v>
      </c>
      <c r="DA34" s="264"/>
      <c r="DB34" s="276" t="e">
        <f>IF('Pay App 51'!$H$149=0,NA(),IFERROR('Pay App 51'!F87/'Summary Sheet'!$D$19,""))</f>
        <v>#N/A</v>
      </c>
      <c r="DC34" s="264"/>
      <c r="DD34" s="263" t="e">
        <f>IF('Pay App 52'!$H$149=0,NA(),IFERROR('Pay App 52'!F87/'Summary Sheet'!$D$19,""))</f>
        <v>#N/A</v>
      </c>
      <c r="DE34" s="264"/>
      <c r="DF34" s="276" t="e">
        <f>IF('Pay App 53'!$H$149=0,NA(),IFERROR('Pay App 53'!F87/'Summary Sheet'!$D$19,""))</f>
        <v>#N/A</v>
      </c>
      <c r="DG34" s="264"/>
      <c r="DH34" s="263" t="e">
        <f>IF('Pay App 54'!$H$149=0,NA(),IFERROR('Pay App 54'!F87/'Summary Sheet'!$D$19,""))</f>
        <v>#N/A</v>
      </c>
      <c r="DI34" s="264"/>
      <c r="DJ34" s="276" t="e">
        <f>IF('Pay App 55'!$H$149=0,NA(),IFERROR('Pay App 55'!F87/'Summary Sheet'!$D$19,""))</f>
        <v>#N/A</v>
      </c>
      <c r="DK34" s="264"/>
      <c r="DL34" s="263" t="e">
        <f>IF('Pay App 56'!$H$149=0,NA(),IFERROR('Pay App 56'!F87/'Summary Sheet'!$D$19,""))</f>
        <v>#N/A</v>
      </c>
      <c r="DM34" s="264"/>
      <c r="DN34" s="276" t="e">
        <f>IF('Pay App 57'!$H$149=0,NA(),IFERROR('Pay App 57'!F87/'Summary Sheet'!$D$19,""))</f>
        <v>#N/A</v>
      </c>
      <c r="DO34" s="264"/>
      <c r="DP34" s="263" t="e">
        <f>IF('Pay App 58'!$H$149=0,NA(),IFERROR('Pay App 58'!F87/'Summary Sheet'!$D$19,""))</f>
        <v>#N/A</v>
      </c>
      <c r="DQ34" s="264"/>
      <c r="DR34" s="276" t="e">
        <f>IF('Pay App 59'!$H$149=0,NA(),IFERROR('Pay App 59'!F87/'Summary Sheet'!$D$19,""))</f>
        <v>#N/A</v>
      </c>
      <c r="DS34" s="264"/>
      <c r="DT34" s="263" t="e">
        <f>IF('Pay App 60'!$H$149=0,NA(),IFERROR('Pay App 60'!F87/'Summary Sheet'!$D$19,""))</f>
        <v>#N/A</v>
      </c>
      <c r="DU34" s="296"/>
    </row>
    <row r="35" spans="2:125" x14ac:dyDescent="0.25">
      <c r="B35" s="49" t="str">
        <f>'Pay App 1'!B88</f>
        <v>07 41 00</v>
      </c>
      <c r="C35" s="25" t="str">
        <f>'Pay App 1'!C88</f>
        <v>Roofing</v>
      </c>
      <c r="D35" s="282" t="str" cm="1">
        <f t="array" ref="D35">IFERROR(1+(LOOKUP(2,1/(E35:DT35&lt;&gt;""),E35:DT35)-E35)/E35,"")</f>
        <v/>
      </c>
      <c r="E35" s="275" t="str">
        <f>IFERROR('GMP Tracker'!D39/'Summary Sheet'!$D$19,"")</f>
        <v/>
      </c>
      <c r="F35" s="276" t="e">
        <f>IF('Pay App 1'!$D$149=0,NA(),IFERROR('Pay App 1'!F88/'Summary Sheet'!$D$19,""))</f>
        <v>#N/A</v>
      </c>
      <c r="G35" s="271"/>
      <c r="H35" s="277" t="e">
        <f>IF('Pay App 2'!$H$149=0,NA(),IFERROR('Pay App 2'!F88/'Summary Sheet'!$D$19,""))</f>
        <v>#N/A</v>
      </c>
      <c r="I35" s="266"/>
      <c r="J35" s="276" t="e">
        <f>IF('Pay App 3'!$H$149=0,NA(),IFERROR('Pay App 3'!F88/'Summary Sheet'!$D$19,""))</f>
        <v>#N/A</v>
      </c>
      <c r="K35" s="268"/>
      <c r="L35" s="277" t="e">
        <f>IF('Pay App 4'!$H$149=0,NA(),IFERROR('Pay App 4'!F88/'Summary Sheet'!$D$19,""))</f>
        <v>#N/A</v>
      </c>
      <c r="M35" s="266"/>
      <c r="N35" s="276" t="e">
        <f>IF('Pay App 5'!$H$149=0,NA(),IFERROR('Pay App 5'!F88/'Summary Sheet'!$D$19,""))</f>
        <v>#N/A</v>
      </c>
      <c r="O35" s="263"/>
      <c r="P35" s="277" t="e">
        <f>IF('Pay App 6'!$H$149=0,NA(),IFERROR('Pay App 6'!F88/'Summary Sheet'!$D$19,""))</f>
        <v>#N/A</v>
      </c>
      <c r="Q35" s="263"/>
      <c r="R35" s="276" t="e">
        <f>IF('Pay App 7'!$H$149=0,NA(),IFERROR('Pay App 7'!F88/'Summary Sheet'!$D$19,""))</f>
        <v>#N/A</v>
      </c>
      <c r="S35" s="263"/>
      <c r="T35" s="277" t="e">
        <f>IF('Pay App 8'!$H$149=0,NA(),IFERROR('Pay App 8'!F88/'Summary Sheet'!$D$19,""))</f>
        <v>#N/A</v>
      </c>
      <c r="U35" s="263"/>
      <c r="V35" s="276" t="e">
        <f>IF('Pay App 9'!$H$149=0,NA(),IFERROR('Pay App 9'!F88/'Summary Sheet'!$D$19,""))</f>
        <v>#N/A</v>
      </c>
      <c r="W35" s="263"/>
      <c r="X35" s="277" t="e">
        <f>IF('Pay App 10'!$H$149=0,NA(),IFERROR('Pay App 10'!F88/'Summary Sheet'!$D$19,""))</f>
        <v>#N/A</v>
      </c>
      <c r="Y35" s="263"/>
      <c r="Z35" s="276" t="e">
        <f>IF('Pay App 11'!$H$149=0,NA(),IFERROR('Pay App 11'!F88/'Summary Sheet'!$D$19,""))</f>
        <v>#N/A</v>
      </c>
      <c r="AA35" s="263"/>
      <c r="AB35" s="277" t="e">
        <f>IF('Pay App 12'!$H$149=0,NA(),IFERROR('Pay App 12'!F88/'Summary Sheet'!$D$19,""))</f>
        <v>#N/A</v>
      </c>
      <c r="AC35" s="263"/>
      <c r="AD35" s="276" t="e">
        <f>IF('Pay App 13'!$H$149=0,NA(),IFERROR('Pay App 13'!F88/'Summary Sheet'!$D$19,""))</f>
        <v>#N/A</v>
      </c>
      <c r="AE35" s="263"/>
      <c r="AF35" s="277" t="e">
        <f>IF('Pay App 14'!$H$149=0,NA(),IFERROR('Pay App 14'!F88/'Summary Sheet'!$D$19,""))</f>
        <v>#N/A</v>
      </c>
      <c r="AG35" s="263"/>
      <c r="AH35" s="276" t="e">
        <f>IF('Pay App 15'!$H$149=0,NA(),IFERROR('Pay App 15'!F88/'Summary Sheet'!$D$19,""))</f>
        <v>#N/A</v>
      </c>
      <c r="AI35" s="263"/>
      <c r="AJ35" s="277" t="e">
        <f>IF('Pay App 16'!$H$149=0,NA(),IFERROR('Pay App 16'!F88/'Summary Sheet'!$D$19,""))</f>
        <v>#N/A</v>
      </c>
      <c r="AK35" s="263"/>
      <c r="AL35" s="276" t="e">
        <f>IF('Pay App 17'!$H$149=0,NA(),IFERROR('Pay App 17'!F88/'Summary Sheet'!$D$19,""))</f>
        <v>#N/A</v>
      </c>
      <c r="AM35" s="263"/>
      <c r="AN35" s="277" t="e">
        <f>IF('Pay App 18'!$H$149=0,NA(),IFERROR('Pay App 18'!F88/'Summary Sheet'!$D$19,""))</f>
        <v>#N/A</v>
      </c>
      <c r="AO35" s="263"/>
      <c r="AP35" s="276" t="e">
        <f>IF('Pay App 19'!$H$149=0,NA(),IFERROR('Pay App 19'!F88/'Summary Sheet'!$D$19,""))</f>
        <v>#N/A</v>
      </c>
      <c r="AQ35" s="263"/>
      <c r="AR35" s="263" t="e">
        <f>IF('Pay App 20'!$H$149=0,NA(),IFERROR('Pay App 20'!F88/'Summary Sheet'!$D$19,""))</f>
        <v>#N/A</v>
      </c>
      <c r="AS35" s="264"/>
      <c r="AT35" s="276" t="e">
        <f>IF('Pay App 21'!$H$149=0,NA(),IFERROR('Pay App 21'!F88/'Summary Sheet'!$D$19,""))</f>
        <v>#N/A</v>
      </c>
      <c r="AU35" s="264"/>
      <c r="AV35" s="263" t="e">
        <f>IF('Pay App 22'!$H$149=0,NA(),IFERROR('Pay App 22'!F88/'Summary Sheet'!$D$19,""))</f>
        <v>#N/A</v>
      </c>
      <c r="AW35" s="264"/>
      <c r="AX35" s="276" t="e">
        <f>IF('Pay App 23'!$H$149=0,NA(),IFERROR('Pay App 23'!F88/'Summary Sheet'!$D$19,""))</f>
        <v>#N/A</v>
      </c>
      <c r="AY35" s="264"/>
      <c r="AZ35" s="263" t="e">
        <f>IF('Pay App 24'!$H$149=0,NA(),IFERROR('Pay App 24'!F88/'Summary Sheet'!$D$19,""))</f>
        <v>#N/A</v>
      </c>
      <c r="BA35" s="264"/>
      <c r="BB35" s="276" t="e">
        <f>IF('Pay App 25'!$H$149=0,NA(),IFERROR('Pay App 25'!F88/'Summary Sheet'!$D$19,""))</f>
        <v>#N/A</v>
      </c>
      <c r="BC35" s="264"/>
      <c r="BD35" s="263" t="e">
        <f>IF('Pay App 26'!$H$149=0,NA(),IFERROR('Pay App 26'!F88/'Summary Sheet'!$D$19,""))</f>
        <v>#N/A</v>
      </c>
      <c r="BE35" s="264"/>
      <c r="BF35" s="276" t="e">
        <f>IF('Pay App 27'!$H$149=0,NA(),IFERROR('Pay App 27'!F88/'Summary Sheet'!$D$19,""))</f>
        <v>#N/A</v>
      </c>
      <c r="BG35" s="264"/>
      <c r="BH35" s="263" t="e">
        <f>IF('Pay App 28'!$H$149=0,NA(),IFERROR('Pay App 28'!F88/'Summary Sheet'!$D$19,""))</f>
        <v>#N/A</v>
      </c>
      <c r="BI35" s="264"/>
      <c r="BJ35" s="276" t="e">
        <f>IF('Pay App 29'!$H$149=0,NA(),IFERROR('Pay App 29'!F88/'Summary Sheet'!$D$19,""))</f>
        <v>#N/A</v>
      </c>
      <c r="BK35" s="271"/>
      <c r="BL35" s="263" t="e">
        <f>IF('Pay App 30'!$H$149=0,NA(),IFERROR('Pay App 30'!F88/'Summary Sheet'!$D$19,""))</f>
        <v>#N/A</v>
      </c>
      <c r="BM35" s="264"/>
      <c r="BN35" s="276" t="e">
        <f>IF('Pay App 31'!$H$149=0,NA(),IFERROR('Pay App 31'!F88/'Summary Sheet'!$D$19,""))</f>
        <v>#N/A</v>
      </c>
      <c r="BO35" s="264"/>
      <c r="BP35" s="263" t="e">
        <f>IF('Pay App 32'!$H$149=0,NA(),IFERROR('Pay App 32'!F88/'Summary Sheet'!$D$19,""))</f>
        <v>#N/A</v>
      </c>
      <c r="BQ35" s="264"/>
      <c r="BR35" s="276" t="e">
        <f>IF('Pay App 33'!$H$149=0,NA(),IFERROR('Pay App 33'!F88/'Summary Sheet'!$D$19,""))</f>
        <v>#N/A</v>
      </c>
      <c r="BS35" s="264"/>
      <c r="BT35" s="263" t="e">
        <f>IF('Pay App 34'!$H$149=0,NA(),IFERROR('Pay App 34'!F88/'Summary Sheet'!$D$19,""))</f>
        <v>#N/A</v>
      </c>
      <c r="BU35" s="264"/>
      <c r="BV35" s="276" t="e">
        <f>IF('Pay App 35'!$H$149=0,NA(),IFERROR('Pay App 35'!F88/'Summary Sheet'!$D$19,""))</f>
        <v>#N/A</v>
      </c>
      <c r="BW35" s="264"/>
      <c r="BX35" s="263" t="e">
        <f>IF('Pay App 36'!$H$149=0,NA(),IFERROR('Pay App 36'!F88/'Summary Sheet'!$D$19,""))</f>
        <v>#N/A</v>
      </c>
      <c r="BY35" s="264"/>
      <c r="BZ35" s="276" t="e">
        <f>IF('Pay App 37'!$H$149=0,NA(),IFERROR('Pay App 37'!F88/'Summary Sheet'!$D$19,""))</f>
        <v>#N/A</v>
      </c>
      <c r="CA35" s="264"/>
      <c r="CB35" s="263" t="e">
        <f>IF('Pay App 38'!$H$149=0,NA(),IFERROR('Pay App 38'!F88/'Summary Sheet'!$D$19,""))</f>
        <v>#N/A</v>
      </c>
      <c r="CC35" s="264"/>
      <c r="CD35" s="276" t="e">
        <f>IF('Pay App 39'!$H$149=0,NA(),IFERROR('Pay App 39'!F88/'Summary Sheet'!$D$19,""))</f>
        <v>#N/A</v>
      </c>
      <c r="CE35" s="264"/>
      <c r="CF35" s="263" t="e">
        <f>IF('Pay App 40'!$H$149=0,NA(),IFERROR('Pay App 40'!F88/'Summary Sheet'!$D$19,""))</f>
        <v>#N/A</v>
      </c>
      <c r="CG35" s="264"/>
      <c r="CH35" s="276" t="e">
        <f>IF('Pay App 41'!$H$149=0,NA(),IFERROR('Pay App 41'!F88/'Summary Sheet'!$D$19,""))</f>
        <v>#N/A</v>
      </c>
      <c r="CI35" s="264"/>
      <c r="CJ35" s="263" t="e">
        <f>IF('Pay App 42'!$H$149=0,NA(),IFERROR('Pay App 42'!F88/'Summary Sheet'!$D$19,""))</f>
        <v>#N/A</v>
      </c>
      <c r="CK35" s="264"/>
      <c r="CL35" s="276" t="e">
        <f>IF('Pay App 43'!$H$149=0,NA(),IFERROR('Pay App 43'!F88/'Summary Sheet'!$D$19,""))</f>
        <v>#N/A</v>
      </c>
      <c r="CM35" s="264"/>
      <c r="CN35" s="263" t="e">
        <f>IF('Pay App 44'!$H$149=0,NA(),IFERROR('Pay App 44'!F88/'Summary Sheet'!$D$19,""))</f>
        <v>#N/A</v>
      </c>
      <c r="CO35" s="264"/>
      <c r="CP35" s="276" t="e">
        <f>IF('Pay App 45'!$H$149=0,NA(),IFERROR('Pay App 45'!F88/'Summary Sheet'!$D$19,""))</f>
        <v>#N/A</v>
      </c>
      <c r="CQ35" s="264"/>
      <c r="CR35" s="263" t="e">
        <f>IF('Pay App 46'!$H$149=0,NA(),IFERROR('Pay App 46'!F88/'Summary Sheet'!$D$19,""))</f>
        <v>#N/A</v>
      </c>
      <c r="CS35" s="264"/>
      <c r="CT35" s="276" t="e">
        <f>IF('Pay App 47'!$H$149=0,NA(),IFERROR('Pay App 47'!F88/'Summary Sheet'!$D$19,""))</f>
        <v>#N/A</v>
      </c>
      <c r="CU35" s="264"/>
      <c r="CV35" s="263" t="e">
        <f>IF('Pay App 48'!$H$149=0,NA(),IFERROR('Pay App 48'!F88/'Summary Sheet'!$D$19,""))</f>
        <v>#N/A</v>
      </c>
      <c r="CW35" s="264"/>
      <c r="CX35" s="276" t="e">
        <f>IF('Pay App 49'!$H$149=0,NA(),IFERROR('Pay App 49'!F88/'Summary Sheet'!$D$19,""))</f>
        <v>#N/A</v>
      </c>
      <c r="CY35" s="264"/>
      <c r="CZ35" s="263" t="e">
        <f>IF('Pay App 50'!$H$149=0,NA(),IFERROR('Pay App 50'!F88/'Summary Sheet'!$D$19,""))</f>
        <v>#N/A</v>
      </c>
      <c r="DA35" s="264"/>
      <c r="DB35" s="276" t="e">
        <f>IF('Pay App 51'!$H$149=0,NA(),IFERROR('Pay App 51'!F88/'Summary Sheet'!$D$19,""))</f>
        <v>#N/A</v>
      </c>
      <c r="DC35" s="264"/>
      <c r="DD35" s="263" t="e">
        <f>IF('Pay App 52'!$H$149=0,NA(),IFERROR('Pay App 52'!F88/'Summary Sheet'!$D$19,""))</f>
        <v>#N/A</v>
      </c>
      <c r="DE35" s="264"/>
      <c r="DF35" s="276" t="e">
        <f>IF('Pay App 53'!$H$149=0,NA(),IFERROR('Pay App 53'!F88/'Summary Sheet'!$D$19,""))</f>
        <v>#N/A</v>
      </c>
      <c r="DG35" s="264"/>
      <c r="DH35" s="263" t="e">
        <f>IF('Pay App 54'!$H$149=0,NA(),IFERROR('Pay App 54'!F88/'Summary Sheet'!$D$19,""))</f>
        <v>#N/A</v>
      </c>
      <c r="DI35" s="264"/>
      <c r="DJ35" s="276" t="e">
        <f>IF('Pay App 55'!$H$149=0,NA(),IFERROR('Pay App 55'!F88/'Summary Sheet'!$D$19,""))</f>
        <v>#N/A</v>
      </c>
      <c r="DK35" s="264"/>
      <c r="DL35" s="263" t="e">
        <f>IF('Pay App 56'!$H$149=0,NA(),IFERROR('Pay App 56'!F88/'Summary Sheet'!$D$19,""))</f>
        <v>#N/A</v>
      </c>
      <c r="DM35" s="264"/>
      <c r="DN35" s="276" t="e">
        <f>IF('Pay App 57'!$H$149=0,NA(),IFERROR('Pay App 57'!F88/'Summary Sheet'!$D$19,""))</f>
        <v>#N/A</v>
      </c>
      <c r="DO35" s="264"/>
      <c r="DP35" s="263" t="e">
        <f>IF('Pay App 58'!$H$149=0,NA(),IFERROR('Pay App 58'!F88/'Summary Sheet'!$D$19,""))</f>
        <v>#N/A</v>
      </c>
      <c r="DQ35" s="264"/>
      <c r="DR35" s="276" t="e">
        <f>IF('Pay App 59'!$H$149=0,NA(),IFERROR('Pay App 59'!F88/'Summary Sheet'!$D$19,""))</f>
        <v>#N/A</v>
      </c>
      <c r="DS35" s="264"/>
      <c r="DT35" s="263" t="e">
        <f>IF('Pay App 60'!$H$149=0,NA(),IFERROR('Pay App 60'!F88/'Summary Sheet'!$D$19,""))</f>
        <v>#N/A</v>
      </c>
      <c r="DU35" s="296"/>
    </row>
    <row r="36" spans="2:125" x14ac:dyDescent="0.25">
      <c r="B36" s="49" t="str">
        <f>'Pay App 1'!B89</f>
        <v>07 42 00</v>
      </c>
      <c r="C36" s="25" t="str">
        <f>'Pay App 1'!C89</f>
        <v>Metal Panels</v>
      </c>
      <c r="D36" s="282" t="str" cm="1">
        <f t="array" ref="D36">IFERROR(1+(LOOKUP(2,1/(E36:DT36&lt;&gt;""),E36:DT36)-E36)/E36,"")</f>
        <v/>
      </c>
      <c r="E36" s="275" t="str">
        <f>IFERROR('GMP Tracker'!D40/'Summary Sheet'!$D$19,"")</f>
        <v/>
      </c>
      <c r="F36" s="276" t="e">
        <f>IF('Pay App 1'!$D$149=0,NA(),IFERROR('Pay App 1'!F89/'Summary Sheet'!$D$19,""))</f>
        <v>#N/A</v>
      </c>
      <c r="G36" s="271"/>
      <c r="H36" s="277" t="e">
        <f>IF('Pay App 2'!$H$149=0,NA(),IFERROR('Pay App 2'!F89/'Summary Sheet'!$D$19,""))</f>
        <v>#N/A</v>
      </c>
      <c r="I36" s="266"/>
      <c r="J36" s="276" t="e">
        <f>IF('Pay App 3'!$H$149=0,NA(),IFERROR('Pay App 3'!F89/'Summary Sheet'!$D$19,""))</f>
        <v>#N/A</v>
      </c>
      <c r="K36" s="268"/>
      <c r="L36" s="277" t="e">
        <f>IF('Pay App 4'!$H$149=0,NA(),IFERROR('Pay App 4'!F89/'Summary Sheet'!$D$19,""))</f>
        <v>#N/A</v>
      </c>
      <c r="M36" s="266"/>
      <c r="N36" s="276" t="e">
        <f>IF('Pay App 5'!$H$149=0,NA(),IFERROR('Pay App 5'!F89/'Summary Sheet'!$D$19,""))</f>
        <v>#N/A</v>
      </c>
      <c r="O36" s="263"/>
      <c r="P36" s="277" t="e">
        <f>IF('Pay App 6'!$H$149=0,NA(),IFERROR('Pay App 6'!F89/'Summary Sheet'!$D$19,""))</f>
        <v>#N/A</v>
      </c>
      <c r="Q36" s="263"/>
      <c r="R36" s="276" t="e">
        <f>IF('Pay App 7'!$H$149=0,NA(),IFERROR('Pay App 7'!F89/'Summary Sheet'!$D$19,""))</f>
        <v>#N/A</v>
      </c>
      <c r="S36" s="263"/>
      <c r="T36" s="277" t="e">
        <f>IF('Pay App 8'!$H$149=0,NA(),IFERROR('Pay App 8'!F89/'Summary Sheet'!$D$19,""))</f>
        <v>#N/A</v>
      </c>
      <c r="U36" s="263"/>
      <c r="V36" s="276" t="e">
        <f>IF('Pay App 9'!$H$149=0,NA(),IFERROR('Pay App 9'!F89/'Summary Sheet'!$D$19,""))</f>
        <v>#N/A</v>
      </c>
      <c r="W36" s="263"/>
      <c r="X36" s="277" t="e">
        <f>IF('Pay App 10'!$H$149=0,NA(),IFERROR('Pay App 10'!F89/'Summary Sheet'!$D$19,""))</f>
        <v>#N/A</v>
      </c>
      <c r="Y36" s="263"/>
      <c r="Z36" s="276" t="e">
        <f>IF('Pay App 11'!$H$149=0,NA(),IFERROR('Pay App 11'!F89/'Summary Sheet'!$D$19,""))</f>
        <v>#N/A</v>
      </c>
      <c r="AA36" s="263"/>
      <c r="AB36" s="277" t="e">
        <f>IF('Pay App 12'!$H$149=0,NA(),IFERROR('Pay App 12'!F89/'Summary Sheet'!$D$19,""))</f>
        <v>#N/A</v>
      </c>
      <c r="AC36" s="263"/>
      <c r="AD36" s="276" t="e">
        <f>IF('Pay App 13'!$H$149=0,NA(),IFERROR('Pay App 13'!F89/'Summary Sheet'!$D$19,""))</f>
        <v>#N/A</v>
      </c>
      <c r="AE36" s="263"/>
      <c r="AF36" s="277" t="e">
        <f>IF('Pay App 14'!$H$149=0,NA(),IFERROR('Pay App 14'!F89/'Summary Sheet'!$D$19,""))</f>
        <v>#N/A</v>
      </c>
      <c r="AG36" s="263"/>
      <c r="AH36" s="276" t="e">
        <f>IF('Pay App 15'!$H$149=0,NA(),IFERROR('Pay App 15'!F89/'Summary Sheet'!$D$19,""))</f>
        <v>#N/A</v>
      </c>
      <c r="AI36" s="263"/>
      <c r="AJ36" s="277" t="e">
        <f>IF('Pay App 16'!$H$149=0,NA(),IFERROR('Pay App 16'!F89/'Summary Sheet'!$D$19,""))</f>
        <v>#N/A</v>
      </c>
      <c r="AK36" s="263"/>
      <c r="AL36" s="276" t="e">
        <f>IF('Pay App 17'!$H$149=0,NA(),IFERROR('Pay App 17'!F89/'Summary Sheet'!$D$19,""))</f>
        <v>#N/A</v>
      </c>
      <c r="AM36" s="263"/>
      <c r="AN36" s="277" t="e">
        <f>IF('Pay App 18'!$H$149=0,NA(),IFERROR('Pay App 18'!F89/'Summary Sheet'!$D$19,""))</f>
        <v>#N/A</v>
      </c>
      <c r="AO36" s="263"/>
      <c r="AP36" s="276" t="e">
        <f>IF('Pay App 19'!$H$149=0,NA(),IFERROR('Pay App 19'!F89/'Summary Sheet'!$D$19,""))</f>
        <v>#N/A</v>
      </c>
      <c r="AQ36" s="263"/>
      <c r="AR36" s="263" t="e">
        <f>IF('Pay App 20'!$H$149=0,NA(),IFERROR('Pay App 20'!F89/'Summary Sheet'!$D$19,""))</f>
        <v>#N/A</v>
      </c>
      <c r="AS36" s="264"/>
      <c r="AT36" s="276" t="e">
        <f>IF('Pay App 21'!$H$149=0,NA(),IFERROR('Pay App 21'!F89/'Summary Sheet'!$D$19,""))</f>
        <v>#N/A</v>
      </c>
      <c r="AU36" s="264"/>
      <c r="AV36" s="263" t="e">
        <f>IF('Pay App 22'!$H$149=0,NA(),IFERROR('Pay App 22'!F89/'Summary Sheet'!$D$19,""))</f>
        <v>#N/A</v>
      </c>
      <c r="AW36" s="264"/>
      <c r="AX36" s="276" t="e">
        <f>IF('Pay App 23'!$H$149=0,NA(),IFERROR('Pay App 23'!F89/'Summary Sheet'!$D$19,""))</f>
        <v>#N/A</v>
      </c>
      <c r="AY36" s="264"/>
      <c r="AZ36" s="263" t="e">
        <f>IF('Pay App 24'!$H$149=0,NA(),IFERROR('Pay App 24'!F89/'Summary Sheet'!$D$19,""))</f>
        <v>#N/A</v>
      </c>
      <c r="BA36" s="264"/>
      <c r="BB36" s="276" t="e">
        <f>IF('Pay App 25'!$H$149=0,NA(),IFERROR('Pay App 25'!F89/'Summary Sheet'!$D$19,""))</f>
        <v>#N/A</v>
      </c>
      <c r="BC36" s="264"/>
      <c r="BD36" s="263" t="e">
        <f>IF('Pay App 26'!$H$149=0,NA(),IFERROR('Pay App 26'!F89/'Summary Sheet'!$D$19,""))</f>
        <v>#N/A</v>
      </c>
      <c r="BE36" s="264"/>
      <c r="BF36" s="276" t="e">
        <f>IF('Pay App 27'!$H$149=0,NA(),IFERROR('Pay App 27'!F89/'Summary Sheet'!$D$19,""))</f>
        <v>#N/A</v>
      </c>
      <c r="BG36" s="264"/>
      <c r="BH36" s="263" t="e">
        <f>IF('Pay App 28'!$H$149=0,NA(),IFERROR('Pay App 28'!F89/'Summary Sheet'!$D$19,""))</f>
        <v>#N/A</v>
      </c>
      <c r="BI36" s="264"/>
      <c r="BJ36" s="276" t="e">
        <f>IF('Pay App 29'!$H$149=0,NA(),IFERROR('Pay App 29'!F89/'Summary Sheet'!$D$19,""))</f>
        <v>#N/A</v>
      </c>
      <c r="BK36" s="271"/>
      <c r="BL36" s="263" t="e">
        <f>IF('Pay App 30'!$H$149=0,NA(),IFERROR('Pay App 30'!F89/'Summary Sheet'!$D$19,""))</f>
        <v>#N/A</v>
      </c>
      <c r="BM36" s="264"/>
      <c r="BN36" s="276" t="e">
        <f>IF('Pay App 31'!$H$149=0,NA(),IFERROR('Pay App 31'!F89/'Summary Sheet'!$D$19,""))</f>
        <v>#N/A</v>
      </c>
      <c r="BO36" s="264"/>
      <c r="BP36" s="263" t="e">
        <f>IF('Pay App 32'!$H$149=0,NA(),IFERROR('Pay App 32'!F89/'Summary Sheet'!$D$19,""))</f>
        <v>#N/A</v>
      </c>
      <c r="BQ36" s="264"/>
      <c r="BR36" s="276" t="e">
        <f>IF('Pay App 33'!$H$149=0,NA(),IFERROR('Pay App 33'!F89/'Summary Sheet'!$D$19,""))</f>
        <v>#N/A</v>
      </c>
      <c r="BS36" s="264"/>
      <c r="BT36" s="263" t="e">
        <f>IF('Pay App 34'!$H$149=0,NA(),IFERROR('Pay App 34'!F89/'Summary Sheet'!$D$19,""))</f>
        <v>#N/A</v>
      </c>
      <c r="BU36" s="264"/>
      <c r="BV36" s="276" t="e">
        <f>IF('Pay App 35'!$H$149=0,NA(),IFERROR('Pay App 35'!F89/'Summary Sheet'!$D$19,""))</f>
        <v>#N/A</v>
      </c>
      <c r="BW36" s="264"/>
      <c r="BX36" s="263" t="e">
        <f>IF('Pay App 36'!$H$149=0,NA(),IFERROR('Pay App 36'!F89/'Summary Sheet'!$D$19,""))</f>
        <v>#N/A</v>
      </c>
      <c r="BY36" s="264"/>
      <c r="BZ36" s="276" t="e">
        <f>IF('Pay App 37'!$H$149=0,NA(),IFERROR('Pay App 37'!F89/'Summary Sheet'!$D$19,""))</f>
        <v>#N/A</v>
      </c>
      <c r="CA36" s="264"/>
      <c r="CB36" s="263" t="e">
        <f>IF('Pay App 38'!$H$149=0,NA(),IFERROR('Pay App 38'!F89/'Summary Sheet'!$D$19,""))</f>
        <v>#N/A</v>
      </c>
      <c r="CC36" s="264"/>
      <c r="CD36" s="276" t="e">
        <f>IF('Pay App 39'!$H$149=0,NA(),IFERROR('Pay App 39'!F89/'Summary Sheet'!$D$19,""))</f>
        <v>#N/A</v>
      </c>
      <c r="CE36" s="264"/>
      <c r="CF36" s="263" t="e">
        <f>IF('Pay App 40'!$H$149=0,NA(),IFERROR('Pay App 40'!F89/'Summary Sheet'!$D$19,""))</f>
        <v>#N/A</v>
      </c>
      <c r="CG36" s="264"/>
      <c r="CH36" s="276" t="e">
        <f>IF('Pay App 41'!$H$149=0,NA(),IFERROR('Pay App 41'!F89/'Summary Sheet'!$D$19,""))</f>
        <v>#N/A</v>
      </c>
      <c r="CI36" s="264"/>
      <c r="CJ36" s="263" t="e">
        <f>IF('Pay App 42'!$H$149=0,NA(),IFERROR('Pay App 42'!F89/'Summary Sheet'!$D$19,""))</f>
        <v>#N/A</v>
      </c>
      <c r="CK36" s="264"/>
      <c r="CL36" s="276" t="e">
        <f>IF('Pay App 43'!$H$149=0,NA(),IFERROR('Pay App 43'!F89/'Summary Sheet'!$D$19,""))</f>
        <v>#N/A</v>
      </c>
      <c r="CM36" s="264"/>
      <c r="CN36" s="263" t="e">
        <f>IF('Pay App 44'!$H$149=0,NA(),IFERROR('Pay App 44'!F89/'Summary Sheet'!$D$19,""))</f>
        <v>#N/A</v>
      </c>
      <c r="CO36" s="264"/>
      <c r="CP36" s="276" t="e">
        <f>IF('Pay App 45'!$H$149=0,NA(),IFERROR('Pay App 45'!F89/'Summary Sheet'!$D$19,""))</f>
        <v>#N/A</v>
      </c>
      <c r="CQ36" s="264"/>
      <c r="CR36" s="263" t="e">
        <f>IF('Pay App 46'!$H$149=0,NA(),IFERROR('Pay App 46'!F89/'Summary Sheet'!$D$19,""))</f>
        <v>#N/A</v>
      </c>
      <c r="CS36" s="264"/>
      <c r="CT36" s="276" t="e">
        <f>IF('Pay App 47'!$H$149=0,NA(),IFERROR('Pay App 47'!F89/'Summary Sheet'!$D$19,""))</f>
        <v>#N/A</v>
      </c>
      <c r="CU36" s="264"/>
      <c r="CV36" s="263" t="e">
        <f>IF('Pay App 48'!$H$149=0,NA(),IFERROR('Pay App 48'!F89/'Summary Sheet'!$D$19,""))</f>
        <v>#N/A</v>
      </c>
      <c r="CW36" s="264"/>
      <c r="CX36" s="276" t="e">
        <f>IF('Pay App 49'!$H$149=0,NA(),IFERROR('Pay App 49'!F89/'Summary Sheet'!$D$19,""))</f>
        <v>#N/A</v>
      </c>
      <c r="CY36" s="264"/>
      <c r="CZ36" s="263" t="e">
        <f>IF('Pay App 50'!$H$149=0,NA(),IFERROR('Pay App 50'!F89/'Summary Sheet'!$D$19,""))</f>
        <v>#N/A</v>
      </c>
      <c r="DA36" s="264"/>
      <c r="DB36" s="276" t="e">
        <f>IF('Pay App 51'!$H$149=0,NA(),IFERROR('Pay App 51'!F89/'Summary Sheet'!$D$19,""))</f>
        <v>#N/A</v>
      </c>
      <c r="DC36" s="264"/>
      <c r="DD36" s="263" t="e">
        <f>IF('Pay App 52'!$H$149=0,NA(),IFERROR('Pay App 52'!F89/'Summary Sheet'!$D$19,""))</f>
        <v>#N/A</v>
      </c>
      <c r="DE36" s="264"/>
      <c r="DF36" s="276" t="e">
        <f>IF('Pay App 53'!$H$149=0,NA(),IFERROR('Pay App 53'!F89/'Summary Sheet'!$D$19,""))</f>
        <v>#N/A</v>
      </c>
      <c r="DG36" s="264"/>
      <c r="DH36" s="263" t="e">
        <f>IF('Pay App 54'!$H$149=0,NA(),IFERROR('Pay App 54'!F89/'Summary Sheet'!$D$19,""))</f>
        <v>#N/A</v>
      </c>
      <c r="DI36" s="264"/>
      <c r="DJ36" s="276" t="e">
        <f>IF('Pay App 55'!$H$149=0,NA(),IFERROR('Pay App 55'!F89/'Summary Sheet'!$D$19,""))</f>
        <v>#N/A</v>
      </c>
      <c r="DK36" s="264"/>
      <c r="DL36" s="263" t="e">
        <f>IF('Pay App 56'!$H$149=0,NA(),IFERROR('Pay App 56'!F89/'Summary Sheet'!$D$19,""))</f>
        <v>#N/A</v>
      </c>
      <c r="DM36" s="264"/>
      <c r="DN36" s="276" t="e">
        <f>IF('Pay App 57'!$H$149=0,NA(),IFERROR('Pay App 57'!F89/'Summary Sheet'!$D$19,""))</f>
        <v>#N/A</v>
      </c>
      <c r="DO36" s="264"/>
      <c r="DP36" s="263" t="e">
        <f>IF('Pay App 58'!$H$149=0,NA(),IFERROR('Pay App 58'!F89/'Summary Sheet'!$D$19,""))</f>
        <v>#N/A</v>
      </c>
      <c r="DQ36" s="264"/>
      <c r="DR36" s="276" t="e">
        <f>IF('Pay App 59'!$H$149=0,NA(),IFERROR('Pay App 59'!F89/'Summary Sheet'!$D$19,""))</f>
        <v>#N/A</v>
      </c>
      <c r="DS36" s="264"/>
      <c r="DT36" s="263" t="e">
        <f>IF('Pay App 60'!$H$149=0,NA(),IFERROR('Pay App 60'!F89/'Summary Sheet'!$D$19,""))</f>
        <v>#N/A</v>
      </c>
      <c r="DU36" s="296"/>
    </row>
    <row r="37" spans="2:125" x14ac:dyDescent="0.25">
      <c r="B37" s="49" t="str">
        <f>'Pay App 1'!B90</f>
        <v>07 60 00</v>
      </c>
      <c r="C37" s="25" t="str">
        <f>'Pay App 1'!C90</f>
        <v>Sheet Metal Flashing &amp; Trim</v>
      </c>
      <c r="D37" s="282" t="str" cm="1">
        <f t="array" ref="D37">IFERROR(1+(LOOKUP(2,1/(E37:DT37&lt;&gt;""),E37:DT37)-E37)/E37,"")</f>
        <v/>
      </c>
      <c r="E37" s="275" t="str">
        <f>IFERROR('GMP Tracker'!D41/'Summary Sheet'!$D$19,"")</f>
        <v/>
      </c>
      <c r="F37" s="276" t="e">
        <f>IF('Pay App 1'!$D$149=0,NA(),IFERROR('Pay App 1'!F90/'Summary Sheet'!$D$19,""))</f>
        <v>#N/A</v>
      </c>
      <c r="G37" s="271"/>
      <c r="H37" s="277" t="e">
        <f>IF('Pay App 2'!$H$149=0,NA(),IFERROR('Pay App 2'!F90/'Summary Sheet'!$D$19,""))</f>
        <v>#N/A</v>
      </c>
      <c r="I37" s="266"/>
      <c r="J37" s="276" t="e">
        <f>IF('Pay App 3'!$H$149=0,NA(),IFERROR('Pay App 3'!F90/'Summary Sheet'!$D$19,""))</f>
        <v>#N/A</v>
      </c>
      <c r="K37" s="268"/>
      <c r="L37" s="277" t="e">
        <f>IF('Pay App 4'!$H$149=0,NA(),IFERROR('Pay App 4'!F90/'Summary Sheet'!$D$19,""))</f>
        <v>#N/A</v>
      </c>
      <c r="M37" s="266"/>
      <c r="N37" s="276" t="e">
        <f>IF('Pay App 5'!$H$149=0,NA(),IFERROR('Pay App 5'!F90/'Summary Sheet'!$D$19,""))</f>
        <v>#N/A</v>
      </c>
      <c r="O37" s="263"/>
      <c r="P37" s="277" t="e">
        <f>IF('Pay App 6'!$H$149=0,NA(),IFERROR('Pay App 6'!F90/'Summary Sheet'!$D$19,""))</f>
        <v>#N/A</v>
      </c>
      <c r="Q37" s="263"/>
      <c r="R37" s="276" t="e">
        <f>IF('Pay App 7'!$H$149=0,NA(),IFERROR('Pay App 7'!F90/'Summary Sheet'!$D$19,""))</f>
        <v>#N/A</v>
      </c>
      <c r="S37" s="263"/>
      <c r="T37" s="277" t="e">
        <f>IF('Pay App 8'!$H$149=0,NA(),IFERROR('Pay App 8'!F90/'Summary Sheet'!$D$19,""))</f>
        <v>#N/A</v>
      </c>
      <c r="U37" s="263"/>
      <c r="V37" s="276" t="e">
        <f>IF('Pay App 9'!$H$149=0,NA(),IFERROR('Pay App 9'!F90/'Summary Sheet'!$D$19,""))</f>
        <v>#N/A</v>
      </c>
      <c r="W37" s="263"/>
      <c r="X37" s="277" t="e">
        <f>IF('Pay App 10'!$H$149=0,NA(),IFERROR('Pay App 10'!F90/'Summary Sheet'!$D$19,""))</f>
        <v>#N/A</v>
      </c>
      <c r="Y37" s="263"/>
      <c r="Z37" s="276" t="e">
        <f>IF('Pay App 11'!$H$149=0,NA(),IFERROR('Pay App 11'!F90/'Summary Sheet'!$D$19,""))</f>
        <v>#N/A</v>
      </c>
      <c r="AA37" s="263"/>
      <c r="AB37" s="277" t="e">
        <f>IF('Pay App 12'!$H$149=0,NA(),IFERROR('Pay App 12'!F90/'Summary Sheet'!$D$19,""))</f>
        <v>#N/A</v>
      </c>
      <c r="AC37" s="263"/>
      <c r="AD37" s="276" t="e">
        <f>IF('Pay App 13'!$H$149=0,NA(),IFERROR('Pay App 13'!F90/'Summary Sheet'!$D$19,""))</f>
        <v>#N/A</v>
      </c>
      <c r="AE37" s="263"/>
      <c r="AF37" s="277" t="e">
        <f>IF('Pay App 14'!$H$149=0,NA(),IFERROR('Pay App 14'!F90/'Summary Sheet'!$D$19,""))</f>
        <v>#N/A</v>
      </c>
      <c r="AG37" s="263"/>
      <c r="AH37" s="276" t="e">
        <f>IF('Pay App 15'!$H$149=0,NA(),IFERROR('Pay App 15'!F90/'Summary Sheet'!$D$19,""))</f>
        <v>#N/A</v>
      </c>
      <c r="AI37" s="263"/>
      <c r="AJ37" s="277" t="e">
        <f>IF('Pay App 16'!$H$149=0,NA(),IFERROR('Pay App 16'!F90/'Summary Sheet'!$D$19,""))</f>
        <v>#N/A</v>
      </c>
      <c r="AK37" s="263"/>
      <c r="AL37" s="276" t="e">
        <f>IF('Pay App 17'!$H$149=0,NA(),IFERROR('Pay App 17'!F90/'Summary Sheet'!$D$19,""))</f>
        <v>#N/A</v>
      </c>
      <c r="AM37" s="263"/>
      <c r="AN37" s="277" t="e">
        <f>IF('Pay App 18'!$H$149=0,NA(),IFERROR('Pay App 18'!F90/'Summary Sheet'!$D$19,""))</f>
        <v>#N/A</v>
      </c>
      <c r="AO37" s="263"/>
      <c r="AP37" s="276" t="e">
        <f>IF('Pay App 19'!$H$149=0,NA(),IFERROR('Pay App 19'!F90/'Summary Sheet'!$D$19,""))</f>
        <v>#N/A</v>
      </c>
      <c r="AQ37" s="263"/>
      <c r="AR37" s="263" t="e">
        <f>IF('Pay App 20'!$H$149=0,NA(),IFERROR('Pay App 20'!F90/'Summary Sheet'!$D$19,""))</f>
        <v>#N/A</v>
      </c>
      <c r="AS37" s="264"/>
      <c r="AT37" s="276" t="e">
        <f>IF('Pay App 21'!$H$149=0,NA(),IFERROR('Pay App 21'!F90/'Summary Sheet'!$D$19,""))</f>
        <v>#N/A</v>
      </c>
      <c r="AU37" s="264"/>
      <c r="AV37" s="263" t="e">
        <f>IF('Pay App 22'!$H$149=0,NA(),IFERROR('Pay App 22'!F90/'Summary Sheet'!$D$19,""))</f>
        <v>#N/A</v>
      </c>
      <c r="AW37" s="264"/>
      <c r="AX37" s="276" t="e">
        <f>IF('Pay App 23'!$H$149=0,NA(),IFERROR('Pay App 23'!F90/'Summary Sheet'!$D$19,""))</f>
        <v>#N/A</v>
      </c>
      <c r="AY37" s="264"/>
      <c r="AZ37" s="263" t="e">
        <f>IF('Pay App 24'!$H$149=0,NA(),IFERROR('Pay App 24'!F90/'Summary Sheet'!$D$19,""))</f>
        <v>#N/A</v>
      </c>
      <c r="BA37" s="264"/>
      <c r="BB37" s="276" t="e">
        <f>IF('Pay App 25'!$H$149=0,NA(),IFERROR('Pay App 25'!F90/'Summary Sheet'!$D$19,""))</f>
        <v>#N/A</v>
      </c>
      <c r="BC37" s="264"/>
      <c r="BD37" s="263" t="e">
        <f>IF('Pay App 26'!$H$149=0,NA(),IFERROR('Pay App 26'!F90/'Summary Sheet'!$D$19,""))</f>
        <v>#N/A</v>
      </c>
      <c r="BE37" s="264"/>
      <c r="BF37" s="276" t="e">
        <f>IF('Pay App 27'!$H$149=0,NA(),IFERROR('Pay App 27'!F90/'Summary Sheet'!$D$19,""))</f>
        <v>#N/A</v>
      </c>
      <c r="BG37" s="264"/>
      <c r="BH37" s="263" t="e">
        <f>IF('Pay App 28'!$H$149=0,NA(),IFERROR('Pay App 28'!F90/'Summary Sheet'!$D$19,""))</f>
        <v>#N/A</v>
      </c>
      <c r="BI37" s="264"/>
      <c r="BJ37" s="276" t="e">
        <f>IF('Pay App 29'!$H$149=0,NA(),IFERROR('Pay App 29'!F90/'Summary Sheet'!$D$19,""))</f>
        <v>#N/A</v>
      </c>
      <c r="BK37" s="271"/>
      <c r="BL37" s="263" t="e">
        <f>IF('Pay App 30'!$H$149=0,NA(),IFERROR('Pay App 30'!F90/'Summary Sheet'!$D$19,""))</f>
        <v>#N/A</v>
      </c>
      <c r="BM37" s="264"/>
      <c r="BN37" s="276" t="e">
        <f>IF('Pay App 31'!$H$149=0,NA(),IFERROR('Pay App 31'!F90/'Summary Sheet'!$D$19,""))</f>
        <v>#N/A</v>
      </c>
      <c r="BO37" s="264"/>
      <c r="BP37" s="263" t="e">
        <f>IF('Pay App 32'!$H$149=0,NA(),IFERROR('Pay App 32'!F90/'Summary Sheet'!$D$19,""))</f>
        <v>#N/A</v>
      </c>
      <c r="BQ37" s="264"/>
      <c r="BR37" s="276" t="e">
        <f>IF('Pay App 33'!$H$149=0,NA(),IFERROR('Pay App 33'!F90/'Summary Sheet'!$D$19,""))</f>
        <v>#N/A</v>
      </c>
      <c r="BS37" s="264"/>
      <c r="BT37" s="263" t="e">
        <f>IF('Pay App 34'!$H$149=0,NA(),IFERROR('Pay App 34'!F90/'Summary Sheet'!$D$19,""))</f>
        <v>#N/A</v>
      </c>
      <c r="BU37" s="264"/>
      <c r="BV37" s="276" t="e">
        <f>IF('Pay App 35'!$H$149=0,NA(),IFERROR('Pay App 35'!F90/'Summary Sheet'!$D$19,""))</f>
        <v>#N/A</v>
      </c>
      <c r="BW37" s="264"/>
      <c r="BX37" s="263" t="e">
        <f>IF('Pay App 36'!$H$149=0,NA(),IFERROR('Pay App 36'!F90/'Summary Sheet'!$D$19,""))</f>
        <v>#N/A</v>
      </c>
      <c r="BY37" s="264"/>
      <c r="BZ37" s="276" t="e">
        <f>IF('Pay App 37'!$H$149=0,NA(),IFERROR('Pay App 37'!F90/'Summary Sheet'!$D$19,""))</f>
        <v>#N/A</v>
      </c>
      <c r="CA37" s="264"/>
      <c r="CB37" s="263" t="e">
        <f>IF('Pay App 38'!$H$149=0,NA(),IFERROR('Pay App 38'!F90/'Summary Sheet'!$D$19,""))</f>
        <v>#N/A</v>
      </c>
      <c r="CC37" s="264"/>
      <c r="CD37" s="276" t="e">
        <f>IF('Pay App 39'!$H$149=0,NA(),IFERROR('Pay App 39'!F90/'Summary Sheet'!$D$19,""))</f>
        <v>#N/A</v>
      </c>
      <c r="CE37" s="264"/>
      <c r="CF37" s="263" t="e">
        <f>IF('Pay App 40'!$H$149=0,NA(),IFERROR('Pay App 40'!F90/'Summary Sheet'!$D$19,""))</f>
        <v>#N/A</v>
      </c>
      <c r="CG37" s="264"/>
      <c r="CH37" s="276" t="e">
        <f>IF('Pay App 41'!$H$149=0,NA(),IFERROR('Pay App 41'!F90/'Summary Sheet'!$D$19,""))</f>
        <v>#N/A</v>
      </c>
      <c r="CI37" s="264"/>
      <c r="CJ37" s="263" t="e">
        <f>IF('Pay App 42'!$H$149=0,NA(),IFERROR('Pay App 42'!F90/'Summary Sheet'!$D$19,""))</f>
        <v>#N/A</v>
      </c>
      <c r="CK37" s="264"/>
      <c r="CL37" s="276" t="e">
        <f>IF('Pay App 43'!$H$149=0,NA(),IFERROR('Pay App 43'!F90/'Summary Sheet'!$D$19,""))</f>
        <v>#N/A</v>
      </c>
      <c r="CM37" s="264"/>
      <c r="CN37" s="263" t="e">
        <f>IF('Pay App 44'!$H$149=0,NA(),IFERROR('Pay App 44'!F90/'Summary Sheet'!$D$19,""))</f>
        <v>#N/A</v>
      </c>
      <c r="CO37" s="264"/>
      <c r="CP37" s="276" t="e">
        <f>IF('Pay App 45'!$H$149=0,NA(),IFERROR('Pay App 45'!F90/'Summary Sheet'!$D$19,""))</f>
        <v>#N/A</v>
      </c>
      <c r="CQ37" s="264"/>
      <c r="CR37" s="263" t="e">
        <f>IF('Pay App 46'!$H$149=0,NA(),IFERROR('Pay App 46'!F90/'Summary Sheet'!$D$19,""))</f>
        <v>#N/A</v>
      </c>
      <c r="CS37" s="264"/>
      <c r="CT37" s="276" t="e">
        <f>IF('Pay App 47'!$H$149=0,NA(),IFERROR('Pay App 47'!F90/'Summary Sheet'!$D$19,""))</f>
        <v>#N/A</v>
      </c>
      <c r="CU37" s="264"/>
      <c r="CV37" s="263" t="e">
        <f>IF('Pay App 48'!$H$149=0,NA(),IFERROR('Pay App 48'!F90/'Summary Sheet'!$D$19,""))</f>
        <v>#N/A</v>
      </c>
      <c r="CW37" s="264"/>
      <c r="CX37" s="276" t="e">
        <f>IF('Pay App 49'!$H$149=0,NA(),IFERROR('Pay App 49'!F90/'Summary Sheet'!$D$19,""))</f>
        <v>#N/A</v>
      </c>
      <c r="CY37" s="264"/>
      <c r="CZ37" s="263" t="e">
        <f>IF('Pay App 50'!$H$149=0,NA(),IFERROR('Pay App 50'!F90/'Summary Sheet'!$D$19,""))</f>
        <v>#N/A</v>
      </c>
      <c r="DA37" s="264"/>
      <c r="DB37" s="276" t="e">
        <f>IF('Pay App 51'!$H$149=0,NA(),IFERROR('Pay App 51'!F90/'Summary Sheet'!$D$19,""))</f>
        <v>#N/A</v>
      </c>
      <c r="DC37" s="264"/>
      <c r="DD37" s="263" t="e">
        <f>IF('Pay App 52'!$H$149=0,NA(),IFERROR('Pay App 52'!F90/'Summary Sheet'!$D$19,""))</f>
        <v>#N/A</v>
      </c>
      <c r="DE37" s="264"/>
      <c r="DF37" s="276" t="e">
        <f>IF('Pay App 53'!$H$149=0,NA(),IFERROR('Pay App 53'!F90/'Summary Sheet'!$D$19,""))</f>
        <v>#N/A</v>
      </c>
      <c r="DG37" s="264"/>
      <c r="DH37" s="263" t="e">
        <f>IF('Pay App 54'!$H$149=0,NA(),IFERROR('Pay App 54'!F90/'Summary Sheet'!$D$19,""))</f>
        <v>#N/A</v>
      </c>
      <c r="DI37" s="264"/>
      <c r="DJ37" s="276" t="e">
        <f>IF('Pay App 55'!$H$149=0,NA(),IFERROR('Pay App 55'!F90/'Summary Sheet'!$D$19,""))</f>
        <v>#N/A</v>
      </c>
      <c r="DK37" s="264"/>
      <c r="DL37" s="263" t="e">
        <f>IF('Pay App 56'!$H$149=0,NA(),IFERROR('Pay App 56'!F90/'Summary Sheet'!$D$19,""))</f>
        <v>#N/A</v>
      </c>
      <c r="DM37" s="264"/>
      <c r="DN37" s="276" t="e">
        <f>IF('Pay App 57'!$H$149=0,NA(),IFERROR('Pay App 57'!F90/'Summary Sheet'!$D$19,""))</f>
        <v>#N/A</v>
      </c>
      <c r="DO37" s="264"/>
      <c r="DP37" s="263" t="e">
        <f>IF('Pay App 58'!$H$149=0,NA(),IFERROR('Pay App 58'!F90/'Summary Sheet'!$D$19,""))</f>
        <v>#N/A</v>
      </c>
      <c r="DQ37" s="264"/>
      <c r="DR37" s="276" t="e">
        <f>IF('Pay App 59'!$H$149=0,NA(),IFERROR('Pay App 59'!F90/'Summary Sheet'!$D$19,""))</f>
        <v>#N/A</v>
      </c>
      <c r="DS37" s="264"/>
      <c r="DT37" s="263" t="e">
        <f>IF('Pay App 60'!$H$149=0,NA(),IFERROR('Pay App 60'!F90/'Summary Sheet'!$D$19,""))</f>
        <v>#N/A</v>
      </c>
      <c r="DU37" s="296"/>
    </row>
    <row r="38" spans="2:125" x14ac:dyDescent="0.25">
      <c r="B38" s="49" t="str">
        <f>'Pay App 1'!B91</f>
        <v>07 80 00</v>
      </c>
      <c r="C38" s="25" t="str">
        <f>'Pay App 1'!C91</f>
        <v>Fireproofing</v>
      </c>
      <c r="D38" s="282" t="str" cm="1">
        <f t="array" ref="D38">IFERROR(1+(LOOKUP(2,1/(E38:DT38&lt;&gt;""),E38:DT38)-E38)/E38,"")</f>
        <v/>
      </c>
      <c r="E38" s="275" t="str">
        <f>IFERROR('GMP Tracker'!D42/'Summary Sheet'!$D$19,"")</f>
        <v/>
      </c>
      <c r="F38" s="276" t="e">
        <f>IF('Pay App 1'!$D$149=0,NA(),IFERROR('Pay App 1'!F91/'Summary Sheet'!$D$19,""))</f>
        <v>#N/A</v>
      </c>
      <c r="G38" s="271"/>
      <c r="H38" s="277" t="e">
        <f>IF('Pay App 2'!$H$149=0,NA(),IFERROR('Pay App 2'!F91/'Summary Sheet'!$D$19,""))</f>
        <v>#N/A</v>
      </c>
      <c r="I38" s="266"/>
      <c r="J38" s="276" t="e">
        <f>IF('Pay App 3'!$H$149=0,NA(),IFERROR('Pay App 3'!F91/'Summary Sheet'!$D$19,""))</f>
        <v>#N/A</v>
      </c>
      <c r="K38" s="268"/>
      <c r="L38" s="277" t="e">
        <f>IF('Pay App 4'!$H$149=0,NA(),IFERROR('Pay App 4'!F91/'Summary Sheet'!$D$19,""))</f>
        <v>#N/A</v>
      </c>
      <c r="M38" s="266"/>
      <c r="N38" s="276" t="e">
        <f>IF('Pay App 5'!$H$149=0,NA(),IFERROR('Pay App 5'!F91/'Summary Sheet'!$D$19,""))</f>
        <v>#N/A</v>
      </c>
      <c r="O38" s="263"/>
      <c r="P38" s="277" t="e">
        <f>IF('Pay App 6'!$H$149=0,NA(),IFERROR('Pay App 6'!F91/'Summary Sheet'!$D$19,""))</f>
        <v>#N/A</v>
      </c>
      <c r="Q38" s="263"/>
      <c r="R38" s="276" t="e">
        <f>IF('Pay App 7'!$H$149=0,NA(),IFERROR('Pay App 7'!F91/'Summary Sheet'!$D$19,""))</f>
        <v>#N/A</v>
      </c>
      <c r="S38" s="263"/>
      <c r="T38" s="277" t="e">
        <f>IF('Pay App 8'!$H$149=0,NA(),IFERROR('Pay App 8'!F91/'Summary Sheet'!$D$19,""))</f>
        <v>#N/A</v>
      </c>
      <c r="U38" s="263"/>
      <c r="V38" s="276" t="e">
        <f>IF('Pay App 9'!$H$149=0,NA(),IFERROR('Pay App 9'!F91/'Summary Sheet'!$D$19,""))</f>
        <v>#N/A</v>
      </c>
      <c r="W38" s="263"/>
      <c r="X38" s="277" t="e">
        <f>IF('Pay App 10'!$H$149=0,NA(),IFERROR('Pay App 10'!F91/'Summary Sheet'!$D$19,""))</f>
        <v>#N/A</v>
      </c>
      <c r="Y38" s="263"/>
      <c r="Z38" s="276" t="e">
        <f>IF('Pay App 11'!$H$149=0,NA(),IFERROR('Pay App 11'!F91/'Summary Sheet'!$D$19,""))</f>
        <v>#N/A</v>
      </c>
      <c r="AA38" s="263"/>
      <c r="AB38" s="277" t="e">
        <f>IF('Pay App 12'!$H$149=0,NA(),IFERROR('Pay App 12'!F91/'Summary Sheet'!$D$19,""))</f>
        <v>#N/A</v>
      </c>
      <c r="AC38" s="263"/>
      <c r="AD38" s="276" t="e">
        <f>IF('Pay App 13'!$H$149=0,NA(),IFERROR('Pay App 13'!F91/'Summary Sheet'!$D$19,""))</f>
        <v>#N/A</v>
      </c>
      <c r="AE38" s="263"/>
      <c r="AF38" s="277" t="e">
        <f>IF('Pay App 14'!$H$149=0,NA(),IFERROR('Pay App 14'!F91/'Summary Sheet'!$D$19,""))</f>
        <v>#N/A</v>
      </c>
      <c r="AG38" s="263"/>
      <c r="AH38" s="276" t="e">
        <f>IF('Pay App 15'!$H$149=0,NA(),IFERROR('Pay App 15'!F91/'Summary Sheet'!$D$19,""))</f>
        <v>#N/A</v>
      </c>
      <c r="AI38" s="263"/>
      <c r="AJ38" s="277" t="e">
        <f>IF('Pay App 16'!$H$149=0,NA(),IFERROR('Pay App 16'!F91/'Summary Sheet'!$D$19,""))</f>
        <v>#N/A</v>
      </c>
      <c r="AK38" s="263"/>
      <c r="AL38" s="276" t="e">
        <f>IF('Pay App 17'!$H$149=0,NA(),IFERROR('Pay App 17'!F91/'Summary Sheet'!$D$19,""))</f>
        <v>#N/A</v>
      </c>
      <c r="AM38" s="263"/>
      <c r="AN38" s="277" t="e">
        <f>IF('Pay App 18'!$H$149=0,NA(),IFERROR('Pay App 18'!F91/'Summary Sheet'!$D$19,""))</f>
        <v>#N/A</v>
      </c>
      <c r="AO38" s="263"/>
      <c r="AP38" s="276" t="e">
        <f>IF('Pay App 19'!$H$149=0,NA(),IFERROR('Pay App 19'!F91/'Summary Sheet'!$D$19,""))</f>
        <v>#N/A</v>
      </c>
      <c r="AQ38" s="263"/>
      <c r="AR38" s="263" t="e">
        <f>IF('Pay App 20'!$H$149=0,NA(),IFERROR('Pay App 20'!F91/'Summary Sheet'!$D$19,""))</f>
        <v>#N/A</v>
      </c>
      <c r="AS38" s="264"/>
      <c r="AT38" s="276" t="e">
        <f>IF('Pay App 21'!$H$149=0,NA(),IFERROR('Pay App 21'!F91/'Summary Sheet'!$D$19,""))</f>
        <v>#N/A</v>
      </c>
      <c r="AU38" s="264"/>
      <c r="AV38" s="263" t="e">
        <f>IF('Pay App 22'!$H$149=0,NA(),IFERROR('Pay App 22'!F91/'Summary Sheet'!$D$19,""))</f>
        <v>#N/A</v>
      </c>
      <c r="AW38" s="264"/>
      <c r="AX38" s="276" t="e">
        <f>IF('Pay App 23'!$H$149=0,NA(),IFERROR('Pay App 23'!F91/'Summary Sheet'!$D$19,""))</f>
        <v>#N/A</v>
      </c>
      <c r="AY38" s="264"/>
      <c r="AZ38" s="263" t="e">
        <f>IF('Pay App 24'!$H$149=0,NA(),IFERROR('Pay App 24'!F91/'Summary Sheet'!$D$19,""))</f>
        <v>#N/A</v>
      </c>
      <c r="BA38" s="264"/>
      <c r="BB38" s="276" t="e">
        <f>IF('Pay App 25'!$H$149=0,NA(),IFERROR('Pay App 25'!F91/'Summary Sheet'!$D$19,""))</f>
        <v>#N/A</v>
      </c>
      <c r="BC38" s="264"/>
      <c r="BD38" s="263" t="e">
        <f>IF('Pay App 26'!$H$149=0,NA(),IFERROR('Pay App 26'!F91/'Summary Sheet'!$D$19,""))</f>
        <v>#N/A</v>
      </c>
      <c r="BE38" s="264"/>
      <c r="BF38" s="276" t="e">
        <f>IF('Pay App 27'!$H$149=0,NA(),IFERROR('Pay App 27'!F91/'Summary Sheet'!$D$19,""))</f>
        <v>#N/A</v>
      </c>
      <c r="BG38" s="264"/>
      <c r="BH38" s="263" t="e">
        <f>IF('Pay App 28'!$H$149=0,NA(),IFERROR('Pay App 28'!F91/'Summary Sheet'!$D$19,""))</f>
        <v>#N/A</v>
      </c>
      <c r="BI38" s="264"/>
      <c r="BJ38" s="276" t="e">
        <f>IF('Pay App 29'!$H$149=0,NA(),IFERROR('Pay App 29'!F91/'Summary Sheet'!$D$19,""))</f>
        <v>#N/A</v>
      </c>
      <c r="BK38" s="271"/>
      <c r="BL38" s="263" t="e">
        <f>IF('Pay App 30'!$H$149=0,NA(),IFERROR('Pay App 30'!F91/'Summary Sheet'!$D$19,""))</f>
        <v>#N/A</v>
      </c>
      <c r="BM38" s="264"/>
      <c r="BN38" s="276" t="e">
        <f>IF('Pay App 31'!$H$149=0,NA(),IFERROR('Pay App 31'!F91/'Summary Sheet'!$D$19,""))</f>
        <v>#N/A</v>
      </c>
      <c r="BO38" s="264"/>
      <c r="BP38" s="263" t="e">
        <f>IF('Pay App 32'!$H$149=0,NA(),IFERROR('Pay App 32'!F91/'Summary Sheet'!$D$19,""))</f>
        <v>#N/A</v>
      </c>
      <c r="BQ38" s="264"/>
      <c r="BR38" s="276" t="e">
        <f>IF('Pay App 33'!$H$149=0,NA(),IFERROR('Pay App 33'!F91/'Summary Sheet'!$D$19,""))</f>
        <v>#N/A</v>
      </c>
      <c r="BS38" s="264"/>
      <c r="BT38" s="263" t="e">
        <f>IF('Pay App 34'!$H$149=0,NA(),IFERROR('Pay App 34'!F91/'Summary Sheet'!$D$19,""))</f>
        <v>#N/A</v>
      </c>
      <c r="BU38" s="264"/>
      <c r="BV38" s="276" t="e">
        <f>IF('Pay App 35'!$H$149=0,NA(),IFERROR('Pay App 35'!F91/'Summary Sheet'!$D$19,""))</f>
        <v>#N/A</v>
      </c>
      <c r="BW38" s="264"/>
      <c r="BX38" s="263" t="e">
        <f>IF('Pay App 36'!$H$149=0,NA(),IFERROR('Pay App 36'!F91/'Summary Sheet'!$D$19,""))</f>
        <v>#N/A</v>
      </c>
      <c r="BY38" s="264"/>
      <c r="BZ38" s="276" t="e">
        <f>IF('Pay App 37'!$H$149=0,NA(),IFERROR('Pay App 37'!F91/'Summary Sheet'!$D$19,""))</f>
        <v>#N/A</v>
      </c>
      <c r="CA38" s="264"/>
      <c r="CB38" s="263" t="e">
        <f>IF('Pay App 38'!$H$149=0,NA(),IFERROR('Pay App 38'!F91/'Summary Sheet'!$D$19,""))</f>
        <v>#N/A</v>
      </c>
      <c r="CC38" s="264"/>
      <c r="CD38" s="276" t="e">
        <f>IF('Pay App 39'!$H$149=0,NA(),IFERROR('Pay App 39'!F91/'Summary Sheet'!$D$19,""))</f>
        <v>#N/A</v>
      </c>
      <c r="CE38" s="264"/>
      <c r="CF38" s="263" t="e">
        <f>IF('Pay App 40'!$H$149=0,NA(),IFERROR('Pay App 40'!F91/'Summary Sheet'!$D$19,""))</f>
        <v>#N/A</v>
      </c>
      <c r="CG38" s="264"/>
      <c r="CH38" s="276" t="e">
        <f>IF('Pay App 41'!$H$149=0,NA(),IFERROR('Pay App 41'!F91/'Summary Sheet'!$D$19,""))</f>
        <v>#N/A</v>
      </c>
      <c r="CI38" s="264"/>
      <c r="CJ38" s="263" t="e">
        <f>IF('Pay App 42'!$H$149=0,NA(),IFERROR('Pay App 42'!F91/'Summary Sheet'!$D$19,""))</f>
        <v>#N/A</v>
      </c>
      <c r="CK38" s="264"/>
      <c r="CL38" s="276" t="e">
        <f>IF('Pay App 43'!$H$149=0,NA(),IFERROR('Pay App 43'!F91/'Summary Sheet'!$D$19,""))</f>
        <v>#N/A</v>
      </c>
      <c r="CM38" s="264"/>
      <c r="CN38" s="263" t="e">
        <f>IF('Pay App 44'!$H$149=0,NA(),IFERROR('Pay App 44'!F91/'Summary Sheet'!$D$19,""))</f>
        <v>#N/A</v>
      </c>
      <c r="CO38" s="264"/>
      <c r="CP38" s="276" t="e">
        <f>IF('Pay App 45'!$H$149=0,NA(),IFERROR('Pay App 45'!F91/'Summary Sheet'!$D$19,""))</f>
        <v>#N/A</v>
      </c>
      <c r="CQ38" s="264"/>
      <c r="CR38" s="263" t="e">
        <f>IF('Pay App 46'!$H$149=0,NA(),IFERROR('Pay App 46'!F91/'Summary Sheet'!$D$19,""))</f>
        <v>#N/A</v>
      </c>
      <c r="CS38" s="264"/>
      <c r="CT38" s="276" t="e">
        <f>IF('Pay App 47'!$H$149=0,NA(),IFERROR('Pay App 47'!F91/'Summary Sheet'!$D$19,""))</f>
        <v>#N/A</v>
      </c>
      <c r="CU38" s="264"/>
      <c r="CV38" s="263" t="e">
        <f>IF('Pay App 48'!$H$149=0,NA(),IFERROR('Pay App 48'!F91/'Summary Sheet'!$D$19,""))</f>
        <v>#N/A</v>
      </c>
      <c r="CW38" s="264"/>
      <c r="CX38" s="276" t="e">
        <f>IF('Pay App 49'!$H$149=0,NA(),IFERROR('Pay App 49'!F91/'Summary Sheet'!$D$19,""))</f>
        <v>#N/A</v>
      </c>
      <c r="CY38" s="264"/>
      <c r="CZ38" s="263" t="e">
        <f>IF('Pay App 50'!$H$149=0,NA(),IFERROR('Pay App 50'!F91/'Summary Sheet'!$D$19,""))</f>
        <v>#N/A</v>
      </c>
      <c r="DA38" s="264"/>
      <c r="DB38" s="276" t="e">
        <f>IF('Pay App 51'!$H$149=0,NA(),IFERROR('Pay App 51'!F91/'Summary Sheet'!$D$19,""))</f>
        <v>#N/A</v>
      </c>
      <c r="DC38" s="264"/>
      <c r="DD38" s="263" t="e">
        <f>IF('Pay App 52'!$H$149=0,NA(),IFERROR('Pay App 52'!F91/'Summary Sheet'!$D$19,""))</f>
        <v>#N/A</v>
      </c>
      <c r="DE38" s="264"/>
      <c r="DF38" s="276" t="e">
        <f>IF('Pay App 53'!$H$149=0,NA(),IFERROR('Pay App 53'!F91/'Summary Sheet'!$D$19,""))</f>
        <v>#N/A</v>
      </c>
      <c r="DG38" s="264"/>
      <c r="DH38" s="263" t="e">
        <f>IF('Pay App 54'!$H$149=0,NA(),IFERROR('Pay App 54'!F91/'Summary Sheet'!$D$19,""))</f>
        <v>#N/A</v>
      </c>
      <c r="DI38" s="264"/>
      <c r="DJ38" s="276" t="e">
        <f>IF('Pay App 55'!$H$149=0,NA(),IFERROR('Pay App 55'!F91/'Summary Sheet'!$D$19,""))</f>
        <v>#N/A</v>
      </c>
      <c r="DK38" s="264"/>
      <c r="DL38" s="263" t="e">
        <f>IF('Pay App 56'!$H$149=0,NA(),IFERROR('Pay App 56'!F91/'Summary Sheet'!$D$19,""))</f>
        <v>#N/A</v>
      </c>
      <c r="DM38" s="264"/>
      <c r="DN38" s="276" t="e">
        <f>IF('Pay App 57'!$H$149=0,NA(),IFERROR('Pay App 57'!F91/'Summary Sheet'!$D$19,""))</f>
        <v>#N/A</v>
      </c>
      <c r="DO38" s="264"/>
      <c r="DP38" s="263" t="e">
        <f>IF('Pay App 58'!$H$149=0,NA(),IFERROR('Pay App 58'!F91/'Summary Sheet'!$D$19,""))</f>
        <v>#N/A</v>
      </c>
      <c r="DQ38" s="264"/>
      <c r="DR38" s="276" t="e">
        <f>IF('Pay App 59'!$H$149=0,NA(),IFERROR('Pay App 59'!F91/'Summary Sheet'!$D$19,""))</f>
        <v>#N/A</v>
      </c>
      <c r="DS38" s="264"/>
      <c r="DT38" s="263" t="e">
        <f>IF('Pay App 60'!$H$149=0,NA(),IFERROR('Pay App 60'!F91/'Summary Sheet'!$D$19,""))</f>
        <v>#N/A</v>
      </c>
      <c r="DU38" s="296"/>
    </row>
    <row r="39" spans="2:125" x14ac:dyDescent="0.25">
      <c r="B39" s="49" t="str">
        <f>'Pay App 1'!B92</f>
        <v>07 90 00</v>
      </c>
      <c r="C39" s="25" t="str">
        <f>'Pay App 1'!C92</f>
        <v>Joint Sealants</v>
      </c>
      <c r="D39" s="282" t="str" cm="1">
        <f t="array" ref="D39">IFERROR(1+(LOOKUP(2,1/(E39:DT39&lt;&gt;""),E39:DT39)-E39)/E39,"")</f>
        <v/>
      </c>
      <c r="E39" s="275" t="str">
        <f>IFERROR('GMP Tracker'!D43/'Summary Sheet'!$D$19,"")</f>
        <v/>
      </c>
      <c r="F39" s="276" t="e">
        <f>IF('Pay App 1'!$D$149=0,NA(),IFERROR('Pay App 1'!F92/'Summary Sheet'!$D$19,""))</f>
        <v>#N/A</v>
      </c>
      <c r="G39" s="271"/>
      <c r="H39" s="277" t="e">
        <f>IF('Pay App 2'!$H$149=0,NA(),IFERROR('Pay App 2'!F92/'Summary Sheet'!$D$19,""))</f>
        <v>#N/A</v>
      </c>
      <c r="I39" s="266"/>
      <c r="J39" s="276" t="e">
        <f>IF('Pay App 3'!$H$149=0,NA(),IFERROR('Pay App 3'!F92/'Summary Sheet'!$D$19,""))</f>
        <v>#N/A</v>
      </c>
      <c r="K39" s="268"/>
      <c r="L39" s="277" t="e">
        <f>IF('Pay App 4'!$H$149=0,NA(),IFERROR('Pay App 4'!F92/'Summary Sheet'!$D$19,""))</f>
        <v>#N/A</v>
      </c>
      <c r="M39" s="266"/>
      <c r="N39" s="276" t="e">
        <f>IF('Pay App 5'!$H$149=0,NA(),IFERROR('Pay App 5'!F92/'Summary Sheet'!$D$19,""))</f>
        <v>#N/A</v>
      </c>
      <c r="O39" s="263"/>
      <c r="P39" s="277" t="e">
        <f>IF('Pay App 6'!$H$149=0,NA(),IFERROR('Pay App 6'!F92/'Summary Sheet'!$D$19,""))</f>
        <v>#N/A</v>
      </c>
      <c r="Q39" s="263"/>
      <c r="R39" s="276" t="e">
        <f>IF('Pay App 7'!$H$149=0,NA(),IFERROR('Pay App 7'!F92/'Summary Sheet'!$D$19,""))</f>
        <v>#N/A</v>
      </c>
      <c r="S39" s="263"/>
      <c r="T39" s="277" t="e">
        <f>IF('Pay App 8'!$H$149=0,NA(),IFERROR('Pay App 8'!F92/'Summary Sheet'!$D$19,""))</f>
        <v>#N/A</v>
      </c>
      <c r="U39" s="263"/>
      <c r="V39" s="276" t="e">
        <f>IF('Pay App 9'!$H$149=0,NA(),IFERROR('Pay App 9'!F92/'Summary Sheet'!$D$19,""))</f>
        <v>#N/A</v>
      </c>
      <c r="W39" s="263"/>
      <c r="X39" s="277" t="e">
        <f>IF('Pay App 10'!$H$149=0,NA(),IFERROR('Pay App 10'!F92/'Summary Sheet'!$D$19,""))</f>
        <v>#N/A</v>
      </c>
      <c r="Y39" s="263"/>
      <c r="Z39" s="276" t="e">
        <f>IF('Pay App 11'!$H$149=0,NA(),IFERROR('Pay App 11'!F92/'Summary Sheet'!$D$19,""))</f>
        <v>#N/A</v>
      </c>
      <c r="AA39" s="263"/>
      <c r="AB39" s="277" t="e">
        <f>IF('Pay App 12'!$H$149=0,NA(),IFERROR('Pay App 12'!F92/'Summary Sheet'!$D$19,""))</f>
        <v>#N/A</v>
      </c>
      <c r="AC39" s="263"/>
      <c r="AD39" s="276" t="e">
        <f>IF('Pay App 13'!$H$149=0,NA(),IFERROR('Pay App 13'!F92/'Summary Sheet'!$D$19,""))</f>
        <v>#N/A</v>
      </c>
      <c r="AE39" s="263"/>
      <c r="AF39" s="277" t="e">
        <f>IF('Pay App 14'!$H$149=0,NA(),IFERROR('Pay App 14'!F92/'Summary Sheet'!$D$19,""))</f>
        <v>#N/A</v>
      </c>
      <c r="AG39" s="263"/>
      <c r="AH39" s="276" t="e">
        <f>IF('Pay App 15'!$H$149=0,NA(),IFERROR('Pay App 15'!F92/'Summary Sheet'!$D$19,""))</f>
        <v>#N/A</v>
      </c>
      <c r="AI39" s="263"/>
      <c r="AJ39" s="277" t="e">
        <f>IF('Pay App 16'!$H$149=0,NA(),IFERROR('Pay App 16'!F92/'Summary Sheet'!$D$19,""))</f>
        <v>#N/A</v>
      </c>
      <c r="AK39" s="263"/>
      <c r="AL39" s="276" t="e">
        <f>IF('Pay App 17'!$H$149=0,NA(),IFERROR('Pay App 17'!F92/'Summary Sheet'!$D$19,""))</f>
        <v>#N/A</v>
      </c>
      <c r="AM39" s="263"/>
      <c r="AN39" s="277" t="e">
        <f>IF('Pay App 18'!$H$149=0,NA(),IFERROR('Pay App 18'!F92/'Summary Sheet'!$D$19,""))</f>
        <v>#N/A</v>
      </c>
      <c r="AO39" s="263"/>
      <c r="AP39" s="276" t="e">
        <f>IF('Pay App 19'!$H$149=0,NA(),IFERROR('Pay App 19'!F92/'Summary Sheet'!$D$19,""))</f>
        <v>#N/A</v>
      </c>
      <c r="AQ39" s="263"/>
      <c r="AR39" s="263" t="e">
        <f>IF('Pay App 20'!$H$149=0,NA(),IFERROR('Pay App 20'!F92/'Summary Sheet'!$D$19,""))</f>
        <v>#N/A</v>
      </c>
      <c r="AS39" s="264"/>
      <c r="AT39" s="276" t="e">
        <f>IF('Pay App 21'!$H$149=0,NA(),IFERROR('Pay App 21'!F92/'Summary Sheet'!$D$19,""))</f>
        <v>#N/A</v>
      </c>
      <c r="AU39" s="264"/>
      <c r="AV39" s="263" t="e">
        <f>IF('Pay App 22'!$H$149=0,NA(),IFERROR('Pay App 22'!F92/'Summary Sheet'!$D$19,""))</f>
        <v>#N/A</v>
      </c>
      <c r="AW39" s="264"/>
      <c r="AX39" s="276" t="e">
        <f>IF('Pay App 23'!$H$149=0,NA(),IFERROR('Pay App 23'!F92/'Summary Sheet'!$D$19,""))</f>
        <v>#N/A</v>
      </c>
      <c r="AY39" s="264"/>
      <c r="AZ39" s="263" t="e">
        <f>IF('Pay App 24'!$H$149=0,NA(),IFERROR('Pay App 24'!F92/'Summary Sheet'!$D$19,""))</f>
        <v>#N/A</v>
      </c>
      <c r="BA39" s="264"/>
      <c r="BB39" s="276" t="e">
        <f>IF('Pay App 25'!$H$149=0,NA(),IFERROR('Pay App 25'!F92/'Summary Sheet'!$D$19,""))</f>
        <v>#N/A</v>
      </c>
      <c r="BC39" s="264"/>
      <c r="BD39" s="263" t="e">
        <f>IF('Pay App 26'!$H$149=0,NA(),IFERROR('Pay App 26'!F92/'Summary Sheet'!$D$19,""))</f>
        <v>#N/A</v>
      </c>
      <c r="BE39" s="264"/>
      <c r="BF39" s="276" t="e">
        <f>IF('Pay App 27'!$H$149=0,NA(),IFERROR('Pay App 27'!F92/'Summary Sheet'!$D$19,""))</f>
        <v>#N/A</v>
      </c>
      <c r="BG39" s="264"/>
      <c r="BH39" s="263" t="e">
        <f>IF('Pay App 28'!$H$149=0,NA(),IFERROR('Pay App 28'!F92/'Summary Sheet'!$D$19,""))</f>
        <v>#N/A</v>
      </c>
      <c r="BI39" s="264"/>
      <c r="BJ39" s="276" t="e">
        <f>IF('Pay App 29'!$H$149=0,NA(),IFERROR('Pay App 29'!F92/'Summary Sheet'!$D$19,""))</f>
        <v>#N/A</v>
      </c>
      <c r="BK39" s="271"/>
      <c r="BL39" s="263" t="e">
        <f>IF('Pay App 30'!$H$149=0,NA(),IFERROR('Pay App 30'!F92/'Summary Sheet'!$D$19,""))</f>
        <v>#N/A</v>
      </c>
      <c r="BM39" s="264"/>
      <c r="BN39" s="276" t="e">
        <f>IF('Pay App 31'!$H$149=0,NA(),IFERROR('Pay App 31'!F92/'Summary Sheet'!$D$19,""))</f>
        <v>#N/A</v>
      </c>
      <c r="BO39" s="264"/>
      <c r="BP39" s="263" t="e">
        <f>IF('Pay App 32'!$H$149=0,NA(),IFERROR('Pay App 32'!F92/'Summary Sheet'!$D$19,""))</f>
        <v>#N/A</v>
      </c>
      <c r="BQ39" s="264"/>
      <c r="BR39" s="276" t="e">
        <f>IF('Pay App 33'!$H$149=0,NA(),IFERROR('Pay App 33'!F92/'Summary Sheet'!$D$19,""))</f>
        <v>#N/A</v>
      </c>
      <c r="BS39" s="264"/>
      <c r="BT39" s="263" t="e">
        <f>IF('Pay App 34'!$H$149=0,NA(),IFERROR('Pay App 34'!F92/'Summary Sheet'!$D$19,""))</f>
        <v>#N/A</v>
      </c>
      <c r="BU39" s="264"/>
      <c r="BV39" s="276" t="e">
        <f>IF('Pay App 35'!$H$149=0,NA(),IFERROR('Pay App 35'!F92/'Summary Sheet'!$D$19,""))</f>
        <v>#N/A</v>
      </c>
      <c r="BW39" s="264"/>
      <c r="BX39" s="263" t="e">
        <f>IF('Pay App 36'!$H$149=0,NA(),IFERROR('Pay App 36'!F92/'Summary Sheet'!$D$19,""))</f>
        <v>#N/A</v>
      </c>
      <c r="BY39" s="264"/>
      <c r="BZ39" s="276" t="e">
        <f>IF('Pay App 37'!$H$149=0,NA(),IFERROR('Pay App 37'!F92/'Summary Sheet'!$D$19,""))</f>
        <v>#N/A</v>
      </c>
      <c r="CA39" s="264"/>
      <c r="CB39" s="263" t="e">
        <f>IF('Pay App 38'!$H$149=0,NA(),IFERROR('Pay App 38'!F92/'Summary Sheet'!$D$19,""))</f>
        <v>#N/A</v>
      </c>
      <c r="CC39" s="264"/>
      <c r="CD39" s="276" t="e">
        <f>IF('Pay App 39'!$H$149=0,NA(),IFERROR('Pay App 39'!F92/'Summary Sheet'!$D$19,""))</f>
        <v>#N/A</v>
      </c>
      <c r="CE39" s="264"/>
      <c r="CF39" s="263" t="e">
        <f>IF('Pay App 40'!$H$149=0,NA(),IFERROR('Pay App 40'!F92/'Summary Sheet'!$D$19,""))</f>
        <v>#N/A</v>
      </c>
      <c r="CG39" s="264"/>
      <c r="CH39" s="276" t="e">
        <f>IF('Pay App 41'!$H$149=0,NA(),IFERROR('Pay App 41'!F92/'Summary Sheet'!$D$19,""))</f>
        <v>#N/A</v>
      </c>
      <c r="CI39" s="264"/>
      <c r="CJ39" s="263" t="e">
        <f>IF('Pay App 42'!$H$149=0,NA(),IFERROR('Pay App 42'!F92/'Summary Sheet'!$D$19,""))</f>
        <v>#N/A</v>
      </c>
      <c r="CK39" s="264"/>
      <c r="CL39" s="276" t="e">
        <f>IF('Pay App 43'!$H$149=0,NA(),IFERROR('Pay App 43'!F92/'Summary Sheet'!$D$19,""))</f>
        <v>#N/A</v>
      </c>
      <c r="CM39" s="264"/>
      <c r="CN39" s="263" t="e">
        <f>IF('Pay App 44'!$H$149=0,NA(),IFERROR('Pay App 44'!F92/'Summary Sheet'!$D$19,""))</f>
        <v>#N/A</v>
      </c>
      <c r="CO39" s="264"/>
      <c r="CP39" s="276" t="e">
        <f>IF('Pay App 45'!$H$149=0,NA(),IFERROR('Pay App 45'!F92/'Summary Sheet'!$D$19,""))</f>
        <v>#N/A</v>
      </c>
      <c r="CQ39" s="264"/>
      <c r="CR39" s="263" t="e">
        <f>IF('Pay App 46'!$H$149=0,NA(),IFERROR('Pay App 46'!F92/'Summary Sheet'!$D$19,""))</f>
        <v>#N/A</v>
      </c>
      <c r="CS39" s="264"/>
      <c r="CT39" s="276" t="e">
        <f>IF('Pay App 47'!$H$149=0,NA(),IFERROR('Pay App 47'!F92/'Summary Sheet'!$D$19,""))</f>
        <v>#N/A</v>
      </c>
      <c r="CU39" s="264"/>
      <c r="CV39" s="263" t="e">
        <f>IF('Pay App 48'!$H$149=0,NA(),IFERROR('Pay App 48'!F92/'Summary Sheet'!$D$19,""))</f>
        <v>#N/A</v>
      </c>
      <c r="CW39" s="264"/>
      <c r="CX39" s="276" t="e">
        <f>IF('Pay App 49'!$H$149=0,NA(),IFERROR('Pay App 49'!F92/'Summary Sheet'!$D$19,""))</f>
        <v>#N/A</v>
      </c>
      <c r="CY39" s="264"/>
      <c r="CZ39" s="263" t="e">
        <f>IF('Pay App 50'!$H$149=0,NA(),IFERROR('Pay App 50'!F92/'Summary Sheet'!$D$19,""))</f>
        <v>#N/A</v>
      </c>
      <c r="DA39" s="264"/>
      <c r="DB39" s="276" t="e">
        <f>IF('Pay App 51'!$H$149=0,NA(),IFERROR('Pay App 51'!F92/'Summary Sheet'!$D$19,""))</f>
        <v>#N/A</v>
      </c>
      <c r="DC39" s="264"/>
      <c r="DD39" s="263" t="e">
        <f>IF('Pay App 52'!$H$149=0,NA(),IFERROR('Pay App 52'!F92/'Summary Sheet'!$D$19,""))</f>
        <v>#N/A</v>
      </c>
      <c r="DE39" s="264"/>
      <c r="DF39" s="276" t="e">
        <f>IF('Pay App 53'!$H$149=0,NA(),IFERROR('Pay App 53'!F92/'Summary Sheet'!$D$19,""))</f>
        <v>#N/A</v>
      </c>
      <c r="DG39" s="264"/>
      <c r="DH39" s="263" t="e">
        <f>IF('Pay App 54'!$H$149=0,NA(),IFERROR('Pay App 54'!F92/'Summary Sheet'!$D$19,""))</f>
        <v>#N/A</v>
      </c>
      <c r="DI39" s="264"/>
      <c r="DJ39" s="276" t="e">
        <f>IF('Pay App 55'!$H$149=0,NA(),IFERROR('Pay App 55'!F92/'Summary Sheet'!$D$19,""))</f>
        <v>#N/A</v>
      </c>
      <c r="DK39" s="264"/>
      <c r="DL39" s="263" t="e">
        <f>IF('Pay App 56'!$H$149=0,NA(),IFERROR('Pay App 56'!F92/'Summary Sheet'!$D$19,""))</f>
        <v>#N/A</v>
      </c>
      <c r="DM39" s="264"/>
      <c r="DN39" s="276" t="e">
        <f>IF('Pay App 57'!$H$149=0,NA(),IFERROR('Pay App 57'!F92/'Summary Sheet'!$D$19,""))</f>
        <v>#N/A</v>
      </c>
      <c r="DO39" s="264"/>
      <c r="DP39" s="263" t="e">
        <f>IF('Pay App 58'!$H$149=0,NA(),IFERROR('Pay App 58'!F92/'Summary Sheet'!$D$19,""))</f>
        <v>#N/A</v>
      </c>
      <c r="DQ39" s="264"/>
      <c r="DR39" s="276" t="e">
        <f>IF('Pay App 59'!$H$149=0,NA(),IFERROR('Pay App 59'!F92/'Summary Sheet'!$D$19,""))</f>
        <v>#N/A</v>
      </c>
      <c r="DS39" s="264"/>
      <c r="DT39" s="263" t="e">
        <f>IF('Pay App 60'!$H$149=0,NA(),IFERROR('Pay App 60'!F92/'Summary Sheet'!$D$19,""))</f>
        <v>#N/A</v>
      </c>
      <c r="DU39" s="296"/>
    </row>
    <row r="40" spans="2:125" x14ac:dyDescent="0.25">
      <c r="B40" s="49" t="str">
        <f>'Pay App 1'!B93</f>
        <v>07 95 00</v>
      </c>
      <c r="C40" s="25" t="str">
        <f>'Pay App 1'!C93</f>
        <v>Expansion Joints</v>
      </c>
      <c r="D40" s="282" t="str" cm="1">
        <f t="array" ref="D40">IFERROR(1+(LOOKUP(2,1/(E40:DT40&lt;&gt;""),E40:DT40)-E40)/E40,"")</f>
        <v/>
      </c>
      <c r="E40" s="275" t="str">
        <f>IFERROR('GMP Tracker'!D44/'Summary Sheet'!$D$19,"")</f>
        <v/>
      </c>
      <c r="F40" s="276" t="e">
        <f>IF('Pay App 1'!$D$149=0,NA(),IFERROR('Pay App 1'!F93/'Summary Sheet'!$D$19,""))</f>
        <v>#N/A</v>
      </c>
      <c r="G40" s="271"/>
      <c r="H40" s="277" t="e">
        <f>IF('Pay App 2'!$H$149=0,NA(),IFERROR('Pay App 2'!F93/'Summary Sheet'!$D$19,""))</f>
        <v>#N/A</v>
      </c>
      <c r="I40" s="266"/>
      <c r="J40" s="276" t="e">
        <f>IF('Pay App 3'!$H$149=0,NA(),IFERROR('Pay App 3'!F93/'Summary Sheet'!$D$19,""))</f>
        <v>#N/A</v>
      </c>
      <c r="K40" s="268"/>
      <c r="L40" s="277" t="e">
        <f>IF('Pay App 4'!$H$149=0,NA(),IFERROR('Pay App 4'!F93/'Summary Sheet'!$D$19,""))</f>
        <v>#N/A</v>
      </c>
      <c r="M40" s="266"/>
      <c r="N40" s="276" t="e">
        <f>IF('Pay App 5'!$H$149=0,NA(),IFERROR('Pay App 5'!F93/'Summary Sheet'!$D$19,""))</f>
        <v>#N/A</v>
      </c>
      <c r="O40" s="263"/>
      <c r="P40" s="277" t="e">
        <f>IF('Pay App 6'!$H$149=0,NA(),IFERROR('Pay App 6'!F93/'Summary Sheet'!$D$19,""))</f>
        <v>#N/A</v>
      </c>
      <c r="Q40" s="263"/>
      <c r="R40" s="276" t="e">
        <f>IF('Pay App 7'!$H$149=0,NA(),IFERROR('Pay App 7'!F93/'Summary Sheet'!$D$19,""))</f>
        <v>#N/A</v>
      </c>
      <c r="S40" s="263"/>
      <c r="T40" s="277" t="e">
        <f>IF('Pay App 8'!$H$149=0,NA(),IFERROR('Pay App 8'!F93/'Summary Sheet'!$D$19,""))</f>
        <v>#N/A</v>
      </c>
      <c r="U40" s="263"/>
      <c r="V40" s="276" t="e">
        <f>IF('Pay App 9'!$H$149=0,NA(),IFERROR('Pay App 9'!F93/'Summary Sheet'!$D$19,""))</f>
        <v>#N/A</v>
      </c>
      <c r="W40" s="263"/>
      <c r="X40" s="277" t="e">
        <f>IF('Pay App 10'!$H$149=0,NA(),IFERROR('Pay App 10'!F93/'Summary Sheet'!$D$19,""))</f>
        <v>#N/A</v>
      </c>
      <c r="Y40" s="263"/>
      <c r="Z40" s="276" t="e">
        <f>IF('Pay App 11'!$H$149=0,NA(),IFERROR('Pay App 11'!F93/'Summary Sheet'!$D$19,""))</f>
        <v>#N/A</v>
      </c>
      <c r="AA40" s="263"/>
      <c r="AB40" s="277" t="e">
        <f>IF('Pay App 12'!$H$149=0,NA(),IFERROR('Pay App 12'!F93/'Summary Sheet'!$D$19,""))</f>
        <v>#N/A</v>
      </c>
      <c r="AC40" s="263"/>
      <c r="AD40" s="276" t="e">
        <f>IF('Pay App 13'!$H$149=0,NA(),IFERROR('Pay App 13'!F93/'Summary Sheet'!$D$19,""))</f>
        <v>#N/A</v>
      </c>
      <c r="AE40" s="263"/>
      <c r="AF40" s="277" t="e">
        <f>IF('Pay App 14'!$H$149=0,NA(),IFERROR('Pay App 14'!F93/'Summary Sheet'!$D$19,""))</f>
        <v>#N/A</v>
      </c>
      <c r="AG40" s="263"/>
      <c r="AH40" s="276" t="e">
        <f>IF('Pay App 15'!$H$149=0,NA(),IFERROR('Pay App 15'!F93/'Summary Sheet'!$D$19,""))</f>
        <v>#N/A</v>
      </c>
      <c r="AI40" s="263"/>
      <c r="AJ40" s="277" t="e">
        <f>IF('Pay App 16'!$H$149=0,NA(),IFERROR('Pay App 16'!F93/'Summary Sheet'!$D$19,""))</f>
        <v>#N/A</v>
      </c>
      <c r="AK40" s="263"/>
      <c r="AL40" s="276" t="e">
        <f>IF('Pay App 17'!$H$149=0,NA(),IFERROR('Pay App 17'!F93/'Summary Sheet'!$D$19,""))</f>
        <v>#N/A</v>
      </c>
      <c r="AM40" s="263"/>
      <c r="AN40" s="277" t="e">
        <f>IF('Pay App 18'!$H$149=0,NA(),IFERROR('Pay App 18'!F93/'Summary Sheet'!$D$19,""))</f>
        <v>#N/A</v>
      </c>
      <c r="AO40" s="263"/>
      <c r="AP40" s="276" t="e">
        <f>IF('Pay App 19'!$H$149=0,NA(),IFERROR('Pay App 19'!F93/'Summary Sheet'!$D$19,""))</f>
        <v>#N/A</v>
      </c>
      <c r="AQ40" s="263"/>
      <c r="AR40" s="263" t="e">
        <f>IF('Pay App 20'!$H$149=0,NA(),IFERROR('Pay App 20'!F93/'Summary Sheet'!$D$19,""))</f>
        <v>#N/A</v>
      </c>
      <c r="AS40" s="264"/>
      <c r="AT40" s="276" t="e">
        <f>IF('Pay App 21'!$H$149=0,NA(),IFERROR('Pay App 21'!F93/'Summary Sheet'!$D$19,""))</f>
        <v>#N/A</v>
      </c>
      <c r="AU40" s="264"/>
      <c r="AV40" s="263" t="e">
        <f>IF('Pay App 22'!$H$149=0,NA(),IFERROR('Pay App 22'!F93/'Summary Sheet'!$D$19,""))</f>
        <v>#N/A</v>
      </c>
      <c r="AW40" s="264"/>
      <c r="AX40" s="276" t="e">
        <f>IF('Pay App 23'!$H$149=0,NA(),IFERROR('Pay App 23'!F93/'Summary Sheet'!$D$19,""))</f>
        <v>#N/A</v>
      </c>
      <c r="AY40" s="264"/>
      <c r="AZ40" s="263" t="e">
        <f>IF('Pay App 24'!$H$149=0,NA(),IFERROR('Pay App 24'!F93/'Summary Sheet'!$D$19,""))</f>
        <v>#N/A</v>
      </c>
      <c r="BA40" s="264"/>
      <c r="BB40" s="276" t="e">
        <f>IF('Pay App 25'!$H$149=0,NA(),IFERROR('Pay App 25'!F93/'Summary Sheet'!$D$19,""))</f>
        <v>#N/A</v>
      </c>
      <c r="BC40" s="264"/>
      <c r="BD40" s="263" t="e">
        <f>IF('Pay App 26'!$H$149=0,NA(),IFERROR('Pay App 26'!F93/'Summary Sheet'!$D$19,""))</f>
        <v>#N/A</v>
      </c>
      <c r="BE40" s="264"/>
      <c r="BF40" s="276" t="e">
        <f>IF('Pay App 27'!$H$149=0,NA(),IFERROR('Pay App 27'!F93/'Summary Sheet'!$D$19,""))</f>
        <v>#N/A</v>
      </c>
      <c r="BG40" s="264"/>
      <c r="BH40" s="263" t="e">
        <f>IF('Pay App 28'!$H$149=0,NA(),IFERROR('Pay App 28'!F93/'Summary Sheet'!$D$19,""))</f>
        <v>#N/A</v>
      </c>
      <c r="BI40" s="264"/>
      <c r="BJ40" s="276" t="e">
        <f>IF('Pay App 29'!$H$149=0,NA(),IFERROR('Pay App 29'!F93/'Summary Sheet'!$D$19,""))</f>
        <v>#N/A</v>
      </c>
      <c r="BK40" s="271"/>
      <c r="BL40" s="263" t="e">
        <f>IF('Pay App 30'!$H$149=0,NA(),IFERROR('Pay App 30'!F93/'Summary Sheet'!$D$19,""))</f>
        <v>#N/A</v>
      </c>
      <c r="BM40" s="264"/>
      <c r="BN40" s="276" t="e">
        <f>IF('Pay App 31'!$H$149=0,NA(),IFERROR('Pay App 31'!F93/'Summary Sheet'!$D$19,""))</f>
        <v>#N/A</v>
      </c>
      <c r="BO40" s="264"/>
      <c r="BP40" s="263" t="e">
        <f>IF('Pay App 32'!$H$149=0,NA(),IFERROR('Pay App 32'!F93/'Summary Sheet'!$D$19,""))</f>
        <v>#N/A</v>
      </c>
      <c r="BQ40" s="264"/>
      <c r="BR40" s="276" t="e">
        <f>IF('Pay App 33'!$H$149=0,NA(),IFERROR('Pay App 33'!F93/'Summary Sheet'!$D$19,""))</f>
        <v>#N/A</v>
      </c>
      <c r="BS40" s="264"/>
      <c r="BT40" s="263" t="e">
        <f>IF('Pay App 34'!$H$149=0,NA(),IFERROR('Pay App 34'!F93/'Summary Sheet'!$D$19,""))</f>
        <v>#N/A</v>
      </c>
      <c r="BU40" s="264"/>
      <c r="BV40" s="276" t="e">
        <f>IF('Pay App 35'!$H$149=0,NA(),IFERROR('Pay App 35'!F93/'Summary Sheet'!$D$19,""))</f>
        <v>#N/A</v>
      </c>
      <c r="BW40" s="264"/>
      <c r="BX40" s="263" t="e">
        <f>IF('Pay App 36'!$H$149=0,NA(),IFERROR('Pay App 36'!F93/'Summary Sheet'!$D$19,""))</f>
        <v>#N/A</v>
      </c>
      <c r="BY40" s="264"/>
      <c r="BZ40" s="276" t="e">
        <f>IF('Pay App 37'!$H$149=0,NA(),IFERROR('Pay App 37'!F93/'Summary Sheet'!$D$19,""))</f>
        <v>#N/A</v>
      </c>
      <c r="CA40" s="264"/>
      <c r="CB40" s="263" t="e">
        <f>IF('Pay App 38'!$H$149=0,NA(),IFERROR('Pay App 38'!F93/'Summary Sheet'!$D$19,""))</f>
        <v>#N/A</v>
      </c>
      <c r="CC40" s="264"/>
      <c r="CD40" s="276" t="e">
        <f>IF('Pay App 39'!$H$149=0,NA(),IFERROR('Pay App 39'!F93/'Summary Sheet'!$D$19,""))</f>
        <v>#N/A</v>
      </c>
      <c r="CE40" s="264"/>
      <c r="CF40" s="263" t="e">
        <f>IF('Pay App 40'!$H$149=0,NA(),IFERROR('Pay App 40'!F93/'Summary Sheet'!$D$19,""))</f>
        <v>#N/A</v>
      </c>
      <c r="CG40" s="264"/>
      <c r="CH40" s="276" t="e">
        <f>IF('Pay App 41'!$H$149=0,NA(),IFERROR('Pay App 41'!F93/'Summary Sheet'!$D$19,""))</f>
        <v>#N/A</v>
      </c>
      <c r="CI40" s="264"/>
      <c r="CJ40" s="263" t="e">
        <f>IF('Pay App 42'!$H$149=0,NA(),IFERROR('Pay App 42'!F93/'Summary Sheet'!$D$19,""))</f>
        <v>#N/A</v>
      </c>
      <c r="CK40" s="264"/>
      <c r="CL40" s="276" t="e">
        <f>IF('Pay App 43'!$H$149=0,NA(),IFERROR('Pay App 43'!F93/'Summary Sheet'!$D$19,""))</f>
        <v>#N/A</v>
      </c>
      <c r="CM40" s="264"/>
      <c r="CN40" s="263" t="e">
        <f>IF('Pay App 44'!$H$149=0,NA(),IFERROR('Pay App 44'!F93/'Summary Sheet'!$D$19,""))</f>
        <v>#N/A</v>
      </c>
      <c r="CO40" s="264"/>
      <c r="CP40" s="276" t="e">
        <f>IF('Pay App 45'!$H$149=0,NA(),IFERROR('Pay App 45'!F93/'Summary Sheet'!$D$19,""))</f>
        <v>#N/A</v>
      </c>
      <c r="CQ40" s="264"/>
      <c r="CR40" s="263" t="e">
        <f>IF('Pay App 46'!$H$149=0,NA(),IFERROR('Pay App 46'!F93/'Summary Sheet'!$D$19,""))</f>
        <v>#N/A</v>
      </c>
      <c r="CS40" s="264"/>
      <c r="CT40" s="276" t="e">
        <f>IF('Pay App 47'!$H$149=0,NA(),IFERROR('Pay App 47'!F93/'Summary Sheet'!$D$19,""))</f>
        <v>#N/A</v>
      </c>
      <c r="CU40" s="264"/>
      <c r="CV40" s="263" t="e">
        <f>IF('Pay App 48'!$H$149=0,NA(),IFERROR('Pay App 48'!F93/'Summary Sheet'!$D$19,""))</f>
        <v>#N/A</v>
      </c>
      <c r="CW40" s="264"/>
      <c r="CX40" s="276" t="e">
        <f>IF('Pay App 49'!$H$149=0,NA(),IFERROR('Pay App 49'!F93/'Summary Sheet'!$D$19,""))</f>
        <v>#N/A</v>
      </c>
      <c r="CY40" s="264"/>
      <c r="CZ40" s="263" t="e">
        <f>IF('Pay App 50'!$H$149=0,NA(),IFERROR('Pay App 50'!F93/'Summary Sheet'!$D$19,""))</f>
        <v>#N/A</v>
      </c>
      <c r="DA40" s="264"/>
      <c r="DB40" s="276" t="e">
        <f>IF('Pay App 51'!$H$149=0,NA(),IFERROR('Pay App 51'!F93/'Summary Sheet'!$D$19,""))</f>
        <v>#N/A</v>
      </c>
      <c r="DC40" s="264"/>
      <c r="DD40" s="263" t="e">
        <f>IF('Pay App 52'!$H$149=0,NA(),IFERROR('Pay App 52'!F93/'Summary Sheet'!$D$19,""))</f>
        <v>#N/A</v>
      </c>
      <c r="DE40" s="264"/>
      <c r="DF40" s="276" t="e">
        <f>IF('Pay App 53'!$H$149=0,NA(),IFERROR('Pay App 53'!F93/'Summary Sheet'!$D$19,""))</f>
        <v>#N/A</v>
      </c>
      <c r="DG40" s="264"/>
      <c r="DH40" s="263" t="e">
        <f>IF('Pay App 54'!$H$149=0,NA(),IFERROR('Pay App 54'!F93/'Summary Sheet'!$D$19,""))</f>
        <v>#N/A</v>
      </c>
      <c r="DI40" s="264"/>
      <c r="DJ40" s="276" t="e">
        <f>IF('Pay App 55'!$H$149=0,NA(),IFERROR('Pay App 55'!F93/'Summary Sheet'!$D$19,""))</f>
        <v>#N/A</v>
      </c>
      <c r="DK40" s="264"/>
      <c r="DL40" s="263" t="e">
        <f>IF('Pay App 56'!$H$149=0,NA(),IFERROR('Pay App 56'!F93/'Summary Sheet'!$D$19,""))</f>
        <v>#N/A</v>
      </c>
      <c r="DM40" s="264"/>
      <c r="DN40" s="276" t="e">
        <f>IF('Pay App 57'!$H$149=0,NA(),IFERROR('Pay App 57'!F93/'Summary Sheet'!$D$19,""))</f>
        <v>#N/A</v>
      </c>
      <c r="DO40" s="264"/>
      <c r="DP40" s="263" t="e">
        <f>IF('Pay App 58'!$H$149=0,NA(),IFERROR('Pay App 58'!F93/'Summary Sheet'!$D$19,""))</f>
        <v>#N/A</v>
      </c>
      <c r="DQ40" s="264"/>
      <c r="DR40" s="276" t="e">
        <f>IF('Pay App 59'!$H$149=0,NA(),IFERROR('Pay App 59'!F93/'Summary Sheet'!$D$19,""))</f>
        <v>#N/A</v>
      </c>
      <c r="DS40" s="264"/>
      <c r="DT40" s="263" t="e">
        <f>IF('Pay App 60'!$H$149=0,NA(),IFERROR('Pay App 60'!F93/'Summary Sheet'!$D$19,""))</f>
        <v>#N/A</v>
      </c>
      <c r="DU40" s="296"/>
    </row>
    <row r="41" spans="2:125" x14ac:dyDescent="0.25">
      <c r="B41" s="35" t="str">
        <f>'Pay App 1'!B94</f>
        <v>08 10 00</v>
      </c>
      <c r="C41" s="27" t="str">
        <f>'Pay App 1'!C94</f>
        <v>Doors, Frames &amp; Hardware</v>
      </c>
      <c r="D41" s="282" t="str" cm="1">
        <f t="array" ref="D41">IFERROR(1+(LOOKUP(2,1/(E41:DT41&lt;&gt;""),E41:DT41)-E41)/E41,"")</f>
        <v/>
      </c>
      <c r="E41" s="275" t="str">
        <f>IFERROR('GMP Tracker'!D45/'Summary Sheet'!$D$19,"")</f>
        <v/>
      </c>
      <c r="F41" s="276" t="e">
        <f>IF('Pay App 1'!$D$149=0,NA(),IFERROR('Pay App 1'!F94/'Summary Sheet'!$D$19,""))</f>
        <v>#N/A</v>
      </c>
      <c r="G41" s="271"/>
      <c r="H41" s="277" t="e">
        <f>IF('Pay App 2'!$H$149=0,NA(),IFERROR('Pay App 2'!F94/'Summary Sheet'!$D$19,""))</f>
        <v>#N/A</v>
      </c>
      <c r="I41" s="266"/>
      <c r="J41" s="276" t="e">
        <f>IF('Pay App 3'!$H$149=0,NA(),IFERROR('Pay App 3'!F94/'Summary Sheet'!$D$19,""))</f>
        <v>#N/A</v>
      </c>
      <c r="K41" s="268"/>
      <c r="L41" s="277" t="e">
        <f>IF('Pay App 4'!$H$149=0,NA(),IFERROR('Pay App 4'!F94/'Summary Sheet'!$D$19,""))</f>
        <v>#N/A</v>
      </c>
      <c r="M41" s="266"/>
      <c r="N41" s="276" t="e">
        <f>IF('Pay App 5'!$H$149=0,NA(),IFERROR('Pay App 5'!F94/'Summary Sheet'!$D$19,""))</f>
        <v>#N/A</v>
      </c>
      <c r="O41" s="263"/>
      <c r="P41" s="277" t="e">
        <f>IF('Pay App 6'!$H$149=0,NA(),IFERROR('Pay App 6'!F94/'Summary Sheet'!$D$19,""))</f>
        <v>#N/A</v>
      </c>
      <c r="Q41" s="263"/>
      <c r="R41" s="276" t="e">
        <f>IF('Pay App 7'!$H$149=0,NA(),IFERROR('Pay App 7'!F94/'Summary Sheet'!$D$19,""))</f>
        <v>#N/A</v>
      </c>
      <c r="S41" s="263"/>
      <c r="T41" s="277" t="e">
        <f>IF('Pay App 8'!$H$149=0,NA(),IFERROR('Pay App 8'!F94/'Summary Sheet'!$D$19,""))</f>
        <v>#N/A</v>
      </c>
      <c r="U41" s="263"/>
      <c r="V41" s="276" t="e">
        <f>IF('Pay App 9'!$H$149=0,NA(),IFERROR('Pay App 9'!F94/'Summary Sheet'!$D$19,""))</f>
        <v>#N/A</v>
      </c>
      <c r="W41" s="263"/>
      <c r="X41" s="277" t="e">
        <f>IF('Pay App 10'!$H$149=0,NA(),IFERROR('Pay App 10'!F94/'Summary Sheet'!$D$19,""))</f>
        <v>#N/A</v>
      </c>
      <c r="Y41" s="263"/>
      <c r="Z41" s="276" t="e">
        <f>IF('Pay App 11'!$H$149=0,NA(),IFERROR('Pay App 11'!F94/'Summary Sheet'!$D$19,""))</f>
        <v>#N/A</v>
      </c>
      <c r="AA41" s="263"/>
      <c r="AB41" s="277" t="e">
        <f>IF('Pay App 12'!$H$149=0,NA(),IFERROR('Pay App 12'!F94/'Summary Sheet'!$D$19,""))</f>
        <v>#N/A</v>
      </c>
      <c r="AC41" s="263"/>
      <c r="AD41" s="276" t="e">
        <f>IF('Pay App 13'!$H$149=0,NA(),IFERROR('Pay App 13'!F94/'Summary Sheet'!$D$19,""))</f>
        <v>#N/A</v>
      </c>
      <c r="AE41" s="263"/>
      <c r="AF41" s="277" t="e">
        <f>IF('Pay App 14'!$H$149=0,NA(),IFERROR('Pay App 14'!F94/'Summary Sheet'!$D$19,""))</f>
        <v>#N/A</v>
      </c>
      <c r="AG41" s="263"/>
      <c r="AH41" s="276" t="e">
        <f>IF('Pay App 15'!$H$149=0,NA(),IFERROR('Pay App 15'!F94/'Summary Sheet'!$D$19,""))</f>
        <v>#N/A</v>
      </c>
      <c r="AI41" s="263"/>
      <c r="AJ41" s="277" t="e">
        <f>IF('Pay App 16'!$H$149=0,NA(),IFERROR('Pay App 16'!F94/'Summary Sheet'!$D$19,""))</f>
        <v>#N/A</v>
      </c>
      <c r="AK41" s="263"/>
      <c r="AL41" s="276" t="e">
        <f>IF('Pay App 17'!$H$149=0,NA(),IFERROR('Pay App 17'!F94/'Summary Sheet'!$D$19,""))</f>
        <v>#N/A</v>
      </c>
      <c r="AM41" s="263"/>
      <c r="AN41" s="277" t="e">
        <f>IF('Pay App 18'!$H$149=0,NA(),IFERROR('Pay App 18'!F94/'Summary Sheet'!$D$19,""))</f>
        <v>#N/A</v>
      </c>
      <c r="AO41" s="263"/>
      <c r="AP41" s="276" t="e">
        <f>IF('Pay App 19'!$H$149=0,NA(),IFERROR('Pay App 19'!F94/'Summary Sheet'!$D$19,""))</f>
        <v>#N/A</v>
      </c>
      <c r="AQ41" s="263"/>
      <c r="AR41" s="263" t="e">
        <f>IF('Pay App 20'!$H$149=0,NA(),IFERROR('Pay App 20'!F94/'Summary Sheet'!$D$19,""))</f>
        <v>#N/A</v>
      </c>
      <c r="AS41" s="264"/>
      <c r="AT41" s="276" t="e">
        <f>IF('Pay App 21'!$H$149=0,NA(),IFERROR('Pay App 21'!F94/'Summary Sheet'!$D$19,""))</f>
        <v>#N/A</v>
      </c>
      <c r="AU41" s="264"/>
      <c r="AV41" s="263" t="e">
        <f>IF('Pay App 22'!$H$149=0,NA(),IFERROR('Pay App 22'!F94/'Summary Sheet'!$D$19,""))</f>
        <v>#N/A</v>
      </c>
      <c r="AW41" s="264"/>
      <c r="AX41" s="276" t="e">
        <f>IF('Pay App 23'!$H$149=0,NA(),IFERROR('Pay App 23'!F94/'Summary Sheet'!$D$19,""))</f>
        <v>#N/A</v>
      </c>
      <c r="AY41" s="264"/>
      <c r="AZ41" s="263" t="e">
        <f>IF('Pay App 24'!$H$149=0,NA(),IFERROR('Pay App 24'!F94/'Summary Sheet'!$D$19,""))</f>
        <v>#N/A</v>
      </c>
      <c r="BA41" s="264"/>
      <c r="BB41" s="276" t="e">
        <f>IF('Pay App 25'!$H$149=0,NA(),IFERROR('Pay App 25'!F94/'Summary Sheet'!$D$19,""))</f>
        <v>#N/A</v>
      </c>
      <c r="BC41" s="264"/>
      <c r="BD41" s="263" t="e">
        <f>IF('Pay App 26'!$H$149=0,NA(),IFERROR('Pay App 26'!F94/'Summary Sheet'!$D$19,""))</f>
        <v>#N/A</v>
      </c>
      <c r="BE41" s="264"/>
      <c r="BF41" s="276" t="e">
        <f>IF('Pay App 27'!$H$149=0,NA(),IFERROR('Pay App 27'!F94/'Summary Sheet'!$D$19,""))</f>
        <v>#N/A</v>
      </c>
      <c r="BG41" s="264"/>
      <c r="BH41" s="263" t="e">
        <f>IF('Pay App 28'!$H$149=0,NA(),IFERROR('Pay App 28'!F94/'Summary Sheet'!$D$19,""))</f>
        <v>#N/A</v>
      </c>
      <c r="BI41" s="264"/>
      <c r="BJ41" s="276" t="e">
        <f>IF('Pay App 29'!$H$149=0,NA(),IFERROR('Pay App 29'!F94/'Summary Sheet'!$D$19,""))</f>
        <v>#N/A</v>
      </c>
      <c r="BK41" s="271"/>
      <c r="BL41" s="263" t="e">
        <f>IF('Pay App 30'!$H$149=0,NA(),IFERROR('Pay App 30'!F94/'Summary Sheet'!$D$19,""))</f>
        <v>#N/A</v>
      </c>
      <c r="BM41" s="264"/>
      <c r="BN41" s="276" t="e">
        <f>IF('Pay App 31'!$H$149=0,NA(),IFERROR('Pay App 31'!F94/'Summary Sheet'!$D$19,""))</f>
        <v>#N/A</v>
      </c>
      <c r="BO41" s="264"/>
      <c r="BP41" s="263" t="e">
        <f>IF('Pay App 32'!$H$149=0,NA(),IFERROR('Pay App 32'!F94/'Summary Sheet'!$D$19,""))</f>
        <v>#N/A</v>
      </c>
      <c r="BQ41" s="264"/>
      <c r="BR41" s="276" t="e">
        <f>IF('Pay App 33'!$H$149=0,NA(),IFERROR('Pay App 33'!F94/'Summary Sheet'!$D$19,""))</f>
        <v>#N/A</v>
      </c>
      <c r="BS41" s="264"/>
      <c r="BT41" s="263" t="e">
        <f>IF('Pay App 34'!$H$149=0,NA(),IFERROR('Pay App 34'!F94/'Summary Sheet'!$D$19,""))</f>
        <v>#N/A</v>
      </c>
      <c r="BU41" s="264"/>
      <c r="BV41" s="276" t="e">
        <f>IF('Pay App 35'!$H$149=0,NA(),IFERROR('Pay App 35'!F94/'Summary Sheet'!$D$19,""))</f>
        <v>#N/A</v>
      </c>
      <c r="BW41" s="264"/>
      <c r="BX41" s="263" t="e">
        <f>IF('Pay App 36'!$H$149=0,NA(),IFERROR('Pay App 36'!F94/'Summary Sheet'!$D$19,""))</f>
        <v>#N/A</v>
      </c>
      <c r="BY41" s="264"/>
      <c r="BZ41" s="276" t="e">
        <f>IF('Pay App 37'!$H$149=0,NA(),IFERROR('Pay App 37'!F94/'Summary Sheet'!$D$19,""))</f>
        <v>#N/A</v>
      </c>
      <c r="CA41" s="264"/>
      <c r="CB41" s="263" t="e">
        <f>IF('Pay App 38'!$H$149=0,NA(),IFERROR('Pay App 38'!F94/'Summary Sheet'!$D$19,""))</f>
        <v>#N/A</v>
      </c>
      <c r="CC41" s="264"/>
      <c r="CD41" s="276" t="e">
        <f>IF('Pay App 39'!$H$149=0,NA(),IFERROR('Pay App 39'!F94/'Summary Sheet'!$D$19,""))</f>
        <v>#N/A</v>
      </c>
      <c r="CE41" s="264"/>
      <c r="CF41" s="263" t="e">
        <f>IF('Pay App 40'!$H$149=0,NA(),IFERROR('Pay App 40'!F94/'Summary Sheet'!$D$19,""))</f>
        <v>#N/A</v>
      </c>
      <c r="CG41" s="264"/>
      <c r="CH41" s="276" t="e">
        <f>IF('Pay App 41'!$H$149=0,NA(),IFERROR('Pay App 41'!F94/'Summary Sheet'!$D$19,""))</f>
        <v>#N/A</v>
      </c>
      <c r="CI41" s="264"/>
      <c r="CJ41" s="263" t="e">
        <f>IF('Pay App 42'!$H$149=0,NA(),IFERROR('Pay App 42'!F94/'Summary Sheet'!$D$19,""))</f>
        <v>#N/A</v>
      </c>
      <c r="CK41" s="264"/>
      <c r="CL41" s="276" t="e">
        <f>IF('Pay App 43'!$H$149=0,NA(),IFERROR('Pay App 43'!F94/'Summary Sheet'!$D$19,""))</f>
        <v>#N/A</v>
      </c>
      <c r="CM41" s="264"/>
      <c r="CN41" s="263" t="e">
        <f>IF('Pay App 44'!$H$149=0,NA(),IFERROR('Pay App 44'!F94/'Summary Sheet'!$D$19,""))</f>
        <v>#N/A</v>
      </c>
      <c r="CO41" s="264"/>
      <c r="CP41" s="276" t="e">
        <f>IF('Pay App 45'!$H$149=0,NA(),IFERROR('Pay App 45'!F94/'Summary Sheet'!$D$19,""))</f>
        <v>#N/A</v>
      </c>
      <c r="CQ41" s="264"/>
      <c r="CR41" s="263" t="e">
        <f>IF('Pay App 46'!$H$149=0,NA(),IFERROR('Pay App 46'!F94/'Summary Sheet'!$D$19,""))</f>
        <v>#N/A</v>
      </c>
      <c r="CS41" s="264"/>
      <c r="CT41" s="276" t="e">
        <f>IF('Pay App 47'!$H$149=0,NA(),IFERROR('Pay App 47'!F94/'Summary Sheet'!$D$19,""))</f>
        <v>#N/A</v>
      </c>
      <c r="CU41" s="264"/>
      <c r="CV41" s="263" t="e">
        <f>IF('Pay App 48'!$H$149=0,NA(),IFERROR('Pay App 48'!F94/'Summary Sheet'!$D$19,""))</f>
        <v>#N/A</v>
      </c>
      <c r="CW41" s="264"/>
      <c r="CX41" s="276" t="e">
        <f>IF('Pay App 49'!$H$149=0,NA(),IFERROR('Pay App 49'!F94/'Summary Sheet'!$D$19,""))</f>
        <v>#N/A</v>
      </c>
      <c r="CY41" s="264"/>
      <c r="CZ41" s="263" t="e">
        <f>IF('Pay App 50'!$H$149=0,NA(),IFERROR('Pay App 50'!F94/'Summary Sheet'!$D$19,""))</f>
        <v>#N/A</v>
      </c>
      <c r="DA41" s="264"/>
      <c r="DB41" s="276" t="e">
        <f>IF('Pay App 51'!$H$149=0,NA(),IFERROR('Pay App 51'!F94/'Summary Sheet'!$D$19,""))</f>
        <v>#N/A</v>
      </c>
      <c r="DC41" s="264"/>
      <c r="DD41" s="263" t="e">
        <f>IF('Pay App 52'!$H$149=0,NA(),IFERROR('Pay App 52'!F94/'Summary Sheet'!$D$19,""))</f>
        <v>#N/A</v>
      </c>
      <c r="DE41" s="264"/>
      <c r="DF41" s="276" t="e">
        <f>IF('Pay App 53'!$H$149=0,NA(),IFERROR('Pay App 53'!F94/'Summary Sheet'!$D$19,""))</f>
        <v>#N/A</v>
      </c>
      <c r="DG41" s="264"/>
      <c r="DH41" s="263" t="e">
        <f>IF('Pay App 54'!$H$149=0,NA(),IFERROR('Pay App 54'!F94/'Summary Sheet'!$D$19,""))</f>
        <v>#N/A</v>
      </c>
      <c r="DI41" s="264"/>
      <c r="DJ41" s="276" t="e">
        <f>IF('Pay App 55'!$H$149=0,NA(),IFERROR('Pay App 55'!F94/'Summary Sheet'!$D$19,""))</f>
        <v>#N/A</v>
      </c>
      <c r="DK41" s="264"/>
      <c r="DL41" s="263" t="e">
        <f>IF('Pay App 56'!$H$149=0,NA(),IFERROR('Pay App 56'!F94/'Summary Sheet'!$D$19,""))</f>
        <v>#N/A</v>
      </c>
      <c r="DM41" s="264"/>
      <c r="DN41" s="276" t="e">
        <f>IF('Pay App 57'!$H$149=0,NA(),IFERROR('Pay App 57'!F94/'Summary Sheet'!$D$19,""))</f>
        <v>#N/A</v>
      </c>
      <c r="DO41" s="264"/>
      <c r="DP41" s="263" t="e">
        <f>IF('Pay App 58'!$H$149=0,NA(),IFERROR('Pay App 58'!F94/'Summary Sheet'!$D$19,""))</f>
        <v>#N/A</v>
      </c>
      <c r="DQ41" s="264"/>
      <c r="DR41" s="276" t="e">
        <f>IF('Pay App 59'!$H$149=0,NA(),IFERROR('Pay App 59'!F94/'Summary Sheet'!$D$19,""))</f>
        <v>#N/A</v>
      </c>
      <c r="DS41" s="264"/>
      <c r="DT41" s="263" t="e">
        <f>IF('Pay App 60'!$H$149=0,NA(),IFERROR('Pay App 60'!F94/'Summary Sheet'!$D$19,""))</f>
        <v>#N/A</v>
      </c>
      <c r="DU41" s="296"/>
    </row>
    <row r="42" spans="2:125" x14ac:dyDescent="0.25">
      <c r="B42" s="35" t="str">
        <f>'Pay App 1'!B95</f>
        <v>08 30 00</v>
      </c>
      <c r="C42" s="27" t="str">
        <f>'Pay App 1'!C95</f>
        <v>Specialty Doors</v>
      </c>
      <c r="D42" s="282" t="str" cm="1">
        <f t="array" ref="D42">IFERROR(1+(LOOKUP(2,1/(E42:DT42&lt;&gt;""),E42:DT42)-E42)/E42,"")</f>
        <v/>
      </c>
      <c r="E42" s="275" t="str">
        <f>IFERROR('GMP Tracker'!D46/'Summary Sheet'!$D$19,"")</f>
        <v/>
      </c>
      <c r="F42" s="276" t="e">
        <f>IF('Pay App 1'!$D$149=0,NA(),IFERROR('Pay App 1'!F95/'Summary Sheet'!$D$19,""))</f>
        <v>#N/A</v>
      </c>
      <c r="G42" s="271"/>
      <c r="H42" s="277" t="e">
        <f>IF('Pay App 2'!$H$149=0,NA(),IFERROR('Pay App 2'!F95/'Summary Sheet'!$D$19,""))</f>
        <v>#N/A</v>
      </c>
      <c r="I42" s="266"/>
      <c r="J42" s="276" t="e">
        <f>IF('Pay App 3'!$H$149=0,NA(),IFERROR('Pay App 3'!F95/'Summary Sheet'!$D$19,""))</f>
        <v>#N/A</v>
      </c>
      <c r="K42" s="268"/>
      <c r="L42" s="277" t="e">
        <f>IF('Pay App 4'!$H$149=0,NA(),IFERROR('Pay App 4'!F95/'Summary Sheet'!$D$19,""))</f>
        <v>#N/A</v>
      </c>
      <c r="M42" s="266"/>
      <c r="N42" s="276" t="e">
        <f>IF('Pay App 5'!$H$149=0,NA(),IFERROR('Pay App 5'!F95/'Summary Sheet'!$D$19,""))</f>
        <v>#N/A</v>
      </c>
      <c r="O42" s="263"/>
      <c r="P42" s="277" t="e">
        <f>IF('Pay App 6'!$H$149=0,NA(),IFERROR('Pay App 6'!F95/'Summary Sheet'!$D$19,""))</f>
        <v>#N/A</v>
      </c>
      <c r="Q42" s="263"/>
      <c r="R42" s="276" t="e">
        <f>IF('Pay App 7'!$H$149=0,NA(),IFERROR('Pay App 7'!F95/'Summary Sheet'!$D$19,""))</f>
        <v>#N/A</v>
      </c>
      <c r="S42" s="263"/>
      <c r="T42" s="277" t="e">
        <f>IF('Pay App 8'!$H$149=0,NA(),IFERROR('Pay App 8'!F95/'Summary Sheet'!$D$19,""))</f>
        <v>#N/A</v>
      </c>
      <c r="U42" s="263"/>
      <c r="V42" s="276" t="e">
        <f>IF('Pay App 9'!$H$149=0,NA(),IFERROR('Pay App 9'!F95/'Summary Sheet'!$D$19,""))</f>
        <v>#N/A</v>
      </c>
      <c r="W42" s="263"/>
      <c r="X42" s="277" t="e">
        <f>IF('Pay App 10'!$H$149=0,NA(),IFERROR('Pay App 10'!F95/'Summary Sheet'!$D$19,""))</f>
        <v>#N/A</v>
      </c>
      <c r="Y42" s="263"/>
      <c r="Z42" s="276" t="e">
        <f>IF('Pay App 11'!$H$149=0,NA(),IFERROR('Pay App 11'!F95/'Summary Sheet'!$D$19,""))</f>
        <v>#N/A</v>
      </c>
      <c r="AA42" s="263"/>
      <c r="AB42" s="277" t="e">
        <f>IF('Pay App 12'!$H$149=0,NA(),IFERROR('Pay App 12'!F95/'Summary Sheet'!$D$19,""))</f>
        <v>#N/A</v>
      </c>
      <c r="AC42" s="263"/>
      <c r="AD42" s="276" t="e">
        <f>IF('Pay App 13'!$H$149=0,NA(),IFERROR('Pay App 13'!F95/'Summary Sheet'!$D$19,""))</f>
        <v>#N/A</v>
      </c>
      <c r="AE42" s="263"/>
      <c r="AF42" s="277" t="e">
        <f>IF('Pay App 14'!$H$149=0,NA(),IFERROR('Pay App 14'!F95/'Summary Sheet'!$D$19,""))</f>
        <v>#N/A</v>
      </c>
      <c r="AG42" s="263"/>
      <c r="AH42" s="276" t="e">
        <f>IF('Pay App 15'!$H$149=0,NA(),IFERROR('Pay App 15'!F95/'Summary Sheet'!$D$19,""))</f>
        <v>#N/A</v>
      </c>
      <c r="AI42" s="263"/>
      <c r="AJ42" s="277" t="e">
        <f>IF('Pay App 16'!$H$149=0,NA(),IFERROR('Pay App 16'!F95/'Summary Sheet'!$D$19,""))</f>
        <v>#N/A</v>
      </c>
      <c r="AK42" s="263"/>
      <c r="AL42" s="276" t="e">
        <f>IF('Pay App 17'!$H$149=0,NA(),IFERROR('Pay App 17'!F95/'Summary Sheet'!$D$19,""))</f>
        <v>#N/A</v>
      </c>
      <c r="AM42" s="263"/>
      <c r="AN42" s="277" t="e">
        <f>IF('Pay App 18'!$H$149=0,NA(),IFERROR('Pay App 18'!F95/'Summary Sheet'!$D$19,""))</f>
        <v>#N/A</v>
      </c>
      <c r="AO42" s="263"/>
      <c r="AP42" s="276" t="e">
        <f>IF('Pay App 19'!$H$149=0,NA(),IFERROR('Pay App 19'!F95/'Summary Sheet'!$D$19,""))</f>
        <v>#N/A</v>
      </c>
      <c r="AQ42" s="263"/>
      <c r="AR42" s="263" t="e">
        <f>IF('Pay App 20'!$H$149=0,NA(),IFERROR('Pay App 20'!F95/'Summary Sheet'!$D$19,""))</f>
        <v>#N/A</v>
      </c>
      <c r="AS42" s="264"/>
      <c r="AT42" s="276" t="e">
        <f>IF('Pay App 21'!$H$149=0,NA(),IFERROR('Pay App 21'!F95/'Summary Sheet'!$D$19,""))</f>
        <v>#N/A</v>
      </c>
      <c r="AU42" s="264"/>
      <c r="AV42" s="263" t="e">
        <f>IF('Pay App 22'!$H$149=0,NA(),IFERROR('Pay App 22'!F95/'Summary Sheet'!$D$19,""))</f>
        <v>#N/A</v>
      </c>
      <c r="AW42" s="264"/>
      <c r="AX42" s="276" t="e">
        <f>IF('Pay App 23'!$H$149=0,NA(),IFERROR('Pay App 23'!F95/'Summary Sheet'!$D$19,""))</f>
        <v>#N/A</v>
      </c>
      <c r="AY42" s="264"/>
      <c r="AZ42" s="263" t="e">
        <f>IF('Pay App 24'!$H$149=0,NA(),IFERROR('Pay App 24'!F95/'Summary Sheet'!$D$19,""))</f>
        <v>#N/A</v>
      </c>
      <c r="BA42" s="264"/>
      <c r="BB42" s="276" t="e">
        <f>IF('Pay App 25'!$H$149=0,NA(),IFERROR('Pay App 25'!F95/'Summary Sheet'!$D$19,""))</f>
        <v>#N/A</v>
      </c>
      <c r="BC42" s="264"/>
      <c r="BD42" s="263" t="e">
        <f>IF('Pay App 26'!$H$149=0,NA(),IFERROR('Pay App 26'!F95/'Summary Sheet'!$D$19,""))</f>
        <v>#N/A</v>
      </c>
      <c r="BE42" s="264"/>
      <c r="BF42" s="276" t="e">
        <f>IF('Pay App 27'!$H$149=0,NA(),IFERROR('Pay App 27'!F95/'Summary Sheet'!$D$19,""))</f>
        <v>#N/A</v>
      </c>
      <c r="BG42" s="264"/>
      <c r="BH42" s="263" t="e">
        <f>IF('Pay App 28'!$H$149=0,NA(),IFERROR('Pay App 28'!F95/'Summary Sheet'!$D$19,""))</f>
        <v>#N/A</v>
      </c>
      <c r="BI42" s="264"/>
      <c r="BJ42" s="276" t="e">
        <f>IF('Pay App 29'!$H$149=0,NA(),IFERROR('Pay App 29'!F95/'Summary Sheet'!$D$19,""))</f>
        <v>#N/A</v>
      </c>
      <c r="BK42" s="271"/>
      <c r="BL42" s="263" t="e">
        <f>IF('Pay App 30'!$H$149=0,NA(),IFERROR('Pay App 30'!F95/'Summary Sheet'!$D$19,""))</f>
        <v>#N/A</v>
      </c>
      <c r="BM42" s="264"/>
      <c r="BN42" s="276" t="e">
        <f>IF('Pay App 31'!$H$149=0,NA(),IFERROR('Pay App 31'!F95/'Summary Sheet'!$D$19,""))</f>
        <v>#N/A</v>
      </c>
      <c r="BO42" s="264"/>
      <c r="BP42" s="263" t="e">
        <f>IF('Pay App 32'!$H$149=0,NA(),IFERROR('Pay App 32'!F95/'Summary Sheet'!$D$19,""))</f>
        <v>#N/A</v>
      </c>
      <c r="BQ42" s="264"/>
      <c r="BR42" s="276" t="e">
        <f>IF('Pay App 33'!$H$149=0,NA(),IFERROR('Pay App 33'!F95/'Summary Sheet'!$D$19,""))</f>
        <v>#N/A</v>
      </c>
      <c r="BS42" s="264"/>
      <c r="BT42" s="263" t="e">
        <f>IF('Pay App 34'!$H$149=0,NA(),IFERROR('Pay App 34'!F95/'Summary Sheet'!$D$19,""))</f>
        <v>#N/A</v>
      </c>
      <c r="BU42" s="264"/>
      <c r="BV42" s="276" t="e">
        <f>IF('Pay App 35'!$H$149=0,NA(),IFERROR('Pay App 35'!F95/'Summary Sheet'!$D$19,""))</f>
        <v>#N/A</v>
      </c>
      <c r="BW42" s="264"/>
      <c r="BX42" s="263" t="e">
        <f>IF('Pay App 36'!$H$149=0,NA(),IFERROR('Pay App 36'!F95/'Summary Sheet'!$D$19,""))</f>
        <v>#N/A</v>
      </c>
      <c r="BY42" s="264"/>
      <c r="BZ42" s="276" t="e">
        <f>IF('Pay App 37'!$H$149=0,NA(),IFERROR('Pay App 37'!F95/'Summary Sheet'!$D$19,""))</f>
        <v>#N/A</v>
      </c>
      <c r="CA42" s="264"/>
      <c r="CB42" s="263" t="e">
        <f>IF('Pay App 38'!$H$149=0,NA(),IFERROR('Pay App 38'!F95/'Summary Sheet'!$D$19,""))</f>
        <v>#N/A</v>
      </c>
      <c r="CC42" s="264"/>
      <c r="CD42" s="276" t="e">
        <f>IF('Pay App 39'!$H$149=0,NA(),IFERROR('Pay App 39'!F95/'Summary Sheet'!$D$19,""))</f>
        <v>#N/A</v>
      </c>
      <c r="CE42" s="264"/>
      <c r="CF42" s="263" t="e">
        <f>IF('Pay App 40'!$H$149=0,NA(),IFERROR('Pay App 40'!F95/'Summary Sheet'!$D$19,""))</f>
        <v>#N/A</v>
      </c>
      <c r="CG42" s="264"/>
      <c r="CH42" s="276" t="e">
        <f>IF('Pay App 41'!$H$149=0,NA(),IFERROR('Pay App 41'!F95/'Summary Sheet'!$D$19,""))</f>
        <v>#N/A</v>
      </c>
      <c r="CI42" s="264"/>
      <c r="CJ42" s="263" t="e">
        <f>IF('Pay App 42'!$H$149=0,NA(),IFERROR('Pay App 42'!F95/'Summary Sheet'!$D$19,""))</f>
        <v>#N/A</v>
      </c>
      <c r="CK42" s="264"/>
      <c r="CL42" s="276" t="e">
        <f>IF('Pay App 43'!$H$149=0,NA(),IFERROR('Pay App 43'!F95/'Summary Sheet'!$D$19,""))</f>
        <v>#N/A</v>
      </c>
      <c r="CM42" s="264"/>
      <c r="CN42" s="263" t="e">
        <f>IF('Pay App 44'!$H$149=0,NA(),IFERROR('Pay App 44'!F95/'Summary Sheet'!$D$19,""))</f>
        <v>#N/A</v>
      </c>
      <c r="CO42" s="264"/>
      <c r="CP42" s="276" t="e">
        <f>IF('Pay App 45'!$H$149=0,NA(),IFERROR('Pay App 45'!F95/'Summary Sheet'!$D$19,""))</f>
        <v>#N/A</v>
      </c>
      <c r="CQ42" s="264"/>
      <c r="CR42" s="263" t="e">
        <f>IF('Pay App 46'!$H$149=0,NA(),IFERROR('Pay App 46'!F95/'Summary Sheet'!$D$19,""))</f>
        <v>#N/A</v>
      </c>
      <c r="CS42" s="264"/>
      <c r="CT42" s="276" t="e">
        <f>IF('Pay App 47'!$H$149=0,NA(),IFERROR('Pay App 47'!F95/'Summary Sheet'!$D$19,""))</f>
        <v>#N/A</v>
      </c>
      <c r="CU42" s="264"/>
      <c r="CV42" s="263" t="e">
        <f>IF('Pay App 48'!$H$149=0,NA(),IFERROR('Pay App 48'!F95/'Summary Sheet'!$D$19,""))</f>
        <v>#N/A</v>
      </c>
      <c r="CW42" s="264"/>
      <c r="CX42" s="276" t="e">
        <f>IF('Pay App 49'!$H$149=0,NA(),IFERROR('Pay App 49'!F95/'Summary Sheet'!$D$19,""))</f>
        <v>#N/A</v>
      </c>
      <c r="CY42" s="264"/>
      <c r="CZ42" s="263" t="e">
        <f>IF('Pay App 50'!$H$149=0,NA(),IFERROR('Pay App 50'!F95/'Summary Sheet'!$D$19,""))</f>
        <v>#N/A</v>
      </c>
      <c r="DA42" s="264"/>
      <c r="DB42" s="276" t="e">
        <f>IF('Pay App 51'!$H$149=0,NA(),IFERROR('Pay App 51'!F95/'Summary Sheet'!$D$19,""))</f>
        <v>#N/A</v>
      </c>
      <c r="DC42" s="264"/>
      <c r="DD42" s="263" t="e">
        <f>IF('Pay App 52'!$H$149=0,NA(),IFERROR('Pay App 52'!F95/'Summary Sheet'!$D$19,""))</f>
        <v>#N/A</v>
      </c>
      <c r="DE42" s="264"/>
      <c r="DF42" s="276" t="e">
        <f>IF('Pay App 53'!$H$149=0,NA(),IFERROR('Pay App 53'!F95/'Summary Sheet'!$D$19,""))</f>
        <v>#N/A</v>
      </c>
      <c r="DG42" s="264"/>
      <c r="DH42" s="263" t="e">
        <f>IF('Pay App 54'!$H$149=0,NA(),IFERROR('Pay App 54'!F95/'Summary Sheet'!$D$19,""))</f>
        <v>#N/A</v>
      </c>
      <c r="DI42" s="264"/>
      <c r="DJ42" s="276" t="e">
        <f>IF('Pay App 55'!$H$149=0,NA(),IFERROR('Pay App 55'!F95/'Summary Sheet'!$D$19,""))</f>
        <v>#N/A</v>
      </c>
      <c r="DK42" s="264"/>
      <c r="DL42" s="263" t="e">
        <f>IF('Pay App 56'!$H$149=0,NA(),IFERROR('Pay App 56'!F95/'Summary Sheet'!$D$19,""))</f>
        <v>#N/A</v>
      </c>
      <c r="DM42" s="264"/>
      <c r="DN42" s="276" t="e">
        <f>IF('Pay App 57'!$H$149=0,NA(),IFERROR('Pay App 57'!F95/'Summary Sheet'!$D$19,""))</f>
        <v>#N/A</v>
      </c>
      <c r="DO42" s="264"/>
      <c r="DP42" s="263" t="e">
        <f>IF('Pay App 58'!$H$149=0,NA(),IFERROR('Pay App 58'!F95/'Summary Sheet'!$D$19,""))</f>
        <v>#N/A</v>
      </c>
      <c r="DQ42" s="264"/>
      <c r="DR42" s="276" t="e">
        <f>IF('Pay App 59'!$H$149=0,NA(),IFERROR('Pay App 59'!F95/'Summary Sheet'!$D$19,""))</f>
        <v>#N/A</v>
      </c>
      <c r="DS42" s="264"/>
      <c r="DT42" s="263" t="e">
        <f>IF('Pay App 60'!$H$149=0,NA(),IFERROR('Pay App 60'!F95/'Summary Sheet'!$D$19,""))</f>
        <v>#N/A</v>
      </c>
      <c r="DU42" s="296"/>
    </row>
    <row r="43" spans="2:125" x14ac:dyDescent="0.25">
      <c r="B43" s="35" t="str">
        <f>'Pay App 1'!B96</f>
        <v>08 33 00</v>
      </c>
      <c r="C43" s="27" t="str">
        <f>'Pay App 1'!C96</f>
        <v>Overhead Doors/Coiling Doors</v>
      </c>
      <c r="D43" s="282" t="str" cm="1">
        <f t="array" ref="D43">IFERROR(1+(LOOKUP(2,1/(E43:DT43&lt;&gt;""),E43:DT43)-E43)/E43,"")</f>
        <v/>
      </c>
      <c r="E43" s="275" t="str">
        <f>IFERROR('GMP Tracker'!D47/'Summary Sheet'!$D$19,"")</f>
        <v/>
      </c>
      <c r="F43" s="276" t="e">
        <f>IF('Pay App 1'!$D$149=0,NA(),IFERROR('Pay App 1'!F96/'Summary Sheet'!$D$19,""))</f>
        <v>#N/A</v>
      </c>
      <c r="G43" s="271"/>
      <c r="H43" s="277" t="e">
        <f>IF('Pay App 2'!$H$149=0,NA(),IFERROR('Pay App 2'!F96/'Summary Sheet'!$D$19,""))</f>
        <v>#N/A</v>
      </c>
      <c r="I43" s="266"/>
      <c r="J43" s="276" t="e">
        <f>IF('Pay App 3'!$H$149=0,NA(),IFERROR('Pay App 3'!F96/'Summary Sheet'!$D$19,""))</f>
        <v>#N/A</v>
      </c>
      <c r="K43" s="268"/>
      <c r="L43" s="277" t="e">
        <f>IF('Pay App 4'!$H$149=0,NA(),IFERROR('Pay App 4'!F96/'Summary Sheet'!$D$19,""))</f>
        <v>#N/A</v>
      </c>
      <c r="M43" s="266"/>
      <c r="N43" s="276" t="e">
        <f>IF('Pay App 5'!$H$149=0,NA(),IFERROR('Pay App 5'!F96/'Summary Sheet'!$D$19,""))</f>
        <v>#N/A</v>
      </c>
      <c r="O43" s="263"/>
      <c r="P43" s="277" t="e">
        <f>IF('Pay App 6'!$H$149=0,NA(),IFERROR('Pay App 6'!F96/'Summary Sheet'!$D$19,""))</f>
        <v>#N/A</v>
      </c>
      <c r="Q43" s="263"/>
      <c r="R43" s="276" t="e">
        <f>IF('Pay App 7'!$H$149=0,NA(),IFERROR('Pay App 7'!F96/'Summary Sheet'!$D$19,""))</f>
        <v>#N/A</v>
      </c>
      <c r="S43" s="263"/>
      <c r="T43" s="277" t="e">
        <f>IF('Pay App 8'!$H$149=0,NA(),IFERROR('Pay App 8'!F96/'Summary Sheet'!$D$19,""))</f>
        <v>#N/A</v>
      </c>
      <c r="U43" s="263"/>
      <c r="V43" s="276" t="e">
        <f>IF('Pay App 9'!$H$149=0,NA(),IFERROR('Pay App 9'!F96/'Summary Sheet'!$D$19,""))</f>
        <v>#N/A</v>
      </c>
      <c r="W43" s="263"/>
      <c r="X43" s="277" t="e">
        <f>IF('Pay App 10'!$H$149=0,NA(),IFERROR('Pay App 10'!F96/'Summary Sheet'!$D$19,""))</f>
        <v>#N/A</v>
      </c>
      <c r="Y43" s="263"/>
      <c r="Z43" s="276" t="e">
        <f>IF('Pay App 11'!$H$149=0,NA(),IFERROR('Pay App 11'!F96/'Summary Sheet'!$D$19,""))</f>
        <v>#N/A</v>
      </c>
      <c r="AA43" s="263"/>
      <c r="AB43" s="277" t="e">
        <f>IF('Pay App 12'!$H$149=0,NA(),IFERROR('Pay App 12'!F96/'Summary Sheet'!$D$19,""))</f>
        <v>#N/A</v>
      </c>
      <c r="AC43" s="263"/>
      <c r="AD43" s="276" t="e">
        <f>IF('Pay App 13'!$H$149=0,NA(),IFERROR('Pay App 13'!F96/'Summary Sheet'!$D$19,""))</f>
        <v>#N/A</v>
      </c>
      <c r="AE43" s="263"/>
      <c r="AF43" s="277" t="e">
        <f>IF('Pay App 14'!$H$149=0,NA(),IFERROR('Pay App 14'!F96/'Summary Sheet'!$D$19,""))</f>
        <v>#N/A</v>
      </c>
      <c r="AG43" s="263"/>
      <c r="AH43" s="276" t="e">
        <f>IF('Pay App 15'!$H$149=0,NA(),IFERROR('Pay App 15'!F96/'Summary Sheet'!$D$19,""))</f>
        <v>#N/A</v>
      </c>
      <c r="AI43" s="263"/>
      <c r="AJ43" s="277" t="e">
        <f>IF('Pay App 16'!$H$149=0,NA(),IFERROR('Pay App 16'!F96/'Summary Sheet'!$D$19,""))</f>
        <v>#N/A</v>
      </c>
      <c r="AK43" s="263"/>
      <c r="AL43" s="276" t="e">
        <f>IF('Pay App 17'!$H$149=0,NA(),IFERROR('Pay App 17'!F96/'Summary Sheet'!$D$19,""))</f>
        <v>#N/A</v>
      </c>
      <c r="AM43" s="263"/>
      <c r="AN43" s="277" t="e">
        <f>IF('Pay App 18'!$H$149=0,NA(),IFERROR('Pay App 18'!F96/'Summary Sheet'!$D$19,""))</f>
        <v>#N/A</v>
      </c>
      <c r="AO43" s="263"/>
      <c r="AP43" s="276" t="e">
        <f>IF('Pay App 19'!$H$149=0,NA(),IFERROR('Pay App 19'!F96/'Summary Sheet'!$D$19,""))</f>
        <v>#N/A</v>
      </c>
      <c r="AQ43" s="263"/>
      <c r="AR43" s="263" t="e">
        <f>IF('Pay App 20'!$H$149=0,NA(),IFERROR('Pay App 20'!F96/'Summary Sheet'!$D$19,""))</f>
        <v>#N/A</v>
      </c>
      <c r="AS43" s="264"/>
      <c r="AT43" s="276" t="e">
        <f>IF('Pay App 21'!$H$149=0,NA(),IFERROR('Pay App 21'!F96/'Summary Sheet'!$D$19,""))</f>
        <v>#N/A</v>
      </c>
      <c r="AU43" s="264"/>
      <c r="AV43" s="263" t="e">
        <f>IF('Pay App 22'!$H$149=0,NA(),IFERROR('Pay App 22'!F96/'Summary Sheet'!$D$19,""))</f>
        <v>#N/A</v>
      </c>
      <c r="AW43" s="264"/>
      <c r="AX43" s="276" t="e">
        <f>IF('Pay App 23'!$H$149=0,NA(),IFERROR('Pay App 23'!F96/'Summary Sheet'!$D$19,""))</f>
        <v>#N/A</v>
      </c>
      <c r="AY43" s="264"/>
      <c r="AZ43" s="263" t="e">
        <f>IF('Pay App 24'!$H$149=0,NA(),IFERROR('Pay App 24'!F96/'Summary Sheet'!$D$19,""))</f>
        <v>#N/A</v>
      </c>
      <c r="BA43" s="264"/>
      <c r="BB43" s="276" t="e">
        <f>IF('Pay App 25'!$H$149=0,NA(),IFERROR('Pay App 25'!F96/'Summary Sheet'!$D$19,""))</f>
        <v>#N/A</v>
      </c>
      <c r="BC43" s="264"/>
      <c r="BD43" s="263" t="e">
        <f>IF('Pay App 26'!$H$149=0,NA(),IFERROR('Pay App 26'!F96/'Summary Sheet'!$D$19,""))</f>
        <v>#N/A</v>
      </c>
      <c r="BE43" s="264"/>
      <c r="BF43" s="276" t="e">
        <f>IF('Pay App 27'!$H$149=0,NA(),IFERROR('Pay App 27'!F96/'Summary Sheet'!$D$19,""))</f>
        <v>#N/A</v>
      </c>
      <c r="BG43" s="264"/>
      <c r="BH43" s="263" t="e">
        <f>IF('Pay App 28'!$H$149=0,NA(),IFERROR('Pay App 28'!F96/'Summary Sheet'!$D$19,""))</f>
        <v>#N/A</v>
      </c>
      <c r="BI43" s="264"/>
      <c r="BJ43" s="276" t="e">
        <f>IF('Pay App 29'!$H$149=0,NA(),IFERROR('Pay App 29'!F96/'Summary Sheet'!$D$19,""))</f>
        <v>#N/A</v>
      </c>
      <c r="BK43" s="271"/>
      <c r="BL43" s="263" t="e">
        <f>IF('Pay App 30'!$H$149=0,NA(),IFERROR('Pay App 30'!F96/'Summary Sheet'!$D$19,""))</f>
        <v>#N/A</v>
      </c>
      <c r="BM43" s="264"/>
      <c r="BN43" s="276" t="e">
        <f>IF('Pay App 31'!$H$149=0,NA(),IFERROR('Pay App 31'!F96/'Summary Sheet'!$D$19,""))</f>
        <v>#N/A</v>
      </c>
      <c r="BO43" s="264"/>
      <c r="BP43" s="263" t="e">
        <f>IF('Pay App 32'!$H$149=0,NA(),IFERROR('Pay App 32'!F96/'Summary Sheet'!$D$19,""))</f>
        <v>#N/A</v>
      </c>
      <c r="BQ43" s="264"/>
      <c r="BR43" s="276" t="e">
        <f>IF('Pay App 33'!$H$149=0,NA(),IFERROR('Pay App 33'!F96/'Summary Sheet'!$D$19,""))</f>
        <v>#N/A</v>
      </c>
      <c r="BS43" s="264"/>
      <c r="BT43" s="263" t="e">
        <f>IF('Pay App 34'!$H$149=0,NA(),IFERROR('Pay App 34'!F96/'Summary Sheet'!$D$19,""))</f>
        <v>#N/A</v>
      </c>
      <c r="BU43" s="264"/>
      <c r="BV43" s="276" t="e">
        <f>IF('Pay App 35'!$H$149=0,NA(),IFERROR('Pay App 35'!F96/'Summary Sheet'!$D$19,""))</f>
        <v>#N/A</v>
      </c>
      <c r="BW43" s="264"/>
      <c r="BX43" s="263" t="e">
        <f>IF('Pay App 36'!$H$149=0,NA(),IFERROR('Pay App 36'!F96/'Summary Sheet'!$D$19,""))</f>
        <v>#N/A</v>
      </c>
      <c r="BY43" s="264"/>
      <c r="BZ43" s="276" t="e">
        <f>IF('Pay App 37'!$H$149=0,NA(),IFERROR('Pay App 37'!F96/'Summary Sheet'!$D$19,""))</f>
        <v>#N/A</v>
      </c>
      <c r="CA43" s="264"/>
      <c r="CB43" s="263" t="e">
        <f>IF('Pay App 38'!$H$149=0,NA(),IFERROR('Pay App 38'!F96/'Summary Sheet'!$D$19,""))</f>
        <v>#N/A</v>
      </c>
      <c r="CC43" s="264"/>
      <c r="CD43" s="276" t="e">
        <f>IF('Pay App 39'!$H$149=0,NA(),IFERROR('Pay App 39'!F96/'Summary Sheet'!$D$19,""))</f>
        <v>#N/A</v>
      </c>
      <c r="CE43" s="264"/>
      <c r="CF43" s="263" t="e">
        <f>IF('Pay App 40'!$H$149=0,NA(),IFERROR('Pay App 40'!F96/'Summary Sheet'!$D$19,""))</f>
        <v>#N/A</v>
      </c>
      <c r="CG43" s="264"/>
      <c r="CH43" s="276" t="e">
        <f>IF('Pay App 41'!$H$149=0,NA(),IFERROR('Pay App 41'!F96/'Summary Sheet'!$D$19,""))</f>
        <v>#N/A</v>
      </c>
      <c r="CI43" s="264"/>
      <c r="CJ43" s="263" t="e">
        <f>IF('Pay App 42'!$H$149=0,NA(),IFERROR('Pay App 42'!F96/'Summary Sheet'!$D$19,""))</f>
        <v>#N/A</v>
      </c>
      <c r="CK43" s="264"/>
      <c r="CL43" s="276" t="e">
        <f>IF('Pay App 43'!$H$149=0,NA(),IFERROR('Pay App 43'!F96/'Summary Sheet'!$D$19,""))</f>
        <v>#N/A</v>
      </c>
      <c r="CM43" s="264"/>
      <c r="CN43" s="263" t="e">
        <f>IF('Pay App 44'!$H$149=0,NA(),IFERROR('Pay App 44'!F96/'Summary Sheet'!$D$19,""))</f>
        <v>#N/A</v>
      </c>
      <c r="CO43" s="264"/>
      <c r="CP43" s="276" t="e">
        <f>IF('Pay App 45'!$H$149=0,NA(),IFERROR('Pay App 45'!F96/'Summary Sheet'!$D$19,""))</f>
        <v>#N/A</v>
      </c>
      <c r="CQ43" s="264"/>
      <c r="CR43" s="263" t="e">
        <f>IF('Pay App 46'!$H$149=0,NA(),IFERROR('Pay App 46'!F96/'Summary Sheet'!$D$19,""))</f>
        <v>#N/A</v>
      </c>
      <c r="CS43" s="264"/>
      <c r="CT43" s="276" t="e">
        <f>IF('Pay App 47'!$H$149=0,NA(),IFERROR('Pay App 47'!F96/'Summary Sheet'!$D$19,""))</f>
        <v>#N/A</v>
      </c>
      <c r="CU43" s="264"/>
      <c r="CV43" s="263" t="e">
        <f>IF('Pay App 48'!$H$149=0,NA(),IFERROR('Pay App 48'!F96/'Summary Sheet'!$D$19,""))</f>
        <v>#N/A</v>
      </c>
      <c r="CW43" s="264"/>
      <c r="CX43" s="276" t="e">
        <f>IF('Pay App 49'!$H$149=0,NA(),IFERROR('Pay App 49'!F96/'Summary Sheet'!$D$19,""))</f>
        <v>#N/A</v>
      </c>
      <c r="CY43" s="264"/>
      <c r="CZ43" s="263" t="e">
        <f>IF('Pay App 50'!$H$149=0,NA(),IFERROR('Pay App 50'!F96/'Summary Sheet'!$D$19,""))</f>
        <v>#N/A</v>
      </c>
      <c r="DA43" s="264"/>
      <c r="DB43" s="276" t="e">
        <f>IF('Pay App 51'!$H$149=0,NA(),IFERROR('Pay App 51'!F96/'Summary Sheet'!$D$19,""))</f>
        <v>#N/A</v>
      </c>
      <c r="DC43" s="264"/>
      <c r="DD43" s="263" t="e">
        <f>IF('Pay App 52'!$H$149=0,NA(),IFERROR('Pay App 52'!F96/'Summary Sheet'!$D$19,""))</f>
        <v>#N/A</v>
      </c>
      <c r="DE43" s="264"/>
      <c r="DF43" s="276" t="e">
        <f>IF('Pay App 53'!$H$149=0,NA(),IFERROR('Pay App 53'!F96/'Summary Sheet'!$D$19,""))</f>
        <v>#N/A</v>
      </c>
      <c r="DG43" s="264"/>
      <c r="DH43" s="263" t="e">
        <f>IF('Pay App 54'!$H$149=0,NA(),IFERROR('Pay App 54'!F96/'Summary Sheet'!$D$19,""))</f>
        <v>#N/A</v>
      </c>
      <c r="DI43" s="264"/>
      <c r="DJ43" s="276" t="e">
        <f>IF('Pay App 55'!$H$149=0,NA(),IFERROR('Pay App 55'!F96/'Summary Sheet'!$D$19,""))</f>
        <v>#N/A</v>
      </c>
      <c r="DK43" s="264"/>
      <c r="DL43" s="263" t="e">
        <f>IF('Pay App 56'!$H$149=0,NA(),IFERROR('Pay App 56'!F96/'Summary Sheet'!$D$19,""))</f>
        <v>#N/A</v>
      </c>
      <c r="DM43" s="264"/>
      <c r="DN43" s="276" t="e">
        <f>IF('Pay App 57'!$H$149=0,NA(),IFERROR('Pay App 57'!F96/'Summary Sheet'!$D$19,""))</f>
        <v>#N/A</v>
      </c>
      <c r="DO43" s="264"/>
      <c r="DP43" s="263" t="e">
        <f>IF('Pay App 58'!$H$149=0,NA(),IFERROR('Pay App 58'!F96/'Summary Sheet'!$D$19,""))</f>
        <v>#N/A</v>
      </c>
      <c r="DQ43" s="264"/>
      <c r="DR43" s="276" t="e">
        <f>IF('Pay App 59'!$H$149=0,NA(),IFERROR('Pay App 59'!F96/'Summary Sheet'!$D$19,""))</f>
        <v>#N/A</v>
      </c>
      <c r="DS43" s="264"/>
      <c r="DT43" s="263" t="e">
        <f>IF('Pay App 60'!$H$149=0,NA(),IFERROR('Pay App 60'!F96/'Summary Sheet'!$D$19,""))</f>
        <v>#N/A</v>
      </c>
      <c r="DU43" s="296"/>
    </row>
    <row r="44" spans="2:125" x14ac:dyDescent="0.25">
      <c r="B44" s="35" t="str">
        <f>'Pay App 1'!B97</f>
        <v>08 40 00</v>
      </c>
      <c r="C44" s="27" t="str">
        <f>'Pay App 1'!C97</f>
        <v>Curtain Wall, Glass &amp; Glazing</v>
      </c>
      <c r="D44" s="282" t="str" cm="1">
        <f t="array" ref="D44">IFERROR(1+(LOOKUP(2,1/(E44:DT44&lt;&gt;""),E44:DT44)-E44)/E44,"")</f>
        <v/>
      </c>
      <c r="E44" s="275" t="str">
        <f>IFERROR('GMP Tracker'!D48/'Summary Sheet'!$D$19,"")</f>
        <v/>
      </c>
      <c r="F44" s="276" t="e">
        <f>IF('Pay App 1'!$D$149=0,NA(),IFERROR('Pay App 1'!F97/'Summary Sheet'!$D$19,""))</f>
        <v>#N/A</v>
      </c>
      <c r="G44" s="271"/>
      <c r="H44" s="277" t="e">
        <f>IF('Pay App 2'!$H$149=0,NA(),IFERROR('Pay App 2'!F97/'Summary Sheet'!$D$19,""))</f>
        <v>#N/A</v>
      </c>
      <c r="I44" s="266"/>
      <c r="J44" s="276" t="e">
        <f>IF('Pay App 3'!$H$149=0,NA(),IFERROR('Pay App 3'!F97/'Summary Sheet'!$D$19,""))</f>
        <v>#N/A</v>
      </c>
      <c r="K44" s="268"/>
      <c r="L44" s="277" t="e">
        <f>IF('Pay App 4'!$H$149=0,NA(),IFERROR('Pay App 4'!F97/'Summary Sheet'!$D$19,""))</f>
        <v>#N/A</v>
      </c>
      <c r="M44" s="266"/>
      <c r="N44" s="276" t="e">
        <f>IF('Pay App 5'!$H$149=0,NA(),IFERROR('Pay App 5'!F97/'Summary Sheet'!$D$19,""))</f>
        <v>#N/A</v>
      </c>
      <c r="O44" s="263"/>
      <c r="P44" s="277" t="e">
        <f>IF('Pay App 6'!$H$149=0,NA(),IFERROR('Pay App 6'!F97/'Summary Sheet'!$D$19,""))</f>
        <v>#N/A</v>
      </c>
      <c r="Q44" s="263"/>
      <c r="R44" s="276" t="e">
        <f>IF('Pay App 7'!$H$149=0,NA(),IFERROR('Pay App 7'!F97/'Summary Sheet'!$D$19,""))</f>
        <v>#N/A</v>
      </c>
      <c r="S44" s="263"/>
      <c r="T44" s="277" t="e">
        <f>IF('Pay App 8'!$H$149=0,NA(),IFERROR('Pay App 8'!F97/'Summary Sheet'!$D$19,""))</f>
        <v>#N/A</v>
      </c>
      <c r="U44" s="263"/>
      <c r="V44" s="276" t="e">
        <f>IF('Pay App 9'!$H$149=0,NA(),IFERROR('Pay App 9'!F97/'Summary Sheet'!$D$19,""))</f>
        <v>#N/A</v>
      </c>
      <c r="W44" s="263"/>
      <c r="X44" s="277" t="e">
        <f>IF('Pay App 10'!$H$149=0,NA(),IFERROR('Pay App 10'!F97/'Summary Sheet'!$D$19,""))</f>
        <v>#N/A</v>
      </c>
      <c r="Y44" s="263"/>
      <c r="Z44" s="276" t="e">
        <f>IF('Pay App 11'!$H$149=0,NA(),IFERROR('Pay App 11'!F97/'Summary Sheet'!$D$19,""))</f>
        <v>#N/A</v>
      </c>
      <c r="AA44" s="263"/>
      <c r="AB44" s="277" t="e">
        <f>IF('Pay App 12'!$H$149=0,NA(),IFERROR('Pay App 12'!F97/'Summary Sheet'!$D$19,""))</f>
        <v>#N/A</v>
      </c>
      <c r="AC44" s="263"/>
      <c r="AD44" s="276" t="e">
        <f>IF('Pay App 13'!$H$149=0,NA(),IFERROR('Pay App 13'!F97/'Summary Sheet'!$D$19,""))</f>
        <v>#N/A</v>
      </c>
      <c r="AE44" s="263"/>
      <c r="AF44" s="277" t="e">
        <f>IF('Pay App 14'!$H$149=0,NA(),IFERROR('Pay App 14'!F97/'Summary Sheet'!$D$19,""))</f>
        <v>#N/A</v>
      </c>
      <c r="AG44" s="263"/>
      <c r="AH44" s="276" t="e">
        <f>IF('Pay App 15'!$H$149=0,NA(),IFERROR('Pay App 15'!F97/'Summary Sheet'!$D$19,""))</f>
        <v>#N/A</v>
      </c>
      <c r="AI44" s="263"/>
      <c r="AJ44" s="277" t="e">
        <f>IF('Pay App 16'!$H$149=0,NA(),IFERROR('Pay App 16'!F97/'Summary Sheet'!$D$19,""))</f>
        <v>#N/A</v>
      </c>
      <c r="AK44" s="263"/>
      <c r="AL44" s="276" t="e">
        <f>IF('Pay App 17'!$H$149=0,NA(),IFERROR('Pay App 17'!F97/'Summary Sheet'!$D$19,""))</f>
        <v>#N/A</v>
      </c>
      <c r="AM44" s="263"/>
      <c r="AN44" s="277" t="e">
        <f>IF('Pay App 18'!$H$149=0,NA(),IFERROR('Pay App 18'!F97/'Summary Sheet'!$D$19,""))</f>
        <v>#N/A</v>
      </c>
      <c r="AO44" s="263"/>
      <c r="AP44" s="276" t="e">
        <f>IF('Pay App 19'!$H$149=0,NA(),IFERROR('Pay App 19'!F97/'Summary Sheet'!$D$19,""))</f>
        <v>#N/A</v>
      </c>
      <c r="AQ44" s="263"/>
      <c r="AR44" s="263" t="e">
        <f>IF('Pay App 20'!$H$149=0,NA(),IFERROR('Pay App 20'!F97/'Summary Sheet'!$D$19,""))</f>
        <v>#N/A</v>
      </c>
      <c r="AS44" s="264"/>
      <c r="AT44" s="276" t="e">
        <f>IF('Pay App 21'!$H$149=0,NA(),IFERROR('Pay App 21'!F97/'Summary Sheet'!$D$19,""))</f>
        <v>#N/A</v>
      </c>
      <c r="AU44" s="264"/>
      <c r="AV44" s="263" t="e">
        <f>IF('Pay App 22'!$H$149=0,NA(),IFERROR('Pay App 22'!F97/'Summary Sheet'!$D$19,""))</f>
        <v>#N/A</v>
      </c>
      <c r="AW44" s="264"/>
      <c r="AX44" s="276" t="e">
        <f>IF('Pay App 23'!$H$149=0,NA(),IFERROR('Pay App 23'!F97/'Summary Sheet'!$D$19,""))</f>
        <v>#N/A</v>
      </c>
      <c r="AY44" s="264"/>
      <c r="AZ44" s="263" t="e">
        <f>IF('Pay App 24'!$H$149=0,NA(),IFERROR('Pay App 24'!F97/'Summary Sheet'!$D$19,""))</f>
        <v>#N/A</v>
      </c>
      <c r="BA44" s="264"/>
      <c r="BB44" s="276" t="e">
        <f>IF('Pay App 25'!$H$149=0,NA(),IFERROR('Pay App 25'!F97/'Summary Sheet'!$D$19,""))</f>
        <v>#N/A</v>
      </c>
      <c r="BC44" s="264"/>
      <c r="BD44" s="263" t="e">
        <f>IF('Pay App 26'!$H$149=0,NA(),IFERROR('Pay App 26'!F97/'Summary Sheet'!$D$19,""))</f>
        <v>#N/A</v>
      </c>
      <c r="BE44" s="264"/>
      <c r="BF44" s="276" t="e">
        <f>IF('Pay App 27'!$H$149=0,NA(),IFERROR('Pay App 27'!F97/'Summary Sheet'!$D$19,""))</f>
        <v>#N/A</v>
      </c>
      <c r="BG44" s="264"/>
      <c r="BH44" s="263" t="e">
        <f>IF('Pay App 28'!$H$149=0,NA(),IFERROR('Pay App 28'!F97/'Summary Sheet'!$D$19,""))</f>
        <v>#N/A</v>
      </c>
      <c r="BI44" s="264"/>
      <c r="BJ44" s="276" t="e">
        <f>IF('Pay App 29'!$H$149=0,NA(),IFERROR('Pay App 29'!F97/'Summary Sheet'!$D$19,""))</f>
        <v>#N/A</v>
      </c>
      <c r="BK44" s="271"/>
      <c r="BL44" s="263" t="e">
        <f>IF('Pay App 30'!$H$149=0,NA(),IFERROR('Pay App 30'!F97/'Summary Sheet'!$D$19,""))</f>
        <v>#N/A</v>
      </c>
      <c r="BM44" s="264"/>
      <c r="BN44" s="276" t="e">
        <f>IF('Pay App 31'!$H$149=0,NA(),IFERROR('Pay App 31'!F97/'Summary Sheet'!$D$19,""))</f>
        <v>#N/A</v>
      </c>
      <c r="BO44" s="264"/>
      <c r="BP44" s="263" t="e">
        <f>IF('Pay App 32'!$H$149=0,NA(),IFERROR('Pay App 32'!F97/'Summary Sheet'!$D$19,""))</f>
        <v>#N/A</v>
      </c>
      <c r="BQ44" s="264"/>
      <c r="BR44" s="276" t="e">
        <f>IF('Pay App 33'!$H$149=0,NA(),IFERROR('Pay App 33'!F97/'Summary Sheet'!$D$19,""))</f>
        <v>#N/A</v>
      </c>
      <c r="BS44" s="264"/>
      <c r="BT44" s="263" t="e">
        <f>IF('Pay App 34'!$H$149=0,NA(),IFERROR('Pay App 34'!F97/'Summary Sheet'!$D$19,""))</f>
        <v>#N/A</v>
      </c>
      <c r="BU44" s="264"/>
      <c r="BV44" s="276" t="e">
        <f>IF('Pay App 35'!$H$149=0,NA(),IFERROR('Pay App 35'!F97/'Summary Sheet'!$D$19,""))</f>
        <v>#N/A</v>
      </c>
      <c r="BW44" s="264"/>
      <c r="BX44" s="263" t="e">
        <f>IF('Pay App 36'!$H$149=0,NA(),IFERROR('Pay App 36'!F97/'Summary Sheet'!$D$19,""))</f>
        <v>#N/A</v>
      </c>
      <c r="BY44" s="264"/>
      <c r="BZ44" s="276" t="e">
        <f>IF('Pay App 37'!$H$149=0,NA(),IFERROR('Pay App 37'!F97/'Summary Sheet'!$D$19,""))</f>
        <v>#N/A</v>
      </c>
      <c r="CA44" s="264"/>
      <c r="CB44" s="263" t="e">
        <f>IF('Pay App 38'!$H$149=0,NA(),IFERROR('Pay App 38'!F97/'Summary Sheet'!$D$19,""))</f>
        <v>#N/A</v>
      </c>
      <c r="CC44" s="264"/>
      <c r="CD44" s="276" t="e">
        <f>IF('Pay App 39'!$H$149=0,NA(),IFERROR('Pay App 39'!F97/'Summary Sheet'!$D$19,""))</f>
        <v>#N/A</v>
      </c>
      <c r="CE44" s="264"/>
      <c r="CF44" s="263" t="e">
        <f>IF('Pay App 40'!$H$149=0,NA(),IFERROR('Pay App 40'!F97/'Summary Sheet'!$D$19,""))</f>
        <v>#N/A</v>
      </c>
      <c r="CG44" s="264"/>
      <c r="CH44" s="276" t="e">
        <f>IF('Pay App 41'!$H$149=0,NA(),IFERROR('Pay App 41'!F97/'Summary Sheet'!$D$19,""))</f>
        <v>#N/A</v>
      </c>
      <c r="CI44" s="264"/>
      <c r="CJ44" s="263" t="e">
        <f>IF('Pay App 42'!$H$149=0,NA(),IFERROR('Pay App 42'!F97/'Summary Sheet'!$D$19,""))</f>
        <v>#N/A</v>
      </c>
      <c r="CK44" s="264"/>
      <c r="CL44" s="276" t="e">
        <f>IF('Pay App 43'!$H$149=0,NA(),IFERROR('Pay App 43'!F97/'Summary Sheet'!$D$19,""))</f>
        <v>#N/A</v>
      </c>
      <c r="CM44" s="264"/>
      <c r="CN44" s="263" t="e">
        <f>IF('Pay App 44'!$H$149=0,NA(),IFERROR('Pay App 44'!F97/'Summary Sheet'!$D$19,""))</f>
        <v>#N/A</v>
      </c>
      <c r="CO44" s="264"/>
      <c r="CP44" s="276" t="e">
        <f>IF('Pay App 45'!$H$149=0,NA(),IFERROR('Pay App 45'!F97/'Summary Sheet'!$D$19,""))</f>
        <v>#N/A</v>
      </c>
      <c r="CQ44" s="264"/>
      <c r="CR44" s="263" t="e">
        <f>IF('Pay App 46'!$H$149=0,NA(),IFERROR('Pay App 46'!F97/'Summary Sheet'!$D$19,""))</f>
        <v>#N/A</v>
      </c>
      <c r="CS44" s="264"/>
      <c r="CT44" s="276" t="e">
        <f>IF('Pay App 47'!$H$149=0,NA(),IFERROR('Pay App 47'!F97/'Summary Sheet'!$D$19,""))</f>
        <v>#N/A</v>
      </c>
      <c r="CU44" s="264"/>
      <c r="CV44" s="263" t="e">
        <f>IF('Pay App 48'!$H$149=0,NA(),IFERROR('Pay App 48'!F97/'Summary Sheet'!$D$19,""))</f>
        <v>#N/A</v>
      </c>
      <c r="CW44" s="264"/>
      <c r="CX44" s="276" t="e">
        <f>IF('Pay App 49'!$H$149=0,NA(),IFERROR('Pay App 49'!F97/'Summary Sheet'!$D$19,""))</f>
        <v>#N/A</v>
      </c>
      <c r="CY44" s="264"/>
      <c r="CZ44" s="263" t="e">
        <f>IF('Pay App 50'!$H$149=0,NA(),IFERROR('Pay App 50'!F97/'Summary Sheet'!$D$19,""))</f>
        <v>#N/A</v>
      </c>
      <c r="DA44" s="264"/>
      <c r="DB44" s="276" t="e">
        <f>IF('Pay App 51'!$H$149=0,NA(),IFERROR('Pay App 51'!F97/'Summary Sheet'!$D$19,""))</f>
        <v>#N/A</v>
      </c>
      <c r="DC44" s="264"/>
      <c r="DD44" s="263" t="e">
        <f>IF('Pay App 52'!$H$149=0,NA(),IFERROR('Pay App 52'!F97/'Summary Sheet'!$D$19,""))</f>
        <v>#N/A</v>
      </c>
      <c r="DE44" s="264"/>
      <c r="DF44" s="276" t="e">
        <f>IF('Pay App 53'!$H$149=0,NA(),IFERROR('Pay App 53'!F97/'Summary Sheet'!$D$19,""))</f>
        <v>#N/A</v>
      </c>
      <c r="DG44" s="264"/>
      <c r="DH44" s="263" t="e">
        <f>IF('Pay App 54'!$H$149=0,NA(),IFERROR('Pay App 54'!F97/'Summary Sheet'!$D$19,""))</f>
        <v>#N/A</v>
      </c>
      <c r="DI44" s="264"/>
      <c r="DJ44" s="276" t="e">
        <f>IF('Pay App 55'!$H$149=0,NA(),IFERROR('Pay App 55'!F97/'Summary Sheet'!$D$19,""))</f>
        <v>#N/A</v>
      </c>
      <c r="DK44" s="264"/>
      <c r="DL44" s="263" t="e">
        <f>IF('Pay App 56'!$H$149=0,NA(),IFERROR('Pay App 56'!F97/'Summary Sheet'!$D$19,""))</f>
        <v>#N/A</v>
      </c>
      <c r="DM44" s="264"/>
      <c r="DN44" s="276" t="e">
        <f>IF('Pay App 57'!$H$149=0,NA(),IFERROR('Pay App 57'!F97/'Summary Sheet'!$D$19,""))</f>
        <v>#N/A</v>
      </c>
      <c r="DO44" s="264"/>
      <c r="DP44" s="263" t="e">
        <f>IF('Pay App 58'!$H$149=0,NA(),IFERROR('Pay App 58'!F97/'Summary Sheet'!$D$19,""))</f>
        <v>#N/A</v>
      </c>
      <c r="DQ44" s="264"/>
      <c r="DR44" s="276" t="e">
        <f>IF('Pay App 59'!$H$149=0,NA(),IFERROR('Pay App 59'!F97/'Summary Sheet'!$D$19,""))</f>
        <v>#N/A</v>
      </c>
      <c r="DS44" s="264"/>
      <c r="DT44" s="263" t="e">
        <f>IF('Pay App 60'!$H$149=0,NA(),IFERROR('Pay App 60'!F97/'Summary Sheet'!$D$19,""))</f>
        <v>#N/A</v>
      </c>
      <c r="DU44" s="296"/>
    </row>
    <row r="45" spans="2:125" x14ac:dyDescent="0.25">
      <c r="B45" s="35" t="str">
        <f>'Pay App 1'!B98</f>
        <v>08 60 00</v>
      </c>
      <c r="C45" s="27" t="str">
        <f>'Pay App 1'!C98</f>
        <v>Skylights</v>
      </c>
      <c r="D45" s="282" t="str" cm="1">
        <f t="array" ref="D45">IFERROR(1+(LOOKUP(2,1/(E45:DT45&lt;&gt;""),E45:DT45)-E45)/E45,"")</f>
        <v/>
      </c>
      <c r="E45" s="275" t="str">
        <f>IFERROR('GMP Tracker'!D49/'Summary Sheet'!$D$19,"")</f>
        <v/>
      </c>
      <c r="F45" s="276" t="e">
        <f>IF('Pay App 1'!$D$149=0,NA(),IFERROR('Pay App 1'!F98/'Summary Sheet'!$D$19,""))</f>
        <v>#N/A</v>
      </c>
      <c r="G45" s="271"/>
      <c r="H45" s="277" t="e">
        <f>IF('Pay App 2'!$H$149=0,NA(),IFERROR('Pay App 2'!F98/'Summary Sheet'!$D$19,""))</f>
        <v>#N/A</v>
      </c>
      <c r="I45" s="266"/>
      <c r="J45" s="276" t="e">
        <f>IF('Pay App 3'!$H$149=0,NA(),IFERROR('Pay App 3'!F98/'Summary Sheet'!$D$19,""))</f>
        <v>#N/A</v>
      </c>
      <c r="K45" s="268"/>
      <c r="L45" s="277" t="e">
        <f>IF('Pay App 4'!$H$149=0,NA(),IFERROR('Pay App 4'!F98/'Summary Sheet'!$D$19,""))</f>
        <v>#N/A</v>
      </c>
      <c r="M45" s="266"/>
      <c r="N45" s="276" t="e">
        <f>IF('Pay App 5'!$H$149=0,NA(),IFERROR('Pay App 5'!F98/'Summary Sheet'!$D$19,""))</f>
        <v>#N/A</v>
      </c>
      <c r="O45" s="263"/>
      <c r="P45" s="277" t="e">
        <f>IF('Pay App 6'!$H$149=0,NA(),IFERROR('Pay App 6'!F98/'Summary Sheet'!$D$19,""))</f>
        <v>#N/A</v>
      </c>
      <c r="Q45" s="263"/>
      <c r="R45" s="276" t="e">
        <f>IF('Pay App 7'!$H$149=0,NA(),IFERROR('Pay App 7'!F98/'Summary Sheet'!$D$19,""))</f>
        <v>#N/A</v>
      </c>
      <c r="S45" s="263"/>
      <c r="T45" s="277" t="e">
        <f>IF('Pay App 8'!$H$149=0,NA(),IFERROR('Pay App 8'!F98/'Summary Sheet'!$D$19,""))</f>
        <v>#N/A</v>
      </c>
      <c r="U45" s="263"/>
      <c r="V45" s="276" t="e">
        <f>IF('Pay App 9'!$H$149=0,NA(),IFERROR('Pay App 9'!F98/'Summary Sheet'!$D$19,""))</f>
        <v>#N/A</v>
      </c>
      <c r="W45" s="263"/>
      <c r="X45" s="277" t="e">
        <f>IF('Pay App 10'!$H$149=0,NA(),IFERROR('Pay App 10'!F98/'Summary Sheet'!$D$19,""))</f>
        <v>#N/A</v>
      </c>
      <c r="Y45" s="263"/>
      <c r="Z45" s="276" t="e">
        <f>IF('Pay App 11'!$H$149=0,NA(),IFERROR('Pay App 11'!F98/'Summary Sheet'!$D$19,""))</f>
        <v>#N/A</v>
      </c>
      <c r="AA45" s="263"/>
      <c r="AB45" s="277" t="e">
        <f>IF('Pay App 12'!$H$149=0,NA(),IFERROR('Pay App 12'!F98/'Summary Sheet'!$D$19,""))</f>
        <v>#N/A</v>
      </c>
      <c r="AC45" s="263"/>
      <c r="AD45" s="276" t="e">
        <f>IF('Pay App 13'!$H$149=0,NA(),IFERROR('Pay App 13'!F98/'Summary Sheet'!$D$19,""))</f>
        <v>#N/A</v>
      </c>
      <c r="AE45" s="263"/>
      <c r="AF45" s="277" t="e">
        <f>IF('Pay App 14'!$H$149=0,NA(),IFERROR('Pay App 14'!F98/'Summary Sheet'!$D$19,""))</f>
        <v>#N/A</v>
      </c>
      <c r="AG45" s="263"/>
      <c r="AH45" s="276" t="e">
        <f>IF('Pay App 15'!$H$149=0,NA(),IFERROR('Pay App 15'!F98/'Summary Sheet'!$D$19,""))</f>
        <v>#N/A</v>
      </c>
      <c r="AI45" s="263"/>
      <c r="AJ45" s="277" t="e">
        <f>IF('Pay App 16'!$H$149=0,NA(),IFERROR('Pay App 16'!F98/'Summary Sheet'!$D$19,""))</f>
        <v>#N/A</v>
      </c>
      <c r="AK45" s="263"/>
      <c r="AL45" s="276" t="e">
        <f>IF('Pay App 17'!$H$149=0,NA(),IFERROR('Pay App 17'!F98/'Summary Sheet'!$D$19,""))</f>
        <v>#N/A</v>
      </c>
      <c r="AM45" s="263"/>
      <c r="AN45" s="277" t="e">
        <f>IF('Pay App 18'!$H$149=0,NA(),IFERROR('Pay App 18'!F98/'Summary Sheet'!$D$19,""))</f>
        <v>#N/A</v>
      </c>
      <c r="AO45" s="263"/>
      <c r="AP45" s="276" t="e">
        <f>IF('Pay App 19'!$H$149=0,NA(),IFERROR('Pay App 19'!F98/'Summary Sheet'!$D$19,""))</f>
        <v>#N/A</v>
      </c>
      <c r="AQ45" s="263"/>
      <c r="AR45" s="263" t="e">
        <f>IF('Pay App 20'!$H$149=0,NA(),IFERROR('Pay App 20'!F98/'Summary Sheet'!$D$19,""))</f>
        <v>#N/A</v>
      </c>
      <c r="AS45" s="264"/>
      <c r="AT45" s="276" t="e">
        <f>IF('Pay App 21'!$H$149=0,NA(),IFERROR('Pay App 21'!F98/'Summary Sheet'!$D$19,""))</f>
        <v>#N/A</v>
      </c>
      <c r="AU45" s="264"/>
      <c r="AV45" s="263" t="e">
        <f>IF('Pay App 22'!$H$149=0,NA(),IFERROR('Pay App 22'!F98/'Summary Sheet'!$D$19,""))</f>
        <v>#N/A</v>
      </c>
      <c r="AW45" s="264"/>
      <c r="AX45" s="276" t="e">
        <f>IF('Pay App 23'!$H$149=0,NA(),IFERROR('Pay App 23'!F98/'Summary Sheet'!$D$19,""))</f>
        <v>#N/A</v>
      </c>
      <c r="AY45" s="264"/>
      <c r="AZ45" s="263" t="e">
        <f>IF('Pay App 24'!$H$149=0,NA(),IFERROR('Pay App 24'!F98/'Summary Sheet'!$D$19,""))</f>
        <v>#N/A</v>
      </c>
      <c r="BA45" s="264"/>
      <c r="BB45" s="276" t="e">
        <f>IF('Pay App 25'!$H$149=0,NA(),IFERROR('Pay App 25'!F98/'Summary Sheet'!$D$19,""))</f>
        <v>#N/A</v>
      </c>
      <c r="BC45" s="264"/>
      <c r="BD45" s="263" t="e">
        <f>IF('Pay App 26'!$H$149=0,NA(),IFERROR('Pay App 26'!F98/'Summary Sheet'!$D$19,""))</f>
        <v>#N/A</v>
      </c>
      <c r="BE45" s="264"/>
      <c r="BF45" s="276" t="e">
        <f>IF('Pay App 27'!$H$149=0,NA(),IFERROR('Pay App 27'!F98/'Summary Sheet'!$D$19,""))</f>
        <v>#N/A</v>
      </c>
      <c r="BG45" s="264"/>
      <c r="BH45" s="263" t="e">
        <f>IF('Pay App 28'!$H$149=0,NA(),IFERROR('Pay App 28'!F98/'Summary Sheet'!$D$19,""))</f>
        <v>#N/A</v>
      </c>
      <c r="BI45" s="264"/>
      <c r="BJ45" s="276" t="e">
        <f>IF('Pay App 29'!$H$149=0,NA(),IFERROR('Pay App 29'!F98/'Summary Sheet'!$D$19,""))</f>
        <v>#N/A</v>
      </c>
      <c r="BK45" s="271"/>
      <c r="BL45" s="263" t="e">
        <f>IF('Pay App 30'!$H$149=0,NA(),IFERROR('Pay App 30'!F98/'Summary Sheet'!$D$19,""))</f>
        <v>#N/A</v>
      </c>
      <c r="BM45" s="264"/>
      <c r="BN45" s="276" t="e">
        <f>IF('Pay App 31'!$H$149=0,NA(),IFERROR('Pay App 31'!F98/'Summary Sheet'!$D$19,""))</f>
        <v>#N/A</v>
      </c>
      <c r="BO45" s="264"/>
      <c r="BP45" s="263" t="e">
        <f>IF('Pay App 32'!$H$149=0,NA(),IFERROR('Pay App 32'!F98/'Summary Sheet'!$D$19,""))</f>
        <v>#N/A</v>
      </c>
      <c r="BQ45" s="264"/>
      <c r="BR45" s="276" t="e">
        <f>IF('Pay App 33'!$H$149=0,NA(),IFERROR('Pay App 33'!F98/'Summary Sheet'!$D$19,""))</f>
        <v>#N/A</v>
      </c>
      <c r="BS45" s="264"/>
      <c r="BT45" s="263" t="e">
        <f>IF('Pay App 34'!$H$149=0,NA(),IFERROR('Pay App 34'!F98/'Summary Sheet'!$D$19,""))</f>
        <v>#N/A</v>
      </c>
      <c r="BU45" s="264"/>
      <c r="BV45" s="276" t="e">
        <f>IF('Pay App 35'!$H$149=0,NA(),IFERROR('Pay App 35'!F98/'Summary Sheet'!$D$19,""))</f>
        <v>#N/A</v>
      </c>
      <c r="BW45" s="264"/>
      <c r="BX45" s="263" t="e">
        <f>IF('Pay App 36'!$H$149=0,NA(),IFERROR('Pay App 36'!F98/'Summary Sheet'!$D$19,""))</f>
        <v>#N/A</v>
      </c>
      <c r="BY45" s="264"/>
      <c r="BZ45" s="276" t="e">
        <f>IF('Pay App 37'!$H$149=0,NA(),IFERROR('Pay App 37'!F98/'Summary Sheet'!$D$19,""))</f>
        <v>#N/A</v>
      </c>
      <c r="CA45" s="264"/>
      <c r="CB45" s="263" t="e">
        <f>IF('Pay App 38'!$H$149=0,NA(),IFERROR('Pay App 38'!F98/'Summary Sheet'!$D$19,""))</f>
        <v>#N/A</v>
      </c>
      <c r="CC45" s="264"/>
      <c r="CD45" s="276" t="e">
        <f>IF('Pay App 39'!$H$149=0,NA(),IFERROR('Pay App 39'!F98/'Summary Sheet'!$D$19,""))</f>
        <v>#N/A</v>
      </c>
      <c r="CE45" s="264"/>
      <c r="CF45" s="263" t="e">
        <f>IF('Pay App 40'!$H$149=0,NA(),IFERROR('Pay App 40'!F98/'Summary Sheet'!$D$19,""))</f>
        <v>#N/A</v>
      </c>
      <c r="CG45" s="264"/>
      <c r="CH45" s="276" t="e">
        <f>IF('Pay App 41'!$H$149=0,NA(),IFERROR('Pay App 41'!F98/'Summary Sheet'!$D$19,""))</f>
        <v>#N/A</v>
      </c>
      <c r="CI45" s="264"/>
      <c r="CJ45" s="263" t="e">
        <f>IF('Pay App 42'!$H$149=0,NA(),IFERROR('Pay App 42'!F98/'Summary Sheet'!$D$19,""))</f>
        <v>#N/A</v>
      </c>
      <c r="CK45" s="264"/>
      <c r="CL45" s="276" t="e">
        <f>IF('Pay App 43'!$H$149=0,NA(),IFERROR('Pay App 43'!F98/'Summary Sheet'!$D$19,""))</f>
        <v>#N/A</v>
      </c>
      <c r="CM45" s="264"/>
      <c r="CN45" s="263" t="e">
        <f>IF('Pay App 44'!$H$149=0,NA(),IFERROR('Pay App 44'!F98/'Summary Sheet'!$D$19,""))</f>
        <v>#N/A</v>
      </c>
      <c r="CO45" s="264"/>
      <c r="CP45" s="276" t="e">
        <f>IF('Pay App 45'!$H$149=0,NA(),IFERROR('Pay App 45'!F98/'Summary Sheet'!$D$19,""))</f>
        <v>#N/A</v>
      </c>
      <c r="CQ45" s="264"/>
      <c r="CR45" s="263" t="e">
        <f>IF('Pay App 46'!$H$149=0,NA(),IFERROR('Pay App 46'!F98/'Summary Sheet'!$D$19,""))</f>
        <v>#N/A</v>
      </c>
      <c r="CS45" s="264"/>
      <c r="CT45" s="276" t="e">
        <f>IF('Pay App 47'!$H$149=0,NA(),IFERROR('Pay App 47'!F98/'Summary Sheet'!$D$19,""))</f>
        <v>#N/A</v>
      </c>
      <c r="CU45" s="264"/>
      <c r="CV45" s="263" t="e">
        <f>IF('Pay App 48'!$H$149=0,NA(),IFERROR('Pay App 48'!F98/'Summary Sheet'!$D$19,""))</f>
        <v>#N/A</v>
      </c>
      <c r="CW45" s="264"/>
      <c r="CX45" s="276" t="e">
        <f>IF('Pay App 49'!$H$149=0,NA(),IFERROR('Pay App 49'!F98/'Summary Sheet'!$D$19,""))</f>
        <v>#N/A</v>
      </c>
      <c r="CY45" s="264"/>
      <c r="CZ45" s="263" t="e">
        <f>IF('Pay App 50'!$H$149=0,NA(),IFERROR('Pay App 50'!F98/'Summary Sheet'!$D$19,""))</f>
        <v>#N/A</v>
      </c>
      <c r="DA45" s="264"/>
      <c r="DB45" s="276" t="e">
        <f>IF('Pay App 51'!$H$149=0,NA(),IFERROR('Pay App 51'!F98/'Summary Sheet'!$D$19,""))</f>
        <v>#N/A</v>
      </c>
      <c r="DC45" s="264"/>
      <c r="DD45" s="263" t="e">
        <f>IF('Pay App 52'!$H$149=0,NA(),IFERROR('Pay App 52'!F98/'Summary Sheet'!$D$19,""))</f>
        <v>#N/A</v>
      </c>
      <c r="DE45" s="264"/>
      <c r="DF45" s="276" t="e">
        <f>IF('Pay App 53'!$H$149=0,NA(),IFERROR('Pay App 53'!F98/'Summary Sheet'!$D$19,""))</f>
        <v>#N/A</v>
      </c>
      <c r="DG45" s="264"/>
      <c r="DH45" s="263" t="e">
        <f>IF('Pay App 54'!$H$149=0,NA(),IFERROR('Pay App 54'!F98/'Summary Sheet'!$D$19,""))</f>
        <v>#N/A</v>
      </c>
      <c r="DI45" s="264"/>
      <c r="DJ45" s="276" t="e">
        <f>IF('Pay App 55'!$H$149=0,NA(),IFERROR('Pay App 55'!F98/'Summary Sheet'!$D$19,""))</f>
        <v>#N/A</v>
      </c>
      <c r="DK45" s="264"/>
      <c r="DL45" s="263" t="e">
        <f>IF('Pay App 56'!$H$149=0,NA(),IFERROR('Pay App 56'!F98/'Summary Sheet'!$D$19,""))</f>
        <v>#N/A</v>
      </c>
      <c r="DM45" s="264"/>
      <c r="DN45" s="276" t="e">
        <f>IF('Pay App 57'!$H$149=0,NA(),IFERROR('Pay App 57'!F98/'Summary Sheet'!$D$19,""))</f>
        <v>#N/A</v>
      </c>
      <c r="DO45" s="264"/>
      <c r="DP45" s="263" t="e">
        <f>IF('Pay App 58'!$H$149=0,NA(),IFERROR('Pay App 58'!F98/'Summary Sheet'!$D$19,""))</f>
        <v>#N/A</v>
      </c>
      <c r="DQ45" s="264"/>
      <c r="DR45" s="276" t="e">
        <f>IF('Pay App 59'!$H$149=0,NA(),IFERROR('Pay App 59'!F98/'Summary Sheet'!$D$19,""))</f>
        <v>#N/A</v>
      </c>
      <c r="DS45" s="264"/>
      <c r="DT45" s="263" t="e">
        <f>IF('Pay App 60'!$H$149=0,NA(),IFERROR('Pay App 60'!F98/'Summary Sheet'!$D$19,""))</f>
        <v>#N/A</v>
      </c>
      <c r="DU45" s="296"/>
    </row>
    <row r="46" spans="2:125" x14ac:dyDescent="0.25">
      <c r="B46" s="35" t="str">
        <f>'Pay App 1'!B99</f>
        <v>08 90 00</v>
      </c>
      <c r="C46" s="27" t="str">
        <f>'Pay App 1'!C99</f>
        <v>Louvers &amp; Vents</v>
      </c>
      <c r="D46" s="282" t="str" cm="1">
        <f t="array" ref="D46">IFERROR(1+(LOOKUP(2,1/(E46:DT46&lt;&gt;""),E46:DT46)-E46)/E46,"")</f>
        <v/>
      </c>
      <c r="E46" s="275" t="str">
        <f>IFERROR('GMP Tracker'!D50/'Summary Sheet'!$D$19,"")</f>
        <v/>
      </c>
      <c r="F46" s="276" t="e">
        <f>IF('Pay App 1'!$D$149=0,NA(),IFERROR('Pay App 1'!F99/'Summary Sheet'!$D$19,""))</f>
        <v>#N/A</v>
      </c>
      <c r="G46" s="271"/>
      <c r="H46" s="277" t="e">
        <f>IF('Pay App 2'!$H$149=0,NA(),IFERROR('Pay App 2'!F99/'Summary Sheet'!$D$19,""))</f>
        <v>#N/A</v>
      </c>
      <c r="I46" s="266"/>
      <c r="J46" s="276" t="e">
        <f>IF('Pay App 3'!$H$149=0,NA(),IFERROR('Pay App 3'!F99/'Summary Sheet'!$D$19,""))</f>
        <v>#N/A</v>
      </c>
      <c r="K46" s="268"/>
      <c r="L46" s="277" t="e">
        <f>IF('Pay App 4'!$H$149=0,NA(),IFERROR('Pay App 4'!F99/'Summary Sheet'!$D$19,""))</f>
        <v>#N/A</v>
      </c>
      <c r="M46" s="266"/>
      <c r="N46" s="276" t="e">
        <f>IF('Pay App 5'!$H$149=0,NA(),IFERROR('Pay App 5'!F99/'Summary Sheet'!$D$19,""))</f>
        <v>#N/A</v>
      </c>
      <c r="O46" s="263"/>
      <c r="P46" s="277" t="e">
        <f>IF('Pay App 6'!$H$149=0,NA(),IFERROR('Pay App 6'!F99/'Summary Sheet'!$D$19,""))</f>
        <v>#N/A</v>
      </c>
      <c r="Q46" s="263"/>
      <c r="R46" s="276" t="e">
        <f>IF('Pay App 7'!$H$149=0,NA(),IFERROR('Pay App 7'!F99/'Summary Sheet'!$D$19,""))</f>
        <v>#N/A</v>
      </c>
      <c r="S46" s="263"/>
      <c r="T46" s="277" t="e">
        <f>IF('Pay App 8'!$H$149=0,NA(),IFERROR('Pay App 8'!F99/'Summary Sheet'!$D$19,""))</f>
        <v>#N/A</v>
      </c>
      <c r="U46" s="263"/>
      <c r="V46" s="276" t="e">
        <f>IF('Pay App 9'!$H$149=0,NA(),IFERROR('Pay App 9'!F99/'Summary Sheet'!$D$19,""))</f>
        <v>#N/A</v>
      </c>
      <c r="W46" s="263"/>
      <c r="X46" s="277" t="e">
        <f>IF('Pay App 10'!$H$149=0,NA(),IFERROR('Pay App 10'!F99/'Summary Sheet'!$D$19,""))</f>
        <v>#N/A</v>
      </c>
      <c r="Y46" s="263"/>
      <c r="Z46" s="276" t="e">
        <f>IF('Pay App 11'!$H$149=0,NA(),IFERROR('Pay App 11'!F99/'Summary Sheet'!$D$19,""))</f>
        <v>#N/A</v>
      </c>
      <c r="AA46" s="263"/>
      <c r="AB46" s="277" t="e">
        <f>IF('Pay App 12'!$H$149=0,NA(),IFERROR('Pay App 12'!F99/'Summary Sheet'!$D$19,""))</f>
        <v>#N/A</v>
      </c>
      <c r="AC46" s="263"/>
      <c r="AD46" s="276" t="e">
        <f>IF('Pay App 13'!$H$149=0,NA(),IFERROR('Pay App 13'!F99/'Summary Sheet'!$D$19,""))</f>
        <v>#N/A</v>
      </c>
      <c r="AE46" s="263"/>
      <c r="AF46" s="277" t="e">
        <f>IF('Pay App 14'!$H$149=0,NA(),IFERROR('Pay App 14'!F99/'Summary Sheet'!$D$19,""))</f>
        <v>#N/A</v>
      </c>
      <c r="AG46" s="263"/>
      <c r="AH46" s="276" t="e">
        <f>IF('Pay App 15'!$H$149=0,NA(),IFERROR('Pay App 15'!F99/'Summary Sheet'!$D$19,""))</f>
        <v>#N/A</v>
      </c>
      <c r="AI46" s="263"/>
      <c r="AJ46" s="277" t="e">
        <f>IF('Pay App 16'!$H$149=0,NA(),IFERROR('Pay App 16'!F99/'Summary Sheet'!$D$19,""))</f>
        <v>#N/A</v>
      </c>
      <c r="AK46" s="263"/>
      <c r="AL46" s="276" t="e">
        <f>IF('Pay App 17'!$H$149=0,NA(),IFERROR('Pay App 17'!F99/'Summary Sheet'!$D$19,""))</f>
        <v>#N/A</v>
      </c>
      <c r="AM46" s="263"/>
      <c r="AN46" s="277" t="e">
        <f>IF('Pay App 18'!$H$149=0,NA(),IFERROR('Pay App 18'!F99/'Summary Sheet'!$D$19,""))</f>
        <v>#N/A</v>
      </c>
      <c r="AO46" s="263"/>
      <c r="AP46" s="276" t="e">
        <f>IF('Pay App 19'!$H$149=0,NA(),IFERROR('Pay App 19'!F99/'Summary Sheet'!$D$19,""))</f>
        <v>#N/A</v>
      </c>
      <c r="AQ46" s="263"/>
      <c r="AR46" s="263" t="e">
        <f>IF('Pay App 20'!$H$149=0,NA(),IFERROR('Pay App 20'!F99/'Summary Sheet'!$D$19,""))</f>
        <v>#N/A</v>
      </c>
      <c r="AS46" s="264"/>
      <c r="AT46" s="276" t="e">
        <f>IF('Pay App 21'!$H$149=0,NA(),IFERROR('Pay App 21'!F99/'Summary Sheet'!$D$19,""))</f>
        <v>#N/A</v>
      </c>
      <c r="AU46" s="264"/>
      <c r="AV46" s="263" t="e">
        <f>IF('Pay App 22'!$H$149=0,NA(),IFERROR('Pay App 22'!F99/'Summary Sheet'!$D$19,""))</f>
        <v>#N/A</v>
      </c>
      <c r="AW46" s="264"/>
      <c r="AX46" s="276" t="e">
        <f>IF('Pay App 23'!$H$149=0,NA(),IFERROR('Pay App 23'!F99/'Summary Sheet'!$D$19,""))</f>
        <v>#N/A</v>
      </c>
      <c r="AY46" s="264"/>
      <c r="AZ46" s="263" t="e">
        <f>IF('Pay App 24'!$H$149=0,NA(),IFERROR('Pay App 24'!F99/'Summary Sheet'!$D$19,""))</f>
        <v>#N/A</v>
      </c>
      <c r="BA46" s="264"/>
      <c r="BB46" s="276" t="e">
        <f>IF('Pay App 25'!$H$149=0,NA(),IFERROR('Pay App 25'!F99/'Summary Sheet'!$D$19,""))</f>
        <v>#N/A</v>
      </c>
      <c r="BC46" s="264"/>
      <c r="BD46" s="263" t="e">
        <f>IF('Pay App 26'!$H$149=0,NA(),IFERROR('Pay App 26'!F99/'Summary Sheet'!$D$19,""))</f>
        <v>#N/A</v>
      </c>
      <c r="BE46" s="264"/>
      <c r="BF46" s="276" t="e">
        <f>IF('Pay App 27'!$H$149=0,NA(),IFERROR('Pay App 27'!F99/'Summary Sheet'!$D$19,""))</f>
        <v>#N/A</v>
      </c>
      <c r="BG46" s="264"/>
      <c r="BH46" s="263" t="e">
        <f>IF('Pay App 28'!$H$149=0,NA(),IFERROR('Pay App 28'!F99/'Summary Sheet'!$D$19,""))</f>
        <v>#N/A</v>
      </c>
      <c r="BI46" s="264"/>
      <c r="BJ46" s="276" t="e">
        <f>IF('Pay App 29'!$H$149=0,NA(),IFERROR('Pay App 29'!F99/'Summary Sheet'!$D$19,""))</f>
        <v>#N/A</v>
      </c>
      <c r="BK46" s="271"/>
      <c r="BL46" s="263" t="e">
        <f>IF('Pay App 30'!$H$149=0,NA(),IFERROR('Pay App 30'!F99/'Summary Sheet'!$D$19,""))</f>
        <v>#N/A</v>
      </c>
      <c r="BM46" s="264"/>
      <c r="BN46" s="276" t="e">
        <f>IF('Pay App 31'!$H$149=0,NA(),IFERROR('Pay App 31'!F99/'Summary Sheet'!$D$19,""))</f>
        <v>#N/A</v>
      </c>
      <c r="BO46" s="264"/>
      <c r="BP46" s="263" t="e">
        <f>IF('Pay App 32'!$H$149=0,NA(),IFERROR('Pay App 32'!F99/'Summary Sheet'!$D$19,""))</f>
        <v>#N/A</v>
      </c>
      <c r="BQ46" s="264"/>
      <c r="BR46" s="276" t="e">
        <f>IF('Pay App 33'!$H$149=0,NA(),IFERROR('Pay App 33'!F99/'Summary Sheet'!$D$19,""))</f>
        <v>#N/A</v>
      </c>
      <c r="BS46" s="264"/>
      <c r="BT46" s="263" t="e">
        <f>IF('Pay App 34'!$H$149=0,NA(),IFERROR('Pay App 34'!F99/'Summary Sheet'!$D$19,""))</f>
        <v>#N/A</v>
      </c>
      <c r="BU46" s="264"/>
      <c r="BV46" s="276" t="e">
        <f>IF('Pay App 35'!$H$149=0,NA(),IFERROR('Pay App 35'!F99/'Summary Sheet'!$D$19,""))</f>
        <v>#N/A</v>
      </c>
      <c r="BW46" s="264"/>
      <c r="BX46" s="263" t="e">
        <f>IF('Pay App 36'!$H$149=0,NA(),IFERROR('Pay App 36'!F99/'Summary Sheet'!$D$19,""))</f>
        <v>#N/A</v>
      </c>
      <c r="BY46" s="264"/>
      <c r="BZ46" s="276" t="e">
        <f>IF('Pay App 37'!$H$149=0,NA(),IFERROR('Pay App 37'!F99/'Summary Sheet'!$D$19,""))</f>
        <v>#N/A</v>
      </c>
      <c r="CA46" s="264"/>
      <c r="CB46" s="263" t="e">
        <f>IF('Pay App 38'!$H$149=0,NA(),IFERROR('Pay App 38'!F99/'Summary Sheet'!$D$19,""))</f>
        <v>#N/A</v>
      </c>
      <c r="CC46" s="264"/>
      <c r="CD46" s="276" t="e">
        <f>IF('Pay App 39'!$H$149=0,NA(),IFERROR('Pay App 39'!F99/'Summary Sheet'!$D$19,""))</f>
        <v>#N/A</v>
      </c>
      <c r="CE46" s="264"/>
      <c r="CF46" s="263" t="e">
        <f>IF('Pay App 40'!$H$149=0,NA(),IFERROR('Pay App 40'!F99/'Summary Sheet'!$D$19,""))</f>
        <v>#N/A</v>
      </c>
      <c r="CG46" s="264"/>
      <c r="CH46" s="276" t="e">
        <f>IF('Pay App 41'!$H$149=0,NA(),IFERROR('Pay App 41'!F99/'Summary Sheet'!$D$19,""))</f>
        <v>#N/A</v>
      </c>
      <c r="CI46" s="264"/>
      <c r="CJ46" s="263" t="e">
        <f>IF('Pay App 42'!$H$149=0,NA(),IFERROR('Pay App 42'!F99/'Summary Sheet'!$D$19,""))</f>
        <v>#N/A</v>
      </c>
      <c r="CK46" s="264"/>
      <c r="CL46" s="276" t="e">
        <f>IF('Pay App 43'!$H$149=0,NA(),IFERROR('Pay App 43'!F99/'Summary Sheet'!$D$19,""))</f>
        <v>#N/A</v>
      </c>
      <c r="CM46" s="264"/>
      <c r="CN46" s="263" t="e">
        <f>IF('Pay App 44'!$H$149=0,NA(),IFERROR('Pay App 44'!F99/'Summary Sheet'!$D$19,""))</f>
        <v>#N/A</v>
      </c>
      <c r="CO46" s="264"/>
      <c r="CP46" s="276" t="e">
        <f>IF('Pay App 45'!$H$149=0,NA(),IFERROR('Pay App 45'!F99/'Summary Sheet'!$D$19,""))</f>
        <v>#N/A</v>
      </c>
      <c r="CQ46" s="264"/>
      <c r="CR46" s="263" t="e">
        <f>IF('Pay App 46'!$H$149=0,NA(),IFERROR('Pay App 46'!F99/'Summary Sheet'!$D$19,""))</f>
        <v>#N/A</v>
      </c>
      <c r="CS46" s="264"/>
      <c r="CT46" s="276" t="e">
        <f>IF('Pay App 47'!$H$149=0,NA(),IFERROR('Pay App 47'!F99/'Summary Sheet'!$D$19,""))</f>
        <v>#N/A</v>
      </c>
      <c r="CU46" s="264"/>
      <c r="CV46" s="263" t="e">
        <f>IF('Pay App 48'!$H$149=0,NA(),IFERROR('Pay App 48'!F99/'Summary Sheet'!$D$19,""))</f>
        <v>#N/A</v>
      </c>
      <c r="CW46" s="264"/>
      <c r="CX46" s="276" t="e">
        <f>IF('Pay App 49'!$H$149=0,NA(),IFERROR('Pay App 49'!F99/'Summary Sheet'!$D$19,""))</f>
        <v>#N/A</v>
      </c>
      <c r="CY46" s="264"/>
      <c r="CZ46" s="263" t="e">
        <f>IF('Pay App 50'!$H$149=0,NA(),IFERROR('Pay App 50'!F99/'Summary Sheet'!$D$19,""))</f>
        <v>#N/A</v>
      </c>
      <c r="DA46" s="264"/>
      <c r="DB46" s="276" t="e">
        <f>IF('Pay App 51'!$H$149=0,NA(),IFERROR('Pay App 51'!F99/'Summary Sheet'!$D$19,""))</f>
        <v>#N/A</v>
      </c>
      <c r="DC46" s="264"/>
      <c r="DD46" s="263" t="e">
        <f>IF('Pay App 52'!$H$149=0,NA(),IFERROR('Pay App 52'!F99/'Summary Sheet'!$D$19,""))</f>
        <v>#N/A</v>
      </c>
      <c r="DE46" s="264"/>
      <c r="DF46" s="276" t="e">
        <f>IF('Pay App 53'!$H$149=0,NA(),IFERROR('Pay App 53'!F99/'Summary Sheet'!$D$19,""))</f>
        <v>#N/A</v>
      </c>
      <c r="DG46" s="264"/>
      <c r="DH46" s="263" t="e">
        <f>IF('Pay App 54'!$H$149=0,NA(),IFERROR('Pay App 54'!F99/'Summary Sheet'!$D$19,""))</f>
        <v>#N/A</v>
      </c>
      <c r="DI46" s="264"/>
      <c r="DJ46" s="276" t="e">
        <f>IF('Pay App 55'!$H$149=0,NA(),IFERROR('Pay App 55'!F99/'Summary Sheet'!$D$19,""))</f>
        <v>#N/A</v>
      </c>
      <c r="DK46" s="264"/>
      <c r="DL46" s="263" t="e">
        <f>IF('Pay App 56'!$H$149=0,NA(),IFERROR('Pay App 56'!F99/'Summary Sheet'!$D$19,""))</f>
        <v>#N/A</v>
      </c>
      <c r="DM46" s="264"/>
      <c r="DN46" s="276" t="e">
        <f>IF('Pay App 57'!$H$149=0,NA(),IFERROR('Pay App 57'!F99/'Summary Sheet'!$D$19,""))</f>
        <v>#N/A</v>
      </c>
      <c r="DO46" s="264"/>
      <c r="DP46" s="263" t="e">
        <f>IF('Pay App 58'!$H$149=0,NA(),IFERROR('Pay App 58'!F99/'Summary Sheet'!$D$19,""))</f>
        <v>#N/A</v>
      </c>
      <c r="DQ46" s="264"/>
      <c r="DR46" s="276" t="e">
        <f>IF('Pay App 59'!$H$149=0,NA(),IFERROR('Pay App 59'!F99/'Summary Sheet'!$D$19,""))</f>
        <v>#N/A</v>
      </c>
      <c r="DS46" s="264"/>
      <c r="DT46" s="263" t="e">
        <f>IF('Pay App 60'!$H$149=0,NA(),IFERROR('Pay App 60'!F99/'Summary Sheet'!$D$19,""))</f>
        <v>#N/A</v>
      </c>
      <c r="DU46" s="296"/>
    </row>
    <row r="47" spans="2:125" x14ac:dyDescent="0.25">
      <c r="B47" s="196" t="str">
        <f>'Pay App 1'!B100</f>
        <v>09 20 00</v>
      </c>
      <c r="C47" s="197" t="str">
        <f>'Pay App 1'!C100</f>
        <v>Gypsum Board Systems</v>
      </c>
      <c r="D47" s="282" t="str" cm="1">
        <f t="array" ref="D47">IFERROR(1+(LOOKUP(2,1/(E47:DT47&lt;&gt;""),E47:DT47)-E47)/E47,"")</f>
        <v/>
      </c>
      <c r="E47" s="275" t="str">
        <f>IFERROR('GMP Tracker'!D51/'Summary Sheet'!$D$19,"")</f>
        <v/>
      </c>
      <c r="F47" s="276" t="e">
        <f>IF('Pay App 1'!$D$149=0,NA(),IFERROR('Pay App 1'!F100/'Summary Sheet'!$D$19,""))</f>
        <v>#N/A</v>
      </c>
      <c r="G47" s="271"/>
      <c r="H47" s="277" t="e">
        <f>IF('Pay App 2'!$H$149=0,NA(),IFERROR('Pay App 2'!F100/'Summary Sheet'!$D$19,""))</f>
        <v>#N/A</v>
      </c>
      <c r="I47" s="266"/>
      <c r="J47" s="276" t="e">
        <f>IF('Pay App 3'!$H$149=0,NA(),IFERROR('Pay App 3'!F100/'Summary Sheet'!$D$19,""))</f>
        <v>#N/A</v>
      </c>
      <c r="K47" s="268"/>
      <c r="L47" s="277" t="e">
        <f>IF('Pay App 4'!$H$149=0,NA(),IFERROR('Pay App 4'!F100/'Summary Sheet'!$D$19,""))</f>
        <v>#N/A</v>
      </c>
      <c r="M47" s="266"/>
      <c r="N47" s="276" t="e">
        <f>IF('Pay App 5'!$H$149=0,NA(),IFERROR('Pay App 5'!F100/'Summary Sheet'!$D$19,""))</f>
        <v>#N/A</v>
      </c>
      <c r="O47" s="263"/>
      <c r="P47" s="277" t="e">
        <f>IF('Pay App 6'!$H$149=0,NA(),IFERROR('Pay App 6'!F100/'Summary Sheet'!$D$19,""))</f>
        <v>#N/A</v>
      </c>
      <c r="Q47" s="263"/>
      <c r="R47" s="276" t="e">
        <f>IF('Pay App 7'!$H$149=0,NA(),IFERROR('Pay App 7'!F100/'Summary Sheet'!$D$19,""))</f>
        <v>#N/A</v>
      </c>
      <c r="S47" s="263"/>
      <c r="T47" s="277" t="e">
        <f>IF('Pay App 8'!$H$149=0,NA(),IFERROR('Pay App 8'!F100/'Summary Sheet'!$D$19,""))</f>
        <v>#N/A</v>
      </c>
      <c r="U47" s="263"/>
      <c r="V47" s="276" t="e">
        <f>IF('Pay App 9'!$H$149=0,NA(),IFERROR('Pay App 9'!F100/'Summary Sheet'!$D$19,""))</f>
        <v>#N/A</v>
      </c>
      <c r="W47" s="263"/>
      <c r="X47" s="277" t="e">
        <f>IF('Pay App 10'!$H$149=0,NA(),IFERROR('Pay App 10'!F100/'Summary Sheet'!$D$19,""))</f>
        <v>#N/A</v>
      </c>
      <c r="Y47" s="263"/>
      <c r="Z47" s="276" t="e">
        <f>IF('Pay App 11'!$H$149=0,NA(),IFERROR('Pay App 11'!F100/'Summary Sheet'!$D$19,""))</f>
        <v>#N/A</v>
      </c>
      <c r="AA47" s="263"/>
      <c r="AB47" s="277" t="e">
        <f>IF('Pay App 12'!$H$149=0,NA(),IFERROR('Pay App 12'!F100/'Summary Sheet'!$D$19,""))</f>
        <v>#N/A</v>
      </c>
      <c r="AC47" s="263"/>
      <c r="AD47" s="276" t="e">
        <f>IF('Pay App 13'!$H$149=0,NA(),IFERROR('Pay App 13'!F100/'Summary Sheet'!$D$19,""))</f>
        <v>#N/A</v>
      </c>
      <c r="AE47" s="263"/>
      <c r="AF47" s="277" t="e">
        <f>IF('Pay App 14'!$H$149=0,NA(),IFERROR('Pay App 14'!F100/'Summary Sheet'!$D$19,""))</f>
        <v>#N/A</v>
      </c>
      <c r="AG47" s="263"/>
      <c r="AH47" s="276" t="e">
        <f>IF('Pay App 15'!$H$149=0,NA(),IFERROR('Pay App 15'!F100/'Summary Sheet'!$D$19,""))</f>
        <v>#N/A</v>
      </c>
      <c r="AI47" s="263"/>
      <c r="AJ47" s="277" t="e">
        <f>IF('Pay App 16'!$H$149=0,NA(),IFERROR('Pay App 16'!F100/'Summary Sheet'!$D$19,""))</f>
        <v>#N/A</v>
      </c>
      <c r="AK47" s="263"/>
      <c r="AL47" s="276" t="e">
        <f>IF('Pay App 17'!$H$149=0,NA(),IFERROR('Pay App 17'!F100/'Summary Sheet'!$D$19,""))</f>
        <v>#N/A</v>
      </c>
      <c r="AM47" s="263"/>
      <c r="AN47" s="277" t="e">
        <f>IF('Pay App 18'!$H$149=0,NA(),IFERROR('Pay App 18'!F100/'Summary Sheet'!$D$19,""))</f>
        <v>#N/A</v>
      </c>
      <c r="AO47" s="263"/>
      <c r="AP47" s="276" t="e">
        <f>IF('Pay App 19'!$H$149=0,NA(),IFERROR('Pay App 19'!F100/'Summary Sheet'!$D$19,""))</f>
        <v>#N/A</v>
      </c>
      <c r="AQ47" s="263"/>
      <c r="AR47" s="263" t="e">
        <f>IF('Pay App 20'!$H$149=0,NA(),IFERROR('Pay App 20'!F100/'Summary Sheet'!$D$19,""))</f>
        <v>#N/A</v>
      </c>
      <c r="AS47" s="264"/>
      <c r="AT47" s="276" t="e">
        <f>IF('Pay App 21'!$H$149=0,NA(),IFERROR('Pay App 21'!F100/'Summary Sheet'!$D$19,""))</f>
        <v>#N/A</v>
      </c>
      <c r="AU47" s="264"/>
      <c r="AV47" s="263" t="e">
        <f>IF('Pay App 22'!$H$149=0,NA(),IFERROR('Pay App 22'!F100/'Summary Sheet'!$D$19,""))</f>
        <v>#N/A</v>
      </c>
      <c r="AW47" s="264"/>
      <c r="AX47" s="276" t="e">
        <f>IF('Pay App 23'!$H$149=0,NA(),IFERROR('Pay App 23'!F100/'Summary Sheet'!$D$19,""))</f>
        <v>#N/A</v>
      </c>
      <c r="AY47" s="264"/>
      <c r="AZ47" s="263" t="e">
        <f>IF('Pay App 24'!$H$149=0,NA(),IFERROR('Pay App 24'!F100/'Summary Sheet'!$D$19,""))</f>
        <v>#N/A</v>
      </c>
      <c r="BA47" s="264"/>
      <c r="BB47" s="276" t="e">
        <f>IF('Pay App 25'!$H$149=0,NA(),IFERROR('Pay App 25'!F100/'Summary Sheet'!$D$19,""))</f>
        <v>#N/A</v>
      </c>
      <c r="BC47" s="264"/>
      <c r="BD47" s="263" t="e">
        <f>IF('Pay App 26'!$H$149=0,NA(),IFERROR('Pay App 26'!F100/'Summary Sheet'!$D$19,""))</f>
        <v>#N/A</v>
      </c>
      <c r="BE47" s="264"/>
      <c r="BF47" s="276" t="e">
        <f>IF('Pay App 27'!$H$149=0,NA(),IFERROR('Pay App 27'!F100/'Summary Sheet'!$D$19,""))</f>
        <v>#N/A</v>
      </c>
      <c r="BG47" s="264"/>
      <c r="BH47" s="263" t="e">
        <f>IF('Pay App 28'!$H$149=0,NA(),IFERROR('Pay App 28'!F100/'Summary Sheet'!$D$19,""))</f>
        <v>#N/A</v>
      </c>
      <c r="BI47" s="264"/>
      <c r="BJ47" s="276" t="e">
        <f>IF('Pay App 29'!$H$149=0,NA(),IFERROR('Pay App 29'!F100/'Summary Sheet'!$D$19,""))</f>
        <v>#N/A</v>
      </c>
      <c r="BK47" s="271"/>
      <c r="BL47" s="263" t="e">
        <f>IF('Pay App 30'!$H$149=0,NA(),IFERROR('Pay App 30'!F100/'Summary Sheet'!$D$19,""))</f>
        <v>#N/A</v>
      </c>
      <c r="BM47" s="264"/>
      <c r="BN47" s="276" t="e">
        <f>IF('Pay App 31'!$H$149=0,NA(),IFERROR('Pay App 31'!F100/'Summary Sheet'!$D$19,""))</f>
        <v>#N/A</v>
      </c>
      <c r="BO47" s="264"/>
      <c r="BP47" s="263" t="e">
        <f>IF('Pay App 32'!$H$149=0,NA(),IFERROR('Pay App 32'!F100/'Summary Sheet'!$D$19,""))</f>
        <v>#N/A</v>
      </c>
      <c r="BQ47" s="264"/>
      <c r="BR47" s="276" t="e">
        <f>IF('Pay App 33'!$H$149=0,NA(),IFERROR('Pay App 33'!F100/'Summary Sheet'!$D$19,""))</f>
        <v>#N/A</v>
      </c>
      <c r="BS47" s="264"/>
      <c r="BT47" s="263" t="e">
        <f>IF('Pay App 34'!$H$149=0,NA(),IFERROR('Pay App 34'!F100/'Summary Sheet'!$D$19,""))</f>
        <v>#N/A</v>
      </c>
      <c r="BU47" s="264"/>
      <c r="BV47" s="276" t="e">
        <f>IF('Pay App 35'!$H$149=0,NA(),IFERROR('Pay App 35'!F100/'Summary Sheet'!$D$19,""))</f>
        <v>#N/A</v>
      </c>
      <c r="BW47" s="264"/>
      <c r="BX47" s="263" t="e">
        <f>IF('Pay App 36'!$H$149=0,NA(),IFERROR('Pay App 36'!F100/'Summary Sheet'!$D$19,""))</f>
        <v>#N/A</v>
      </c>
      <c r="BY47" s="264"/>
      <c r="BZ47" s="276" t="e">
        <f>IF('Pay App 37'!$H$149=0,NA(),IFERROR('Pay App 37'!F100/'Summary Sheet'!$D$19,""))</f>
        <v>#N/A</v>
      </c>
      <c r="CA47" s="264"/>
      <c r="CB47" s="263" t="e">
        <f>IF('Pay App 38'!$H$149=0,NA(),IFERROR('Pay App 38'!F100/'Summary Sheet'!$D$19,""))</f>
        <v>#N/A</v>
      </c>
      <c r="CC47" s="264"/>
      <c r="CD47" s="276" t="e">
        <f>IF('Pay App 39'!$H$149=0,NA(),IFERROR('Pay App 39'!F100/'Summary Sheet'!$D$19,""))</f>
        <v>#N/A</v>
      </c>
      <c r="CE47" s="264"/>
      <c r="CF47" s="263" t="e">
        <f>IF('Pay App 40'!$H$149=0,NA(),IFERROR('Pay App 40'!F100/'Summary Sheet'!$D$19,""))</f>
        <v>#N/A</v>
      </c>
      <c r="CG47" s="264"/>
      <c r="CH47" s="276" t="e">
        <f>IF('Pay App 41'!$H$149=0,NA(),IFERROR('Pay App 41'!F100/'Summary Sheet'!$D$19,""))</f>
        <v>#N/A</v>
      </c>
      <c r="CI47" s="264"/>
      <c r="CJ47" s="263" t="e">
        <f>IF('Pay App 42'!$H$149=0,NA(),IFERROR('Pay App 42'!F100/'Summary Sheet'!$D$19,""))</f>
        <v>#N/A</v>
      </c>
      <c r="CK47" s="264"/>
      <c r="CL47" s="276" t="e">
        <f>IF('Pay App 43'!$H$149=0,NA(),IFERROR('Pay App 43'!F100/'Summary Sheet'!$D$19,""))</f>
        <v>#N/A</v>
      </c>
      <c r="CM47" s="264"/>
      <c r="CN47" s="263" t="e">
        <f>IF('Pay App 44'!$H$149=0,NA(),IFERROR('Pay App 44'!F100/'Summary Sheet'!$D$19,""))</f>
        <v>#N/A</v>
      </c>
      <c r="CO47" s="264"/>
      <c r="CP47" s="276" t="e">
        <f>IF('Pay App 45'!$H$149=0,NA(),IFERROR('Pay App 45'!F100/'Summary Sheet'!$D$19,""))</f>
        <v>#N/A</v>
      </c>
      <c r="CQ47" s="264"/>
      <c r="CR47" s="263" t="e">
        <f>IF('Pay App 46'!$H$149=0,NA(),IFERROR('Pay App 46'!F100/'Summary Sheet'!$D$19,""))</f>
        <v>#N/A</v>
      </c>
      <c r="CS47" s="264"/>
      <c r="CT47" s="276" t="e">
        <f>IF('Pay App 47'!$H$149=0,NA(),IFERROR('Pay App 47'!F100/'Summary Sheet'!$D$19,""))</f>
        <v>#N/A</v>
      </c>
      <c r="CU47" s="264"/>
      <c r="CV47" s="263" t="e">
        <f>IF('Pay App 48'!$H$149=0,NA(),IFERROR('Pay App 48'!F100/'Summary Sheet'!$D$19,""))</f>
        <v>#N/A</v>
      </c>
      <c r="CW47" s="264"/>
      <c r="CX47" s="276" t="e">
        <f>IF('Pay App 49'!$H$149=0,NA(),IFERROR('Pay App 49'!F100/'Summary Sheet'!$D$19,""))</f>
        <v>#N/A</v>
      </c>
      <c r="CY47" s="264"/>
      <c r="CZ47" s="263" t="e">
        <f>IF('Pay App 50'!$H$149=0,NA(),IFERROR('Pay App 50'!F100/'Summary Sheet'!$D$19,""))</f>
        <v>#N/A</v>
      </c>
      <c r="DA47" s="264"/>
      <c r="DB47" s="276" t="e">
        <f>IF('Pay App 51'!$H$149=0,NA(),IFERROR('Pay App 51'!F100/'Summary Sheet'!$D$19,""))</f>
        <v>#N/A</v>
      </c>
      <c r="DC47" s="264"/>
      <c r="DD47" s="263" t="e">
        <f>IF('Pay App 52'!$H$149=0,NA(),IFERROR('Pay App 52'!F100/'Summary Sheet'!$D$19,""))</f>
        <v>#N/A</v>
      </c>
      <c r="DE47" s="264"/>
      <c r="DF47" s="276" t="e">
        <f>IF('Pay App 53'!$H$149=0,NA(),IFERROR('Pay App 53'!F100/'Summary Sheet'!$D$19,""))</f>
        <v>#N/A</v>
      </c>
      <c r="DG47" s="264"/>
      <c r="DH47" s="263" t="e">
        <f>IF('Pay App 54'!$H$149=0,NA(),IFERROR('Pay App 54'!F100/'Summary Sheet'!$D$19,""))</f>
        <v>#N/A</v>
      </c>
      <c r="DI47" s="264"/>
      <c r="DJ47" s="276" t="e">
        <f>IF('Pay App 55'!$H$149=0,NA(),IFERROR('Pay App 55'!F100/'Summary Sheet'!$D$19,""))</f>
        <v>#N/A</v>
      </c>
      <c r="DK47" s="264"/>
      <c r="DL47" s="263" t="e">
        <f>IF('Pay App 56'!$H$149=0,NA(),IFERROR('Pay App 56'!F100/'Summary Sheet'!$D$19,""))</f>
        <v>#N/A</v>
      </c>
      <c r="DM47" s="264"/>
      <c r="DN47" s="276" t="e">
        <f>IF('Pay App 57'!$H$149=0,NA(),IFERROR('Pay App 57'!F100/'Summary Sheet'!$D$19,""))</f>
        <v>#N/A</v>
      </c>
      <c r="DO47" s="264"/>
      <c r="DP47" s="263" t="e">
        <f>IF('Pay App 58'!$H$149=0,NA(),IFERROR('Pay App 58'!F100/'Summary Sheet'!$D$19,""))</f>
        <v>#N/A</v>
      </c>
      <c r="DQ47" s="264"/>
      <c r="DR47" s="276" t="e">
        <f>IF('Pay App 59'!$H$149=0,NA(),IFERROR('Pay App 59'!F100/'Summary Sheet'!$D$19,""))</f>
        <v>#N/A</v>
      </c>
      <c r="DS47" s="264"/>
      <c r="DT47" s="263" t="e">
        <f>IF('Pay App 60'!$H$149=0,NA(),IFERROR('Pay App 60'!F100/'Summary Sheet'!$D$19,""))</f>
        <v>#N/A</v>
      </c>
      <c r="DU47" s="296"/>
    </row>
    <row r="48" spans="2:125" x14ac:dyDescent="0.25">
      <c r="B48" s="36" t="str">
        <f>'Pay App 1'!B106</f>
        <v>09 30 00</v>
      </c>
      <c r="C48" s="37" t="str">
        <f>'Pay App 1'!C106</f>
        <v>Ceramic Tile</v>
      </c>
      <c r="D48" s="282" t="str" cm="1">
        <f t="array" ref="D48">IFERROR(1+(LOOKUP(2,1/(E48:DT48&lt;&gt;""),E48:DT48)-E48)/E48,"")</f>
        <v/>
      </c>
      <c r="E48" s="275" t="str">
        <f>IFERROR('GMP Tracker'!D52/'Summary Sheet'!$D$19,"")</f>
        <v/>
      </c>
      <c r="F48" s="276" t="e">
        <f>IF('Pay App 1'!$D$149=0,NA(),IFERROR('Pay App 1'!F106/'Summary Sheet'!$D$19,""))</f>
        <v>#N/A</v>
      </c>
      <c r="G48" s="271"/>
      <c r="H48" s="277" t="e">
        <f>IF('Pay App 2'!$H$149=0,NA(),IFERROR('Pay App 2'!F106/'Summary Sheet'!$D$19,""))</f>
        <v>#N/A</v>
      </c>
      <c r="I48" s="266"/>
      <c r="J48" s="276" t="e">
        <f>IF('Pay App 3'!$H$149=0,NA(),IFERROR('Pay App 3'!F106/'Summary Sheet'!$D$19,""))</f>
        <v>#N/A</v>
      </c>
      <c r="K48" s="268"/>
      <c r="L48" s="277" t="e">
        <f>IF('Pay App 4'!$H$149=0,NA(),IFERROR('Pay App 4'!F106/'Summary Sheet'!$D$19,""))</f>
        <v>#N/A</v>
      </c>
      <c r="M48" s="266"/>
      <c r="N48" s="276" t="e">
        <f>IF('Pay App 5'!$H$149=0,NA(),IFERROR('Pay App 5'!F106/'Summary Sheet'!$D$19,""))</f>
        <v>#N/A</v>
      </c>
      <c r="O48" s="263"/>
      <c r="P48" s="277" t="e">
        <f>IF('Pay App 6'!$H$149=0,NA(),IFERROR('Pay App 6'!F106/'Summary Sheet'!$D$19,""))</f>
        <v>#N/A</v>
      </c>
      <c r="Q48" s="263"/>
      <c r="R48" s="276" t="e">
        <f>IF('Pay App 7'!$H$149=0,NA(),IFERROR('Pay App 7'!F106/'Summary Sheet'!$D$19,""))</f>
        <v>#N/A</v>
      </c>
      <c r="S48" s="263"/>
      <c r="T48" s="277" t="e">
        <f>IF('Pay App 8'!$H$149=0,NA(),IFERROR('Pay App 8'!F106/'Summary Sheet'!$D$19,""))</f>
        <v>#N/A</v>
      </c>
      <c r="U48" s="263"/>
      <c r="V48" s="276" t="e">
        <f>IF('Pay App 9'!$H$149=0,NA(),IFERROR('Pay App 9'!F106/'Summary Sheet'!$D$19,""))</f>
        <v>#N/A</v>
      </c>
      <c r="W48" s="263"/>
      <c r="X48" s="277" t="e">
        <f>IF('Pay App 10'!$H$149=0,NA(),IFERROR('Pay App 10'!F106/'Summary Sheet'!$D$19,""))</f>
        <v>#N/A</v>
      </c>
      <c r="Y48" s="263"/>
      <c r="Z48" s="276" t="e">
        <f>IF('Pay App 11'!$H$149=0,NA(),IFERROR('Pay App 11'!F106/'Summary Sheet'!$D$19,""))</f>
        <v>#N/A</v>
      </c>
      <c r="AA48" s="263"/>
      <c r="AB48" s="277" t="e">
        <f>IF('Pay App 12'!$H$149=0,NA(),IFERROR('Pay App 12'!F106/'Summary Sheet'!$D$19,""))</f>
        <v>#N/A</v>
      </c>
      <c r="AC48" s="263"/>
      <c r="AD48" s="276" t="e">
        <f>IF('Pay App 13'!$H$149=0,NA(),IFERROR('Pay App 13'!F106/'Summary Sheet'!$D$19,""))</f>
        <v>#N/A</v>
      </c>
      <c r="AE48" s="263"/>
      <c r="AF48" s="277" t="e">
        <f>IF('Pay App 14'!$H$149=0,NA(),IFERROR('Pay App 14'!F106/'Summary Sheet'!$D$19,""))</f>
        <v>#N/A</v>
      </c>
      <c r="AG48" s="263"/>
      <c r="AH48" s="276" t="e">
        <f>IF('Pay App 15'!$H$149=0,NA(),IFERROR('Pay App 15'!F106/'Summary Sheet'!$D$19,""))</f>
        <v>#N/A</v>
      </c>
      <c r="AI48" s="263"/>
      <c r="AJ48" s="277" t="e">
        <f>IF('Pay App 16'!$H$149=0,NA(),IFERROR('Pay App 16'!F106/'Summary Sheet'!$D$19,""))</f>
        <v>#N/A</v>
      </c>
      <c r="AK48" s="263"/>
      <c r="AL48" s="276" t="e">
        <f>IF('Pay App 17'!$H$149=0,NA(),IFERROR('Pay App 17'!F106/'Summary Sheet'!$D$19,""))</f>
        <v>#N/A</v>
      </c>
      <c r="AM48" s="263"/>
      <c r="AN48" s="277" t="e">
        <f>IF('Pay App 18'!$H$149=0,NA(),IFERROR('Pay App 18'!F106/'Summary Sheet'!$D$19,""))</f>
        <v>#N/A</v>
      </c>
      <c r="AO48" s="263"/>
      <c r="AP48" s="276" t="e">
        <f>IF('Pay App 19'!$H$149=0,NA(),IFERROR('Pay App 19'!F106/'Summary Sheet'!$D$19,""))</f>
        <v>#N/A</v>
      </c>
      <c r="AQ48" s="263"/>
      <c r="AR48" s="263" t="e">
        <f>IF('Pay App 20'!$H$149=0,NA(),IFERROR('Pay App 20'!F106/'Summary Sheet'!$D$19,""))</f>
        <v>#N/A</v>
      </c>
      <c r="AS48" s="263"/>
      <c r="AT48" s="276" t="e">
        <f>IF('Pay App 21'!$H$149=0,NA(),IFERROR('Pay App 21'!F106/'Summary Sheet'!$D$19,""))</f>
        <v>#N/A</v>
      </c>
      <c r="AU48" s="263"/>
      <c r="AV48" s="263" t="e">
        <f>IF('Pay App 22'!$H$149=0,NA(),IFERROR('Pay App 22'!F106/'Summary Sheet'!$D$19,""))</f>
        <v>#N/A</v>
      </c>
      <c r="AW48" s="263"/>
      <c r="AX48" s="276" t="e">
        <f>IF('Pay App 23'!$H$149=0,NA(),IFERROR('Pay App 23'!F106/'Summary Sheet'!$D$19,""))</f>
        <v>#N/A</v>
      </c>
      <c r="AY48" s="263"/>
      <c r="AZ48" s="263" t="e">
        <f>IF('Pay App 24'!$H$149=0,NA(),IFERROR('Pay App 24'!F106/'Summary Sheet'!$D$19,""))</f>
        <v>#N/A</v>
      </c>
      <c r="BA48" s="263"/>
      <c r="BB48" s="276" t="e">
        <f>IF('Pay App 25'!$H$149=0,NA(),IFERROR('Pay App 25'!F106/'Summary Sheet'!$D$19,""))</f>
        <v>#N/A</v>
      </c>
      <c r="BC48" s="263"/>
      <c r="BD48" s="263" t="e">
        <f>IF('Pay App 26'!$H$149=0,NA(),IFERROR('Pay App 26'!F106/'Summary Sheet'!$D$19,""))</f>
        <v>#N/A</v>
      </c>
      <c r="BE48" s="263"/>
      <c r="BF48" s="276" t="e">
        <f>IF('Pay App 27'!$H$149=0,NA(),IFERROR('Pay App 27'!F106/'Summary Sheet'!$D$19,""))</f>
        <v>#N/A</v>
      </c>
      <c r="BG48" s="263"/>
      <c r="BH48" s="263" t="e">
        <f>IF('Pay App 28'!$H$149=0,NA(),IFERROR('Pay App 28'!F106/'Summary Sheet'!$D$19,""))</f>
        <v>#N/A</v>
      </c>
      <c r="BI48" s="263"/>
      <c r="BJ48" s="276" t="e">
        <f>IF('Pay App 29'!$H$149=0,NA(),IFERROR('Pay App 29'!F106/'Summary Sheet'!$D$19,""))</f>
        <v>#N/A</v>
      </c>
      <c r="BK48" s="271"/>
      <c r="BL48" s="263" t="e">
        <f>IF('Pay App 30'!$H$149=0,NA(),IFERROR('Pay App 30'!F106/'Summary Sheet'!$D$19,""))</f>
        <v>#N/A</v>
      </c>
      <c r="BM48" s="263"/>
      <c r="BN48" s="276" t="e">
        <f>IF('Pay App 31'!$H$149=0,NA(),IFERROR('Pay App 31'!F106/'Summary Sheet'!$D$19,""))</f>
        <v>#N/A</v>
      </c>
      <c r="BO48" s="263"/>
      <c r="BP48" s="263" t="e">
        <f>IF('Pay App 32'!$H$149=0,NA(),IFERROR('Pay App 32'!F106/'Summary Sheet'!$D$19,""))</f>
        <v>#N/A</v>
      </c>
      <c r="BQ48" s="263"/>
      <c r="BR48" s="276" t="e">
        <f>IF('Pay App 33'!$H$149=0,NA(),IFERROR('Pay App 33'!F106/'Summary Sheet'!$D$19,""))</f>
        <v>#N/A</v>
      </c>
      <c r="BS48" s="263"/>
      <c r="BT48" s="263" t="e">
        <f>IF('Pay App 34'!$H$149=0,NA(),IFERROR('Pay App 34'!F106/'Summary Sheet'!$D$19,""))</f>
        <v>#N/A</v>
      </c>
      <c r="BU48" s="263"/>
      <c r="BV48" s="276" t="e">
        <f>IF('Pay App 35'!$H$149=0,NA(),IFERROR('Pay App 35'!F106/'Summary Sheet'!$D$19,""))</f>
        <v>#N/A</v>
      </c>
      <c r="BW48" s="263"/>
      <c r="BX48" s="263" t="e">
        <f>IF('Pay App 36'!$H$149=0,NA(),IFERROR('Pay App 36'!F106/'Summary Sheet'!$D$19,""))</f>
        <v>#N/A</v>
      </c>
      <c r="BY48" s="263"/>
      <c r="BZ48" s="276" t="e">
        <f>IF('Pay App 37'!$H$149=0,NA(),IFERROR('Pay App 37'!F106/'Summary Sheet'!$D$19,""))</f>
        <v>#N/A</v>
      </c>
      <c r="CA48" s="263"/>
      <c r="CB48" s="263" t="e">
        <f>IF('Pay App 38'!$H$149=0,NA(),IFERROR('Pay App 38'!F106/'Summary Sheet'!$D$19,""))</f>
        <v>#N/A</v>
      </c>
      <c r="CC48" s="263"/>
      <c r="CD48" s="276" t="e">
        <f>IF('Pay App 39'!$H$149=0,NA(),IFERROR('Pay App 39'!F106/'Summary Sheet'!$D$19,""))</f>
        <v>#N/A</v>
      </c>
      <c r="CE48" s="263"/>
      <c r="CF48" s="263" t="e">
        <f>IF('Pay App 40'!$H$149=0,NA(),IFERROR('Pay App 40'!F106/'Summary Sheet'!$D$19,""))</f>
        <v>#N/A</v>
      </c>
      <c r="CG48" s="263"/>
      <c r="CH48" s="276" t="e">
        <f>IF('Pay App 41'!$H$149=0,NA(),IFERROR('Pay App 41'!F106/'Summary Sheet'!$D$19,""))</f>
        <v>#N/A</v>
      </c>
      <c r="CI48" s="263"/>
      <c r="CJ48" s="263" t="e">
        <f>IF('Pay App 42'!$H$149=0,NA(),IFERROR('Pay App 42'!F106/'Summary Sheet'!$D$19,""))</f>
        <v>#N/A</v>
      </c>
      <c r="CK48" s="263"/>
      <c r="CL48" s="276" t="e">
        <f>IF('Pay App 43'!$H$149=0,NA(),IFERROR('Pay App 43'!F106/'Summary Sheet'!$D$19,""))</f>
        <v>#N/A</v>
      </c>
      <c r="CM48" s="263"/>
      <c r="CN48" s="263" t="e">
        <f>IF('Pay App 44'!$H$149=0,NA(),IFERROR('Pay App 44'!F106/'Summary Sheet'!$D$19,""))</f>
        <v>#N/A</v>
      </c>
      <c r="CO48" s="263"/>
      <c r="CP48" s="276" t="e">
        <f>IF('Pay App 45'!$H$149=0,NA(),IFERROR('Pay App 45'!F106/'Summary Sheet'!$D$19,""))</f>
        <v>#N/A</v>
      </c>
      <c r="CQ48" s="263"/>
      <c r="CR48" s="263" t="e">
        <f>IF('Pay App 46'!$H$149=0,NA(),IFERROR('Pay App 46'!F106/'Summary Sheet'!$D$19,""))</f>
        <v>#N/A</v>
      </c>
      <c r="CS48" s="263"/>
      <c r="CT48" s="276" t="e">
        <f>IF('Pay App 47'!$H$149=0,NA(),IFERROR('Pay App 47'!F106/'Summary Sheet'!$D$19,""))</f>
        <v>#N/A</v>
      </c>
      <c r="CU48" s="263"/>
      <c r="CV48" s="263" t="e">
        <f>IF('Pay App 48'!$H$149=0,NA(),IFERROR('Pay App 48'!F106/'Summary Sheet'!$D$19,""))</f>
        <v>#N/A</v>
      </c>
      <c r="CW48" s="263"/>
      <c r="CX48" s="276" t="e">
        <f>IF('Pay App 49'!$H$149=0,NA(),IFERROR('Pay App 49'!F106/'Summary Sheet'!$D$19,""))</f>
        <v>#N/A</v>
      </c>
      <c r="CY48" s="263"/>
      <c r="CZ48" s="263" t="e">
        <f>IF('Pay App 50'!$H$149=0,NA(),IFERROR('Pay App 50'!F106/'Summary Sheet'!$D$19,""))</f>
        <v>#N/A</v>
      </c>
      <c r="DA48" s="263"/>
      <c r="DB48" s="276" t="e">
        <f>IF('Pay App 51'!$H$149=0,NA(),IFERROR('Pay App 51'!F106/'Summary Sheet'!$D$19,""))</f>
        <v>#N/A</v>
      </c>
      <c r="DC48" s="263"/>
      <c r="DD48" s="263" t="e">
        <f>IF('Pay App 52'!$H$149=0,NA(),IFERROR('Pay App 52'!F106/'Summary Sheet'!$D$19,""))</f>
        <v>#N/A</v>
      </c>
      <c r="DE48" s="263"/>
      <c r="DF48" s="276" t="e">
        <f>IF('Pay App 53'!$H$149=0,NA(),IFERROR('Pay App 53'!F106/'Summary Sheet'!$D$19,""))</f>
        <v>#N/A</v>
      </c>
      <c r="DG48" s="263"/>
      <c r="DH48" s="263" t="e">
        <f>IF('Pay App 54'!$H$149=0,NA(),IFERROR('Pay App 54'!F106/'Summary Sheet'!$D$19,""))</f>
        <v>#N/A</v>
      </c>
      <c r="DI48" s="263"/>
      <c r="DJ48" s="276" t="e">
        <f>IF('Pay App 55'!$H$149=0,NA(),IFERROR('Pay App 55'!F106/'Summary Sheet'!$D$19,""))</f>
        <v>#N/A</v>
      </c>
      <c r="DK48" s="263"/>
      <c r="DL48" s="263" t="e">
        <f>IF('Pay App 56'!$H$149=0,NA(),IFERROR('Pay App 56'!F106/'Summary Sheet'!$D$19,""))</f>
        <v>#N/A</v>
      </c>
      <c r="DM48" s="263"/>
      <c r="DN48" s="276" t="e">
        <f>IF('Pay App 57'!$H$149=0,NA(),IFERROR('Pay App 57'!F106/'Summary Sheet'!$D$19,""))</f>
        <v>#N/A</v>
      </c>
      <c r="DO48" s="263"/>
      <c r="DP48" s="263" t="e">
        <f>IF('Pay App 58'!$H$149=0,NA(),IFERROR('Pay App 58'!F106/'Summary Sheet'!$D$19,""))</f>
        <v>#N/A</v>
      </c>
      <c r="DQ48" s="263"/>
      <c r="DR48" s="276" t="e">
        <f>IF('Pay App 59'!$H$149=0,NA(),IFERROR('Pay App 59'!F106/'Summary Sheet'!$D$19,""))</f>
        <v>#N/A</v>
      </c>
      <c r="DS48" s="263"/>
      <c r="DT48" s="263" t="e">
        <f>IF('Pay App 60'!$H$149=0,NA(),IFERROR('Pay App 60'!F1016/'Summary Sheet'!$D$19,""))</f>
        <v>#N/A</v>
      </c>
      <c r="DU48" s="296"/>
    </row>
    <row r="49" spans="2:125" x14ac:dyDescent="0.25">
      <c r="B49" s="36" t="str">
        <f>'Pay App 1'!B107</f>
        <v>09 51 00</v>
      </c>
      <c r="C49" s="37" t="str">
        <f>'Pay App 1'!C107</f>
        <v>Acoustical Ceilings</v>
      </c>
      <c r="D49" s="282" t="str" cm="1">
        <f t="array" ref="D49">IFERROR(1+(LOOKUP(2,1/(E49:DT49&lt;&gt;""),E49:DT49)-E49)/E49,"")</f>
        <v/>
      </c>
      <c r="E49" s="275" t="str">
        <f>IFERROR('GMP Tracker'!D53/'Summary Sheet'!$D$19,"")</f>
        <v/>
      </c>
      <c r="F49" s="276" t="e">
        <f>IF('Pay App 1'!$D$149=0,NA(),IFERROR('Pay App 1'!F107/'Summary Sheet'!$D$19,""))</f>
        <v>#N/A</v>
      </c>
      <c r="G49" s="271"/>
      <c r="H49" s="277" t="e">
        <f>IF('Pay App 2'!$H$149=0,NA(),IFERROR('Pay App 2'!F107/'Summary Sheet'!$D$19,""))</f>
        <v>#N/A</v>
      </c>
      <c r="I49" s="266"/>
      <c r="J49" s="276" t="e">
        <f>IF('Pay App 3'!$H$149=0,NA(),IFERROR('Pay App 3'!F107/'Summary Sheet'!$D$19,""))</f>
        <v>#N/A</v>
      </c>
      <c r="K49" s="268"/>
      <c r="L49" s="277" t="e">
        <f>IF('Pay App 4'!$H$149=0,NA(),IFERROR('Pay App 4'!F107/'Summary Sheet'!$D$19,""))</f>
        <v>#N/A</v>
      </c>
      <c r="M49" s="266"/>
      <c r="N49" s="276" t="e">
        <f>IF('Pay App 5'!$H$149=0,NA(),IFERROR('Pay App 5'!F107/'Summary Sheet'!$D$19,""))</f>
        <v>#N/A</v>
      </c>
      <c r="O49" s="263"/>
      <c r="P49" s="277" t="e">
        <f>IF('Pay App 6'!$H$149=0,NA(),IFERROR('Pay App 6'!F107/'Summary Sheet'!$D$19,""))</f>
        <v>#N/A</v>
      </c>
      <c r="Q49" s="263"/>
      <c r="R49" s="276" t="e">
        <f>IF('Pay App 7'!$H$149=0,NA(),IFERROR('Pay App 7'!F107/'Summary Sheet'!$D$19,""))</f>
        <v>#N/A</v>
      </c>
      <c r="S49" s="263"/>
      <c r="T49" s="277" t="e">
        <f>IF('Pay App 8'!$H$149=0,NA(),IFERROR('Pay App 8'!F107/'Summary Sheet'!$D$19,""))</f>
        <v>#N/A</v>
      </c>
      <c r="U49" s="263"/>
      <c r="V49" s="276" t="e">
        <f>IF('Pay App 9'!$H$149=0,NA(),IFERROR('Pay App 9'!F107/'Summary Sheet'!$D$19,""))</f>
        <v>#N/A</v>
      </c>
      <c r="W49" s="263"/>
      <c r="X49" s="277" t="e">
        <f>IF('Pay App 10'!$H$149=0,NA(),IFERROR('Pay App 10'!F107/'Summary Sheet'!$D$19,""))</f>
        <v>#N/A</v>
      </c>
      <c r="Y49" s="263"/>
      <c r="Z49" s="276" t="e">
        <f>IF('Pay App 11'!$H$149=0,NA(),IFERROR('Pay App 11'!F107/'Summary Sheet'!$D$19,""))</f>
        <v>#N/A</v>
      </c>
      <c r="AA49" s="263"/>
      <c r="AB49" s="277" t="e">
        <f>IF('Pay App 12'!$H$149=0,NA(),IFERROR('Pay App 12'!F107/'Summary Sheet'!$D$19,""))</f>
        <v>#N/A</v>
      </c>
      <c r="AC49" s="263"/>
      <c r="AD49" s="276" t="e">
        <f>IF('Pay App 13'!$H$149=0,NA(),IFERROR('Pay App 13'!F107/'Summary Sheet'!$D$19,""))</f>
        <v>#N/A</v>
      </c>
      <c r="AE49" s="263"/>
      <c r="AF49" s="277" t="e">
        <f>IF('Pay App 14'!$H$149=0,NA(),IFERROR('Pay App 14'!F107/'Summary Sheet'!$D$19,""))</f>
        <v>#N/A</v>
      </c>
      <c r="AG49" s="263"/>
      <c r="AH49" s="276" t="e">
        <f>IF('Pay App 15'!$H$149=0,NA(),IFERROR('Pay App 15'!F107/'Summary Sheet'!$D$19,""))</f>
        <v>#N/A</v>
      </c>
      <c r="AI49" s="263"/>
      <c r="AJ49" s="277" t="e">
        <f>IF('Pay App 16'!$H$149=0,NA(),IFERROR('Pay App 16'!F107/'Summary Sheet'!$D$19,""))</f>
        <v>#N/A</v>
      </c>
      <c r="AK49" s="263"/>
      <c r="AL49" s="276" t="e">
        <f>IF('Pay App 17'!$H$149=0,NA(),IFERROR('Pay App 17'!F107/'Summary Sheet'!$D$19,""))</f>
        <v>#N/A</v>
      </c>
      <c r="AM49" s="263"/>
      <c r="AN49" s="277" t="e">
        <f>IF('Pay App 18'!$H$149=0,NA(),IFERROR('Pay App 18'!F107/'Summary Sheet'!$D$19,""))</f>
        <v>#N/A</v>
      </c>
      <c r="AO49" s="263"/>
      <c r="AP49" s="276" t="e">
        <f>IF('Pay App 19'!$H$149=0,NA(),IFERROR('Pay App 19'!F107/'Summary Sheet'!$D$19,""))</f>
        <v>#N/A</v>
      </c>
      <c r="AQ49" s="263"/>
      <c r="AR49" s="263" t="e">
        <f>IF('Pay App 20'!$H$149=0,NA(),IFERROR('Pay App 20'!F107/'Summary Sheet'!$D$19,""))</f>
        <v>#N/A</v>
      </c>
      <c r="AS49" s="264"/>
      <c r="AT49" s="276" t="e">
        <f>IF('Pay App 21'!$H$149=0,NA(),IFERROR('Pay App 21'!F107/'Summary Sheet'!$D$19,""))</f>
        <v>#N/A</v>
      </c>
      <c r="AU49" s="264"/>
      <c r="AV49" s="263" t="e">
        <f>IF('Pay App 22'!$H$149=0,NA(),IFERROR('Pay App 22'!F107/'Summary Sheet'!$D$19,""))</f>
        <v>#N/A</v>
      </c>
      <c r="AW49" s="264"/>
      <c r="AX49" s="276" t="e">
        <f>IF('Pay App 23'!$H$149=0,NA(),IFERROR('Pay App 23'!F107/'Summary Sheet'!$D$19,""))</f>
        <v>#N/A</v>
      </c>
      <c r="AY49" s="264"/>
      <c r="AZ49" s="263" t="e">
        <f>IF('Pay App 24'!$H$149=0,NA(),IFERROR('Pay App 24'!F107/'Summary Sheet'!$D$19,""))</f>
        <v>#N/A</v>
      </c>
      <c r="BA49" s="264"/>
      <c r="BB49" s="276" t="e">
        <f>IF('Pay App 25'!$H$149=0,NA(),IFERROR('Pay App 25'!F107/'Summary Sheet'!$D$19,""))</f>
        <v>#N/A</v>
      </c>
      <c r="BC49" s="264"/>
      <c r="BD49" s="263" t="e">
        <f>IF('Pay App 26'!$H$149=0,NA(),IFERROR('Pay App 26'!F107/'Summary Sheet'!$D$19,""))</f>
        <v>#N/A</v>
      </c>
      <c r="BE49" s="264"/>
      <c r="BF49" s="276" t="e">
        <f>IF('Pay App 27'!$H$149=0,NA(),IFERROR('Pay App 27'!F107/'Summary Sheet'!$D$19,""))</f>
        <v>#N/A</v>
      </c>
      <c r="BG49" s="264"/>
      <c r="BH49" s="263" t="e">
        <f>IF('Pay App 28'!$H$149=0,NA(),IFERROR('Pay App 28'!F107/'Summary Sheet'!$D$19,""))</f>
        <v>#N/A</v>
      </c>
      <c r="BI49" s="264"/>
      <c r="BJ49" s="276" t="e">
        <f>IF('Pay App 29'!$H$149=0,NA(),IFERROR('Pay App 29'!F107/'Summary Sheet'!$D$19,""))</f>
        <v>#N/A</v>
      </c>
      <c r="BK49" s="271"/>
      <c r="BL49" s="263" t="e">
        <f>IF('Pay App 30'!$H$149=0,NA(),IFERROR('Pay App 30'!F107/'Summary Sheet'!$D$19,""))</f>
        <v>#N/A</v>
      </c>
      <c r="BM49" s="264"/>
      <c r="BN49" s="276" t="e">
        <f>IF('Pay App 31'!$H$149=0,NA(),IFERROR('Pay App 31'!F107/'Summary Sheet'!$D$19,""))</f>
        <v>#N/A</v>
      </c>
      <c r="BO49" s="264"/>
      <c r="BP49" s="263" t="e">
        <f>IF('Pay App 32'!$H$149=0,NA(),IFERROR('Pay App 32'!F107/'Summary Sheet'!$D$19,""))</f>
        <v>#N/A</v>
      </c>
      <c r="BQ49" s="264"/>
      <c r="BR49" s="276" t="e">
        <f>IF('Pay App 33'!$H$149=0,NA(),IFERROR('Pay App 33'!F107/'Summary Sheet'!$D$19,""))</f>
        <v>#N/A</v>
      </c>
      <c r="BS49" s="264"/>
      <c r="BT49" s="263" t="e">
        <f>IF('Pay App 34'!$H$149=0,NA(),IFERROR('Pay App 34'!F107/'Summary Sheet'!$D$19,""))</f>
        <v>#N/A</v>
      </c>
      <c r="BU49" s="264"/>
      <c r="BV49" s="276" t="e">
        <f>IF('Pay App 35'!$H$149=0,NA(),IFERROR('Pay App 35'!F107/'Summary Sheet'!$D$19,""))</f>
        <v>#N/A</v>
      </c>
      <c r="BW49" s="264"/>
      <c r="BX49" s="263" t="e">
        <f>IF('Pay App 36'!$H$149=0,NA(),IFERROR('Pay App 36'!F107/'Summary Sheet'!$D$19,""))</f>
        <v>#N/A</v>
      </c>
      <c r="BY49" s="264"/>
      <c r="BZ49" s="276" t="e">
        <f>IF('Pay App 37'!$H$149=0,NA(),IFERROR('Pay App 37'!F107/'Summary Sheet'!$D$19,""))</f>
        <v>#N/A</v>
      </c>
      <c r="CA49" s="264"/>
      <c r="CB49" s="263" t="e">
        <f>IF('Pay App 38'!$H$149=0,NA(),IFERROR('Pay App 38'!F107/'Summary Sheet'!$D$19,""))</f>
        <v>#N/A</v>
      </c>
      <c r="CC49" s="264"/>
      <c r="CD49" s="276" t="e">
        <f>IF('Pay App 39'!$H$149=0,NA(),IFERROR('Pay App 39'!F107/'Summary Sheet'!$D$19,""))</f>
        <v>#N/A</v>
      </c>
      <c r="CE49" s="264"/>
      <c r="CF49" s="263" t="e">
        <f>IF('Pay App 40'!$H$149=0,NA(),IFERROR('Pay App 40'!F107/'Summary Sheet'!$D$19,""))</f>
        <v>#N/A</v>
      </c>
      <c r="CG49" s="264"/>
      <c r="CH49" s="276" t="e">
        <f>IF('Pay App 41'!$H$149=0,NA(),IFERROR('Pay App 41'!F107/'Summary Sheet'!$D$19,""))</f>
        <v>#N/A</v>
      </c>
      <c r="CI49" s="264"/>
      <c r="CJ49" s="263" t="e">
        <f>IF('Pay App 42'!$H$149=0,NA(),IFERROR('Pay App 42'!F107/'Summary Sheet'!$D$19,""))</f>
        <v>#N/A</v>
      </c>
      <c r="CK49" s="264"/>
      <c r="CL49" s="276" t="e">
        <f>IF('Pay App 43'!$H$149=0,NA(),IFERROR('Pay App 43'!F107/'Summary Sheet'!$D$19,""))</f>
        <v>#N/A</v>
      </c>
      <c r="CM49" s="264"/>
      <c r="CN49" s="263" t="e">
        <f>IF('Pay App 44'!$H$149=0,NA(),IFERROR('Pay App 44'!F107/'Summary Sheet'!$D$19,""))</f>
        <v>#N/A</v>
      </c>
      <c r="CO49" s="264"/>
      <c r="CP49" s="276" t="e">
        <f>IF('Pay App 45'!$H$149=0,NA(),IFERROR('Pay App 45'!F107/'Summary Sheet'!$D$19,""))</f>
        <v>#N/A</v>
      </c>
      <c r="CQ49" s="264"/>
      <c r="CR49" s="263" t="e">
        <f>IF('Pay App 46'!$H$149=0,NA(),IFERROR('Pay App 46'!F107/'Summary Sheet'!$D$19,""))</f>
        <v>#N/A</v>
      </c>
      <c r="CS49" s="264"/>
      <c r="CT49" s="276" t="e">
        <f>IF('Pay App 47'!$H$149=0,NA(),IFERROR('Pay App 47'!F107/'Summary Sheet'!$D$19,""))</f>
        <v>#N/A</v>
      </c>
      <c r="CU49" s="264"/>
      <c r="CV49" s="263" t="e">
        <f>IF('Pay App 48'!$H$149=0,NA(),IFERROR('Pay App 48'!F107/'Summary Sheet'!$D$19,""))</f>
        <v>#N/A</v>
      </c>
      <c r="CW49" s="264"/>
      <c r="CX49" s="276" t="e">
        <f>IF('Pay App 49'!$H$149=0,NA(),IFERROR('Pay App 49'!F107/'Summary Sheet'!$D$19,""))</f>
        <v>#N/A</v>
      </c>
      <c r="CY49" s="264"/>
      <c r="CZ49" s="263" t="e">
        <f>IF('Pay App 50'!$H$149=0,NA(),IFERROR('Pay App 50'!F107/'Summary Sheet'!$D$19,""))</f>
        <v>#N/A</v>
      </c>
      <c r="DA49" s="264"/>
      <c r="DB49" s="276" t="e">
        <f>IF('Pay App 51'!$H$149=0,NA(),IFERROR('Pay App 51'!F107/'Summary Sheet'!$D$19,""))</f>
        <v>#N/A</v>
      </c>
      <c r="DC49" s="264"/>
      <c r="DD49" s="263" t="e">
        <f>IF('Pay App 52'!$H$149=0,NA(),IFERROR('Pay App 52'!F107/'Summary Sheet'!$D$19,""))</f>
        <v>#N/A</v>
      </c>
      <c r="DE49" s="264"/>
      <c r="DF49" s="276" t="e">
        <f>IF('Pay App 53'!$H$149=0,NA(),IFERROR('Pay App 53'!F107/'Summary Sheet'!$D$19,""))</f>
        <v>#N/A</v>
      </c>
      <c r="DG49" s="264"/>
      <c r="DH49" s="263" t="e">
        <f>IF('Pay App 54'!$H$149=0,NA(),IFERROR('Pay App 54'!F107/'Summary Sheet'!$D$19,""))</f>
        <v>#N/A</v>
      </c>
      <c r="DI49" s="264"/>
      <c r="DJ49" s="276" t="e">
        <f>IF('Pay App 55'!$H$149=0,NA(),IFERROR('Pay App 55'!F107/'Summary Sheet'!$D$19,""))</f>
        <v>#N/A</v>
      </c>
      <c r="DK49" s="264"/>
      <c r="DL49" s="263" t="e">
        <f>IF('Pay App 56'!$H$149=0,NA(),IFERROR('Pay App 56'!F107/'Summary Sheet'!$D$19,""))</f>
        <v>#N/A</v>
      </c>
      <c r="DM49" s="264"/>
      <c r="DN49" s="276" t="e">
        <f>IF('Pay App 57'!$H$149=0,NA(),IFERROR('Pay App 57'!F107/'Summary Sheet'!$D$19,""))</f>
        <v>#N/A</v>
      </c>
      <c r="DO49" s="264"/>
      <c r="DP49" s="263" t="e">
        <f>IF('Pay App 58'!$H$149=0,NA(),IFERROR('Pay App 58'!F107/'Summary Sheet'!$D$19,""))</f>
        <v>#N/A</v>
      </c>
      <c r="DQ49" s="264"/>
      <c r="DR49" s="276" t="e">
        <f>IF('Pay App 59'!$H$149=0,NA(),IFERROR('Pay App 59'!F107/'Summary Sheet'!$D$19,""))</f>
        <v>#N/A</v>
      </c>
      <c r="DS49" s="264"/>
      <c r="DT49" s="263" t="e">
        <f>IF('Pay App 60'!$H$149=0,NA(),IFERROR('Pay App 60'!F1017/'Summary Sheet'!$D$19,""))</f>
        <v>#N/A</v>
      </c>
      <c r="DU49" s="296"/>
    </row>
    <row r="50" spans="2:125" x14ac:dyDescent="0.25">
      <c r="B50" s="36" t="str">
        <f>'Pay App 1'!B108</f>
        <v>09 54 00</v>
      </c>
      <c r="C50" s="37" t="str">
        <f>'Pay App 1'!C108</f>
        <v>Specialty Ceilings</v>
      </c>
      <c r="D50" s="282" t="str" cm="1">
        <f t="array" ref="D50">IFERROR(1+(LOOKUP(2,1/(E50:DT50&lt;&gt;""),E50:DT50)-E50)/E50,"")</f>
        <v/>
      </c>
      <c r="E50" s="275" t="str">
        <f>IFERROR('GMP Tracker'!D54/'Summary Sheet'!$D$19,"")</f>
        <v/>
      </c>
      <c r="F50" s="276" t="e">
        <f>IF('Pay App 1'!$D$149=0,NA(),IFERROR('Pay App 1'!F108/'Summary Sheet'!$D$19,""))</f>
        <v>#N/A</v>
      </c>
      <c r="G50" s="271"/>
      <c r="H50" s="277" t="e">
        <f>IF('Pay App 2'!$H$149=0,NA(),IFERROR('Pay App 2'!F108/'Summary Sheet'!$D$19,""))</f>
        <v>#N/A</v>
      </c>
      <c r="I50" s="266"/>
      <c r="J50" s="276" t="e">
        <f>IF('Pay App 3'!$H$149=0,NA(),IFERROR('Pay App 3'!F108/'Summary Sheet'!$D$19,""))</f>
        <v>#N/A</v>
      </c>
      <c r="K50" s="268"/>
      <c r="L50" s="277" t="e">
        <f>IF('Pay App 4'!$H$149=0,NA(),IFERROR('Pay App 4'!F108/'Summary Sheet'!$D$19,""))</f>
        <v>#N/A</v>
      </c>
      <c r="M50" s="266"/>
      <c r="N50" s="276" t="e">
        <f>IF('Pay App 5'!$H$149=0,NA(),IFERROR('Pay App 5'!F108/'Summary Sheet'!$D$19,""))</f>
        <v>#N/A</v>
      </c>
      <c r="O50" s="263"/>
      <c r="P50" s="277" t="e">
        <f>IF('Pay App 6'!$H$149=0,NA(),IFERROR('Pay App 6'!F108/'Summary Sheet'!$D$19,""))</f>
        <v>#N/A</v>
      </c>
      <c r="Q50" s="263"/>
      <c r="R50" s="276" t="e">
        <f>IF('Pay App 7'!$H$149=0,NA(),IFERROR('Pay App 7'!F108/'Summary Sheet'!$D$19,""))</f>
        <v>#N/A</v>
      </c>
      <c r="S50" s="263"/>
      <c r="T50" s="277" t="e">
        <f>IF('Pay App 8'!$H$149=0,NA(),IFERROR('Pay App 8'!F108/'Summary Sheet'!$D$19,""))</f>
        <v>#N/A</v>
      </c>
      <c r="U50" s="263"/>
      <c r="V50" s="276" t="e">
        <f>IF('Pay App 9'!$H$149=0,NA(),IFERROR('Pay App 9'!F108/'Summary Sheet'!$D$19,""))</f>
        <v>#N/A</v>
      </c>
      <c r="W50" s="263"/>
      <c r="X50" s="277" t="e">
        <f>IF('Pay App 10'!$H$149=0,NA(),IFERROR('Pay App 10'!F108/'Summary Sheet'!$D$19,""))</f>
        <v>#N/A</v>
      </c>
      <c r="Y50" s="263"/>
      <c r="Z50" s="276" t="e">
        <f>IF('Pay App 11'!$H$149=0,NA(),IFERROR('Pay App 11'!F108/'Summary Sheet'!$D$19,""))</f>
        <v>#N/A</v>
      </c>
      <c r="AA50" s="263"/>
      <c r="AB50" s="277" t="e">
        <f>IF('Pay App 12'!$H$149=0,NA(),IFERROR('Pay App 12'!F108/'Summary Sheet'!$D$19,""))</f>
        <v>#N/A</v>
      </c>
      <c r="AC50" s="263"/>
      <c r="AD50" s="276" t="e">
        <f>IF('Pay App 13'!$H$149=0,NA(),IFERROR('Pay App 13'!F108/'Summary Sheet'!$D$19,""))</f>
        <v>#N/A</v>
      </c>
      <c r="AE50" s="263"/>
      <c r="AF50" s="277" t="e">
        <f>IF('Pay App 14'!$H$149=0,NA(),IFERROR('Pay App 14'!F108/'Summary Sheet'!$D$19,""))</f>
        <v>#N/A</v>
      </c>
      <c r="AG50" s="263"/>
      <c r="AH50" s="276" t="e">
        <f>IF('Pay App 15'!$H$149=0,NA(),IFERROR('Pay App 15'!F108/'Summary Sheet'!$D$19,""))</f>
        <v>#N/A</v>
      </c>
      <c r="AI50" s="263"/>
      <c r="AJ50" s="277" t="e">
        <f>IF('Pay App 16'!$H$149=0,NA(),IFERROR('Pay App 16'!F108/'Summary Sheet'!$D$19,""))</f>
        <v>#N/A</v>
      </c>
      <c r="AK50" s="263"/>
      <c r="AL50" s="276" t="e">
        <f>IF('Pay App 17'!$H$149=0,NA(),IFERROR('Pay App 17'!F108/'Summary Sheet'!$D$19,""))</f>
        <v>#N/A</v>
      </c>
      <c r="AM50" s="263"/>
      <c r="AN50" s="277" t="e">
        <f>IF('Pay App 18'!$H$149=0,NA(),IFERROR('Pay App 18'!F108/'Summary Sheet'!$D$19,""))</f>
        <v>#N/A</v>
      </c>
      <c r="AO50" s="263"/>
      <c r="AP50" s="276" t="e">
        <f>IF('Pay App 19'!$H$149=0,NA(),IFERROR('Pay App 19'!F108/'Summary Sheet'!$D$19,""))</f>
        <v>#N/A</v>
      </c>
      <c r="AQ50" s="263"/>
      <c r="AR50" s="263" t="e">
        <f>IF('Pay App 20'!$H$149=0,NA(),IFERROR('Pay App 20'!F108/'Summary Sheet'!$D$19,""))</f>
        <v>#N/A</v>
      </c>
      <c r="AS50" s="264"/>
      <c r="AT50" s="276" t="e">
        <f>IF('Pay App 21'!$H$149=0,NA(),IFERROR('Pay App 21'!F108/'Summary Sheet'!$D$19,""))</f>
        <v>#N/A</v>
      </c>
      <c r="AU50" s="264"/>
      <c r="AV50" s="263" t="e">
        <f>IF('Pay App 22'!$H$149=0,NA(),IFERROR('Pay App 22'!F108/'Summary Sheet'!$D$19,""))</f>
        <v>#N/A</v>
      </c>
      <c r="AW50" s="264"/>
      <c r="AX50" s="276" t="e">
        <f>IF('Pay App 23'!$H$149=0,NA(),IFERROR('Pay App 23'!F108/'Summary Sheet'!$D$19,""))</f>
        <v>#N/A</v>
      </c>
      <c r="AY50" s="264"/>
      <c r="AZ50" s="263" t="e">
        <f>IF('Pay App 24'!$H$149=0,NA(),IFERROR('Pay App 24'!F108/'Summary Sheet'!$D$19,""))</f>
        <v>#N/A</v>
      </c>
      <c r="BA50" s="264"/>
      <c r="BB50" s="276" t="e">
        <f>IF('Pay App 25'!$H$149=0,NA(),IFERROR('Pay App 25'!F108/'Summary Sheet'!$D$19,""))</f>
        <v>#N/A</v>
      </c>
      <c r="BC50" s="264"/>
      <c r="BD50" s="263" t="e">
        <f>IF('Pay App 26'!$H$149=0,NA(),IFERROR('Pay App 26'!F108/'Summary Sheet'!$D$19,""))</f>
        <v>#N/A</v>
      </c>
      <c r="BE50" s="264"/>
      <c r="BF50" s="276" t="e">
        <f>IF('Pay App 27'!$H$149=0,NA(),IFERROR('Pay App 27'!F108/'Summary Sheet'!$D$19,""))</f>
        <v>#N/A</v>
      </c>
      <c r="BG50" s="264"/>
      <c r="BH50" s="263" t="e">
        <f>IF('Pay App 28'!$H$149=0,NA(),IFERROR('Pay App 28'!F108/'Summary Sheet'!$D$19,""))</f>
        <v>#N/A</v>
      </c>
      <c r="BI50" s="264"/>
      <c r="BJ50" s="276" t="e">
        <f>IF('Pay App 29'!$H$149=0,NA(),IFERROR('Pay App 29'!F108/'Summary Sheet'!$D$19,""))</f>
        <v>#N/A</v>
      </c>
      <c r="BK50" s="271"/>
      <c r="BL50" s="263" t="e">
        <f>IF('Pay App 30'!$H$149=0,NA(),IFERROR('Pay App 30'!F108/'Summary Sheet'!$D$19,""))</f>
        <v>#N/A</v>
      </c>
      <c r="BM50" s="264"/>
      <c r="BN50" s="276" t="e">
        <f>IF('Pay App 31'!$H$149=0,NA(),IFERROR('Pay App 31'!F108/'Summary Sheet'!$D$19,""))</f>
        <v>#N/A</v>
      </c>
      <c r="BO50" s="264"/>
      <c r="BP50" s="263" t="e">
        <f>IF('Pay App 32'!$H$149=0,NA(),IFERROR('Pay App 32'!F108/'Summary Sheet'!$D$19,""))</f>
        <v>#N/A</v>
      </c>
      <c r="BQ50" s="264"/>
      <c r="BR50" s="276" t="e">
        <f>IF('Pay App 33'!$H$149=0,NA(),IFERROR('Pay App 33'!F108/'Summary Sheet'!$D$19,""))</f>
        <v>#N/A</v>
      </c>
      <c r="BS50" s="264"/>
      <c r="BT50" s="263" t="e">
        <f>IF('Pay App 34'!$H$149=0,NA(),IFERROR('Pay App 34'!F108/'Summary Sheet'!$D$19,""))</f>
        <v>#N/A</v>
      </c>
      <c r="BU50" s="264"/>
      <c r="BV50" s="276" t="e">
        <f>IF('Pay App 35'!$H$149=0,NA(),IFERROR('Pay App 35'!F108/'Summary Sheet'!$D$19,""))</f>
        <v>#N/A</v>
      </c>
      <c r="BW50" s="264"/>
      <c r="BX50" s="263" t="e">
        <f>IF('Pay App 36'!$H$149=0,NA(),IFERROR('Pay App 36'!F108/'Summary Sheet'!$D$19,""))</f>
        <v>#N/A</v>
      </c>
      <c r="BY50" s="264"/>
      <c r="BZ50" s="276" t="e">
        <f>IF('Pay App 37'!$H$149=0,NA(),IFERROR('Pay App 37'!F108/'Summary Sheet'!$D$19,""))</f>
        <v>#N/A</v>
      </c>
      <c r="CA50" s="264"/>
      <c r="CB50" s="263" t="e">
        <f>IF('Pay App 38'!$H$149=0,NA(),IFERROR('Pay App 38'!F108/'Summary Sheet'!$D$19,""))</f>
        <v>#N/A</v>
      </c>
      <c r="CC50" s="264"/>
      <c r="CD50" s="276" t="e">
        <f>IF('Pay App 39'!$H$149=0,NA(),IFERROR('Pay App 39'!F108/'Summary Sheet'!$D$19,""))</f>
        <v>#N/A</v>
      </c>
      <c r="CE50" s="264"/>
      <c r="CF50" s="263" t="e">
        <f>IF('Pay App 40'!$H$149=0,NA(),IFERROR('Pay App 40'!F108/'Summary Sheet'!$D$19,""))</f>
        <v>#N/A</v>
      </c>
      <c r="CG50" s="264"/>
      <c r="CH50" s="276" t="e">
        <f>IF('Pay App 41'!$H$149=0,NA(),IFERROR('Pay App 41'!F108/'Summary Sheet'!$D$19,""))</f>
        <v>#N/A</v>
      </c>
      <c r="CI50" s="264"/>
      <c r="CJ50" s="263" t="e">
        <f>IF('Pay App 42'!$H$149=0,NA(),IFERROR('Pay App 42'!F108/'Summary Sheet'!$D$19,""))</f>
        <v>#N/A</v>
      </c>
      <c r="CK50" s="264"/>
      <c r="CL50" s="276" t="e">
        <f>IF('Pay App 43'!$H$149=0,NA(),IFERROR('Pay App 43'!F108/'Summary Sheet'!$D$19,""))</f>
        <v>#N/A</v>
      </c>
      <c r="CM50" s="264"/>
      <c r="CN50" s="263" t="e">
        <f>IF('Pay App 44'!$H$149=0,NA(),IFERROR('Pay App 44'!F108/'Summary Sheet'!$D$19,""))</f>
        <v>#N/A</v>
      </c>
      <c r="CO50" s="264"/>
      <c r="CP50" s="276" t="e">
        <f>IF('Pay App 45'!$H$149=0,NA(),IFERROR('Pay App 45'!F108/'Summary Sheet'!$D$19,""))</f>
        <v>#N/A</v>
      </c>
      <c r="CQ50" s="264"/>
      <c r="CR50" s="263" t="e">
        <f>IF('Pay App 46'!$H$149=0,NA(),IFERROR('Pay App 46'!F108/'Summary Sheet'!$D$19,""))</f>
        <v>#N/A</v>
      </c>
      <c r="CS50" s="264"/>
      <c r="CT50" s="276" t="e">
        <f>IF('Pay App 47'!$H$149=0,NA(),IFERROR('Pay App 47'!F108/'Summary Sheet'!$D$19,""))</f>
        <v>#N/A</v>
      </c>
      <c r="CU50" s="264"/>
      <c r="CV50" s="263" t="e">
        <f>IF('Pay App 48'!$H$149=0,NA(),IFERROR('Pay App 48'!F108/'Summary Sheet'!$D$19,""))</f>
        <v>#N/A</v>
      </c>
      <c r="CW50" s="264"/>
      <c r="CX50" s="276" t="e">
        <f>IF('Pay App 49'!$H$149=0,NA(),IFERROR('Pay App 49'!F108/'Summary Sheet'!$D$19,""))</f>
        <v>#N/A</v>
      </c>
      <c r="CY50" s="264"/>
      <c r="CZ50" s="263" t="e">
        <f>IF('Pay App 50'!$H$149=0,NA(),IFERROR('Pay App 50'!F108/'Summary Sheet'!$D$19,""))</f>
        <v>#N/A</v>
      </c>
      <c r="DA50" s="264"/>
      <c r="DB50" s="276" t="e">
        <f>IF('Pay App 51'!$H$149=0,NA(),IFERROR('Pay App 51'!F108/'Summary Sheet'!$D$19,""))</f>
        <v>#N/A</v>
      </c>
      <c r="DC50" s="264"/>
      <c r="DD50" s="263" t="e">
        <f>IF('Pay App 52'!$H$149=0,NA(),IFERROR('Pay App 52'!F108/'Summary Sheet'!$D$19,""))</f>
        <v>#N/A</v>
      </c>
      <c r="DE50" s="264"/>
      <c r="DF50" s="276" t="e">
        <f>IF('Pay App 53'!$H$149=0,NA(),IFERROR('Pay App 53'!F108/'Summary Sheet'!$D$19,""))</f>
        <v>#N/A</v>
      </c>
      <c r="DG50" s="264"/>
      <c r="DH50" s="263" t="e">
        <f>IF('Pay App 54'!$H$149=0,NA(),IFERROR('Pay App 54'!F108/'Summary Sheet'!$D$19,""))</f>
        <v>#N/A</v>
      </c>
      <c r="DI50" s="264"/>
      <c r="DJ50" s="276" t="e">
        <f>IF('Pay App 55'!$H$149=0,NA(),IFERROR('Pay App 55'!F108/'Summary Sheet'!$D$19,""))</f>
        <v>#N/A</v>
      </c>
      <c r="DK50" s="264"/>
      <c r="DL50" s="263" t="e">
        <f>IF('Pay App 56'!$H$149=0,NA(),IFERROR('Pay App 56'!F108/'Summary Sheet'!$D$19,""))</f>
        <v>#N/A</v>
      </c>
      <c r="DM50" s="264"/>
      <c r="DN50" s="276" t="e">
        <f>IF('Pay App 57'!$H$149=0,NA(),IFERROR('Pay App 57'!F108/'Summary Sheet'!$D$19,""))</f>
        <v>#N/A</v>
      </c>
      <c r="DO50" s="264"/>
      <c r="DP50" s="263" t="e">
        <f>IF('Pay App 58'!$H$149=0,NA(),IFERROR('Pay App 58'!F108/'Summary Sheet'!$D$19,""))</f>
        <v>#N/A</v>
      </c>
      <c r="DQ50" s="264"/>
      <c r="DR50" s="276" t="e">
        <f>IF('Pay App 59'!$H$149=0,NA(),IFERROR('Pay App 59'!F108/'Summary Sheet'!$D$19,""))</f>
        <v>#N/A</v>
      </c>
      <c r="DS50" s="264"/>
      <c r="DT50" s="263" t="e">
        <f>IF('Pay App 60'!$H$149=0,NA(),IFERROR('Pay App 60'!F1018/'Summary Sheet'!$D$19,""))</f>
        <v>#N/A</v>
      </c>
      <c r="DU50" s="296"/>
    </row>
    <row r="51" spans="2:125" x14ac:dyDescent="0.25">
      <c r="B51" s="36" t="str">
        <f>'Pay App 1'!B109</f>
        <v>09 60 00</v>
      </c>
      <c r="C51" s="37" t="str">
        <f>'Pay App 1'!C109</f>
        <v>Floor Coverings</v>
      </c>
      <c r="D51" s="282" t="str" cm="1">
        <f t="array" ref="D51">IFERROR(1+(LOOKUP(2,1/(E51:DT51&lt;&gt;""),E51:DT51)-E51)/E51,"")</f>
        <v/>
      </c>
      <c r="E51" s="275" t="str">
        <f>IFERROR('GMP Tracker'!D55/'Summary Sheet'!$D$19,"")</f>
        <v/>
      </c>
      <c r="F51" s="276" t="e">
        <f>IF('Pay App 1'!$D$149=0,NA(),IFERROR('Pay App 1'!F109/'Summary Sheet'!$D$19,""))</f>
        <v>#N/A</v>
      </c>
      <c r="G51" s="271"/>
      <c r="H51" s="277" t="e">
        <f>IF('Pay App 2'!$H$149=0,NA(),IFERROR('Pay App 2'!F109/'Summary Sheet'!$D$19,""))</f>
        <v>#N/A</v>
      </c>
      <c r="I51" s="266"/>
      <c r="J51" s="276" t="e">
        <f>IF('Pay App 3'!$H$149=0,NA(),IFERROR('Pay App 3'!F109/'Summary Sheet'!$D$19,""))</f>
        <v>#N/A</v>
      </c>
      <c r="K51" s="268"/>
      <c r="L51" s="277" t="e">
        <f>IF('Pay App 4'!$H$149=0,NA(),IFERROR('Pay App 4'!F109/'Summary Sheet'!$D$19,""))</f>
        <v>#N/A</v>
      </c>
      <c r="M51" s="266"/>
      <c r="N51" s="276" t="e">
        <f>IF('Pay App 5'!$H$149=0,NA(),IFERROR('Pay App 5'!F109/'Summary Sheet'!$D$19,""))</f>
        <v>#N/A</v>
      </c>
      <c r="O51" s="263"/>
      <c r="P51" s="277" t="e">
        <f>IF('Pay App 6'!$H$149=0,NA(),IFERROR('Pay App 6'!F109/'Summary Sheet'!$D$19,""))</f>
        <v>#N/A</v>
      </c>
      <c r="Q51" s="263"/>
      <c r="R51" s="276" t="e">
        <f>IF('Pay App 7'!$H$149=0,NA(),IFERROR('Pay App 7'!F109/'Summary Sheet'!$D$19,""))</f>
        <v>#N/A</v>
      </c>
      <c r="S51" s="263"/>
      <c r="T51" s="277" t="e">
        <f>IF('Pay App 8'!$H$149=0,NA(),IFERROR('Pay App 8'!F109/'Summary Sheet'!$D$19,""))</f>
        <v>#N/A</v>
      </c>
      <c r="U51" s="263"/>
      <c r="V51" s="276" t="e">
        <f>IF('Pay App 9'!$H$149=0,NA(),IFERROR('Pay App 9'!F109/'Summary Sheet'!$D$19,""))</f>
        <v>#N/A</v>
      </c>
      <c r="W51" s="263"/>
      <c r="X51" s="277" t="e">
        <f>IF('Pay App 10'!$H$149=0,NA(),IFERROR('Pay App 10'!F109/'Summary Sheet'!$D$19,""))</f>
        <v>#N/A</v>
      </c>
      <c r="Y51" s="263"/>
      <c r="Z51" s="276" t="e">
        <f>IF('Pay App 11'!$H$149=0,NA(),IFERROR('Pay App 11'!F109/'Summary Sheet'!$D$19,""))</f>
        <v>#N/A</v>
      </c>
      <c r="AA51" s="263"/>
      <c r="AB51" s="277" t="e">
        <f>IF('Pay App 12'!$H$149=0,NA(),IFERROR('Pay App 12'!F109/'Summary Sheet'!$D$19,""))</f>
        <v>#N/A</v>
      </c>
      <c r="AC51" s="263"/>
      <c r="AD51" s="276" t="e">
        <f>IF('Pay App 13'!$H$149=0,NA(),IFERROR('Pay App 13'!F109/'Summary Sheet'!$D$19,""))</f>
        <v>#N/A</v>
      </c>
      <c r="AE51" s="263"/>
      <c r="AF51" s="277" t="e">
        <f>IF('Pay App 14'!$H$149=0,NA(),IFERROR('Pay App 14'!F109/'Summary Sheet'!$D$19,""))</f>
        <v>#N/A</v>
      </c>
      <c r="AG51" s="263"/>
      <c r="AH51" s="276" t="e">
        <f>IF('Pay App 15'!$H$149=0,NA(),IFERROR('Pay App 15'!F109/'Summary Sheet'!$D$19,""))</f>
        <v>#N/A</v>
      </c>
      <c r="AI51" s="263"/>
      <c r="AJ51" s="277" t="e">
        <f>IF('Pay App 16'!$H$149=0,NA(),IFERROR('Pay App 16'!F109/'Summary Sheet'!$D$19,""))</f>
        <v>#N/A</v>
      </c>
      <c r="AK51" s="263"/>
      <c r="AL51" s="276" t="e">
        <f>IF('Pay App 17'!$H$149=0,NA(),IFERROR('Pay App 17'!F109/'Summary Sheet'!$D$19,""))</f>
        <v>#N/A</v>
      </c>
      <c r="AM51" s="263"/>
      <c r="AN51" s="277" t="e">
        <f>IF('Pay App 18'!$H$149=0,NA(),IFERROR('Pay App 18'!F109/'Summary Sheet'!$D$19,""))</f>
        <v>#N/A</v>
      </c>
      <c r="AO51" s="263"/>
      <c r="AP51" s="276" t="e">
        <f>IF('Pay App 19'!$H$149=0,NA(),IFERROR('Pay App 19'!F109/'Summary Sheet'!$D$19,""))</f>
        <v>#N/A</v>
      </c>
      <c r="AQ51" s="263"/>
      <c r="AR51" s="263" t="e">
        <f>IF('Pay App 20'!$H$149=0,NA(),IFERROR('Pay App 20'!F109/'Summary Sheet'!$D$19,""))</f>
        <v>#N/A</v>
      </c>
      <c r="AS51" s="264"/>
      <c r="AT51" s="276" t="e">
        <f>IF('Pay App 21'!$H$149=0,NA(),IFERROR('Pay App 21'!F109/'Summary Sheet'!$D$19,""))</f>
        <v>#N/A</v>
      </c>
      <c r="AU51" s="264"/>
      <c r="AV51" s="263" t="e">
        <f>IF('Pay App 22'!$H$149=0,NA(),IFERROR('Pay App 22'!F109/'Summary Sheet'!$D$19,""))</f>
        <v>#N/A</v>
      </c>
      <c r="AW51" s="264"/>
      <c r="AX51" s="276" t="e">
        <f>IF('Pay App 23'!$H$149=0,NA(),IFERROR('Pay App 23'!F109/'Summary Sheet'!$D$19,""))</f>
        <v>#N/A</v>
      </c>
      <c r="AY51" s="264"/>
      <c r="AZ51" s="263" t="e">
        <f>IF('Pay App 24'!$H$149=0,NA(),IFERROR('Pay App 24'!F109/'Summary Sheet'!$D$19,""))</f>
        <v>#N/A</v>
      </c>
      <c r="BA51" s="264"/>
      <c r="BB51" s="276" t="e">
        <f>IF('Pay App 25'!$H$149=0,NA(),IFERROR('Pay App 25'!F109/'Summary Sheet'!$D$19,""))</f>
        <v>#N/A</v>
      </c>
      <c r="BC51" s="264"/>
      <c r="BD51" s="263" t="e">
        <f>IF('Pay App 26'!$H$149=0,NA(),IFERROR('Pay App 26'!F109/'Summary Sheet'!$D$19,""))</f>
        <v>#N/A</v>
      </c>
      <c r="BE51" s="264"/>
      <c r="BF51" s="276" t="e">
        <f>IF('Pay App 27'!$H$149=0,NA(),IFERROR('Pay App 27'!F109/'Summary Sheet'!$D$19,""))</f>
        <v>#N/A</v>
      </c>
      <c r="BG51" s="264"/>
      <c r="BH51" s="263" t="e">
        <f>IF('Pay App 28'!$H$149=0,NA(),IFERROR('Pay App 28'!F109/'Summary Sheet'!$D$19,""))</f>
        <v>#N/A</v>
      </c>
      <c r="BI51" s="264"/>
      <c r="BJ51" s="276" t="e">
        <f>IF('Pay App 29'!$H$149=0,NA(),IFERROR('Pay App 29'!F109/'Summary Sheet'!$D$19,""))</f>
        <v>#N/A</v>
      </c>
      <c r="BK51" s="271"/>
      <c r="BL51" s="263" t="e">
        <f>IF('Pay App 30'!$H$149=0,NA(),IFERROR('Pay App 30'!F109/'Summary Sheet'!$D$19,""))</f>
        <v>#N/A</v>
      </c>
      <c r="BM51" s="264"/>
      <c r="BN51" s="276" t="e">
        <f>IF('Pay App 31'!$H$149=0,NA(),IFERROR('Pay App 31'!F109/'Summary Sheet'!$D$19,""))</f>
        <v>#N/A</v>
      </c>
      <c r="BO51" s="264"/>
      <c r="BP51" s="263" t="e">
        <f>IF('Pay App 32'!$H$149=0,NA(),IFERROR('Pay App 32'!F109/'Summary Sheet'!$D$19,""))</f>
        <v>#N/A</v>
      </c>
      <c r="BQ51" s="264"/>
      <c r="BR51" s="276" t="e">
        <f>IF('Pay App 33'!$H$149=0,NA(),IFERROR('Pay App 33'!F109/'Summary Sheet'!$D$19,""))</f>
        <v>#N/A</v>
      </c>
      <c r="BS51" s="264"/>
      <c r="BT51" s="263" t="e">
        <f>IF('Pay App 34'!$H$149=0,NA(),IFERROR('Pay App 34'!F109/'Summary Sheet'!$D$19,""))</f>
        <v>#N/A</v>
      </c>
      <c r="BU51" s="264"/>
      <c r="BV51" s="276" t="e">
        <f>IF('Pay App 35'!$H$149=0,NA(),IFERROR('Pay App 35'!F109/'Summary Sheet'!$D$19,""))</f>
        <v>#N/A</v>
      </c>
      <c r="BW51" s="264"/>
      <c r="BX51" s="263" t="e">
        <f>IF('Pay App 36'!$H$149=0,NA(),IFERROR('Pay App 36'!F109/'Summary Sheet'!$D$19,""))</f>
        <v>#N/A</v>
      </c>
      <c r="BY51" s="264"/>
      <c r="BZ51" s="276" t="e">
        <f>IF('Pay App 37'!$H$149=0,NA(),IFERROR('Pay App 37'!F109/'Summary Sheet'!$D$19,""))</f>
        <v>#N/A</v>
      </c>
      <c r="CA51" s="264"/>
      <c r="CB51" s="263" t="e">
        <f>IF('Pay App 38'!$H$149=0,NA(),IFERROR('Pay App 38'!F109/'Summary Sheet'!$D$19,""))</f>
        <v>#N/A</v>
      </c>
      <c r="CC51" s="264"/>
      <c r="CD51" s="276" t="e">
        <f>IF('Pay App 39'!$H$149=0,NA(),IFERROR('Pay App 39'!F109/'Summary Sheet'!$D$19,""))</f>
        <v>#N/A</v>
      </c>
      <c r="CE51" s="264"/>
      <c r="CF51" s="263" t="e">
        <f>IF('Pay App 40'!$H$149=0,NA(),IFERROR('Pay App 40'!F109/'Summary Sheet'!$D$19,""))</f>
        <v>#N/A</v>
      </c>
      <c r="CG51" s="264"/>
      <c r="CH51" s="276" t="e">
        <f>IF('Pay App 41'!$H$149=0,NA(),IFERROR('Pay App 41'!F109/'Summary Sheet'!$D$19,""))</f>
        <v>#N/A</v>
      </c>
      <c r="CI51" s="264"/>
      <c r="CJ51" s="263" t="e">
        <f>IF('Pay App 42'!$H$149=0,NA(),IFERROR('Pay App 42'!F109/'Summary Sheet'!$D$19,""))</f>
        <v>#N/A</v>
      </c>
      <c r="CK51" s="264"/>
      <c r="CL51" s="276" t="e">
        <f>IF('Pay App 43'!$H$149=0,NA(),IFERROR('Pay App 43'!F109/'Summary Sheet'!$D$19,""))</f>
        <v>#N/A</v>
      </c>
      <c r="CM51" s="264"/>
      <c r="CN51" s="263" t="e">
        <f>IF('Pay App 44'!$H$149=0,NA(),IFERROR('Pay App 44'!F109/'Summary Sheet'!$D$19,""))</f>
        <v>#N/A</v>
      </c>
      <c r="CO51" s="264"/>
      <c r="CP51" s="276" t="e">
        <f>IF('Pay App 45'!$H$149=0,NA(),IFERROR('Pay App 45'!F109/'Summary Sheet'!$D$19,""))</f>
        <v>#N/A</v>
      </c>
      <c r="CQ51" s="264"/>
      <c r="CR51" s="263" t="e">
        <f>IF('Pay App 46'!$H$149=0,NA(),IFERROR('Pay App 46'!F109/'Summary Sheet'!$D$19,""))</f>
        <v>#N/A</v>
      </c>
      <c r="CS51" s="264"/>
      <c r="CT51" s="276" t="e">
        <f>IF('Pay App 47'!$H$149=0,NA(),IFERROR('Pay App 47'!F109/'Summary Sheet'!$D$19,""))</f>
        <v>#N/A</v>
      </c>
      <c r="CU51" s="264"/>
      <c r="CV51" s="263" t="e">
        <f>IF('Pay App 48'!$H$149=0,NA(),IFERROR('Pay App 48'!F109/'Summary Sheet'!$D$19,""))</f>
        <v>#N/A</v>
      </c>
      <c r="CW51" s="264"/>
      <c r="CX51" s="276" t="e">
        <f>IF('Pay App 49'!$H$149=0,NA(),IFERROR('Pay App 49'!F109/'Summary Sheet'!$D$19,""))</f>
        <v>#N/A</v>
      </c>
      <c r="CY51" s="264"/>
      <c r="CZ51" s="263" t="e">
        <f>IF('Pay App 50'!$H$149=0,NA(),IFERROR('Pay App 50'!F109/'Summary Sheet'!$D$19,""))</f>
        <v>#N/A</v>
      </c>
      <c r="DA51" s="264"/>
      <c r="DB51" s="276" t="e">
        <f>IF('Pay App 51'!$H$149=0,NA(),IFERROR('Pay App 51'!F109/'Summary Sheet'!$D$19,""))</f>
        <v>#N/A</v>
      </c>
      <c r="DC51" s="264"/>
      <c r="DD51" s="263" t="e">
        <f>IF('Pay App 52'!$H$149=0,NA(),IFERROR('Pay App 52'!F109/'Summary Sheet'!$D$19,""))</f>
        <v>#N/A</v>
      </c>
      <c r="DE51" s="264"/>
      <c r="DF51" s="276" t="e">
        <f>IF('Pay App 53'!$H$149=0,NA(),IFERROR('Pay App 53'!F109/'Summary Sheet'!$D$19,""))</f>
        <v>#N/A</v>
      </c>
      <c r="DG51" s="264"/>
      <c r="DH51" s="263" t="e">
        <f>IF('Pay App 54'!$H$149=0,NA(),IFERROR('Pay App 54'!F109/'Summary Sheet'!$D$19,""))</f>
        <v>#N/A</v>
      </c>
      <c r="DI51" s="264"/>
      <c r="DJ51" s="276" t="e">
        <f>IF('Pay App 55'!$H$149=0,NA(),IFERROR('Pay App 55'!F109/'Summary Sheet'!$D$19,""))</f>
        <v>#N/A</v>
      </c>
      <c r="DK51" s="264"/>
      <c r="DL51" s="263" t="e">
        <f>IF('Pay App 56'!$H$149=0,NA(),IFERROR('Pay App 56'!F109/'Summary Sheet'!$D$19,""))</f>
        <v>#N/A</v>
      </c>
      <c r="DM51" s="264"/>
      <c r="DN51" s="276" t="e">
        <f>IF('Pay App 57'!$H$149=0,NA(),IFERROR('Pay App 57'!F109/'Summary Sheet'!$D$19,""))</f>
        <v>#N/A</v>
      </c>
      <c r="DO51" s="264"/>
      <c r="DP51" s="263" t="e">
        <f>IF('Pay App 58'!$H$149=0,NA(),IFERROR('Pay App 58'!F109/'Summary Sheet'!$D$19,""))</f>
        <v>#N/A</v>
      </c>
      <c r="DQ51" s="264"/>
      <c r="DR51" s="276" t="e">
        <f>IF('Pay App 59'!$H$149=0,NA(),IFERROR('Pay App 59'!F109/'Summary Sheet'!$D$19,""))</f>
        <v>#N/A</v>
      </c>
      <c r="DS51" s="264"/>
      <c r="DT51" s="263" t="e">
        <f>IF('Pay App 60'!$H$149=0,NA(),IFERROR('Pay App 60'!F1019/'Summary Sheet'!$D$19,""))</f>
        <v>#N/A</v>
      </c>
      <c r="DU51" s="296"/>
    </row>
    <row r="52" spans="2:125" x14ac:dyDescent="0.25">
      <c r="B52" s="36" t="str">
        <f>'Pay App 1'!B110</f>
        <v>09 62 00</v>
      </c>
      <c r="C52" s="37" t="str">
        <f>'Pay App 1'!C110</f>
        <v>Specialty Flooring</v>
      </c>
      <c r="D52" s="282" t="str" cm="1">
        <f t="array" ref="D52">IFERROR(1+(LOOKUP(2,1/(E52:DT52&lt;&gt;""),E52:DT52)-E52)/E52,"")</f>
        <v/>
      </c>
      <c r="E52" s="275" t="str">
        <f>IFERROR('GMP Tracker'!D56/'Summary Sheet'!$D$19,"")</f>
        <v/>
      </c>
      <c r="F52" s="276" t="e">
        <f>IF('Pay App 1'!$D$149=0,NA(),IFERROR('Pay App 1'!F110/'Summary Sheet'!$D$19,""))</f>
        <v>#N/A</v>
      </c>
      <c r="G52" s="271"/>
      <c r="H52" s="277" t="e">
        <f>IF('Pay App 2'!$H$149=0,NA(),IFERROR('Pay App 2'!F110/'Summary Sheet'!$D$19,""))</f>
        <v>#N/A</v>
      </c>
      <c r="I52" s="266"/>
      <c r="J52" s="276" t="e">
        <f>IF('Pay App 3'!$H$149=0,NA(),IFERROR('Pay App 3'!F110/'Summary Sheet'!$D$19,""))</f>
        <v>#N/A</v>
      </c>
      <c r="K52" s="268"/>
      <c r="L52" s="277" t="e">
        <f>IF('Pay App 4'!$H$149=0,NA(),IFERROR('Pay App 4'!F110/'Summary Sheet'!$D$19,""))</f>
        <v>#N/A</v>
      </c>
      <c r="M52" s="266"/>
      <c r="N52" s="276" t="e">
        <f>IF('Pay App 5'!$H$149=0,NA(),IFERROR('Pay App 5'!F110/'Summary Sheet'!$D$19,""))</f>
        <v>#N/A</v>
      </c>
      <c r="O52" s="263"/>
      <c r="P52" s="277" t="e">
        <f>IF('Pay App 6'!$H$149=0,NA(),IFERROR('Pay App 6'!F110/'Summary Sheet'!$D$19,""))</f>
        <v>#N/A</v>
      </c>
      <c r="Q52" s="263"/>
      <c r="R52" s="276" t="e">
        <f>IF('Pay App 7'!$H$149=0,NA(),IFERROR('Pay App 7'!F110/'Summary Sheet'!$D$19,""))</f>
        <v>#N/A</v>
      </c>
      <c r="S52" s="263"/>
      <c r="T52" s="277" t="e">
        <f>IF('Pay App 8'!$H$149=0,NA(),IFERROR('Pay App 8'!F110/'Summary Sheet'!$D$19,""))</f>
        <v>#N/A</v>
      </c>
      <c r="U52" s="263"/>
      <c r="V52" s="276" t="e">
        <f>IF('Pay App 9'!$H$149=0,NA(),IFERROR('Pay App 9'!F110/'Summary Sheet'!$D$19,""))</f>
        <v>#N/A</v>
      </c>
      <c r="W52" s="263"/>
      <c r="X52" s="277" t="e">
        <f>IF('Pay App 10'!$H$149=0,NA(),IFERROR('Pay App 10'!F110/'Summary Sheet'!$D$19,""))</f>
        <v>#N/A</v>
      </c>
      <c r="Y52" s="263"/>
      <c r="Z52" s="276" t="e">
        <f>IF('Pay App 11'!$H$149=0,NA(),IFERROR('Pay App 11'!F110/'Summary Sheet'!$D$19,""))</f>
        <v>#N/A</v>
      </c>
      <c r="AA52" s="263"/>
      <c r="AB52" s="277" t="e">
        <f>IF('Pay App 12'!$H$149=0,NA(),IFERROR('Pay App 12'!F110/'Summary Sheet'!$D$19,""))</f>
        <v>#N/A</v>
      </c>
      <c r="AC52" s="263"/>
      <c r="AD52" s="276" t="e">
        <f>IF('Pay App 13'!$H$149=0,NA(),IFERROR('Pay App 13'!F110/'Summary Sheet'!$D$19,""))</f>
        <v>#N/A</v>
      </c>
      <c r="AE52" s="263"/>
      <c r="AF52" s="277" t="e">
        <f>IF('Pay App 14'!$H$149=0,NA(),IFERROR('Pay App 14'!F110/'Summary Sheet'!$D$19,""))</f>
        <v>#N/A</v>
      </c>
      <c r="AG52" s="263"/>
      <c r="AH52" s="276" t="e">
        <f>IF('Pay App 15'!$H$149=0,NA(),IFERROR('Pay App 15'!F110/'Summary Sheet'!$D$19,""))</f>
        <v>#N/A</v>
      </c>
      <c r="AI52" s="263"/>
      <c r="AJ52" s="277" t="e">
        <f>IF('Pay App 16'!$H$149=0,NA(),IFERROR('Pay App 16'!F110/'Summary Sheet'!$D$19,""))</f>
        <v>#N/A</v>
      </c>
      <c r="AK52" s="263"/>
      <c r="AL52" s="276" t="e">
        <f>IF('Pay App 17'!$H$149=0,NA(),IFERROR('Pay App 17'!F110/'Summary Sheet'!$D$19,""))</f>
        <v>#N/A</v>
      </c>
      <c r="AM52" s="263"/>
      <c r="AN52" s="277" t="e">
        <f>IF('Pay App 18'!$H$149=0,NA(),IFERROR('Pay App 18'!F110/'Summary Sheet'!$D$19,""))</f>
        <v>#N/A</v>
      </c>
      <c r="AO52" s="263"/>
      <c r="AP52" s="276" t="e">
        <f>IF('Pay App 19'!$H$149=0,NA(),IFERROR('Pay App 19'!F110/'Summary Sheet'!$D$19,""))</f>
        <v>#N/A</v>
      </c>
      <c r="AQ52" s="263"/>
      <c r="AR52" s="263" t="e">
        <f>IF('Pay App 20'!$H$149=0,NA(),IFERROR('Pay App 20'!F110/'Summary Sheet'!$D$19,""))</f>
        <v>#N/A</v>
      </c>
      <c r="AS52" s="264"/>
      <c r="AT52" s="276" t="e">
        <f>IF('Pay App 21'!$H$149=0,NA(),IFERROR('Pay App 21'!F110/'Summary Sheet'!$D$19,""))</f>
        <v>#N/A</v>
      </c>
      <c r="AU52" s="264"/>
      <c r="AV52" s="263" t="e">
        <f>IF('Pay App 22'!$H$149=0,NA(),IFERROR('Pay App 22'!F110/'Summary Sheet'!$D$19,""))</f>
        <v>#N/A</v>
      </c>
      <c r="AW52" s="264"/>
      <c r="AX52" s="276" t="e">
        <f>IF('Pay App 23'!$H$149=0,NA(),IFERROR('Pay App 23'!F110/'Summary Sheet'!$D$19,""))</f>
        <v>#N/A</v>
      </c>
      <c r="AY52" s="264"/>
      <c r="AZ52" s="263" t="e">
        <f>IF('Pay App 24'!$H$149=0,NA(),IFERROR('Pay App 24'!F110/'Summary Sheet'!$D$19,""))</f>
        <v>#N/A</v>
      </c>
      <c r="BA52" s="264"/>
      <c r="BB52" s="276" t="e">
        <f>IF('Pay App 25'!$H$149=0,NA(),IFERROR('Pay App 25'!F110/'Summary Sheet'!$D$19,""))</f>
        <v>#N/A</v>
      </c>
      <c r="BC52" s="264"/>
      <c r="BD52" s="263" t="e">
        <f>IF('Pay App 26'!$H$149=0,NA(),IFERROR('Pay App 26'!F110/'Summary Sheet'!$D$19,""))</f>
        <v>#N/A</v>
      </c>
      <c r="BE52" s="264"/>
      <c r="BF52" s="276" t="e">
        <f>IF('Pay App 27'!$H$149=0,NA(),IFERROR('Pay App 27'!F110/'Summary Sheet'!$D$19,""))</f>
        <v>#N/A</v>
      </c>
      <c r="BG52" s="264"/>
      <c r="BH52" s="263" t="e">
        <f>IF('Pay App 28'!$H$149=0,NA(),IFERROR('Pay App 28'!F110/'Summary Sheet'!$D$19,""))</f>
        <v>#N/A</v>
      </c>
      <c r="BI52" s="264"/>
      <c r="BJ52" s="276" t="e">
        <f>IF('Pay App 29'!$H$149=0,NA(),IFERROR('Pay App 29'!F110/'Summary Sheet'!$D$19,""))</f>
        <v>#N/A</v>
      </c>
      <c r="BK52" s="271"/>
      <c r="BL52" s="263" t="e">
        <f>IF('Pay App 30'!$H$149=0,NA(),IFERROR('Pay App 30'!F110/'Summary Sheet'!$D$19,""))</f>
        <v>#N/A</v>
      </c>
      <c r="BM52" s="264"/>
      <c r="BN52" s="276" t="e">
        <f>IF('Pay App 31'!$H$149=0,NA(),IFERROR('Pay App 31'!F110/'Summary Sheet'!$D$19,""))</f>
        <v>#N/A</v>
      </c>
      <c r="BO52" s="264"/>
      <c r="BP52" s="263" t="e">
        <f>IF('Pay App 32'!$H$149=0,NA(),IFERROR('Pay App 32'!F110/'Summary Sheet'!$D$19,""))</f>
        <v>#N/A</v>
      </c>
      <c r="BQ52" s="264"/>
      <c r="BR52" s="276" t="e">
        <f>IF('Pay App 33'!$H$149=0,NA(),IFERROR('Pay App 33'!F110/'Summary Sheet'!$D$19,""))</f>
        <v>#N/A</v>
      </c>
      <c r="BS52" s="264"/>
      <c r="BT52" s="263" t="e">
        <f>IF('Pay App 34'!$H$149=0,NA(),IFERROR('Pay App 34'!F110/'Summary Sheet'!$D$19,""))</f>
        <v>#N/A</v>
      </c>
      <c r="BU52" s="264"/>
      <c r="BV52" s="276" t="e">
        <f>IF('Pay App 35'!$H$149=0,NA(),IFERROR('Pay App 35'!F110/'Summary Sheet'!$D$19,""))</f>
        <v>#N/A</v>
      </c>
      <c r="BW52" s="264"/>
      <c r="BX52" s="263" t="e">
        <f>IF('Pay App 36'!$H$149=0,NA(),IFERROR('Pay App 36'!F110/'Summary Sheet'!$D$19,""))</f>
        <v>#N/A</v>
      </c>
      <c r="BY52" s="264"/>
      <c r="BZ52" s="276" t="e">
        <f>IF('Pay App 37'!$H$149=0,NA(),IFERROR('Pay App 37'!F110/'Summary Sheet'!$D$19,""))</f>
        <v>#N/A</v>
      </c>
      <c r="CA52" s="264"/>
      <c r="CB52" s="263" t="e">
        <f>IF('Pay App 38'!$H$149=0,NA(),IFERROR('Pay App 38'!F110/'Summary Sheet'!$D$19,""))</f>
        <v>#N/A</v>
      </c>
      <c r="CC52" s="264"/>
      <c r="CD52" s="276" t="e">
        <f>IF('Pay App 39'!$H$149=0,NA(),IFERROR('Pay App 39'!F110/'Summary Sheet'!$D$19,""))</f>
        <v>#N/A</v>
      </c>
      <c r="CE52" s="264"/>
      <c r="CF52" s="263" t="e">
        <f>IF('Pay App 40'!$H$149=0,NA(),IFERROR('Pay App 40'!F110/'Summary Sheet'!$D$19,""))</f>
        <v>#N/A</v>
      </c>
      <c r="CG52" s="264"/>
      <c r="CH52" s="276" t="e">
        <f>IF('Pay App 41'!$H$149=0,NA(),IFERROR('Pay App 41'!F110/'Summary Sheet'!$D$19,""))</f>
        <v>#N/A</v>
      </c>
      <c r="CI52" s="264"/>
      <c r="CJ52" s="263" t="e">
        <f>IF('Pay App 42'!$H$149=0,NA(),IFERROR('Pay App 42'!F110/'Summary Sheet'!$D$19,""))</f>
        <v>#N/A</v>
      </c>
      <c r="CK52" s="264"/>
      <c r="CL52" s="276" t="e">
        <f>IF('Pay App 43'!$H$149=0,NA(),IFERROR('Pay App 43'!F110/'Summary Sheet'!$D$19,""))</f>
        <v>#N/A</v>
      </c>
      <c r="CM52" s="264"/>
      <c r="CN52" s="263" t="e">
        <f>IF('Pay App 44'!$H$149=0,NA(),IFERROR('Pay App 44'!F110/'Summary Sheet'!$D$19,""))</f>
        <v>#N/A</v>
      </c>
      <c r="CO52" s="264"/>
      <c r="CP52" s="276" t="e">
        <f>IF('Pay App 45'!$H$149=0,NA(),IFERROR('Pay App 45'!F110/'Summary Sheet'!$D$19,""))</f>
        <v>#N/A</v>
      </c>
      <c r="CQ52" s="264"/>
      <c r="CR52" s="263" t="e">
        <f>IF('Pay App 46'!$H$149=0,NA(),IFERROR('Pay App 46'!F110/'Summary Sheet'!$D$19,""))</f>
        <v>#N/A</v>
      </c>
      <c r="CS52" s="264"/>
      <c r="CT52" s="276" t="e">
        <f>IF('Pay App 47'!$H$149=0,NA(),IFERROR('Pay App 47'!F110/'Summary Sheet'!$D$19,""))</f>
        <v>#N/A</v>
      </c>
      <c r="CU52" s="264"/>
      <c r="CV52" s="263" t="e">
        <f>IF('Pay App 48'!$H$149=0,NA(),IFERROR('Pay App 48'!F110/'Summary Sheet'!$D$19,""))</f>
        <v>#N/A</v>
      </c>
      <c r="CW52" s="264"/>
      <c r="CX52" s="276" t="e">
        <f>IF('Pay App 49'!$H$149=0,NA(),IFERROR('Pay App 49'!F110/'Summary Sheet'!$D$19,""))</f>
        <v>#N/A</v>
      </c>
      <c r="CY52" s="264"/>
      <c r="CZ52" s="263" t="e">
        <f>IF('Pay App 50'!$H$149=0,NA(),IFERROR('Pay App 50'!F110/'Summary Sheet'!$D$19,""))</f>
        <v>#N/A</v>
      </c>
      <c r="DA52" s="264"/>
      <c r="DB52" s="276" t="e">
        <f>IF('Pay App 51'!$H$149=0,NA(),IFERROR('Pay App 51'!F110/'Summary Sheet'!$D$19,""))</f>
        <v>#N/A</v>
      </c>
      <c r="DC52" s="264"/>
      <c r="DD52" s="263" t="e">
        <f>IF('Pay App 52'!$H$149=0,NA(),IFERROR('Pay App 52'!F110/'Summary Sheet'!$D$19,""))</f>
        <v>#N/A</v>
      </c>
      <c r="DE52" s="264"/>
      <c r="DF52" s="276" t="e">
        <f>IF('Pay App 53'!$H$149=0,NA(),IFERROR('Pay App 53'!F110/'Summary Sheet'!$D$19,""))</f>
        <v>#N/A</v>
      </c>
      <c r="DG52" s="264"/>
      <c r="DH52" s="263" t="e">
        <f>IF('Pay App 54'!$H$149=0,NA(),IFERROR('Pay App 54'!F110/'Summary Sheet'!$D$19,""))</f>
        <v>#N/A</v>
      </c>
      <c r="DI52" s="264"/>
      <c r="DJ52" s="276" t="e">
        <f>IF('Pay App 55'!$H$149=0,NA(),IFERROR('Pay App 55'!F110/'Summary Sheet'!$D$19,""))</f>
        <v>#N/A</v>
      </c>
      <c r="DK52" s="264"/>
      <c r="DL52" s="263" t="e">
        <f>IF('Pay App 56'!$H$149=0,NA(),IFERROR('Pay App 56'!F110/'Summary Sheet'!$D$19,""))</f>
        <v>#N/A</v>
      </c>
      <c r="DM52" s="264"/>
      <c r="DN52" s="276" t="e">
        <f>IF('Pay App 57'!$H$149=0,NA(),IFERROR('Pay App 57'!F110/'Summary Sheet'!$D$19,""))</f>
        <v>#N/A</v>
      </c>
      <c r="DO52" s="264"/>
      <c r="DP52" s="263" t="e">
        <f>IF('Pay App 58'!$H$149=0,NA(),IFERROR('Pay App 58'!F110/'Summary Sheet'!$D$19,""))</f>
        <v>#N/A</v>
      </c>
      <c r="DQ52" s="264"/>
      <c r="DR52" s="276" t="e">
        <f>IF('Pay App 59'!$H$149=0,NA(),IFERROR('Pay App 59'!F110/'Summary Sheet'!$D$19,""))</f>
        <v>#N/A</v>
      </c>
      <c r="DS52" s="264"/>
      <c r="DT52" s="263" t="e">
        <f>IF('Pay App 60'!$H$149=0,NA(),IFERROR('Pay App 60'!F1020/'Summary Sheet'!$D$19,""))</f>
        <v>#N/A</v>
      </c>
      <c r="DU52" s="296"/>
    </row>
    <row r="53" spans="2:125" x14ac:dyDescent="0.25">
      <c r="B53" s="36" t="str">
        <f>'Pay App 1'!B111</f>
        <v>09 70 00</v>
      </c>
      <c r="C53" s="37" t="str">
        <f>'Pay App 1'!C111</f>
        <v>Wall Coverings</v>
      </c>
      <c r="D53" s="282" t="str" cm="1">
        <f t="array" ref="D53">IFERROR(1+(LOOKUP(2,1/(E53:DT53&lt;&gt;""),E53:DT53)-E53)/E53,"")</f>
        <v/>
      </c>
      <c r="E53" s="275" t="str">
        <f>IFERROR('GMP Tracker'!D57/'Summary Sheet'!$D$19,"")</f>
        <v/>
      </c>
      <c r="F53" s="276" t="e">
        <f>IF('Pay App 1'!$D$149=0,NA(),IFERROR('Pay App 1'!F111/'Summary Sheet'!$D$19,""))</f>
        <v>#N/A</v>
      </c>
      <c r="G53" s="271"/>
      <c r="H53" s="277" t="e">
        <f>IF('Pay App 2'!$H$149=0,NA(),IFERROR('Pay App 2'!F111/'Summary Sheet'!$D$19,""))</f>
        <v>#N/A</v>
      </c>
      <c r="I53" s="266"/>
      <c r="J53" s="276" t="e">
        <f>IF('Pay App 3'!$H$149=0,NA(),IFERROR('Pay App 3'!F111/'Summary Sheet'!$D$19,""))</f>
        <v>#N/A</v>
      </c>
      <c r="K53" s="268"/>
      <c r="L53" s="277" t="e">
        <f>IF('Pay App 4'!$H$149=0,NA(),IFERROR('Pay App 4'!F111/'Summary Sheet'!$D$19,""))</f>
        <v>#N/A</v>
      </c>
      <c r="M53" s="266"/>
      <c r="N53" s="276" t="e">
        <f>IF('Pay App 5'!$H$149=0,NA(),IFERROR('Pay App 5'!F111/'Summary Sheet'!$D$19,""))</f>
        <v>#N/A</v>
      </c>
      <c r="O53" s="263"/>
      <c r="P53" s="277" t="e">
        <f>IF('Pay App 6'!$H$149=0,NA(),IFERROR('Pay App 6'!F111/'Summary Sheet'!$D$19,""))</f>
        <v>#N/A</v>
      </c>
      <c r="Q53" s="263"/>
      <c r="R53" s="276" t="e">
        <f>IF('Pay App 7'!$H$149=0,NA(),IFERROR('Pay App 7'!F111/'Summary Sheet'!$D$19,""))</f>
        <v>#N/A</v>
      </c>
      <c r="S53" s="263"/>
      <c r="T53" s="277" t="e">
        <f>IF('Pay App 8'!$H$149=0,NA(),IFERROR('Pay App 8'!F111/'Summary Sheet'!$D$19,""))</f>
        <v>#N/A</v>
      </c>
      <c r="U53" s="263"/>
      <c r="V53" s="276" t="e">
        <f>IF('Pay App 9'!$H$149=0,NA(),IFERROR('Pay App 9'!F111/'Summary Sheet'!$D$19,""))</f>
        <v>#N/A</v>
      </c>
      <c r="W53" s="263"/>
      <c r="X53" s="277" t="e">
        <f>IF('Pay App 10'!$H$149=0,NA(),IFERROR('Pay App 10'!F111/'Summary Sheet'!$D$19,""))</f>
        <v>#N/A</v>
      </c>
      <c r="Y53" s="263"/>
      <c r="Z53" s="276" t="e">
        <f>IF('Pay App 11'!$H$149=0,NA(),IFERROR('Pay App 11'!F111/'Summary Sheet'!$D$19,""))</f>
        <v>#N/A</v>
      </c>
      <c r="AA53" s="263"/>
      <c r="AB53" s="277" t="e">
        <f>IF('Pay App 12'!$H$149=0,NA(),IFERROR('Pay App 12'!F111/'Summary Sheet'!$D$19,""))</f>
        <v>#N/A</v>
      </c>
      <c r="AC53" s="263"/>
      <c r="AD53" s="276" t="e">
        <f>IF('Pay App 13'!$H$149=0,NA(),IFERROR('Pay App 13'!F111/'Summary Sheet'!$D$19,""))</f>
        <v>#N/A</v>
      </c>
      <c r="AE53" s="263"/>
      <c r="AF53" s="277" t="e">
        <f>IF('Pay App 14'!$H$149=0,NA(),IFERROR('Pay App 14'!F111/'Summary Sheet'!$D$19,""))</f>
        <v>#N/A</v>
      </c>
      <c r="AG53" s="263"/>
      <c r="AH53" s="276" t="e">
        <f>IF('Pay App 15'!$H$149=0,NA(),IFERROR('Pay App 15'!F111/'Summary Sheet'!$D$19,""))</f>
        <v>#N/A</v>
      </c>
      <c r="AI53" s="263"/>
      <c r="AJ53" s="277" t="e">
        <f>IF('Pay App 16'!$H$149=0,NA(),IFERROR('Pay App 16'!F111/'Summary Sheet'!$D$19,""))</f>
        <v>#N/A</v>
      </c>
      <c r="AK53" s="263"/>
      <c r="AL53" s="276" t="e">
        <f>IF('Pay App 17'!$H$149=0,NA(),IFERROR('Pay App 17'!F111/'Summary Sheet'!$D$19,""))</f>
        <v>#N/A</v>
      </c>
      <c r="AM53" s="263"/>
      <c r="AN53" s="277" t="e">
        <f>IF('Pay App 18'!$H$149=0,NA(),IFERROR('Pay App 18'!F111/'Summary Sheet'!$D$19,""))</f>
        <v>#N/A</v>
      </c>
      <c r="AO53" s="263"/>
      <c r="AP53" s="276" t="e">
        <f>IF('Pay App 19'!$H$149=0,NA(),IFERROR('Pay App 19'!F111/'Summary Sheet'!$D$19,""))</f>
        <v>#N/A</v>
      </c>
      <c r="AQ53" s="263"/>
      <c r="AR53" s="263" t="e">
        <f>IF('Pay App 20'!$H$149=0,NA(),IFERROR('Pay App 20'!F111/'Summary Sheet'!$D$19,""))</f>
        <v>#N/A</v>
      </c>
      <c r="AS53" s="264"/>
      <c r="AT53" s="276" t="e">
        <f>IF('Pay App 21'!$H$149=0,NA(),IFERROR('Pay App 21'!F111/'Summary Sheet'!$D$19,""))</f>
        <v>#N/A</v>
      </c>
      <c r="AU53" s="264"/>
      <c r="AV53" s="263" t="e">
        <f>IF('Pay App 22'!$H$149=0,NA(),IFERROR('Pay App 22'!F111/'Summary Sheet'!$D$19,""))</f>
        <v>#N/A</v>
      </c>
      <c r="AW53" s="264"/>
      <c r="AX53" s="276" t="e">
        <f>IF('Pay App 23'!$H$149=0,NA(),IFERROR('Pay App 23'!F111/'Summary Sheet'!$D$19,""))</f>
        <v>#N/A</v>
      </c>
      <c r="AY53" s="264"/>
      <c r="AZ53" s="263" t="e">
        <f>IF('Pay App 24'!$H$149=0,NA(),IFERROR('Pay App 24'!F111/'Summary Sheet'!$D$19,""))</f>
        <v>#N/A</v>
      </c>
      <c r="BA53" s="264"/>
      <c r="BB53" s="276" t="e">
        <f>IF('Pay App 25'!$H$149=0,NA(),IFERROR('Pay App 25'!F111/'Summary Sheet'!$D$19,""))</f>
        <v>#N/A</v>
      </c>
      <c r="BC53" s="264"/>
      <c r="BD53" s="263" t="e">
        <f>IF('Pay App 26'!$H$149=0,NA(),IFERROR('Pay App 26'!F111/'Summary Sheet'!$D$19,""))</f>
        <v>#N/A</v>
      </c>
      <c r="BE53" s="264"/>
      <c r="BF53" s="276" t="e">
        <f>IF('Pay App 27'!$H$149=0,NA(),IFERROR('Pay App 27'!F111/'Summary Sheet'!$D$19,""))</f>
        <v>#N/A</v>
      </c>
      <c r="BG53" s="264"/>
      <c r="BH53" s="263" t="e">
        <f>IF('Pay App 28'!$H$149=0,NA(),IFERROR('Pay App 28'!F111/'Summary Sheet'!$D$19,""))</f>
        <v>#N/A</v>
      </c>
      <c r="BI53" s="264"/>
      <c r="BJ53" s="276" t="e">
        <f>IF('Pay App 29'!$H$149=0,NA(),IFERROR('Pay App 29'!F111/'Summary Sheet'!$D$19,""))</f>
        <v>#N/A</v>
      </c>
      <c r="BK53" s="271"/>
      <c r="BL53" s="263" t="e">
        <f>IF('Pay App 30'!$H$149=0,NA(),IFERROR('Pay App 30'!F111/'Summary Sheet'!$D$19,""))</f>
        <v>#N/A</v>
      </c>
      <c r="BM53" s="264"/>
      <c r="BN53" s="276" t="e">
        <f>IF('Pay App 31'!$H$149=0,NA(),IFERROR('Pay App 31'!F111/'Summary Sheet'!$D$19,""))</f>
        <v>#N/A</v>
      </c>
      <c r="BO53" s="264"/>
      <c r="BP53" s="263" t="e">
        <f>IF('Pay App 32'!$H$149=0,NA(),IFERROR('Pay App 32'!F111/'Summary Sheet'!$D$19,""))</f>
        <v>#N/A</v>
      </c>
      <c r="BQ53" s="264"/>
      <c r="BR53" s="276" t="e">
        <f>IF('Pay App 33'!$H$149=0,NA(),IFERROR('Pay App 33'!F111/'Summary Sheet'!$D$19,""))</f>
        <v>#N/A</v>
      </c>
      <c r="BS53" s="264"/>
      <c r="BT53" s="263" t="e">
        <f>IF('Pay App 34'!$H$149=0,NA(),IFERROR('Pay App 34'!F111/'Summary Sheet'!$D$19,""))</f>
        <v>#N/A</v>
      </c>
      <c r="BU53" s="264"/>
      <c r="BV53" s="276" t="e">
        <f>IF('Pay App 35'!$H$149=0,NA(),IFERROR('Pay App 35'!F111/'Summary Sheet'!$D$19,""))</f>
        <v>#N/A</v>
      </c>
      <c r="BW53" s="264"/>
      <c r="BX53" s="263" t="e">
        <f>IF('Pay App 36'!$H$149=0,NA(),IFERROR('Pay App 36'!F111/'Summary Sheet'!$D$19,""))</f>
        <v>#N/A</v>
      </c>
      <c r="BY53" s="264"/>
      <c r="BZ53" s="276" t="e">
        <f>IF('Pay App 37'!$H$149=0,NA(),IFERROR('Pay App 37'!F111/'Summary Sheet'!$D$19,""))</f>
        <v>#N/A</v>
      </c>
      <c r="CA53" s="264"/>
      <c r="CB53" s="263" t="e">
        <f>IF('Pay App 38'!$H$149=0,NA(),IFERROR('Pay App 38'!F111/'Summary Sheet'!$D$19,""))</f>
        <v>#N/A</v>
      </c>
      <c r="CC53" s="264"/>
      <c r="CD53" s="276" t="e">
        <f>IF('Pay App 39'!$H$149=0,NA(),IFERROR('Pay App 39'!F111/'Summary Sheet'!$D$19,""))</f>
        <v>#N/A</v>
      </c>
      <c r="CE53" s="264"/>
      <c r="CF53" s="263" t="e">
        <f>IF('Pay App 40'!$H$149=0,NA(),IFERROR('Pay App 40'!F111/'Summary Sheet'!$D$19,""))</f>
        <v>#N/A</v>
      </c>
      <c r="CG53" s="264"/>
      <c r="CH53" s="276" t="e">
        <f>IF('Pay App 41'!$H$149=0,NA(),IFERROR('Pay App 41'!F111/'Summary Sheet'!$D$19,""))</f>
        <v>#N/A</v>
      </c>
      <c r="CI53" s="264"/>
      <c r="CJ53" s="263" t="e">
        <f>IF('Pay App 42'!$H$149=0,NA(),IFERROR('Pay App 42'!F111/'Summary Sheet'!$D$19,""))</f>
        <v>#N/A</v>
      </c>
      <c r="CK53" s="264"/>
      <c r="CL53" s="276" t="e">
        <f>IF('Pay App 43'!$H$149=0,NA(),IFERROR('Pay App 43'!F111/'Summary Sheet'!$D$19,""))</f>
        <v>#N/A</v>
      </c>
      <c r="CM53" s="264"/>
      <c r="CN53" s="263" t="e">
        <f>IF('Pay App 44'!$H$149=0,NA(),IFERROR('Pay App 44'!F111/'Summary Sheet'!$D$19,""))</f>
        <v>#N/A</v>
      </c>
      <c r="CO53" s="264"/>
      <c r="CP53" s="276" t="e">
        <f>IF('Pay App 45'!$H$149=0,NA(),IFERROR('Pay App 45'!F111/'Summary Sheet'!$D$19,""))</f>
        <v>#N/A</v>
      </c>
      <c r="CQ53" s="264"/>
      <c r="CR53" s="263" t="e">
        <f>IF('Pay App 46'!$H$149=0,NA(),IFERROR('Pay App 46'!F111/'Summary Sheet'!$D$19,""))</f>
        <v>#N/A</v>
      </c>
      <c r="CS53" s="264"/>
      <c r="CT53" s="276" t="e">
        <f>IF('Pay App 47'!$H$149=0,NA(),IFERROR('Pay App 47'!F111/'Summary Sheet'!$D$19,""))</f>
        <v>#N/A</v>
      </c>
      <c r="CU53" s="264"/>
      <c r="CV53" s="263" t="e">
        <f>IF('Pay App 48'!$H$149=0,NA(),IFERROR('Pay App 48'!F111/'Summary Sheet'!$D$19,""))</f>
        <v>#N/A</v>
      </c>
      <c r="CW53" s="264"/>
      <c r="CX53" s="276" t="e">
        <f>IF('Pay App 49'!$H$149=0,NA(),IFERROR('Pay App 49'!F111/'Summary Sheet'!$D$19,""))</f>
        <v>#N/A</v>
      </c>
      <c r="CY53" s="264"/>
      <c r="CZ53" s="263" t="e">
        <f>IF('Pay App 50'!$H$149=0,NA(),IFERROR('Pay App 50'!F111/'Summary Sheet'!$D$19,""))</f>
        <v>#N/A</v>
      </c>
      <c r="DA53" s="264"/>
      <c r="DB53" s="276" t="e">
        <f>IF('Pay App 51'!$H$149=0,NA(),IFERROR('Pay App 51'!F111/'Summary Sheet'!$D$19,""))</f>
        <v>#N/A</v>
      </c>
      <c r="DC53" s="264"/>
      <c r="DD53" s="263" t="e">
        <f>IF('Pay App 52'!$H$149=0,NA(),IFERROR('Pay App 52'!F111/'Summary Sheet'!$D$19,""))</f>
        <v>#N/A</v>
      </c>
      <c r="DE53" s="264"/>
      <c r="DF53" s="276" t="e">
        <f>IF('Pay App 53'!$H$149=0,NA(),IFERROR('Pay App 53'!F111/'Summary Sheet'!$D$19,""))</f>
        <v>#N/A</v>
      </c>
      <c r="DG53" s="264"/>
      <c r="DH53" s="263" t="e">
        <f>IF('Pay App 54'!$H$149=0,NA(),IFERROR('Pay App 54'!F111/'Summary Sheet'!$D$19,""))</f>
        <v>#N/A</v>
      </c>
      <c r="DI53" s="264"/>
      <c r="DJ53" s="276" t="e">
        <f>IF('Pay App 55'!$H$149=0,NA(),IFERROR('Pay App 55'!F111/'Summary Sheet'!$D$19,""))</f>
        <v>#N/A</v>
      </c>
      <c r="DK53" s="264"/>
      <c r="DL53" s="263" t="e">
        <f>IF('Pay App 56'!$H$149=0,NA(),IFERROR('Pay App 56'!F111/'Summary Sheet'!$D$19,""))</f>
        <v>#N/A</v>
      </c>
      <c r="DM53" s="264"/>
      <c r="DN53" s="276" t="e">
        <f>IF('Pay App 57'!$H$149=0,NA(),IFERROR('Pay App 57'!F111/'Summary Sheet'!$D$19,""))</f>
        <v>#N/A</v>
      </c>
      <c r="DO53" s="264"/>
      <c r="DP53" s="263" t="e">
        <f>IF('Pay App 58'!$H$149=0,NA(),IFERROR('Pay App 58'!F111/'Summary Sheet'!$D$19,""))</f>
        <v>#N/A</v>
      </c>
      <c r="DQ53" s="264"/>
      <c r="DR53" s="276" t="e">
        <f>IF('Pay App 59'!$H$149=0,NA(),IFERROR('Pay App 59'!F111/'Summary Sheet'!$D$19,""))</f>
        <v>#N/A</v>
      </c>
      <c r="DS53" s="264"/>
      <c r="DT53" s="263" t="e">
        <f>IF('Pay App 60'!$H$149=0,NA(),IFERROR('Pay App 60'!F1021/'Summary Sheet'!$D$19,""))</f>
        <v>#N/A</v>
      </c>
      <c r="DU53" s="296"/>
    </row>
    <row r="54" spans="2:125" x14ac:dyDescent="0.25">
      <c r="B54" s="36" t="str">
        <f>'Pay App 1'!B112</f>
        <v>09 90 00</v>
      </c>
      <c r="C54" s="37" t="str">
        <f>'Pay App 1'!C112</f>
        <v>Painting</v>
      </c>
      <c r="D54" s="282" t="str" cm="1">
        <f t="array" ref="D54">IFERROR(1+(LOOKUP(2,1/(E54:DT54&lt;&gt;""),E54:DT54)-E54)/E54,"")</f>
        <v/>
      </c>
      <c r="E54" s="275" t="str">
        <f>IFERROR('GMP Tracker'!D58/'Summary Sheet'!$D$19,"")</f>
        <v/>
      </c>
      <c r="F54" s="276" t="e">
        <f>IF('Pay App 1'!$D$149=0,NA(),IFERROR('Pay App 1'!F112/'Summary Sheet'!$D$19,""))</f>
        <v>#N/A</v>
      </c>
      <c r="G54" s="271"/>
      <c r="H54" s="277" t="e">
        <f>IF('Pay App 2'!$H$149=0,NA(),IFERROR('Pay App 2'!F112/'Summary Sheet'!$D$19,""))</f>
        <v>#N/A</v>
      </c>
      <c r="I54" s="266"/>
      <c r="J54" s="276" t="e">
        <f>IF('Pay App 3'!$H$149=0,NA(),IFERROR('Pay App 3'!F112/'Summary Sheet'!$D$19,""))</f>
        <v>#N/A</v>
      </c>
      <c r="K54" s="268"/>
      <c r="L54" s="277" t="e">
        <f>IF('Pay App 4'!$H$149=0,NA(),IFERROR('Pay App 4'!F112/'Summary Sheet'!$D$19,""))</f>
        <v>#N/A</v>
      </c>
      <c r="M54" s="266"/>
      <c r="N54" s="276" t="e">
        <f>IF('Pay App 5'!$H$149=0,NA(),IFERROR('Pay App 5'!F112/'Summary Sheet'!$D$19,""))</f>
        <v>#N/A</v>
      </c>
      <c r="O54" s="263"/>
      <c r="P54" s="277" t="e">
        <f>IF('Pay App 6'!$H$149=0,NA(),IFERROR('Pay App 6'!F112/'Summary Sheet'!$D$19,""))</f>
        <v>#N/A</v>
      </c>
      <c r="Q54" s="263"/>
      <c r="R54" s="276" t="e">
        <f>IF('Pay App 7'!$H$149=0,NA(),IFERROR('Pay App 7'!F112/'Summary Sheet'!$D$19,""))</f>
        <v>#N/A</v>
      </c>
      <c r="S54" s="263"/>
      <c r="T54" s="277" t="e">
        <f>IF('Pay App 8'!$H$149=0,NA(),IFERROR('Pay App 8'!F112/'Summary Sheet'!$D$19,""))</f>
        <v>#N/A</v>
      </c>
      <c r="U54" s="263"/>
      <c r="V54" s="276" t="e">
        <f>IF('Pay App 9'!$H$149=0,NA(),IFERROR('Pay App 9'!F112/'Summary Sheet'!$D$19,""))</f>
        <v>#N/A</v>
      </c>
      <c r="W54" s="263"/>
      <c r="X54" s="277" t="e">
        <f>IF('Pay App 10'!$H$149=0,NA(),IFERROR('Pay App 10'!F112/'Summary Sheet'!$D$19,""))</f>
        <v>#N/A</v>
      </c>
      <c r="Y54" s="263"/>
      <c r="Z54" s="276" t="e">
        <f>IF('Pay App 11'!$H$149=0,NA(),IFERROR('Pay App 11'!F112/'Summary Sheet'!$D$19,""))</f>
        <v>#N/A</v>
      </c>
      <c r="AA54" s="263"/>
      <c r="AB54" s="277" t="e">
        <f>IF('Pay App 12'!$H$149=0,NA(),IFERROR('Pay App 12'!F112/'Summary Sheet'!$D$19,""))</f>
        <v>#N/A</v>
      </c>
      <c r="AC54" s="263"/>
      <c r="AD54" s="276" t="e">
        <f>IF('Pay App 13'!$H$149=0,NA(),IFERROR('Pay App 13'!F112/'Summary Sheet'!$D$19,""))</f>
        <v>#N/A</v>
      </c>
      <c r="AE54" s="263"/>
      <c r="AF54" s="277" t="e">
        <f>IF('Pay App 14'!$H$149=0,NA(),IFERROR('Pay App 14'!F112/'Summary Sheet'!$D$19,""))</f>
        <v>#N/A</v>
      </c>
      <c r="AG54" s="263"/>
      <c r="AH54" s="276" t="e">
        <f>IF('Pay App 15'!$H$149=0,NA(),IFERROR('Pay App 15'!F112/'Summary Sheet'!$D$19,""))</f>
        <v>#N/A</v>
      </c>
      <c r="AI54" s="263"/>
      <c r="AJ54" s="277" t="e">
        <f>IF('Pay App 16'!$H$149=0,NA(),IFERROR('Pay App 16'!F112/'Summary Sheet'!$D$19,""))</f>
        <v>#N/A</v>
      </c>
      <c r="AK54" s="263"/>
      <c r="AL54" s="276" t="e">
        <f>IF('Pay App 17'!$H$149=0,NA(),IFERROR('Pay App 17'!F112/'Summary Sheet'!$D$19,""))</f>
        <v>#N/A</v>
      </c>
      <c r="AM54" s="263"/>
      <c r="AN54" s="277" t="e">
        <f>IF('Pay App 18'!$H$149=0,NA(),IFERROR('Pay App 18'!F112/'Summary Sheet'!$D$19,""))</f>
        <v>#N/A</v>
      </c>
      <c r="AO54" s="263"/>
      <c r="AP54" s="276" t="e">
        <f>IF('Pay App 19'!$H$149=0,NA(),IFERROR('Pay App 19'!F112/'Summary Sheet'!$D$19,""))</f>
        <v>#N/A</v>
      </c>
      <c r="AQ54" s="263"/>
      <c r="AR54" s="263" t="e">
        <f>IF('Pay App 20'!$H$149=0,NA(),IFERROR('Pay App 20'!F112/'Summary Sheet'!$D$19,""))</f>
        <v>#N/A</v>
      </c>
      <c r="AS54" s="264"/>
      <c r="AT54" s="276" t="e">
        <f>IF('Pay App 21'!$H$149=0,NA(),IFERROR('Pay App 21'!F112/'Summary Sheet'!$D$19,""))</f>
        <v>#N/A</v>
      </c>
      <c r="AU54" s="264"/>
      <c r="AV54" s="263" t="e">
        <f>IF('Pay App 22'!$H$149=0,NA(),IFERROR('Pay App 22'!F112/'Summary Sheet'!$D$19,""))</f>
        <v>#N/A</v>
      </c>
      <c r="AW54" s="264"/>
      <c r="AX54" s="276" t="e">
        <f>IF('Pay App 23'!$H$149=0,NA(),IFERROR('Pay App 23'!F112/'Summary Sheet'!$D$19,""))</f>
        <v>#N/A</v>
      </c>
      <c r="AY54" s="264"/>
      <c r="AZ54" s="263" t="e">
        <f>IF('Pay App 24'!$H$149=0,NA(),IFERROR('Pay App 24'!F112/'Summary Sheet'!$D$19,""))</f>
        <v>#N/A</v>
      </c>
      <c r="BA54" s="264"/>
      <c r="BB54" s="276" t="e">
        <f>IF('Pay App 25'!$H$149=0,NA(),IFERROR('Pay App 25'!F112/'Summary Sheet'!$D$19,""))</f>
        <v>#N/A</v>
      </c>
      <c r="BC54" s="264"/>
      <c r="BD54" s="263" t="e">
        <f>IF('Pay App 26'!$H$149=0,NA(),IFERROR('Pay App 26'!F112/'Summary Sheet'!$D$19,""))</f>
        <v>#N/A</v>
      </c>
      <c r="BE54" s="264"/>
      <c r="BF54" s="276" t="e">
        <f>IF('Pay App 27'!$H$149=0,NA(),IFERROR('Pay App 27'!F112/'Summary Sheet'!$D$19,""))</f>
        <v>#N/A</v>
      </c>
      <c r="BG54" s="264"/>
      <c r="BH54" s="263" t="e">
        <f>IF('Pay App 28'!$H$149=0,NA(),IFERROR('Pay App 28'!F112/'Summary Sheet'!$D$19,""))</f>
        <v>#N/A</v>
      </c>
      <c r="BI54" s="264"/>
      <c r="BJ54" s="276" t="e">
        <f>IF('Pay App 29'!$H$149=0,NA(),IFERROR('Pay App 29'!F112/'Summary Sheet'!$D$19,""))</f>
        <v>#N/A</v>
      </c>
      <c r="BK54" s="271"/>
      <c r="BL54" s="263" t="e">
        <f>IF('Pay App 30'!$H$149=0,NA(),IFERROR('Pay App 30'!F112/'Summary Sheet'!$D$19,""))</f>
        <v>#N/A</v>
      </c>
      <c r="BM54" s="264"/>
      <c r="BN54" s="276" t="e">
        <f>IF('Pay App 31'!$H$149=0,NA(),IFERROR('Pay App 31'!F112/'Summary Sheet'!$D$19,""))</f>
        <v>#N/A</v>
      </c>
      <c r="BO54" s="264"/>
      <c r="BP54" s="263" t="e">
        <f>IF('Pay App 32'!$H$149=0,NA(),IFERROR('Pay App 32'!F112/'Summary Sheet'!$D$19,""))</f>
        <v>#N/A</v>
      </c>
      <c r="BQ54" s="264"/>
      <c r="BR54" s="276" t="e">
        <f>IF('Pay App 33'!$H$149=0,NA(),IFERROR('Pay App 33'!F112/'Summary Sheet'!$D$19,""))</f>
        <v>#N/A</v>
      </c>
      <c r="BS54" s="264"/>
      <c r="BT54" s="263" t="e">
        <f>IF('Pay App 34'!$H$149=0,NA(),IFERROR('Pay App 34'!F112/'Summary Sheet'!$D$19,""))</f>
        <v>#N/A</v>
      </c>
      <c r="BU54" s="264"/>
      <c r="BV54" s="276" t="e">
        <f>IF('Pay App 35'!$H$149=0,NA(),IFERROR('Pay App 35'!F112/'Summary Sheet'!$D$19,""))</f>
        <v>#N/A</v>
      </c>
      <c r="BW54" s="264"/>
      <c r="BX54" s="263" t="e">
        <f>IF('Pay App 36'!$H$149=0,NA(),IFERROR('Pay App 36'!F112/'Summary Sheet'!$D$19,""))</f>
        <v>#N/A</v>
      </c>
      <c r="BY54" s="264"/>
      <c r="BZ54" s="276" t="e">
        <f>IF('Pay App 37'!$H$149=0,NA(),IFERROR('Pay App 37'!F112/'Summary Sheet'!$D$19,""))</f>
        <v>#N/A</v>
      </c>
      <c r="CA54" s="264"/>
      <c r="CB54" s="263" t="e">
        <f>IF('Pay App 38'!$H$149=0,NA(),IFERROR('Pay App 38'!F112/'Summary Sheet'!$D$19,""))</f>
        <v>#N/A</v>
      </c>
      <c r="CC54" s="264"/>
      <c r="CD54" s="276" t="e">
        <f>IF('Pay App 39'!$H$149=0,NA(),IFERROR('Pay App 39'!F112/'Summary Sheet'!$D$19,""))</f>
        <v>#N/A</v>
      </c>
      <c r="CE54" s="264"/>
      <c r="CF54" s="263" t="e">
        <f>IF('Pay App 40'!$H$149=0,NA(),IFERROR('Pay App 40'!F112/'Summary Sheet'!$D$19,""))</f>
        <v>#N/A</v>
      </c>
      <c r="CG54" s="264"/>
      <c r="CH54" s="276" t="e">
        <f>IF('Pay App 41'!$H$149=0,NA(),IFERROR('Pay App 41'!F112/'Summary Sheet'!$D$19,""))</f>
        <v>#N/A</v>
      </c>
      <c r="CI54" s="264"/>
      <c r="CJ54" s="263" t="e">
        <f>IF('Pay App 42'!$H$149=0,NA(),IFERROR('Pay App 42'!F112/'Summary Sheet'!$D$19,""))</f>
        <v>#N/A</v>
      </c>
      <c r="CK54" s="264"/>
      <c r="CL54" s="276" t="e">
        <f>IF('Pay App 43'!$H$149=0,NA(),IFERROR('Pay App 43'!F112/'Summary Sheet'!$D$19,""))</f>
        <v>#N/A</v>
      </c>
      <c r="CM54" s="264"/>
      <c r="CN54" s="263" t="e">
        <f>IF('Pay App 44'!$H$149=0,NA(),IFERROR('Pay App 44'!F112/'Summary Sheet'!$D$19,""))</f>
        <v>#N/A</v>
      </c>
      <c r="CO54" s="264"/>
      <c r="CP54" s="276" t="e">
        <f>IF('Pay App 45'!$H$149=0,NA(),IFERROR('Pay App 45'!F112/'Summary Sheet'!$D$19,""))</f>
        <v>#N/A</v>
      </c>
      <c r="CQ54" s="264"/>
      <c r="CR54" s="263" t="e">
        <f>IF('Pay App 46'!$H$149=0,NA(),IFERROR('Pay App 46'!F112/'Summary Sheet'!$D$19,""))</f>
        <v>#N/A</v>
      </c>
      <c r="CS54" s="264"/>
      <c r="CT54" s="276" t="e">
        <f>IF('Pay App 47'!$H$149=0,NA(),IFERROR('Pay App 47'!F112/'Summary Sheet'!$D$19,""))</f>
        <v>#N/A</v>
      </c>
      <c r="CU54" s="264"/>
      <c r="CV54" s="263" t="e">
        <f>IF('Pay App 48'!$H$149=0,NA(),IFERROR('Pay App 48'!F112/'Summary Sheet'!$D$19,""))</f>
        <v>#N/A</v>
      </c>
      <c r="CW54" s="264"/>
      <c r="CX54" s="276" t="e">
        <f>IF('Pay App 49'!$H$149=0,NA(),IFERROR('Pay App 49'!F112/'Summary Sheet'!$D$19,""))</f>
        <v>#N/A</v>
      </c>
      <c r="CY54" s="264"/>
      <c r="CZ54" s="263" t="e">
        <f>IF('Pay App 50'!$H$149=0,NA(),IFERROR('Pay App 50'!F112/'Summary Sheet'!$D$19,""))</f>
        <v>#N/A</v>
      </c>
      <c r="DA54" s="264"/>
      <c r="DB54" s="276" t="e">
        <f>IF('Pay App 51'!$H$149=0,NA(),IFERROR('Pay App 51'!F112/'Summary Sheet'!$D$19,""))</f>
        <v>#N/A</v>
      </c>
      <c r="DC54" s="264"/>
      <c r="DD54" s="263" t="e">
        <f>IF('Pay App 52'!$H$149=0,NA(),IFERROR('Pay App 52'!F112/'Summary Sheet'!$D$19,""))</f>
        <v>#N/A</v>
      </c>
      <c r="DE54" s="264"/>
      <c r="DF54" s="276" t="e">
        <f>IF('Pay App 53'!$H$149=0,NA(),IFERROR('Pay App 53'!F112/'Summary Sheet'!$D$19,""))</f>
        <v>#N/A</v>
      </c>
      <c r="DG54" s="264"/>
      <c r="DH54" s="263" t="e">
        <f>IF('Pay App 54'!$H$149=0,NA(),IFERROR('Pay App 54'!F112/'Summary Sheet'!$D$19,""))</f>
        <v>#N/A</v>
      </c>
      <c r="DI54" s="264"/>
      <c r="DJ54" s="276" t="e">
        <f>IF('Pay App 55'!$H$149=0,NA(),IFERROR('Pay App 55'!F112/'Summary Sheet'!$D$19,""))</f>
        <v>#N/A</v>
      </c>
      <c r="DK54" s="264"/>
      <c r="DL54" s="263" t="e">
        <f>IF('Pay App 56'!$H$149=0,NA(),IFERROR('Pay App 56'!F112/'Summary Sheet'!$D$19,""))</f>
        <v>#N/A</v>
      </c>
      <c r="DM54" s="264"/>
      <c r="DN54" s="276" t="e">
        <f>IF('Pay App 57'!$H$149=0,NA(),IFERROR('Pay App 57'!F112/'Summary Sheet'!$D$19,""))</f>
        <v>#N/A</v>
      </c>
      <c r="DO54" s="264"/>
      <c r="DP54" s="263" t="e">
        <f>IF('Pay App 58'!$H$149=0,NA(),IFERROR('Pay App 58'!F112/'Summary Sheet'!$D$19,""))</f>
        <v>#N/A</v>
      </c>
      <c r="DQ54" s="264"/>
      <c r="DR54" s="276" t="e">
        <f>IF('Pay App 59'!$H$149=0,NA(),IFERROR('Pay App 59'!F112/'Summary Sheet'!$D$19,""))</f>
        <v>#N/A</v>
      </c>
      <c r="DS54" s="264"/>
      <c r="DT54" s="263" t="e">
        <f>IF('Pay App 60'!$H$149=0,NA(),IFERROR('Pay App 60'!F1022/'Summary Sheet'!$D$19,""))</f>
        <v>#N/A</v>
      </c>
      <c r="DU54" s="296"/>
    </row>
    <row r="55" spans="2:125" x14ac:dyDescent="0.25">
      <c r="B55" s="38" t="str">
        <f>'Pay App 1'!B113</f>
        <v>10 00 00</v>
      </c>
      <c r="C55" s="39" t="str">
        <f>'Pay App 1'!C113</f>
        <v>Specialties</v>
      </c>
      <c r="D55" s="282" t="str" cm="1">
        <f t="array" ref="D55">IFERROR(1+(LOOKUP(2,1/(E55:DT55&lt;&gt;""),E55:DT55)-E55)/E55,"")</f>
        <v/>
      </c>
      <c r="E55" s="275" t="str">
        <f>IFERROR('GMP Tracker'!D59/'Summary Sheet'!$D$19,"")</f>
        <v/>
      </c>
      <c r="F55" s="276" t="e">
        <f>IF('Pay App 1'!$D$149=0,NA(),IFERROR('Pay App 1'!F113/'Summary Sheet'!$D$19,""))</f>
        <v>#N/A</v>
      </c>
      <c r="G55" s="271"/>
      <c r="H55" s="277" t="e">
        <f>IF('Pay App 2'!$H$149=0,NA(),IFERROR('Pay App 2'!F113/'Summary Sheet'!$D$19,""))</f>
        <v>#N/A</v>
      </c>
      <c r="I55" s="266"/>
      <c r="J55" s="276" t="e">
        <f>IF('Pay App 3'!$H$149=0,NA(),IFERROR('Pay App 3'!F113/'Summary Sheet'!$D$19,""))</f>
        <v>#N/A</v>
      </c>
      <c r="K55" s="268"/>
      <c r="L55" s="277" t="e">
        <f>IF('Pay App 4'!$H$149=0,NA(),IFERROR('Pay App 4'!F113/'Summary Sheet'!$D$19,""))</f>
        <v>#N/A</v>
      </c>
      <c r="M55" s="266"/>
      <c r="N55" s="276" t="e">
        <f>IF('Pay App 5'!$H$149=0,NA(),IFERROR('Pay App 5'!F113/'Summary Sheet'!$D$19,""))</f>
        <v>#N/A</v>
      </c>
      <c r="O55" s="263"/>
      <c r="P55" s="277" t="e">
        <f>IF('Pay App 6'!$H$149=0,NA(),IFERROR('Pay App 6'!F113/'Summary Sheet'!$D$19,""))</f>
        <v>#N/A</v>
      </c>
      <c r="Q55" s="263"/>
      <c r="R55" s="276" t="e">
        <f>IF('Pay App 7'!$H$149=0,NA(),IFERROR('Pay App 7'!F113/'Summary Sheet'!$D$19,""))</f>
        <v>#N/A</v>
      </c>
      <c r="S55" s="263"/>
      <c r="T55" s="277" t="e">
        <f>IF('Pay App 8'!$H$149=0,NA(),IFERROR('Pay App 8'!F113/'Summary Sheet'!$D$19,""))</f>
        <v>#N/A</v>
      </c>
      <c r="U55" s="263"/>
      <c r="V55" s="276" t="e">
        <f>IF('Pay App 9'!$H$149=0,NA(),IFERROR('Pay App 9'!F113/'Summary Sheet'!$D$19,""))</f>
        <v>#N/A</v>
      </c>
      <c r="W55" s="263"/>
      <c r="X55" s="277" t="e">
        <f>IF('Pay App 10'!$H$149=0,NA(),IFERROR('Pay App 10'!F113/'Summary Sheet'!$D$19,""))</f>
        <v>#N/A</v>
      </c>
      <c r="Y55" s="263"/>
      <c r="Z55" s="276" t="e">
        <f>IF('Pay App 11'!$H$149=0,NA(),IFERROR('Pay App 11'!F113/'Summary Sheet'!$D$19,""))</f>
        <v>#N/A</v>
      </c>
      <c r="AA55" s="263"/>
      <c r="AB55" s="277" t="e">
        <f>IF('Pay App 12'!$H$149=0,NA(),IFERROR('Pay App 12'!F113/'Summary Sheet'!$D$19,""))</f>
        <v>#N/A</v>
      </c>
      <c r="AC55" s="263"/>
      <c r="AD55" s="276" t="e">
        <f>IF('Pay App 13'!$H$149=0,NA(),IFERROR('Pay App 13'!F113/'Summary Sheet'!$D$19,""))</f>
        <v>#N/A</v>
      </c>
      <c r="AE55" s="263"/>
      <c r="AF55" s="277" t="e">
        <f>IF('Pay App 14'!$H$149=0,NA(),IFERROR('Pay App 14'!F113/'Summary Sheet'!$D$19,""))</f>
        <v>#N/A</v>
      </c>
      <c r="AG55" s="263"/>
      <c r="AH55" s="276" t="e">
        <f>IF('Pay App 15'!$H$149=0,NA(),IFERROR('Pay App 15'!F113/'Summary Sheet'!$D$19,""))</f>
        <v>#N/A</v>
      </c>
      <c r="AI55" s="263"/>
      <c r="AJ55" s="277" t="e">
        <f>IF('Pay App 16'!$H$149=0,NA(),IFERROR('Pay App 16'!F113/'Summary Sheet'!$D$19,""))</f>
        <v>#N/A</v>
      </c>
      <c r="AK55" s="263"/>
      <c r="AL55" s="276" t="e">
        <f>IF('Pay App 17'!$H$149=0,NA(),IFERROR('Pay App 17'!F113/'Summary Sheet'!$D$19,""))</f>
        <v>#N/A</v>
      </c>
      <c r="AM55" s="263"/>
      <c r="AN55" s="277" t="e">
        <f>IF('Pay App 18'!$H$149=0,NA(),IFERROR('Pay App 18'!F113/'Summary Sheet'!$D$19,""))</f>
        <v>#N/A</v>
      </c>
      <c r="AO55" s="263"/>
      <c r="AP55" s="276" t="e">
        <f>IF('Pay App 19'!$H$149=0,NA(),IFERROR('Pay App 19'!F113/'Summary Sheet'!$D$19,""))</f>
        <v>#N/A</v>
      </c>
      <c r="AQ55" s="263"/>
      <c r="AR55" s="263" t="e">
        <f>IF('Pay App 20'!$H$149=0,NA(),IFERROR('Pay App 20'!F113/'Summary Sheet'!$D$19,""))</f>
        <v>#N/A</v>
      </c>
      <c r="AS55" s="264"/>
      <c r="AT55" s="276" t="e">
        <f>IF('Pay App 21'!$H$149=0,NA(),IFERROR('Pay App 21'!F113/'Summary Sheet'!$D$19,""))</f>
        <v>#N/A</v>
      </c>
      <c r="AU55" s="264"/>
      <c r="AV55" s="263" t="e">
        <f>IF('Pay App 22'!$H$149=0,NA(),IFERROR('Pay App 22'!F113/'Summary Sheet'!$D$19,""))</f>
        <v>#N/A</v>
      </c>
      <c r="AW55" s="264"/>
      <c r="AX55" s="276" t="e">
        <f>IF('Pay App 23'!$H$149=0,NA(),IFERROR('Pay App 23'!F113/'Summary Sheet'!$D$19,""))</f>
        <v>#N/A</v>
      </c>
      <c r="AY55" s="264"/>
      <c r="AZ55" s="263" t="e">
        <f>IF('Pay App 24'!$H$149=0,NA(),IFERROR('Pay App 24'!F113/'Summary Sheet'!$D$19,""))</f>
        <v>#N/A</v>
      </c>
      <c r="BA55" s="264"/>
      <c r="BB55" s="276" t="e">
        <f>IF('Pay App 25'!$H$149=0,NA(),IFERROR('Pay App 25'!F113/'Summary Sheet'!$D$19,""))</f>
        <v>#N/A</v>
      </c>
      <c r="BC55" s="264"/>
      <c r="BD55" s="263" t="e">
        <f>IF('Pay App 26'!$H$149=0,NA(),IFERROR('Pay App 26'!F113/'Summary Sheet'!$D$19,""))</f>
        <v>#N/A</v>
      </c>
      <c r="BE55" s="264"/>
      <c r="BF55" s="276" t="e">
        <f>IF('Pay App 27'!$H$149=0,NA(),IFERROR('Pay App 27'!F113/'Summary Sheet'!$D$19,""))</f>
        <v>#N/A</v>
      </c>
      <c r="BG55" s="264"/>
      <c r="BH55" s="263" t="e">
        <f>IF('Pay App 28'!$H$149=0,NA(),IFERROR('Pay App 28'!F113/'Summary Sheet'!$D$19,""))</f>
        <v>#N/A</v>
      </c>
      <c r="BI55" s="264"/>
      <c r="BJ55" s="276" t="e">
        <f>IF('Pay App 29'!$H$149=0,NA(),IFERROR('Pay App 29'!F113/'Summary Sheet'!$D$19,""))</f>
        <v>#N/A</v>
      </c>
      <c r="BK55" s="271"/>
      <c r="BL55" s="263" t="e">
        <f>IF('Pay App 30'!$H$149=0,NA(),IFERROR('Pay App 30'!F113/'Summary Sheet'!$D$19,""))</f>
        <v>#N/A</v>
      </c>
      <c r="BM55" s="264"/>
      <c r="BN55" s="276" t="e">
        <f>IF('Pay App 31'!$H$149=0,NA(),IFERROR('Pay App 31'!F113/'Summary Sheet'!$D$19,""))</f>
        <v>#N/A</v>
      </c>
      <c r="BO55" s="264"/>
      <c r="BP55" s="263" t="e">
        <f>IF('Pay App 32'!$H$149=0,NA(),IFERROR('Pay App 32'!F113/'Summary Sheet'!$D$19,""))</f>
        <v>#N/A</v>
      </c>
      <c r="BQ55" s="264"/>
      <c r="BR55" s="276" t="e">
        <f>IF('Pay App 33'!$H$149=0,NA(),IFERROR('Pay App 33'!F113/'Summary Sheet'!$D$19,""))</f>
        <v>#N/A</v>
      </c>
      <c r="BS55" s="264"/>
      <c r="BT55" s="263" t="e">
        <f>IF('Pay App 34'!$H$149=0,NA(),IFERROR('Pay App 34'!F113/'Summary Sheet'!$D$19,""))</f>
        <v>#N/A</v>
      </c>
      <c r="BU55" s="264"/>
      <c r="BV55" s="276" t="e">
        <f>IF('Pay App 35'!$H$149=0,NA(),IFERROR('Pay App 35'!F113/'Summary Sheet'!$D$19,""))</f>
        <v>#N/A</v>
      </c>
      <c r="BW55" s="264"/>
      <c r="BX55" s="263" t="e">
        <f>IF('Pay App 36'!$H$149=0,NA(),IFERROR('Pay App 36'!F113/'Summary Sheet'!$D$19,""))</f>
        <v>#N/A</v>
      </c>
      <c r="BY55" s="264"/>
      <c r="BZ55" s="276" t="e">
        <f>IF('Pay App 37'!$H$149=0,NA(),IFERROR('Pay App 37'!F113/'Summary Sheet'!$D$19,""))</f>
        <v>#N/A</v>
      </c>
      <c r="CA55" s="264"/>
      <c r="CB55" s="263" t="e">
        <f>IF('Pay App 38'!$H$149=0,NA(),IFERROR('Pay App 38'!F113/'Summary Sheet'!$D$19,""))</f>
        <v>#N/A</v>
      </c>
      <c r="CC55" s="264"/>
      <c r="CD55" s="276" t="e">
        <f>IF('Pay App 39'!$H$149=0,NA(),IFERROR('Pay App 39'!F113/'Summary Sheet'!$D$19,""))</f>
        <v>#N/A</v>
      </c>
      <c r="CE55" s="264"/>
      <c r="CF55" s="263" t="e">
        <f>IF('Pay App 40'!$H$149=0,NA(),IFERROR('Pay App 40'!F113/'Summary Sheet'!$D$19,""))</f>
        <v>#N/A</v>
      </c>
      <c r="CG55" s="264"/>
      <c r="CH55" s="276" t="e">
        <f>IF('Pay App 41'!$H$149=0,NA(),IFERROR('Pay App 41'!F113/'Summary Sheet'!$D$19,""))</f>
        <v>#N/A</v>
      </c>
      <c r="CI55" s="264"/>
      <c r="CJ55" s="263" t="e">
        <f>IF('Pay App 42'!$H$149=0,NA(),IFERROR('Pay App 42'!F113/'Summary Sheet'!$D$19,""))</f>
        <v>#N/A</v>
      </c>
      <c r="CK55" s="264"/>
      <c r="CL55" s="276" t="e">
        <f>IF('Pay App 43'!$H$149=0,NA(),IFERROR('Pay App 43'!F113/'Summary Sheet'!$D$19,""))</f>
        <v>#N/A</v>
      </c>
      <c r="CM55" s="264"/>
      <c r="CN55" s="263" t="e">
        <f>IF('Pay App 44'!$H$149=0,NA(),IFERROR('Pay App 44'!F113/'Summary Sheet'!$D$19,""))</f>
        <v>#N/A</v>
      </c>
      <c r="CO55" s="264"/>
      <c r="CP55" s="276" t="e">
        <f>IF('Pay App 45'!$H$149=0,NA(),IFERROR('Pay App 45'!F113/'Summary Sheet'!$D$19,""))</f>
        <v>#N/A</v>
      </c>
      <c r="CQ55" s="264"/>
      <c r="CR55" s="263" t="e">
        <f>IF('Pay App 46'!$H$149=0,NA(),IFERROR('Pay App 46'!F113/'Summary Sheet'!$D$19,""))</f>
        <v>#N/A</v>
      </c>
      <c r="CS55" s="264"/>
      <c r="CT55" s="276" t="e">
        <f>IF('Pay App 47'!$H$149=0,NA(),IFERROR('Pay App 47'!F113/'Summary Sheet'!$D$19,""))</f>
        <v>#N/A</v>
      </c>
      <c r="CU55" s="264"/>
      <c r="CV55" s="263" t="e">
        <f>IF('Pay App 48'!$H$149=0,NA(),IFERROR('Pay App 48'!F113/'Summary Sheet'!$D$19,""))</f>
        <v>#N/A</v>
      </c>
      <c r="CW55" s="264"/>
      <c r="CX55" s="276" t="e">
        <f>IF('Pay App 49'!$H$149=0,NA(),IFERROR('Pay App 49'!F113/'Summary Sheet'!$D$19,""))</f>
        <v>#N/A</v>
      </c>
      <c r="CY55" s="264"/>
      <c r="CZ55" s="263" t="e">
        <f>IF('Pay App 50'!$H$149=0,NA(),IFERROR('Pay App 50'!F113/'Summary Sheet'!$D$19,""))</f>
        <v>#N/A</v>
      </c>
      <c r="DA55" s="264"/>
      <c r="DB55" s="276" t="e">
        <f>IF('Pay App 51'!$H$149=0,NA(),IFERROR('Pay App 51'!F113/'Summary Sheet'!$D$19,""))</f>
        <v>#N/A</v>
      </c>
      <c r="DC55" s="264"/>
      <c r="DD55" s="263" t="e">
        <f>IF('Pay App 52'!$H$149=0,NA(),IFERROR('Pay App 52'!F113/'Summary Sheet'!$D$19,""))</f>
        <v>#N/A</v>
      </c>
      <c r="DE55" s="264"/>
      <c r="DF55" s="276" t="e">
        <f>IF('Pay App 53'!$H$149=0,NA(),IFERROR('Pay App 53'!F113/'Summary Sheet'!$D$19,""))</f>
        <v>#N/A</v>
      </c>
      <c r="DG55" s="264"/>
      <c r="DH55" s="263" t="e">
        <f>IF('Pay App 54'!$H$149=0,NA(),IFERROR('Pay App 54'!F113/'Summary Sheet'!$D$19,""))</f>
        <v>#N/A</v>
      </c>
      <c r="DI55" s="264"/>
      <c r="DJ55" s="276" t="e">
        <f>IF('Pay App 55'!$H$149=0,NA(),IFERROR('Pay App 55'!F113/'Summary Sheet'!$D$19,""))</f>
        <v>#N/A</v>
      </c>
      <c r="DK55" s="264"/>
      <c r="DL55" s="263" t="e">
        <f>IF('Pay App 56'!$H$149=0,NA(),IFERROR('Pay App 56'!F113/'Summary Sheet'!$D$19,""))</f>
        <v>#N/A</v>
      </c>
      <c r="DM55" s="264"/>
      <c r="DN55" s="276" t="e">
        <f>IF('Pay App 57'!$H$149=0,NA(),IFERROR('Pay App 57'!F113/'Summary Sheet'!$D$19,""))</f>
        <v>#N/A</v>
      </c>
      <c r="DO55" s="264"/>
      <c r="DP55" s="263" t="e">
        <f>IF('Pay App 58'!$H$149=0,NA(),IFERROR('Pay App 58'!F113/'Summary Sheet'!$D$19,""))</f>
        <v>#N/A</v>
      </c>
      <c r="DQ55" s="264"/>
      <c r="DR55" s="276" t="e">
        <f>IF('Pay App 59'!$H$149=0,NA(),IFERROR('Pay App 59'!F113/'Summary Sheet'!$D$19,""))</f>
        <v>#N/A</v>
      </c>
      <c r="DS55" s="264"/>
      <c r="DT55" s="263" t="e">
        <f>IF('Pay App 60'!$H$149=0,NA(),IFERROR('Pay App 60'!F1023/'Summary Sheet'!$D$19,""))</f>
        <v>#N/A</v>
      </c>
      <c r="DU55" s="296"/>
    </row>
    <row r="56" spans="2:125" x14ac:dyDescent="0.25">
      <c r="B56" s="38" t="str">
        <f>'Pay App 1'!B114</f>
        <v>10 14 14</v>
      </c>
      <c r="C56" s="39" t="str">
        <f>'Pay App 1'!C114</f>
        <v>Exterior Signage</v>
      </c>
      <c r="D56" s="282" t="str" cm="1">
        <f t="array" ref="D56">IFERROR(1+(LOOKUP(2,1/(E56:DT56&lt;&gt;""),E56:DT56)-E56)/E56,"")</f>
        <v/>
      </c>
      <c r="E56" s="275" t="str">
        <f>IFERROR('GMP Tracker'!D60/'Summary Sheet'!$D$19,"")</f>
        <v/>
      </c>
      <c r="F56" s="276" t="e">
        <f>IF('Pay App 1'!$D$149=0,NA(),IFERROR('Pay App 1'!F114/'Summary Sheet'!$D$19,""))</f>
        <v>#N/A</v>
      </c>
      <c r="G56" s="271"/>
      <c r="H56" s="277" t="e">
        <f>IF('Pay App 2'!$H$149=0,NA(),IFERROR('Pay App 2'!F114/'Summary Sheet'!$D$19,""))</f>
        <v>#N/A</v>
      </c>
      <c r="I56" s="266"/>
      <c r="J56" s="276" t="e">
        <f>IF('Pay App 3'!$H$149=0,NA(),IFERROR('Pay App 3'!F114/'Summary Sheet'!$D$19,""))</f>
        <v>#N/A</v>
      </c>
      <c r="K56" s="268"/>
      <c r="L56" s="277" t="e">
        <f>IF('Pay App 4'!$H$149=0,NA(),IFERROR('Pay App 4'!F114/'Summary Sheet'!$D$19,""))</f>
        <v>#N/A</v>
      </c>
      <c r="M56" s="266"/>
      <c r="N56" s="276" t="e">
        <f>IF('Pay App 5'!$H$149=0,NA(),IFERROR('Pay App 5'!F114/'Summary Sheet'!$D$19,""))</f>
        <v>#N/A</v>
      </c>
      <c r="O56" s="263"/>
      <c r="P56" s="277" t="e">
        <f>IF('Pay App 6'!$H$149=0,NA(),IFERROR('Pay App 6'!F114/'Summary Sheet'!$D$19,""))</f>
        <v>#N/A</v>
      </c>
      <c r="Q56" s="263"/>
      <c r="R56" s="276" t="e">
        <f>IF('Pay App 7'!$H$149=0,NA(),IFERROR('Pay App 7'!F114/'Summary Sheet'!$D$19,""))</f>
        <v>#N/A</v>
      </c>
      <c r="S56" s="263"/>
      <c r="T56" s="277" t="e">
        <f>IF('Pay App 8'!$H$149=0,NA(),IFERROR('Pay App 8'!F114/'Summary Sheet'!$D$19,""))</f>
        <v>#N/A</v>
      </c>
      <c r="U56" s="263"/>
      <c r="V56" s="276" t="e">
        <f>IF('Pay App 9'!$H$149=0,NA(),IFERROR('Pay App 9'!F114/'Summary Sheet'!$D$19,""))</f>
        <v>#N/A</v>
      </c>
      <c r="W56" s="263"/>
      <c r="X56" s="277" t="e">
        <f>IF('Pay App 10'!$H$149=0,NA(),IFERROR('Pay App 10'!F114/'Summary Sheet'!$D$19,""))</f>
        <v>#N/A</v>
      </c>
      <c r="Y56" s="263"/>
      <c r="Z56" s="276" t="e">
        <f>IF('Pay App 11'!$H$149=0,NA(),IFERROR('Pay App 11'!F114/'Summary Sheet'!$D$19,""))</f>
        <v>#N/A</v>
      </c>
      <c r="AA56" s="263"/>
      <c r="AB56" s="277" t="e">
        <f>IF('Pay App 12'!$H$149=0,NA(),IFERROR('Pay App 12'!F114/'Summary Sheet'!$D$19,""))</f>
        <v>#N/A</v>
      </c>
      <c r="AC56" s="263"/>
      <c r="AD56" s="276" t="e">
        <f>IF('Pay App 13'!$H$149=0,NA(),IFERROR('Pay App 13'!F114/'Summary Sheet'!$D$19,""))</f>
        <v>#N/A</v>
      </c>
      <c r="AE56" s="263"/>
      <c r="AF56" s="277" t="e">
        <f>IF('Pay App 14'!$H$149=0,NA(),IFERROR('Pay App 14'!F114/'Summary Sheet'!$D$19,""))</f>
        <v>#N/A</v>
      </c>
      <c r="AG56" s="263"/>
      <c r="AH56" s="276" t="e">
        <f>IF('Pay App 15'!$H$149=0,NA(),IFERROR('Pay App 15'!F114/'Summary Sheet'!$D$19,""))</f>
        <v>#N/A</v>
      </c>
      <c r="AI56" s="263"/>
      <c r="AJ56" s="277" t="e">
        <f>IF('Pay App 16'!$H$149=0,NA(),IFERROR('Pay App 16'!F114/'Summary Sheet'!$D$19,""))</f>
        <v>#N/A</v>
      </c>
      <c r="AK56" s="263"/>
      <c r="AL56" s="276" t="e">
        <f>IF('Pay App 17'!$H$149=0,NA(),IFERROR('Pay App 17'!F114/'Summary Sheet'!$D$19,""))</f>
        <v>#N/A</v>
      </c>
      <c r="AM56" s="263"/>
      <c r="AN56" s="277" t="e">
        <f>IF('Pay App 18'!$H$149=0,NA(),IFERROR('Pay App 18'!F114/'Summary Sheet'!$D$19,""))</f>
        <v>#N/A</v>
      </c>
      <c r="AO56" s="263"/>
      <c r="AP56" s="276" t="e">
        <f>IF('Pay App 19'!$H$149=0,NA(),IFERROR('Pay App 19'!F114/'Summary Sheet'!$D$19,""))</f>
        <v>#N/A</v>
      </c>
      <c r="AQ56" s="263"/>
      <c r="AR56" s="263" t="e">
        <f>IF('Pay App 20'!$H$149=0,NA(),IFERROR('Pay App 20'!F114/'Summary Sheet'!$D$19,""))</f>
        <v>#N/A</v>
      </c>
      <c r="AS56" s="264"/>
      <c r="AT56" s="276" t="e">
        <f>IF('Pay App 21'!$H$149=0,NA(),IFERROR('Pay App 21'!F114/'Summary Sheet'!$D$19,""))</f>
        <v>#N/A</v>
      </c>
      <c r="AU56" s="264"/>
      <c r="AV56" s="263" t="e">
        <f>IF('Pay App 22'!$H$149=0,NA(),IFERROR('Pay App 22'!F114/'Summary Sheet'!$D$19,""))</f>
        <v>#N/A</v>
      </c>
      <c r="AW56" s="264"/>
      <c r="AX56" s="276" t="e">
        <f>IF('Pay App 23'!$H$149=0,NA(),IFERROR('Pay App 23'!F114/'Summary Sheet'!$D$19,""))</f>
        <v>#N/A</v>
      </c>
      <c r="AY56" s="264"/>
      <c r="AZ56" s="263" t="e">
        <f>IF('Pay App 24'!$H$149=0,NA(),IFERROR('Pay App 24'!F114/'Summary Sheet'!$D$19,""))</f>
        <v>#N/A</v>
      </c>
      <c r="BA56" s="264"/>
      <c r="BB56" s="276" t="e">
        <f>IF('Pay App 25'!$H$149=0,NA(),IFERROR('Pay App 25'!F114/'Summary Sheet'!$D$19,""))</f>
        <v>#N/A</v>
      </c>
      <c r="BC56" s="264"/>
      <c r="BD56" s="263" t="e">
        <f>IF('Pay App 26'!$H$149=0,NA(),IFERROR('Pay App 26'!F114/'Summary Sheet'!$D$19,""))</f>
        <v>#N/A</v>
      </c>
      <c r="BE56" s="264"/>
      <c r="BF56" s="276" t="e">
        <f>IF('Pay App 27'!$H$149=0,NA(),IFERROR('Pay App 27'!F114/'Summary Sheet'!$D$19,""))</f>
        <v>#N/A</v>
      </c>
      <c r="BG56" s="264"/>
      <c r="BH56" s="263" t="e">
        <f>IF('Pay App 28'!$H$149=0,NA(),IFERROR('Pay App 28'!F114/'Summary Sheet'!$D$19,""))</f>
        <v>#N/A</v>
      </c>
      <c r="BI56" s="264"/>
      <c r="BJ56" s="276" t="e">
        <f>IF('Pay App 29'!$H$149=0,NA(),IFERROR('Pay App 29'!F114/'Summary Sheet'!$D$19,""))</f>
        <v>#N/A</v>
      </c>
      <c r="BK56" s="271"/>
      <c r="BL56" s="263" t="e">
        <f>IF('Pay App 30'!$H$149=0,NA(),IFERROR('Pay App 30'!F114/'Summary Sheet'!$D$19,""))</f>
        <v>#N/A</v>
      </c>
      <c r="BM56" s="264"/>
      <c r="BN56" s="276" t="e">
        <f>IF('Pay App 31'!$H$149=0,NA(),IFERROR('Pay App 31'!F114/'Summary Sheet'!$D$19,""))</f>
        <v>#N/A</v>
      </c>
      <c r="BO56" s="264"/>
      <c r="BP56" s="263" t="e">
        <f>IF('Pay App 32'!$H$149=0,NA(),IFERROR('Pay App 32'!F114/'Summary Sheet'!$D$19,""))</f>
        <v>#N/A</v>
      </c>
      <c r="BQ56" s="264"/>
      <c r="BR56" s="276" t="e">
        <f>IF('Pay App 33'!$H$149=0,NA(),IFERROR('Pay App 33'!F114/'Summary Sheet'!$D$19,""))</f>
        <v>#N/A</v>
      </c>
      <c r="BS56" s="264"/>
      <c r="BT56" s="263" t="e">
        <f>IF('Pay App 34'!$H$149=0,NA(),IFERROR('Pay App 34'!F114/'Summary Sheet'!$D$19,""))</f>
        <v>#N/A</v>
      </c>
      <c r="BU56" s="264"/>
      <c r="BV56" s="276" t="e">
        <f>IF('Pay App 35'!$H$149=0,NA(),IFERROR('Pay App 35'!F114/'Summary Sheet'!$D$19,""))</f>
        <v>#N/A</v>
      </c>
      <c r="BW56" s="264"/>
      <c r="BX56" s="263" t="e">
        <f>IF('Pay App 36'!$H$149=0,NA(),IFERROR('Pay App 36'!F114/'Summary Sheet'!$D$19,""))</f>
        <v>#N/A</v>
      </c>
      <c r="BY56" s="264"/>
      <c r="BZ56" s="276" t="e">
        <f>IF('Pay App 37'!$H$149=0,NA(),IFERROR('Pay App 37'!F114/'Summary Sheet'!$D$19,""))</f>
        <v>#N/A</v>
      </c>
      <c r="CA56" s="264"/>
      <c r="CB56" s="263" t="e">
        <f>IF('Pay App 38'!$H$149=0,NA(),IFERROR('Pay App 38'!F114/'Summary Sheet'!$D$19,""))</f>
        <v>#N/A</v>
      </c>
      <c r="CC56" s="264"/>
      <c r="CD56" s="276" t="e">
        <f>IF('Pay App 39'!$H$149=0,NA(),IFERROR('Pay App 39'!F114/'Summary Sheet'!$D$19,""))</f>
        <v>#N/A</v>
      </c>
      <c r="CE56" s="264"/>
      <c r="CF56" s="263" t="e">
        <f>IF('Pay App 40'!$H$149=0,NA(),IFERROR('Pay App 40'!F114/'Summary Sheet'!$D$19,""))</f>
        <v>#N/A</v>
      </c>
      <c r="CG56" s="264"/>
      <c r="CH56" s="276" t="e">
        <f>IF('Pay App 41'!$H$149=0,NA(),IFERROR('Pay App 41'!F114/'Summary Sheet'!$D$19,""))</f>
        <v>#N/A</v>
      </c>
      <c r="CI56" s="264"/>
      <c r="CJ56" s="263" t="e">
        <f>IF('Pay App 42'!$H$149=0,NA(),IFERROR('Pay App 42'!F114/'Summary Sheet'!$D$19,""))</f>
        <v>#N/A</v>
      </c>
      <c r="CK56" s="264"/>
      <c r="CL56" s="276" t="e">
        <f>IF('Pay App 43'!$H$149=0,NA(),IFERROR('Pay App 43'!F114/'Summary Sheet'!$D$19,""))</f>
        <v>#N/A</v>
      </c>
      <c r="CM56" s="264"/>
      <c r="CN56" s="263" t="e">
        <f>IF('Pay App 44'!$H$149=0,NA(),IFERROR('Pay App 44'!F114/'Summary Sheet'!$D$19,""))</f>
        <v>#N/A</v>
      </c>
      <c r="CO56" s="264"/>
      <c r="CP56" s="276" t="e">
        <f>IF('Pay App 45'!$H$149=0,NA(),IFERROR('Pay App 45'!F114/'Summary Sheet'!$D$19,""))</f>
        <v>#N/A</v>
      </c>
      <c r="CQ56" s="264"/>
      <c r="CR56" s="263" t="e">
        <f>IF('Pay App 46'!$H$149=0,NA(),IFERROR('Pay App 46'!F114/'Summary Sheet'!$D$19,""))</f>
        <v>#N/A</v>
      </c>
      <c r="CS56" s="264"/>
      <c r="CT56" s="276" t="e">
        <f>IF('Pay App 47'!$H$149=0,NA(),IFERROR('Pay App 47'!F114/'Summary Sheet'!$D$19,""))</f>
        <v>#N/A</v>
      </c>
      <c r="CU56" s="264"/>
      <c r="CV56" s="263" t="e">
        <f>IF('Pay App 48'!$H$149=0,NA(),IFERROR('Pay App 48'!F114/'Summary Sheet'!$D$19,""))</f>
        <v>#N/A</v>
      </c>
      <c r="CW56" s="264"/>
      <c r="CX56" s="276" t="e">
        <f>IF('Pay App 49'!$H$149=0,NA(),IFERROR('Pay App 49'!F114/'Summary Sheet'!$D$19,""))</f>
        <v>#N/A</v>
      </c>
      <c r="CY56" s="264"/>
      <c r="CZ56" s="263" t="e">
        <f>IF('Pay App 50'!$H$149=0,NA(),IFERROR('Pay App 50'!F114/'Summary Sheet'!$D$19,""))</f>
        <v>#N/A</v>
      </c>
      <c r="DA56" s="264"/>
      <c r="DB56" s="276" t="e">
        <f>IF('Pay App 51'!$H$149=0,NA(),IFERROR('Pay App 51'!F114/'Summary Sheet'!$D$19,""))</f>
        <v>#N/A</v>
      </c>
      <c r="DC56" s="264"/>
      <c r="DD56" s="263" t="e">
        <f>IF('Pay App 52'!$H$149=0,NA(),IFERROR('Pay App 52'!F114/'Summary Sheet'!$D$19,""))</f>
        <v>#N/A</v>
      </c>
      <c r="DE56" s="264"/>
      <c r="DF56" s="276" t="e">
        <f>IF('Pay App 53'!$H$149=0,NA(),IFERROR('Pay App 53'!F114/'Summary Sheet'!$D$19,""))</f>
        <v>#N/A</v>
      </c>
      <c r="DG56" s="264"/>
      <c r="DH56" s="263" t="e">
        <f>IF('Pay App 54'!$H$149=0,NA(),IFERROR('Pay App 54'!F114/'Summary Sheet'!$D$19,""))</f>
        <v>#N/A</v>
      </c>
      <c r="DI56" s="264"/>
      <c r="DJ56" s="276" t="e">
        <f>IF('Pay App 55'!$H$149=0,NA(),IFERROR('Pay App 55'!F114/'Summary Sheet'!$D$19,""))</f>
        <v>#N/A</v>
      </c>
      <c r="DK56" s="264"/>
      <c r="DL56" s="263" t="e">
        <f>IF('Pay App 56'!$H$149=0,NA(),IFERROR('Pay App 56'!F114/'Summary Sheet'!$D$19,""))</f>
        <v>#N/A</v>
      </c>
      <c r="DM56" s="264"/>
      <c r="DN56" s="276" t="e">
        <f>IF('Pay App 57'!$H$149=0,NA(),IFERROR('Pay App 57'!F114/'Summary Sheet'!$D$19,""))</f>
        <v>#N/A</v>
      </c>
      <c r="DO56" s="264"/>
      <c r="DP56" s="263" t="e">
        <f>IF('Pay App 58'!$H$149=0,NA(),IFERROR('Pay App 58'!F114/'Summary Sheet'!$D$19,""))</f>
        <v>#N/A</v>
      </c>
      <c r="DQ56" s="264"/>
      <c r="DR56" s="276" t="e">
        <f>IF('Pay App 59'!$H$149=0,NA(),IFERROR('Pay App 59'!F114/'Summary Sheet'!$D$19,""))</f>
        <v>#N/A</v>
      </c>
      <c r="DS56" s="264"/>
      <c r="DT56" s="263" t="e">
        <f>IF('Pay App 60'!$H$149=0,NA(),IFERROR('Pay App 60'!F1024/'Summary Sheet'!$D$19,""))</f>
        <v>#N/A</v>
      </c>
      <c r="DU56" s="296"/>
    </row>
    <row r="57" spans="2:125" x14ac:dyDescent="0.25">
      <c r="B57" s="38" t="str">
        <f>'Pay App 1'!B115</f>
        <v>10 14 15</v>
      </c>
      <c r="C57" s="39" t="str">
        <f>'Pay App 1'!C115</f>
        <v>Interior Signage</v>
      </c>
      <c r="D57" s="282" t="str" cm="1">
        <f t="array" ref="D57">IFERROR(1+(LOOKUP(2,1/(E57:DT57&lt;&gt;""),E57:DT57)-E57)/E57,"")</f>
        <v/>
      </c>
      <c r="E57" s="275" t="str">
        <f>IFERROR('GMP Tracker'!D61/'Summary Sheet'!$D$19,"")</f>
        <v/>
      </c>
      <c r="F57" s="276" t="e">
        <f>IF('Pay App 1'!$D$149=0,NA(),IFERROR('Pay App 1'!F115/'Summary Sheet'!$D$19,""))</f>
        <v>#N/A</v>
      </c>
      <c r="G57" s="271"/>
      <c r="H57" s="277" t="e">
        <f>IF('Pay App 2'!$H$149=0,NA(),IFERROR('Pay App 2'!F115/'Summary Sheet'!$D$19,""))</f>
        <v>#N/A</v>
      </c>
      <c r="I57" s="266"/>
      <c r="J57" s="276" t="e">
        <f>IF('Pay App 3'!$H$149=0,NA(),IFERROR('Pay App 3'!F115/'Summary Sheet'!$D$19,""))</f>
        <v>#N/A</v>
      </c>
      <c r="K57" s="268"/>
      <c r="L57" s="277" t="e">
        <f>IF('Pay App 4'!$H$149=0,NA(),IFERROR('Pay App 4'!F115/'Summary Sheet'!$D$19,""))</f>
        <v>#N/A</v>
      </c>
      <c r="M57" s="266"/>
      <c r="N57" s="276" t="e">
        <f>IF('Pay App 5'!$H$149=0,NA(),IFERROR('Pay App 5'!F115/'Summary Sheet'!$D$19,""))</f>
        <v>#N/A</v>
      </c>
      <c r="O57" s="263"/>
      <c r="P57" s="277" t="e">
        <f>IF('Pay App 6'!$H$149=0,NA(),IFERROR('Pay App 6'!F115/'Summary Sheet'!$D$19,""))</f>
        <v>#N/A</v>
      </c>
      <c r="Q57" s="263"/>
      <c r="R57" s="276" t="e">
        <f>IF('Pay App 7'!$H$149=0,NA(),IFERROR('Pay App 7'!F115/'Summary Sheet'!$D$19,""))</f>
        <v>#N/A</v>
      </c>
      <c r="S57" s="263"/>
      <c r="T57" s="277" t="e">
        <f>IF('Pay App 8'!$H$149=0,NA(),IFERROR('Pay App 8'!F115/'Summary Sheet'!$D$19,""))</f>
        <v>#N/A</v>
      </c>
      <c r="U57" s="263"/>
      <c r="V57" s="276" t="e">
        <f>IF('Pay App 9'!$H$149=0,NA(),IFERROR('Pay App 9'!F115/'Summary Sheet'!$D$19,""))</f>
        <v>#N/A</v>
      </c>
      <c r="W57" s="263"/>
      <c r="X57" s="277" t="e">
        <f>IF('Pay App 10'!$H$149=0,NA(),IFERROR('Pay App 10'!F115/'Summary Sheet'!$D$19,""))</f>
        <v>#N/A</v>
      </c>
      <c r="Y57" s="263"/>
      <c r="Z57" s="276" t="e">
        <f>IF('Pay App 11'!$H$149=0,NA(),IFERROR('Pay App 11'!F115/'Summary Sheet'!$D$19,""))</f>
        <v>#N/A</v>
      </c>
      <c r="AA57" s="263"/>
      <c r="AB57" s="277" t="e">
        <f>IF('Pay App 12'!$H$149=0,NA(),IFERROR('Pay App 12'!F115/'Summary Sheet'!$D$19,""))</f>
        <v>#N/A</v>
      </c>
      <c r="AC57" s="263"/>
      <c r="AD57" s="276" t="e">
        <f>IF('Pay App 13'!$H$149=0,NA(),IFERROR('Pay App 13'!F115/'Summary Sheet'!$D$19,""))</f>
        <v>#N/A</v>
      </c>
      <c r="AE57" s="263"/>
      <c r="AF57" s="277" t="e">
        <f>IF('Pay App 14'!$H$149=0,NA(),IFERROR('Pay App 14'!F115/'Summary Sheet'!$D$19,""))</f>
        <v>#N/A</v>
      </c>
      <c r="AG57" s="263"/>
      <c r="AH57" s="276" t="e">
        <f>IF('Pay App 15'!$H$149=0,NA(),IFERROR('Pay App 15'!F115/'Summary Sheet'!$D$19,""))</f>
        <v>#N/A</v>
      </c>
      <c r="AI57" s="263"/>
      <c r="AJ57" s="277" t="e">
        <f>IF('Pay App 16'!$H$149=0,NA(),IFERROR('Pay App 16'!F115/'Summary Sheet'!$D$19,""))</f>
        <v>#N/A</v>
      </c>
      <c r="AK57" s="263"/>
      <c r="AL57" s="276" t="e">
        <f>IF('Pay App 17'!$H$149=0,NA(),IFERROR('Pay App 17'!F115/'Summary Sheet'!$D$19,""))</f>
        <v>#N/A</v>
      </c>
      <c r="AM57" s="263"/>
      <c r="AN57" s="277" t="e">
        <f>IF('Pay App 18'!$H$149=0,NA(),IFERROR('Pay App 18'!F115/'Summary Sheet'!$D$19,""))</f>
        <v>#N/A</v>
      </c>
      <c r="AO57" s="263"/>
      <c r="AP57" s="276" t="e">
        <f>IF('Pay App 19'!$H$149=0,NA(),IFERROR('Pay App 19'!F115/'Summary Sheet'!$D$19,""))</f>
        <v>#N/A</v>
      </c>
      <c r="AQ57" s="263"/>
      <c r="AR57" s="263" t="e">
        <f>IF('Pay App 20'!$H$149=0,NA(),IFERROR('Pay App 20'!F115/'Summary Sheet'!$D$19,""))</f>
        <v>#N/A</v>
      </c>
      <c r="AS57" s="264"/>
      <c r="AT57" s="276" t="e">
        <f>IF('Pay App 21'!$H$149=0,NA(),IFERROR('Pay App 21'!F115/'Summary Sheet'!$D$19,""))</f>
        <v>#N/A</v>
      </c>
      <c r="AU57" s="264"/>
      <c r="AV57" s="263" t="e">
        <f>IF('Pay App 22'!$H$149=0,NA(),IFERROR('Pay App 22'!F115/'Summary Sheet'!$D$19,""))</f>
        <v>#N/A</v>
      </c>
      <c r="AW57" s="264"/>
      <c r="AX57" s="276" t="e">
        <f>IF('Pay App 23'!$H$149=0,NA(),IFERROR('Pay App 23'!F115/'Summary Sheet'!$D$19,""))</f>
        <v>#N/A</v>
      </c>
      <c r="AY57" s="264"/>
      <c r="AZ57" s="263" t="e">
        <f>IF('Pay App 24'!$H$149=0,NA(),IFERROR('Pay App 24'!F115/'Summary Sheet'!$D$19,""))</f>
        <v>#N/A</v>
      </c>
      <c r="BA57" s="264"/>
      <c r="BB57" s="276" t="e">
        <f>IF('Pay App 25'!$H$149=0,NA(),IFERROR('Pay App 25'!F115/'Summary Sheet'!$D$19,""))</f>
        <v>#N/A</v>
      </c>
      <c r="BC57" s="264"/>
      <c r="BD57" s="263" t="e">
        <f>IF('Pay App 26'!$H$149=0,NA(),IFERROR('Pay App 26'!F115/'Summary Sheet'!$D$19,""))</f>
        <v>#N/A</v>
      </c>
      <c r="BE57" s="264"/>
      <c r="BF57" s="276" t="e">
        <f>IF('Pay App 27'!$H$149=0,NA(),IFERROR('Pay App 27'!F115/'Summary Sheet'!$D$19,""))</f>
        <v>#N/A</v>
      </c>
      <c r="BG57" s="264"/>
      <c r="BH57" s="263" t="e">
        <f>IF('Pay App 28'!$H$149=0,NA(),IFERROR('Pay App 28'!F115/'Summary Sheet'!$D$19,""))</f>
        <v>#N/A</v>
      </c>
      <c r="BI57" s="264"/>
      <c r="BJ57" s="276" t="e">
        <f>IF('Pay App 29'!$H$149=0,NA(),IFERROR('Pay App 29'!F115/'Summary Sheet'!$D$19,""))</f>
        <v>#N/A</v>
      </c>
      <c r="BK57" s="271"/>
      <c r="BL57" s="263" t="e">
        <f>IF('Pay App 30'!$H$149=0,NA(),IFERROR('Pay App 30'!F115/'Summary Sheet'!$D$19,""))</f>
        <v>#N/A</v>
      </c>
      <c r="BM57" s="264"/>
      <c r="BN57" s="276" t="e">
        <f>IF('Pay App 31'!$H$149=0,NA(),IFERROR('Pay App 31'!F115/'Summary Sheet'!$D$19,""))</f>
        <v>#N/A</v>
      </c>
      <c r="BO57" s="264"/>
      <c r="BP57" s="263" t="e">
        <f>IF('Pay App 32'!$H$149=0,NA(),IFERROR('Pay App 32'!F115/'Summary Sheet'!$D$19,""))</f>
        <v>#N/A</v>
      </c>
      <c r="BQ57" s="264"/>
      <c r="BR57" s="276" t="e">
        <f>IF('Pay App 33'!$H$149=0,NA(),IFERROR('Pay App 33'!F115/'Summary Sheet'!$D$19,""))</f>
        <v>#N/A</v>
      </c>
      <c r="BS57" s="264"/>
      <c r="BT57" s="263" t="e">
        <f>IF('Pay App 34'!$H$149=0,NA(),IFERROR('Pay App 34'!F115/'Summary Sheet'!$D$19,""))</f>
        <v>#N/A</v>
      </c>
      <c r="BU57" s="264"/>
      <c r="BV57" s="276" t="e">
        <f>IF('Pay App 35'!$H$149=0,NA(),IFERROR('Pay App 35'!F115/'Summary Sheet'!$D$19,""))</f>
        <v>#N/A</v>
      </c>
      <c r="BW57" s="264"/>
      <c r="BX57" s="263" t="e">
        <f>IF('Pay App 36'!$H$149=0,NA(),IFERROR('Pay App 36'!F115/'Summary Sheet'!$D$19,""))</f>
        <v>#N/A</v>
      </c>
      <c r="BY57" s="264"/>
      <c r="BZ57" s="276" t="e">
        <f>IF('Pay App 37'!$H$149=0,NA(),IFERROR('Pay App 37'!F115/'Summary Sheet'!$D$19,""))</f>
        <v>#N/A</v>
      </c>
      <c r="CA57" s="264"/>
      <c r="CB57" s="263" t="e">
        <f>IF('Pay App 38'!$H$149=0,NA(),IFERROR('Pay App 38'!F115/'Summary Sheet'!$D$19,""))</f>
        <v>#N/A</v>
      </c>
      <c r="CC57" s="264"/>
      <c r="CD57" s="276" t="e">
        <f>IF('Pay App 39'!$H$149=0,NA(),IFERROR('Pay App 39'!F115/'Summary Sheet'!$D$19,""))</f>
        <v>#N/A</v>
      </c>
      <c r="CE57" s="264"/>
      <c r="CF57" s="263" t="e">
        <f>IF('Pay App 40'!$H$149=0,NA(),IFERROR('Pay App 40'!F115/'Summary Sheet'!$D$19,""))</f>
        <v>#N/A</v>
      </c>
      <c r="CG57" s="264"/>
      <c r="CH57" s="276" t="e">
        <f>IF('Pay App 41'!$H$149=0,NA(),IFERROR('Pay App 41'!F115/'Summary Sheet'!$D$19,""))</f>
        <v>#N/A</v>
      </c>
      <c r="CI57" s="264"/>
      <c r="CJ57" s="263" t="e">
        <f>IF('Pay App 42'!$H$149=0,NA(),IFERROR('Pay App 42'!F115/'Summary Sheet'!$D$19,""))</f>
        <v>#N/A</v>
      </c>
      <c r="CK57" s="264"/>
      <c r="CL57" s="276" t="e">
        <f>IF('Pay App 43'!$H$149=0,NA(),IFERROR('Pay App 43'!F115/'Summary Sheet'!$D$19,""))</f>
        <v>#N/A</v>
      </c>
      <c r="CM57" s="264"/>
      <c r="CN57" s="263" t="e">
        <f>IF('Pay App 44'!$H$149=0,NA(),IFERROR('Pay App 44'!F115/'Summary Sheet'!$D$19,""))</f>
        <v>#N/A</v>
      </c>
      <c r="CO57" s="264"/>
      <c r="CP57" s="276" t="e">
        <f>IF('Pay App 45'!$H$149=0,NA(),IFERROR('Pay App 45'!F115/'Summary Sheet'!$D$19,""))</f>
        <v>#N/A</v>
      </c>
      <c r="CQ57" s="264"/>
      <c r="CR57" s="263" t="e">
        <f>IF('Pay App 46'!$H$149=0,NA(),IFERROR('Pay App 46'!F115/'Summary Sheet'!$D$19,""))</f>
        <v>#N/A</v>
      </c>
      <c r="CS57" s="264"/>
      <c r="CT57" s="276" t="e">
        <f>IF('Pay App 47'!$H$149=0,NA(),IFERROR('Pay App 47'!F115/'Summary Sheet'!$D$19,""))</f>
        <v>#N/A</v>
      </c>
      <c r="CU57" s="264"/>
      <c r="CV57" s="263" t="e">
        <f>IF('Pay App 48'!$H$149=0,NA(),IFERROR('Pay App 48'!F115/'Summary Sheet'!$D$19,""))</f>
        <v>#N/A</v>
      </c>
      <c r="CW57" s="264"/>
      <c r="CX57" s="276" t="e">
        <f>IF('Pay App 49'!$H$149=0,NA(),IFERROR('Pay App 49'!F115/'Summary Sheet'!$D$19,""))</f>
        <v>#N/A</v>
      </c>
      <c r="CY57" s="264"/>
      <c r="CZ57" s="263" t="e">
        <f>IF('Pay App 50'!$H$149=0,NA(),IFERROR('Pay App 50'!F115/'Summary Sheet'!$D$19,""))</f>
        <v>#N/A</v>
      </c>
      <c r="DA57" s="264"/>
      <c r="DB57" s="276" t="e">
        <f>IF('Pay App 51'!$H$149=0,NA(),IFERROR('Pay App 51'!F115/'Summary Sheet'!$D$19,""))</f>
        <v>#N/A</v>
      </c>
      <c r="DC57" s="264"/>
      <c r="DD57" s="263" t="e">
        <f>IF('Pay App 52'!$H$149=0,NA(),IFERROR('Pay App 52'!F115/'Summary Sheet'!$D$19,""))</f>
        <v>#N/A</v>
      </c>
      <c r="DE57" s="264"/>
      <c r="DF57" s="276" t="e">
        <f>IF('Pay App 53'!$H$149=0,NA(),IFERROR('Pay App 53'!F115/'Summary Sheet'!$D$19,""))</f>
        <v>#N/A</v>
      </c>
      <c r="DG57" s="264"/>
      <c r="DH57" s="263" t="e">
        <f>IF('Pay App 54'!$H$149=0,NA(),IFERROR('Pay App 54'!F115/'Summary Sheet'!$D$19,""))</f>
        <v>#N/A</v>
      </c>
      <c r="DI57" s="264"/>
      <c r="DJ57" s="276" t="e">
        <f>IF('Pay App 55'!$H$149=0,NA(),IFERROR('Pay App 55'!F115/'Summary Sheet'!$D$19,""))</f>
        <v>#N/A</v>
      </c>
      <c r="DK57" s="264"/>
      <c r="DL57" s="263" t="e">
        <f>IF('Pay App 56'!$H$149=0,NA(),IFERROR('Pay App 56'!F115/'Summary Sheet'!$D$19,""))</f>
        <v>#N/A</v>
      </c>
      <c r="DM57" s="264"/>
      <c r="DN57" s="276" t="e">
        <f>IF('Pay App 57'!$H$149=0,NA(),IFERROR('Pay App 57'!F115/'Summary Sheet'!$D$19,""))</f>
        <v>#N/A</v>
      </c>
      <c r="DO57" s="264"/>
      <c r="DP57" s="263" t="e">
        <f>IF('Pay App 58'!$H$149=0,NA(),IFERROR('Pay App 58'!F115/'Summary Sheet'!$D$19,""))</f>
        <v>#N/A</v>
      </c>
      <c r="DQ57" s="264"/>
      <c r="DR57" s="276" t="e">
        <f>IF('Pay App 59'!$H$149=0,NA(),IFERROR('Pay App 59'!F115/'Summary Sheet'!$D$19,""))</f>
        <v>#N/A</v>
      </c>
      <c r="DS57" s="264"/>
      <c r="DT57" s="263" t="e">
        <f>IF('Pay App 60'!$H$149=0,NA(),IFERROR('Pay App 60'!F1025/'Summary Sheet'!$D$19,""))</f>
        <v>#N/A</v>
      </c>
      <c r="DU57" s="296"/>
    </row>
    <row r="58" spans="2:125" x14ac:dyDescent="0.25">
      <c r="B58" s="40" t="str">
        <f>'Pay App 1'!B116</f>
        <v>11 13 00</v>
      </c>
      <c r="C58" s="41" t="str">
        <f>'Pay App 1'!C116</f>
        <v>Dock Equipment</v>
      </c>
      <c r="D58" s="282" t="str" cm="1">
        <f t="array" ref="D58">IFERROR(1+(LOOKUP(2,1/(E58:DT58&lt;&gt;""),E58:DT58)-E58)/E58,"")</f>
        <v/>
      </c>
      <c r="E58" s="275" t="str">
        <f>IFERROR('GMP Tracker'!D62/'Summary Sheet'!$D$19,"")</f>
        <v/>
      </c>
      <c r="F58" s="276" t="e">
        <f>IF('Pay App 1'!$D$149=0,NA(),IFERROR('Pay App 1'!F116/'Summary Sheet'!$D$19,""))</f>
        <v>#N/A</v>
      </c>
      <c r="G58" s="271"/>
      <c r="H58" s="277" t="e">
        <f>IF('Pay App 2'!$H$149=0,NA(),IFERROR('Pay App 2'!F116/'Summary Sheet'!$D$19,""))</f>
        <v>#N/A</v>
      </c>
      <c r="I58" s="266"/>
      <c r="J58" s="276" t="e">
        <f>IF('Pay App 3'!$H$149=0,NA(),IFERROR('Pay App 3'!F116/'Summary Sheet'!$D$19,""))</f>
        <v>#N/A</v>
      </c>
      <c r="K58" s="268"/>
      <c r="L58" s="277" t="e">
        <f>IF('Pay App 4'!$H$149=0,NA(),IFERROR('Pay App 4'!F116/'Summary Sheet'!$D$19,""))</f>
        <v>#N/A</v>
      </c>
      <c r="M58" s="266"/>
      <c r="N58" s="276" t="e">
        <f>IF('Pay App 5'!$H$149=0,NA(),IFERROR('Pay App 5'!F116/'Summary Sheet'!$D$19,""))</f>
        <v>#N/A</v>
      </c>
      <c r="O58" s="263"/>
      <c r="P58" s="277" t="e">
        <f>IF('Pay App 6'!$H$149=0,NA(),IFERROR('Pay App 6'!F116/'Summary Sheet'!$D$19,""))</f>
        <v>#N/A</v>
      </c>
      <c r="Q58" s="263"/>
      <c r="R58" s="276" t="e">
        <f>IF('Pay App 7'!$H$149=0,NA(),IFERROR('Pay App 7'!F116/'Summary Sheet'!$D$19,""))</f>
        <v>#N/A</v>
      </c>
      <c r="S58" s="263"/>
      <c r="T58" s="277" t="e">
        <f>IF('Pay App 8'!$H$149=0,NA(),IFERROR('Pay App 8'!F116/'Summary Sheet'!$D$19,""))</f>
        <v>#N/A</v>
      </c>
      <c r="U58" s="263"/>
      <c r="V58" s="276" t="e">
        <f>IF('Pay App 9'!$H$149=0,NA(),IFERROR('Pay App 9'!F116/'Summary Sheet'!$D$19,""))</f>
        <v>#N/A</v>
      </c>
      <c r="W58" s="263"/>
      <c r="X58" s="277" t="e">
        <f>IF('Pay App 10'!$H$149=0,NA(),IFERROR('Pay App 10'!F116/'Summary Sheet'!$D$19,""))</f>
        <v>#N/A</v>
      </c>
      <c r="Y58" s="263"/>
      <c r="Z58" s="276" t="e">
        <f>IF('Pay App 11'!$H$149=0,NA(),IFERROR('Pay App 11'!F116/'Summary Sheet'!$D$19,""))</f>
        <v>#N/A</v>
      </c>
      <c r="AA58" s="263"/>
      <c r="AB58" s="277" t="e">
        <f>IF('Pay App 12'!$H$149=0,NA(),IFERROR('Pay App 12'!F116/'Summary Sheet'!$D$19,""))</f>
        <v>#N/A</v>
      </c>
      <c r="AC58" s="263"/>
      <c r="AD58" s="276" t="e">
        <f>IF('Pay App 13'!$H$149=0,NA(),IFERROR('Pay App 13'!F116/'Summary Sheet'!$D$19,""))</f>
        <v>#N/A</v>
      </c>
      <c r="AE58" s="263"/>
      <c r="AF58" s="277" t="e">
        <f>IF('Pay App 14'!$H$149=0,NA(),IFERROR('Pay App 14'!F116/'Summary Sheet'!$D$19,""))</f>
        <v>#N/A</v>
      </c>
      <c r="AG58" s="263"/>
      <c r="AH58" s="276" t="e">
        <f>IF('Pay App 15'!$H$149=0,NA(),IFERROR('Pay App 15'!F116/'Summary Sheet'!$D$19,""))</f>
        <v>#N/A</v>
      </c>
      <c r="AI58" s="263"/>
      <c r="AJ58" s="277" t="e">
        <f>IF('Pay App 16'!$H$149=0,NA(),IFERROR('Pay App 16'!F116/'Summary Sheet'!$D$19,""))</f>
        <v>#N/A</v>
      </c>
      <c r="AK58" s="263"/>
      <c r="AL58" s="276" t="e">
        <f>IF('Pay App 17'!$H$149=0,NA(),IFERROR('Pay App 17'!F116/'Summary Sheet'!$D$19,""))</f>
        <v>#N/A</v>
      </c>
      <c r="AM58" s="263"/>
      <c r="AN58" s="277" t="e">
        <f>IF('Pay App 18'!$H$149=0,NA(),IFERROR('Pay App 18'!F116/'Summary Sheet'!$D$19,""))</f>
        <v>#N/A</v>
      </c>
      <c r="AO58" s="263"/>
      <c r="AP58" s="276" t="e">
        <f>IF('Pay App 19'!$H$149=0,NA(),IFERROR('Pay App 19'!F116/'Summary Sheet'!$D$19,""))</f>
        <v>#N/A</v>
      </c>
      <c r="AQ58" s="263"/>
      <c r="AR58" s="263" t="e">
        <f>IF('Pay App 20'!$H$149=0,NA(),IFERROR('Pay App 20'!F116/'Summary Sheet'!$D$19,""))</f>
        <v>#N/A</v>
      </c>
      <c r="AS58" s="264"/>
      <c r="AT58" s="276" t="e">
        <f>IF('Pay App 21'!$H$149=0,NA(),IFERROR('Pay App 21'!F116/'Summary Sheet'!$D$19,""))</f>
        <v>#N/A</v>
      </c>
      <c r="AU58" s="264"/>
      <c r="AV58" s="263" t="e">
        <f>IF('Pay App 22'!$H$149=0,NA(),IFERROR('Pay App 22'!F116/'Summary Sheet'!$D$19,""))</f>
        <v>#N/A</v>
      </c>
      <c r="AW58" s="264"/>
      <c r="AX58" s="276" t="e">
        <f>IF('Pay App 23'!$H$149=0,NA(),IFERROR('Pay App 23'!F116/'Summary Sheet'!$D$19,""))</f>
        <v>#N/A</v>
      </c>
      <c r="AY58" s="264"/>
      <c r="AZ58" s="263" t="e">
        <f>IF('Pay App 24'!$H$149=0,NA(),IFERROR('Pay App 24'!F116/'Summary Sheet'!$D$19,""))</f>
        <v>#N/A</v>
      </c>
      <c r="BA58" s="264"/>
      <c r="BB58" s="276" t="e">
        <f>IF('Pay App 25'!$H$149=0,NA(),IFERROR('Pay App 25'!F116/'Summary Sheet'!$D$19,""))</f>
        <v>#N/A</v>
      </c>
      <c r="BC58" s="264"/>
      <c r="BD58" s="263" t="e">
        <f>IF('Pay App 26'!$H$149=0,NA(),IFERROR('Pay App 26'!F116/'Summary Sheet'!$D$19,""))</f>
        <v>#N/A</v>
      </c>
      <c r="BE58" s="264"/>
      <c r="BF58" s="276" t="e">
        <f>IF('Pay App 27'!$H$149=0,NA(),IFERROR('Pay App 27'!F116/'Summary Sheet'!$D$19,""))</f>
        <v>#N/A</v>
      </c>
      <c r="BG58" s="264"/>
      <c r="BH58" s="263" t="e">
        <f>IF('Pay App 28'!$H$149=0,NA(),IFERROR('Pay App 28'!F116/'Summary Sheet'!$D$19,""))</f>
        <v>#N/A</v>
      </c>
      <c r="BI58" s="264"/>
      <c r="BJ58" s="276" t="e">
        <f>IF('Pay App 29'!$H$149=0,NA(),IFERROR('Pay App 29'!F116/'Summary Sheet'!$D$19,""))</f>
        <v>#N/A</v>
      </c>
      <c r="BK58" s="271"/>
      <c r="BL58" s="263" t="e">
        <f>IF('Pay App 30'!$H$149=0,NA(),IFERROR('Pay App 30'!F116/'Summary Sheet'!$D$19,""))</f>
        <v>#N/A</v>
      </c>
      <c r="BM58" s="264"/>
      <c r="BN58" s="276" t="e">
        <f>IF('Pay App 31'!$H$149=0,NA(),IFERROR('Pay App 31'!F116/'Summary Sheet'!$D$19,""))</f>
        <v>#N/A</v>
      </c>
      <c r="BO58" s="264"/>
      <c r="BP58" s="263" t="e">
        <f>IF('Pay App 32'!$H$149=0,NA(),IFERROR('Pay App 32'!F116/'Summary Sheet'!$D$19,""))</f>
        <v>#N/A</v>
      </c>
      <c r="BQ58" s="264"/>
      <c r="BR58" s="276" t="e">
        <f>IF('Pay App 33'!$H$149=0,NA(),IFERROR('Pay App 33'!F116/'Summary Sheet'!$D$19,""))</f>
        <v>#N/A</v>
      </c>
      <c r="BS58" s="264"/>
      <c r="BT58" s="263" t="e">
        <f>IF('Pay App 34'!$H$149=0,NA(),IFERROR('Pay App 34'!F116/'Summary Sheet'!$D$19,""))</f>
        <v>#N/A</v>
      </c>
      <c r="BU58" s="264"/>
      <c r="BV58" s="276" t="e">
        <f>IF('Pay App 35'!$H$149=0,NA(),IFERROR('Pay App 35'!F116/'Summary Sheet'!$D$19,""))</f>
        <v>#N/A</v>
      </c>
      <c r="BW58" s="264"/>
      <c r="BX58" s="263" t="e">
        <f>IF('Pay App 36'!$H$149=0,NA(),IFERROR('Pay App 36'!F116/'Summary Sheet'!$D$19,""))</f>
        <v>#N/A</v>
      </c>
      <c r="BY58" s="264"/>
      <c r="BZ58" s="276" t="e">
        <f>IF('Pay App 37'!$H$149=0,NA(),IFERROR('Pay App 37'!F116/'Summary Sheet'!$D$19,""))</f>
        <v>#N/A</v>
      </c>
      <c r="CA58" s="264"/>
      <c r="CB58" s="263" t="e">
        <f>IF('Pay App 38'!$H$149=0,NA(),IFERROR('Pay App 38'!F116/'Summary Sheet'!$D$19,""))</f>
        <v>#N/A</v>
      </c>
      <c r="CC58" s="264"/>
      <c r="CD58" s="276" t="e">
        <f>IF('Pay App 39'!$H$149=0,NA(),IFERROR('Pay App 39'!F116/'Summary Sheet'!$D$19,""))</f>
        <v>#N/A</v>
      </c>
      <c r="CE58" s="264"/>
      <c r="CF58" s="263" t="e">
        <f>IF('Pay App 40'!$H$149=0,NA(),IFERROR('Pay App 40'!F116/'Summary Sheet'!$D$19,""))</f>
        <v>#N/A</v>
      </c>
      <c r="CG58" s="264"/>
      <c r="CH58" s="276" t="e">
        <f>IF('Pay App 41'!$H$149=0,NA(),IFERROR('Pay App 41'!F116/'Summary Sheet'!$D$19,""))</f>
        <v>#N/A</v>
      </c>
      <c r="CI58" s="264"/>
      <c r="CJ58" s="263" t="e">
        <f>IF('Pay App 42'!$H$149=0,NA(),IFERROR('Pay App 42'!F116/'Summary Sheet'!$D$19,""))</f>
        <v>#N/A</v>
      </c>
      <c r="CK58" s="264"/>
      <c r="CL58" s="276" t="e">
        <f>IF('Pay App 43'!$H$149=0,NA(),IFERROR('Pay App 43'!F116/'Summary Sheet'!$D$19,""))</f>
        <v>#N/A</v>
      </c>
      <c r="CM58" s="264"/>
      <c r="CN58" s="263" t="e">
        <f>IF('Pay App 44'!$H$149=0,NA(),IFERROR('Pay App 44'!F116/'Summary Sheet'!$D$19,""))</f>
        <v>#N/A</v>
      </c>
      <c r="CO58" s="264"/>
      <c r="CP58" s="276" t="e">
        <f>IF('Pay App 45'!$H$149=0,NA(),IFERROR('Pay App 45'!F116/'Summary Sheet'!$D$19,""))</f>
        <v>#N/A</v>
      </c>
      <c r="CQ58" s="264"/>
      <c r="CR58" s="263" t="e">
        <f>IF('Pay App 46'!$H$149=0,NA(),IFERROR('Pay App 46'!F116/'Summary Sheet'!$D$19,""))</f>
        <v>#N/A</v>
      </c>
      <c r="CS58" s="264"/>
      <c r="CT58" s="276" t="e">
        <f>IF('Pay App 47'!$H$149=0,NA(),IFERROR('Pay App 47'!F116/'Summary Sheet'!$D$19,""))</f>
        <v>#N/A</v>
      </c>
      <c r="CU58" s="264"/>
      <c r="CV58" s="263" t="e">
        <f>IF('Pay App 48'!$H$149=0,NA(),IFERROR('Pay App 48'!F116/'Summary Sheet'!$D$19,""))</f>
        <v>#N/A</v>
      </c>
      <c r="CW58" s="264"/>
      <c r="CX58" s="276" t="e">
        <f>IF('Pay App 49'!$H$149=0,NA(),IFERROR('Pay App 49'!F116/'Summary Sheet'!$D$19,""))</f>
        <v>#N/A</v>
      </c>
      <c r="CY58" s="264"/>
      <c r="CZ58" s="263" t="e">
        <f>IF('Pay App 50'!$H$149=0,NA(),IFERROR('Pay App 50'!F116/'Summary Sheet'!$D$19,""))</f>
        <v>#N/A</v>
      </c>
      <c r="DA58" s="264"/>
      <c r="DB58" s="276" t="e">
        <f>IF('Pay App 51'!$H$149=0,NA(),IFERROR('Pay App 51'!F116/'Summary Sheet'!$D$19,""))</f>
        <v>#N/A</v>
      </c>
      <c r="DC58" s="264"/>
      <c r="DD58" s="263" t="e">
        <f>IF('Pay App 52'!$H$149=0,NA(),IFERROR('Pay App 52'!F116/'Summary Sheet'!$D$19,""))</f>
        <v>#N/A</v>
      </c>
      <c r="DE58" s="264"/>
      <c r="DF58" s="276" t="e">
        <f>IF('Pay App 53'!$H$149=0,NA(),IFERROR('Pay App 53'!F116/'Summary Sheet'!$D$19,""))</f>
        <v>#N/A</v>
      </c>
      <c r="DG58" s="264"/>
      <c r="DH58" s="263" t="e">
        <f>IF('Pay App 54'!$H$149=0,NA(),IFERROR('Pay App 54'!F116/'Summary Sheet'!$D$19,""))</f>
        <v>#N/A</v>
      </c>
      <c r="DI58" s="264"/>
      <c r="DJ58" s="276" t="e">
        <f>IF('Pay App 55'!$H$149=0,NA(),IFERROR('Pay App 55'!F116/'Summary Sheet'!$D$19,""))</f>
        <v>#N/A</v>
      </c>
      <c r="DK58" s="264"/>
      <c r="DL58" s="263" t="e">
        <f>IF('Pay App 56'!$H$149=0,NA(),IFERROR('Pay App 56'!F116/'Summary Sheet'!$D$19,""))</f>
        <v>#N/A</v>
      </c>
      <c r="DM58" s="264"/>
      <c r="DN58" s="276" t="e">
        <f>IF('Pay App 57'!$H$149=0,NA(),IFERROR('Pay App 57'!F116/'Summary Sheet'!$D$19,""))</f>
        <v>#N/A</v>
      </c>
      <c r="DO58" s="264"/>
      <c r="DP58" s="263" t="e">
        <f>IF('Pay App 58'!$H$149=0,NA(),IFERROR('Pay App 58'!F116/'Summary Sheet'!$D$19,""))</f>
        <v>#N/A</v>
      </c>
      <c r="DQ58" s="264"/>
      <c r="DR58" s="276" t="e">
        <f>IF('Pay App 59'!$H$149=0,NA(),IFERROR('Pay App 59'!F116/'Summary Sheet'!$D$19,""))</f>
        <v>#N/A</v>
      </c>
      <c r="DS58" s="264"/>
      <c r="DT58" s="263" t="e">
        <f>IF('Pay App 60'!$H$149=0,NA(),IFERROR('Pay App 60'!F1026/'Summary Sheet'!$D$19,""))</f>
        <v>#N/A</v>
      </c>
      <c r="DU58" s="296"/>
    </row>
    <row r="59" spans="2:125" x14ac:dyDescent="0.25">
      <c r="B59" s="40" t="str">
        <f>'Pay App 1'!B117</f>
        <v>11 40 00</v>
      </c>
      <c r="C59" s="41" t="str">
        <f>'Pay App 1'!C117</f>
        <v>Food Service Equipment</v>
      </c>
      <c r="D59" s="282" t="str" cm="1">
        <f t="array" ref="D59">IFERROR(1+(LOOKUP(2,1/(E59:DT59&lt;&gt;""),E59:DT59)-E59)/E59,"")</f>
        <v/>
      </c>
      <c r="E59" s="275" t="str">
        <f>IFERROR('GMP Tracker'!D63/'Summary Sheet'!$D$19,"")</f>
        <v/>
      </c>
      <c r="F59" s="276" t="e">
        <f>IF('Pay App 1'!$D$149=0,NA(),IFERROR('Pay App 1'!F117/'Summary Sheet'!$D$19,""))</f>
        <v>#N/A</v>
      </c>
      <c r="G59" s="271"/>
      <c r="H59" s="277" t="e">
        <f>IF('Pay App 2'!$H$149=0,NA(),IFERROR('Pay App 2'!F117/'Summary Sheet'!$D$19,""))</f>
        <v>#N/A</v>
      </c>
      <c r="I59" s="266"/>
      <c r="J59" s="276" t="e">
        <f>IF('Pay App 3'!$H$149=0,NA(),IFERROR('Pay App 3'!F117/'Summary Sheet'!$D$19,""))</f>
        <v>#N/A</v>
      </c>
      <c r="K59" s="268"/>
      <c r="L59" s="277" t="e">
        <f>IF('Pay App 4'!$H$149=0,NA(),IFERROR('Pay App 4'!F117/'Summary Sheet'!$D$19,""))</f>
        <v>#N/A</v>
      </c>
      <c r="M59" s="266"/>
      <c r="N59" s="276" t="e">
        <f>IF('Pay App 5'!$H$149=0,NA(),IFERROR('Pay App 5'!F117/'Summary Sheet'!$D$19,""))</f>
        <v>#N/A</v>
      </c>
      <c r="O59" s="263"/>
      <c r="P59" s="277" t="e">
        <f>IF('Pay App 6'!$H$149=0,NA(),IFERROR('Pay App 6'!F117/'Summary Sheet'!$D$19,""))</f>
        <v>#N/A</v>
      </c>
      <c r="Q59" s="263"/>
      <c r="R59" s="276" t="e">
        <f>IF('Pay App 7'!$H$149=0,NA(),IFERROR('Pay App 7'!F117/'Summary Sheet'!$D$19,""))</f>
        <v>#N/A</v>
      </c>
      <c r="S59" s="263"/>
      <c r="T59" s="277" t="e">
        <f>IF('Pay App 8'!$H$149=0,NA(),IFERROR('Pay App 8'!F117/'Summary Sheet'!$D$19,""))</f>
        <v>#N/A</v>
      </c>
      <c r="U59" s="263"/>
      <c r="V59" s="276" t="e">
        <f>IF('Pay App 9'!$H$149=0,NA(),IFERROR('Pay App 9'!F117/'Summary Sheet'!$D$19,""))</f>
        <v>#N/A</v>
      </c>
      <c r="W59" s="263"/>
      <c r="X59" s="277" t="e">
        <f>IF('Pay App 10'!$H$149=0,NA(),IFERROR('Pay App 10'!F117/'Summary Sheet'!$D$19,""))</f>
        <v>#N/A</v>
      </c>
      <c r="Y59" s="263"/>
      <c r="Z59" s="276" t="e">
        <f>IF('Pay App 11'!$H$149=0,NA(),IFERROR('Pay App 11'!F117/'Summary Sheet'!$D$19,""))</f>
        <v>#N/A</v>
      </c>
      <c r="AA59" s="263"/>
      <c r="AB59" s="277" t="e">
        <f>IF('Pay App 12'!$H$149=0,NA(),IFERROR('Pay App 12'!F117/'Summary Sheet'!$D$19,""))</f>
        <v>#N/A</v>
      </c>
      <c r="AC59" s="263"/>
      <c r="AD59" s="276" t="e">
        <f>IF('Pay App 13'!$H$149=0,NA(),IFERROR('Pay App 13'!F117/'Summary Sheet'!$D$19,""))</f>
        <v>#N/A</v>
      </c>
      <c r="AE59" s="263"/>
      <c r="AF59" s="277" t="e">
        <f>IF('Pay App 14'!$H$149=0,NA(),IFERROR('Pay App 14'!F117/'Summary Sheet'!$D$19,""))</f>
        <v>#N/A</v>
      </c>
      <c r="AG59" s="263"/>
      <c r="AH59" s="276" t="e">
        <f>IF('Pay App 15'!$H$149=0,NA(),IFERROR('Pay App 15'!F117/'Summary Sheet'!$D$19,""))</f>
        <v>#N/A</v>
      </c>
      <c r="AI59" s="263"/>
      <c r="AJ59" s="277" t="e">
        <f>IF('Pay App 16'!$H$149=0,NA(),IFERROR('Pay App 16'!F117/'Summary Sheet'!$D$19,""))</f>
        <v>#N/A</v>
      </c>
      <c r="AK59" s="263"/>
      <c r="AL59" s="276" t="e">
        <f>IF('Pay App 17'!$H$149=0,NA(),IFERROR('Pay App 17'!F117/'Summary Sheet'!$D$19,""))</f>
        <v>#N/A</v>
      </c>
      <c r="AM59" s="263"/>
      <c r="AN59" s="277" t="e">
        <f>IF('Pay App 18'!$H$149=0,NA(),IFERROR('Pay App 18'!F117/'Summary Sheet'!$D$19,""))</f>
        <v>#N/A</v>
      </c>
      <c r="AO59" s="263"/>
      <c r="AP59" s="276" t="e">
        <f>IF('Pay App 19'!$H$149=0,NA(),IFERROR('Pay App 19'!F117/'Summary Sheet'!$D$19,""))</f>
        <v>#N/A</v>
      </c>
      <c r="AQ59" s="263"/>
      <c r="AR59" s="263" t="e">
        <f>IF('Pay App 20'!$H$149=0,NA(),IFERROR('Pay App 20'!F117/'Summary Sheet'!$D$19,""))</f>
        <v>#N/A</v>
      </c>
      <c r="AS59" s="264"/>
      <c r="AT59" s="276" t="e">
        <f>IF('Pay App 21'!$H$149=0,NA(),IFERROR('Pay App 21'!F117/'Summary Sheet'!$D$19,""))</f>
        <v>#N/A</v>
      </c>
      <c r="AU59" s="264"/>
      <c r="AV59" s="263" t="e">
        <f>IF('Pay App 22'!$H$149=0,NA(),IFERROR('Pay App 22'!F117/'Summary Sheet'!$D$19,""))</f>
        <v>#N/A</v>
      </c>
      <c r="AW59" s="264"/>
      <c r="AX59" s="276" t="e">
        <f>IF('Pay App 23'!$H$149=0,NA(),IFERROR('Pay App 23'!F117/'Summary Sheet'!$D$19,""))</f>
        <v>#N/A</v>
      </c>
      <c r="AY59" s="264"/>
      <c r="AZ59" s="263" t="e">
        <f>IF('Pay App 24'!$H$149=0,NA(),IFERROR('Pay App 24'!F117/'Summary Sheet'!$D$19,""))</f>
        <v>#N/A</v>
      </c>
      <c r="BA59" s="264"/>
      <c r="BB59" s="276" t="e">
        <f>IF('Pay App 25'!$H$149=0,NA(),IFERROR('Pay App 25'!F117/'Summary Sheet'!$D$19,""))</f>
        <v>#N/A</v>
      </c>
      <c r="BC59" s="264"/>
      <c r="BD59" s="263" t="e">
        <f>IF('Pay App 26'!$H$149=0,NA(),IFERROR('Pay App 26'!F117/'Summary Sheet'!$D$19,""))</f>
        <v>#N/A</v>
      </c>
      <c r="BE59" s="264"/>
      <c r="BF59" s="276" t="e">
        <f>IF('Pay App 27'!$H$149=0,NA(),IFERROR('Pay App 27'!F117/'Summary Sheet'!$D$19,""))</f>
        <v>#N/A</v>
      </c>
      <c r="BG59" s="264"/>
      <c r="BH59" s="263" t="e">
        <f>IF('Pay App 28'!$H$149=0,NA(),IFERROR('Pay App 28'!F117/'Summary Sheet'!$D$19,""))</f>
        <v>#N/A</v>
      </c>
      <c r="BI59" s="264"/>
      <c r="BJ59" s="276" t="e">
        <f>IF('Pay App 29'!$H$149=0,NA(),IFERROR('Pay App 29'!F117/'Summary Sheet'!$D$19,""))</f>
        <v>#N/A</v>
      </c>
      <c r="BK59" s="271"/>
      <c r="BL59" s="263" t="e">
        <f>IF('Pay App 30'!$H$149=0,NA(),IFERROR('Pay App 30'!F117/'Summary Sheet'!$D$19,""))</f>
        <v>#N/A</v>
      </c>
      <c r="BM59" s="264"/>
      <c r="BN59" s="276" t="e">
        <f>IF('Pay App 31'!$H$149=0,NA(),IFERROR('Pay App 31'!F117/'Summary Sheet'!$D$19,""))</f>
        <v>#N/A</v>
      </c>
      <c r="BO59" s="264"/>
      <c r="BP59" s="263" t="e">
        <f>IF('Pay App 32'!$H$149=0,NA(),IFERROR('Pay App 32'!F117/'Summary Sheet'!$D$19,""))</f>
        <v>#N/A</v>
      </c>
      <c r="BQ59" s="264"/>
      <c r="BR59" s="276" t="e">
        <f>IF('Pay App 33'!$H$149=0,NA(),IFERROR('Pay App 33'!F117/'Summary Sheet'!$D$19,""))</f>
        <v>#N/A</v>
      </c>
      <c r="BS59" s="264"/>
      <c r="BT59" s="263" t="e">
        <f>IF('Pay App 34'!$H$149=0,NA(),IFERROR('Pay App 34'!F117/'Summary Sheet'!$D$19,""))</f>
        <v>#N/A</v>
      </c>
      <c r="BU59" s="264"/>
      <c r="BV59" s="276" t="e">
        <f>IF('Pay App 35'!$H$149=0,NA(),IFERROR('Pay App 35'!F117/'Summary Sheet'!$D$19,""))</f>
        <v>#N/A</v>
      </c>
      <c r="BW59" s="264"/>
      <c r="BX59" s="263" t="e">
        <f>IF('Pay App 36'!$H$149=0,NA(),IFERROR('Pay App 36'!F117/'Summary Sheet'!$D$19,""))</f>
        <v>#N/A</v>
      </c>
      <c r="BY59" s="264"/>
      <c r="BZ59" s="276" t="e">
        <f>IF('Pay App 37'!$H$149=0,NA(),IFERROR('Pay App 37'!F117/'Summary Sheet'!$D$19,""))</f>
        <v>#N/A</v>
      </c>
      <c r="CA59" s="264"/>
      <c r="CB59" s="263" t="e">
        <f>IF('Pay App 38'!$H$149=0,NA(),IFERROR('Pay App 38'!F117/'Summary Sheet'!$D$19,""))</f>
        <v>#N/A</v>
      </c>
      <c r="CC59" s="264"/>
      <c r="CD59" s="276" t="e">
        <f>IF('Pay App 39'!$H$149=0,NA(),IFERROR('Pay App 39'!F117/'Summary Sheet'!$D$19,""))</f>
        <v>#N/A</v>
      </c>
      <c r="CE59" s="264"/>
      <c r="CF59" s="263" t="e">
        <f>IF('Pay App 40'!$H$149=0,NA(),IFERROR('Pay App 40'!F117/'Summary Sheet'!$D$19,""))</f>
        <v>#N/A</v>
      </c>
      <c r="CG59" s="264"/>
      <c r="CH59" s="276" t="e">
        <f>IF('Pay App 41'!$H$149=0,NA(),IFERROR('Pay App 41'!F117/'Summary Sheet'!$D$19,""))</f>
        <v>#N/A</v>
      </c>
      <c r="CI59" s="264"/>
      <c r="CJ59" s="263" t="e">
        <f>IF('Pay App 42'!$H$149=0,NA(),IFERROR('Pay App 42'!F117/'Summary Sheet'!$D$19,""))</f>
        <v>#N/A</v>
      </c>
      <c r="CK59" s="264"/>
      <c r="CL59" s="276" t="e">
        <f>IF('Pay App 43'!$H$149=0,NA(),IFERROR('Pay App 43'!F117/'Summary Sheet'!$D$19,""))</f>
        <v>#N/A</v>
      </c>
      <c r="CM59" s="264"/>
      <c r="CN59" s="263" t="e">
        <f>IF('Pay App 44'!$H$149=0,NA(),IFERROR('Pay App 44'!F117/'Summary Sheet'!$D$19,""))</f>
        <v>#N/A</v>
      </c>
      <c r="CO59" s="264"/>
      <c r="CP59" s="276" t="e">
        <f>IF('Pay App 45'!$H$149=0,NA(),IFERROR('Pay App 45'!F117/'Summary Sheet'!$D$19,""))</f>
        <v>#N/A</v>
      </c>
      <c r="CQ59" s="264"/>
      <c r="CR59" s="263" t="e">
        <f>IF('Pay App 46'!$H$149=0,NA(),IFERROR('Pay App 46'!F117/'Summary Sheet'!$D$19,""))</f>
        <v>#N/A</v>
      </c>
      <c r="CS59" s="264"/>
      <c r="CT59" s="276" t="e">
        <f>IF('Pay App 47'!$H$149=0,NA(),IFERROR('Pay App 47'!F117/'Summary Sheet'!$D$19,""))</f>
        <v>#N/A</v>
      </c>
      <c r="CU59" s="264"/>
      <c r="CV59" s="263" t="e">
        <f>IF('Pay App 48'!$H$149=0,NA(),IFERROR('Pay App 48'!F117/'Summary Sheet'!$D$19,""))</f>
        <v>#N/A</v>
      </c>
      <c r="CW59" s="264"/>
      <c r="CX59" s="276" t="e">
        <f>IF('Pay App 49'!$H$149=0,NA(),IFERROR('Pay App 49'!F117/'Summary Sheet'!$D$19,""))</f>
        <v>#N/A</v>
      </c>
      <c r="CY59" s="264"/>
      <c r="CZ59" s="263" t="e">
        <f>IF('Pay App 50'!$H$149=0,NA(),IFERROR('Pay App 50'!F117/'Summary Sheet'!$D$19,""))</f>
        <v>#N/A</v>
      </c>
      <c r="DA59" s="264"/>
      <c r="DB59" s="276" t="e">
        <f>IF('Pay App 51'!$H$149=0,NA(),IFERROR('Pay App 51'!F117/'Summary Sheet'!$D$19,""))</f>
        <v>#N/A</v>
      </c>
      <c r="DC59" s="264"/>
      <c r="DD59" s="263" t="e">
        <f>IF('Pay App 52'!$H$149=0,NA(),IFERROR('Pay App 52'!F117/'Summary Sheet'!$D$19,""))</f>
        <v>#N/A</v>
      </c>
      <c r="DE59" s="264"/>
      <c r="DF59" s="276" t="e">
        <f>IF('Pay App 53'!$H$149=0,NA(),IFERROR('Pay App 53'!F117/'Summary Sheet'!$D$19,""))</f>
        <v>#N/A</v>
      </c>
      <c r="DG59" s="264"/>
      <c r="DH59" s="263" t="e">
        <f>IF('Pay App 54'!$H$149=0,NA(),IFERROR('Pay App 54'!F117/'Summary Sheet'!$D$19,""))</f>
        <v>#N/A</v>
      </c>
      <c r="DI59" s="264"/>
      <c r="DJ59" s="276" t="e">
        <f>IF('Pay App 55'!$H$149=0,NA(),IFERROR('Pay App 55'!F117/'Summary Sheet'!$D$19,""))</f>
        <v>#N/A</v>
      </c>
      <c r="DK59" s="264"/>
      <c r="DL59" s="263" t="e">
        <f>IF('Pay App 56'!$H$149=0,NA(),IFERROR('Pay App 56'!F117/'Summary Sheet'!$D$19,""))</f>
        <v>#N/A</v>
      </c>
      <c r="DM59" s="264"/>
      <c r="DN59" s="276" t="e">
        <f>IF('Pay App 57'!$H$149=0,NA(),IFERROR('Pay App 57'!F117/'Summary Sheet'!$D$19,""))</f>
        <v>#N/A</v>
      </c>
      <c r="DO59" s="264"/>
      <c r="DP59" s="263" t="e">
        <f>IF('Pay App 58'!$H$149=0,NA(),IFERROR('Pay App 58'!F117/'Summary Sheet'!$D$19,""))</f>
        <v>#N/A</v>
      </c>
      <c r="DQ59" s="264"/>
      <c r="DR59" s="276" t="e">
        <f>IF('Pay App 59'!$H$149=0,NA(),IFERROR('Pay App 59'!F117/'Summary Sheet'!$D$19,""))</f>
        <v>#N/A</v>
      </c>
      <c r="DS59" s="264"/>
      <c r="DT59" s="263" t="e">
        <f>IF('Pay App 60'!$H$149=0,NA(),IFERROR('Pay App 60'!F1027/'Summary Sheet'!$D$19,""))</f>
        <v>#N/A</v>
      </c>
      <c r="DU59" s="296"/>
    </row>
    <row r="60" spans="2:125" x14ac:dyDescent="0.25">
      <c r="B60" s="40" t="str">
        <f>'Pay App 1'!B118</f>
        <v>11 53 00</v>
      </c>
      <c r="C60" s="41" t="str">
        <f>'Pay App 1'!C118</f>
        <v>Lab/Mechanical Equipment</v>
      </c>
      <c r="D60" s="282" t="str" cm="1">
        <f t="array" ref="D60">IFERROR(1+(LOOKUP(2,1/(E60:DT60&lt;&gt;""),E60:DT60)-E60)/E60,"")</f>
        <v/>
      </c>
      <c r="E60" s="275" t="str">
        <f>IFERROR('GMP Tracker'!D64/'Summary Sheet'!$D$19,"")</f>
        <v/>
      </c>
      <c r="F60" s="276" t="e">
        <f>IF('Pay App 1'!$D$149=0,NA(),IFERROR('Pay App 1'!F118/'Summary Sheet'!$D$19,""))</f>
        <v>#N/A</v>
      </c>
      <c r="G60" s="271"/>
      <c r="H60" s="277" t="e">
        <f>IF('Pay App 2'!$H$149=0,NA(),IFERROR('Pay App 2'!F118/'Summary Sheet'!$D$19,""))</f>
        <v>#N/A</v>
      </c>
      <c r="I60" s="266"/>
      <c r="J60" s="276" t="e">
        <f>IF('Pay App 3'!$H$149=0,NA(),IFERROR('Pay App 3'!F118/'Summary Sheet'!$D$19,""))</f>
        <v>#N/A</v>
      </c>
      <c r="K60" s="268"/>
      <c r="L60" s="277" t="e">
        <f>IF('Pay App 4'!$H$149=0,NA(),IFERROR('Pay App 4'!F118/'Summary Sheet'!$D$19,""))</f>
        <v>#N/A</v>
      </c>
      <c r="M60" s="266"/>
      <c r="N60" s="276" t="e">
        <f>IF('Pay App 5'!$H$149=0,NA(),IFERROR('Pay App 5'!F118/'Summary Sheet'!$D$19,""))</f>
        <v>#N/A</v>
      </c>
      <c r="O60" s="263"/>
      <c r="P60" s="277" t="e">
        <f>IF('Pay App 6'!$H$149=0,NA(),IFERROR('Pay App 6'!F118/'Summary Sheet'!$D$19,""))</f>
        <v>#N/A</v>
      </c>
      <c r="Q60" s="263"/>
      <c r="R60" s="276" t="e">
        <f>IF('Pay App 7'!$H$149=0,NA(),IFERROR('Pay App 7'!F118/'Summary Sheet'!$D$19,""))</f>
        <v>#N/A</v>
      </c>
      <c r="S60" s="263"/>
      <c r="T60" s="277" t="e">
        <f>IF('Pay App 8'!$H$149=0,NA(),IFERROR('Pay App 8'!F118/'Summary Sheet'!$D$19,""))</f>
        <v>#N/A</v>
      </c>
      <c r="U60" s="263"/>
      <c r="V60" s="276" t="e">
        <f>IF('Pay App 9'!$H$149=0,NA(),IFERROR('Pay App 9'!F118/'Summary Sheet'!$D$19,""))</f>
        <v>#N/A</v>
      </c>
      <c r="W60" s="263"/>
      <c r="X60" s="277" t="e">
        <f>IF('Pay App 10'!$H$149=0,NA(),IFERROR('Pay App 10'!F118/'Summary Sheet'!$D$19,""))</f>
        <v>#N/A</v>
      </c>
      <c r="Y60" s="263"/>
      <c r="Z60" s="276" t="e">
        <f>IF('Pay App 11'!$H$149=0,NA(),IFERROR('Pay App 11'!F118/'Summary Sheet'!$D$19,""))</f>
        <v>#N/A</v>
      </c>
      <c r="AA60" s="263"/>
      <c r="AB60" s="277" t="e">
        <f>IF('Pay App 12'!$H$149=0,NA(),IFERROR('Pay App 12'!F118/'Summary Sheet'!$D$19,""))</f>
        <v>#N/A</v>
      </c>
      <c r="AC60" s="263"/>
      <c r="AD60" s="276" t="e">
        <f>IF('Pay App 13'!$H$149=0,NA(),IFERROR('Pay App 13'!F118/'Summary Sheet'!$D$19,""))</f>
        <v>#N/A</v>
      </c>
      <c r="AE60" s="263"/>
      <c r="AF60" s="277" t="e">
        <f>IF('Pay App 14'!$H$149=0,NA(),IFERROR('Pay App 14'!F118/'Summary Sheet'!$D$19,""))</f>
        <v>#N/A</v>
      </c>
      <c r="AG60" s="263"/>
      <c r="AH60" s="276" t="e">
        <f>IF('Pay App 15'!$H$149=0,NA(),IFERROR('Pay App 15'!F118/'Summary Sheet'!$D$19,""))</f>
        <v>#N/A</v>
      </c>
      <c r="AI60" s="263"/>
      <c r="AJ60" s="277" t="e">
        <f>IF('Pay App 16'!$H$149=0,NA(),IFERROR('Pay App 16'!F118/'Summary Sheet'!$D$19,""))</f>
        <v>#N/A</v>
      </c>
      <c r="AK60" s="263"/>
      <c r="AL60" s="276" t="e">
        <f>IF('Pay App 17'!$H$149=0,NA(),IFERROR('Pay App 17'!F118/'Summary Sheet'!$D$19,""))</f>
        <v>#N/A</v>
      </c>
      <c r="AM60" s="263"/>
      <c r="AN60" s="277" t="e">
        <f>IF('Pay App 18'!$H$149=0,NA(),IFERROR('Pay App 18'!F118/'Summary Sheet'!$D$19,""))</f>
        <v>#N/A</v>
      </c>
      <c r="AO60" s="263"/>
      <c r="AP60" s="276" t="e">
        <f>IF('Pay App 19'!$H$149=0,NA(),IFERROR('Pay App 19'!F118/'Summary Sheet'!$D$19,""))</f>
        <v>#N/A</v>
      </c>
      <c r="AQ60" s="263"/>
      <c r="AR60" s="263" t="e">
        <f>IF('Pay App 20'!$H$149=0,NA(),IFERROR('Pay App 20'!F118/'Summary Sheet'!$D$19,""))</f>
        <v>#N/A</v>
      </c>
      <c r="AS60" s="264"/>
      <c r="AT60" s="276" t="e">
        <f>IF('Pay App 21'!$H$149=0,NA(),IFERROR('Pay App 21'!F118/'Summary Sheet'!$D$19,""))</f>
        <v>#N/A</v>
      </c>
      <c r="AU60" s="264"/>
      <c r="AV60" s="263" t="e">
        <f>IF('Pay App 22'!$H$149=0,NA(),IFERROR('Pay App 22'!F118/'Summary Sheet'!$D$19,""))</f>
        <v>#N/A</v>
      </c>
      <c r="AW60" s="264"/>
      <c r="AX60" s="276" t="e">
        <f>IF('Pay App 23'!$H$149=0,NA(),IFERROR('Pay App 23'!F118/'Summary Sheet'!$D$19,""))</f>
        <v>#N/A</v>
      </c>
      <c r="AY60" s="264"/>
      <c r="AZ60" s="263" t="e">
        <f>IF('Pay App 24'!$H$149=0,NA(),IFERROR('Pay App 24'!F118/'Summary Sheet'!$D$19,""))</f>
        <v>#N/A</v>
      </c>
      <c r="BA60" s="264"/>
      <c r="BB60" s="276" t="e">
        <f>IF('Pay App 25'!$H$149=0,NA(),IFERROR('Pay App 25'!F118/'Summary Sheet'!$D$19,""))</f>
        <v>#N/A</v>
      </c>
      <c r="BC60" s="264"/>
      <c r="BD60" s="263" t="e">
        <f>IF('Pay App 26'!$H$149=0,NA(),IFERROR('Pay App 26'!F118/'Summary Sheet'!$D$19,""))</f>
        <v>#N/A</v>
      </c>
      <c r="BE60" s="264"/>
      <c r="BF60" s="276" t="e">
        <f>IF('Pay App 27'!$H$149=0,NA(),IFERROR('Pay App 27'!F118/'Summary Sheet'!$D$19,""))</f>
        <v>#N/A</v>
      </c>
      <c r="BG60" s="264"/>
      <c r="BH60" s="263" t="e">
        <f>IF('Pay App 28'!$H$149=0,NA(),IFERROR('Pay App 28'!F118/'Summary Sheet'!$D$19,""))</f>
        <v>#N/A</v>
      </c>
      <c r="BI60" s="264"/>
      <c r="BJ60" s="276" t="e">
        <f>IF('Pay App 29'!$H$149=0,NA(),IFERROR('Pay App 29'!F118/'Summary Sheet'!$D$19,""))</f>
        <v>#N/A</v>
      </c>
      <c r="BK60" s="271"/>
      <c r="BL60" s="263" t="e">
        <f>IF('Pay App 30'!$H$149=0,NA(),IFERROR('Pay App 30'!F118/'Summary Sheet'!$D$19,""))</f>
        <v>#N/A</v>
      </c>
      <c r="BM60" s="264"/>
      <c r="BN60" s="276" t="e">
        <f>IF('Pay App 31'!$H$149=0,NA(),IFERROR('Pay App 31'!F118/'Summary Sheet'!$D$19,""))</f>
        <v>#N/A</v>
      </c>
      <c r="BO60" s="264"/>
      <c r="BP60" s="263" t="e">
        <f>IF('Pay App 32'!$H$149=0,NA(),IFERROR('Pay App 32'!F118/'Summary Sheet'!$D$19,""))</f>
        <v>#N/A</v>
      </c>
      <c r="BQ60" s="264"/>
      <c r="BR60" s="276" t="e">
        <f>IF('Pay App 33'!$H$149=0,NA(),IFERROR('Pay App 33'!F118/'Summary Sheet'!$D$19,""))</f>
        <v>#N/A</v>
      </c>
      <c r="BS60" s="264"/>
      <c r="BT60" s="263" t="e">
        <f>IF('Pay App 34'!$H$149=0,NA(),IFERROR('Pay App 34'!F118/'Summary Sheet'!$D$19,""))</f>
        <v>#N/A</v>
      </c>
      <c r="BU60" s="264"/>
      <c r="BV60" s="276" t="e">
        <f>IF('Pay App 35'!$H$149=0,NA(),IFERROR('Pay App 35'!F118/'Summary Sheet'!$D$19,""))</f>
        <v>#N/A</v>
      </c>
      <c r="BW60" s="264"/>
      <c r="BX60" s="263" t="e">
        <f>IF('Pay App 36'!$H$149=0,NA(),IFERROR('Pay App 36'!F118/'Summary Sheet'!$D$19,""))</f>
        <v>#N/A</v>
      </c>
      <c r="BY60" s="264"/>
      <c r="BZ60" s="276" t="e">
        <f>IF('Pay App 37'!$H$149=0,NA(),IFERROR('Pay App 37'!F118/'Summary Sheet'!$D$19,""))</f>
        <v>#N/A</v>
      </c>
      <c r="CA60" s="264"/>
      <c r="CB60" s="263" t="e">
        <f>IF('Pay App 38'!$H$149=0,NA(),IFERROR('Pay App 38'!F118/'Summary Sheet'!$D$19,""))</f>
        <v>#N/A</v>
      </c>
      <c r="CC60" s="264"/>
      <c r="CD60" s="276" t="e">
        <f>IF('Pay App 39'!$H$149=0,NA(),IFERROR('Pay App 39'!F118/'Summary Sheet'!$D$19,""))</f>
        <v>#N/A</v>
      </c>
      <c r="CE60" s="264"/>
      <c r="CF60" s="263" t="e">
        <f>IF('Pay App 40'!$H$149=0,NA(),IFERROR('Pay App 40'!F118/'Summary Sheet'!$D$19,""))</f>
        <v>#N/A</v>
      </c>
      <c r="CG60" s="264"/>
      <c r="CH60" s="276" t="e">
        <f>IF('Pay App 41'!$H$149=0,NA(),IFERROR('Pay App 41'!F118/'Summary Sheet'!$D$19,""))</f>
        <v>#N/A</v>
      </c>
      <c r="CI60" s="264"/>
      <c r="CJ60" s="263" t="e">
        <f>IF('Pay App 42'!$H$149=0,NA(),IFERROR('Pay App 42'!F118/'Summary Sheet'!$D$19,""))</f>
        <v>#N/A</v>
      </c>
      <c r="CK60" s="264"/>
      <c r="CL60" s="276" t="e">
        <f>IF('Pay App 43'!$H$149=0,NA(),IFERROR('Pay App 43'!F118/'Summary Sheet'!$D$19,""))</f>
        <v>#N/A</v>
      </c>
      <c r="CM60" s="264"/>
      <c r="CN60" s="263" t="e">
        <f>IF('Pay App 44'!$H$149=0,NA(),IFERROR('Pay App 44'!F118/'Summary Sheet'!$D$19,""))</f>
        <v>#N/A</v>
      </c>
      <c r="CO60" s="264"/>
      <c r="CP60" s="276" t="e">
        <f>IF('Pay App 45'!$H$149=0,NA(),IFERROR('Pay App 45'!F118/'Summary Sheet'!$D$19,""))</f>
        <v>#N/A</v>
      </c>
      <c r="CQ60" s="264"/>
      <c r="CR60" s="263" t="e">
        <f>IF('Pay App 46'!$H$149=0,NA(),IFERROR('Pay App 46'!F118/'Summary Sheet'!$D$19,""))</f>
        <v>#N/A</v>
      </c>
      <c r="CS60" s="264"/>
      <c r="CT60" s="276" t="e">
        <f>IF('Pay App 47'!$H$149=0,NA(),IFERROR('Pay App 47'!F118/'Summary Sheet'!$D$19,""))</f>
        <v>#N/A</v>
      </c>
      <c r="CU60" s="264"/>
      <c r="CV60" s="263" t="e">
        <f>IF('Pay App 48'!$H$149=0,NA(),IFERROR('Pay App 48'!F118/'Summary Sheet'!$D$19,""))</f>
        <v>#N/A</v>
      </c>
      <c r="CW60" s="264"/>
      <c r="CX60" s="276" t="e">
        <f>IF('Pay App 49'!$H$149=0,NA(),IFERROR('Pay App 49'!F118/'Summary Sheet'!$D$19,""))</f>
        <v>#N/A</v>
      </c>
      <c r="CY60" s="264"/>
      <c r="CZ60" s="263" t="e">
        <f>IF('Pay App 50'!$H$149=0,NA(),IFERROR('Pay App 50'!F118/'Summary Sheet'!$D$19,""))</f>
        <v>#N/A</v>
      </c>
      <c r="DA60" s="264"/>
      <c r="DB60" s="276" t="e">
        <f>IF('Pay App 51'!$H$149=0,NA(),IFERROR('Pay App 51'!F118/'Summary Sheet'!$D$19,""))</f>
        <v>#N/A</v>
      </c>
      <c r="DC60" s="264"/>
      <c r="DD60" s="263" t="e">
        <f>IF('Pay App 52'!$H$149=0,NA(),IFERROR('Pay App 52'!F118/'Summary Sheet'!$D$19,""))</f>
        <v>#N/A</v>
      </c>
      <c r="DE60" s="264"/>
      <c r="DF60" s="276" t="e">
        <f>IF('Pay App 53'!$H$149=0,NA(),IFERROR('Pay App 53'!F118/'Summary Sheet'!$D$19,""))</f>
        <v>#N/A</v>
      </c>
      <c r="DG60" s="264"/>
      <c r="DH60" s="263" t="e">
        <f>IF('Pay App 54'!$H$149=0,NA(),IFERROR('Pay App 54'!F118/'Summary Sheet'!$D$19,""))</f>
        <v>#N/A</v>
      </c>
      <c r="DI60" s="264"/>
      <c r="DJ60" s="276" t="e">
        <f>IF('Pay App 55'!$H$149=0,NA(),IFERROR('Pay App 55'!F118/'Summary Sheet'!$D$19,""))</f>
        <v>#N/A</v>
      </c>
      <c r="DK60" s="264"/>
      <c r="DL60" s="263" t="e">
        <f>IF('Pay App 56'!$H$149=0,NA(),IFERROR('Pay App 56'!F118/'Summary Sheet'!$D$19,""))</f>
        <v>#N/A</v>
      </c>
      <c r="DM60" s="264"/>
      <c r="DN60" s="276" t="e">
        <f>IF('Pay App 57'!$H$149=0,NA(),IFERROR('Pay App 57'!F118/'Summary Sheet'!$D$19,""))</f>
        <v>#N/A</v>
      </c>
      <c r="DO60" s="264"/>
      <c r="DP60" s="263" t="e">
        <f>IF('Pay App 58'!$H$149=0,NA(),IFERROR('Pay App 58'!F118/'Summary Sheet'!$D$19,""))</f>
        <v>#N/A</v>
      </c>
      <c r="DQ60" s="264"/>
      <c r="DR60" s="276" t="e">
        <f>IF('Pay App 59'!$H$149=0,NA(),IFERROR('Pay App 59'!F118/'Summary Sheet'!$D$19,""))</f>
        <v>#N/A</v>
      </c>
      <c r="DS60" s="264"/>
      <c r="DT60" s="263" t="e">
        <f>IF('Pay App 60'!$H$149=0,NA(),IFERROR('Pay App 60'!F1028/'Summary Sheet'!$D$19,""))</f>
        <v>#N/A</v>
      </c>
      <c r="DU60" s="296"/>
    </row>
    <row r="61" spans="2:125" x14ac:dyDescent="0.25">
      <c r="B61" s="40" t="str">
        <f>'Pay App 1'!B119</f>
        <v>11 66 00</v>
      </c>
      <c r="C61" s="41" t="str">
        <f>'Pay App 1'!C119</f>
        <v>Athletic Equipment</v>
      </c>
      <c r="D61" s="282" t="str" cm="1">
        <f t="array" ref="D61">IFERROR(1+(LOOKUP(2,1/(E61:DT61&lt;&gt;""),E61:DT61)-E61)/E61,"")</f>
        <v/>
      </c>
      <c r="E61" s="275" t="str">
        <f>IFERROR('GMP Tracker'!D65/'Summary Sheet'!$D$19,"")</f>
        <v/>
      </c>
      <c r="F61" s="276" t="e">
        <f>IF('Pay App 1'!$D$149=0,NA(),IFERROR('Pay App 1'!F119/'Summary Sheet'!$D$19,""))</f>
        <v>#N/A</v>
      </c>
      <c r="G61" s="271"/>
      <c r="H61" s="277" t="e">
        <f>IF('Pay App 2'!$H$149=0,NA(),IFERROR('Pay App 2'!F119/'Summary Sheet'!$D$19,""))</f>
        <v>#N/A</v>
      </c>
      <c r="I61" s="266"/>
      <c r="J61" s="276" t="e">
        <f>IF('Pay App 3'!$H$149=0,NA(),IFERROR('Pay App 3'!F119/'Summary Sheet'!$D$19,""))</f>
        <v>#N/A</v>
      </c>
      <c r="K61" s="268"/>
      <c r="L61" s="277" t="e">
        <f>IF('Pay App 4'!$H$149=0,NA(),IFERROR('Pay App 4'!F119/'Summary Sheet'!$D$19,""))</f>
        <v>#N/A</v>
      </c>
      <c r="M61" s="266"/>
      <c r="N61" s="276" t="e">
        <f>IF('Pay App 5'!$H$149=0,NA(),IFERROR('Pay App 5'!F119/'Summary Sheet'!$D$19,""))</f>
        <v>#N/A</v>
      </c>
      <c r="O61" s="263"/>
      <c r="P61" s="277" t="e">
        <f>IF('Pay App 6'!$H$149=0,NA(),IFERROR('Pay App 6'!F119/'Summary Sheet'!$D$19,""))</f>
        <v>#N/A</v>
      </c>
      <c r="Q61" s="263"/>
      <c r="R61" s="276" t="e">
        <f>IF('Pay App 7'!$H$149=0,NA(),IFERROR('Pay App 7'!F119/'Summary Sheet'!$D$19,""))</f>
        <v>#N/A</v>
      </c>
      <c r="S61" s="263"/>
      <c r="T61" s="277" t="e">
        <f>IF('Pay App 8'!$H$149=0,NA(),IFERROR('Pay App 8'!F119/'Summary Sheet'!$D$19,""))</f>
        <v>#N/A</v>
      </c>
      <c r="U61" s="263"/>
      <c r="V61" s="276" t="e">
        <f>IF('Pay App 9'!$H$149=0,NA(),IFERROR('Pay App 9'!F119/'Summary Sheet'!$D$19,""))</f>
        <v>#N/A</v>
      </c>
      <c r="W61" s="263"/>
      <c r="X61" s="277" t="e">
        <f>IF('Pay App 10'!$H$149=0,NA(),IFERROR('Pay App 10'!F119/'Summary Sheet'!$D$19,""))</f>
        <v>#N/A</v>
      </c>
      <c r="Y61" s="263"/>
      <c r="Z61" s="276" t="e">
        <f>IF('Pay App 11'!$H$149=0,NA(),IFERROR('Pay App 11'!F119/'Summary Sheet'!$D$19,""))</f>
        <v>#N/A</v>
      </c>
      <c r="AA61" s="263"/>
      <c r="AB61" s="277" t="e">
        <f>IF('Pay App 12'!$H$149=0,NA(),IFERROR('Pay App 12'!F119/'Summary Sheet'!$D$19,""))</f>
        <v>#N/A</v>
      </c>
      <c r="AC61" s="263"/>
      <c r="AD61" s="276" t="e">
        <f>IF('Pay App 13'!$H$149=0,NA(),IFERROR('Pay App 13'!F119/'Summary Sheet'!$D$19,""))</f>
        <v>#N/A</v>
      </c>
      <c r="AE61" s="263"/>
      <c r="AF61" s="277" t="e">
        <f>IF('Pay App 14'!$H$149=0,NA(),IFERROR('Pay App 14'!F119/'Summary Sheet'!$D$19,""))</f>
        <v>#N/A</v>
      </c>
      <c r="AG61" s="263"/>
      <c r="AH61" s="276" t="e">
        <f>IF('Pay App 15'!$H$149=0,NA(),IFERROR('Pay App 15'!F119/'Summary Sheet'!$D$19,""))</f>
        <v>#N/A</v>
      </c>
      <c r="AI61" s="263"/>
      <c r="AJ61" s="277" t="e">
        <f>IF('Pay App 16'!$H$149=0,NA(),IFERROR('Pay App 16'!F119/'Summary Sheet'!$D$19,""))</f>
        <v>#N/A</v>
      </c>
      <c r="AK61" s="263"/>
      <c r="AL61" s="276" t="e">
        <f>IF('Pay App 17'!$H$149=0,NA(),IFERROR('Pay App 17'!F119/'Summary Sheet'!$D$19,""))</f>
        <v>#N/A</v>
      </c>
      <c r="AM61" s="263"/>
      <c r="AN61" s="277" t="e">
        <f>IF('Pay App 18'!$H$149=0,NA(),IFERROR('Pay App 18'!F119/'Summary Sheet'!$D$19,""))</f>
        <v>#N/A</v>
      </c>
      <c r="AO61" s="263"/>
      <c r="AP61" s="276" t="e">
        <f>IF('Pay App 19'!$H$149=0,NA(),IFERROR('Pay App 19'!F119/'Summary Sheet'!$D$19,""))</f>
        <v>#N/A</v>
      </c>
      <c r="AQ61" s="263"/>
      <c r="AR61" s="263" t="e">
        <f>IF('Pay App 20'!$H$149=0,NA(),IFERROR('Pay App 20'!F119/'Summary Sheet'!$D$19,""))</f>
        <v>#N/A</v>
      </c>
      <c r="AS61" s="264"/>
      <c r="AT61" s="276" t="e">
        <f>IF('Pay App 21'!$H$149=0,NA(),IFERROR('Pay App 21'!F119/'Summary Sheet'!$D$19,""))</f>
        <v>#N/A</v>
      </c>
      <c r="AU61" s="264"/>
      <c r="AV61" s="263" t="e">
        <f>IF('Pay App 22'!$H$149=0,NA(),IFERROR('Pay App 22'!F119/'Summary Sheet'!$D$19,""))</f>
        <v>#N/A</v>
      </c>
      <c r="AW61" s="264"/>
      <c r="AX61" s="276" t="e">
        <f>IF('Pay App 23'!$H$149=0,NA(),IFERROR('Pay App 23'!F119/'Summary Sheet'!$D$19,""))</f>
        <v>#N/A</v>
      </c>
      <c r="AY61" s="264"/>
      <c r="AZ61" s="263" t="e">
        <f>IF('Pay App 24'!$H$149=0,NA(),IFERROR('Pay App 24'!F119/'Summary Sheet'!$D$19,""))</f>
        <v>#N/A</v>
      </c>
      <c r="BA61" s="264"/>
      <c r="BB61" s="276" t="e">
        <f>IF('Pay App 25'!$H$149=0,NA(),IFERROR('Pay App 25'!F119/'Summary Sheet'!$D$19,""))</f>
        <v>#N/A</v>
      </c>
      <c r="BC61" s="264"/>
      <c r="BD61" s="263" t="e">
        <f>IF('Pay App 26'!$H$149=0,NA(),IFERROR('Pay App 26'!F119/'Summary Sheet'!$D$19,""))</f>
        <v>#N/A</v>
      </c>
      <c r="BE61" s="264"/>
      <c r="BF61" s="276" t="e">
        <f>IF('Pay App 27'!$H$149=0,NA(),IFERROR('Pay App 27'!F119/'Summary Sheet'!$D$19,""))</f>
        <v>#N/A</v>
      </c>
      <c r="BG61" s="264"/>
      <c r="BH61" s="263" t="e">
        <f>IF('Pay App 28'!$H$149=0,NA(),IFERROR('Pay App 28'!F119/'Summary Sheet'!$D$19,""))</f>
        <v>#N/A</v>
      </c>
      <c r="BI61" s="264"/>
      <c r="BJ61" s="276" t="e">
        <f>IF('Pay App 29'!$H$149=0,NA(),IFERROR('Pay App 29'!F119/'Summary Sheet'!$D$19,""))</f>
        <v>#N/A</v>
      </c>
      <c r="BK61" s="271"/>
      <c r="BL61" s="263" t="e">
        <f>IF('Pay App 30'!$H$149=0,NA(),IFERROR('Pay App 30'!F119/'Summary Sheet'!$D$19,""))</f>
        <v>#N/A</v>
      </c>
      <c r="BM61" s="264"/>
      <c r="BN61" s="276" t="e">
        <f>IF('Pay App 31'!$H$149=0,NA(),IFERROR('Pay App 31'!F119/'Summary Sheet'!$D$19,""))</f>
        <v>#N/A</v>
      </c>
      <c r="BO61" s="264"/>
      <c r="BP61" s="263" t="e">
        <f>IF('Pay App 32'!$H$149=0,NA(),IFERROR('Pay App 32'!F119/'Summary Sheet'!$D$19,""))</f>
        <v>#N/A</v>
      </c>
      <c r="BQ61" s="264"/>
      <c r="BR61" s="276" t="e">
        <f>IF('Pay App 33'!$H$149=0,NA(),IFERROR('Pay App 33'!F119/'Summary Sheet'!$D$19,""))</f>
        <v>#N/A</v>
      </c>
      <c r="BS61" s="264"/>
      <c r="BT61" s="263" t="e">
        <f>IF('Pay App 34'!$H$149=0,NA(),IFERROR('Pay App 34'!F119/'Summary Sheet'!$D$19,""))</f>
        <v>#N/A</v>
      </c>
      <c r="BU61" s="264"/>
      <c r="BV61" s="276" t="e">
        <f>IF('Pay App 35'!$H$149=0,NA(),IFERROR('Pay App 35'!F119/'Summary Sheet'!$D$19,""))</f>
        <v>#N/A</v>
      </c>
      <c r="BW61" s="264"/>
      <c r="BX61" s="263" t="e">
        <f>IF('Pay App 36'!$H$149=0,NA(),IFERROR('Pay App 36'!F119/'Summary Sheet'!$D$19,""))</f>
        <v>#N/A</v>
      </c>
      <c r="BY61" s="264"/>
      <c r="BZ61" s="276" t="e">
        <f>IF('Pay App 37'!$H$149=0,NA(),IFERROR('Pay App 37'!F119/'Summary Sheet'!$D$19,""))</f>
        <v>#N/A</v>
      </c>
      <c r="CA61" s="264"/>
      <c r="CB61" s="263" t="e">
        <f>IF('Pay App 38'!$H$149=0,NA(),IFERROR('Pay App 38'!F119/'Summary Sheet'!$D$19,""))</f>
        <v>#N/A</v>
      </c>
      <c r="CC61" s="264"/>
      <c r="CD61" s="276" t="e">
        <f>IF('Pay App 39'!$H$149=0,NA(),IFERROR('Pay App 39'!F119/'Summary Sheet'!$D$19,""))</f>
        <v>#N/A</v>
      </c>
      <c r="CE61" s="264"/>
      <c r="CF61" s="263" t="e">
        <f>IF('Pay App 40'!$H$149=0,NA(),IFERROR('Pay App 40'!F119/'Summary Sheet'!$D$19,""))</f>
        <v>#N/A</v>
      </c>
      <c r="CG61" s="264"/>
      <c r="CH61" s="276" t="e">
        <f>IF('Pay App 41'!$H$149=0,NA(),IFERROR('Pay App 41'!F119/'Summary Sheet'!$D$19,""))</f>
        <v>#N/A</v>
      </c>
      <c r="CI61" s="264"/>
      <c r="CJ61" s="263" t="e">
        <f>IF('Pay App 42'!$H$149=0,NA(),IFERROR('Pay App 42'!F119/'Summary Sheet'!$D$19,""))</f>
        <v>#N/A</v>
      </c>
      <c r="CK61" s="264"/>
      <c r="CL61" s="276" t="e">
        <f>IF('Pay App 43'!$H$149=0,NA(),IFERROR('Pay App 43'!F119/'Summary Sheet'!$D$19,""))</f>
        <v>#N/A</v>
      </c>
      <c r="CM61" s="264"/>
      <c r="CN61" s="263" t="e">
        <f>IF('Pay App 44'!$H$149=0,NA(),IFERROR('Pay App 44'!F119/'Summary Sheet'!$D$19,""))</f>
        <v>#N/A</v>
      </c>
      <c r="CO61" s="264"/>
      <c r="CP61" s="276" t="e">
        <f>IF('Pay App 45'!$H$149=0,NA(),IFERROR('Pay App 45'!F119/'Summary Sheet'!$D$19,""))</f>
        <v>#N/A</v>
      </c>
      <c r="CQ61" s="264"/>
      <c r="CR61" s="263" t="e">
        <f>IF('Pay App 46'!$H$149=0,NA(),IFERROR('Pay App 46'!F119/'Summary Sheet'!$D$19,""))</f>
        <v>#N/A</v>
      </c>
      <c r="CS61" s="264"/>
      <c r="CT61" s="276" t="e">
        <f>IF('Pay App 47'!$H$149=0,NA(),IFERROR('Pay App 47'!F119/'Summary Sheet'!$D$19,""))</f>
        <v>#N/A</v>
      </c>
      <c r="CU61" s="264"/>
      <c r="CV61" s="263" t="e">
        <f>IF('Pay App 48'!$H$149=0,NA(),IFERROR('Pay App 48'!F119/'Summary Sheet'!$D$19,""))</f>
        <v>#N/A</v>
      </c>
      <c r="CW61" s="264"/>
      <c r="CX61" s="276" t="e">
        <f>IF('Pay App 49'!$H$149=0,NA(),IFERROR('Pay App 49'!F119/'Summary Sheet'!$D$19,""))</f>
        <v>#N/A</v>
      </c>
      <c r="CY61" s="264"/>
      <c r="CZ61" s="263" t="e">
        <f>IF('Pay App 50'!$H$149=0,NA(),IFERROR('Pay App 50'!F119/'Summary Sheet'!$D$19,""))</f>
        <v>#N/A</v>
      </c>
      <c r="DA61" s="264"/>
      <c r="DB61" s="276" t="e">
        <f>IF('Pay App 51'!$H$149=0,NA(),IFERROR('Pay App 51'!F119/'Summary Sheet'!$D$19,""))</f>
        <v>#N/A</v>
      </c>
      <c r="DC61" s="264"/>
      <c r="DD61" s="263" t="e">
        <f>IF('Pay App 52'!$H$149=0,NA(),IFERROR('Pay App 52'!F119/'Summary Sheet'!$D$19,""))</f>
        <v>#N/A</v>
      </c>
      <c r="DE61" s="264"/>
      <c r="DF61" s="276" t="e">
        <f>IF('Pay App 53'!$H$149=0,NA(),IFERROR('Pay App 53'!F119/'Summary Sheet'!$D$19,""))</f>
        <v>#N/A</v>
      </c>
      <c r="DG61" s="264"/>
      <c r="DH61" s="263" t="e">
        <f>IF('Pay App 54'!$H$149=0,NA(),IFERROR('Pay App 54'!F119/'Summary Sheet'!$D$19,""))</f>
        <v>#N/A</v>
      </c>
      <c r="DI61" s="264"/>
      <c r="DJ61" s="276" t="e">
        <f>IF('Pay App 55'!$H$149=0,NA(),IFERROR('Pay App 55'!F119/'Summary Sheet'!$D$19,""))</f>
        <v>#N/A</v>
      </c>
      <c r="DK61" s="264"/>
      <c r="DL61" s="263" t="e">
        <f>IF('Pay App 56'!$H$149=0,NA(),IFERROR('Pay App 56'!F119/'Summary Sheet'!$D$19,""))</f>
        <v>#N/A</v>
      </c>
      <c r="DM61" s="264"/>
      <c r="DN61" s="276" t="e">
        <f>IF('Pay App 57'!$H$149=0,NA(),IFERROR('Pay App 57'!F119/'Summary Sheet'!$D$19,""))</f>
        <v>#N/A</v>
      </c>
      <c r="DO61" s="264"/>
      <c r="DP61" s="263" t="e">
        <f>IF('Pay App 58'!$H$149=0,NA(),IFERROR('Pay App 58'!F119/'Summary Sheet'!$D$19,""))</f>
        <v>#N/A</v>
      </c>
      <c r="DQ61" s="264"/>
      <c r="DR61" s="276" t="e">
        <f>IF('Pay App 59'!$H$149=0,NA(),IFERROR('Pay App 59'!F119/'Summary Sheet'!$D$19,""))</f>
        <v>#N/A</v>
      </c>
      <c r="DS61" s="264"/>
      <c r="DT61" s="263" t="e">
        <f>IF('Pay App 60'!$H$149=0,NA(),IFERROR('Pay App 60'!F1029/'Summary Sheet'!$D$19,""))</f>
        <v>#N/A</v>
      </c>
      <c r="DU61" s="296"/>
    </row>
    <row r="62" spans="2:125" x14ac:dyDescent="0.25">
      <c r="B62" s="40" t="str">
        <f>'Pay App 1'!B120</f>
        <v>11 90 00</v>
      </c>
      <c r="C62" s="41" t="str">
        <f>'Pay App 1'!C120</f>
        <v>Equipment (other)</v>
      </c>
      <c r="D62" s="282" t="str" cm="1">
        <f t="array" ref="D62">IFERROR(1+(LOOKUP(2,1/(E62:DT62&lt;&gt;""),E62:DT62)-E62)/E62,"")</f>
        <v/>
      </c>
      <c r="E62" s="275" t="str">
        <f>IFERROR('GMP Tracker'!D66/'Summary Sheet'!$D$19,"")</f>
        <v/>
      </c>
      <c r="F62" s="276" t="e">
        <f>IF('Pay App 1'!$D$149=0,NA(),IFERROR('Pay App 1'!F120/'Summary Sheet'!$D$19,""))</f>
        <v>#N/A</v>
      </c>
      <c r="G62" s="271"/>
      <c r="H62" s="277" t="e">
        <f>IF('Pay App 2'!$H$149=0,NA(),IFERROR('Pay App 2'!F120/'Summary Sheet'!$D$19,""))</f>
        <v>#N/A</v>
      </c>
      <c r="I62" s="266"/>
      <c r="J62" s="276" t="e">
        <f>IF('Pay App 3'!$H$149=0,NA(),IFERROR('Pay App 3'!F120/'Summary Sheet'!$D$19,""))</f>
        <v>#N/A</v>
      </c>
      <c r="K62" s="268"/>
      <c r="L62" s="277" t="e">
        <f>IF('Pay App 4'!$H$149=0,NA(),IFERROR('Pay App 4'!F120/'Summary Sheet'!$D$19,""))</f>
        <v>#N/A</v>
      </c>
      <c r="M62" s="266"/>
      <c r="N62" s="276" t="e">
        <f>IF('Pay App 5'!$H$149=0,NA(),IFERROR('Pay App 5'!F120/'Summary Sheet'!$D$19,""))</f>
        <v>#N/A</v>
      </c>
      <c r="O62" s="263"/>
      <c r="P62" s="277" t="e">
        <f>IF('Pay App 6'!$H$149=0,NA(),IFERROR('Pay App 6'!F120/'Summary Sheet'!$D$19,""))</f>
        <v>#N/A</v>
      </c>
      <c r="Q62" s="263"/>
      <c r="R62" s="276" t="e">
        <f>IF('Pay App 7'!$H$149=0,NA(),IFERROR('Pay App 7'!F120/'Summary Sheet'!$D$19,""))</f>
        <v>#N/A</v>
      </c>
      <c r="S62" s="263"/>
      <c r="T62" s="277" t="e">
        <f>IF('Pay App 8'!$H$149=0,NA(),IFERROR('Pay App 8'!F120/'Summary Sheet'!$D$19,""))</f>
        <v>#N/A</v>
      </c>
      <c r="U62" s="263"/>
      <c r="V62" s="276" t="e">
        <f>IF('Pay App 9'!$H$149=0,NA(),IFERROR('Pay App 9'!F120/'Summary Sheet'!$D$19,""))</f>
        <v>#N/A</v>
      </c>
      <c r="W62" s="263"/>
      <c r="X62" s="277" t="e">
        <f>IF('Pay App 10'!$H$149=0,NA(),IFERROR('Pay App 10'!F120/'Summary Sheet'!$D$19,""))</f>
        <v>#N/A</v>
      </c>
      <c r="Y62" s="263"/>
      <c r="Z62" s="276" t="e">
        <f>IF('Pay App 11'!$H$149=0,NA(),IFERROR('Pay App 11'!F120/'Summary Sheet'!$D$19,""))</f>
        <v>#N/A</v>
      </c>
      <c r="AA62" s="263"/>
      <c r="AB62" s="277" t="e">
        <f>IF('Pay App 12'!$H$149=0,NA(),IFERROR('Pay App 12'!F120/'Summary Sheet'!$D$19,""))</f>
        <v>#N/A</v>
      </c>
      <c r="AC62" s="263"/>
      <c r="AD62" s="276" t="e">
        <f>IF('Pay App 13'!$H$149=0,NA(),IFERROR('Pay App 13'!F120/'Summary Sheet'!$D$19,""))</f>
        <v>#N/A</v>
      </c>
      <c r="AE62" s="263"/>
      <c r="AF62" s="277" t="e">
        <f>IF('Pay App 14'!$H$149=0,NA(),IFERROR('Pay App 14'!F120/'Summary Sheet'!$D$19,""))</f>
        <v>#N/A</v>
      </c>
      <c r="AG62" s="263"/>
      <c r="AH62" s="276" t="e">
        <f>IF('Pay App 15'!$H$149=0,NA(),IFERROR('Pay App 15'!F120/'Summary Sheet'!$D$19,""))</f>
        <v>#N/A</v>
      </c>
      <c r="AI62" s="263"/>
      <c r="AJ62" s="277" t="e">
        <f>IF('Pay App 16'!$H$149=0,NA(),IFERROR('Pay App 16'!F120/'Summary Sheet'!$D$19,""))</f>
        <v>#N/A</v>
      </c>
      <c r="AK62" s="263"/>
      <c r="AL62" s="276" t="e">
        <f>IF('Pay App 17'!$H$149=0,NA(),IFERROR('Pay App 17'!F120/'Summary Sheet'!$D$19,""))</f>
        <v>#N/A</v>
      </c>
      <c r="AM62" s="263"/>
      <c r="AN62" s="277" t="e">
        <f>IF('Pay App 18'!$H$149=0,NA(),IFERROR('Pay App 18'!F120/'Summary Sheet'!$D$19,""))</f>
        <v>#N/A</v>
      </c>
      <c r="AO62" s="263"/>
      <c r="AP62" s="276" t="e">
        <f>IF('Pay App 19'!$H$149=0,NA(),IFERROR('Pay App 19'!F120/'Summary Sheet'!$D$19,""))</f>
        <v>#N/A</v>
      </c>
      <c r="AQ62" s="263"/>
      <c r="AR62" s="263" t="e">
        <f>IF('Pay App 20'!$H$149=0,NA(),IFERROR('Pay App 20'!F120/'Summary Sheet'!$D$19,""))</f>
        <v>#N/A</v>
      </c>
      <c r="AS62" s="264"/>
      <c r="AT62" s="276" t="e">
        <f>IF('Pay App 21'!$H$149=0,NA(),IFERROR('Pay App 21'!F120/'Summary Sheet'!$D$19,""))</f>
        <v>#N/A</v>
      </c>
      <c r="AU62" s="264"/>
      <c r="AV62" s="263" t="e">
        <f>IF('Pay App 22'!$H$149=0,NA(),IFERROR('Pay App 22'!F120/'Summary Sheet'!$D$19,""))</f>
        <v>#N/A</v>
      </c>
      <c r="AW62" s="264"/>
      <c r="AX62" s="276" t="e">
        <f>IF('Pay App 23'!$H$149=0,NA(),IFERROR('Pay App 23'!F120/'Summary Sheet'!$D$19,""))</f>
        <v>#N/A</v>
      </c>
      <c r="AY62" s="264"/>
      <c r="AZ62" s="263" t="e">
        <f>IF('Pay App 24'!$H$149=0,NA(),IFERROR('Pay App 24'!F120/'Summary Sheet'!$D$19,""))</f>
        <v>#N/A</v>
      </c>
      <c r="BA62" s="264"/>
      <c r="BB62" s="276" t="e">
        <f>IF('Pay App 25'!$H$149=0,NA(),IFERROR('Pay App 25'!F120/'Summary Sheet'!$D$19,""))</f>
        <v>#N/A</v>
      </c>
      <c r="BC62" s="264"/>
      <c r="BD62" s="263" t="e">
        <f>IF('Pay App 26'!$H$149=0,NA(),IFERROR('Pay App 26'!F120/'Summary Sheet'!$D$19,""))</f>
        <v>#N/A</v>
      </c>
      <c r="BE62" s="264"/>
      <c r="BF62" s="276" t="e">
        <f>IF('Pay App 27'!$H$149=0,NA(),IFERROR('Pay App 27'!F120/'Summary Sheet'!$D$19,""))</f>
        <v>#N/A</v>
      </c>
      <c r="BG62" s="264"/>
      <c r="BH62" s="263" t="e">
        <f>IF('Pay App 28'!$H$149=0,NA(),IFERROR('Pay App 28'!F120/'Summary Sheet'!$D$19,""))</f>
        <v>#N/A</v>
      </c>
      <c r="BI62" s="264"/>
      <c r="BJ62" s="276" t="e">
        <f>IF('Pay App 29'!$H$149=0,NA(),IFERROR('Pay App 29'!F120/'Summary Sheet'!$D$19,""))</f>
        <v>#N/A</v>
      </c>
      <c r="BK62" s="271"/>
      <c r="BL62" s="263" t="e">
        <f>IF('Pay App 30'!$H$149=0,NA(),IFERROR('Pay App 30'!F120/'Summary Sheet'!$D$19,""))</f>
        <v>#N/A</v>
      </c>
      <c r="BM62" s="264"/>
      <c r="BN62" s="276" t="e">
        <f>IF('Pay App 31'!$H$149=0,NA(),IFERROR('Pay App 31'!F120/'Summary Sheet'!$D$19,""))</f>
        <v>#N/A</v>
      </c>
      <c r="BO62" s="264"/>
      <c r="BP62" s="263" t="e">
        <f>IF('Pay App 32'!$H$149=0,NA(),IFERROR('Pay App 32'!F120/'Summary Sheet'!$D$19,""))</f>
        <v>#N/A</v>
      </c>
      <c r="BQ62" s="264"/>
      <c r="BR62" s="276" t="e">
        <f>IF('Pay App 33'!$H$149=0,NA(),IFERROR('Pay App 33'!F120/'Summary Sheet'!$D$19,""))</f>
        <v>#N/A</v>
      </c>
      <c r="BS62" s="264"/>
      <c r="BT62" s="263" t="e">
        <f>IF('Pay App 34'!$H$149=0,NA(),IFERROR('Pay App 34'!F120/'Summary Sheet'!$D$19,""))</f>
        <v>#N/A</v>
      </c>
      <c r="BU62" s="264"/>
      <c r="BV62" s="276" t="e">
        <f>IF('Pay App 35'!$H$149=0,NA(),IFERROR('Pay App 35'!F120/'Summary Sheet'!$D$19,""))</f>
        <v>#N/A</v>
      </c>
      <c r="BW62" s="264"/>
      <c r="BX62" s="263" t="e">
        <f>IF('Pay App 36'!$H$149=0,NA(),IFERROR('Pay App 36'!F120/'Summary Sheet'!$D$19,""))</f>
        <v>#N/A</v>
      </c>
      <c r="BY62" s="264"/>
      <c r="BZ62" s="276" t="e">
        <f>IF('Pay App 37'!$H$149=0,NA(),IFERROR('Pay App 37'!F120/'Summary Sheet'!$D$19,""))</f>
        <v>#N/A</v>
      </c>
      <c r="CA62" s="264"/>
      <c r="CB62" s="263" t="e">
        <f>IF('Pay App 38'!$H$149=0,NA(),IFERROR('Pay App 38'!F120/'Summary Sheet'!$D$19,""))</f>
        <v>#N/A</v>
      </c>
      <c r="CC62" s="264"/>
      <c r="CD62" s="276" t="e">
        <f>IF('Pay App 39'!$H$149=0,NA(),IFERROR('Pay App 39'!F120/'Summary Sheet'!$D$19,""))</f>
        <v>#N/A</v>
      </c>
      <c r="CE62" s="264"/>
      <c r="CF62" s="263" t="e">
        <f>IF('Pay App 40'!$H$149=0,NA(),IFERROR('Pay App 40'!F120/'Summary Sheet'!$D$19,""))</f>
        <v>#N/A</v>
      </c>
      <c r="CG62" s="264"/>
      <c r="CH62" s="276" t="e">
        <f>IF('Pay App 41'!$H$149=0,NA(),IFERROR('Pay App 41'!F120/'Summary Sheet'!$D$19,""))</f>
        <v>#N/A</v>
      </c>
      <c r="CI62" s="264"/>
      <c r="CJ62" s="263" t="e">
        <f>IF('Pay App 42'!$H$149=0,NA(),IFERROR('Pay App 42'!F120/'Summary Sheet'!$D$19,""))</f>
        <v>#N/A</v>
      </c>
      <c r="CK62" s="264"/>
      <c r="CL62" s="276" t="e">
        <f>IF('Pay App 43'!$H$149=0,NA(),IFERROR('Pay App 43'!F120/'Summary Sheet'!$D$19,""))</f>
        <v>#N/A</v>
      </c>
      <c r="CM62" s="264"/>
      <c r="CN62" s="263" t="e">
        <f>IF('Pay App 44'!$H$149=0,NA(),IFERROR('Pay App 44'!F120/'Summary Sheet'!$D$19,""))</f>
        <v>#N/A</v>
      </c>
      <c r="CO62" s="264"/>
      <c r="CP62" s="276" t="e">
        <f>IF('Pay App 45'!$H$149=0,NA(),IFERROR('Pay App 45'!F120/'Summary Sheet'!$D$19,""))</f>
        <v>#N/A</v>
      </c>
      <c r="CQ62" s="264"/>
      <c r="CR62" s="263" t="e">
        <f>IF('Pay App 46'!$H$149=0,NA(),IFERROR('Pay App 46'!F120/'Summary Sheet'!$D$19,""))</f>
        <v>#N/A</v>
      </c>
      <c r="CS62" s="264"/>
      <c r="CT62" s="276" t="e">
        <f>IF('Pay App 47'!$H$149=0,NA(),IFERROR('Pay App 47'!F120/'Summary Sheet'!$D$19,""))</f>
        <v>#N/A</v>
      </c>
      <c r="CU62" s="264"/>
      <c r="CV62" s="263" t="e">
        <f>IF('Pay App 48'!$H$149=0,NA(),IFERROR('Pay App 48'!F120/'Summary Sheet'!$D$19,""))</f>
        <v>#N/A</v>
      </c>
      <c r="CW62" s="264"/>
      <c r="CX62" s="276" t="e">
        <f>IF('Pay App 49'!$H$149=0,NA(),IFERROR('Pay App 49'!F120/'Summary Sheet'!$D$19,""))</f>
        <v>#N/A</v>
      </c>
      <c r="CY62" s="264"/>
      <c r="CZ62" s="263" t="e">
        <f>IF('Pay App 50'!$H$149=0,NA(),IFERROR('Pay App 50'!F120/'Summary Sheet'!$D$19,""))</f>
        <v>#N/A</v>
      </c>
      <c r="DA62" s="264"/>
      <c r="DB62" s="276" t="e">
        <f>IF('Pay App 51'!$H$149=0,NA(),IFERROR('Pay App 51'!F120/'Summary Sheet'!$D$19,""))</f>
        <v>#N/A</v>
      </c>
      <c r="DC62" s="264"/>
      <c r="DD62" s="263" t="e">
        <f>IF('Pay App 52'!$H$149=0,NA(),IFERROR('Pay App 52'!F120/'Summary Sheet'!$D$19,""))</f>
        <v>#N/A</v>
      </c>
      <c r="DE62" s="264"/>
      <c r="DF62" s="276" t="e">
        <f>IF('Pay App 53'!$H$149=0,NA(),IFERROR('Pay App 53'!F120/'Summary Sheet'!$D$19,""))</f>
        <v>#N/A</v>
      </c>
      <c r="DG62" s="264"/>
      <c r="DH62" s="263" t="e">
        <f>IF('Pay App 54'!$H$149=0,NA(),IFERROR('Pay App 54'!F120/'Summary Sheet'!$D$19,""))</f>
        <v>#N/A</v>
      </c>
      <c r="DI62" s="264"/>
      <c r="DJ62" s="276" t="e">
        <f>IF('Pay App 55'!$H$149=0,NA(),IFERROR('Pay App 55'!F120/'Summary Sheet'!$D$19,""))</f>
        <v>#N/A</v>
      </c>
      <c r="DK62" s="264"/>
      <c r="DL62" s="263" t="e">
        <f>IF('Pay App 56'!$H$149=0,NA(),IFERROR('Pay App 56'!F120/'Summary Sheet'!$D$19,""))</f>
        <v>#N/A</v>
      </c>
      <c r="DM62" s="264"/>
      <c r="DN62" s="276" t="e">
        <f>IF('Pay App 57'!$H$149=0,NA(),IFERROR('Pay App 57'!F120/'Summary Sheet'!$D$19,""))</f>
        <v>#N/A</v>
      </c>
      <c r="DO62" s="264"/>
      <c r="DP62" s="263" t="e">
        <f>IF('Pay App 58'!$H$149=0,NA(),IFERROR('Pay App 58'!F120/'Summary Sheet'!$D$19,""))</f>
        <v>#N/A</v>
      </c>
      <c r="DQ62" s="264"/>
      <c r="DR62" s="276" t="e">
        <f>IF('Pay App 59'!$H$149=0,NA(),IFERROR('Pay App 59'!F120/'Summary Sheet'!$D$19,""))</f>
        <v>#N/A</v>
      </c>
      <c r="DS62" s="264"/>
      <c r="DT62" s="263" t="e">
        <f>IF('Pay App 60'!$H$149=0,NA(),IFERROR('Pay App 60'!F1030/'Summary Sheet'!$D$19,""))</f>
        <v>#N/A</v>
      </c>
      <c r="DU62" s="296"/>
    </row>
    <row r="63" spans="2:125" x14ac:dyDescent="0.25">
      <c r="B63" s="42" t="str">
        <f>'Pay App 1'!B121</f>
        <v>12 00 00</v>
      </c>
      <c r="C63" s="43" t="str">
        <f>'Pay App 1'!C121</f>
        <v xml:space="preserve">Furnishings </v>
      </c>
      <c r="D63" s="282" t="str" cm="1">
        <f t="array" ref="D63">IFERROR(1+(LOOKUP(2,1/(E63:DT63&lt;&gt;""),E63:DT63)-E63)/E63,"")</f>
        <v/>
      </c>
      <c r="E63" s="275" t="str">
        <f>IFERROR('GMP Tracker'!D67/'Summary Sheet'!$D$19,"")</f>
        <v/>
      </c>
      <c r="F63" s="276" t="e">
        <f>IF('Pay App 1'!$D$149=0,NA(),IFERROR('Pay App 1'!F121/'Summary Sheet'!$D$19,""))</f>
        <v>#N/A</v>
      </c>
      <c r="G63" s="271"/>
      <c r="H63" s="277" t="e">
        <f>IF('Pay App 2'!$H$149=0,NA(),IFERROR('Pay App 2'!F121/'Summary Sheet'!$D$19,""))</f>
        <v>#N/A</v>
      </c>
      <c r="I63" s="266"/>
      <c r="J63" s="276" t="e">
        <f>IF('Pay App 3'!$H$149=0,NA(),IFERROR('Pay App 3'!F121/'Summary Sheet'!$D$19,""))</f>
        <v>#N/A</v>
      </c>
      <c r="K63" s="268"/>
      <c r="L63" s="277" t="e">
        <f>IF('Pay App 4'!$H$149=0,NA(),IFERROR('Pay App 4'!F121/'Summary Sheet'!$D$19,""))</f>
        <v>#N/A</v>
      </c>
      <c r="M63" s="266"/>
      <c r="N63" s="276" t="e">
        <f>IF('Pay App 5'!$H$149=0,NA(),IFERROR('Pay App 5'!F121/'Summary Sheet'!$D$19,""))</f>
        <v>#N/A</v>
      </c>
      <c r="O63" s="263"/>
      <c r="P63" s="277" t="e">
        <f>IF('Pay App 6'!$H$149=0,NA(),IFERROR('Pay App 6'!F121/'Summary Sheet'!$D$19,""))</f>
        <v>#N/A</v>
      </c>
      <c r="Q63" s="263"/>
      <c r="R63" s="276" t="e">
        <f>IF('Pay App 7'!$H$149=0,NA(),IFERROR('Pay App 7'!F121/'Summary Sheet'!$D$19,""))</f>
        <v>#N/A</v>
      </c>
      <c r="S63" s="263"/>
      <c r="T63" s="277" t="e">
        <f>IF('Pay App 8'!$H$149=0,NA(),IFERROR('Pay App 8'!F121/'Summary Sheet'!$D$19,""))</f>
        <v>#N/A</v>
      </c>
      <c r="U63" s="263"/>
      <c r="V63" s="276" t="e">
        <f>IF('Pay App 9'!$H$149=0,NA(),IFERROR('Pay App 9'!F121/'Summary Sheet'!$D$19,""))</f>
        <v>#N/A</v>
      </c>
      <c r="W63" s="263"/>
      <c r="X63" s="277" t="e">
        <f>IF('Pay App 10'!$H$149=0,NA(),IFERROR('Pay App 10'!F121/'Summary Sheet'!$D$19,""))</f>
        <v>#N/A</v>
      </c>
      <c r="Y63" s="263"/>
      <c r="Z63" s="276" t="e">
        <f>IF('Pay App 11'!$H$149=0,NA(),IFERROR('Pay App 11'!F121/'Summary Sheet'!$D$19,""))</f>
        <v>#N/A</v>
      </c>
      <c r="AA63" s="263"/>
      <c r="AB63" s="277" t="e">
        <f>IF('Pay App 12'!$H$149=0,NA(),IFERROR('Pay App 12'!F121/'Summary Sheet'!$D$19,""))</f>
        <v>#N/A</v>
      </c>
      <c r="AC63" s="263"/>
      <c r="AD63" s="276" t="e">
        <f>IF('Pay App 13'!$H$149=0,NA(),IFERROR('Pay App 13'!F121/'Summary Sheet'!$D$19,""))</f>
        <v>#N/A</v>
      </c>
      <c r="AE63" s="263"/>
      <c r="AF63" s="277" t="e">
        <f>IF('Pay App 14'!$H$149=0,NA(),IFERROR('Pay App 14'!F121/'Summary Sheet'!$D$19,""))</f>
        <v>#N/A</v>
      </c>
      <c r="AG63" s="263"/>
      <c r="AH63" s="276" t="e">
        <f>IF('Pay App 15'!$H$149=0,NA(),IFERROR('Pay App 15'!F121/'Summary Sheet'!$D$19,""))</f>
        <v>#N/A</v>
      </c>
      <c r="AI63" s="263"/>
      <c r="AJ63" s="277" t="e">
        <f>IF('Pay App 16'!$H$149=0,NA(),IFERROR('Pay App 16'!F121/'Summary Sheet'!$D$19,""))</f>
        <v>#N/A</v>
      </c>
      <c r="AK63" s="263"/>
      <c r="AL63" s="276" t="e">
        <f>IF('Pay App 17'!$H$149=0,NA(),IFERROR('Pay App 17'!F121/'Summary Sheet'!$D$19,""))</f>
        <v>#N/A</v>
      </c>
      <c r="AM63" s="263"/>
      <c r="AN63" s="277" t="e">
        <f>IF('Pay App 18'!$H$149=0,NA(),IFERROR('Pay App 18'!F121/'Summary Sheet'!$D$19,""))</f>
        <v>#N/A</v>
      </c>
      <c r="AO63" s="263"/>
      <c r="AP63" s="276" t="e">
        <f>IF('Pay App 19'!$H$149=0,NA(),IFERROR('Pay App 19'!F121/'Summary Sheet'!$D$19,""))</f>
        <v>#N/A</v>
      </c>
      <c r="AQ63" s="263"/>
      <c r="AR63" s="263" t="e">
        <f>IF('Pay App 20'!$H$149=0,NA(),IFERROR('Pay App 20'!F121/'Summary Sheet'!$D$19,""))</f>
        <v>#N/A</v>
      </c>
      <c r="AS63" s="264"/>
      <c r="AT63" s="276" t="e">
        <f>IF('Pay App 21'!$H$149=0,NA(),IFERROR('Pay App 21'!F121/'Summary Sheet'!$D$19,""))</f>
        <v>#N/A</v>
      </c>
      <c r="AU63" s="264"/>
      <c r="AV63" s="263" t="e">
        <f>IF('Pay App 22'!$H$149=0,NA(),IFERROR('Pay App 22'!F121/'Summary Sheet'!$D$19,""))</f>
        <v>#N/A</v>
      </c>
      <c r="AW63" s="264"/>
      <c r="AX63" s="276" t="e">
        <f>IF('Pay App 23'!$H$149=0,NA(),IFERROR('Pay App 23'!F121/'Summary Sheet'!$D$19,""))</f>
        <v>#N/A</v>
      </c>
      <c r="AY63" s="264"/>
      <c r="AZ63" s="263" t="e">
        <f>IF('Pay App 24'!$H$149=0,NA(),IFERROR('Pay App 24'!F121/'Summary Sheet'!$D$19,""))</f>
        <v>#N/A</v>
      </c>
      <c r="BA63" s="264"/>
      <c r="BB63" s="276" t="e">
        <f>IF('Pay App 25'!$H$149=0,NA(),IFERROR('Pay App 25'!F121/'Summary Sheet'!$D$19,""))</f>
        <v>#N/A</v>
      </c>
      <c r="BC63" s="264"/>
      <c r="BD63" s="263" t="e">
        <f>IF('Pay App 26'!$H$149=0,NA(),IFERROR('Pay App 26'!F121/'Summary Sheet'!$D$19,""))</f>
        <v>#N/A</v>
      </c>
      <c r="BE63" s="264"/>
      <c r="BF63" s="276" t="e">
        <f>IF('Pay App 27'!$H$149=0,NA(),IFERROR('Pay App 27'!F121/'Summary Sheet'!$D$19,""))</f>
        <v>#N/A</v>
      </c>
      <c r="BG63" s="264"/>
      <c r="BH63" s="263" t="e">
        <f>IF('Pay App 28'!$H$149=0,NA(),IFERROR('Pay App 28'!F121/'Summary Sheet'!$D$19,""))</f>
        <v>#N/A</v>
      </c>
      <c r="BI63" s="264"/>
      <c r="BJ63" s="276" t="e">
        <f>IF('Pay App 29'!$H$149=0,NA(),IFERROR('Pay App 29'!F121/'Summary Sheet'!$D$19,""))</f>
        <v>#N/A</v>
      </c>
      <c r="BK63" s="271"/>
      <c r="BL63" s="263" t="e">
        <f>IF('Pay App 30'!$H$149=0,NA(),IFERROR('Pay App 30'!F121/'Summary Sheet'!$D$19,""))</f>
        <v>#N/A</v>
      </c>
      <c r="BM63" s="264"/>
      <c r="BN63" s="276" t="e">
        <f>IF('Pay App 31'!$H$149=0,NA(),IFERROR('Pay App 31'!F121/'Summary Sheet'!$D$19,""))</f>
        <v>#N/A</v>
      </c>
      <c r="BO63" s="264"/>
      <c r="BP63" s="263" t="e">
        <f>IF('Pay App 32'!$H$149=0,NA(),IFERROR('Pay App 32'!F121/'Summary Sheet'!$D$19,""))</f>
        <v>#N/A</v>
      </c>
      <c r="BQ63" s="264"/>
      <c r="BR63" s="276" t="e">
        <f>IF('Pay App 33'!$H$149=0,NA(),IFERROR('Pay App 33'!F121/'Summary Sheet'!$D$19,""))</f>
        <v>#N/A</v>
      </c>
      <c r="BS63" s="264"/>
      <c r="BT63" s="263" t="e">
        <f>IF('Pay App 34'!$H$149=0,NA(),IFERROR('Pay App 34'!F121/'Summary Sheet'!$D$19,""))</f>
        <v>#N/A</v>
      </c>
      <c r="BU63" s="264"/>
      <c r="BV63" s="276" t="e">
        <f>IF('Pay App 35'!$H$149=0,NA(),IFERROR('Pay App 35'!F121/'Summary Sheet'!$D$19,""))</f>
        <v>#N/A</v>
      </c>
      <c r="BW63" s="264"/>
      <c r="BX63" s="263" t="e">
        <f>IF('Pay App 36'!$H$149=0,NA(),IFERROR('Pay App 36'!F121/'Summary Sheet'!$D$19,""))</f>
        <v>#N/A</v>
      </c>
      <c r="BY63" s="264"/>
      <c r="BZ63" s="276" t="e">
        <f>IF('Pay App 37'!$H$149=0,NA(),IFERROR('Pay App 37'!F121/'Summary Sheet'!$D$19,""))</f>
        <v>#N/A</v>
      </c>
      <c r="CA63" s="264"/>
      <c r="CB63" s="263" t="e">
        <f>IF('Pay App 38'!$H$149=0,NA(),IFERROR('Pay App 38'!F121/'Summary Sheet'!$D$19,""))</f>
        <v>#N/A</v>
      </c>
      <c r="CC63" s="264"/>
      <c r="CD63" s="276" t="e">
        <f>IF('Pay App 39'!$H$149=0,NA(),IFERROR('Pay App 39'!F121/'Summary Sheet'!$D$19,""))</f>
        <v>#N/A</v>
      </c>
      <c r="CE63" s="264"/>
      <c r="CF63" s="263" t="e">
        <f>IF('Pay App 40'!$H$149=0,NA(),IFERROR('Pay App 40'!F121/'Summary Sheet'!$D$19,""))</f>
        <v>#N/A</v>
      </c>
      <c r="CG63" s="264"/>
      <c r="CH63" s="276" t="e">
        <f>IF('Pay App 41'!$H$149=0,NA(),IFERROR('Pay App 41'!F121/'Summary Sheet'!$D$19,""))</f>
        <v>#N/A</v>
      </c>
      <c r="CI63" s="264"/>
      <c r="CJ63" s="263" t="e">
        <f>IF('Pay App 42'!$H$149=0,NA(),IFERROR('Pay App 42'!F121/'Summary Sheet'!$D$19,""))</f>
        <v>#N/A</v>
      </c>
      <c r="CK63" s="264"/>
      <c r="CL63" s="276" t="e">
        <f>IF('Pay App 43'!$H$149=0,NA(),IFERROR('Pay App 43'!F121/'Summary Sheet'!$D$19,""))</f>
        <v>#N/A</v>
      </c>
      <c r="CM63" s="264"/>
      <c r="CN63" s="263" t="e">
        <f>IF('Pay App 44'!$H$149=0,NA(),IFERROR('Pay App 44'!F121/'Summary Sheet'!$D$19,""))</f>
        <v>#N/A</v>
      </c>
      <c r="CO63" s="264"/>
      <c r="CP63" s="276" t="e">
        <f>IF('Pay App 45'!$H$149=0,NA(),IFERROR('Pay App 45'!F121/'Summary Sheet'!$D$19,""))</f>
        <v>#N/A</v>
      </c>
      <c r="CQ63" s="264"/>
      <c r="CR63" s="263" t="e">
        <f>IF('Pay App 46'!$H$149=0,NA(),IFERROR('Pay App 46'!F121/'Summary Sheet'!$D$19,""))</f>
        <v>#N/A</v>
      </c>
      <c r="CS63" s="264"/>
      <c r="CT63" s="276" t="e">
        <f>IF('Pay App 47'!$H$149=0,NA(),IFERROR('Pay App 47'!F121/'Summary Sheet'!$D$19,""))</f>
        <v>#N/A</v>
      </c>
      <c r="CU63" s="264"/>
      <c r="CV63" s="263" t="e">
        <f>IF('Pay App 48'!$H$149=0,NA(),IFERROR('Pay App 48'!F121/'Summary Sheet'!$D$19,""))</f>
        <v>#N/A</v>
      </c>
      <c r="CW63" s="264"/>
      <c r="CX63" s="276" t="e">
        <f>IF('Pay App 49'!$H$149=0,NA(),IFERROR('Pay App 49'!F121/'Summary Sheet'!$D$19,""))</f>
        <v>#N/A</v>
      </c>
      <c r="CY63" s="264"/>
      <c r="CZ63" s="263" t="e">
        <f>IF('Pay App 50'!$H$149=0,NA(),IFERROR('Pay App 50'!F121/'Summary Sheet'!$D$19,""))</f>
        <v>#N/A</v>
      </c>
      <c r="DA63" s="264"/>
      <c r="DB63" s="276" t="e">
        <f>IF('Pay App 51'!$H$149=0,NA(),IFERROR('Pay App 51'!F121/'Summary Sheet'!$D$19,""))</f>
        <v>#N/A</v>
      </c>
      <c r="DC63" s="264"/>
      <c r="DD63" s="263" t="e">
        <f>IF('Pay App 52'!$H$149=0,NA(),IFERROR('Pay App 52'!F121/'Summary Sheet'!$D$19,""))</f>
        <v>#N/A</v>
      </c>
      <c r="DE63" s="264"/>
      <c r="DF63" s="276" t="e">
        <f>IF('Pay App 53'!$H$149=0,NA(),IFERROR('Pay App 53'!F121/'Summary Sheet'!$D$19,""))</f>
        <v>#N/A</v>
      </c>
      <c r="DG63" s="264"/>
      <c r="DH63" s="263" t="e">
        <f>IF('Pay App 54'!$H$149=0,NA(),IFERROR('Pay App 54'!F121/'Summary Sheet'!$D$19,""))</f>
        <v>#N/A</v>
      </c>
      <c r="DI63" s="264"/>
      <c r="DJ63" s="276" t="e">
        <f>IF('Pay App 55'!$H$149=0,NA(),IFERROR('Pay App 55'!F121/'Summary Sheet'!$D$19,""))</f>
        <v>#N/A</v>
      </c>
      <c r="DK63" s="264"/>
      <c r="DL63" s="263" t="e">
        <f>IF('Pay App 56'!$H$149=0,NA(),IFERROR('Pay App 56'!F121/'Summary Sheet'!$D$19,""))</f>
        <v>#N/A</v>
      </c>
      <c r="DM63" s="264"/>
      <c r="DN63" s="276" t="e">
        <f>IF('Pay App 57'!$H$149=0,NA(),IFERROR('Pay App 57'!F121/'Summary Sheet'!$D$19,""))</f>
        <v>#N/A</v>
      </c>
      <c r="DO63" s="264"/>
      <c r="DP63" s="263" t="e">
        <f>IF('Pay App 58'!$H$149=0,NA(),IFERROR('Pay App 58'!F121/'Summary Sheet'!$D$19,""))</f>
        <v>#N/A</v>
      </c>
      <c r="DQ63" s="264"/>
      <c r="DR63" s="276" t="e">
        <f>IF('Pay App 59'!$H$149=0,NA(),IFERROR('Pay App 59'!F121/'Summary Sheet'!$D$19,""))</f>
        <v>#N/A</v>
      </c>
      <c r="DS63" s="264"/>
      <c r="DT63" s="263" t="e">
        <f>IF('Pay App 60'!$H$149=0,NA(),IFERROR('Pay App 60'!F1031/'Summary Sheet'!$D$19,""))</f>
        <v>#N/A</v>
      </c>
      <c r="DU63" s="296"/>
    </row>
    <row r="64" spans="2:125" x14ac:dyDescent="0.25">
      <c r="B64" s="42" t="str">
        <f>'Pay App 1'!B122</f>
        <v>12 20 00</v>
      </c>
      <c r="C64" s="43" t="str">
        <f>'Pay App 1'!C122</f>
        <v>Window Coverings</v>
      </c>
      <c r="D64" s="282" t="str" cm="1">
        <f t="array" ref="D64">IFERROR(1+(LOOKUP(2,1/(E64:DT64&lt;&gt;""),E64:DT64)-E64)/E64,"")</f>
        <v/>
      </c>
      <c r="E64" s="275" t="str">
        <f>IFERROR('GMP Tracker'!D68/'Summary Sheet'!$D$19,"")</f>
        <v/>
      </c>
      <c r="F64" s="276" t="e">
        <f>IF('Pay App 1'!$D$149=0,NA(),IFERROR('Pay App 1'!F122/'Summary Sheet'!$D$19,""))</f>
        <v>#N/A</v>
      </c>
      <c r="G64" s="271"/>
      <c r="H64" s="277" t="e">
        <f>IF('Pay App 2'!$H$149=0,NA(),IFERROR('Pay App 2'!F122/'Summary Sheet'!$D$19,""))</f>
        <v>#N/A</v>
      </c>
      <c r="I64" s="266"/>
      <c r="J64" s="276" t="e">
        <f>IF('Pay App 3'!$H$149=0,NA(),IFERROR('Pay App 3'!F122/'Summary Sheet'!$D$19,""))</f>
        <v>#N/A</v>
      </c>
      <c r="K64" s="268"/>
      <c r="L64" s="277" t="e">
        <f>IF('Pay App 4'!$H$149=0,NA(),IFERROR('Pay App 4'!F122/'Summary Sheet'!$D$19,""))</f>
        <v>#N/A</v>
      </c>
      <c r="M64" s="266"/>
      <c r="N64" s="276" t="e">
        <f>IF('Pay App 5'!$H$149=0,NA(),IFERROR('Pay App 5'!F122/'Summary Sheet'!$D$19,""))</f>
        <v>#N/A</v>
      </c>
      <c r="O64" s="263"/>
      <c r="P64" s="277" t="e">
        <f>IF('Pay App 6'!$H$149=0,NA(),IFERROR('Pay App 6'!F122/'Summary Sheet'!$D$19,""))</f>
        <v>#N/A</v>
      </c>
      <c r="Q64" s="263"/>
      <c r="R64" s="276" t="e">
        <f>IF('Pay App 7'!$H$149=0,NA(),IFERROR('Pay App 7'!F122/'Summary Sheet'!$D$19,""))</f>
        <v>#N/A</v>
      </c>
      <c r="S64" s="263"/>
      <c r="T64" s="277" t="e">
        <f>IF('Pay App 8'!$H$149=0,NA(),IFERROR('Pay App 8'!F122/'Summary Sheet'!$D$19,""))</f>
        <v>#N/A</v>
      </c>
      <c r="U64" s="263"/>
      <c r="V64" s="276" t="e">
        <f>IF('Pay App 9'!$H$149=0,NA(),IFERROR('Pay App 9'!F122/'Summary Sheet'!$D$19,""))</f>
        <v>#N/A</v>
      </c>
      <c r="W64" s="263"/>
      <c r="X64" s="277" t="e">
        <f>IF('Pay App 10'!$H$149=0,NA(),IFERROR('Pay App 10'!F122/'Summary Sheet'!$D$19,""))</f>
        <v>#N/A</v>
      </c>
      <c r="Y64" s="263"/>
      <c r="Z64" s="276" t="e">
        <f>IF('Pay App 11'!$H$149=0,NA(),IFERROR('Pay App 11'!F122/'Summary Sheet'!$D$19,""))</f>
        <v>#N/A</v>
      </c>
      <c r="AA64" s="263"/>
      <c r="AB64" s="277" t="e">
        <f>IF('Pay App 12'!$H$149=0,NA(),IFERROR('Pay App 12'!F122/'Summary Sheet'!$D$19,""))</f>
        <v>#N/A</v>
      </c>
      <c r="AC64" s="263"/>
      <c r="AD64" s="276" t="e">
        <f>IF('Pay App 13'!$H$149=0,NA(),IFERROR('Pay App 13'!F122/'Summary Sheet'!$D$19,""))</f>
        <v>#N/A</v>
      </c>
      <c r="AE64" s="263"/>
      <c r="AF64" s="277" t="e">
        <f>IF('Pay App 14'!$H$149=0,NA(),IFERROR('Pay App 14'!F122/'Summary Sheet'!$D$19,""))</f>
        <v>#N/A</v>
      </c>
      <c r="AG64" s="263"/>
      <c r="AH64" s="276" t="e">
        <f>IF('Pay App 15'!$H$149=0,NA(),IFERROR('Pay App 15'!F122/'Summary Sheet'!$D$19,""))</f>
        <v>#N/A</v>
      </c>
      <c r="AI64" s="263"/>
      <c r="AJ64" s="277" t="e">
        <f>IF('Pay App 16'!$H$149=0,NA(),IFERROR('Pay App 16'!F122/'Summary Sheet'!$D$19,""))</f>
        <v>#N/A</v>
      </c>
      <c r="AK64" s="263"/>
      <c r="AL64" s="276" t="e">
        <f>IF('Pay App 17'!$H$149=0,NA(),IFERROR('Pay App 17'!F122/'Summary Sheet'!$D$19,""))</f>
        <v>#N/A</v>
      </c>
      <c r="AM64" s="263"/>
      <c r="AN64" s="277" t="e">
        <f>IF('Pay App 18'!$H$149=0,NA(),IFERROR('Pay App 18'!F122/'Summary Sheet'!$D$19,""))</f>
        <v>#N/A</v>
      </c>
      <c r="AO64" s="263"/>
      <c r="AP64" s="276" t="e">
        <f>IF('Pay App 19'!$H$149=0,NA(),IFERROR('Pay App 19'!F122/'Summary Sheet'!$D$19,""))</f>
        <v>#N/A</v>
      </c>
      <c r="AQ64" s="263"/>
      <c r="AR64" s="263" t="e">
        <f>IF('Pay App 20'!$H$149=0,NA(),IFERROR('Pay App 20'!F122/'Summary Sheet'!$D$19,""))</f>
        <v>#N/A</v>
      </c>
      <c r="AS64" s="264"/>
      <c r="AT64" s="276" t="e">
        <f>IF('Pay App 21'!$H$149=0,NA(),IFERROR('Pay App 21'!F122/'Summary Sheet'!$D$19,""))</f>
        <v>#N/A</v>
      </c>
      <c r="AU64" s="264"/>
      <c r="AV64" s="263" t="e">
        <f>IF('Pay App 22'!$H$149=0,NA(),IFERROR('Pay App 22'!F122/'Summary Sheet'!$D$19,""))</f>
        <v>#N/A</v>
      </c>
      <c r="AW64" s="264"/>
      <c r="AX64" s="276" t="e">
        <f>IF('Pay App 23'!$H$149=0,NA(),IFERROR('Pay App 23'!F122/'Summary Sheet'!$D$19,""))</f>
        <v>#N/A</v>
      </c>
      <c r="AY64" s="264"/>
      <c r="AZ64" s="263" t="e">
        <f>IF('Pay App 24'!$H$149=0,NA(),IFERROR('Pay App 24'!F122/'Summary Sheet'!$D$19,""))</f>
        <v>#N/A</v>
      </c>
      <c r="BA64" s="264"/>
      <c r="BB64" s="276" t="e">
        <f>IF('Pay App 25'!$H$149=0,NA(),IFERROR('Pay App 25'!F122/'Summary Sheet'!$D$19,""))</f>
        <v>#N/A</v>
      </c>
      <c r="BC64" s="264"/>
      <c r="BD64" s="263" t="e">
        <f>IF('Pay App 26'!$H$149=0,NA(),IFERROR('Pay App 26'!F122/'Summary Sheet'!$D$19,""))</f>
        <v>#N/A</v>
      </c>
      <c r="BE64" s="264"/>
      <c r="BF64" s="276" t="e">
        <f>IF('Pay App 27'!$H$149=0,NA(),IFERROR('Pay App 27'!F122/'Summary Sheet'!$D$19,""))</f>
        <v>#N/A</v>
      </c>
      <c r="BG64" s="264"/>
      <c r="BH64" s="263" t="e">
        <f>IF('Pay App 28'!$H$149=0,NA(),IFERROR('Pay App 28'!F122/'Summary Sheet'!$D$19,""))</f>
        <v>#N/A</v>
      </c>
      <c r="BI64" s="264"/>
      <c r="BJ64" s="276" t="e">
        <f>IF('Pay App 29'!$H$149=0,NA(),IFERROR('Pay App 29'!F122/'Summary Sheet'!$D$19,""))</f>
        <v>#N/A</v>
      </c>
      <c r="BK64" s="271"/>
      <c r="BL64" s="263" t="e">
        <f>IF('Pay App 30'!$H$149=0,NA(),IFERROR('Pay App 30'!F122/'Summary Sheet'!$D$19,""))</f>
        <v>#N/A</v>
      </c>
      <c r="BM64" s="264"/>
      <c r="BN64" s="276" t="e">
        <f>IF('Pay App 31'!$H$149=0,NA(),IFERROR('Pay App 31'!F122/'Summary Sheet'!$D$19,""))</f>
        <v>#N/A</v>
      </c>
      <c r="BO64" s="264"/>
      <c r="BP64" s="263" t="e">
        <f>IF('Pay App 32'!$H$149=0,NA(),IFERROR('Pay App 32'!F122/'Summary Sheet'!$D$19,""))</f>
        <v>#N/A</v>
      </c>
      <c r="BQ64" s="264"/>
      <c r="BR64" s="276" t="e">
        <f>IF('Pay App 33'!$H$149=0,NA(),IFERROR('Pay App 33'!F122/'Summary Sheet'!$D$19,""))</f>
        <v>#N/A</v>
      </c>
      <c r="BS64" s="264"/>
      <c r="BT64" s="263" t="e">
        <f>IF('Pay App 34'!$H$149=0,NA(),IFERROR('Pay App 34'!F122/'Summary Sheet'!$D$19,""))</f>
        <v>#N/A</v>
      </c>
      <c r="BU64" s="264"/>
      <c r="BV64" s="276" t="e">
        <f>IF('Pay App 35'!$H$149=0,NA(),IFERROR('Pay App 35'!F122/'Summary Sheet'!$D$19,""))</f>
        <v>#N/A</v>
      </c>
      <c r="BW64" s="264"/>
      <c r="BX64" s="263" t="e">
        <f>IF('Pay App 36'!$H$149=0,NA(),IFERROR('Pay App 36'!F122/'Summary Sheet'!$D$19,""))</f>
        <v>#N/A</v>
      </c>
      <c r="BY64" s="264"/>
      <c r="BZ64" s="276" t="e">
        <f>IF('Pay App 37'!$H$149=0,NA(),IFERROR('Pay App 37'!F122/'Summary Sheet'!$D$19,""))</f>
        <v>#N/A</v>
      </c>
      <c r="CA64" s="264"/>
      <c r="CB64" s="263" t="e">
        <f>IF('Pay App 38'!$H$149=0,NA(),IFERROR('Pay App 38'!F122/'Summary Sheet'!$D$19,""))</f>
        <v>#N/A</v>
      </c>
      <c r="CC64" s="264"/>
      <c r="CD64" s="276" t="e">
        <f>IF('Pay App 39'!$H$149=0,NA(),IFERROR('Pay App 39'!F122/'Summary Sheet'!$D$19,""))</f>
        <v>#N/A</v>
      </c>
      <c r="CE64" s="264"/>
      <c r="CF64" s="263" t="e">
        <f>IF('Pay App 40'!$H$149=0,NA(),IFERROR('Pay App 40'!F122/'Summary Sheet'!$D$19,""))</f>
        <v>#N/A</v>
      </c>
      <c r="CG64" s="264"/>
      <c r="CH64" s="276" t="e">
        <f>IF('Pay App 41'!$H$149=0,NA(),IFERROR('Pay App 41'!F122/'Summary Sheet'!$D$19,""))</f>
        <v>#N/A</v>
      </c>
      <c r="CI64" s="264"/>
      <c r="CJ64" s="263" t="e">
        <f>IF('Pay App 42'!$H$149=0,NA(),IFERROR('Pay App 42'!F122/'Summary Sheet'!$D$19,""))</f>
        <v>#N/A</v>
      </c>
      <c r="CK64" s="264"/>
      <c r="CL64" s="276" t="e">
        <f>IF('Pay App 43'!$H$149=0,NA(),IFERROR('Pay App 43'!F122/'Summary Sheet'!$D$19,""))</f>
        <v>#N/A</v>
      </c>
      <c r="CM64" s="264"/>
      <c r="CN64" s="263" t="e">
        <f>IF('Pay App 44'!$H$149=0,NA(),IFERROR('Pay App 44'!F122/'Summary Sheet'!$D$19,""))</f>
        <v>#N/A</v>
      </c>
      <c r="CO64" s="264"/>
      <c r="CP64" s="276" t="e">
        <f>IF('Pay App 45'!$H$149=0,NA(),IFERROR('Pay App 45'!F122/'Summary Sheet'!$D$19,""))</f>
        <v>#N/A</v>
      </c>
      <c r="CQ64" s="264"/>
      <c r="CR64" s="263" t="e">
        <f>IF('Pay App 46'!$H$149=0,NA(),IFERROR('Pay App 46'!F122/'Summary Sheet'!$D$19,""))</f>
        <v>#N/A</v>
      </c>
      <c r="CS64" s="264"/>
      <c r="CT64" s="276" t="e">
        <f>IF('Pay App 47'!$H$149=0,NA(),IFERROR('Pay App 47'!F122/'Summary Sheet'!$D$19,""))</f>
        <v>#N/A</v>
      </c>
      <c r="CU64" s="264"/>
      <c r="CV64" s="263" t="e">
        <f>IF('Pay App 48'!$H$149=0,NA(),IFERROR('Pay App 48'!F122/'Summary Sheet'!$D$19,""))</f>
        <v>#N/A</v>
      </c>
      <c r="CW64" s="264"/>
      <c r="CX64" s="276" t="e">
        <f>IF('Pay App 49'!$H$149=0,NA(),IFERROR('Pay App 49'!F122/'Summary Sheet'!$D$19,""))</f>
        <v>#N/A</v>
      </c>
      <c r="CY64" s="264"/>
      <c r="CZ64" s="263" t="e">
        <f>IF('Pay App 50'!$H$149=0,NA(),IFERROR('Pay App 50'!F122/'Summary Sheet'!$D$19,""))</f>
        <v>#N/A</v>
      </c>
      <c r="DA64" s="264"/>
      <c r="DB64" s="276" t="e">
        <f>IF('Pay App 51'!$H$149=0,NA(),IFERROR('Pay App 51'!F122/'Summary Sheet'!$D$19,""))</f>
        <v>#N/A</v>
      </c>
      <c r="DC64" s="264"/>
      <c r="DD64" s="263" t="e">
        <f>IF('Pay App 52'!$H$149=0,NA(),IFERROR('Pay App 52'!F122/'Summary Sheet'!$D$19,""))</f>
        <v>#N/A</v>
      </c>
      <c r="DE64" s="264"/>
      <c r="DF64" s="276" t="e">
        <f>IF('Pay App 53'!$H$149=0,NA(),IFERROR('Pay App 53'!F122/'Summary Sheet'!$D$19,""))</f>
        <v>#N/A</v>
      </c>
      <c r="DG64" s="264"/>
      <c r="DH64" s="263" t="e">
        <f>IF('Pay App 54'!$H$149=0,NA(),IFERROR('Pay App 54'!F122/'Summary Sheet'!$D$19,""))</f>
        <v>#N/A</v>
      </c>
      <c r="DI64" s="264"/>
      <c r="DJ64" s="276" t="e">
        <f>IF('Pay App 55'!$H$149=0,NA(),IFERROR('Pay App 55'!F122/'Summary Sheet'!$D$19,""))</f>
        <v>#N/A</v>
      </c>
      <c r="DK64" s="264"/>
      <c r="DL64" s="263" t="e">
        <f>IF('Pay App 56'!$H$149=0,NA(),IFERROR('Pay App 56'!F122/'Summary Sheet'!$D$19,""))</f>
        <v>#N/A</v>
      </c>
      <c r="DM64" s="264"/>
      <c r="DN64" s="276" t="e">
        <f>IF('Pay App 57'!$H$149=0,NA(),IFERROR('Pay App 57'!F122/'Summary Sheet'!$D$19,""))</f>
        <v>#N/A</v>
      </c>
      <c r="DO64" s="264"/>
      <c r="DP64" s="263" t="e">
        <f>IF('Pay App 58'!$H$149=0,NA(),IFERROR('Pay App 58'!F122/'Summary Sheet'!$D$19,""))</f>
        <v>#N/A</v>
      </c>
      <c r="DQ64" s="264"/>
      <c r="DR64" s="276" t="e">
        <f>IF('Pay App 59'!$H$149=0,NA(),IFERROR('Pay App 59'!F122/'Summary Sheet'!$D$19,""))</f>
        <v>#N/A</v>
      </c>
      <c r="DS64" s="264"/>
      <c r="DT64" s="263" t="e">
        <f>IF('Pay App 60'!$H$149=0,NA(),IFERROR('Pay App 60'!F1032/'Summary Sheet'!$D$19,""))</f>
        <v>#N/A</v>
      </c>
      <c r="DU64" s="296"/>
    </row>
    <row r="65" spans="2:125" x14ac:dyDescent="0.25">
      <c r="B65" s="42" t="str">
        <f>'Pay App 1'!B123</f>
        <v>12 61 00</v>
      </c>
      <c r="C65" s="43" t="str">
        <f>'Pay App 1'!C123</f>
        <v>Fixed Seating</v>
      </c>
      <c r="D65" s="282" t="str" cm="1">
        <f t="array" ref="D65">IFERROR(1+(LOOKUP(2,1/(E65:DT65&lt;&gt;""),E65:DT65)-E65)/E65,"")</f>
        <v/>
      </c>
      <c r="E65" s="275" t="str">
        <f>IFERROR('GMP Tracker'!D69/'Summary Sheet'!$D$19,"")</f>
        <v/>
      </c>
      <c r="F65" s="276" t="e">
        <f>IF('Pay App 1'!$D$149=0,NA(),IFERROR('Pay App 1'!F123/'Summary Sheet'!$D$19,""))</f>
        <v>#N/A</v>
      </c>
      <c r="G65" s="271"/>
      <c r="H65" s="277" t="e">
        <f>IF('Pay App 2'!$H$149=0,NA(),IFERROR('Pay App 2'!F123/'Summary Sheet'!$D$19,""))</f>
        <v>#N/A</v>
      </c>
      <c r="I65" s="266"/>
      <c r="J65" s="276" t="e">
        <f>IF('Pay App 3'!$H$149=0,NA(),IFERROR('Pay App 3'!F123/'Summary Sheet'!$D$19,""))</f>
        <v>#N/A</v>
      </c>
      <c r="K65" s="268"/>
      <c r="L65" s="277" t="e">
        <f>IF('Pay App 4'!$H$149=0,NA(),IFERROR('Pay App 4'!F123/'Summary Sheet'!$D$19,""))</f>
        <v>#N/A</v>
      </c>
      <c r="M65" s="266"/>
      <c r="N65" s="276" t="e">
        <f>IF('Pay App 5'!$H$149=0,NA(),IFERROR('Pay App 5'!F123/'Summary Sheet'!$D$19,""))</f>
        <v>#N/A</v>
      </c>
      <c r="O65" s="263"/>
      <c r="P65" s="277" t="e">
        <f>IF('Pay App 6'!$H$149=0,NA(),IFERROR('Pay App 6'!F123/'Summary Sheet'!$D$19,""))</f>
        <v>#N/A</v>
      </c>
      <c r="Q65" s="263"/>
      <c r="R65" s="276" t="e">
        <f>IF('Pay App 7'!$H$149=0,NA(),IFERROR('Pay App 7'!F123/'Summary Sheet'!$D$19,""))</f>
        <v>#N/A</v>
      </c>
      <c r="S65" s="263"/>
      <c r="T65" s="277" t="e">
        <f>IF('Pay App 8'!$H$149=0,NA(),IFERROR('Pay App 8'!F123/'Summary Sheet'!$D$19,""))</f>
        <v>#N/A</v>
      </c>
      <c r="U65" s="263"/>
      <c r="V65" s="276" t="e">
        <f>IF('Pay App 9'!$H$149=0,NA(),IFERROR('Pay App 9'!F123/'Summary Sheet'!$D$19,""))</f>
        <v>#N/A</v>
      </c>
      <c r="W65" s="263"/>
      <c r="X65" s="277" t="e">
        <f>IF('Pay App 10'!$H$149=0,NA(),IFERROR('Pay App 10'!F123/'Summary Sheet'!$D$19,""))</f>
        <v>#N/A</v>
      </c>
      <c r="Y65" s="263"/>
      <c r="Z65" s="276" t="e">
        <f>IF('Pay App 11'!$H$149=0,NA(),IFERROR('Pay App 11'!F123/'Summary Sheet'!$D$19,""))</f>
        <v>#N/A</v>
      </c>
      <c r="AA65" s="263"/>
      <c r="AB65" s="277" t="e">
        <f>IF('Pay App 12'!$H$149=0,NA(),IFERROR('Pay App 12'!F123/'Summary Sheet'!$D$19,""))</f>
        <v>#N/A</v>
      </c>
      <c r="AC65" s="263"/>
      <c r="AD65" s="276" t="e">
        <f>IF('Pay App 13'!$H$149=0,NA(),IFERROR('Pay App 13'!F123/'Summary Sheet'!$D$19,""))</f>
        <v>#N/A</v>
      </c>
      <c r="AE65" s="263"/>
      <c r="AF65" s="277" t="e">
        <f>IF('Pay App 14'!$H$149=0,NA(),IFERROR('Pay App 14'!F123/'Summary Sheet'!$D$19,""))</f>
        <v>#N/A</v>
      </c>
      <c r="AG65" s="263"/>
      <c r="AH65" s="276" t="e">
        <f>IF('Pay App 15'!$H$149=0,NA(),IFERROR('Pay App 15'!F123/'Summary Sheet'!$D$19,""))</f>
        <v>#N/A</v>
      </c>
      <c r="AI65" s="263"/>
      <c r="AJ65" s="277" t="e">
        <f>IF('Pay App 16'!$H$149=0,NA(),IFERROR('Pay App 16'!F123/'Summary Sheet'!$D$19,""))</f>
        <v>#N/A</v>
      </c>
      <c r="AK65" s="263"/>
      <c r="AL65" s="276" t="e">
        <f>IF('Pay App 17'!$H$149=0,NA(),IFERROR('Pay App 17'!F123/'Summary Sheet'!$D$19,""))</f>
        <v>#N/A</v>
      </c>
      <c r="AM65" s="263"/>
      <c r="AN65" s="277" t="e">
        <f>IF('Pay App 18'!$H$149=0,NA(),IFERROR('Pay App 18'!F123/'Summary Sheet'!$D$19,""))</f>
        <v>#N/A</v>
      </c>
      <c r="AO65" s="263"/>
      <c r="AP65" s="276" t="e">
        <f>IF('Pay App 19'!$H$149=0,NA(),IFERROR('Pay App 19'!F123/'Summary Sheet'!$D$19,""))</f>
        <v>#N/A</v>
      </c>
      <c r="AQ65" s="263"/>
      <c r="AR65" s="263" t="e">
        <f>IF('Pay App 20'!$H$149=0,NA(),IFERROR('Pay App 20'!F123/'Summary Sheet'!$D$19,""))</f>
        <v>#N/A</v>
      </c>
      <c r="AS65" s="264"/>
      <c r="AT65" s="276" t="e">
        <f>IF('Pay App 21'!$H$149=0,NA(),IFERROR('Pay App 21'!F123/'Summary Sheet'!$D$19,""))</f>
        <v>#N/A</v>
      </c>
      <c r="AU65" s="264"/>
      <c r="AV65" s="263" t="e">
        <f>IF('Pay App 22'!$H$149=0,NA(),IFERROR('Pay App 22'!F123/'Summary Sheet'!$D$19,""))</f>
        <v>#N/A</v>
      </c>
      <c r="AW65" s="264"/>
      <c r="AX65" s="276" t="e">
        <f>IF('Pay App 23'!$H$149=0,NA(),IFERROR('Pay App 23'!F123/'Summary Sheet'!$D$19,""))</f>
        <v>#N/A</v>
      </c>
      <c r="AY65" s="264"/>
      <c r="AZ65" s="263" t="e">
        <f>IF('Pay App 24'!$H$149=0,NA(),IFERROR('Pay App 24'!F123/'Summary Sheet'!$D$19,""))</f>
        <v>#N/A</v>
      </c>
      <c r="BA65" s="264"/>
      <c r="BB65" s="276" t="e">
        <f>IF('Pay App 25'!$H$149=0,NA(),IFERROR('Pay App 25'!F123/'Summary Sheet'!$D$19,""))</f>
        <v>#N/A</v>
      </c>
      <c r="BC65" s="264"/>
      <c r="BD65" s="263" t="e">
        <f>IF('Pay App 26'!$H$149=0,NA(),IFERROR('Pay App 26'!F123/'Summary Sheet'!$D$19,""))</f>
        <v>#N/A</v>
      </c>
      <c r="BE65" s="264"/>
      <c r="BF65" s="276" t="e">
        <f>IF('Pay App 27'!$H$149=0,NA(),IFERROR('Pay App 27'!F123/'Summary Sheet'!$D$19,""))</f>
        <v>#N/A</v>
      </c>
      <c r="BG65" s="264"/>
      <c r="BH65" s="263" t="e">
        <f>IF('Pay App 28'!$H$149=0,NA(),IFERROR('Pay App 28'!F123/'Summary Sheet'!$D$19,""))</f>
        <v>#N/A</v>
      </c>
      <c r="BI65" s="264"/>
      <c r="BJ65" s="276" t="e">
        <f>IF('Pay App 29'!$H$149=0,NA(),IFERROR('Pay App 29'!F123/'Summary Sheet'!$D$19,""))</f>
        <v>#N/A</v>
      </c>
      <c r="BK65" s="271"/>
      <c r="BL65" s="263" t="e">
        <f>IF('Pay App 30'!$H$149=0,NA(),IFERROR('Pay App 30'!F123/'Summary Sheet'!$D$19,""))</f>
        <v>#N/A</v>
      </c>
      <c r="BM65" s="264"/>
      <c r="BN65" s="276" t="e">
        <f>IF('Pay App 31'!$H$149=0,NA(),IFERROR('Pay App 31'!F123/'Summary Sheet'!$D$19,""))</f>
        <v>#N/A</v>
      </c>
      <c r="BO65" s="264"/>
      <c r="BP65" s="263" t="e">
        <f>IF('Pay App 32'!$H$149=0,NA(),IFERROR('Pay App 32'!F123/'Summary Sheet'!$D$19,""))</f>
        <v>#N/A</v>
      </c>
      <c r="BQ65" s="264"/>
      <c r="BR65" s="276" t="e">
        <f>IF('Pay App 33'!$H$149=0,NA(),IFERROR('Pay App 33'!F123/'Summary Sheet'!$D$19,""))</f>
        <v>#N/A</v>
      </c>
      <c r="BS65" s="264"/>
      <c r="BT65" s="263" t="e">
        <f>IF('Pay App 34'!$H$149=0,NA(),IFERROR('Pay App 34'!F123/'Summary Sheet'!$D$19,""))</f>
        <v>#N/A</v>
      </c>
      <c r="BU65" s="264"/>
      <c r="BV65" s="276" t="e">
        <f>IF('Pay App 35'!$H$149=0,NA(),IFERROR('Pay App 35'!F123/'Summary Sheet'!$D$19,""))</f>
        <v>#N/A</v>
      </c>
      <c r="BW65" s="264"/>
      <c r="BX65" s="263" t="e">
        <f>IF('Pay App 36'!$H$149=0,NA(),IFERROR('Pay App 36'!F123/'Summary Sheet'!$D$19,""))</f>
        <v>#N/A</v>
      </c>
      <c r="BY65" s="264"/>
      <c r="BZ65" s="276" t="e">
        <f>IF('Pay App 37'!$H$149=0,NA(),IFERROR('Pay App 37'!F123/'Summary Sheet'!$D$19,""))</f>
        <v>#N/A</v>
      </c>
      <c r="CA65" s="264"/>
      <c r="CB65" s="263" t="e">
        <f>IF('Pay App 38'!$H$149=0,NA(),IFERROR('Pay App 38'!F123/'Summary Sheet'!$D$19,""))</f>
        <v>#N/A</v>
      </c>
      <c r="CC65" s="264"/>
      <c r="CD65" s="276" t="e">
        <f>IF('Pay App 39'!$H$149=0,NA(),IFERROR('Pay App 39'!F123/'Summary Sheet'!$D$19,""))</f>
        <v>#N/A</v>
      </c>
      <c r="CE65" s="264"/>
      <c r="CF65" s="263" t="e">
        <f>IF('Pay App 40'!$H$149=0,NA(),IFERROR('Pay App 40'!F123/'Summary Sheet'!$D$19,""))</f>
        <v>#N/A</v>
      </c>
      <c r="CG65" s="264"/>
      <c r="CH65" s="276" t="e">
        <f>IF('Pay App 41'!$H$149=0,NA(),IFERROR('Pay App 41'!F123/'Summary Sheet'!$D$19,""))</f>
        <v>#N/A</v>
      </c>
      <c r="CI65" s="264"/>
      <c r="CJ65" s="263" t="e">
        <f>IF('Pay App 42'!$H$149=0,NA(),IFERROR('Pay App 42'!F123/'Summary Sheet'!$D$19,""))</f>
        <v>#N/A</v>
      </c>
      <c r="CK65" s="264"/>
      <c r="CL65" s="276" t="e">
        <f>IF('Pay App 43'!$H$149=0,NA(),IFERROR('Pay App 43'!F123/'Summary Sheet'!$D$19,""))</f>
        <v>#N/A</v>
      </c>
      <c r="CM65" s="264"/>
      <c r="CN65" s="263" t="e">
        <f>IF('Pay App 44'!$H$149=0,NA(),IFERROR('Pay App 44'!F123/'Summary Sheet'!$D$19,""))</f>
        <v>#N/A</v>
      </c>
      <c r="CO65" s="264"/>
      <c r="CP65" s="276" t="e">
        <f>IF('Pay App 45'!$H$149=0,NA(),IFERROR('Pay App 45'!F123/'Summary Sheet'!$D$19,""))</f>
        <v>#N/A</v>
      </c>
      <c r="CQ65" s="264"/>
      <c r="CR65" s="263" t="e">
        <f>IF('Pay App 46'!$H$149=0,NA(),IFERROR('Pay App 46'!F123/'Summary Sheet'!$D$19,""))</f>
        <v>#N/A</v>
      </c>
      <c r="CS65" s="264"/>
      <c r="CT65" s="276" t="e">
        <f>IF('Pay App 47'!$H$149=0,NA(),IFERROR('Pay App 47'!F123/'Summary Sheet'!$D$19,""))</f>
        <v>#N/A</v>
      </c>
      <c r="CU65" s="264"/>
      <c r="CV65" s="263" t="e">
        <f>IF('Pay App 48'!$H$149=0,NA(),IFERROR('Pay App 48'!F123/'Summary Sheet'!$D$19,""))</f>
        <v>#N/A</v>
      </c>
      <c r="CW65" s="264"/>
      <c r="CX65" s="276" t="e">
        <f>IF('Pay App 49'!$H$149=0,NA(),IFERROR('Pay App 49'!F123/'Summary Sheet'!$D$19,""))</f>
        <v>#N/A</v>
      </c>
      <c r="CY65" s="264"/>
      <c r="CZ65" s="263" t="e">
        <f>IF('Pay App 50'!$H$149=0,NA(),IFERROR('Pay App 50'!F123/'Summary Sheet'!$D$19,""))</f>
        <v>#N/A</v>
      </c>
      <c r="DA65" s="264"/>
      <c r="DB65" s="276" t="e">
        <f>IF('Pay App 51'!$H$149=0,NA(),IFERROR('Pay App 51'!F123/'Summary Sheet'!$D$19,""))</f>
        <v>#N/A</v>
      </c>
      <c r="DC65" s="264"/>
      <c r="DD65" s="263" t="e">
        <f>IF('Pay App 52'!$H$149=0,NA(),IFERROR('Pay App 52'!F123/'Summary Sheet'!$D$19,""))</f>
        <v>#N/A</v>
      </c>
      <c r="DE65" s="264"/>
      <c r="DF65" s="276" t="e">
        <f>IF('Pay App 53'!$H$149=0,NA(),IFERROR('Pay App 53'!F123/'Summary Sheet'!$D$19,""))</f>
        <v>#N/A</v>
      </c>
      <c r="DG65" s="264"/>
      <c r="DH65" s="263" t="e">
        <f>IF('Pay App 54'!$H$149=0,NA(),IFERROR('Pay App 54'!F123/'Summary Sheet'!$D$19,""))</f>
        <v>#N/A</v>
      </c>
      <c r="DI65" s="264"/>
      <c r="DJ65" s="276" t="e">
        <f>IF('Pay App 55'!$H$149=0,NA(),IFERROR('Pay App 55'!F123/'Summary Sheet'!$D$19,""))</f>
        <v>#N/A</v>
      </c>
      <c r="DK65" s="264"/>
      <c r="DL65" s="263" t="e">
        <f>IF('Pay App 56'!$H$149=0,NA(),IFERROR('Pay App 56'!F123/'Summary Sheet'!$D$19,""))</f>
        <v>#N/A</v>
      </c>
      <c r="DM65" s="264"/>
      <c r="DN65" s="276" t="e">
        <f>IF('Pay App 57'!$H$149=0,NA(),IFERROR('Pay App 57'!F123/'Summary Sheet'!$D$19,""))</f>
        <v>#N/A</v>
      </c>
      <c r="DO65" s="264"/>
      <c r="DP65" s="263" t="e">
        <f>IF('Pay App 58'!$H$149=0,NA(),IFERROR('Pay App 58'!F123/'Summary Sheet'!$D$19,""))</f>
        <v>#N/A</v>
      </c>
      <c r="DQ65" s="264"/>
      <c r="DR65" s="276" t="e">
        <f>IF('Pay App 59'!$H$149=0,NA(),IFERROR('Pay App 59'!F123/'Summary Sheet'!$D$19,""))</f>
        <v>#N/A</v>
      </c>
      <c r="DS65" s="264"/>
      <c r="DT65" s="263" t="e">
        <f>IF('Pay App 60'!$H$149=0,NA(),IFERROR('Pay App 60'!F1033/'Summary Sheet'!$D$19,""))</f>
        <v>#N/A</v>
      </c>
      <c r="DU65" s="296"/>
    </row>
    <row r="66" spans="2:125" x14ac:dyDescent="0.25">
      <c r="B66" s="44" t="str">
        <f>'Pay App 1'!B124</f>
        <v>13 00 00</v>
      </c>
      <c r="C66" s="45" t="str">
        <f>'Pay App 1'!C124</f>
        <v>Special Construction (Other)</v>
      </c>
      <c r="D66" s="282" t="str" cm="1">
        <f t="array" ref="D66">IFERROR(1+(LOOKUP(2,1/(E66:DT66&lt;&gt;""),E66:DT66)-E66)/E66,"")</f>
        <v/>
      </c>
      <c r="E66" s="275" t="str">
        <f>IFERROR('GMP Tracker'!D70/'Summary Sheet'!$D$19,"")</f>
        <v/>
      </c>
      <c r="F66" s="276" t="e">
        <f>IF('Pay App 1'!$D$149=0,NA(),IFERROR('Pay App 1'!F124/'Summary Sheet'!$D$19,""))</f>
        <v>#N/A</v>
      </c>
      <c r="G66" s="271"/>
      <c r="H66" s="277" t="e">
        <f>IF('Pay App 2'!$H$149=0,NA(),IFERROR('Pay App 2'!F124/'Summary Sheet'!$D$19,""))</f>
        <v>#N/A</v>
      </c>
      <c r="I66" s="266"/>
      <c r="J66" s="276" t="e">
        <f>IF('Pay App 3'!$H$149=0,NA(),IFERROR('Pay App 3'!F124/'Summary Sheet'!$D$19,""))</f>
        <v>#N/A</v>
      </c>
      <c r="K66" s="268"/>
      <c r="L66" s="277" t="e">
        <f>IF('Pay App 4'!$H$149=0,NA(),IFERROR('Pay App 4'!F124/'Summary Sheet'!$D$19,""))</f>
        <v>#N/A</v>
      </c>
      <c r="M66" s="266"/>
      <c r="N66" s="276" t="e">
        <f>IF('Pay App 5'!$H$149=0,NA(),IFERROR('Pay App 5'!F124/'Summary Sheet'!$D$19,""))</f>
        <v>#N/A</v>
      </c>
      <c r="O66" s="263"/>
      <c r="P66" s="277" t="e">
        <f>IF('Pay App 6'!$H$149=0,NA(),IFERROR('Pay App 6'!F124/'Summary Sheet'!$D$19,""))</f>
        <v>#N/A</v>
      </c>
      <c r="Q66" s="263"/>
      <c r="R66" s="276" t="e">
        <f>IF('Pay App 7'!$H$149=0,NA(),IFERROR('Pay App 7'!F124/'Summary Sheet'!$D$19,""))</f>
        <v>#N/A</v>
      </c>
      <c r="S66" s="263"/>
      <c r="T66" s="277" t="e">
        <f>IF('Pay App 8'!$H$149=0,NA(),IFERROR('Pay App 8'!F124/'Summary Sheet'!$D$19,""))</f>
        <v>#N/A</v>
      </c>
      <c r="U66" s="263"/>
      <c r="V66" s="276" t="e">
        <f>IF('Pay App 9'!$H$149=0,NA(),IFERROR('Pay App 9'!F124/'Summary Sheet'!$D$19,""))</f>
        <v>#N/A</v>
      </c>
      <c r="W66" s="263"/>
      <c r="X66" s="277" t="e">
        <f>IF('Pay App 10'!$H$149=0,NA(),IFERROR('Pay App 10'!F124/'Summary Sheet'!$D$19,""))</f>
        <v>#N/A</v>
      </c>
      <c r="Y66" s="263"/>
      <c r="Z66" s="276" t="e">
        <f>IF('Pay App 11'!$H$149=0,NA(),IFERROR('Pay App 11'!F124/'Summary Sheet'!$D$19,""))</f>
        <v>#N/A</v>
      </c>
      <c r="AA66" s="263"/>
      <c r="AB66" s="277" t="e">
        <f>IF('Pay App 12'!$H$149=0,NA(),IFERROR('Pay App 12'!F124/'Summary Sheet'!$D$19,""))</f>
        <v>#N/A</v>
      </c>
      <c r="AC66" s="263"/>
      <c r="AD66" s="276" t="e">
        <f>IF('Pay App 13'!$H$149=0,NA(),IFERROR('Pay App 13'!F124/'Summary Sheet'!$D$19,""))</f>
        <v>#N/A</v>
      </c>
      <c r="AE66" s="263"/>
      <c r="AF66" s="277" t="e">
        <f>IF('Pay App 14'!$H$149=0,NA(),IFERROR('Pay App 14'!F124/'Summary Sheet'!$D$19,""))</f>
        <v>#N/A</v>
      </c>
      <c r="AG66" s="263"/>
      <c r="AH66" s="276" t="e">
        <f>IF('Pay App 15'!$H$149=0,NA(),IFERROR('Pay App 15'!F124/'Summary Sheet'!$D$19,""))</f>
        <v>#N/A</v>
      </c>
      <c r="AI66" s="263"/>
      <c r="AJ66" s="277" t="e">
        <f>IF('Pay App 16'!$H$149=0,NA(),IFERROR('Pay App 16'!F124/'Summary Sheet'!$D$19,""))</f>
        <v>#N/A</v>
      </c>
      <c r="AK66" s="263"/>
      <c r="AL66" s="276" t="e">
        <f>IF('Pay App 17'!$H$149=0,NA(),IFERROR('Pay App 17'!F124/'Summary Sheet'!$D$19,""))</f>
        <v>#N/A</v>
      </c>
      <c r="AM66" s="263"/>
      <c r="AN66" s="277" t="e">
        <f>IF('Pay App 18'!$H$149=0,NA(),IFERROR('Pay App 18'!F124/'Summary Sheet'!$D$19,""))</f>
        <v>#N/A</v>
      </c>
      <c r="AO66" s="263"/>
      <c r="AP66" s="276" t="e">
        <f>IF('Pay App 19'!$H$149=0,NA(),IFERROR('Pay App 19'!F124/'Summary Sheet'!$D$19,""))</f>
        <v>#N/A</v>
      </c>
      <c r="AQ66" s="263"/>
      <c r="AR66" s="263" t="e">
        <f>IF('Pay App 20'!$H$149=0,NA(),IFERROR('Pay App 20'!F124/'Summary Sheet'!$D$19,""))</f>
        <v>#N/A</v>
      </c>
      <c r="AS66" s="264"/>
      <c r="AT66" s="276" t="e">
        <f>IF('Pay App 21'!$H$149=0,NA(),IFERROR('Pay App 21'!F124/'Summary Sheet'!$D$19,""))</f>
        <v>#N/A</v>
      </c>
      <c r="AU66" s="264"/>
      <c r="AV66" s="263" t="e">
        <f>IF('Pay App 22'!$H$149=0,NA(),IFERROR('Pay App 22'!F124/'Summary Sheet'!$D$19,""))</f>
        <v>#N/A</v>
      </c>
      <c r="AW66" s="264"/>
      <c r="AX66" s="276" t="e">
        <f>IF('Pay App 23'!$H$149=0,NA(),IFERROR('Pay App 23'!F124/'Summary Sheet'!$D$19,""))</f>
        <v>#N/A</v>
      </c>
      <c r="AY66" s="264"/>
      <c r="AZ66" s="263" t="e">
        <f>IF('Pay App 24'!$H$149=0,NA(),IFERROR('Pay App 24'!F124/'Summary Sheet'!$D$19,""))</f>
        <v>#N/A</v>
      </c>
      <c r="BA66" s="264"/>
      <c r="BB66" s="276" t="e">
        <f>IF('Pay App 25'!$H$149=0,NA(),IFERROR('Pay App 25'!F124/'Summary Sheet'!$D$19,""))</f>
        <v>#N/A</v>
      </c>
      <c r="BC66" s="264"/>
      <c r="BD66" s="263" t="e">
        <f>IF('Pay App 26'!$H$149=0,NA(),IFERROR('Pay App 26'!F124/'Summary Sheet'!$D$19,""))</f>
        <v>#N/A</v>
      </c>
      <c r="BE66" s="264"/>
      <c r="BF66" s="276" t="e">
        <f>IF('Pay App 27'!$H$149=0,NA(),IFERROR('Pay App 27'!F124/'Summary Sheet'!$D$19,""))</f>
        <v>#N/A</v>
      </c>
      <c r="BG66" s="264"/>
      <c r="BH66" s="263" t="e">
        <f>IF('Pay App 28'!$H$149=0,NA(),IFERROR('Pay App 28'!F124/'Summary Sheet'!$D$19,""))</f>
        <v>#N/A</v>
      </c>
      <c r="BI66" s="264"/>
      <c r="BJ66" s="276" t="e">
        <f>IF('Pay App 29'!$H$149=0,NA(),IFERROR('Pay App 29'!F124/'Summary Sheet'!$D$19,""))</f>
        <v>#N/A</v>
      </c>
      <c r="BK66" s="271"/>
      <c r="BL66" s="263" t="e">
        <f>IF('Pay App 30'!$H$149=0,NA(),IFERROR('Pay App 30'!F124/'Summary Sheet'!$D$19,""))</f>
        <v>#N/A</v>
      </c>
      <c r="BM66" s="264"/>
      <c r="BN66" s="276" t="e">
        <f>IF('Pay App 31'!$H$149=0,NA(),IFERROR('Pay App 31'!F124/'Summary Sheet'!$D$19,""))</f>
        <v>#N/A</v>
      </c>
      <c r="BO66" s="264"/>
      <c r="BP66" s="263" t="e">
        <f>IF('Pay App 32'!$H$149=0,NA(),IFERROR('Pay App 32'!F124/'Summary Sheet'!$D$19,""))</f>
        <v>#N/A</v>
      </c>
      <c r="BQ66" s="264"/>
      <c r="BR66" s="276" t="e">
        <f>IF('Pay App 33'!$H$149=0,NA(),IFERROR('Pay App 33'!F124/'Summary Sheet'!$D$19,""))</f>
        <v>#N/A</v>
      </c>
      <c r="BS66" s="264"/>
      <c r="BT66" s="263" t="e">
        <f>IF('Pay App 34'!$H$149=0,NA(),IFERROR('Pay App 34'!F124/'Summary Sheet'!$D$19,""))</f>
        <v>#N/A</v>
      </c>
      <c r="BU66" s="264"/>
      <c r="BV66" s="276" t="e">
        <f>IF('Pay App 35'!$H$149=0,NA(),IFERROR('Pay App 35'!F124/'Summary Sheet'!$D$19,""))</f>
        <v>#N/A</v>
      </c>
      <c r="BW66" s="264"/>
      <c r="BX66" s="263" t="e">
        <f>IF('Pay App 36'!$H$149=0,NA(),IFERROR('Pay App 36'!F124/'Summary Sheet'!$D$19,""))</f>
        <v>#N/A</v>
      </c>
      <c r="BY66" s="264"/>
      <c r="BZ66" s="276" t="e">
        <f>IF('Pay App 37'!$H$149=0,NA(),IFERROR('Pay App 37'!F124/'Summary Sheet'!$D$19,""))</f>
        <v>#N/A</v>
      </c>
      <c r="CA66" s="264"/>
      <c r="CB66" s="263" t="e">
        <f>IF('Pay App 38'!$H$149=0,NA(),IFERROR('Pay App 38'!F124/'Summary Sheet'!$D$19,""))</f>
        <v>#N/A</v>
      </c>
      <c r="CC66" s="264"/>
      <c r="CD66" s="276" t="e">
        <f>IF('Pay App 39'!$H$149=0,NA(),IFERROR('Pay App 39'!F124/'Summary Sheet'!$D$19,""))</f>
        <v>#N/A</v>
      </c>
      <c r="CE66" s="264"/>
      <c r="CF66" s="263" t="e">
        <f>IF('Pay App 40'!$H$149=0,NA(),IFERROR('Pay App 40'!F124/'Summary Sheet'!$D$19,""))</f>
        <v>#N/A</v>
      </c>
      <c r="CG66" s="264"/>
      <c r="CH66" s="276" t="e">
        <f>IF('Pay App 41'!$H$149=0,NA(),IFERROR('Pay App 41'!F124/'Summary Sheet'!$D$19,""))</f>
        <v>#N/A</v>
      </c>
      <c r="CI66" s="264"/>
      <c r="CJ66" s="263" t="e">
        <f>IF('Pay App 42'!$H$149=0,NA(),IFERROR('Pay App 42'!F124/'Summary Sheet'!$D$19,""))</f>
        <v>#N/A</v>
      </c>
      <c r="CK66" s="264"/>
      <c r="CL66" s="276" t="e">
        <f>IF('Pay App 43'!$H$149=0,NA(),IFERROR('Pay App 43'!F124/'Summary Sheet'!$D$19,""))</f>
        <v>#N/A</v>
      </c>
      <c r="CM66" s="264"/>
      <c r="CN66" s="263" t="e">
        <f>IF('Pay App 44'!$H$149=0,NA(),IFERROR('Pay App 44'!F124/'Summary Sheet'!$D$19,""))</f>
        <v>#N/A</v>
      </c>
      <c r="CO66" s="264"/>
      <c r="CP66" s="276" t="e">
        <f>IF('Pay App 45'!$H$149=0,NA(),IFERROR('Pay App 45'!F124/'Summary Sheet'!$D$19,""))</f>
        <v>#N/A</v>
      </c>
      <c r="CQ66" s="264"/>
      <c r="CR66" s="263" t="e">
        <f>IF('Pay App 46'!$H$149=0,NA(),IFERROR('Pay App 46'!F124/'Summary Sheet'!$D$19,""))</f>
        <v>#N/A</v>
      </c>
      <c r="CS66" s="264"/>
      <c r="CT66" s="276" t="e">
        <f>IF('Pay App 47'!$H$149=0,NA(),IFERROR('Pay App 47'!F124/'Summary Sheet'!$D$19,""))</f>
        <v>#N/A</v>
      </c>
      <c r="CU66" s="264"/>
      <c r="CV66" s="263" t="e">
        <f>IF('Pay App 48'!$H$149=0,NA(),IFERROR('Pay App 48'!F124/'Summary Sheet'!$D$19,""))</f>
        <v>#N/A</v>
      </c>
      <c r="CW66" s="264"/>
      <c r="CX66" s="276" t="e">
        <f>IF('Pay App 49'!$H$149=0,NA(),IFERROR('Pay App 49'!F124/'Summary Sheet'!$D$19,""))</f>
        <v>#N/A</v>
      </c>
      <c r="CY66" s="264"/>
      <c r="CZ66" s="263" t="e">
        <f>IF('Pay App 50'!$H$149=0,NA(),IFERROR('Pay App 50'!F124/'Summary Sheet'!$D$19,""))</f>
        <v>#N/A</v>
      </c>
      <c r="DA66" s="264"/>
      <c r="DB66" s="276" t="e">
        <f>IF('Pay App 51'!$H$149=0,NA(),IFERROR('Pay App 51'!F124/'Summary Sheet'!$D$19,""))</f>
        <v>#N/A</v>
      </c>
      <c r="DC66" s="264"/>
      <c r="DD66" s="263" t="e">
        <f>IF('Pay App 52'!$H$149=0,NA(),IFERROR('Pay App 52'!F124/'Summary Sheet'!$D$19,""))</f>
        <v>#N/A</v>
      </c>
      <c r="DE66" s="264"/>
      <c r="DF66" s="276" t="e">
        <f>IF('Pay App 53'!$H$149=0,NA(),IFERROR('Pay App 53'!F124/'Summary Sheet'!$D$19,""))</f>
        <v>#N/A</v>
      </c>
      <c r="DG66" s="264"/>
      <c r="DH66" s="263" t="e">
        <f>IF('Pay App 54'!$H$149=0,NA(),IFERROR('Pay App 54'!F124/'Summary Sheet'!$D$19,""))</f>
        <v>#N/A</v>
      </c>
      <c r="DI66" s="264"/>
      <c r="DJ66" s="276" t="e">
        <f>IF('Pay App 55'!$H$149=0,NA(),IFERROR('Pay App 55'!F124/'Summary Sheet'!$D$19,""))</f>
        <v>#N/A</v>
      </c>
      <c r="DK66" s="264"/>
      <c r="DL66" s="263" t="e">
        <f>IF('Pay App 56'!$H$149=0,NA(),IFERROR('Pay App 56'!F124/'Summary Sheet'!$D$19,""))</f>
        <v>#N/A</v>
      </c>
      <c r="DM66" s="264"/>
      <c r="DN66" s="276" t="e">
        <f>IF('Pay App 57'!$H$149=0,NA(),IFERROR('Pay App 57'!F124/'Summary Sheet'!$D$19,""))</f>
        <v>#N/A</v>
      </c>
      <c r="DO66" s="264"/>
      <c r="DP66" s="263" t="e">
        <f>IF('Pay App 58'!$H$149=0,NA(),IFERROR('Pay App 58'!F124/'Summary Sheet'!$D$19,""))</f>
        <v>#N/A</v>
      </c>
      <c r="DQ66" s="264"/>
      <c r="DR66" s="276" t="e">
        <f>IF('Pay App 59'!$H$149=0,NA(),IFERROR('Pay App 59'!F124/'Summary Sheet'!$D$19,""))</f>
        <v>#N/A</v>
      </c>
      <c r="DS66" s="264"/>
      <c r="DT66" s="263" t="e">
        <f>IF('Pay App 60'!$H$149=0,NA(),IFERROR('Pay App 60'!F1034/'Summary Sheet'!$D$19,""))</f>
        <v>#N/A</v>
      </c>
      <c r="DU66" s="296"/>
    </row>
    <row r="67" spans="2:125" x14ac:dyDescent="0.25">
      <c r="B67" s="44" t="str">
        <f>'Pay App 1'!B125</f>
        <v>13 48 00</v>
      </c>
      <c r="C67" s="45" t="str">
        <f>'Pay App 1'!C125</f>
        <v>Sound &amp; Vibration Control</v>
      </c>
      <c r="D67" s="282" t="str" cm="1">
        <f t="array" ref="D67">IFERROR(1+(LOOKUP(2,1/(E67:DT67&lt;&gt;""),E67:DT67)-E67)/E67,"")</f>
        <v/>
      </c>
      <c r="E67" s="275" t="str">
        <f>IFERROR('GMP Tracker'!D71/'Summary Sheet'!$D$19,"")</f>
        <v/>
      </c>
      <c r="F67" s="276" t="e">
        <f>IF('Pay App 1'!$D$149=0,NA(),IFERROR('Pay App 1'!F125/'Summary Sheet'!$D$19,""))</f>
        <v>#N/A</v>
      </c>
      <c r="G67" s="271"/>
      <c r="H67" s="277" t="e">
        <f>IF('Pay App 2'!$H$149=0,NA(),IFERROR('Pay App 2'!F125/'Summary Sheet'!$D$19,""))</f>
        <v>#N/A</v>
      </c>
      <c r="I67" s="266"/>
      <c r="J67" s="276" t="e">
        <f>IF('Pay App 3'!$H$149=0,NA(),IFERROR('Pay App 3'!F125/'Summary Sheet'!$D$19,""))</f>
        <v>#N/A</v>
      </c>
      <c r="K67" s="268"/>
      <c r="L67" s="277" t="e">
        <f>IF('Pay App 4'!$H$149=0,NA(),IFERROR('Pay App 4'!F125/'Summary Sheet'!$D$19,""))</f>
        <v>#N/A</v>
      </c>
      <c r="M67" s="266"/>
      <c r="N67" s="276" t="e">
        <f>IF('Pay App 5'!$H$149=0,NA(),IFERROR('Pay App 5'!F125/'Summary Sheet'!$D$19,""))</f>
        <v>#N/A</v>
      </c>
      <c r="O67" s="263"/>
      <c r="P67" s="277" t="e">
        <f>IF('Pay App 6'!$H$149=0,NA(),IFERROR('Pay App 6'!F125/'Summary Sheet'!$D$19,""))</f>
        <v>#N/A</v>
      </c>
      <c r="Q67" s="263"/>
      <c r="R67" s="276" t="e">
        <f>IF('Pay App 7'!$H$149=0,NA(),IFERROR('Pay App 7'!F125/'Summary Sheet'!$D$19,""))</f>
        <v>#N/A</v>
      </c>
      <c r="S67" s="263"/>
      <c r="T67" s="277" t="e">
        <f>IF('Pay App 8'!$H$149=0,NA(),IFERROR('Pay App 8'!F125/'Summary Sheet'!$D$19,""))</f>
        <v>#N/A</v>
      </c>
      <c r="U67" s="263"/>
      <c r="V67" s="276" t="e">
        <f>IF('Pay App 9'!$H$149=0,NA(),IFERROR('Pay App 9'!F125/'Summary Sheet'!$D$19,""))</f>
        <v>#N/A</v>
      </c>
      <c r="W67" s="263"/>
      <c r="X67" s="277" t="e">
        <f>IF('Pay App 10'!$H$149=0,NA(),IFERROR('Pay App 10'!F125/'Summary Sheet'!$D$19,""))</f>
        <v>#N/A</v>
      </c>
      <c r="Y67" s="263"/>
      <c r="Z67" s="276" t="e">
        <f>IF('Pay App 11'!$H$149=0,NA(),IFERROR('Pay App 11'!F125/'Summary Sheet'!$D$19,""))</f>
        <v>#N/A</v>
      </c>
      <c r="AA67" s="263"/>
      <c r="AB67" s="277" t="e">
        <f>IF('Pay App 12'!$H$149=0,NA(),IFERROR('Pay App 12'!F125/'Summary Sheet'!$D$19,""))</f>
        <v>#N/A</v>
      </c>
      <c r="AC67" s="263"/>
      <c r="AD67" s="276" t="e">
        <f>IF('Pay App 13'!$H$149=0,NA(),IFERROR('Pay App 13'!F125/'Summary Sheet'!$D$19,""))</f>
        <v>#N/A</v>
      </c>
      <c r="AE67" s="263"/>
      <c r="AF67" s="277" t="e">
        <f>IF('Pay App 14'!$H$149=0,NA(),IFERROR('Pay App 14'!F125/'Summary Sheet'!$D$19,""))</f>
        <v>#N/A</v>
      </c>
      <c r="AG67" s="263"/>
      <c r="AH67" s="276" t="e">
        <f>IF('Pay App 15'!$H$149=0,NA(),IFERROR('Pay App 15'!F125/'Summary Sheet'!$D$19,""))</f>
        <v>#N/A</v>
      </c>
      <c r="AI67" s="263"/>
      <c r="AJ67" s="277" t="e">
        <f>IF('Pay App 16'!$H$149=0,NA(),IFERROR('Pay App 16'!F125/'Summary Sheet'!$D$19,""))</f>
        <v>#N/A</v>
      </c>
      <c r="AK67" s="263"/>
      <c r="AL67" s="276" t="e">
        <f>IF('Pay App 17'!$H$149=0,NA(),IFERROR('Pay App 17'!F125/'Summary Sheet'!$D$19,""))</f>
        <v>#N/A</v>
      </c>
      <c r="AM67" s="263"/>
      <c r="AN67" s="277" t="e">
        <f>IF('Pay App 18'!$H$149=0,NA(),IFERROR('Pay App 18'!F125/'Summary Sheet'!$D$19,""))</f>
        <v>#N/A</v>
      </c>
      <c r="AO67" s="263"/>
      <c r="AP67" s="276" t="e">
        <f>IF('Pay App 19'!$H$149=0,NA(),IFERROR('Pay App 19'!F125/'Summary Sheet'!$D$19,""))</f>
        <v>#N/A</v>
      </c>
      <c r="AQ67" s="263"/>
      <c r="AR67" s="263" t="e">
        <f>IF('Pay App 20'!$H$149=0,NA(),IFERROR('Pay App 20'!F125/'Summary Sheet'!$D$19,""))</f>
        <v>#N/A</v>
      </c>
      <c r="AS67" s="264"/>
      <c r="AT67" s="276" t="e">
        <f>IF('Pay App 21'!$H$149=0,NA(),IFERROR('Pay App 21'!F125/'Summary Sheet'!$D$19,""))</f>
        <v>#N/A</v>
      </c>
      <c r="AU67" s="264"/>
      <c r="AV67" s="263" t="e">
        <f>IF('Pay App 22'!$H$149=0,NA(),IFERROR('Pay App 22'!F125/'Summary Sheet'!$D$19,""))</f>
        <v>#N/A</v>
      </c>
      <c r="AW67" s="264"/>
      <c r="AX67" s="276" t="e">
        <f>IF('Pay App 23'!$H$149=0,NA(),IFERROR('Pay App 23'!F125/'Summary Sheet'!$D$19,""))</f>
        <v>#N/A</v>
      </c>
      <c r="AY67" s="264"/>
      <c r="AZ67" s="263" t="e">
        <f>IF('Pay App 24'!$H$149=0,NA(),IFERROR('Pay App 24'!F125/'Summary Sheet'!$D$19,""))</f>
        <v>#N/A</v>
      </c>
      <c r="BA67" s="264"/>
      <c r="BB67" s="276" t="e">
        <f>IF('Pay App 25'!$H$149=0,NA(),IFERROR('Pay App 25'!F125/'Summary Sheet'!$D$19,""))</f>
        <v>#N/A</v>
      </c>
      <c r="BC67" s="264"/>
      <c r="BD67" s="263" t="e">
        <f>IF('Pay App 26'!$H$149=0,NA(),IFERROR('Pay App 26'!F125/'Summary Sheet'!$D$19,""))</f>
        <v>#N/A</v>
      </c>
      <c r="BE67" s="264"/>
      <c r="BF67" s="276" t="e">
        <f>IF('Pay App 27'!$H$149=0,NA(),IFERROR('Pay App 27'!F125/'Summary Sheet'!$D$19,""))</f>
        <v>#N/A</v>
      </c>
      <c r="BG67" s="264"/>
      <c r="BH67" s="263" t="e">
        <f>IF('Pay App 28'!$H$149=0,NA(),IFERROR('Pay App 28'!F125/'Summary Sheet'!$D$19,""))</f>
        <v>#N/A</v>
      </c>
      <c r="BI67" s="264"/>
      <c r="BJ67" s="276" t="e">
        <f>IF('Pay App 29'!$H$149=0,NA(),IFERROR('Pay App 29'!F125/'Summary Sheet'!$D$19,""))</f>
        <v>#N/A</v>
      </c>
      <c r="BK67" s="271"/>
      <c r="BL67" s="263" t="e">
        <f>IF('Pay App 30'!$H$149=0,NA(),IFERROR('Pay App 30'!F125/'Summary Sheet'!$D$19,""))</f>
        <v>#N/A</v>
      </c>
      <c r="BM67" s="264"/>
      <c r="BN67" s="276" t="e">
        <f>IF('Pay App 31'!$H$149=0,NA(),IFERROR('Pay App 31'!F125/'Summary Sheet'!$D$19,""))</f>
        <v>#N/A</v>
      </c>
      <c r="BO67" s="264"/>
      <c r="BP67" s="263" t="e">
        <f>IF('Pay App 32'!$H$149=0,NA(),IFERROR('Pay App 32'!F125/'Summary Sheet'!$D$19,""))</f>
        <v>#N/A</v>
      </c>
      <c r="BQ67" s="264"/>
      <c r="BR67" s="276" t="e">
        <f>IF('Pay App 33'!$H$149=0,NA(),IFERROR('Pay App 33'!F125/'Summary Sheet'!$D$19,""))</f>
        <v>#N/A</v>
      </c>
      <c r="BS67" s="264"/>
      <c r="BT67" s="263" t="e">
        <f>IF('Pay App 34'!$H$149=0,NA(),IFERROR('Pay App 34'!F125/'Summary Sheet'!$D$19,""))</f>
        <v>#N/A</v>
      </c>
      <c r="BU67" s="264"/>
      <c r="BV67" s="276" t="e">
        <f>IF('Pay App 35'!$H$149=0,NA(),IFERROR('Pay App 35'!F125/'Summary Sheet'!$D$19,""))</f>
        <v>#N/A</v>
      </c>
      <c r="BW67" s="264"/>
      <c r="BX67" s="263" t="e">
        <f>IF('Pay App 36'!$H$149=0,NA(),IFERROR('Pay App 36'!F125/'Summary Sheet'!$D$19,""))</f>
        <v>#N/A</v>
      </c>
      <c r="BY67" s="264"/>
      <c r="BZ67" s="276" t="e">
        <f>IF('Pay App 37'!$H$149=0,NA(),IFERROR('Pay App 37'!F125/'Summary Sheet'!$D$19,""))</f>
        <v>#N/A</v>
      </c>
      <c r="CA67" s="264"/>
      <c r="CB67" s="263" t="e">
        <f>IF('Pay App 38'!$H$149=0,NA(),IFERROR('Pay App 38'!F125/'Summary Sheet'!$D$19,""))</f>
        <v>#N/A</v>
      </c>
      <c r="CC67" s="264"/>
      <c r="CD67" s="276" t="e">
        <f>IF('Pay App 39'!$H$149=0,NA(),IFERROR('Pay App 39'!F125/'Summary Sheet'!$D$19,""))</f>
        <v>#N/A</v>
      </c>
      <c r="CE67" s="264"/>
      <c r="CF67" s="263" t="e">
        <f>IF('Pay App 40'!$H$149=0,NA(),IFERROR('Pay App 40'!F125/'Summary Sheet'!$D$19,""))</f>
        <v>#N/A</v>
      </c>
      <c r="CG67" s="264"/>
      <c r="CH67" s="276" t="e">
        <f>IF('Pay App 41'!$H$149=0,NA(),IFERROR('Pay App 41'!F125/'Summary Sheet'!$D$19,""))</f>
        <v>#N/A</v>
      </c>
      <c r="CI67" s="264"/>
      <c r="CJ67" s="263" t="e">
        <f>IF('Pay App 42'!$H$149=0,NA(),IFERROR('Pay App 42'!F125/'Summary Sheet'!$D$19,""))</f>
        <v>#N/A</v>
      </c>
      <c r="CK67" s="264"/>
      <c r="CL67" s="276" t="e">
        <f>IF('Pay App 43'!$H$149=0,NA(),IFERROR('Pay App 43'!F125/'Summary Sheet'!$D$19,""))</f>
        <v>#N/A</v>
      </c>
      <c r="CM67" s="264"/>
      <c r="CN67" s="263" t="e">
        <f>IF('Pay App 44'!$H$149=0,NA(),IFERROR('Pay App 44'!F125/'Summary Sheet'!$D$19,""))</f>
        <v>#N/A</v>
      </c>
      <c r="CO67" s="264"/>
      <c r="CP67" s="276" t="e">
        <f>IF('Pay App 45'!$H$149=0,NA(),IFERROR('Pay App 45'!F125/'Summary Sheet'!$D$19,""))</f>
        <v>#N/A</v>
      </c>
      <c r="CQ67" s="264"/>
      <c r="CR67" s="263" t="e">
        <f>IF('Pay App 46'!$H$149=0,NA(),IFERROR('Pay App 46'!F125/'Summary Sheet'!$D$19,""))</f>
        <v>#N/A</v>
      </c>
      <c r="CS67" s="264"/>
      <c r="CT67" s="276" t="e">
        <f>IF('Pay App 47'!$H$149=0,NA(),IFERROR('Pay App 47'!F125/'Summary Sheet'!$D$19,""))</f>
        <v>#N/A</v>
      </c>
      <c r="CU67" s="264"/>
      <c r="CV67" s="263" t="e">
        <f>IF('Pay App 48'!$H$149=0,NA(),IFERROR('Pay App 48'!F125/'Summary Sheet'!$D$19,""))</f>
        <v>#N/A</v>
      </c>
      <c r="CW67" s="264"/>
      <c r="CX67" s="276" t="e">
        <f>IF('Pay App 49'!$H$149=0,NA(),IFERROR('Pay App 49'!F125/'Summary Sheet'!$D$19,""))</f>
        <v>#N/A</v>
      </c>
      <c r="CY67" s="264"/>
      <c r="CZ67" s="263" t="e">
        <f>IF('Pay App 50'!$H$149=0,NA(),IFERROR('Pay App 50'!F125/'Summary Sheet'!$D$19,""))</f>
        <v>#N/A</v>
      </c>
      <c r="DA67" s="264"/>
      <c r="DB67" s="276" t="e">
        <f>IF('Pay App 51'!$H$149=0,NA(),IFERROR('Pay App 51'!F125/'Summary Sheet'!$D$19,""))</f>
        <v>#N/A</v>
      </c>
      <c r="DC67" s="264"/>
      <c r="DD67" s="263" t="e">
        <f>IF('Pay App 52'!$H$149=0,NA(),IFERROR('Pay App 52'!F125/'Summary Sheet'!$D$19,""))</f>
        <v>#N/A</v>
      </c>
      <c r="DE67" s="264"/>
      <c r="DF67" s="276" t="e">
        <f>IF('Pay App 53'!$H$149=0,NA(),IFERROR('Pay App 53'!F125/'Summary Sheet'!$D$19,""))</f>
        <v>#N/A</v>
      </c>
      <c r="DG67" s="264"/>
      <c r="DH67" s="263" t="e">
        <f>IF('Pay App 54'!$H$149=0,NA(),IFERROR('Pay App 54'!F125/'Summary Sheet'!$D$19,""))</f>
        <v>#N/A</v>
      </c>
      <c r="DI67" s="264"/>
      <c r="DJ67" s="276" t="e">
        <f>IF('Pay App 55'!$H$149=0,NA(),IFERROR('Pay App 55'!F125/'Summary Sheet'!$D$19,""))</f>
        <v>#N/A</v>
      </c>
      <c r="DK67" s="264"/>
      <c r="DL67" s="263" t="e">
        <f>IF('Pay App 56'!$H$149=0,NA(),IFERROR('Pay App 56'!F125/'Summary Sheet'!$D$19,""))</f>
        <v>#N/A</v>
      </c>
      <c r="DM67" s="264"/>
      <c r="DN67" s="276" t="e">
        <f>IF('Pay App 57'!$H$149=0,NA(),IFERROR('Pay App 57'!F125/'Summary Sheet'!$D$19,""))</f>
        <v>#N/A</v>
      </c>
      <c r="DO67" s="264"/>
      <c r="DP67" s="263" t="e">
        <f>IF('Pay App 58'!$H$149=0,NA(),IFERROR('Pay App 58'!F125/'Summary Sheet'!$D$19,""))</f>
        <v>#N/A</v>
      </c>
      <c r="DQ67" s="264"/>
      <c r="DR67" s="276" t="e">
        <f>IF('Pay App 59'!$H$149=0,NA(),IFERROR('Pay App 59'!F125/'Summary Sheet'!$D$19,""))</f>
        <v>#N/A</v>
      </c>
      <c r="DS67" s="264"/>
      <c r="DT67" s="263" t="e">
        <f>IF('Pay App 60'!$H$149=0,NA(),IFERROR('Pay App 60'!F1035/'Summary Sheet'!$D$19,""))</f>
        <v>#N/A</v>
      </c>
      <c r="DU67" s="296"/>
    </row>
    <row r="68" spans="2:125" x14ac:dyDescent="0.25">
      <c r="B68" s="35" t="str">
        <f>'Pay App 1'!B126</f>
        <v>14 20 00</v>
      </c>
      <c r="C68" s="27" t="str">
        <f>'Pay App 1'!C126</f>
        <v>Elevator</v>
      </c>
      <c r="D68" s="282" t="str" cm="1">
        <f t="array" ref="D68">IFERROR(1+(LOOKUP(2,1/(E68:DT68&lt;&gt;""),E68:DT68)-E68)/E68,"")</f>
        <v/>
      </c>
      <c r="E68" s="275" t="str">
        <f>IFERROR('GMP Tracker'!D72/'Summary Sheet'!$D$19,"")</f>
        <v/>
      </c>
      <c r="F68" s="276" t="e">
        <f>IF('Pay App 1'!$D$149=0,NA(),IFERROR('Pay App 1'!F126/'Summary Sheet'!$D$19,""))</f>
        <v>#N/A</v>
      </c>
      <c r="G68" s="271"/>
      <c r="H68" s="277" t="e">
        <f>IF('Pay App 2'!$H$149=0,NA(),IFERROR('Pay App 2'!F126/'Summary Sheet'!$D$19,""))</f>
        <v>#N/A</v>
      </c>
      <c r="I68" s="266"/>
      <c r="J68" s="276" t="e">
        <f>IF('Pay App 3'!$H$149=0,NA(),IFERROR('Pay App 3'!F126/'Summary Sheet'!$D$19,""))</f>
        <v>#N/A</v>
      </c>
      <c r="K68" s="268"/>
      <c r="L68" s="277" t="e">
        <f>IF('Pay App 4'!$H$149=0,NA(),IFERROR('Pay App 4'!F126/'Summary Sheet'!$D$19,""))</f>
        <v>#N/A</v>
      </c>
      <c r="M68" s="266"/>
      <c r="N68" s="276" t="e">
        <f>IF('Pay App 5'!$H$149=0,NA(),IFERROR('Pay App 5'!F126/'Summary Sheet'!$D$19,""))</f>
        <v>#N/A</v>
      </c>
      <c r="O68" s="263"/>
      <c r="P68" s="277" t="e">
        <f>IF('Pay App 6'!$H$149=0,NA(),IFERROR('Pay App 6'!F126/'Summary Sheet'!$D$19,""))</f>
        <v>#N/A</v>
      </c>
      <c r="Q68" s="263"/>
      <c r="R68" s="276" t="e">
        <f>IF('Pay App 7'!$H$149=0,NA(),IFERROR('Pay App 7'!F126/'Summary Sheet'!$D$19,""))</f>
        <v>#N/A</v>
      </c>
      <c r="S68" s="263"/>
      <c r="T68" s="277" t="e">
        <f>IF('Pay App 8'!$H$149=0,NA(),IFERROR('Pay App 8'!F126/'Summary Sheet'!$D$19,""))</f>
        <v>#N/A</v>
      </c>
      <c r="U68" s="263"/>
      <c r="V68" s="276" t="e">
        <f>IF('Pay App 9'!$H$149=0,NA(),IFERROR('Pay App 9'!F126/'Summary Sheet'!$D$19,""))</f>
        <v>#N/A</v>
      </c>
      <c r="W68" s="263"/>
      <c r="X68" s="277" t="e">
        <f>IF('Pay App 10'!$H$149=0,NA(),IFERROR('Pay App 10'!F126/'Summary Sheet'!$D$19,""))</f>
        <v>#N/A</v>
      </c>
      <c r="Y68" s="263"/>
      <c r="Z68" s="276" t="e">
        <f>IF('Pay App 11'!$H$149=0,NA(),IFERROR('Pay App 11'!F126/'Summary Sheet'!$D$19,""))</f>
        <v>#N/A</v>
      </c>
      <c r="AA68" s="263"/>
      <c r="AB68" s="277" t="e">
        <f>IF('Pay App 12'!$H$149=0,NA(),IFERROR('Pay App 12'!F126/'Summary Sheet'!$D$19,""))</f>
        <v>#N/A</v>
      </c>
      <c r="AC68" s="263"/>
      <c r="AD68" s="276" t="e">
        <f>IF('Pay App 13'!$H$149=0,NA(),IFERROR('Pay App 13'!F126/'Summary Sheet'!$D$19,""))</f>
        <v>#N/A</v>
      </c>
      <c r="AE68" s="263"/>
      <c r="AF68" s="277" t="e">
        <f>IF('Pay App 14'!$H$149=0,NA(),IFERROR('Pay App 14'!F126/'Summary Sheet'!$D$19,""))</f>
        <v>#N/A</v>
      </c>
      <c r="AG68" s="263"/>
      <c r="AH68" s="276" t="e">
        <f>IF('Pay App 15'!$H$149=0,NA(),IFERROR('Pay App 15'!F126/'Summary Sheet'!$D$19,""))</f>
        <v>#N/A</v>
      </c>
      <c r="AI68" s="263"/>
      <c r="AJ68" s="277" t="e">
        <f>IF('Pay App 16'!$H$149=0,NA(),IFERROR('Pay App 16'!F126/'Summary Sheet'!$D$19,""))</f>
        <v>#N/A</v>
      </c>
      <c r="AK68" s="263"/>
      <c r="AL68" s="276" t="e">
        <f>IF('Pay App 17'!$H$149=0,NA(),IFERROR('Pay App 17'!F126/'Summary Sheet'!$D$19,""))</f>
        <v>#N/A</v>
      </c>
      <c r="AM68" s="263"/>
      <c r="AN68" s="277" t="e">
        <f>IF('Pay App 18'!$H$149=0,NA(),IFERROR('Pay App 18'!F126/'Summary Sheet'!$D$19,""))</f>
        <v>#N/A</v>
      </c>
      <c r="AO68" s="263"/>
      <c r="AP68" s="276" t="e">
        <f>IF('Pay App 19'!$H$149=0,NA(),IFERROR('Pay App 19'!F126/'Summary Sheet'!$D$19,""))</f>
        <v>#N/A</v>
      </c>
      <c r="AQ68" s="263"/>
      <c r="AR68" s="263" t="e">
        <f>IF('Pay App 20'!$H$149=0,NA(),IFERROR('Pay App 20'!F126/'Summary Sheet'!$D$19,""))</f>
        <v>#N/A</v>
      </c>
      <c r="AS68" s="264"/>
      <c r="AT68" s="276" t="e">
        <f>IF('Pay App 21'!$H$149=0,NA(),IFERROR('Pay App 21'!F126/'Summary Sheet'!$D$19,""))</f>
        <v>#N/A</v>
      </c>
      <c r="AU68" s="264"/>
      <c r="AV68" s="263" t="e">
        <f>IF('Pay App 22'!$H$149=0,NA(),IFERROR('Pay App 22'!F126/'Summary Sheet'!$D$19,""))</f>
        <v>#N/A</v>
      </c>
      <c r="AW68" s="264"/>
      <c r="AX68" s="276" t="e">
        <f>IF('Pay App 23'!$H$149=0,NA(),IFERROR('Pay App 23'!F126/'Summary Sheet'!$D$19,""))</f>
        <v>#N/A</v>
      </c>
      <c r="AY68" s="264"/>
      <c r="AZ68" s="263" t="e">
        <f>IF('Pay App 24'!$H$149=0,NA(),IFERROR('Pay App 24'!F126/'Summary Sheet'!$D$19,""))</f>
        <v>#N/A</v>
      </c>
      <c r="BA68" s="264"/>
      <c r="BB68" s="276" t="e">
        <f>IF('Pay App 25'!$H$149=0,NA(),IFERROR('Pay App 25'!F126/'Summary Sheet'!$D$19,""))</f>
        <v>#N/A</v>
      </c>
      <c r="BC68" s="264"/>
      <c r="BD68" s="263" t="e">
        <f>IF('Pay App 26'!$H$149=0,NA(),IFERROR('Pay App 26'!F126/'Summary Sheet'!$D$19,""))</f>
        <v>#N/A</v>
      </c>
      <c r="BE68" s="264"/>
      <c r="BF68" s="276" t="e">
        <f>IF('Pay App 27'!$H$149=0,NA(),IFERROR('Pay App 27'!F126/'Summary Sheet'!$D$19,""))</f>
        <v>#N/A</v>
      </c>
      <c r="BG68" s="264"/>
      <c r="BH68" s="263" t="e">
        <f>IF('Pay App 28'!$H$149=0,NA(),IFERROR('Pay App 28'!F126/'Summary Sheet'!$D$19,""))</f>
        <v>#N/A</v>
      </c>
      <c r="BI68" s="264"/>
      <c r="BJ68" s="276" t="e">
        <f>IF('Pay App 29'!$H$149=0,NA(),IFERROR('Pay App 29'!F126/'Summary Sheet'!$D$19,""))</f>
        <v>#N/A</v>
      </c>
      <c r="BK68" s="271"/>
      <c r="BL68" s="263" t="e">
        <f>IF('Pay App 30'!$H$149=0,NA(),IFERROR('Pay App 30'!F126/'Summary Sheet'!$D$19,""))</f>
        <v>#N/A</v>
      </c>
      <c r="BM68" s="264"/>
      <c r="BN68" s="276" t="e">
        <f>IF('Pay App 31'!$H$149=0,NA(),IFERROR('Pay App 31'!F126/'Summary Sheet'!$D$19,""))</f>
        <v>#N/A</v>
      </c>
      <c r="BO68" s="264"/>
      <c r="BP68" s="263" t="e">
        <f>IF('Pay App 32'!$H$149=0,NA(),IFERROR('Pay App 32'!F126/'Summary Sheet'!$D$19,""))</f>
        <v>#N/A</v>
      </c>
      <c r="BQ68" s="264"/>
      <c r="BR68" s="276" t="e">
        <f>IF('Pay App 33'!$H$149=0,NA(),IFERROR('Pay App 33'!F126/'Summary Sheet'!$D$19,""))</f>
        <v>#N/A</v>
      </c>
      <c r="BS68" s="264"/>
      <c r="BT68" s="263" t="e">
        <f>IF('Pay App 34'!$H$149=0,NA(),IFERROR('Pay App 34'!F126/'Summary Sheet'!$D$19,""))</f>
        <v>#N/A</v>
      </c>
      <c r="BU68" s="264"/>
      <c r="BV68" s="276" t="e">
        <f>IF('Pay App 35'!$H$149=0,NA(),IFERROR('Pay App 35'!F126/'Summary Sheet'!$D$19,""))</f>
        <v>#N/A</v>
      </c>
      <c r="BW68" s="264"/>
      <c r="BX68" s="263" t="e">
        <f>IF('Pay App 36'!$H$149=0,NA(),IFERROR('Pay App 36'!F126/'Summary Sheet'!$D$19,""))</f>
        <v>#N/A</v>
      </c>
      <c r="BY68" s="264"/>
      <c r="BZ68" s="276" t="e">
        <f>IF('Pay App 37'!$H$149=0,NA(),IFERROR('Pay App 37'!F126/'Summary Sheet'!$D$19,""))</f>
        <v>#N/A</v>
      </c>
      <c r="CA68" s="264"/>
      <c r="CB68" s="263" t="e">
        <f>IF('Pay App 38'!$H$149=0,NA(),IFERROR('Pay App 38'!F126/'Summary Sheet'!$D$19,""))</f>
        <v>#N/A</v>
      </c>
      <c r="CC68" s="264"/>
      <c r="CD68" s="276" t="e">
        <f>IF('Pay App 39'!$H$149=0,NA(),IFERROR('Pay App 39'!F126/'Summary Sheet'!$D$19,""))</f>
        <v>#N/A</v>
      </c>
      <c r="CE68" s="264"/>
      <c r="CF68" s="263" t="e">
        <f>IF('Pay App 40'!$H$149=0,NA(),IFERROR('Pay App 40'!F126/'Summary Sheet'!$D$19,""))</f>
        <v>#N/A</v>
      </c>
      <c r="CG68" s="264"/>
      <c r="CH68" s="276" t="e">
        <f>IF('Pay App 41'!$H$149=0,NA(),IFERROR('Pay App 41'!F126/'Summary Sheet'!$D$19,""))</f>
        <v>#N/A</v>
      </c>
      <c r="CI68" s="264"/>
      <c r="CJ68" s="263" t="e">
        <f>IF('Pay App 42'!$H$149=0,NA(),IFERROR('Pay App 42'!F126/'Summary Sheet'!$D$19,""))</f>
        <v>#N/A</v>
      </c>
      <c r="CK68" s="264"/>
      <c r="CL68" s="276" t="e">
        <f>IF('Pay App 43'!$H$149=0,NA(),IFERROR('Pay App 43'!F126/'Summary Sheet'!$D$19,""))</f>
        <v>#N/A</v>
      </c>
      <c r="CM68" s="264"/>
      <c r="CN68" s="263" t="e">
        <f>IF('Pay App 44'!$H$149=0,NA(),IFERROR('Pay App 44'!F126/'Summary Sheet'!$D$19,""))</f>
        <v>#N/A</v>
      </c>
      <c r="CO68" s="264"/>
      <c r="CP68" s="276" t="e">
        <f>IF('Pay App 45'!$H$149=0,NA(),IFERROR('Pay App 45'!F126/'Summary Sheet'!$D$19,""))</f>
        <v>#N/A</v>
      </c>
      <c r="CQ68" s="264"/>
      <c r="CR68" s="263" t="e">
        <f>IF('Pay App 46'!$H$149=0,NA(),IFERROR('Pay App 46'!F126/'Summary Sheet'!$D$19,""))</f>
        <v>#N/A</v>
      </c>
      <c r="CS68" s="264"/>
      <c r="CT68" s="276" t="e">
        <f>IF('Pay App 47'!$H$149=0,NA(),IFERROR('Pay App 47'!F126/'Summary Sheet'!$D$19,""))</f>
        <v>#N/A</v>
      </c>
      <c r="CU68" s="264"/>
      <c r="CV68" s="263" t="e">
        <f>IF('Pay App 48'!$H$149=0,NA(),IFERROR('Pay App 48'!F126/'Summary Sheet'!$D$19,""))</f>
        <v>#N/A</v>
      </c>
      <c r="CW68" s="264"/>
      <c r="CX68" s="276" t="e">
        <f>IF('Pay App 49'!$H$149=0,NA(),IFERROR('Pay App 49'!F126/'Summary Sheet'!$D$19,""))</f>
        <v>#N/A</v>
      </c>
      <c r="CY68" s="264"/>
      <c r="CZ68" s="263" t="e">
        <f>IF('Pay App 50'!$H$149=0,NA(),IFERROR('Pay App 50'!F126/'Summary Sheet'!$D$19,""))</f>
        <v>#N/A</v>
      </c>
      <c r="DA68" s="264"/>
      <c r="DB68" s="276" t="e">
        <f>IF('Pay App 51'!$H$149=0,NA(),IFERROR('Pay App 51'!F126/'Summary Sheet'!$D$19,""))</f>
        <v>#N/A</v>
      </c>
      <c r="DC68" s="264"/>
      <c r="DD68" s="263" t="e">
        <f>IF('Pay App 52'!$H$149=0,NA(),IFERROR('Pay App 52'!F126/'Summary Sheet'!$D$19,""))</f>
        <v>#N/A</v>
      </c>
      <c r="DE68" s="264"/>
      <c r="DF68" s="276" t="e">
        <f>IF('Pay App 53'!$H$149=0,NA(),IFERROR('Pay App 53'!F126/'Summary Sheet'!$D$19,""))</f>
        <v>#N/A</v>
      </c>
      <c r="DG68" s="264"/>
      <c r="DH68" s="263" t="e">
        <f>IF('Pay App 54'!$H$149=0,NA(),IFERROR('Pay App 54'!F126/'Summary Sheet'!$D$19,""))</f>
        <v>#N/A</v>
      </c>
      <c r="DI68" s="264"/>
      <c r="DJ68" s="276" t="e">
        <f>IF('Pay App 55'!$H$149=0,NA(),IFERROR('Pay App 55'!F126/'Summary Sheet'!$D$19,""))</f>
        <v>#N/A</v>
      </c>
      <c r="DK68" s="264"/>
      <c r="DL68" s="263" t="e">
        <f>IF('Pay App 56'!$H$149=0,NA(),IFERROR('Pay App 56'!F126/'Summary Sheet'!$D$19,""))</f>
        <v>#N/A</v>
      </c>
      <c r="DM68" s="264"/>
      <c r="DN68" s="276" t="e">
        <f>IF('Pay App 57'!$H$149=0,NA(),IFERROR('Pay App 57'!F126/'Summary Sheet'!$D$19,""))</f>
        <v>#N/A</v>
      </c>
      <c r="DO68" s="264"/>
      <c r="DP68" s="263" t="e">
        <f>IF('Pay App 58'!$H$149=0,NA(),IFERROR('Pay App 58'!F126/'Summary Sheet'!$D$19,""))</f>
        <v>#N/A</v>
      </c>
      <c r="DQ68" s="264"/>
      <c r="DR68" s="276" t="e">
        <f>IF('Pay App 59'!$H$149=0,NA(),IFERROR('Pay App 59'!F126/'Summary Sheet'!$D$19,""))</f>
        <v>#N/A</v>
      </c>
      <c r="DS68" s="264"/>
      <c r="DT68" s="263" t="e">
        <f>IF('Pay App 60'!$H$149=0,NA(),IFERROR('Pay App 60'!F1036/'Summary Sheet'!$D$19,""))</f>
        <v>#N/A</v>
      </c>
      <c r="DU68" s="296"/>
    </row>
    <row r="69" spans="2:125" x14ac:dyDescent="0.25">
      <c r="B69" s="35" t="str">
        <f>'Pay App 1'!B127</f>
        <v>14 40 00</v>
      </c>
      <c r="C69" s="27" t="str">
        <f>'Pay App 1'!C127</f>
        <v>Lifts</v>
      </c>
      <c r="D69" s="282" t="str" cm="1">
        <f t="array" ref="D69">IFERROR(1+(LOOKUP(2,1/(E69:DT69&lt;&gt;""),E69:DT69)-E69)/E69,"")</f>
        <v/>
      </c>
      <c r="E69" s="275" t="str">
        <f>IFERROR('GMP Tracker'!D73/'Summary Sheet'!$D$19,"")</f>
        <v/>
      </c>
      <c r="F69" s="276" t="e">
        <f>IF('Pay App 1'!$D$149=0,NA(),IFERROR('Pay App 1'!F127/'Summary Sheet'!$D$19,""))</f>
        <v>#N/A</v>
      </c>
      <c r="G69" s="271"/>
      <c r="H69" s="277" t="e">
        <f>IF('Pay App 2'!$H$149=0,NA(),IFERROR('Pay App 2'!F127/'Summary Sheet'!$D$19,""))</f>
        <v>#N/A</v>
      </c>
      <c r="I69" s="266"/>
      <c r="J69" s="276" t="e">
        <f>IF('Pay App 3'!$H$149=0,NA(),IFERROR('Pay App 3'!F127/'Summary Sheet'!$D$19,""))</f>
        <v>#N/A</v>
      </c>
      <c r="K69" s="268"/>
      <c r="L69" s="277" t="e">
        <f>IF('Pay App 4'!$H$149=0,NA(),IFERROR('Pay App 4'!F127/'Summary Sheet'!$D$19,""))</f>
        <v>#N/A</v>
      </c>
      <c r="M69" s="266"/>
      <c r="N69" s="276" t="e">
        <f>IF('Pay App 5'!$H$149=0,NA(),IFERROR('Pay App 5'!F127/'Summary Sheet'!$D$19,""))</f>
        <v>#N/A</v>
      </c>
      <c r="O69" s="263"/>
      <c r="P69" s="277" t="e">
        <f>IF('Pay App 6'!$H$149=0,NA(),IFERROR('Pay App 6'!F127/'Summary Sheet'!$D$19,""))</f>
        <v>#N/A</v>
      </c>
      <c r="Q69" s="263"/>
      <c r="R69" s="276" t="e">
        <f>IF('Pay App 7'!$H$149=0,NA(),IFERROR('Pay App 7'!F127/'Summary Sheet'!$D$19,""))</f>
        <v>#N/A</v>
      </c>
      <c r="S69" s="263"/>
      <c r="T69" s="277" t="e">
        <f>IF('Pay App 8'!$H$149=0,NA(),IFERROR('Pay App 8'!F127/'Summary Sheet'!$D$19,""))</f>
        <v>#N/A</v>
      </c>
      <c r="U69" s="263"/>
      <c r="V69" s="276" t="e">
        <f>IF('Pay App 9'!$H$149=0,NA(),IFERROR('Pay App 9'!F127/'Summary Sheet'!$D$19,""))</f>
        <v>#N/A</v>
      </c>
      <c r="W69" s="263"/>
      <c r="X69" s="277" t="e">
        <f>IF('Pay App 10'!$H$149=0,NA(),IFERROR('Pay App 10'!F127/'Summary Sheet'!$D$19,""))</f>
        <v>#N/A</v>
      </c>
      <c r="Y69" s="263"/>
      <c r="Z69" s="276" t="e">
        <f>IF('Pay App 11'!$H$149=0,NA(),IFERROR('Pay App 11'!F127/'Summary Sheet'!$D$19,""))</f>
        <v>#N/A</v>
      </c>
      <c r="AA69" s="263"/>
      <c r="AB69" s="277" t="e">
        <f>IF('Pay App 12'!$H$149=0,NA(),IFERROR('Pay App 12'!F127/'Summary Sheet'!$D$19,""))</f>
        <v>#N/A</v>
      </c>
      <c r="AC69" s="263"/>
      <c r="AD69" s="276" t="e">
        <f>IF('Pay App 13'!$H$149=0,NA(),IFERROR('Pay App 13'!F127/'Summary Sheet'!$D$19,""))</f>
        <v>#N/A</v>
      </c>
      <c r="AE69" s="263"/>
      <c r="AF69" s="277" t="e">
        <f>IF('Pay App 14'!$H$149=0,NA(),IFERROR('Pay App 14'!F127/'Summary Sheet'!$D$19,""))</f>
        <v>#N/A</v>
      </c>
      <c r="AG69" s="263"/>
      <c r="AH69" s="276" t="e">
        <f>IF('Pay App 15'!$H$149=0,NA(),IFERROR('Pay App 15'!F127/'Summary Sheet'!$D$19,""))</f>
        <v>#N/A</v>
      </c>
      <c r="AI69" s="263"/>
      <c r="AJ69" s="277" t="e">
        <f>IF('Pay App 16'!$H$149=0,NA(),IFERROR('Pay App 16'!F127/'Summary Sheet'!$D$19,""))</f>
        <v>#N/A</v>
      </c>
      <c r="AK69" s="263"/>
      <c r="AL69" s="276" t="e">
        <f>IF('Pay App 17'!$H$149=0,NA(),IFERROR('Pay App 17'!F127/'Summary Sheet'!$D$19,""))</f>
        <v>#N/A</v>
      </c>
      <c r="AM69" s="263"/>
      <c r="AN69" s="277" t="e">
        <f>IF('Pay App 18'!$H$149=0,NA(),IFERROR('Pay App 18'!F127/'Summary Sheet'!$D$19,""))</f>
        <v>#N/A</v>
      </c>
      <c r="AO69" s="263"/>
      <c r="AP69" s="276" t="e">
        <f>IF('Pay App 19'!$H$149=0,NA(),IFERROR('Pay App 19'!F127/'Summary Sheet'!$D$19,""))</f>
        <v>#N/A</v>
      </c>
      <c r="AQ69" s="263"/>
      <c r="AR69" s="263" t="e">
        <f>IF('Pay App 20'!$H$149=0,NA(),IFERROR('Pay App 20'!F127/'Summary Sheet'!$D$19,""))</f>
        <v>#N/A</v>
      </c>
      <c r="AS69" s="264"/>
      <c r="AT69" s="276" t="e">
        <f>IF('Pay App 21'!$H$149=0,NA(),IFERROR('Pay App 21'!F127/'Summary Sheet'!$D$19,""))</f>
        <v>#N/A</v>
      </c>
      <c r="AU69" s="264"/>
      <c r="AV69" s="263" t="e">
        <f>IF('Pay App 22'!$H$149=0,NA(),IFERROR('Pay App 22'!F127/'Summary Sheet'!$D$19,""))</f>
        <v>#N/A</v>
      </c>
      <c r="AW69" s="264"/>
      <c r="AX69" s="276" t="e">
        <f>IF('Pay App 23'!$H$149=0,NA(),IFERROR('Pay App 23'!F127/'Summary Sheet'!$D$19,""))</f>
        <v>#N/A</v>
      </c>
      <c r="AY69" s="264"/>
      <c r="AZ69" s="263" t="e">
        <f>IF('Pay App 24'!$H$149=0,NA(),IFERROR('Pay App 24'!F127/'Summary Sheet'!$D$19,""))</f>
        <v>#N/A</v>
      </c>
      <c r="BA69" s="264"/>
      <c r="BB69" s="276" t="e">
        <f>IF('Pay App 25'!$H$149=0,NA(),IFERROR('Pay App 25'!F127/'Summary Sheet'!$D$19,""))</f>
        <v>#N/A</v>
      </c>
      <c r="BC69" s="264"/>
      <c r="BD69" s="263" t="e">
        <f>IF('Pay App 26'!$H$149=0,NA(),IFERROR('Pay App 26'!F127/'Summary Sheet'!$D$19,""))</f>
        <v>#N/A</v>
      </c>
      <c r="BE69" s="264"/>
      <c r="BF69" s="276" t="e">
        <f>IF('Pay App 27'!$H$149=0,NA(),IFERROR('Pay App 27'!F127/'Summary Sheet'!$D$19,""))</f>
        <v>#N/A</v>
      </c>
      <c r="BG69" s="264"/>
      <c r="BH69" s="263" t="e">
        <f>IF('Pay App 28'!$H$149=0,NA(),IFERROR('Pay App 28'!F127/'Summary Sheet'!$D$19,""))</f>
        <v>#N/A</v>
      </c>
      <c r="BI69" s="264"/>
      <c r="BJ69" s="276" t="e">
        <f>IF('Pay App 29'!$H$149=0,NA(),IFERROR('Pay App 29'!F127/'Summary Sheet'!$D$19,""))</f>
        <v>#N/A</v>
      </c>
      <c r="BK69" s="271"/>
      <c r="BL69" s="263" t="e">
        <f>IF('Pay App 30'!$H$149=0,NA(),IFERROR('Pay App 30'!F127/'Summary Sheet'!$D$19,""))</f>
        <v>#N/A</v>
      </c>
      <c r="BM69" s="264"/>
      <c r="BN69" s="276" t="e">
        <f>IF('Pay App 31'!$H$149=0,NA(),IFERROR('Pay App 31'!F127/'Summary Sheet'!$D$19,""))</f>
        <v>#N/A</v>
      </c>
      <c r="BO69" s="264"/>
      <c r="BP69" s="263" t="e">
        <f>IF('Pay App 32'!$H$149=0,NA(),IFERROR('Pay App 32'!F127/'Summary Sheet'!$D$19,""))</f>
        <v>#N/A</v>
      </c>
      <c r="BQ69" s="264"/>
      <c r="BR69" s="276" t="e">
        <f>IF('Pay App 33'!$H$149=0,NA(),IFERROR('Pay App 33'!F127/'Summary Sheet'!$D$19,""))</f>
        <v>#N/A</v>
      </c>
      <c r="BS69" s="264"/>
      <c r="BT69" s="263" t="e">
        <f>IF('Pay App 34'!$H$149=0,NA(),IFERROR('Pay App 34'!F127/'Summary Sheet'!$D$19,""))</f>
        <v>#N/A</v>
      </c>
      <c r="BU69" s="264"/>
      <c r="BV69" s="276" t="e">
        <f>IF('Pay App 35'!$H$149=0,NA(),IFERROR('Pay App 35'!F127/'Summary Sheet'!$D$19,""))</f>
        <v>#N/A</v>
      </c>
      <c r="BW69" s="264"/>
      <c r="BX69" s="263" t="e">
        <f>IF('Pay App 36'!$H$149=0,NA(),IFERROR('Pay App 36'!F127/'Summary Sheet'!$D$19,""))</f>
        <v>#N/A</v>
      </c>
      <c r="BY69" s="264"/>
      <c r="BZ69" s="276" t="e">
        <f>IF('Pay App 37'!$H$149=0,NA(),IFERROR('Pay App 37'!F127/'Summary Sheet'!$D$19,""))</f>
        <v>#N/A</v>
      </c>
      <c r="CA69" s="264"/>
      <c r="CB69" s="263" t="e">
        <f>IF('Pay App 38'!$H$149=0,NA(),IFERROR('Pay App 38'!F127/'Summary Sheet'!$D$19,""))</f>
        <v>#N/A</v>
      </c>
      <c r="CC69" s="264"/>
      <c r="CD69" s="276" t="e">
        <f>IF('Pay App 39'!$H$149=0,NA(),IFERROR('Pay App 39'!F127/'Summary Sheet'!$D$19,""))</f>
        <v>#N/A</v>
      </c>
      <c r="CE69" s="264"/>
      <c r="CF69" s="263" t="e">
        <f>IF('Pay App 40'!$H$149=0,NA(),IFERROR('Pay App 40'!F127/'Summary Sheet'!$D$19,""))</f>
        <v>#N/A</v>
      </c>
      <c r="CG69" s="264"/>
      <c r="CH69" s="276" t="e">
        <f>IF('Pay App 41'!$H$149=0,NA(),IFERROR('Pay App 41'!F127/'Summary Sheet'!$D$19,""))</f>
        <v>#N/A</v>
      </c>
      <c r="CI69" s="264"/>
      <c r="CJ69" s="263" t="e">
        <f>IF('Pay App 42'!$H$149=0,NA(),IFERROR('Pay App 42'!F127/'Summary Sheet'!$D$19,""))</f>
        <v>#N/A</v>
      </c>
      <c r="CK69" s="264"/>
      <c r="CL69" s="276" t="e">
        <f>IF('Pay App 43'!$H$149=0,NA(),IFERROR('Pay App 43'!F127/'Summary Sheet'!$D$19,""))</f>
        <v>#N/A</v>
      </c>
      <c r="CM69" s="264"/>
      <c r="CN69" s="263" t="e">
        <f>IF('Pay App 44'!$H$149=0,NA(),IFERROR('Pay App 44'!F127/'Summary Sheet'!$D$19,""))</f>
        <v>#N/A</v>
      </c>
      <c r="CO69" s="264"/>
      <c r="CP69" s="276" t="e">
        <f>IF('Pay App 45'!$H$149=0,NA(),IFERROR('Pay App 45'!F127/'Summary Sheet'!$D$19,""))</f>
        <v>#N/A</v>
      </c>
      <c r="CQ69" s="264"/>
      <c r="CR69" s="263" t="e">
        <f>IF('Pay App 46'!$H$149=0,NA(),IFERROR('Pay App 46'!F127/'Summary Sheet'!$D$19,""))</f>
        <v>#N/A</v>
      </c>
      <c r="CS69" s="264"/>
      <c r="CT69" s="276" t="e">
        <f>IF('Pay App 47'!$H$149=0,NA(),IFERROR('Pay App 47'!F127/'Summary Sheet'!$D$19,""))</f>
        <v>#N/A</v>
      </c>
      <c r="CU69" s="264"/>
      <c r="CV69" s="263" t="e">
        <f>IF('Pay App 48'!$H$149=0,NA(),IFERROR('Pay App 48'!F127/'Summary Sheet'!$D$19,""))</f>
        <v>#N/A</v>
      </c>
      <c r="CW69" s="264"/>
      <c r="CX69" s="276" t="e">
        <f>IF('Pay App 49'!$H$149=0,NA(),IFERROR('Pay App 49'!F127/'Summary Sheet'!$D$19,""))</f>
        <v>#N/A</v>
      </c>
      <c r="CY69" s="264"/>
      <c r="CZ69" s="263" t="e">
        <f>IF('Pay App 50'!$H$149=0,NA(),IFERROR('Pay App 50'!F127/'Summary Sheet'!$D$19,""))</f>
        <v>#N/A</v>
      </c>
      <c r="DA69" s="264"/>
      <c r="DB69" s="276" t="e">
        <f>IF('Pay App 51'!$H$149=0,NA(),IFERROR('Pay App 51'!F127/'Summary Sheet'!$D$19,""))</f>
        <v>#N/A</v>
      </c>
      <c r="DC69" s="264"/>
      <c r="DD69" s="263" t="e">
        <f>IF('Pay App 52'!$H$149=0,NA(),IFERROR('Pay App 52'!F127/'Summary Sheet'!$D$19,""))</f>
        <v>#N/A</v>
      </c>
      <c r="DE69" s="264"/>
      <c r="DF69" s="276" t="e">
        <f>IF('Pay App 53'!$H$149=0,NA(),IFERROR('Pay App 53'!F127/'Summary Sheet'!$D$19,""))</f>
        <v>#N/A</v>
      </c>
      <c r="DG69" s="264"/>
      <c r="DH69" s="263" t="e">
        <f>IF('Pay App 54'!$H$149=0,NA(),IFERROR('Pay App 54'!F127/'Summary Sheet'!$D$19,""))</f>
        <v>#N/A</v>
      </c>
      <c r="DI69" s="264"/>
      <c r="DJ69" s="276" t="e">
        <f>IF('Pay App 55'!$H$149=0,NA(),IFERROR('Pay App 55'!F127/'Summary Sheet'!$D$19,""))</f>
        <v>#N/A</v>
      </c>
      <c r="DK69" s="264"/>
      <c r="DL69" s="263" t="e">
        <f>IF('Pay App 56'!$H$149=0,NA(),IFERROR('Pay App 56'!F127/'Summary Sheet'!$D$19,""))</f>
        <v>#N/A</v>
      </c>
      <c r="DM69" s="264"/>
      <c r="DN69" s="276" t="e">
        <f>IF('Pay App 57'!$H$149=0,NA(),IFERROR('Pay App 57'!F127/'Summary Sheet'!$D$19,""))</f>
        <v>#N/A</v>
      </c>
      <c r="DO69" s="264"/>
      <c r="DP69" s="263" t="e">
        <f>IF('Pay App 58'!$H$149=0,NA(),IFERROR('Pay App 58'!F127/'Summary Sheet'!$D$19,""))</f>
        <v>#N/A</v>
      </c>
      <c r="DQ69" s="264"/>
      <c r="DR69" s="276" t="e">
        <f>IF('Pay App 59'!$H$149=0,NA(),IFERROR('Pay App 59'!F127/'Summary Sheet'!$D$19,""))</f>
        <v>#N/A</v>
      </c>
      <c r="DS69" s="264"/>
      <c r="DT69" s="263" t="e">
        <f>IF('Pay App 60'!$H$149=0,NA(),IFERROR('Pay App 60'!F1037/'Summary Sheet'!$D$19,""))</f>
        <v>#N/A</v>
      </c>
      <c r="DU69" s="296"/>
    </row>
    <row r="70" spans="2:125" x14ac:dyDescent="0.25">
      <c r="B70" s="36" t="str">
        <f>'Pay App 1'!B128</f>
        <v>20 00 00</v>
      </c>
      <c r="C70" s="37" t="str">
        <f>'Pay App 1'!C128</f>
        <v>Mechanical/Plumbing</v>
      </c>
      <c r="D70" s="282" t="str" cm="1">
        <f t="array" ref="D70">IFERROR(1+(LOOKUP(2,1/(E70:DT70&lt;&gt;""),E70:DT70)-E70)/E70,"")</f>
        <v/>
      </c>
      <c r="E70" s="275" t="str">
        <f>IFERROR('GMP Tracker'!D74/'Summary Sheet'!$D$19,"")</f>
        <v/>
      </c>
      <c r="F70" s="276" t="e">
        <f>IF('Pay App 1'!$D$149=0,NA(),IFERROR('Pay App 1'!F128/'Summary Sheet'!$D$19,""))</f>
        <v>#N/A</v>
      </c>
      <c r="G70" s="271"/>
      <c r="H70" s="277" t="e">
        <f>IF('Pay App 2'!$H$149=0,NA(),IFERROR('Pay App 2'!F128/'Summary Sheet'!$D$19,""))</f>
        <v>#N/A</v>
      </c>
      <c r="I70" s="266"/>
      <c r="J70" s="276" t="e">
        <f>IF('Pay App 3'!$H$149=0,NA(),IFERROR('Pay App 3'!F128/'Summary Sheet'!$D$19,""))</f>
        <v>#N/A</v>
      </c>
      <c r="K70" s="268"/>
      <c r="L70" s="277" t="e">
        <f>IF('Pay App 4'!$H$149=0,NA(),IFERROR('Pay App 4'!F128/'Summary Sheet'!$D$19,""))</f>
        <v>#N/A</v>
      </c>
      <c r="M70" s="266"/>
      <c r="N70" s="276" t="e">
        <f>IF('Pay App 5'!$H$149=0,NA(),IFERROR('Pay App 5'!F128/'Summary Sheet'!$D$19,""))</f>
        <v>#N/A</v>
      </c>
      <c r="O70" s="263"/>
      <c r="P70" s="277" t="e">
        <f>IF('Pay App 6'!$H$149=0,NA(),IFERROR('Pay App 6'!F128/'Summary Sheet'!$D$19,""))</f>
        <v>#N/A</v>
      </c>
      <c r="Q70" s="263"/>
      <c r="R70" s="276" t="e">
        <f>IF('Pay App 7'!$H$149=0,NA(),IFERROR('Pay App 7'!F128/'Summary Sheet'!$D$19,""))</f>
        <v>#N/A</v>
      </c>
      <c r="S70" s="263"/>
      <c r="T70" s="277" t="e">
        <f>IF('Pay App 8'!$H$149=0,NA(),IFERROR('Pay App 8'!F128/'Summary Sheet'!$D$19,""))</f>
        <v>#N/A</v>
      </c>
      <c r="U70" s="263"/>
      <c r="V70" s="276" t="e">
        <f>IF('Pay App 9'!$H$149=0,NA(),IFERROR('Pay App 9'!F128/'Summary Sheet'!$D$19,""))</f>
        <v>#N/A</v>
      </c>
      <c r="W70" s="263"/>
      <c r="X70" s="277" t="e">
        <f>IF('Pay App 10'!$H$149=0,NA(),IFERROR('Pay App 10'!F128/'Summary Sheet'!$D$19,""))</f>
        <v>#N/A</v>
      </c>
      <c r="Y70" s="263"/>
      <c r="Z70" s="276" t="e">
        <f>IF('Pay App 11'!$H$149=0,NA(),IFERROR('Pay App 11'!F128/'Summary Sheet'!$D$19,""))</f>
        <v>#N/A</v>
      </c>
      <c r="AA70" s="263"/>
      <c r="AB70" s="277" t="e">
        <f>IF('Pay App 12'!$H$149=0,NA(),IFERROR('Pay App 12'!F128/'Summary Sheet'!$D$19,""))</f>
        <v>#N/A</v>
      </c>
      <c r="AC70" s="263"/>
      <c r="AD70" s="276" t="e">
        <f>IF('Pay App 13'!$H$149=0,NA(),IFERROR('Pay App 13'!F128/'Summary Sheet'!$D$19,""))</f>
        <v>#N/A</v>
      </c>
      <c r="AE70" s="263"/>
      <c r="AF70" s="277" t="e">
        <f>IF('Pay App 14'!$H$149=0,NA(),IFERROR('Pay App 14'!F128/'Summary Sheet'!$D$19,""))</f>
        <v>#N/A</v>
      </c>
      <c r="AG70" s="263"/>
      <c r="AH70" s="276" t="e">
        <f>IF('Pay App 15'!$H$149=0,NA(),IFERROR('Pay App 15'!F128/'Summary Sheet'!$D$19,""))</f>
        <v>#N/A</v>
      </c>
      <c r="AI70" s="263"/>
      <c r="AJ70" s="277" t="e">
        <f>IF('Pay App 16'!$H$149=0,NA(),IFERROR('Pay App 16'!F128/'Summary Sheet'!$D$19,""))</f>
        <v>#N/A</v>
      </c>
      <c r="AK70" s="263"/>
      <c r="AL70" s="276" t="e">
        <f>IF('Pay App 17'!$H$149=0,NA(),IFERROR('Pay App 17'!F128/'Summary Sheet'!$D$19,""))</f>
        <v>#N/A</v>
      </c>
      <c r="AM70" s="263"/>
      <c r="AN70" s="277" t="e">
        <f>IF('Pay App 18'!$H$149=0,NA(),IFERROR('Pay App 18'!F128/'Summary Sheet'!$D$19,""))</f>
        <v>#N/A</v>
      </c>
      <c r="AO70" s="263"/>
      <c r="AP70" s="276" t="e">
        <f>IF('Pay App 19'!$H$149=0,NA(),IFERROR('Pay App 19'!F128/'Summary Sheet'!$D$19,""))</f>
        <v>#N/A</v>
      </c>
      <c r="AQ70" s="263"/>
      <c r="AR70" s="263" t="e">
        <f>IF('Pay App 20'!$H$149=0,NA(),IFERROR('Pay App 20'!F128/'Summary Sheet'!$D$19,""))</f>
        <v>#N/A</v>
      </c>
      <c r="AS70" s="263"/>
      <c r="AT70" s="276" t="e">
        <f>IF('Pay App 21'!$H$149=0,NA(),IFERROR('Pay App 21'!F128/'Summary Sheet'!$D$19,""))</f>
        <v>#N/A</v>
      </c>
      <c r="AU70" s="263"/>
      <c r="AV70" s="263" t="e">
        <f>IF('Pay App 22'!$H$149=0,NA(),IFERROR('Pay App 22'!F128/'Summary Sheet'!$D$19,""))</f>
        <v>#N/A</v>
      </c>
      <c r="AW70" s="263"/>
      <c r="AX70" s="276" t="e">
        <f>IF('Pay App 23'!$H$149=0,NA(),IFERROR('Pay App 23'!F128/'Summary Sheet'!$D$19,""))</f>
        <v>#N/A</v>
      </c>
      <c r="AY70" s="263"/>
      <c r="AZ70" s="263" t="e">
        <f>IF('Pay App 24'!$H$149=0,NA(),IFERROR('Pay App 24'!F128/'Summary Sheet'!$D$19,""))</f>
        <v>#N/A</v>
      </c>
      <c r="BA70" s="263"/>
      <c r="BB70" s="276" t="e">
        <f>IF('Pay App 25'!$H$149=0,NA(),IFERROR('Pay App 25'!F128/'Summary Sheet'!$D$19,""))</f>
        <v>#N/A</v>
      </c>
      <c r="BC70" s="263"/>
      <c r="BD70" s="263" t="e">
        <f>IF('Pay App 26'!$H$149=0,NA(),IFERROR('Pay App 26'!F128/'Summary Sheet'!$D$19,""))</f>
        <v>#N/A</v>
      </c>
      <c r="BE70" s="263"/>
      <c r="BF70" s="276" t="e">
        <f>IF('Pay App 27'!$H$149=0,NA(),IFERROR('Pay App 27'!F128/'Summary Sheet'!$D$19,""))</f>
        <v>#N/A</v>
      </c>
      <c r="BG70" s="263"/>
      <c r="BH70" s="263" t="e">
        <f>IF('Pay App 28'!$H$149=0,NA(),IFERROR('Pay App 28'!F128/'Summary Sheet'!$D$19,""))</f>
        <v>#N/A</v>
      </c>
      <c r="BI70" s="263"/>
      <c r="BJ70" s="276" t="e">
        <f>IF('Pay App 29'!$H$149=0,NA(),IFERROR('Pay App 29'!F128/'Summary Sheet'!$D$19,""))</f>
        <v>#N/A</v>
      </c>
      <c r="BK70" s="271"/>
      <c r="BL70" s="263" t="e">
        <f>IF('Pay App 30'!$H$149=0,NA(),IFERROR('Pay App 30'!F128/'Summary Sheet'!$D$19,""))</f>
        <v>#N/A</v>
      </c>
      <c r="BM70" s="263"/>
      <c r="BN70" s="276" t="e">
        <f>IF('Pay App 31'!$H$149=0,NA(),IFERROR('Pay App 31'!F128/'Summary Sheet'!$D$19,""))</f>
        <v>#N/A</v>
      </c>
      <c r="BO70" s="263"/>
      <c r="BP70" s="263" t="e">
        <f>IF('Pay App 32'!$H$149=0,NA(),IFERROR('Pay App 32'!F128/'Summary Sheet'!$D$19,""))</f>
        <v>#N/A</v>
      </c>
      <c r="BQ70" s="263"/>
      <c r="BR70" s="276" t="e">
        <f>IF('Pay App 33'!$H$149=0,NA(),IFERROR('Pay App 33'!F128/'Summary Sheet'!$D$19,""))</f>
        <v>#N/A</v>
      </c>
      <c r="BS70" s="263"/>
      <c r="BT70" s="263" t="e">
        <f>IF('Pay App 34'!$H$149=0,NA(),IFERROR('Pay App 34'!F128/'Summary Sheet'!$D$19,""))</f>
        <v>#N/A</v>
      </c>
      <c r="BU70" s="263"/>
      <c r="BV70" s="276" t="e">
        <f>IF('Pay App 35'!$H$149=0,NA(),IFERROR('Pay App 35'!F128/'Summary Sheet'!$D$19,""))</f>
        <v>#N/A</v>
      </c>
      <c r="BW70" s="263"/>
      <c r="BX70" s="263" t="e">
        <f>IF('Pay App 36'!$H$149=0,NA(),IFERROR('Pay App 36'!F128/'Summary Sheet'!$D$19,""))</f>
        <v>#N/A</v>
      </c>
      <c r="BY70" s="263"/>
      <c r="BZ70" s="276" t="e">
        <f>IF('Pay App 37'!$H$149=0,NA(),IFERROR('Pay App 37'!F128/'Summary Sheet'!$D$19,""))</f>
        <v>#N/A</v>
      </c>
      <c r="CA70" s="263"/>
      <c r="CB70" s="263" t="e">
        <f>IF('Pay App 38'!$H$149=0,NA(),IFERROR('Pay App 38'!F128/'Summary Sheet'!$D$19,""))</f>
        <v>#N/A</v>
      </c>
      <c r="CC70" s="263"/>
      <c r="CD70" s="276" t="e">
        <f>IF('Pay App 39'!$H$149=0,NA(),IFERROR('Pay App 39'!F128/'Summary Sheet'!$D$19,""))</f>
        <v>#N/A</v>
      </c>
      <c r="CE70" s="263"/>
      <c r="CF70" s="263" t="e">
        <f>IF('Pay App 40'!$H$149=0,NA(),IFERROR('Pay App 40'!F128/'Summary Sheet'!$D$19,""))</f>
        <v>#N/A</v>
      </c>
      <c r="CG70" s="263"/>
      <c r="CH70" s="276" t="e">
        <f>IF('Pay App 41'!$H$149=0,NA(),IFERROR('Pay App 41'!F128/'Summary Sheet'!$D$19,""))</f>
        <v>#N/A</v>
      </c>
      <c r="CI70" s="263"/>
      <c r="CJ70" s="263" t="e">
        <f>IF('Pay App 42'!$H$149=0,NA(),IFERROR('Pay App 42'!F128/'Summary Sheet'!$D$19,""))</f>
        <v>#N/A</v>
      </c>
      <c r="CK70" s="263"/>
      <c r="CL70" s="276" t="e">
        <f>IF('Pay App 43'!$H$149=0,NA(),IFERROR('Pay App 43'!F128/'Summary Sheet'!$D$19,""))</f>
        <v>#N/A</v>
      </c>
      <c r="CM70" s="263"/>
      <c r="CN70" s="263" t="e">
        <f>IF('Pay App 44'!$H$149=0,NA(),IFERROR('Pay App 44'!F128/'Summary Sheet'!$D$19,""))</f>
        <v>#N/A</v>
      </c>
      <c r="CO70" s="263"/>
      <c r="CP70" s="276" t="e">
        <f>IF('Pay App 45'!$H$149=0,NA(),IFERROR('Pay App 45'!F128/'Summary Sheet'!$D$19,""))</f>
        <v>#N/A</v>
      </c>
      <c r="CQ70" s="263"/>
      <c r="CR70" s="263" t="e">
        <f>IF('Pay App 46'!$H$149=0,NA(),IFERROR('Pay App 46'!F128/'Summary Sheet'!$D$19,""))</f>
        <v>#N/A</v>
      </c>
      <c r="CS70" s="263"/>
      <c r="CT70" s="276" t="e">
        <f>IF('Pay App 47'!$H$149=0,NA(),IFERROR('Pay App 47'!F128/'Summary Sheet'!$D$19,""))</f>
        <v>#N/A</v>
      </c>
      <c r="CU70" s="263"/>
      <c r="CV70" s="263" t="e">
        <f>IF('Pay App 48'!$H$149=0,NA(),IFERROR('Pay App 48'!F128/'Summary Sheet'!$D$19,""))</f>
        <v>#N/A</v>
      </c>
      <c r="CW70" s="263"/>
      <c r="CX70" s="276" t="e">
        <f>IF('Pay App 49'!$H$149=0,NA(),IFERROR('Pay App 49'!F128/'Summary Sheet'!$D$19,""))</f>
        <v>#N/A</v>
      </c>
      <c r="CY70" s="263"/>
      <c r="CZ70" s="263" t="e">
        <f>IF('Pay App 50'!$H$149=0,NA(),IFERROR('Pay App 50'!F128/'Summary Sheet'!$D$19,""))</f>
        <v>#N/A</v>
      </c>
      <c r="DA70" s="263"/>
      <c r="DB70" s="276" t="e">
        <f>IF('Pay App 51'!$H$149=0,NA(),IFERROR('Pay App 51'!F128/'Summary Sheet'!$D$19,""))</f>
        <v>#N/A</v>
      </c>
      <c r="DC70" s="263"/>
      <c r="DD70" s="263" t="e">
        <f>IF('Pay App 52'!$H$149=0,NA(),IFERROR('Pay App 52'!F128/'Summary Sheet'!$D$19,""))</f>
        <v>#N/A</v>
      </c>
      <c r="DE70" s="263"/>
      <c r="DF70" s="276" t="e">
        <f>IF('Pay App 53'!$H$149=0,NA(),IFERROR('Pay App 53'!F128/'Summary Sheet'!$D$19,""))</f>
        <v>#N/A</v>
      </c>
      <c r="DG70" s="263"/>
      <c r="DH70" s="263" t="e">
        <f>IF('Pay App 54'!$H$149=0,NA(),IFERROR('Pay App 54'!F128/'Summary Sheet'!$D$19,""))</f>
        <v>#N/A</v>
      </c>
      <c r="DI70" s="263"/>
      <c r="DJ70" s="276" t="e">
        <f>IF('Pay App 55'!$H$149=0,NA(),IFERROR('Pay App 55'!F128/'Summary Sheet'!$D$19,""))</f>
        <v>#N/A</v>
      </c>
      <c r="DK70" s="263"/>
      <c r="DL70" s="263" t="e">
        <f>IF('Pay App 56'!$H$149=0,NA(),IFERROR('Pay App 56'!F128/'Summary Sheet'!$D$19,""))</f>
        <v>#N/A</v>
      </c>
      <c r="DM70" s="263"/>
      <c r="DN70" s="276" t="e">
        <f>IF('Pay App 57'!$H$149=0,NA(),IFERROR('Pay App 57'!F128/'Summary Sheet'!$D$19,""))</f>
        <v>#N/A</v>
      </c>
      <c r="DO70" s="263"/>
      <c r="DP70" s="263" t="e">
        <f>IF('Pay App 58'!$H$149=0,NA(),IFERROR('Pay App 58'!F128/'Summary Sheet'!$D$19,""))</f>
        <v>#N/A</v>
      </c>
      <c r="DQ70" s="263"/>
      <c r="DR70" s="276" t="e">
        <f>IF('Pay App 59'!$H$149=0,NA(),IFERROR('Pay App 59'!F128/'Summary Sheet'!$D$19,""))</f>
        <v>#N/A</v>
      </c>
      <c r="DS70" s="263"/>
      <c r="DT70" s="263" t="e">
        <f>IF('Pay App 60'!$H$149=0,NA(),IFERROR('Pay App 60'!F1038/'Summary Sheet'!$D$19,""))</f>
        <v>#N/A</v>
      </c>
      <c r="DU70" s="296"/>
    </row>
    <row r="71" spans="2:125" x14ac:dyDescent="0.25">
      <c r="B71" s="46" t="str">
        <f>'Pay App 1'!B129</f>
        <v>21 00 00</v>
      </c>
      <c r="C71" s="47" t="str">
        <f>'Pay App 1'!C129</f>
        <v>Fire Sprinklers/Pumps</v>
      </c>
      <c r="D71" s="282" t="str" cm="1">
        <f t="array" ref="D71">IFERROR(1+(LOOKUP(2,1/(E71:DT71&lt;&gt;""),E71:DT71)-E71)/E71,"")</f>
        <v/>
      </c>
      <c r="E71" s="275" t="str">
        <f>IFERROR('GMP Tracker'!D75/'Summary Sheet'!$D$19,"")</f>
        <v/>
      </c>
      <c r="F71" s="276" t="e">
        <f>IF('Pay App 1'!$D$149=0,NA(),IFERROR('Pay App 1'!F129/'Summary Sheet'!$D$19,""))</f>
        <v>#N/A</v>
      </c>
      <c r="G71" s="271"/>
      <c r="H71" s="277" t="e">
        <f>IF('Pay App 2'!$H$149=0,NA(),IFERROR('Pay App 2'!F129/'Summary Sheet'!$D$19,""))</f>
        <v>#N/A</v>
      </c>
      <c r="I71" s="266"/>
      <c r="J71" s="276" t="e">
        <f>IF('Pay App 3'!$H$149=0,NA(),IFERROR('Pay App 3'!F129/'Summary Sheet'!$D$19,""))</f>
        <v>#N/A</v>
      </c>
      <c r="K71" s="268"/>
      <c r="L71" s="277" t="e">
        <f>IF('Pay App 4'!$H$149=0,NA(),IFERROR('Pay App 4'!F129/'Summary Sheet'!$D$19,""))</f>
        <v>#N/A</v>
      </c>
      <c r="M71" s="266"/>
      <c r="N71" s="276" t="e">
        <f>IF('Pay App 5'!$H$149=0,NA(),IFERROR('Pay App 5'!F129/'Summary Sheet'!$D$19,""))</f>
        <v>#N/A</v>
      </c>
      <c r="O71" s="263"/>
      <c r="P71" s="277" t="e">
        <f>IF('Pay App 6'!$H$149=0,NA(),IFERROR('Pay App 6'!F129/'Summary Sheet'!$D$19,""))</f>
        <v>#N/A</v>
      </c>
      <c r="Q71" s="263"/>
      <c r="R71" s="276" t="e">
        <f>IF('Pay App 7'!$H$149=0,NA(),IFERROR('Pay App 7'!F129/'Summary Sheet'!$D$19,""))</f>
        <v>#N/A</v>
      </c>
      <c r="S71" s="263"/>
      <c r="T71" s="277" t="e">
        <f>IF('Pay App 8'!$H$149=0,NA(),IFERROR('Pay App 8'!F129/'Summary Sheet'!$D$19,""))</f>
        <v>#N/A</v>
      </c>
      <c r="U71" s="263"/>
      <c r="V71" s="276" t="e">
        <f>IF('Pay App 9'!$H$149=0,NA(),IFERROR('Pay App 9'!F129/'Summary Sheet'!$D$19,""))</f>
        <v>#N/A</v>
      </c>
      <c r="W71" s="263"/>
      <c r="X71" s="277" t="e">
        <f>IF('Pay App 10'!$H$149=0,NA(),IFERROR('Pay App 10'!F129/'Summary Sheet'!$D$19,""))</f>
        <v>#N/A</v>
      </c>
      <c r="Y71" s="263"/>
      <c r="Z71" s="276" t="e">
        <f>IF('Pay App 11'!$H$149=0,NA(),IFERROR('Pay App 11'!F129/'Summary Sheet'!$D$19,""))</f>
        <v>#N/A</v>
      </c>
      <c r="AA71" s="263"/>
      <c r="AB71" s="277" t="e">
        <f>IF('Pay App 12'!$H$149=0,NA(),IFERROR('Pay App 12'!F129/'Summary Sheet'!$D$19,""))</f>
        <v>#N/A</v>
      </c>
      <c r="AC71" s="263"/>
      <c r="AD71" s="276" t="e">
        <f>IF('Pay App 13'!$H$149=0,NA(),IFERROR('Pay App 13'!F129/'Summary Sheet'!$D$19,""))</f>
        <v>#N/A</v>
      </c>
      <c r="AE71" s="263"/>
      <c r="AF71" s="277" t="e">
        <f>IF('Pay App 14'!$H$149=0,NA(),IFERROR('Pay App 14'!F129/'Summary Sheet'!$D$19,""))</f>
        <v>#N/A</v>
      </c>
      <c r="AG71" s="263"/>
      <c r="AH71" s="276" t="e">
        <f>IF('Pay App 15'!$H$149=0,NA(),IFERROR('Pay App 15'!F129/'Summary Sheet'!$D$19,""))</f>
        <v>#N/A</v>
      </c>
      <c r="AI71" s="263"/>
      <c r="AJ71" s="277" t="e">
        <f>IF('Pay App 16'!$H$149=0,NA(),IFERROR('Pay App 16'!F129/'Summary Sheet'!$D$19,""))</f>
        <v>#N/A</v>
      </c>
      <c r="AK71" s="263"/>
      <c r="AL71" s="276" t="e">
        <f>IF('Pay App 17'!$H$149=0,NA(),IFERROR('Pay App 17'!F129/'Summary Sheet'!$D$19,""))</f>
        <v>#N/A</v>
      </c>
      <c r="AM71" s="263"/>
      <c r="AN71" s="277" t="e">
        <f>IF('Pay App 18'!$H$149=0,NA(),IFERROR('Pay App 18'!F129/'Summary Sheet'!$D$19,""))</f>
        <v>#N/A</v>
      </c>
      <c r="AO71" s="263"/>
      <c r="AP71" s="276" t="e">
        <f>IF('Pay App 19'!$H$149=0,NA(),IFERROR('Pay App 19'!F129/'Summary Sheet'!$D$19,""))</f>
        <v>#N/A</v>
      </c>
      <c r="AQ71" s="263"/>
      <c r="AR71" s="263" t="e">
        <f>IF('Pay App 20'!$H$149=0,NA(),IFERROR('Pay App 20'!F129/'Summary Sheet'!$D$19,""))</f>
        <v>#N/A</v>
      </c>
      <c r="AS71" s="264"/>
      <c r="AT71" s="276" t="e">
        <f>IF('Pay App 21'!$H$149=0,NA(),IFERROR('Pay App 21'!F129/'Summary Sheet'!$D$19,""))</f>
        <v>#N/A</v>
      </c>
      <c r="AU71" s="264"/>
      <c r="AV71" s="263" t="e">
        <f>IF('Pay App 22'!$H$149=0,NA(),IFERROR('Pay App 22'!F129/'Summary Sheet'!$D$19,""))</f>
        <v>#N/A</v>
      </c>
      <c r="AW71" s="264"/>
      <c r="AX71" s="276" t="e">
        <f>IF('Pay App 23'!$H$149=0,NA(),IFERROR('Pay App 23'!F129/'Summary Sheet'!$D$19,""))</f>
        <v>#N/A</v>
      </c>
      <c r="AY71" s="264"/>
      <c r="AZ71" s="263" t="e">
        <f>IF('Pay App 24'!$H$149=0,NA(),IFERROR('Pay App 24'!F129/'Summary Sheet'!$D$19,""))</f>
        <v>#N/A</v>
      </c>
      <c r="BA71" s="264"/>
      <c r="BB71" s="276" t="e">
        <f>IF('Pay App 25'!$H$149=0,NA(),IFERROR('Pay App 25'!F129/'Summary Sheet'!$D$19,""))</f>
        <v>#N/A</v>
      </c>
      <c r="BC71" s="264"/>
      <c r="BD71" s="263" t="e">
        <f>IF('Pay App 26'!$H$149=0,NA(),IFERROR('Pay App 26'!F129/'Summary Sheet'!$D$19,""))</f>
        <v>#N/A</v>
      </c>
      <c r="BE71" s="264"/>
      <c r="BF71" s="276" t="e">
        <f>IF('Pay App 27'!$H$149=0,NA(),IFERROR('Pay App 27'!F129/'Summary Sheet'!$D$19,""))</f>
        <v>#N/A</v>
      </c>
      <c r="BG71" s="264"/>
      <c r="BH71" s="263" t="e">
        <f>IF('Pay App 28'!$H$149=0,NA(),IFERROR('Pay App 28'!F129/'Summary Sheet'!$D$19,""))</f>
        <v>#N/A</v>
      </c>
      <c r="BI71" s="264"/>
      <c r="BJ71" s="276" t="e">
        <f>IF('Pay App 29'!$H$149=0,NA(),IFERROR('Pay App 29'!F129/'Summary Sheet'!$D$19,""))</f>
        <v>#N/A</v>
      </c>
      <c r="BK71" s="271"/>
      <c r="BL71" s="263" t="e">
        <f>IF('Pay App 30'!$H$149=0,NA(),IFERROR('Pay App 30'!F129/'Summary Sheet'!$D$19,""))</f>
        <v>#N/A</v>
      </c>
      <c r="BM71" s="264"/>
      <c r="BN71" s="276" t="e">
        <f>IF('Pay App 31'!$H$149=0,NA(),IFERROR('Pay App 31'!F129/'Summary Sheet'!$D$19,""))</f>
        <v>#N/A</v>
      </c>
      <c r="BO71" s="264"/>
      <c r="BP71" s="263" t="e">
        <f>IF('Pay App 32'!$H$149=0,NA(),IFERROR('Pay App 32'!F129/'Summary Sheet'!$D$19,""))</f>
        <v>#N/A</v>
      </c>
      <c r="BQ71" s="264"/>
      <c r="BR71" s="276" t="e">
        <f>IF('Pay App 33'!$H$149=0,NA(),IFERROR('Pay App 33'!F129/'Summary Sheet'!$D$19,""))</f>
        <v>#N/A</v>
      </c>
      <c r="BS71" s="264"/>
      <c r="BT71" s="263" t="e">
        <f>IF('Pay App 34'!$H$149=0,NA(),IFERROR('Pay App 34'!F129/'Summary Sheet'!$D$19,""))</f>
        <v>#N/A</v>
      </c>
      <c r="BU71" s="264"/>
      <c r="BV71" s="276" t="e">
        <f>IF('Pay App 35'!$H$149=0,NA(),IFERROR('Pay App 35'!F129/'Summary Sheet'!$D$19,""))</f>
        <v>#N/A</v>
      </c>
      <c r="BW71" s="264"/>
      <c r="BX71" s="263" t="e">
        <f>IF('Pay App 36'!$H$149=0,NA(),IFERROR('Pay App 36'!F129/'Summary Sheet'!$D$19,""))</f>
        <v>#N/A</v>
      </c>
      <c r="BY71" s="264"/>
      <c r="BZ71" s="276" t="e">
        <f>IF('Pay App 37'!$H$149=0,NA(),IFERROR('Pay App 37'!F129/'Summary Sheet'!$D$19,""))</f>
        <v>#N/A</v>
      </c>
      <c r="CA71" s="264"/>
      <c r="CB71" s="263" t="e">
        <f>IF('Pay App 38'!$H$149=0,NA(),IFERROR('Pay App 38'!F129/'Summary Sheet'!$D$19,""))</f>
        <v>#N/A</v>
      </c>
      <c r="CC71" s="264"/>
      <c r="CD71" s="276" t="e">
        <f>IF('Pay App 39'!$H$149=0,NA(),IFERROR('Pay App 39'!F129/'Summary Sheet'!$D$19,""))</f>
        <v>#N/A</v>
      </c>
      <c r="CE71" s="264"/>
      <c r="CF71" s="263" t="e">
        <f>IF('Pay App 40'!$H$149=0,NA(),IFERROR('Pay App 40'!F129/'Summary Sheet'!$D$19,""))</f>
        <v>#N/A</v>
      </c>
      <c r="CG71" s="264"/>
      <c r="CH71" s="276" t="e">
        <f>IF('Pay App 41'!$H$149=0,NA(),IFERROR('Pay App 41'!F129/'Summary Sheet'!$D$19,""))</f>
        <v>#N/A</v>
      </c>
      <c r="CI71" s="264"/>
      <c r="CJ71" s="263" t="e">
        <f>IF('Pay App 42'!$H$149=0,NA(),IFERROR('Pay App 42'!F129/'Summary Sheet'!$D$19,""))</f>
        <v>#N/A</v>
      </c>
      <c r="CK71" s="264"/>
      <c r="CL71" s="276" t="e">
        <f>IF('Pay App 43'!$H$149=0,NA(),IFERROR('Pay App 43'!F129/'Summary Sheet'!$D$19,""))</f>
        <v>#N/A</v>
      </c>
      <c r="CM71" s="264"/>
      <c r="CN71" s="263" t="e">
        <f>IF('Pay App 44'!$H$149=0,NA(),IFERROR('Pay App 44'!F129/'Summary Sheet'!$D$19,""))</f>
        <v>#N/A</v>
      </c>
      <c r="CO71" s="264"/>
      <c r="CP71" s="276" t="e">
        <f>IF('Pay App 45'!$H$149=0,NA(),IFERROR('Pay App 45'!F129/'Summary Sheet'!$D$19,""))</f>
        <v>#N/A</v>
      </c>
      <c r="CQ71" s="264"/>
      <c r="CR71" s="263" t="e">
        <f>IF('Pay App 46'!$H$149=0,NA(),IFERROR('Pay App 46'!F129/'Summary Sheet'!$D$19,""))</f>
        <v>#N/A</v>
      </c>
      <c r="CS71" s="264"/>
      <c r="CT71" s="276" t="e">
        <f>IF('Pay App 47'!$H$149=0,NA(),IFERROR('Pay App 47'!F129/'Summary Sheet'!$D$19,""))</f>
        <v>#N/A</v>
      </c>
      <c r="CU71" s="264"/>
      <c r="CV71" s="263" t="e">
        <f>IF('Pay App 48'!$H$149=0,NA(),IFERROR('Pay App 48'!F129/'Summary Sheet'!$D$19,""))</f>
        <v>#N/A</v>
      </c>
      <c r="CW71" s="264"/>
      <c r="CX71" s="276" t="e">
        <f>IF('Pay App 49'!$H$149=0,NA(),IFERROR('Pay App 49'!F129/'Summary Sheet'!$D$19,""))</f>
        <v>#N/A</v>
      </c>
      <c r="CY71" s="264"/>
      <c r="CZ71" s="263" t="e">
        <f>IF('Pay App 50'!$H$149=0,NA(),IFERROR('Pay App 50'!F129/'Summary Sheet'!$D$19,""))</f>
        <v>#N/A</v>
      </c>
      <c r="DA71" s="264"/>
      <c r="DB71" s="276" t="e">
        <f>IF('Pay App 51'!$H$149=0,NA(),IFERROR('Pay App 51'!F129/'Summary Sheet'!$D$19,""))</f>
        <v>#N/A</v>
      </c>
      <c r="DC71" s="264"/>
      <c r="DD71" s="263" t="e">
        <f>IF('Pay App 52'!$H$149=0,NA(),IFERROR('Pay App 52'!F129/'Summary Sheet'!$D$19,""))</f>
        <v>#N/A</v>
      </c>
      <c r="DE71" s="264"/>
      <c r="DF71" s="276" t="e">
        <f>IF('Pay App 53'!$H$149=0,NA(),IFERROR('Pay App 53'!F129/'Summary Sheet'!$D$19,""))</f>
        <v>#N/A</v>
      </c>
      <c r="DG71" s="264"/>
      <c r="DH71" s="263" t="e">
        <f>IF('Pay App 54'!$H$149=0,NA(),IFERROR('Pay App 54'!F129/'Summary Sheet'!$D$19,""))</f>
        <v>#N/A</v>
      </c>
      <c r="DI71" s="264"/>
      <c r="DJ71" s="276" t="e">
        <f>IF('Pay App 55'!$H$149=0,NA(),IFERROR('Pay App 55'!F129/'Summary Sheet'!$D$19,""))</f>
        <v>#N/A</v>
      </c>
      <c r="DK71" s="264"/>
      <c r="DL71" s="263" t="e">
        <f>IF('Pay App 56'!$H$149=0,NA(),IFERROR('Pay App 56'!F129/'Summary Sheet'!$D$19,""))</f>
        <v>#N/A</v>
      </c>
      <c r="DM71" s="264"/>
      <c r="DN71" s="276" t="e">
        <f>IF('Pay App 57'!$H$149=0,NA(),IFERROR('Pay App 57'!F129/'Summary Sheet'!$D$19,""))</f>
        <v>#N/A</v>
      </c>
      <c r="DO71" s="264"/>
      <c r="DP71" s="263" t="e">
        <f>IF('Pay App 58'!$H$149=0,NA(),IFERROR('Pay App 58'!F129/'Summary Sheet'!$D$19,""))</f>
        <v>#N/A</v>
      </c>
      <c r="DQ71" s="264"/>
      <c r="DR71" s="276" t="e">
        <f>IF('Pay App 59'!$H$149=0,NA(),IFERROR('Pay App 59'!F129/'Summary Sheet'!$D$19,""))</f>
        <v>#N/A</v>
      </c>
      <c r="DS71" s="264"/>
      <c r="DT71" s="263" t="e">
        <f>IF('Pay App 60'!$H$149=0,NA(),IFERROR('Pay App 60'!F1039/'Summary Sheet'!$D$19,""))</f>
        <v>#N/A</v>
      </c>
      <c r="DU71" s="296"/>
    </row>
    <row r="72" spans="2:125" x14ac:dyDescent="0.25">
      <c r="B72" s="40" t="str">
        <f>'Pay App 1'!B130</f>
        <v>22 00 00</v>
      </c>
      <c r="C72" s="41" t="str">
        <f>'Pay App 1'!C130</f>
        <v>Plumbing</v>
      </c>
      <c r="D72" s="282" t="str" cm="1">
        <f t="array" ref="D72">IFERROR(1+(LOOKUP(2,1/(E72:DT72&lt;&gt;""),E72:DT72)-E72)/E72,"")</f>
        <v/>
      </c>
      <c r="E72" s="275" t="str">
        <f>IFERROR('GMP Tracker'!D76/'Summary Sheet'!$D$19,"")</f>
        <v/>
      </c>
      <c r="F72" s="276" t="e">
        <f>IF('Pay App 1'!$D$149=0,NA(),IFERROR('Pay App 1'!F130/'Summary Sheet'!$D$19,""))</f>
        <v>#N/A</v>
      </c>
      <c r="G72" s="271"/>
      <c r="H72" s="277" t="e">
        <f>IF('Pay App 2'!$H$149=0,NA(),IFERROR('Pay App 2'!F130/'Summary Sheet'!$D$19,""))</f>
        <v>#N/A</v>
      </c>
      <c r="I72" s="266"/>
      <c r="J72" s="276" t="e">
        <f>IF('Pay App 3'!$H$149=0,NA(),IFERROR('Pay App 3'!F130/'Summary Sheet'!$D$19,""))</f>
        <v>#N/A</v>
      </c>
      <c r="K72" s="268"/>
      <c r="L72" s="277" t="e">
        <f>IF('Pay App 4'!$H$149=0,NA(),IFERROR('Pay App 4'!F130/'Summary Sheet'!$D$19,""))</f>
        <v>#N/A</v>
      </c>
      <c r="M72" s="266"/>
      <c r="N72" s="276" t="e">
        <f>IF('Pay App 5'!$H$149=0,NA(),IFERROR('Pay App 5'!F130/'Summary Sheet'!$D$19,""))</f>
        <v>#N/A</v>
      </c>
      <c r="O72" s="263"/>
      <c r="P72" s="277" t="e">
        <f>IF('Pay App 6'!$H$149=0,NA(),IFERROR('Pay App 6'!F130/'Summary Sheet'!$D$19,""))</f>
        <v>#N/A</v>
      </c>
      <c r="Q72" s="263"/>
      <c r="R72" s="276" t="e">
        <f>IF('Pay App 7'!$H$149=0,NA(),IFERROR('Pay App 7'!F130/'Summary Sheet'!$D$19,""))</f>
        <v>#N/A</v>
      </c>
      <c r="S72" s="263"/>
      <c r="T72" s="277" t="e">
        <f>IF('Pay App 8'!$H$149=0,NA(),IFERROR('Pay App 8'!F130/'Summary Sheet'!$D$19,""))</f>
        <v>#N/A</v>
      </c>
      <c r="U72" s="263"/>
      <c r="V72" s="276" t="e">
        <f>IF('Pay App 9'!$H$149=0,NA(),IFERROR('Pay App 9'!F130/'Summary Sheet'!$D$19,""))</f>
        <v>#N/A</v>
      </c>
      <c r="W72" s="263"/>
      <c r="X72" s="277" t="e">
        <f>IF('Pay App 10'!$H$149=0,NA(),IFERROR('Pay App 10'!F130/'Summary Sheet'!$D$19,""))</f>
        <v>#N/A</v>
      </c>
      <c r="Y72" s="263"/>
      <c r="Z72" s="276" t="e">
        <f>IF('Pay App 11'!$H$149=0,NA(),IFERROR('Pay App 11'!F130/'Summary Sheet'!$D$19,""))</f>
        <v>#N/A</v>
      </c>
      <c r="AA72" s="263"/>
      <c r="AB72" s="277" t="e">
        <f>IF('Pay App 12'!$H$149=0,NA(),IFERROR('Pay App 12'!F130/'Summary Sheet'!$D$19,""))</f>
        <v>#N/A</v>
      </c>
      <c r="AC72" s="263"/>
      <c r="AD72" s="276" t="e">
        <f>IF('Pay App 13'!$H$149=0,NA(),IFERROR('Pay App 13'!F130/'Summary Sheet'!$D$19,""))</f>
        <v>#N/A</v>
      </c>
      <c r="AE72" s="263"/>
      <c r="AF72" s="277" t="e">
        <f>IF('Pay App 14'!$H$149=0,NA(),IFERROR('Pay App 14'!F130/'Summary Sheet'!$D$19,""))</f>
        <v>#N/A</v>
      </c>
      <c r="AG72" s="263"/>
      <c r="AH72" s="276" t="e">
        <f>IF('Pay App 15'!$H$149=0,NA(),IFERROR('Pay App 15'!F130/'Summary Sheet'!$D$19,""))</f>
        <v>#N/A</v>
      </c>
      <c r="AI72" s="263"/>
      <c r="AJ72" s="277" t="e">
        <f>IF('Pay App 16'!$H$149=0,NA(),IFERROR('Pay App 16'!F130/'Summary Sheet'!$D$19,""))</f>
        <v>#N/A</v>
      </c>
      <c r="AK72" s="263"/>
      <c r="AL72" s="276" t="e">
        <f>IF('Pay App 17'!$H$149=0,NA(),IFERROR('Pay App 17'!F130/'Summary Sheet'!$D$19,""))</f>
        <v>#N/A</v>
      </c>
      <c r="AM72" s="263"/>
      <c r="AN72" s="277" t="e">
        <f>IF('Pay App 18'!$H$149=0,NA(),IFERROR('Pay App 18'!F130/'Summary Sheet'!$D$19,""))</f>
        <v>#N/A</v>
      </c>
      <c r="AO72" s="263"/>
      <c r="AP72" s="276" t="e">
        <f>IF('Pay App 19'!$H$149=0,NA(),IFERROR('Pay App 19'!F130/'Summary Sheet'!$D$19,""))</f>
        <v>#N/A</v>
      </c>
      <c r="AQ72" s="263"/>
      <c r="AR72" s="263" t="e">
        <f>IF('Pay App 20'!$H$149=0,NA(),IFERROR('Pay App 20'!F130/'Summary Sheet'!$D$19,""))</f>
        <v>#N/A</v>
      </c>
      <c r="AS72" s="264"/>
      <c r="AT72" s="276" t="e">
        <f>IF('Pay App 21'!$H$149=0,NA(),IFERROR('Pay App 21'!F130/'Summary Sheet'!$D$19,""))</f>
        <v>#N/A</v>
      </c>
      <c r="AU72" s="264"/>
      <c r="AV72" s="263" t="e">
        <f>IF('Pay App 22'!$H$149=0,NA(),IFERROR('Pay App 22'!F130/'Summary Sheet'!$D$19,""))</f>
        <v>#N/A</v>
      </c>
      <c r="AW72" s="264"/>
      <c r="AX72" s="276" t="e">
        <f>IF('Pay App 23'!$H$149=0,NA(),IFERROR('Pay App 23'!F130/'Summary Sheet'!$D$19,""))</f>
        <v>#N/A</v>
      </c>
      <c r="AY72" s="264"/>
      <c r="AZ72" s="263" t="e">
        <f>IF('Pay App 24'!$H$149=0,NA(),IFERROR('Pay App 24'!F130/'Summary Sheet'!$D$19,""))</f>
        <v>#N/A</v>
      </c>
      <c r="BA72" s="264"/>
      <c r="BB72" s="276" t="e">
        <f>IF('Pay App 25'!$H$149=0,NA(),IFERROR('Pay App 25'!F130/'Summary Sheet'!$D$19,""))</f>
        <v>#N/A</v>
      </c>
      <c r="BC72" s="264"/>
      <c r="BD72" s="263" t="e">
        <f>IF('Pay App 26'!$H$149=0,NA(),IFERROR('Pay App 26'!F130/'Summary Sheet'!$D$19,""))</f>
        <v>#N/A</v>
      </c>
      <c r="BE72" s="264"/>
      <c r="BF72" s="276" t="e">
        <f>IF('Pay App 27'!$H$149=0,NA(),IFERROR('Pay App 27'!F130/'Summary Sheet'!$D$19,""))</f>
        <v>#N/A</v>
      </c>
      <c r="BG72" s="264"/>
      <c r="BH72" s="263" t="e">
        <f>IF('Pay App 28'!$H$149=0,NA(),IFERROR('Pay App 28'!F130/'Summary Sheet'!$D$19,""))</f>
        <v>#N/A</v>
      </c>
      <c r="BI72" s="264"/>
      <c r="BJ72" s="276" t="e">
        <f>IF('Pay App 29'!$H$149=0,NA(),IFERROR('Pay App 29'!F130/'Summary Sheet'!$D$19,""))</f>
        <v>#N/A</v>
      </c>
      <c r="BK72" s="271"/>
      <c r="BL72" s="263" t="e">
        <f>IF('Pay App 30'!$H$149=0,NA(),IFERROR('Pay App 30'!F130/'Summary Sheet'!$D$19,""))</f>
        <v>#N/A</v>
      </c>
      <c r="BM72" s="264"/>
      <c r="BN72" s="276" t="e">
        <f>IF('Pay App 31'!$H$149=0,NA(),IFERROR('Pay App 31'!F130/'Summary Sheet'!$D$19,""))</f>
        <v>#N/A</v>
      </c>
      <c r="BO72" s="264"/>
      <c r="BP72" s="263" t="e">
        <f>IF('Pay App 32'!$H$149=0,NA(),IFERROR('Pay App 32'!F130/'Summary Sheet'!$D$19,""))</f>
        <v>#N/A</v>
      </c>
      <c r="BQ72" s="264"/>
      <c r="BR72" s="276" t="e">
        <f>IF('Pay App 33'!$H$149=0,NA(),IFERROR('Pay App 33'!F130/'Summary Sheet'!$D$19,""))</f>
        <v>#N/A</v>
      </c>
      <c r="BS72" s="264"/>
      <c r="BT72" s="263" t="e">
        <f>IF('Pay App 34'!$H$149=0,NA(),IFERROR('Pay App 34'!F130/'Summary Sheet'!$D$19,""))</f>
        <v>#N/A</v>
      </c>
      <c r="BU72" s="264"/>
      <c r="BV72" s="276" t="e">
        <f>IF('Pay App 35'!$H$149=0,NA(),IFERROR('Pay App 35'!F130/'Summary Sheet'!$D$19,""))</f>
        <v>#N/A</v>
      </c>
      <c r="BW72" s="264"/>
      <c r="BX72" s="263" t="e">
        <f>IF('Pay App 36'!$H$149=0,NA(),IFERROR('Pay App 36'!F130/'Summary Sheet'!$D$19,""))</f>
        <v>#N/A</v>
      </c>
      <c r="BY72" s="264"/>
      <c r="BZ72" s="276" t="e">
        <f>IF('Pay App 37'!$H$149=0,NA(),IFERROR('Pay App 37'!F130/'Summary Sheet'!$D$19,""))</f>
        <v>#N/A</v>
      </c>
      <c r="CA72" s="264"/>
      <c r="CB72" s="263" t="e">
        <f>IF('Pay App 38'!$H$149=0,NA(),IFERROR('Pay App 38'!F130/'Summary Sheet'!$D$19,""))</f>
        <v>#N/A</v>
      </c>
      <c r="CC72" s="264"/>
      <c r="CD72" s="276" t="e">
        <f>IF('Pay App 39'!$H$149=0,NA(),IFERROR('Pay App 39'!F130/'Summary Sheet'!$D$19,""))</f>
        <v>#N/A</v>
      </c>
      <c r="CE72" s="264"/>
      <c r="CF72" s="263" t="e">
        <f>IF('Pay App 40'!$H$149=0,NA(),IFERROR('Pay App 40'!F130/'Summary Sheet'!$D$19,""))</f>
        <v>#N/A</v>
      </c>
      <c r="CG72" s="264"/>
      <c r="CH72" s="276" t="e">
        <f>IF('Pay App 41'!$H$149=0,NA(),IFERROR('Pay App 41'!F130/'Summary Sheet'!$D$19,""))</f>
        <v>#N/A</v>
      </c>
      <c r="CI72" s="264"/>
      <c r="CJ72" s="263" t="e">
        <f>IF('Pay App 42'!$H$149=0,NA(),IFERROR('Pay App 42'!F130/'Summary Sheet'!$D$19,""))</f>
        <v>#N/A</v>
      </c>
      <c r="CK72" s="264"/>
      <c r="CL72" s="276" t="e">
        <f>IF('Pay App 43'!$H$149=0,NA(),IFERROR('Pay App 43'!F130/'Summary Sheet'!$D$19,""))</f>
        <v>#N/A</v>
      </c>
      <c r="CM72" s="264"/>
      <c r="CN72" s="263" t="e">
        <f>IF('Pay App 44'!$H$149=0,NA(),IFERROR('Pay App 44'!F130/'Summary Sheet'!$D$19,""))</f>
        <v>#N/A</v>
      </c>
      <c r="CO72" s="264"/>
      <c r="CP72" s="276" t="e">
        <f>IF('Pay App 45'!$H$149=0,NA(),IFERROR('Pay App 45'!F130/'Summary Sheet'!$D$19,""))</f>
        <v>#N/A</v>
      </c>
      <c r="CQ72" s="264"/>
      <c r="CR72" s="263" t="e">
        <f>IF('Pay App 46'!$H$149=0,NA(),IFERROR('Pay App 46'!F130/'Summary Sheet'!$D$19,""))</f>
        <v>#N/A</v>
      </c>
      <c r="CS72" s="264"/>
      <c r="CT72" s="276" t="e">
        <f>IF('Pay App 47'!$H$149=0,NA(),IFERROR('Pay App 47'!F130/'Summary Sheet'!$D$19,""))</f>
        <v>#N/A</v>
      </c>
      <c r="CU72" s="264"/>
      <c r="CV72" s="263" t="e">
        <f>IF('Pay App 48'!$H$149=0,NA(),IFERROR('Pay App 48'!F130/'Summary Sheet'!$D$19,""))</f>
        <v>#N/A</v>
      </c>
      <c r="CW72" s="264"/>
      <c r="CX72" s="276" t="e">
        <f>IF('Pay App 49'!$H$149=0,NA(),IFERROR('Pay App 49'!F130/'Summary Sheet'!$D$19,""))</f>
        <v>#N/A</v>
      </c>
      <c r="CY72" s="264"/>
      <c r="CZ72" s="263" t="e">
        <f>IF('Pay App 50'!$H$149=0,NA(),IFERROR('Pay App 50'!F130/'Summary Sheet'!$D$19,""))</f>
        <v>#N/A</v>
      </c>
      <c r="DA72" s="264"/>
      <c r="DB72" s="276" t="e">
        <f>IF('Pay App 51'!$H$149=0,NA(),IFERROR('Pay App 51'!F130/'Summary Sheet'!$D$19,""))</f>
        <v>#N/A</v>
      </c>
      <c r="DC72" s="264"/>
      <c r="DD72" s="263" t="e">
        <f>IF('Pay App 52'!$H$149=0,NA(),IFERROR('Pay App 52'!F130/'Summary Sheet'!$D$19,""))</f>
        <v>#N/A</v>
      </c>
      <c r="DE72" s="264"/>
      <c r="DF72" s="276" t="e">
        <f>IF('Pay App 53'!$H$149=0,NA(),IFERROR('Pay App 53'!F130/'Summary Sheet'!$D$19,""))</f>
        <v>#N/A</v>
      </c>
      <c r="DG72" s="264"/>
      <c r="DH72" s="263" t="e">
        <f>IF('Pay App 54'!$H$149=0,NA(),IFERROR('Pay App 54'!F130/'Summary Sheet'!$D$19,""))</f>
        <v>#N/A</v>
      </c>
      <c r="DI72" s="264"/>
      <c r="DJ72" s="276" t="e">
        <f>IF('Pay App 55'!$H$149=0,NA(),IFERROR('Pay App 55'!F130/'Summary Sheet'!$D$19,""))</f>
        <v>#N/A</v>
      </c>
      <c r="DK72" s="264"/>
      <c r="DL72" s="263" t="e">
        <f>IF('Pay App 56'!$H$149=0,NA(),IFERROR('Pay App 56'!F130/'Summary Sheet'!$D$19,""))</f>
        <v>#N/A</v>
      </c>
      <c r="DM72" s="264"/>
      <c r="DN72" s="276" t="e">
        <f>IF('Pay App 57'!$H$149=0,NA(),IFERROR('Pay App 57'!F130/'Summary Sheet'!$D$19,""))</f>
        <v>#N/A</v>
      </c>
      <c r="DO72" s="264"/>
      <c r="DP72" s="263" t="e">
        <f>IF('Pay App 58'!$H$149=0,NA(),IFERROR('Pay App 58'!F130/'Summary Sheet'!$D$19,""))</f>
        <v>#N/A</v>
      </c>
      <c r="DQ72" s="264"/>
      <c r="DR72" s="276" t="e">
        <f>IF('Pay App 59'!$H$149=0,NA(),IFERROR('Pay App 59'!F130/'Summary Sheet'!$D$19,""))</f>
        <v>#N/A</v>
      </c>
      <c r="DS72" s="264"/>
      <c r="DT72" s="263" t="e">
        <f>IF('Pay App 60'!$H$149=0,NA(),IFERROR('Pay App 60'!F1040/'Summary Sheet'!$D$19,""))</f>
        <v>#N/A</v>
      </c>
      <c r="DU72" s="296"/>
    </row>
    <row r="73" spans="2:125" x14ac:dyDescent="0.25">
      <c r="B73" s="48" t="str">
        <f>'Pay App 1'!B131</f>
        <v>23 00 00</v>
      </c>
      <c r="C73" s="24" t="str">
        <f>'Pay App 1'!C131</f>
        <v>HVAC</v>
      </c>
      <c r="D73" s="282" t="str" cm="1">
        <f t="array" ref="D73">IFERROR(1+(LOOKUP(2,1/(E73:DT73&lt;&gt;""),E73:DT73)-E73)/E73,"")</f>
        <v/>
      </c>
      <c r="E73" s="275" t="str">
        <f>IFERROR('GMP Tracker'!D77/'Summary Sheet'!$D$19,"")</f>
        <v/>
      </c>
      <c r="F73" s="276" t="e">
        <f>IF('Pay App 1'!$D$149=0,NA(),IFERROR('Pay App 1'!F131/'Summary Sheet'!$D$19,""))</f>
        <v>#N/A</v>
      </c>
      <c r="G73" s="271"/>
      <c r="H73" s="277" t="e">
        <f>IF('Pay App 2'!$H$149=0,NA(),IFERROR('Pay App 2'!F131/'Summary Sheet'!$D$19,""))</f>
        <v>#N/A</v>
      </c>
      <c r="I73" s="266"/>
      <c r="J73" s="276" t="e">
        <f>IF('Pay App 3'!$H$149=0,NA(),IFERROR('Pay App 3'!F131/'Summary Sheet'!$D$19,""))</f>
        <v>#N/A</v>
      </c>
      <c r="K73" s="268"/>
      <c r="L73" s="277" t="e">
        <f>IF('Pay App 4'!$H$149=0,NA(),IFERROR('Pay App 4'!F131/'Summary Sheet'!$D$19,""))</f>
        <v>#N/A</v>
      </c>
      <c r="M73" s="266"/>
      <c r="N73" s="276" t="e">
        <f>IF('Pay App 5'!$H$149=0,NA(),IFERROR('Pay App 5'!F131/'Summary Sheet'!$D$19,""))</f>
        <v>#N/A</v>
      </c>
      <c r="O73" s="263"/>
      <c r="P73" s="277" t="e">
        <f>IF('Pay App 6'!$H$149=0,NA(),IFERROR('Pay App 6'!F131/'Summary Sheet'!$D$19,""))</f>
        <v>#N/A</v>
      </c>
      <c r="Q73" s="263"/>
      <c r="R73" s="276" t="e">
        <f>IF('Pay App 7'!$H$149=0,NA(),IFERROR('Pay App 7'!F131/'Summary Sheet'!$D$19,""))</f>
        <v>#N/A</v>
      </c>
      <c r="S73" s="263"/>
      <c r="T73" s="277" t="e">
        <f>IF('Pay App 8'!$H$149=0,NA(),IFERROR('Pay App 8'!F131/'Summary Sheet'!$D$19,""))</f>
        <v>#N/A</v>
      </c>
      <c r="U73" s="263"/>
      <c r="V73" s="276" t="e">
        <f>IF('Pay App 9'!$H$149=0,NA(),IFERROR('Pay App 9'!F131/'Summary Sheet'!$D$19,""))</f>
        <v>#N/A</v>
      </c>
      <c r="W73" s="263"/>
      <c r="X73" s="277" t="e">
        <f>IF('Pay App 10'!$H$149=0,NA(),IFERROR('Pay App 10'!F131/'Summary Sheet'!$D$19,""))</f>
        <v>#N/A</v>
      </c>
      <c r="Y73" s="263"/>
      <c r="Z73" s="276" t="e">
        <f>IF('Pay App 11'!$H$149=0,NA(),IFERROR('Pay App 11'!F131/'Summary Sheet'!$D$19,""))</f>
        <v>#N/A</v>
      </c>
      <c r="AA73" s="263"/>
      <c r="AB73" s="277" t="e">
        <f>IF('Pay App 12'!$H$149=0,NA(),IFERROR('Pay App 12'!F131/'Summary Sheet'!$D$19,""))</f>
        <v>#N/A</v>
      </c>
      <c r="AC73" s="263"/>
      <c r="AD73" s="276" t="e">
        <f>IF('Pay App 13'!$H$149=0,NA(),IFERROR('Pay App 13'!F131/'Summary Sheet'!$D$19,""))</f>
        <v>#N/A</v>
      </c>
      <c r="AE73" s="263"/>
      <c r="AF73" s="277" t="e">
        <f>IF('Pay App 14'!$H$149=0,NA(),IFERROR('Pay App 14'!F131/'Summary Sheet'!$D$19,""))</f>
        <v>#N/A</v>
      </c>
      <c r="AG73" s="263"/>
      <c r="AH73" s="276" t="e">
        <f>IF('Pay App 15'!$H$149=0,NA(),IFERROR('Pay App 15'!F131/'Summary Sheet'!$D$19,""))</f>
        <v>#N/A</v>
      </c>
      <c r="AI73" s="263"/>
      <c r="AJ73" s="277" t="e">
        <f>IF('Pay App 16'!$H$149=0,NA(),IFERROR('Pay App 16'!F131/'Summary Sheet'!$D$19,""))</f>
        <v>#N/A</v>
      </c>
      <c r="AK73" s="263"/>
      <c r="AL73" s="276" t="e">
        <f>IF('Pay App 17'!$H$149=0,NA(),IFERROR('Pay App 17'!F131/'Summary Sheet'!$D$19,""))</f>
        <v>#N/A</v>
      </c>
      <c r="AM73" s="263"/>
      <c r="AN73" s="277" t="e">
        <f>IF('Pay App 18'!$H$149=0,NA(),IFERROR('Pay App 18'!F131/'Summary Sheet'!$D$19,""))</f>
        <v>#N/A</v>
      </c>
      <c r="AO73" s="263"/>
      <c r="AP73" s="276" t="e">
        <f>IF('Pay App 19'!$H$149=0,NA(),IFERROR('Pay App 19'!F131/'Summary Sheet'!$D$19,""))</f>
        <v>#N/A</v>
      </c>
      <c r="AQ73" s="263"/>
      <c r="AR73" s="263" t="e">
        <f>IF('Pay App 20'!$H$149=0,NA(),IFERROR('Pay App 20'!F131/'Summary Sheet'!$D$19,""))</f>
        <v>#N/A</v>
      </c>
      <c r="AS73" s="264"/>
      <c r="AT73" s="276" t="e">
        <f>IF('Pay App 21'!$H$149=0,NA(),IFERROR('Pay App 21'!F131/'Summary Sheet'!$D$19,""))</f>
        <v>#N/A</v>
      </c>
      <c r="AU73" s="264"/>
      <c r="AV73" s="263" t="e">
        <f>IF('Pay App 22'!$H$149=0,NA(),IFERROR('Pay App 22'!F131/'Summary Sheet'!$D$19,""))</f>
        <v>#N/A</v>
      </c>
      <c r="AW73" s="264"/>
      <c r="AX73" s="276" t="e">
        <f>IF('Pay App 23'!$H$149=0,NA(),IFERROR('Pay App 23'!F131/'Summary Sheet'!$D$19,""))</f>
        <v>#N/A</v>
      </c>
      <c r="AY73" s="264"/>
      <c r="AZ73" s="263" t="e">
        <f>IF('Pay App 24'!$H$149=0,NA(),IFERROR('Pay App 24'!F131/'Summary Sheet'!$D$19,""))</f>
        <v>#N/A</v>
      </c>
      <c r="BA73" s="264"/>
      <c r="BB73" s="276" t="e">
        <f>IF('Pay App 25'!$H$149=0,NA(),IFERROR('Pay App 25'!F131/'Summary Sheet'!$D$19,""))</f>
        <v>#N/A</v>
      </c>
      <c r="BC73" s="264"/>
      <c r="BD73" s="263" t="e">
        <f>IF('Pay App 26'!$H$149=0,NA(),IFERROR('Pay App 26'!F131/'Summary Sheet'!$D$19,""))</f>
        <v>#N/A</v>
      </c>
      <c r="BE73" s="264"/>
      <c r="BF73" s="276" t="e">
        <f>IF('Pay App 27'!$H$149=0,NA(),IFERROR('Pay App 27'!F131/'Summary Sheet'!$D$19,""))</f>
        <v>#N/A</v>
      </c>
      <c r="BG73" s="264"/>
      <c r="BH73" s="263" t="e">
        <f>IF('Pay App 28'!$H$149=0,NA(),IFERROR('Pay App 28'!F131/'Summary Sheet'!$D$19,""))</f>
        <v>#N/A</v>
      </c>
      <c r="BI73" s="264"/>
      <c r="BJ73" s="276" t="e">
        <f>IF('Pay App 29'!$H$149=0,NA(),IFERROR('Pay App 29'!F131/'Summary Sheet'!$D$19,""))</f>
        <v>#N/A</v>
      </c>
      <c r="BK73" s="271"/>
      <c r="BL73" s="263" t="e">
        <f>IF('Pay App 30'!$H$149=0,NA(),IFERROR('Pay App 30'!F131/'Summary Sheet'!$D$19,""))</f>
        <v>#N/A</v>
      </c>
      <c r="BM73" s="264"/>
      <c r="BN73" s="276" t="e">
        <f>IF('Pay App 31'!$H$149=0,NA(),IFERROR('Pay App 31'!F131/'Summary Sheet'!$D$19,""))</f>
        <v>#N/A</v>
      </c>
      <c r="BO73" s="264"/>
      <c r="BP73" s="263" t="e">
        <f>IF('Pay App 32'!$H$149=0,NA(),IFERROR('Pay App 32'!F131/'Summary Sheet'!$D$19,""))</f>
        <v>#N/A</v>
      </c>
      <c r="BQ73" s="264"/>
      <c r="BR73" s="276" t="e">
        <f>IF('Pay App 33'!$H$149=0,NA(),IFERROR('Pay App 33'!F131/'Summary Sheet'!$D$19,""))</f>
        <v>#N/A</v>
      </c>
      <c r="BS73" s="264"/>
      <c r="BT73" s="263" t="e">
        <f>IF('Pay App 34'!$H$149=0,NA(),IFERROR('Pay App 34'!F131/'Summary Sheet'!$D$19,""))</f>
        <v>#N/A</v>
      </c>
      <c r="BU73" s="264"/>
      <c r="BV73" s="276" t="e">
        <f>IF('Pay App 35'!$H$149=0,NA(),IFERROR('Pay App 35'!F131/'Summary Sheet'!$D$19,""))</f>
        <v>#N/A</v>
      </c>
      <c r="BW73" s="264"/>
      <c r="BX73" s="263" t="e">
        <f>IF('Pay App 36'!$H$149=0,NA(),IFERROR('Pay App 36'!F131/'Summary Sheet'!$D$19,""))</f>
        <v>#N/A</v>
      </c>
      <c r="BY73" s="264"/>
      <c r="BZ73" s="276" t="e">
        <f>IF('Pay App 37'!$H$149=0,NA(),IFERROR('Pay App 37'!F131/'Summary Sheet'!$D$19,""))</f>
        <v>#N/A</v>
      </c>
      <c r="CA73" s="264"/>
      <c r="CB73" s="263" t="e">
        <f>IF('Pay App 38'!$H$149=0,NA(),IFERROR('Pay App 38'!F131/'Summary Sheet'!$D$19,""))</f>
        <v>#N/A</v>
      </c>
      <c r="CC73" s="264"/>
      <c r="CD73" s="276" t="e">
        <f>IF('Pay App 39'!$H$149=0,NA(),IFERROR('Pay App 39'!F131/'Summary Sheet'!$D$19,""))</f>
        <v>#N/A</v>
      </c>
      <c r="CE73" s="264"/>
      <c r="CF73" s="263" t="e">
        <f>IF('Pay App 40'!$H$149=0,NA(),IFERROR('Pay App 40'!F131/'Summary Sheet'!$D$19,""))</f>
        <v>#N/A</v>
      </c>
      <c r="CG73" s="264"/>
      <c r="CH73" s="276" t="e">
        <f>IF('Pay App 41'!$H$149=0,NA(),IFERROR('Pay App 41'!F131/'Summary Sheet'!$D$19,""))</f>
        <v>#N/A</v>
      </c>
      <c r="CI73" s="264"/>
      <c r="CJ73" s="263" t="e">
        <f>IF('Pay App 42'!$H$149=0,NA(),IFERROR('Pay App 42'!F131/'Summary Sheet'!$D$19,""))</f>
        <v>#N/A</v>
      </c>
      <c r="CK73" s="264"/>
      <c r="CL73" s="276" t="e">
        <f>IF('Pay App 43'!$H$149=0,NA(),IFERROR('Pay App 43'!F131/'Summary Sheet'!$D$19,""))</f>
        <v>#N/A</v>
      </c>
      <c r="CM73" s="264"/>
      <c r="CN73" s="263" t="e">
        <f>IF('Pay App 44'!$H$149=0,NA(),IFERROR('Pay App 44'!F131/'Summary Sheet'!$D$19,""))</f>
        <v>#N/A</v>
      </c>
      <c r="CO73" s="264"/>
      <c r="CP73" s="276" t="e">
        <f>IF('Pay App 45'!$H$149=0,NA(),IFERROR('Pay App 45'!F131/'Summary Sheet'!$D$19,""))</f>
        <v>#N/A</v>
      </c>
      <c r="CQ73" s="264"/>
      <c r="CR73" s="263" t="e">
        <f>IF('Pay App 46'!$H$149=0,NA(),IFERROR('Pay App 46'!F131/'Summary Sheet'!$D$19,""))</f>
        <v>#N/A</v>
      </c>
      <c r="CS73" s="264"/>
      <c r="CT73" s="276" t="e">
        <f>IF('Pay App 47'!$H$149=0,NA(),IFERROR('Pay App 47'!F131/'Summary Sheet'!$D$19,""))</f>
        <v>#N/A</v>
      </c>
      <c r="CU73" s="264"/>
      <c r="CV73" s="263" t="e">
        <f>IF('Pay App 48'!$H$149=0,NA(),IFERROR('Pay App 48'!F131/'Summary Sheet'!$D$19,""))</f>
        <v>#N/A</v>
      </c>
      <c r="CW73" s="264"/>
      <c r="CX73" s="276" t="e">
        <f>IF('Pay App 49'!$H$149=0,NA(),IFERROR('Pay App 49'!F131/'Summary Sheet'!$D$19,""))</f>
        <v>#N/A</v>
      </c>
      <c r="CY73" s="264"/>
      <c r="CZ73" s="263" t="e">
        <f>IF('Pay App 50'!$H$149=0,NA(),IFERROR('Pay App 50'!F131/'Summary Sheet'!$D$19,""))</f>
        <v>#N/A</v>
      </c>
      <c r="DA73" s="264"/>
      <c r="DB73" s="276" t="e">
        <f>IF('Pay App 51'!$H$149=0,NA(),IFERROR('Pay App 51'!F131/'Summary Sheet'!$D$19,""))</f>
        <v>#N/A</v>
      </c>
      <c r="DC73" s="264"/>
      <c r="DD73" s="263" t="e">
        <f>IF('Pay App 52'!$H$149=0,NA(),IFERROR('Pay App 52'!F131/'Summary Sheet'!$D$19,""))</f>
        <v>#N/A</v>
      </c>
      <c r="DE73" s="264"/>
      <c r="DF73" s="276" t="e">
        <f>IF('Pay App 53'!$H$149=0,NA(),IFERROR('Pay App 53'!F131/'Summary Sheet'!$D$19,""))</f>
        <v>#N/A</v>
      </c>
      <c r="DG73" s="264"/>
      <c r="DH73" s="263" t="e">
        <f>IF('Pay App 54'!$H$149=0,NA(),IFERROR('Pay App 54'!F131/'Summary Sheet'!$D$19,""))</f>
        <v>#N/A</v>
      </c>
      <c r="DI73" s="264"/>
      <c r="DJ73" s="276" t="e">
        <f>IF('Pay App 55'!$H$149=0,NA(),IFERROR('Pay App 55'!F131/'Summary Sheet'!$D$19,""))</f>
        <v>#N/A</v>
      </c>
      <c r="DK73" s="264"/>
      <c r="DL73" s="263" t="e">
        <f>IF('Pay App 56'!$H$149=0,NA(),IFERROR('Pay App 56'!F131/'Summary Sheet'!$D$19,""))</f>
        <v>#N/A</v>
      </c>
      <c r="DM73" s="264"/>
      <c r="DN73" s="276" t="e">
        <f>IF('Pay App 57'!$H$149=0,NA(),IFERROR('Pay App 57'!F131/'Summary Sheet'!$D$19,""))</f>
        <v>#N/A</v>
      </c>
      <c r="DO73" s="264"/>
      <c r="DP73" s="263" t="e">
        <f>IF('Pay App 58'!$H$149=0,NA(),IFERROR('Pay App 58'!F131/'Summary Sheet'!$D$19,""))</f>
        <v>#N/A</v>
      </c>
      <c r="DQ73" s="264"/>
      <c r="DR73" s="276" t="e">
        <f>IF('Pay App 59'!$H$149=0,NA(),IFERROR('Pay App 59'!F131/'Summary Sheet'!$D$19,""))</f>
        <v>#N/A</v>
      </c>
      <c r="DS73" s="264"/>
      <c r="DT73" s="263" t="e">
        <f>IF('Pay App 60'!$H$149=0,NA(),IFERROR('Pay App 60'!F1041/'Summary Sheet'!$D$19,""))</f>
        <v>#N/A</v>
      </c>
      <c r="DU73" s="296"/>
    </row>
    <row r="74" spans="2:125" x14ac:dyDescent="0.25">
      <c r="B74" s="49" t="str">
        <f>'Pay App 1'!B132</f>
        <v>26 00 00</v>
      </c>
      <c r="C74" s="25" t="str">
        <f>'Pay App 1'!C132</f>
        <v>Electrical</v>
      </c>
      <c r="D74" s="282" t="str" cm="1">
        <f t="array" ref="D74">IFERROR(1+(LOOKUP(2,1/(E74:DT74&lt;&gt;""),E74:DT74)-E74)/E74,"")</f>
        <v/>
      </c>
      <c r="E74" s="275" t="str">
        <f>IFERROR('GMP Tracker'!D78/'Summary Sheet'!$D$19,"")</f>
        <v/>
      </c>
      <c r="F74" s="276" t="e">
        <f>IF('Pay App 1'!$D$149=0,NA(),IFERROR('Pay App 1'!F132/'Summary Sheet'!$D$19,""))</f>
        <v>#N/A</v>
      </c>
      <c r="G74" s="271"/>
      <c r="H74" s="277" t="e">
        <f>IF('Pay App 2'!$H$149=0,NA(),IFERROR('Pay App 2'!F132/'Summary Sheet'!$D$19,""))</f>
        <v>#N/A</v>
      </c>
      <c r="I74" s="266"/>
      <c r="J74" s="276" t="e">
        <f>IF('Pay App 3'!$H$149=0,NA(),IFERROR('Pay App 3'!F132/'Summary Sheet'!$D$19,""))</f>
        <v>#N/A</v>
      </c>
      <c r="K74" s="268"/>
      <c r="L74" s="277" t="e">
        <f>IF('Pay App 4'!$H$149=0,NA(),IFERROR('Pay App 4'!F132/'Summary Sheet'!$D$19,""))</f>
        <v>#N/A</v>
      </c>
      <c r="M74" s="266"/>
      <c r="N74" s="276" t="e">
        <f>IF('Pay App 5'!$H$149=0,NA(),IFERROR('Pay App 5'!F132/'Summary Sheet'!$D$19,""))</f>
        <v>#N/A</v>
      </c>
      <c r="O74" s="263"/>
      <c r="P74" s="277" t="e">
        <f>IF('Pay App 6'!$H$149=0,NA(),IFERROR('Pay App 6'!F132/'Summary Sheet'!$D$19,""))</f>
        <v>#N/A</v>
      </c>
      <c r="Q74" s="263"/>
      <c r="R74" s="276" t="e">
        <f>IF('Pay App 7'!$H$149=0,NA(),IFERROR('Pay App 7'!F132/'Summary Sheet'!$D$19,""))</f>
        <v>#N/A</v>
      </c>
      <c r="S74" s="263"/>
      <c r="T74" s="277" t="e">
        <f>IF('Pay App 8'!$H$149=0,NA(),IFERROR('Pay App 8'!F132/'Summary Sheet'!$D$19,""))</f>
        <v>#N/A</v>
      </c>
      <c r="U74" s="263"/>
      <c r="V74" s="276" t="e">
        <f>IF('Pay App 9'!$H$149=0,NA(),IFERROR('Pay App 9'!F132/'Summary Sheet'!$D$19,""))</f>
        <v>#N/A</v>
      </c>
      <c r="W74" s="263"/>
      <c r="X74" s="277" t="e">
        <f>IF('Pay App 10'!$H$149=0,NA(),IFERROR('Pay App 10'!F132/'Summary Sheet'!$D$19,""))</f>
        <v>#N/A</v>
      </c>
      <c r="Y74" s="263"/>
      <c r="Z74" s="276" t="e">
        <f>IF('Pay App 11'!$H$149=0,NA(),IFERROR('Pay App 11'!F132/'Summary Sheet'!$D$19,""))</f>
        <v>#N/A</v>
      </c>
      <c r="AA74" s="263"/>
      <c r="AB74" s="277" t="e">
        <f>IF('Pay App 12'!$H$149=0,NA(),IFERROR('Pay App 12'!F132/'Summary Sheet'!$D$19,""))</f>
        <v>#N/A</v>
      </c>
      <c r="AC74" s="263"/>
      <c r="AD74" s="276" t="e">
        <f>IF('Pay App 13'!$H$149=0,NA(),IFERROR('Pay App 13'!F132/'Summary Sheet'!$D$19,""))</f>
        <v>#N/A</v>
      </c>
      <c r="AE74" s="263"/>
      <c r="AF74" s="277" t="e">
        <f>IF('Pay App 14'!$H$149=0,NA(),IFERROR('Pay App 14'!F132/'Summary Sheet'!$D$19,""))</f>
        <v>#N/A</v>
      </c>
      <c r="AG74" s="263"/>
      <c r="AH74" s="276" t="e">
        <f>IF('Pay App 15'!$H$149=0,NA(),IFERROR('Pay App 15'!F132/'Summary Sheet'!$D$19,""))</f>
        <v>#N/A</v>
      </c>
      <c r="AI74" s="263"/>
      <c r="AJ74" s="277" t="e">
        <f>IF('Pay App 16'!$H$149=0,NA(),IFERROR('Pay App 16'!F132/'Summary Sheet'!$D$19,""))</f>
        <v>#N/A</v>
      </c>
      <c r="AK74" s="263"/>
      <c r="AL74" s="276" t="e">
        <f>IF('Pay App 17'!$H$149=0,NA(),IFERROR('Pay App 17'!F132/'Summary Sheet'!$D$19,""))</f>
        <v>#N/A</v>
      </c>
      <c r="AM74" s="263"/>
      <c r="AN74" s="277" t="e">
        <f>IF('Pay App 18'!$H$149=0,NA(),IFERROR('Pay App 18'!F132/'Summary Sheet'!$D$19,""))</f>
        <v>#N/A</v>
      </c>
      <c r="AO74" s="263"/>
      <c r="AP74" s="276" t="e">
        <f>IF('Pay App 19'!$H$149=0,NA(),IFERROR('Pay App 19'!F132/'Summary Sheet'!$D$19,""))</f>
        <v>#N/A</v>
      </c>
      <c r="AQ74" s="263"/>
      <c r="AR74" s="263" t="e">
        <f>IF('Pay App 20'!$H$149=0,NA(),IFERROR('Pay App 20'!F132/'Summary Sheet'!$D$19,""))</f>
        <v>#N/A</v>
      </c>
      <c r="AS74" s="264"/>
      <c r="AT74" s="276" t="e">
        <f>IF('Pay App 21'!$H$149=0,NA(),IFERROR('Pay App 21'!F132/'Summary Sheet'!$D$19,""))</f>
        <v>#N/A</v>
      </c>
      <c r="AU74" s="264"/>
      <c r="AV74" s="263" t="e">
        <f>IF('Pay App 22'!$H$149=0,NA(),IFERROR('Pay App 22'!F132/'Summary Sheet'!$D$19,""))</f>
        <v>#N/A</v>
      </c>
      <c r="AW74" s="264"/>
      <c r="AX74" s="276" t="e">
        <f>IF('Pay App 23'!$H$149=0,NA(),IFERROR('Pay App 23'!F132/'Summary Sheet'!$D$19,""))</f>
        <v>#N/A</v>
      </c>
      <c r="AY74" s="264"/>
      <c r="AZ74" s="263" t="e">
        <f>IF('Pay App 24'!$H$149=0,NA(),IFERROR('Pay App 24'!F132/'Summary Sheet'!$D$19,""))</f>
        <v>#N/A</v>
      </c>
      <c r="BA74" s="264"/>
      <c r="BB74" s="276" t="e">
        <f>IF('Pay App 25'!$H$149=0,NA(),IFERROR('Pay App 25'!F132/'Summary Sheet'!$D$19,""))</f>
        <v>#N/A</v>
      </c>
      <c r="BC74" s="264"/>
      <c r="BD74" s="263" t="e">
        <f>IF('Pay App 26'!$H$149=0,NA(),IFERROR('Pay App 26'!F132/'Summary Sheet'!$D$19,""))</f>
        <v>#N/A</v>
      </c>
      <c r="BE74" s="264"/>
      <c r="BF74" s="276" t="e">
        <f>IF('Pay App 27'!$H$149=0,NA(),IFERROR('Pay App 27'!F132/'Summary Sheet'!$D$19,""))</f>
        <v>#N/A</v>
      </c>
      <c r="BG74" s="264"/>
      <c r="BH74" s="263" t="e">
        <f>IF('Pay App 28'!$H$149=0,NA(),IFERROR('Pay App 28'!F132/'Summary Sheet'!$D$19,""))</f>
        <v>#N/A</v>
      </c>
      <c r="BI74" s="264"/>
      <c r="BJ74" s="276" t="e">
        <f>IF('Pay App 29'!$H$149=0,NA(),IFERROR('Pay App 29'!F132/'Summary Sheet'!$D$19,""))</f>
        <v>#N/A</v>
      </c>
      <c r="BK74" s="271"/>
      <c r="BL74" s="263" t="e">
        <f>IF('Pay App 30'!$H$149=0,NA(),IFERROR('Pay App 30'!F132/'Summary Sheet'!$D$19,""))</f>
        <v>#N/A</v>
      </c>
      <c r="BM74" s="264"/>
      <c r="BN74" s="276" t="e">
        <f>IF('Pay App 31'!$H$149=0,NA(),IFERROR('Pay App 31'!F132/'Summary Sheet'!$D$19,""))</f>
        <v>#N/A</v>
      </c>
      <c r="BO74" s="264"/>
      <c r="BP74" s="263" t="e">
        <f>IF('Pay App 32'!$H$149=0,NA(),IFERROR('Pay App 32'!F132/'Summary Sheet'!$D$19,""))</f>
        <v>#N/A</v>
      </c>
      <c r="BQ74" s="264"/>
      <c r="BR74" s="276" t="e">
        <f>IF('Pay App 33'!$H$149=0,NA(),IFERROR('Pay App 33'!F132/'Summary Sheet'!$D$19,""))</f>
        <v>#N/A</v>
      </c>
      <c r="BS74" s="264"/>
      <c r="BT74" s="263" t="e">
        <f>IF('Pay App 34'!$H$149=0,NA(),IFERROR('Pay App 34'!F132/'Summary Sheet'!$D$19,""))</f>
        <v>#N/A</v>
      </c>
      <c r="BU74" s="264"/>
      <c r="BV74" s="276" t="e">
        <f>IF('Pay App 35'!$H$149=0,NA(),IFERROR('Pay App 35'!F132/'Summary Sheet'!$D$19,""))</f>
        <v>#N/A</v>
      </c>
      <c r="BW74" s="264"/>
      <c r="BX74" s="263" t="e">
        <f>IF('Pay App 36'!$H$149=0,NA(),IFERROR('Pay App 36'!F132/'Summary Sheet'!$D$19,""))</f>
        <v>#N/A</v>
      </c>
      <c r="BY74" s="264"/>
      <c r="BZ74" s="276" t="e">
        <f>IF('Pay App 37'!$H$149=0,NA(),IFERROR('Pay App 37'!F132/'Summary Sheet'!$D$19,""))</f>
        <v>#N/A</v>
      </c>
      <c r="CA74" s="264"/>
      <c r="CB74" s="263" t="e">
        <f>IF('Pay App 38'!$H$149=0,NA(),IFERROR('Pay App 38'!F132/'Summary Sheet'!$D$19,""))</f>
        <v>#N/A</v>
      </c>
      <c r="CC74" s="264"/>
      <c r="CD74" s="276" t="e">
        <f>IF('Pay App 39'!$H$149=0,NA(),IFERROR('Pay App 39'!F132/'Summary Sheet'!$D$19,""))</f>
        <v>#N/A</v>
      </c>
      <c r="CE74" s="264"/>
      <c r="CF74" s="263" t="e">
        <f>IF('Pay App 40'!$H$149=0,NA(),IFERROR('Pay App 40'!F132/'Summary Sheet'!$D$19,""))</f>
        <v>#N/A</v>
      </c>
      <c r="CG74" s="264"/>
      <c r="CH74" s="276" t="e">
        <f>IF('Pay App 41'!$H$149=0,NA(),IFERROR('Pay App 41'!F132/'Summary Sheet'!$D$19,""))</f>
        <v>#N/A</v>
      </c>
      <c r="CI74" s="264"/>
      <c r="CJ74" s="263" t="e">
        <f>IF('Pay App 42'!$H$149=0,NA(),IFERROR('Pay App 42'!F132/'Summary Sheet'!$D$19,""))</f>
        <v>#N/A</v>
      </c>
      <c r="CK74" s="264"/>
      <c r="CL74" s="276" t="e">
        <f>IF('Pay App 43'!$H$149=0,NA(),IFERROR('Pay App 43'!F132/'Summary Sheet'!$D$19,""))</f>
        <v>#N/A</v>
      </c>
      <c r="CM74" s="264"/>
      <c r="CN74" s="263" t="e">
        <f>IF('Pay App 44'!$H$149=0,NA(),IFERROR('Pay App 44'!F132/'Summary Sheet'!$D$19,""))</f>
        <v>#N/A</v>
      </c>
      <c r="CO74" s="264"/>
      <c r="CP74" s="276" t="e">
        <f>IF('Pay App 45'!$H$149=0,NA(),IFERROR('Pay App 45'!F132/'Summary Sheet'!$D$19,""))</f>
        <v>#N/A</v>
      </c>
      <c r="CQ74" s="264"/>
      <c r="CR74" s="263" t="e">
        <f>IF('Pay App 46'!$H$149=0,NA(),IFERROR('Pay App 46'!F132/'Summary Sheet'!$D$19,""))</f>
        <v>#N/A</v>
      </c>
      <c r="CS74" s="264"/>
      <c r="CT74" s="276" t="e">
        <f>IF('Pay App 47'!$H$149=0,NA(),IFERROR('Pay App 47'!F132/'Summary Sheet'!$D$19,""))</f>
        <v>#N/A</v>
      </c>
      <c r="CU74" s="264"/>
      <c r="CV74" s="263" t="e">
        <f>IF('Pay App 48'!$H$149=0,NA(),IFERROR('Pay App 48'!F132/'Summary Sheet'!$D$19,""))</f>
        <v>#N/A</v>
      </c>
      <c r="CW74" s="264"/>
      <c r="CX74" s="276" t="e">
        <f>IF('Pay App 49'!$H$149=0,NA(),IFERROR('Pay App 49'!F132/'Summary Sheet'!$D$19,""))</f>
        <v>#N/A</v>
      </c>
      <c r="CY74" s="264"/>
      <c r="CZ74" s="263" t="e">
        <f>IF('Pay App 50'!$H$149=0,NA(),IFERROR('Pay App 50'!F132/'Summary Sheet'!$D$19,""))</f>
        <v>#N/A</v>
      </c>
      <c r="DA74" s="264"/>
      <c r="DB74" s="276" t="e">
        <f>IF('Pay App 51'!$H$149=0,NA(),IFERROR('Pay App 51'!F132/'Summary Sheet'!$D$19,""))</f>
        <v>#N/A</v>
      </c>
      <c r="DC74" s="264"/>
      <c r="DD74" s="263" t="e">
        <f>IF('Pay App 52'!$H$149=0,NA(),IFERROR('Pay App 52'!F132/'Summary Sheet'!$D$19,""))</f>
        <v>#N/A</v>
      </c>
      <c r="DE74" s="264"/>
      <c r="DF74" s="276" t="e">
        <f>IF('Pay App 53'!$H$149=0,NA(),IFERROR('Pay App 53'!F132/'Summary Sheet'!$D$19,""))</f>
        <v>#N/A</v>
      </c>
      <c r="DG74" s="264"/>
      <c r="DH74" s="263" t="e">
        <f>IF('Pay App 54'!$H$149=0,NA(),IFERROR('Pay App 54'!F132/'Summary Sheet'!$D$19,""))</f>
        <v>#N/A</v>
      </c>
      <c r="DI74" s="264"/>
      <c r="DJ74" s="276" t="e">
        <f>IF('Pay App 55'!$H$149=0,NA(),IFERROR('Pay App 55'!F132/'Summary Sheet'!$D$19,""))</f>
        <v>#N/A</v>
      </c>
      <c r="DK74" s="264"/>
      <c r="DL74" s="263" t="e">
        <f>IF('Pay App 56'!$H$149=0,NA(),IFERROR('Pay App 56'!F132/'Summary Sheet'!$D$19,""))</f>
        <v>#N/A</v>
      </c>
      <c r="DM74" s="264"/>
      <c r="DN74" s="276" t="e">
        <f>IF('Pay App 57'!$H$149=0,NA(),IFERROR('Pay App 57'!F132/'Summary Sheet'!$D$19,""))</f>
        <v>#N/A</v>
      </c>
      <c r="DO74" s="264"/>
      <c r="DP74" s="263" t="e">
        <f>IF('Pay App 58'!$H$149=0,NA(),IFERROR('Pay App 58'!F132/'Summary Sheet'!$D$19,""))</f>
        <v>#N/A</v>
      </c>
      <c r="DQ74" s="264"/>
      <c r="DR74" s="276" t="e">
        <f>IF('Pay App 59'!$H$149=0,NA(),IFERROR('Pay App 59'!F132/'Summary Sheet'!$D$19,""))</f>
        <v>#N/A</v>
      </c>
      <c r="DS74" s="264"/>
      <c r="DT74" s="263" t="e">
        <f>IF('Pay App 60'!$H$149=0,NA(),IFERROR('Pay App 60'!F1042/'Summary Sheet'!$D$19,""))</f>
        <v>#N/A</v>
      </c>
      <c r="DU74" s="296"/>
    </row>
    <row r="75" spans="2:125" x14ac:dyDescent="0.25">
      <c r="B75" s="35" t="str">
        <f>'Pay App 1'!B133</f>
        <v>27 00 00</v>
      </c>
      <c r="C75" s="27" t="str">
        <f>'Pay App 1'!C133</f>
        <v>AV/IT/Cabling</v>
      </c>
      <c r="D75" s="282" t="str" cm="1">
        <f t="array" ref="D75">IFERROR(1+(LOOKUP(2,1/(E75:DT75&lt;&gt;""),E75:DT75)-E75)/E75,"")</f>
        <v/>
      </c>
      <c r="E75" s="275" t="str">
        <f>IFERROR('GMP Tracker'!D79/'Summary Sheet'!$D$19,"")</f>
        <v/>
      </c>
      <c r="F75" s="276" t="e">
        <f>IF('Pay App 1'!$D$149=0,NA(),IFERROR('Pay App 1'!F133/'Summary Sheet'!$D$19,""))</f>
        <v>#N/A</v>
      </c>
      <c r="G75" s="271"/>
      <c r="H75" s="277" t="e">
        <f>IF('Pay App 2'!$H$149=0,NA(),IFERROR('Pay App 2'!F133/'Summary Sheet'!$D$19,""))</f>
        <v>#N/A</v>
      </c>
      <c r="I75" s="266"/>
      <c r="J75" s="276" t="e">
        <f>IF('Pay App 3'!$H$149=0,NA(),IFERROR('Pay App 3'!F133/'Summary Sheet'!$D$19,""))</f>
        <v>#N/A</v>
      </c>
      <c r="K75" s="268"/>
      <c r="L75" s="277" t="e">
        <f>IF('Pay App 4'!$H$149=0,NA(),IFERROR('Pay App 4'!F133/'Summary Sheet'!$D$19,""))</f>
        <v>#N/A</v>
      </c>
      <c r="M75" s="266"/>
      <c r="N75" s="276" t="e">
        <f>IF('Pay App 5'!$H$149=0,NA(),IFERROR('Pay App 5'!F133/'Summary Sheet'!$D$19,""))</f>
        <v>#N/A</v>
      </c>
      <c r="O75" s="263"/>
      <c r="P75" s="277" t="e">
        <f>IF('Pay App 6'!$H$149=0,NA(),IFERROR('Pay App 6'!F133/'Summary Sheet'!$D$19,""))</f>
        <v>#N/A</v>
      </c>
      <c r="Q75" s="263"/>
      <c r="R75" s="276" t="e">
        <f>IF('Pay App 7'!$H$149=0,NA(),IFERROR('Pay App 7'!F133/'Summary Sheet'!$D$19,""))</f>
        <v>#N/A</v>
      </c>
      <c r="S75" s="263"/>
      <c r="T75" s="277" t="e">
        <f>IF('Pay App 8'!$H$149=0,NA(),IFERROR('Pay App 8'!F133/'Summary Sheet'!$D$19,""))</f>
        <v>#N/A</v>
      </c>
      <c r="U75" s="263"/>
      <c r="V75" s="276" t="e">
        <f>IF('Pay App 9'!$H$149=0,NA(),IFERROR('Pay App 9'!F133/'Summary Sheet'!$D$19,""))</f>
        <v>#N/A</v>
      </c>
      <c r="W75" s="263"/>
      <c r="X75" s="277" t="e">
        <f>IF('Pay App 10'!$H$149=0,NA(),IFERROR('Pay App 10'!F133/'Summary Sheet'!$D$19,""))</f>
        <v>#N/A</v>
      </c>
      <c r="Y75" s="263"/>
      <c r="Z75" s="276" t="e">
        <f>IF('Pay App 11'!$H$149=0,NA(),IFERROR('Pay App 11'!F133/'Summary Sheet'!$D$19,""))</f>
        <v>#N/A</v>
      </c>
      <c r="AA75" s="263"/>
      <c r="AB75" s="277" t="e">
        <f>IF('Pay App 12'!$H$149=0,NA(),IFERROR('Pay App 12'!F133/'Summary Sheet'!$D$19,""))</f>
        <v>#N/A</v>
      </c>
      <c r="AC75" s="263"/>
      <c r="AD75" s="276" t="e">
        <f>IF('Pay App 13'!$H$149=0,NA(),IFERROR('Pay App 13'!F133/'Summary Sheet'!$D$19,""))</f>
        <v>#N/A</v>
      </c>
      <c r="AE75" s="263"/>
      <c r="AF75" s="277" t="e">
        <f>IF('Pay App 14'!$H$149=0,NA(),IFERROR('Pay App 14'!F133/'Summary Sheet'!$D$19,""))</f>
        <v>#N/A</v>
      </c>
      <c r="AG75" s="263"/>
      <c r="AH75" s="276" t="e">
        <f>IF('Pay App 15'!$H$149=0,NA(),IFERROR('Pay App 15'!F133/'Summary Sheet'!$D$19,""))</f>
        <v>#N/A</v>
      </c>
      <c r="AI75" s="263"/>
      <c r="AJ75" s="277" t="e">
        <f>IF('Pay App 16'!$H$149=0,NA(),IFERROR('Pay App 16'!F133/'Summary Sheet'!$D$19,""))</f>
        <v>#N/A</v>
      </c>
      <c r="AK75" s="263"/>
      <c r="AL75" s="276" t="e">
        <f>IF('Pay App 17'!$H$149=0,NA(),IFERROR('Pay App 17'!F133/'Summary Sheet'!$D$19,""))</f>
        <v>#N/A</v>
      </c>
      <c r="AM75" s="263"/>
      <c r="AN75" s="277" t="e">
        <f>IF('Pay App 18'!$H$149=0,NA(),IFERROR('Pay App 18'!F133/'Summary Sheet'!$D$19,""))</f>
        <v>#N/A</v>
      </c>
      <c r="AO75" s="263"/>
      <c r="AP75" s="276" t="e">
        <f>IF('Pay App 19'!$H$149=0,NA(),IFERROR('Pay App 19'!F133/'Summary Sheet'!$D$19,""))</f>
        <v>#N/A</v>
      </c>
      <c r="AQ75" s="263"/>
      <c r="AR75" s="263" t="e">
        <f>IF('Pay App 20'!$H$149=0,NA(),IFERROR('Pay App 20'!F133/'Summary Sheet'!$D$19,""))</f>
        <v>#N/A</v>
      </c>
      <c r="AS75" s="264"/>
      <c r="AT75" s="276" t="e">
        <f>IF('Pay App 21'!$H$149=0,NA(),IFERROR('Pay App 21'!F133/'Summary Sheet'!$D$19,""))</f>
        <v>#N/A</v>
      </c>
      <c r="AU75" s="264"/>
      <c r="AV75" s="263" t="e">
        <f>IF('Pay App 22'!$H$149=0,NA(),IFERROR('Pay App 22'!F133/'Summary Sheet'!$D$19,""))</f>
        <v>#N/A</v>
      </c>
      <c r="AW75" s="264"/>
      <c r="AX75" s="276" t="e">
        <f>IF('Pay App 23'!$H$149=0,NA(),IFERROR('Pay App 23'!F133/'Summary Sheet'!$D$19,""))</f>
        <v>#N/A</v>
      </c>
      <c r="AY75" s="264"/>
      <c r="AZ75" s="263" t="e">
        <f>IF('Pay App 24'!$H$149=0,NA(),IFERROR('Pay App 24'!F133/'Summary Sheet'!$D$19,""))</f>
        <v>#N/A</v>
      </c>
      <c r="BA75" s="264"/>
      <c r="BB75" s="276" t="e">
        <f>IF('Pay App 25'!$H$149=0,NA(),IFERROR('Pay App 25'!F133/'Summary Sheet'!$D$19,""))</f>
        <v>#N/A</v>
      </c>
      <c r="BC75" s="264"/>
      <c r="BD75" s="263" t="e">
        <f>IF('Pay App 26'!$H$149=0,NA(),IFERROR('Pay App 26'!F133/'Summary Sheet'!$D$19,""))</f>
        <v>#N/A</v>
      </c>
      <c r="BE75" s="264"/>
      <c r="BF75" s="276" t="e">
        <f>IF('Pay App 27'!$H$149=0,NA(),IFERROR('Pay App 27'!F133/'Summary Sheet'!$D$19,""))</f>
        <v>#N/A</v>
      </c>
      <c r="BG75" s="264"/>
      <c r="BH75" s="263" t="e">
        <f>IF('Pay App 28'!$H$149=0,NA(),IFERROR('Pay App 28'!F133/'Summary Sheet'!$D$19,""))</f>
        <v>#N/A</v>
      </c>
      <c r="BI75" s="264"/>
      <c r="BJ75" s="276" t="e">
        <f>IF('Pay App 29'!$H$149=0,NA(),IFERROR('Pay App 29'!F133/'Summary Sheet'!$D$19,""))</f>
        <v>#N/A</v>
      </c>
      <c r="BK75" s="271"/>
      <c r="BL75" s="263" t="e">
        <f>IF('Pay App 30'!$H$149=0,NA(),IFERROR('Pay App 30'!F133/'Summary Sheet'!$D$19,""))</f>
        <v>#N/A</v>
      </c>
      <c r="BM75" s="264"/>
      <c r="BN75" s="276" t="e">
        <f>IF('Pay App 31'!$H$149=0,NA(),IFERROR('Pay App 31'!F133/'Summary Sheet'!$D$19,""))</f>
        <v>#N/A</v>
      </c>
      <c r="BO75" s="264"/>
      <c r="BP75" s="263" t="e">
        <f>IF('Pay App 32'!$H$149=0,NA(),IFERROR('Pay App 32'!F133/'Summary Sheet'!$D$19,""))</f>
        <v>#N/A</v>
      </c>
      <c r="BQ75" s="264"/>
      <c r="BR75" s="276" t="e">
        <f>IF('Pay App 33'!$H$149=0,NA(),IFERROR('Pay App 33'!F133/'Summary Sheet'!$D$19,""))</f>
        <v>#N/A</v>
      </c>
      <c r="BS75" s="264"/>
      <c r="BT75" s="263" t="e">
        <f>IF('Pay App 34'!$H$149=0,NA(),IFERROR('Pay App 34'!F133/'Summary Sheet'!$D$19,""))</f>
        <v>#N/A</v>
      </c>
      <c r="BU75" s="264"/>
      <c r="BV75" s="276" t="e">
        <f>IF('Pay App 35'!$H$149=0,NA(),IFERROR('Pay App 35'!F133/'Summary Sheet'!$D$19,""))</f>
        <v>#N/A</v>
      </c>
      <c r="BW75" s="264"/>
      <c r="BX75" s="263" t="e">
        <f>IF('Pay App 36'!$H$149=0,NA(),IFERROR('Pay App 36'!F133/'Summary Sheet'!$D$19,""))</f>
        <v>#N/A</v>
      </c>
      <c r="BY75" s="264"/>
      <c r="BZ75" s="276" t="e">
        <f>IF('Pay App 37'!$H$149=0,NA(),IFERROR('Pay App 37'!F133/'Summary Sheet'!$D$19,""))</f>
        <v>#N/A</v>
      </c>
      <c r="CA75" s="264"/>
      <c r="CB75" s="263" t="e">
        <f>IF('Pay App 38'!$H$149=0,NA(),IFERROR('Pay App 38'!F133/'Summary Sheet'!$D$19,""))</f>
        <v>#N/A</v>
      </c>
      <c r="CC75" s="264"/>
      <c r="CD75" s="276" t="e">
        <f>IF('Pay App 39'!$H$149=0,NA(),IFERROR('Pay App 39'!F133/'Summary Sheet'!$D$19,""))</f>
        <v>#N/A</v>
      </c>
      <c r="CE75" s="264"/>
      <c r="CF75" s="263" t="e">
        <f>IF('Pay App 40'!$H$149=0,NA(),IFERROR('Pay App 40'!F133/'Summary Sheet'!$D$19,""))</f>
        <v>#N/A</v>
      </c>
      <c r="CG75" s="264"/>
      <c r="CH75" s="276" t="e">
        <f>IF('Pay App 41'!$H$149=0,NA(),IFERROR('Pay App 41'!F133/'Summary Sheet'!$D$19,""))</f>
        <v>#N/A</v>
      </c>
      <c r="CI75" s="264"/>
      <c r="CJ75" s="263" t="e">
        <f>IF('Pay App 42'!$H$149=0,NA(),IFERROR('Pay App 42'!F133/'Summary Sheet'!$D$19,""))</f>
        <v>#N/A</v>
      </c>
      <c r="CK75" s="264"/>
      <c r="CL75" s="276" t="e">
        <f>IF('Pay App 43'!$H$149=0,NA(),IFERROR('Pay App 43'!F133/'Summary Sheet'!$D$19,""))</f>
        <v>#N/A</v>
      </c>
      <c r="CM75" s="264"/>
      <c r="CN75" s="263" t="e">
        <f>IF('Pay App 44'!$H$149=0,NA(),IFERROR('Pay App 44'!F133/'Summary Sheet'!$D$19,""))</f>
        <v>#N/A</v>
      </c>
      <c r="CO75" s="264"/>
      <c r="CP75" s="276" t="e">
        <f>IF('Pay App 45'!$H$149=0,NA(),IFERROR('Pay App 45'!F133/'Summary Sheet'!$D$19,""))</f>
        <v>#N/A</v>
      </c>
      <c r="CQ75" s="264"/>
      <c r="CR75" s="263" t="e">
        <f>IF('Pay App 46'!$H$149=0,NA(),IFERROR('Pay App 46'!F133/'Summary Sheet'!$D$19,""))</f>
        <v>#N/A</v>
      </c>
      <c r="CS75" s="264"/>
      <c r="CT75" s="276" t="e">
        <f>IF('Pay App 47'!$H$149=0,NA(),IFERROR('Pay App 47'!F133/'Summary Sheet'!$D$19,""))</f>
        <v>#N/A</v>
      </c>
      <c r="CU75" s="264"/>
      <c r="CV75" s="263" t="e">
        <f>IF('Pay App 48'!$H$149=0,NA(),IFERROR('Pay App 48'!F133/'Summary Sheet'!$D$19,""))</f>
        <v>#N/A</v>
      </c>
      <c r="CW75" s="264"/>
      <c r="CX75" s="276" t="e">
        <f>IF('Pay App 49'!$H$149=0,NA(),IFERROR('Pay App 49'!F133/'Summary Sheet'!$D$19,""))</f>
        <v>#N/A</v>
      </c>
      <c r="CY75" s="264"/>
      <c r="CZ75" s="263" t="e">
        <f>IF('Pay App 50'!$H$149=0,NA(),IFERROR('Pay App 50'!F133/'Summary Sheet'!$D$19,""))</f>
        <v>#N/A</v>
      </c>
      <c r="DA75" s="264"/>
      <c r="DB75" s="276" t="e">
        <f>IF('Pay App 51'!$H$149=0,NA(),IFERROR('Pay App 51'!F133/'Summary Sheet'!$D$19,""))</f>
        <v>#N/A</v>
      </c>
      <c r="DC75" s="264"/>
      <c r="DD75" s="263" t="e">
        <f>IF('Pay App 52'!$H$149=0,NA(),IFERROR('Pay App 52'!F133/'Summary Sheet'!$D$19,""))</f>
        <v>#N/A</v>
      </c>
      <c r="DE75" s="264"/>
      <c r="DF75" s="276" t="e">
        <f>IF('Pay App 53'!$H$149=0,NA(),IFERROR('Pay App 53'!F133/'Summary Sheet'!$D$19,""))</f>
        <v>#N/A</v>
      </c>
      <c r="DG75" s="264"/>
      <c r="DH75" s="263" t="e">
        <f>IF('Pay App 54'!$H$149=0,NA(),IFERROR('Pay App 54'!F133/'Summary Sheet'!$D$19,""))</f>
        <v>#N/A</v>
      </c>
      <c r="DI75" s="264"/>
      <c r="DJ75" s="276" t="e">
        <f>IF('Pay App 55'!$H$149=0,NA(),IFERROR('Pay App 55'!F133/'Summary Sheet'!$D$19,""))</f>
        <v>#N/A</v>
      </c>
      <c r="DK75" s="264"/>
      <c r="DL75" s="263" t="e">
        <f>IF('Pay App 56'!$H$149=0,NA(),IFERROR('Pay App 56'!F133/'Summary Sheet'!$D$19,""))</f>
        <v>#N/A</v>
      </c>
      <c r="DM75" s="264"/>
      <c r="DN75" s="276" t="e">
        <f>IF('Pay App 57'!$H$149=0,NA(),IFERROR('Pay App 57'!F133/'Summary Sheet'!$D$19,""))</f>
        <v>#N/A</v>
      </c>
      <c r="DO75" s="264"/>
      <c r="DP75" s="263" t="e">
        <f>IF('Pay App 58'!$H$149=0,NA(),IFERROR('Pay App 58'!F133/'Summary Sheet'!$D$19,""))</f>
        <v>#N/A</v>
      </c>
      <c r="DQ75" s="264"/>
      <c r="DR75" s="276" t="e">
        <f>IF('Pay App 59'!$H$149=0,NA(),IFERROR('Pay App 59'!F133/'Summary Sheet'!$D$19,""))</f>
        <v>#N/A</v>
      </c>
      <c r="DS75" s="264"/>
      <c r="DT75" s="263" t="e">
        <f>IF('Pay App 60'!$H$149=0,NA(),IFERROR('Pay App 60'!F1043/'Summary Sheet'!$D$19,""))</f>
        <v>#N/A</v>
      </c>
      <c r="DU75" s="296"/>
    </row>
    <row r="76" spans="2:125" x14ac:dyDescent="0.25">
      <c r="B76" s="36" t="str">
        <f>'Pay App 1'!B134</f>
        <v>28 80 00</v>
      </c>
      <c r="C76" s="37" t="str">
        <f>'Pay App 1'!C134</f>
        <v>Security/Access Control</v>
      </c>
      <c r="D76" s="282" t="str" cm="1">
        <f t="array" ref="D76">IFERROR(1+(LOOKUP(2,1/(E76:DT76&lt;&gt;""),E76:DT76)-E76)/E76,"")</f>
        <v/>
      </c>
      <c r="E76" s="275" t="str">
        <f>IFERROR('GMP Tracker'!D80/'Summary Sheet'!$D$19,"")</f>
        <v/>
      </c>
      <c r="F76" s="276" t="e">
        <f>IF('Pay App 1'!$D$149=0,NA(),IFERROR('Pay App 1'!F134/'Summary Sheet'!$D$19,""))</f>
        <v>#N/A</v>
      </c>
      <c r="G76" s="271"/>
      <c r="H76" s="277" t="e">
        <f>IF('Pay App 2'!$H$149=0,NA(),IFERROR('Pay App 2'!F134/'Summary Sheet'!$D$19,""))</f>
        <v>#N/A</v>
      </c>
      <c r="I76" s="266"/>
      <c r="J76" s="276" t="e">
        <f>IF('Pay App 3'!$H$149=0,NA(),IFERROR('Pay App 3'!F134/'Summary Sheet'!$D$19,""))</f>
        <v>#N/A</v>
      </c>
      <c r="K76" s="268"/>
      <c r="L76" s="277" t="e">
        <f>IF('Pay App 4'!$H$149=0,NA(),IFERROR('Pay App 4'!F134/'Summary Sheet'!$D$19,""))</f>
        <v>#N/A</v>
      </c>
      <c r="M76" s="266"/>
      <c r="N76" s="276" t="e">
        <f>IF('Pay App 5'!$H$149=0,NA(),IFERROR('Pay App 5'!F134/'Summary Sheet'!$D$19,""))</f>
        <v>#N/A</v>
      </c>
      <c r="O76" s="263"/>
      <c r="P76" s="277" t="e">
        <f>IF('Pay App 6'!$H$149=0,NA(),IFERROR('Pay App 6'!F134/'Summary Sheet'!$D$19,""))</f>
        <v>#N/A</v>
      </c>
      <c r="Q76" s="263"/>
      <c r="R76" s="276" t="e">
        <f>IF('Pay App 7'!$H$149=0,NA(),IFERROR('Pay App 7'!F134/'Summary Sheet'!$D$19,""))</f>
        <v>#N/A</v>
      </c>
      <c r="S76" s="263"/>
      <c r="T76" s="277" t="e">
        <f>IF('Pay App 8'!$H$149=0,NA(),IFERROR('Pay App 8'!F134/'Summary Sheet'!$D$19,""))</f>
        <v>#N/A</v>
      </c>
      <c r="U76" s="263"/>
      <c r="V76" s="276" t="e">
        <f>IF('Pay App 9'!$H$149=0,NA(),IFERROR('Pay App 9'!F134/'Summary Sheet'!$D$19,""))</f>
        <v>#N/A</v>
      </c>
      <c r="W76" s="263"/>
      <c r="X76" s="277" t="e">
        <f>IF('Pay App 10'!$H$149=0,NA(),IFERROR('Pay App 10'!F134/'Summary Sheet'!$D$19,""))</f>
        <v>#N/A</v>
      </c>
      <c r="Y76" s="263"/>
      <c r="Z76" s="276" t="e">
        <f>IF('Pay App 11'!$H$149=0,NA(),IFERROR('Pay App 11'!F134/'Summary Sheet'!$D$19,""))</f>
        <v>#N/A</v>
      </c>
      <c r="AA76" s="263"/>
      <c r="AB76" s="277" t="e">
        <f>IF('Pay App 12'!$H$149=0,NA(),IFERROR('Pay App 12'!F134/'Summary Sheet'!$D$19,""))</f>
        <v>#N/A</v>
      </c>
      <c r="AC76" s="263"/>
      <c r="AD76" s="276" t="e">
        <f>IF('Pay App 13'!$H$149=0,NA(),IFERROR('Pay App 13'!F134/'Summary Sheet'!$D$19,""))</f>
        <v>#N/A</v>
      </c>
      <c r="AE76" s="263"/>
      <c r="AF76" s="277" t="e">
        <f>IF('Pay App 14'!$H$149=0,NA(),IFERROR('Pay App 14'!F134/'Summary Sheet'!$D$19,""))</f>
        <v>#N/A</v>
      </c>
      <c r="AG76" s="263"/>
      <c r="AH76" s="276" t="e">
        <f>IF('Pay App 15'!$H$149=0,NA(),IFERROR('Pay App 15'!F134/'Summary Sheet'!$D$19,""))</f>
        <v>#N/A</v>
      </c>
      <c r="AI76" s="263"/>
      <c r="AJ76" s="277" t="e">
        <f>IF('Pay App 16'!$H$149=0,NA(),IFERROR('Pay App 16'!F134/'Summary Sheet'!$D$19,""))</f>
        <v>#N/A</v>
      </c>
      <c r="AK76" s="263"/>
      <c r="AL76" s="276" t="e">
        <f>IF('Pay App 17'!$H$149=0,NA(),IFERROR('Pay App 17'!F134/'Summary Sheet'!$D$19,""))</f>
        <v>#N/A</v>
      </c>
      <c r="AM76" s="263"/>
      <c r="AN76" s="277" t="e">
        <f>IF('Pay App 18'!$H$149=0,NA(),IFERROR('Pay App 18'!F134/'Summary Sheet'!$D$19,""))</f>
        <v>#N/A</v>
      </c>
      <c r="AO76" s="263"/>
      <c r="AP76" s="276" t="e">
        <f>IF('Pay App 19'!$H$149=0,NA(),IFERROR('Pay App 19'!F134/'Summary Sheet'!$D$19,""))</f>
        <v>#N/A</v>
      </c>
      <c r="AQ76" s="263"/>
      <c r="AR76" s="263" t="e">
        <f>IF('Pay App 20'!$H$149=0,NA(),IFERROR('Pay App 20'!F134/'Summary Sheet'!$D$19,""))</f>
        <v>#N/A</v>
      </c>
      <c r="AS76" s="264"/>
      <c r="AT76" s="276" t="e">
        <f>IF('Pay App 21'!$H$149=0,NA(),IFERROR('Pay App 21'!F134/'Summary Sheet'!$D$19,""))</f>
        <v>#N/A</v>
      </c>
      <c r="AU76" s="264"/>
      <c r="AV76" s="263" t="e">
        <f>IF('Pay App 22'!$H$149=0,NA(),IFERROR('Pay App 22'!F134/'Summary Sheet'!$D$19,""))</f>
        <v>#N/A</v>
      </c>
      <c r="AW76" s="264"/>
      <c r="AX76" s="276" t="e">
        <f>IF('Pay App 23'!$H$149=0,NA(),IFERROR('Pay App 23'!F134/'Summary Sheet'!$D$19,""))</f>
        <v>#N/A</v>
      </c>
      <c r="AY76" s="264"/>
      <c r="AZ76" s="263" t="e">
        <f>IF('Pay App 24'!$H$149=0,NA(),IFERROR('Pay App 24'!F134/'Summary Sheet'!$D$19,""))</f>
        <v>#N/A</v>
      </c>
      <c r="BA76" s="264"/>
      <c r="BB76" s="276" t="e">
        <f>IF('Pay App 25'!$H$149=0,NA(),IFERROR('Pay App 25'!F134/'Summary Sheet'!$D$19,""))</f>
        <v>#N/A</v>
      </c>
      <c r="BC76" s="264"/>
      <c r="BD76" s="263" t="e">
        <f>IF('Pay App 26'!$H$149=0,NA(),IFERROR('Pay App 26'!F134/'Summary Sheet'!$D$19,""))</f>
        <v>#N/A</v>
      </c>
      <c r="BE76" s="264"/>
      <c r="BF76" s="276" t="e">
        <f>IF('Pay App 27'!$H$149=0,NA(),IFERROR('Pay App 27'!F134/'Summary Sheet'!$D$19,""))</f>
        <v>#N/A</v>
      </c>
      <c r="BG76" s="264"/>
      <c r="BH76" s="263" t="e">
        <f>IF('Pay App 28'!$H$149=0,NA(),IFERROR('Pay App 28'!F134/'Summary Sheet'!$D$19,""))</f>
        <v>#N/A</v>
      </c>
      <c r="BI76" s="264"/>
      <c r="BJ76" s="276" t="e">
        <f>IF('Pay App 29'!$H$149=0,NA(),IFERROR('Pay App 29'!F134/'Summary Sheet'!$D$19,""))</f>
        <v>#N/A</v>
      </c>
      <c r="BK76" s="271"/>
      <c r="BL76" s="263" t="e">
        <f>IF('Pay App 30'!$H$149=0,NA(),IFERROR('Pay App 30'!F134/'Summary Sheet'!$D$19,""))</f>
        <v>#N/A</v>
      </c>
      <c r="BM76" s="264"/>
      <c r="BN76" s="276" t="e">
        <f>IF('Pay App 31'!$H$149=0,NA(),IFERROR('Pay App 31'!F134/'Summary Sheet'!$D$19,""))</f>
        <v>#N/A</v>
      </c>
      <c r="BO76" s="264"/>
      <c r="BP76" s="263" t="e">
        <f>IF('Pay App 32'!$H$149=0,NA(),IFERROR('Pay App 32'!F134/'Summary Sheet'!$D$19,""))</f>
        <v>#N/A</v>
      </c>
      <c r="BQ76" s="264"/>
      <c r="BR76" s="276" t="e">
        <f>IF('Pay App 33'!$H$149=0,NA(),IFERROR('Pay App 33'!F134/'Summary Sheet'!$D$19,""))</f>
        <v>#N/A</v>
      </c>
      <c r="BS76" s="264"/>
      <c r="BT76" s="263" t="e">
        <f>IF('Pay App 34'!$H$149=0,NA(),IFERROR('Pay App 34'!F134/'Summary Sheet'!$D$19,""))</f>
        <v>#N/A</v>
      </c>
      <c r="BU76" s="264"/>
      <c r="BV76" s="276" t="e">
        <f>IF('Pay App 35'!$H$149=0,NA(),IFERROR('Pay App 35'!F134/'Summary Sheet'!$D$19,""))</f>
        <v>#N/A</v>
      </c>
      <c r="BW76" s="264"/>
      <c r="BX76" s="263" t="e">
        <f>IF('Pay App 36'!$H$149=0,NA(),IFERROR('Pay App 36'!F134/'Summary Sheet'!$D$19,""))</f>
        <v>#N/A</v>
      </c>
      <c r="BY76" s="264"/>
      <c r="BZ76" s="276" t="e">
        <f>IF('Pay App 37'!$H$149=0,NA(),IFERROR('Pay App 37'!F134/'Summary Sheet'!$D$19,""))</f>
        <v>#N/A</v>
      </c>
      <c r="CA76" s="264"/>
      <c r="CB76" s="263" t="e">
        <f>IF('Pay App 38'!$H$149=0,NA(),IFERROR('Pay App 38'!F134/'Summary Sheet'!$D$19,""))</f>
        <v>#N/A</v>
      </c>
      <c r="CC76" s="264"/>
      <c r="CD76" s="276" t="e">
        <f>IF('Pay App 39'!$H$149=0,NA(),IFERROR('Pay App 39'!F134/'Summary Sheet'!$D$19,""))</f>
        <v>#N/A</v>
      </c>
      <c r="CE76" s="264"/>
      <c r="CF76" s="263" t="e">
        <f>IF('Pay App 40'!$H$149=0,NA(),IFERROR('Pay App 40'!F134/'Summary Sheet'!$D$19,""))</f>
        <v>#N/A</v>
      </c>
      <c r="CG76" s="264"/>
      <c r="CH76" s="276" t="e">
        <f>IF('Pay App 41'!$H$149=0,NA(),IFERROR('Pay App 41'!F134/'Summary Sheet'!$D$19,""))</f>
        <v>#N/A</v>
      </c>
      <c r="CI76" s="264"/>
      <c r="CJ76" s="263" t="e">
        <f>IF('Pay App 42'!$H$149=0,NA(),IFERROR('Pay App 42'!F134/'Summary Sheet'!$D$19,""))</f>
        <v>#N/A</v>
      </c>
      <c r="CK76" s="264"/>
      <c r="CL76" s="276" t="e">
        <f>IF('Pay App 43'!$H$149=0,NA(),IFERROR('Pay App 43'!F134/'Summary Sheet'!$D$19,""))</f>
        <v>#N/A</v>
      </c>
      <c r="CM76" s="264"/>
      <c r="CN76" s="263" t="e">
        <f>IF('Pay App 44'!$H$149=0,NA(),IFERROR('Pay App 44'!F134/'Summary Sheet'!$D$19,""))</f>
        <v>#N/A</v>
      </c>
      <c r="CO76" s="264"/>
      <c r="CP76" s="276" t="e">
        <f>IF('Pay App 45'!$H$149=0,NA(),IFERROR('Pay App 45'!F134/'Summary Sheet'!$D$19,""))</f>
        <v>#N/A</v>
      </c>
      <c r="CQ76" s="264"/>
      <c r="CR76" s="263" t="e">
        <f>IF('Pay App 46'!$H$149=0,NA(),IFERROR('Pay App 46'!F134/'Summary Sheet'!$D$19,""))</f>
        <v>#N/A</v>
      </c>
      <c r="CS76" s="264"/>
      <c r="CT76" s="276" t="e">
        <f>IF('Pay App 47'!$H$149=0,NA(),IFERROR('Pay App 47'!F134/'Summary Sheet'!$D$19,""))</f>
        <v>#N/A</v>
      </c>
      <c r="CU76" s="264"/>
      <c r="CV76" s="263" t="e">
        <f>IF('Pay App 48'!$H$149=0,NA(),IFERROR('Pay App 48'!F134/'Summary Sheet'!$D$19,""))</f>
        <v>#N/A</v>
      </c>
      <c r="CW76" s="264"/>
      <c r="CX76" s="276" t="e">
        <f>IF('Pay App 49'!$H$149=0,NA(),IFERROR('Pay App 49'!F134/'Summary Sheet'!$D$19,""))</f>
        <v>#N/A</v>
      </c>
      <c r="CY76" s="264"/>
      <c r="CZ76" s="263" t="e">
        <f>IF('Pay App 50'!$H$149=0,NA(),IFERROR('Pay App 50'!F134/'Summary Sheet'!$D$19,""))</f>
        <v>#N/A</v>
      </c>
      <c r="DA76" s="264"/>
      <c r="DB76" s="276" t="e">
        <f>IF('Pay App 51'!$H$149=0,NA(),IFERROR('Pay App 51'!F134/'Summary Sheet'!$D$19,""))</f>
        <v>#N/A</v>
      </c>
      <c r="DC76" s="264"/>
      <c r="DD76" s="263" t="e">
        <f>IF('Pay App 52'!$H$149=0,NA(),IFERROR('Pay App 52'!F134/'Summary Sheet'!$D$19,""))</f>
        <v>#N/A</v>
      </c>
      <c r="DE76" s="264"/>
      <c r="DF76" s="276" t="e">
        <f>IF('Pay App 53'!$H$149=0,NA(),IFERROR('Pay App 53'!F134/'Summary Sheet'!$D$19,""))</f>
        <v>#N/A</v>
      </c>
      <c r="DG76" s="264"/>
      <c r="DH76" s="263" t="e">
        <f>IF('Pay App 54'!$H$149=0,NA(),IFERROR('Pay App 54'!F134/'Summary Sheet'!$D$19,""))</f>
        <v>#N/A</v>
      </c>
      <c r="DI76" s="264"/>
      <c r="DJ76" s="276" t="e">
        <f>IF('Pay App 55'!$H$149=0,NA(),IFERROR('Pay App 55'!F134/'Summary Sheet'!$D$19,""))</f>
        <v>#N/A</v>
      </c>
      <c r="DK76" s="264"/>
      <c r="DL76" s="263" t="e">
        <f>IF('Pay App 56'!$H$149=0,NA(),IFERROR('Pay App 56'!F134/'Summary Sheet'!$D$19,""))</f>
        <v>#N/A</v>
      </c>
      <c r="DM76" s="264"/>
      <c r="DN76" s="276" t="e">
        <f>IF('Pay App 57'!$H$149=0,NA(),IFERROR('Pay App 57'!F134/'Summary Sheet'!$D$19,""))</f>
        <v>#N/A</v>
      </c>
      <c r="DO76" s="264"/>
      <c r="DP76" s="263" t="e">
        <f>IF('Pay App 58'!$H$149=0,NA(),IFERROR('Pay App 58'!F134/'Summary Sheet'!$D$19,""))</f>
        <v>#N/A</v>
      </c>
      <c r="DQ76" s="264"/>
      <c r="DR76" s="276" t="e">
        <f>IF('Pay App 59'!$H$149=0,NA(),IFERROR('Pay App 59'!F134/'Summary Sheet'!$D$19,""))</f>
        <v>#N/A</v>
      </c>
      <c r="DS76" s="264"/>
      <c r="DT76" s="263" t="e">
        <f>IF('Pay App 60'!$H$149=0,NA(),IFERROR('Pay App 60'!F1044/'Summary Sheet'!$D$19,""))</f>
        <v>#N/A</v>
      </c>
      <c r="DU76" s="296"/>
    </row>
    <row r="77" spans="2:125" x14ac:dyDescent="0.25">
      <c r="B77" s="46" t="str">
        <f>'Pay App 1'!B135</f>
        <v>29 00 00</v>
      </c>
      <c r="C77" s="47" t="str">
        <f>'Pay App 1'!C135</f>
        <v>Electrical (other)</v>
      </c>
      <c r="D77" s="282" t="str" cm="1">
        <f t="array" ref="D77">IFERROR(1+(LOOKUP(2,1/(E77:DT77&lt;&gt;""),E77:DT77)-E77)/E77,"")</f>
        <v/>
      </c>
      <c r="E77" s="275" t="str">
        <f>IFERROR('GMP Tracker'!D81/'Summary Sheet'!$D$19,"")</f>
        <v/>
      </c>
      <c r="F77" s="276" t="e">
        <f>IF('Pay App 1'!$D$149=0,NA(),IFERROR('Pay App 1'!F135/'Summary Sheet'!$D$19,""))</f>
        <v>#N/A</v>
      </c>
      <c r="G77" s="271"/>
      <c r="H77" s="277" t="e">
        <f>IF('Pay App 2'!$H$149=0,NA(),IFERROR('Pay App 2'!F135/'Summary Sheet'!$D$19,""))</f>
        <v>#N/A</v>
      </c>
      <c r="I77" s="266"/>
      <c r="J77" s="276" t="e">
        <f>IF('Pay App 3'!$H$149=0,NA(),IFERROR('Pay App 3'!F135/'Summary Sheet'!$D$19,""))</f>
        <v>#N/A</v>
      </c>
      <c r="K77" s="268"/>
      <c r="L77" s="277" t="e">
        <f>IF('Pay App 4'!$H$149=0,NA(),IFERROR('Pay App 4'!F135/'Summary Sheet'!$D$19,""))</f>
        <v>#N/A</v>
      </c>
      <c r="M77" s="266"/>
      <c r="N77" s="276" t="e">
        <f>IF('Pay App 5'!$H$149=0,NA(),IFERROR('Pay App 5'!F135/'Summary Sheet'!$D$19,""))</f>
        <v>#N/A</v>
      </c>
      <c r="O77" s="263"/>
      <c r="P77" s="277" t="e">
        <f>IF('Pay App 6'!$H$149=0,NA(),IFERROR('Pay App 6'!F135/'Summary Sheet'!$D$19,""))</f>
        <v>#N/A</v>
      </c>
      <c r="Q77" s="263"/>
      <c r="R77" s="276" t="e">
        <f>IF('Pay App 7'!$H$149=0,NA(),IFERROR('Pay App 7'!F135/'Summary Sheet'!$D$19,""))</f>
        <v>#N/A</v>
      </c>
      <c r="S77" s="263"/>
      <c r="T77" s="277" t="e">
        <f>IF('Pay App 8'!$H$149=0,NA(),IFERROR('Pay App 8'!F135/'Summary Sheet'!$D$19,""))</f>
        <v>#N/A</v>
      </c>
      <c r="U77" s="263"/>
      <c r="V77" s="276" t="e">
        <f>IF('Pay App 9'!$H$149=0,NA(),IFERROR('Pay App 9'!F135/'Summary Sheet'!$D$19,""))</f>
        <v>#N/A</v>
      </c>
      <c r="W77" s="263"/>
      <c r="X77" s="277" t="e">
        <f>IF('Pay App 10'!$H$149=0,NA(),IFERROR('Pay App 10'!F135/'Summary Sheet'!$D$19,""))</f>
        <v>#N/A</v>
      </c>
      <c r="Y77" s="263"/>
      <c r="Z77" s="276" t="e">
        <f>IF('Pay App 11'!$H$149=0,NA(),IFERROR('Pay App 11'!F135/'Summary Sheet'!$D$19,""))</f>
        <v>#N/A</v>
      </c>
      <c r="AA77" s="263"/>
      <c r="AB77" s="277" t="e">
        <f>IF('Pay App 12'!$H$149=0,NA(),IFERROR('Pay App 12'!F135/'Summary Sheet'!$D$19,""))</f>
        <v>#N/A</v>
      </c>
      <c r="AC77" s="263"/>
      <c r="AD77" s="276" t="e">
        <f>IF('Pay App 13'!$H$149=0,NA(),IFERROR('Pay App 13'!F135/'Summary Sheet'!$D$19,""))</f>
        <v>#N/A</v>
      </c>
      <c r="AE77" s="263"/>
      <c r="AF77" s="277" t="e">
        <f>IF('Pay App 14'!$H$149=0,NA(),IFERROR('Pay App 14'!F135/'Summary Sheet'!$D$19,""))</f>
        <v>#N/A</v>
      </c>
      <c r="AG77" s="263"/>
      <c r="AH77" s="276" t="e">
        <f>IF('Pay App 15'!$H$149=0,NA(),IFERROR('Pay App 15'!F135/'Summary Sheet'!$D$19,""))</f>
        <v>#N/A</v>
      </c>
      <c r="AI77" s="263"/>
      <c r="AJ77" s="277" t="e">
        <f>IF('Pay App 16'!$H$149=0,NA(),IFERROR('Pay App 16'!F135/'Summary Sheet'!$D$19,""))</f>
        <v>#N/A</v>
      </c>
      <c r="AK77" s="263"/>
      <c r="AL77" s="276" t="e">
        <f>IF('Pay App 17'!$H$149=0,NA(),IFERROR('Pay App 17'!F135/'Summary Sheet'!$D$19,""))</f>
        <v>#N/A</v>
      </c>
      <c r="AM77" s="263"/>
      <c r="AN77" s="277" t="e">
        <f>IF('Pay App 18'!$H$149=0,NA(),IFERROR('Pay App 18'!F135/'Summary Sheet'!$D$19,""))</f>
        <v>#N/A</v>
      </c>
      <c r="AO77" s="263"/>
      <c r="AP77" s="276" t="e">
        <f>IF('Pay App 19'!$H$149=0,NA(),IFERROR('Pay App 19'!F135/'Summary Sheet'!$D$19,""))</f>
        <v>#N/A</v>
      </c>
      <c r="AQ77" s="263"/>
      <c r="AR77" s="263" t="e">
        <f>IF('Pay App 20'!$H$149=0,NA(),IFERROR('Pay App 20'!F135/'Summary Sheet'!$D$19,""))</f>
        <v>#N/A</v>
      </c>
      <c r="AS77" s="264"/>
      <c r="AT77" s="276" t="e">
        <f>IF('Pay App 21'!$H$149=0,NA(),IFERROR('Pay App 21'!F135/'Summary Sheet'!$D$19,""))</f>
        <v>#N/A</v>
      </c>
      <c r="AU77" s="264"/>
      <c r="AV77" s="263" t="e">
        <f>IF('Pay App 22'!$H$149=0,NA(),IFERROR('Pay App 22'!F135/'Summary Sheet'!$D$19,""))</f>
        <v>#N/A</v>
      </c>
      <c r="AW77" s="264"/>
      <c r="AX77" s="276" t="e">
        <f>IF('Pay App 23'!$H$149=0,NA(),IFERROR('Pay App 23'!F135/'Summary Sheet'!$D$19,""))</f>
        <v>#N/A</v>
      </c>
      <c r="AY77" s="264"/>
      <c r="AZ77" s="263" t="e">
        <f>IF('Pay App 24'!$H$149=0,NA(),IFERROR('Pay App 24'!F135/'Summary Sheet'!$D$19,""))</f>
        <v>#N/A</v>
      </c>
      <c r="BA77" s="264"/>
      <c r="BB77" s="276" t="e">
        <f>IF('Pay App 25'!$H$149=0,NA(),IFERROR('Pay App 25'!F135/'Summary Sheet'!$D$19,""))</f>
        <v>#N/A</v>
      </c>
      <c r="BC77" s="264"/>
      <c r="BD77" s="263" t="e">
        <f>IF('Pay App 26'!$H$149=0,NA(),IFERROR('Pay App 26'!F135/'Summary Sheet'!$D$19,""))</f>
        <v>#N/A</v>
      </c>
      <c r="BE77" s="264"/>
      <c r="BF77" s="276" t="e">
        <f>IF('Pay App 27'!$H$149=0,NA(),IFERROR('Pay App 27'!F135/'Summary Sheet'!$D$19,""))</f>
        <v>#N/A</v>
      </c>
      <c r="BG77" s="264"/>
      <c r="BH77" s="263" t="e">
        <f>IF('Pay App 28'!$H$149=0,NA(),IFERROR('Pay App 28'!F135/'Summary Sheet'!$D$19,""))</f>
        <v>#N/A</v>
      </c>
      <c r="BI77" s="264"/>
      <c r="BJ77" s="276" t="e">
        <f>IF('Pay App 29'!$H$149=0,NA(),IFERROR('Pay App 29'!F135/'Summary Sheet'!$D$19,""))</f>
        <v>#N/A</v>
      </c>
      <c r="BK77" s="271"/>
      <c r="BL77" s="263" t="e">
        <f>IF('Pay App 30'!$H$149=0,NA(),IFERROR('Pay App 30'!F135/'Summary Sheet'!$D$19,""))</f>
        <v>#N/A</v>
      </c>
      <c r="BM77" s="264"/>
      <c r="BN77" s="276" t="e">
        <f>IF('Pay App 31'!$H$149=0,NA(),IFERROR('Pay App 31'!F135/'Summary Sheet'!$D$19,""))</f>
        <v>#N/A</v>
      </c>
      <c r="BO77" s="264"/>
      <c r="BP77" s="263" t="e">
        <f>IF('Pay App 32'!$H$149=0,NA(),IFERROR('Pay App 32'!F135/'Summary Sheet'!$D$19,""))</f>
        <v>#N/A</v>
      </c>
      <c r="BQ77" s="264"/>
      <c r="BR77" s="276" t="e">
        <f>IF('Pay App 33'!$H$149=0,NA(),IFERROR('Pay App 33'!F135/'Summary Sheet'!$D$19,""))</f>
        <v>#N/A</v>
      </c>
      <c r="BS77" s="264"/>
      <c r="BT77" s="263" t="e">
        <f>IF('Pay App 34'!$H$149=0,NA(),IFERROR('Pay App 34'!F135/'Summary Sheet'!$D$19,""))</f>
        <v>#N/A</v>
      </c>
      <c r="BU77" s="264"/>
      <c r="BV77" s="276" t="e">
        <f>IF('Pay App 35'!$H$149=0,NA(),IFERROR('Pay App 35'!F135/'Summary Sheet'!$D$19,""))</f>
        <v>#N/A</v>
      </c>
      <c r="BW77" s="264"/>
      <c r="BX77" s="263" t="e">
        <f>IF('Pay App 36'!$H$149=0,NA(),IFERROR('Pay App 36'!F135/'Summary Sheet'!$D$19,""))</f>
        <v>#N/A</v>
      </c>
      <c r="BY77" s="264"/>
      <c r="BZ77" s="276" t="e">
        <f>IF('Pay App 37'!$H$149=0,NA(),IFERROR('Pay App 37'!F135/'Summary Sheet'!$D$19,""))</f>
        <v>#N/A</v>
      </c>
      <c r="CA77" s="264"/>
      <c r="CB77" s="263" t="e">
        <f>IF('Pay App 38'!$H$149=0,NA(),IFERROR('Pay App 38'!F135/'Summary Sheet'!$D$19,""))</f>
        <v>#N/A</v>
      </c>
      <c r="CC77" s="264"/>
      <c r="CD77" s="276" t="e">
        <f>IF('Pay App 39'!$H$149=0,NA(),IFERROR('Pay App 39'!F135/'Summary Sheet'!$D$19,""))</f>
        <v>#N/A</v>
      </c>
      <c r="CE77" s="264"/>
      <c r="CF77" s="263" t="e">
        <f>IF('Pay App 40'!$H$149=0,NA(),IFERROR('Pay App 40'!F135/'Summary Sheet'!$D$19,""))</f>
        <v>#N/A</v>
      </c>
      <c r="CG77" s="264"/>
      <c r="CH77" s="276" t="e">
        <f>IF('Pay App 41'!$H$149=0,NA(),IFERROR('Pay App 41'!F135/'Summary Sheet'!$D$19,""))</f>
        <v>#N/A</v>
      </c>
      <c r="CI77" s="264"/>
      <c r="CJ77" s="263" t="e">
        <f>IF('Pay App 42'!$H$149=0,NA(),IFERROR('Pay App 42'!F135/'Summary Sheet'!$D$19,""))</f>
        <v>#N/A</v>
      </c>
      <c r="CK77" s="264"/>
      <c r="CL77" s="276" t="e">
        <f>IF('Pay App 43'!$H$149=0,NA(),IFERROR('Pay App 43'!F135/'Summary Sheet'!$D$19,""))</f>
        <v>#N/A</v>
      </c>
      <c r="CM77" s="264"/>
      <c r="CN77" s="263" t="e">
        <f>IF('Pay App 44'!$H$149=0,NA(),IFERROR('Pay App 44'!F135/'Summary Sheet'!$D$19,""))</f>
        <v>#N/A</v>
      </c>
      <c r="CO77" s="264"/>
      <c r="CP77" s="276" t="e">
        <f>IF('Pay App 45'!$H$149=0,NA(),IFERROR('Pay App 45'!F135/'Summary Sheet'!$D$19,""))</f>
        <v>#N/A</v>
      </c>
      <c r="CQ77" s="264"/>
      <c r="CR77" s="263" t="e">
        <f>IF('Pay App 46'!$H$149=0,NA(),IFERROR('Pay App 46'!F135/'Summary Sheet'!$D$19,""))</f>
        <v>#N/A</v>
      </c>
      <c r="CS77" s="264"/>
      <c r="CT77" s="276" t="e">
        <f>IF('Pay App 47'!$H$149=0,NA(),IFERROR('Pay App 47'!F135/'Summary Sheet'!$D$19,""))</f>
        <v>#N/A</v>
      </c>
      <c r="CU77" s="264"/>
      <c r="CV77" s="263" t="e">
        <f>IF('Pay App 48'!$H$149=0,NA(),IFERROR('Pay App 48'!F135/'Summary Sheet'!$D$19,""))</f>
        <v>#N/A</v>
      </c>
      <c r="CW77" s="264"/>
      <c r="CX77" s="276" t="e">
        <f>IF('Pay App 49'!$H$149=0,NA(),IFERROR('Pay App 49'!F135/'Summary Sheet'!$D$19,""))</f>
        <v>#N/A</v>
      </c>
      <c r="CY77" s="264"/>
      <c r="CZ77" s="263" t="e">
        <f>IF('Pay App 50'!$H$149=0,NA(),IFERROR('Pay App 50'!F135/'Summary Sheet'!$D$19,""))</f>
        <v>#N/A</v>
      </c>
      <c r="DA77" s="264"/>
      <c r="DB77" s="276" t="e">
        <f>IF('Pay App 51'!$H$149=0,NA(),IFERROR('Pay App 51'!F135/'Summary Sheet'!$D$19,""))</f>
        <v>#N/A</v>
      </c>
      <c r="DC77" s="264"/>
      <c r="DD77" s="263" t="e">
        <f>IF('Pay App 52'!$H$149=0,NA(),IFERROR('Pay App 52'!F135/'Summary Sheet'!$D$19,""))</f>
        <v>#N/A</v>
      </c>
      <c r="DE77" s="264"/>
      <c r="DF77" s="276" t="e">
        <f>IF('Pay App 53'!$H$149=0,NA(),IFERROR('Pay App 53'!F135/'Summary Sheet'!$D$19,""))</f>
        <v>#N/A</v>
      </c>
      <c r="DG77" s="264"/>
      <c r="DH77" s="263" t="e">
        <f>IF('Pay App 54'!$H$149=0,NA(),IFERROR('Pay App 54'!F135/'Summary Sheet'!$D$19,""))</f>
        <v>#N/A</v>
      </c>
      <c r="DI77" s="264"/>
      <c r="DJ77" s="276" t="e">
        <f>IF('Pay App 55'!$H$149=0,NA(),IFERROR('Pay App 55'!F135/'Summary Sheet'!$D$19,""))</f>
        <v>#N/A</v>
      </c>
      <c r="DK77" s="264"/>
      <c r="DL77" s="263" t="e">
        <f>IF('Pay App 56'!$H$149=0,NA(),IFERROR('Pay App 56'!F135/'Summary Sheet'!$D$19,""))</f>
        <v>#N/A</v>
      </c>
      <c r="DM77" s="264"/>
      <c r="DN77" s="276" t="e">
        <f>IF('Pay App 57'!$H$149=0,NA(),IFERROR('Pay App 57'!F135/'Summary Sheet'!$D$19,""))</f>
        <v>#N/A</v>
      </c>
      <c r="DO77" s="264"/>
      <c r="DP77" s="263" t="e">
        <f>IF('Pay App 58'!$H$149=0,NA(),IFERROR('Pay App 58'!F135/'Summary Sheet'!$D$19,""))</f>
        <v>#N/A</v>
      </c>
      <c r="DQ77" s="264"/>
      <c r="DR77" s="276" t="e">
        <f>IF('Pay App 59'!$H$149=0,NA(),IFERROR('Pay App 59'!F135/'Summary Sheet'!$D$19,""))</f>
        <v>#N/A</v>
      </c>
      <c r="DS77" s="264"/>
      <c r="DT77" s="263" t="e">
        <f>IF('Pay App 60'!$H$149=0,NA(),IFERROR('Pay App 60'!F1045/'Summary Sheet'!$D$19,""))</f>
        <v>#N/A</v>
      </c>
      <c r="DU77" s="296"/>
    </row>
    <row r="78" spans="2:125" x14ac:dyDescent="0.25">
      <c r="B78" s="40" t="str">
        <f>'Pay App 1'!B136</f>
        <v>31 00 00</v>
      </c>
      <c r="C78" s="41" t="str">
        <f>'Pay App 1'!C136</f>
        <v>Building &amp; Site Earthwork</v>
      </c>
      <c r="D78" s="282" t="str" cm="1">
        <f t="array" ref="D78">IFERROR(1+(LOOKUP(2,1/(E78:DT78&lt;&gt;""),E78:DT78)-E78)/E78,"")</f>
        <v/>
      </c>
      <c r="E78" s="275" t="str">
        <f>IFERROR('GMP Tracker'!D82/'Summary Sheet'!$D$19,"")</f>
        <v/>
      </c>
      <c r="F78" s="276" t="e">
        <f>IF('Pay App 1'!$D$149=0,NA(),IFERROR('Pay App 1'!F136/'Summary Sheet'!$D$19,""))</f>
        <v>#N/A</v>
      </c>
      <c r="G78" s="271"/>
      <c r="H78" s="277" t="e">
        <f>IF('Pay App 2'!$H$149=0,NA(),IFERROR('Pay App 2'!F136/'Summary Sheet'!$D$19,""))</f>
        <v>#N/A</v>
      </c>
      <c r="I78" s="266"/>
      <c r="J78" s="276" t="e">
        <f>IF('Pay App 3'!$H$149=0,NA(),IFERROR('Pay App 3'!F136/'Summary Sheet'!$D$19,""))</f>
        <v>#N/A</v>
      </c>
      <c r="K78" s="268"/>
      <c r="L78" s="277" t="e">
        <f>IF('Pay App 4'!$H$149=0,NA(),IFERROR('Pay App 4'!F136/'Summary Sheet'!$D$19,""))</f>
        <v>#N/A</v>
      </c>
      <c r="M78" s="266"/>
      <c r="N78" s="276" t="e">
        <f>IF('Pay App 5'!$H$149=0,NA(),IFERROR('Pay App 5'!F136/'Summary Sheet'!$D$19,""))</f>
        <v>#N/A</v>
      </c>
      <c r="O78" s="263"/>
      <c r="P78" s="277" t="e">
        <f>IF('Pay App 6'!$H$149=0,NA(),IFERROR('Pay App 6'!F136/'Summary Sheet'!$D$19,""))</f>
        <v>#N/A</v>
      </c>
      <c r="Q78" s="263"/>
      <c r="R78" s="276" t="e">
        <f>IF('Pay App 7'!$H$149=0,NA(),IFERROR('Pay App 7'!F136/'Summary Sheet'!$D$19,""))</f>
        <v>#N/A</v>
      </c>
      <c r="S78" s="263"/>
      <c r="T78" s="277" t="e">
        <f>IF('Pay App 8'!$H$149=0,NA(),IFERROR('Pay App 8'!F136/'Summary Sheet'!$D$19,""))</f>
        <v>#N/A</v>
      </c>
      <c r="U78" s="263"/>
      <c r="V78" s="276" t="e">
        <f>IF('Pay App 9'!$H$149=0,NA(),IFERROR('Pay App 9'!F136/'Summary Sheet'!$D$19,""))</f>
        <v>#N/A</v>
      </c>
      <c r="W78" s="263"/>
      <c r="X78" s="277" t="e">
        <f>IF('Pay App 10'!$H$149=0,NA(),IFERROR('Pay App 10'!F136/'Summary Sheet'!$D$19,""))</f>
        <v>#N/A</v>
      </c>
      <c r="Y78" s="263"/>
      <c r="Z78" s="276" t="e">
        <f>IF('Pay App 11'!$H$149=0,NA(),IFERROR('Pay App 11'!F136/'Summary Sheet'!$D$19,""))</f>
        <v>#N/A</v>
      </c>
      <c r="AA78" s="263"/>
      <c r="AB78" s="277" t="e">
        <f>IF('Pay App 12'!$H$149=0,NA(),IFERROR('Pay App 12'!F136/'Summary Sheet'!$D$19,""))</f>
        <v>#N/A</v>
      </c>
      <c r="AC78" s="263"/>
      <c r="AD78" s="276" t="e">
        <f>IF('Pay App 13'!$H$149=0,NA(),IFERROR('Pay App 13'!F136/'Summary Sheet'!$D$19,""))</f>
        <v>#N/A</v>
      </c>
      <c r="AE78" s="263"/>
      <c r="AF78" s="277" t="e">
        <f>IF('Pay App 14'!$H$149=0,NA(),IFERROR('Pay App 14'!F136/'Summary Sheet'!$D$19,""))</f>
        <v>#N/A</v>
      </c>
      <c r="AG78" s="263"/>
      <c r="AH78" s="276" t="e">
        <f>IF('Pay App 15'!$H$149=0,NA(),IFERROR('Pay App 15'!F136/'Summary Sheet'!$D$19,""))</f>
        <v>#N/A</v>
      </c>
      <c r="AI78" s="263"/>
      <c r="AJ78" s="277" t="e">
        <f>IF('Pay App 16'!$H$149=0,NA(),IFERROR('Pay App 16'!F136/'Summary Sheet'!$D$19,""))</f>
        <v>#N/A</v>
      </c>
      <c r="AK78" s="263"/>
      <c r="AL78" s="276" t="e">
        <f>IF('Pay App 17'!$H$149=0,NA(),IFERROR('Pay App 17'!F136/'Summary Sheet'!$D$19,""))</f>
        <v>#N/A</v>
      </c>
      <c r="AM78" s="263"/>
      <c r="AN78" s="277" t="e">
        <f>IF('Pay App 18'!$H$149=0,NA(),IFERROR('Pay App 18'!F136/'Summary Sheet'!$D$19,""))</f>
        <v>#N/A</v>
      </c>
      <c r="AO78" s="263"/>
      <c r="AP78" s="276" t="e">
        <f>IF('Pay App 19'!$H$149=0,NA(),IFERROR('Pay App 19'!F136/'Summary Sheet'!$D$19,""))</f>
        <v>#N/A</v>
      </c>
      <c r="AQ78" s="263"/>
      <c r="AR78" s="263" t="e">
        <f>IF('Pay App 20'!$H$149=0,NA(),IFERROR('Pay App 20'!F136/'Summary Sheet'!$D$19,""))</f>
        <v>#N/A</v>
      </c>
      <c r="AS78" s="264"/>
      <c r="AT78" s="276" t="e">
        <f>IF('Pay App 21'!$H$149=0,NA(),IFERROR('Pay App 21'!F136/'Summary Sheet'!$D$19,""))</f>
        <v>#N/A</v>
      </c>
      <c r="AU78" s="264"/>
      <c r="AV78" s="263" t="e">
        <f>IF('Pay App 22'!$H$149=0,NA(),IFERROR('Pay App 22'!F136/'Summary Sheet'!$D$19,""))</f>
        <v>#N/A</v>
      </c>
      <c r="AW78" s="264"/>
      <c r="AX78" s="276" t="e">
        <f>IF('Pay App 23'!$H$149=0,NA(),IFERROR('Pay App 23'!F136/'Summary Sheet'!$D$19,""))</f>
        <v>#N/A</v>
      </c>
      <c r="AY78" s="264"/>
      <c r="AZ78" s="263" t="e">
        <f>IF('Pay App 24'!$H$149=0,NA(),IFERROR('Pay App 24'!F136/'Summary Sheet'!$D$19,""))</f>
        <v>#N/A</v>
      </c>
      <c r="BA78" s="264"/>
      <c r="BB78" s="276" t="e">
        <f>IF('Pay App 25'!$H$149=0,NA(),IFERROR('Pay App 25'!F136/'Summary Sheet'!$D$19,""))</f>
        <v>#N/A</v>
      </c>
      <c r="BC78" s="264"/>
      <c r="BD78" s="263" t="e">
        <f>IF('Pay App 26'!$H$149=0,NA(),IFERROR('Pay App 26'!F136/'Summary Sheet'!$D$19,""))</f>
        <v>#N/A</v>
      </c>
      <c r="BE78" s="264"/>
      <c r="BF78" s="276" t="e">
        <f>IF('Pay App 27'!$H$149=0,NA(),IFERROR('Pay App 27'!F136/'Summary Sheet'!$D$19,""))</f>
        <v>#N/A</v>
      </c>
      <c r="BG78" s="264"/>
      <c r="BH78" s="263" t="e">
        <f>IF('Pay App 28'!$H$149=0,NA(),IFERROR('Pay App 28'!F136/'Summary Sheet'!$D$19,""))</f>
        <v>#N/A</v>
      </c>
      <c r="BI78" s="264"/>
      <c r="BJ78" s="276" t="e">
        <f>IF('Pay App 29'!$H$149=0,NA(),IFERROR('Pay App 29'!F136/'Summary Sheet'!$D$19,""))</f>
        <v>#N/A</v>
      </c>
      <c r="BK78" s="271"/>
      <c r="BL78" s="263" t="e">
        <f>IF('Pay App 30'!$H$149=0,NA(),IFERROR('Pay App 30'!F136/'Summary Sheet'!$D$19,""))</f>
        <v>#N/A</v>
      </c>
      <c r="BM78" s="264"/>
      <c r="BN78" s="276" t="e">
        <f>IF('Pay App 31'!$H$149=0,NA(),IFERROR('Pay App 31'!F136/'Summary Sheet'!$D$19,""))</f>
        <v>#N/A</v>
      </c>
      <c r="BO78" s="264"/>
      <c r="BP78" s="263" t="e">
        <f>IF('Pay App 32'!$H$149=0,NA(),IFERROR('Pay App 32'!F136/'Summary Sheet'!$D$19,""))</f>
        <v>#N/A</v>
      </c>
      <c r="BQ78" s="264"/>
      <c r="BR78" s="276" t="e">
        <f>IF('Pay App 33'!$H$149=0,NA(),IFERROR('Pay App 33'!F136/'Summary Sheet'!$D$19,""))</f>
        <v>#N/A</v>
      </c>
      <c r="BS78" s="264"/>
      <c r="BT78" s="263" t="e">
        <f>IF('Pay App 34'!$H$149=0,NA(),IFERROR('Pay App 34'!F136/'Summary Sheet'!$D$19,""))</f>
        <v>#N/A</v>
      </c>
      <c r="BU78" s="264"/>
      <c r="BV78" s="276" t="e">
        <f>IF('Pay App 35'!$H$149=0,NA(),IFERROR('Pay App 35'!F136/'Summary Sheet'!$D$19,""))</f>
        <v>#N/A</v>
      </c>
      <c r="BW78" s="264"/>
      <c r="BX78" s="263" t="e">
        <f>IF('Pay App 36'!$H$149=0,NA(),IFERROR('Pay App 36'!F136/'Summary Sheet'!$D$19,""))</f>
        <v>#N/A</v>
      </c>
      <c r="BY78" s="264"/>
      <c r="BZ78" s="276" t="e">
        <f>IF('Pay App 37'!$H$149=0,NA(),IFERROR('Pay App 37'!F136/'Summary Sheet'!$D$19,""))</f>
        <v>#N/A</v>
      </c>
      <c r="CA78" s="264"/>
      <c r="CB78" s="263" t="e">
        <f>IF('Pay App 38'!$H$149=0,NA(),IFERROR('Pay App 38'!F136/'Summary Sheet'!$D$19,""))</f>
        <v>#N/A</v>
      </c>
      <c r="CC78" s="264"/>
      <c r="CD78" s="276" t="e">
        <f>IF('Pay App 39'!$H$149=0,NA(),IFERROR('Pay App 39'!F136/'Summary Sheet'!$D$19,""))</f>
        <v>#N/A</v>
      </c>
      <c r="CE78" s="264"/>
      <c r="CF78" s="263" t="e">
        <f>IF('Pay App 40'!$H$149=0,NA(),IFERROR('Pay App 40'!F136/'Summary Sheet'!$D$19,""))</f>
        <v>#N/A</v>
      </c>
      <c r="CG78" s="264"/>
      <c r="CH78" s="276" t="e">
        <f>IF('Pay App 41'!$H$149=0,NA(),IFERROR('Pay App 41'!F136/'Summary Sheet'!$D$19,""))</f>
        <v>#N/A</v>
      </c>
      <c r="CI78" s="264"/>
      <c r="CJ78" s="263" t="e">
        <f>IF('Pay App 42'!$H$149=0,NA(),IFERROR('Pay App 42'!F136/'Summary Sheet'!$D$19,""))</f>
        <v>#N/A</v>
      </c>
      <c r="CK78" s="264"/>
      <c r="CL78" s="276" t="e">
        <f>IF('Pay App 43'!$H$149=0,NA(),IFERROR('Pay App 43'!F136/'Summary Sheet'!$D$19,""))</f>
        <v>#N/A</v>
      </c>
      <c r="CM78" s="264"/>
      <c r="CN78" s="263" t="e">
        <f>IF('Pay App 44'!$H$149=0,NA(),IFERROR('Pay App 44'!F136/'Summary Sheet'!$D$19,""))</f>
        <v>#N/A</v>
      </c>
      <c r="CO78" s="264"/>
      <c r="CP78" s="276" t="e">
        <f>IF('Pay App 45'!$H$149=0,NA(),IFERROR('Pay App 45'!F136/'Summary Sheet'!$D$19,""))</f>
        <v>#N/A</v>
      </c>
      <c r="CQ78" s="264"/>
      <c r="CR78" s="263" t="e">
        <f>IF('Pay App 46'!$H$149=0,NA(),IFERROR('Pay App 46'!F136/'Summary Sheet'!$D$19,""))</f>
        <v>#N/A</v>
      </c>
      <c r="CS78" s="264"/>
      <c r="CT78" s="276" t="e">
        <f>IF('Pay App 47'!$H$149=0,NA(),IFERROR('Pay App 47'!F136/'Summary Sheet'!$D$19,""))</f>
        <v>#N/A</v>
      </c>
      <c r="CU78" s="264"/>
      <c r="CV78" s="263" t="e">
        <f>IF('Pay App 48'!$H$149=0,NA(),IFERROR('Pay App 48'!F136/'Summary Sheet'!$D$19,""))</f>
        <v>#N/A</v>
      </c>
      <c r="CW78" s="264"/>
      <c r="CX78" s="276" t="e">
        <f>IF('Pay App 49'!$H$149=0,NA(),IFERROR('Pay App 49'!F136/'Summary Sheet'!$D$19,""))</f>
        <v>#N/A</v>
      </c>
      <c r="CY78" s="264"/>
      <c r="CZ78" s="263" t="e">
        <f>IF('Pay App 50'!$H$149=0,NA(),IFERROR('Pay App 50'!F136/'Summary Sheet'!$D$19,""))</f>
        <v>#N/A</v>
      </c>
      <c r="DA78" s="264"/>
      <c r="DB78" s="276" t="e">
        <f>IF('Pay App 51'!$H$149=0,NA(),IFERROR('Pay App 51'!F136/'Summary Sheet'!$D$19,""))</f>
        <v>#N/A</v>
      </c>
      <c r="DC78" s="264"/>
      <c r="DD78" s="263" t="e">
        <f>IF('Pay App 52'!$H$149=0,NA(),IFERROR('Pay App 52'!F136/'Summary Sheet'!$D$19,""))</f>
        <v>#N/A</v>
      </c>
      <c r="DE78" s="264"/>
      <c r="DF78" s="276" t="e">
        <f>IF('Pay App 53'!$H$149=0,NA(),IFERROR('Pay App 53'!F136/'Summary Sheet'!$D$19,""))</f>
        <v>#N/A</v>
      </c>
      <c r="DG78" s="264"/>
      <c r="DH78" s="263" t="e">
        <f>IF('Pay App 54'!$H$149=0,NA(),IFERROR('Pay App 54'!F136/'Summary Sheet'!$D$19,""))</f>
        <v>#N/A</v>
      </c>
      <c r="DI78" s="264"/>
      <c r="DJ78" s="276" t="e">
        <f>IF('Pay App 55'!$H$149=0,NA(),IFERROR('Pay App 55'!F136/'Summary Sheet'!$D$19,""))</f>
        <v>#N/A</v>
      </c>
      <c r="DK78" s="264"/>
      <c r="DL78" s="263" t="e">
        <f>IF('Pay App 56'!$H$149=0,NA(),IFERROR('Pay App 56'!F136/'Summary Sheet'!$D$19,""))</f>
        <v>#N/A</v>
      </c>
      <c r="DM78" s="264"/>
      <c r="DN78" s="276" t="e">
        <f>IF('Pay App 57'!$H$149=0,NA(),IFERROR('Pay App 57'!F136/'Summary Sheet'!$D$19,""))</f>
        <v>#N/A</v>
      </c>
      <c r="DO78" s="264"/>
      <c r="DP78" s="263" t="e">
        <f>IF('Pay App 58'!$H$149=0,NA(),IFERROR('Pay App 58'!F136/'Summary Sheet'!$D$19,""))</f>
        <v>#N/A</v>
      </c>
      <c r="DQ78" s="264"/>
      <c r="DR78" s="276" t="e">
        <f>IF('Pay App 59'!$H$149=0,NA(),IFERROR('Pay App 59'!F136/'Summary Sheet'!$D$19,""))</f>
        <v>#N/A</v>
      </c>
      <c r="DS78" s="264"/>
      <c r="DT78" s="263" t="e">
        <f>IF('Pay App 60'!$H$149=0,NA(),IFERROR('Pay App 60'!F1046/'Summary Sheet'!$D$19,""))</f>
        <v>#N/A</v>
      </c>
      <c r="DU78" s="296"/>
    </row>
    <row r="79" spans="2:125" x14ac:dyDescent="0.25">
      <c r="B79" s="40" t="str">
        <f>'Pay App 1'!B137</f>
        <v>31 40 00</v>
      </c>
      <c r="C79" s="41" t="str">
        <f>'Pay App 1'!C137</f>
        <v>Shoring/Pilings/Piers/Caissons</v>
      </c>
      <c r="D79" s="282" t="str" cm="1">
        <f t="array" ref="D79">IFERROR(1+(LOOKUP(2,1/(E79:DT79&lt;&gt;""),E79:DT79)-E79)/E79,"")</f>
        <v/>
      </c>
      <c r="E79" s="275" t="str">
        <f>IFERROR('GMP Tracker'!D83/'Summary Sheet'!$D$19,"")</f>
        <v/>
      </c>
      <c r="F79" s="276" t="e">
        <f>IF('Pay App 1'!$D$149=0,NA(),IFERROR('Pay App 1'!F137/'Summary Sheet'!$D$19,""))</f>
        <v>#N/A</v>
      </c>
      <c r="G79" s="271"/>
      <c r="H79" s="277" t="e">
        <f>IF('Pay App 2'!$H$149=0,NA(),IFERROR('Pay App 2'!F137/'Summary Sheet'!$D$19,""))</f>
        <v>#N/A</v>
      </c>
      <c r="I79" s="266"/>
      <c r="J79" s="276" t="e">
        <f>IF('Pay App 3'!$H$149=0,NA(),IFERROR('Pay App 3'!F137/'Summary Sheet'!$D$19,""))</f>
        <v>#N/A</v>
      </c>
      <c r="K79" s="268"/>
      <c r="L79" s="277" t="e">
        <f>IF('Pay App 4'!$H$149=0,NA(),IFERROR('Pay App 4'!F137/'Summary Sheet'!$D$19,""))</f>
        <v>#N/A</v>
      </c>
      <c r="M79" s="266"/>
      <c r="N79" s="276" t="e">
        <f>IF('Pay App 5'!$H$149=0,NA(),IFERROR('Pay App 5'!F137/'Summary Sheet'!$D$19,""))</f>
        <v>#N/A</v>
      </c>
      <c r="O79" s="263"/>
      <c r="P79" s="277" t="e">
        <f>IF('Pay App 6'!$H$149=0,NA(),IFERROR('Pay App 6'!F137/'Summary Sheet'!$D$19,""))</f>
        <v>#N/A</v>
      </c>
      <c r="Q79" s="263"/>
      <c r="R79" s="276" t="e">
        <f>IF('Pay App 7'!$H$149=0,NA(),IFERROR('Pay App 7'!F137/'Summary Sheet'!$D$19,""))</f>
        <v>#N/A</v>
      </c>
      <c r="S79" s="263"/>
      <c r="T79" s="277" t="e">
        <f>IF('Pay App 8'!$H$149=0,NA(),IFERROR('Pay App 8'!F137/'Summary Sheet'!$D$19,""))</f>
        <v>#N/A</v>
      </c>
      <c r="U79" s="263"/>
      <c r="V79" s="276" t="e">
        <f>IF('Pay App 9'!$H$149=0,NA(),IFERROR('Pay App 9'!F137/'Summary Sheet'!$D$19,""))</f>
        <v>#N/A</v>
      </c>
      <c r="W79" s="263"/>
      <c r="X79" s="277" t="e">
        <f>IF('Pay App 10'!$H$149=0,NA(),IFERROR('Pay App 10'!F137/'Summary Sheet'!$D$19,""))</f>
        <v>#N/A</v>
      </c>
      <c r="Y79" s="263"/>
      <c r="Z79" s="276" t="e">
        <f>IF('Pay App 11'!$H$149=0,NA(),IFERROR('Pay App 11'!F137/'Summary Sheet'!$D$19,""))</f>
        <v>#N/A</v>
      </c>
      <c r="AA79" s="263"/>
      <c r="AB79" s="277" t="e">
        <f>IF('Pay App 12'!$H$149=0,NA(),IFERROR('Pay App 12'!F137/'Summary Sheet'!$D$19,""))</f>
        <v>#N/A</v>
      </c>
      <c r="AC79" s="263"/>
      <c r="AD79" s="276" t="e">
        <f>IF('Pay App 13'!$H$149=0,NA(),IFERROR('Pay App 13'!F137/'Summary Sheet'!$D$19,""))</f>
        <v>#N/A</v>
      </c>
      <c r="AE79" s="263"/>
      <c r="AF79" s="277" t="e">
        <f>IF('Pay App 14'!$H$149=0,NA(),IFERROR('Pay App 14'!F137/'Summary Sheet'!$D$19,""))</f>
        <v>#N/A</v>
      </c>
      <c r="AG79" s="263"/>
      <c r="AH79" s="276" t="e">
        <f>IF('Pay App 15'!$H$149=0,NA(),IFERROR('Pay App 15'!F137/'Summary Sheet'!$D$19,""))</f>
        <v>#N/A</v>
      </c>
      <c r="AI79" s="263"/>
      <c r="AJ79" s="277" t="e">
        <f>IF('Pay App 16'!$H$149=0,NA(),IFERROR('Pay App 16'!F137/'Summary Sheet'!$D$19,""))</f>
        <v>#N/A</v>
      </c>
      <c r="AK79" s="263"/>
      <c r="AL79" s="276" t="e">
        <f>IF('Pay App 17'!$H$149=0,NA(),IFERROR('Pay App 17'!F137/'Summary Sheet'!$D$19,""))</f>
        <v>#N/A</v>
      </c>
      <c r="AM79" s="263"/>
      <c r="AN79" s="277" t="e">
        <f>IF('Pay App 18'!$H$149=0,NA(),IFERROR('Pay App 18'!F137/'Summary Sheet'!$D$19,""))</f>
        <v>#N/A</v>
      </c>
      <c r="AO79" s="263"/>
      <c r="AP79" s="276" t="e">
        <f>IF('Pay App 19'!$H$149=0,NA(),IFERROR('Pay App 19'!F137/'Summary Sheet'!$D$19,""))</f>
        <v>#N/A</v>
      </c>
      <c r="AQ79" s="263"/>
      <c r="AR79" s="263" t="e">
        <f>IF('Pay App 20'!$H$149=0,NA(),IFERROR('Pay App 20'!F137/'Summary Sheet'!$D$19,""))</f>
        <v>#N/A</v>
      </c>
      <c r="AS79" s="264"/>
      <c r="AT79" s="276" t="e">
        <f>IF('Pay App 21'!$H$149=0,NA(),IFERROR('Pay App 21'!F137/'Summary Sheet'!$D$19,""))</f>
        <v>#N/A</v>
      </c>
      <c r="AU79" s="264"/>
      <c r="AV79" s="263" t="e">
        <f>IF('Pay App 22'!$H$149=0,NA(),IFERROR('Pay App 22'!F137/'Summary Sheet'!$D$19,""))</f>
        <v>#N/A</v>
      </c>
      <c r="AW79" s="264"/>
      <c r="AX79" s="276" t="e">
        <f>IF('Pay App 23'!$H$149=0,NA(),IFERROR('Pay App 23'!F137/'Summary Sheet'!$D$19,""))</f>
        <v>#N/A</v>
      </c>
      <c r="AY79" s="264"/>
      <c r="AZ79" s="263" t="e">
        <f>IF('Pay App 24'!$H$149=0,NA(),IFERROR('Pay App 24'!F137/'Summary Sheet'!$D$19,""))</f>
        <v>#N/A</v>
      </c>
      <c r="BA79" s="264"/>
      <c r="BB79" s="276" t="e">
        <f>IF('Pay App 25'!$H$149=0,NA(),IFERROR('Pay App 25'!F137/'Summary Sheet'!$D$19,""))</f>
        <v>#N/A</v>
      </c>
      <c r="BC79" s="264"/>
      <c r="BD79" s="263" t="e">
        <f>IF('Pay App 26'!$H$149=0,NA(),IFERROR('Pay App 26'!F137/'Summary Sheet'!$D$19,""))</f>
        <v>#N/A</v>
      </c>
      <c r="BE79" s="264"/>
      <c r="BF79" s="276" t="e">
        <f>IF('Pay App 27'!$H$149=0,NA(),IFERROR('Pay App 27'!F137/'Summary Sheet'!$D$19,""))</f>
        <v>#N/A</v>
      </c>
      <c r="BG79" s="264"/>
      <c r="BH79" s="263" t="e">
        <f>IF('Pay App 28'!$H$149=0,NA(),IFERROR('Pay App 28'!F137/'Summary Sheet'!$D$19,""))</f>
        <v>#N/A</v>
      </c>
      <c r="BI79" s="264"/>
      <c r="BJ79" s="276" t="e">
        <f>IF('Pay App 29'!$H$149=0,NA(),IFERROR('Pay App 29'!F137/'Summary Sheet'!$D$19,""))</f>
        <v>#N/A</v>
      </c>
      <c r="BK79" s="271"/>
      <c r="BL79" s="263" t="e">
        <f>IF('Pay App 30'!$H$149=0,NA(),IFERROR('Pay App 30'!F137/'Summary Sheet'!$D$19,""))</f>
        <v>#N/A</v>
      </c>
      <c r="BM79" s="264"/>
      <c r="BN79" s="276" t="e">
        <f>IF('Pay App 31'!$H$149=0,NA(),IFERROR('Pay App 31'!F137/'Summary Sheet'!$D$19,""))</f>
        <v>#N/A</v>
      </c>
      <c r="BO79" s="264"/>
      <c r="BP79" s="263" t="e">
        <f>IF('Pay App 32'!$H$149=0,NA(),IFERROR('Pay App 32'!F137/'Summary Sheet'!$D$19,""))</f>
        <v>#N/A</v>
      </c>
      <c r="BQ79" s="264"/>
      <c r="BR79" s="276" t="e">
        <f>IF('Pay App 33'!$H$149=0,NA(),IFERROR('Pay App 33'!F137/'Summary Sheet'!$D$19,""))</f>
        <v>#N/A</v>
      </c>
      <c r="BS79" s="264"/>
      <c r="BT79" s="263" t="e">
        <f>IF('Pay App 34'!$H$149=0,NA(),IFERROR('Pay App 34'!F137/'Summary Sheet'!$D$19,""))</f>
        <v>#N/A</v>
      </c>
      <c r="BU79" s="264"/>
      <c r="BV79" s="276" t="e">
        <f>IF('Pay App 35'!$H$149=0,NA(),IFERROR('Pay App 35'!F137/'Summary Sheet'!$D$19,""))</f>
        <v>#N/A</v>
      </c>
      <c r="BW79" s="264"/>
      <c r="BX79" s="263" t="e">
        <f>IF('Pay App 36'!$H$149=0,NA(),IFERROR('Pay App 36'!F137/'Summary Sheet'!$D$19,""))</f>
        <v>#N/A</v>
      </c>
      <c r="BY79" s="264"/>
      <c r="BZ79" s="276" t="e">
        <f>IF('Pay App 37'!$H$149=0,NA(),IFERROR('Pay App 37'!F137/'Summary Sheet'!$D$19,""))</f>
        <v>#N/A</v>
      </c>
      <c r="CA79" s="264"/>
      <c r="CB79" s="263" t="e">
        <f>IF('Pay App 38'!$H$149=0,NA(),IFERROR('Pay App 38'!F137/'Summary Sheet'!$D$19,""))</f>
        <v>#N/A</v>
      </c>
      <c r="CC79" s="264"/>
      <c r="CD79" s="276" t="e">
        <f>IF('Pay App 39'!$H$149=0,NA(),IFERROR('Pay App 39'!F137/'Summary Sheet'!$D$19,""))</f>
        <v>#N/A</v>
      </c>
      <c r="CE79" s="264"/>
      <c r="CF79" s="263" t="e">
        <f>IF('Pay App 40'!$H$149=0,NA(),IFERROR('Pay App 40'!F137/'Summary Sheet'!$D$19,""))</f>
        <v>#N/A</v>
      </c>
      <c r="CG79" s="264"/>
      <c r="CH79" s="276" t="e">
        <f>IF('Pay App 41'!$H$149=0,NA(),IFERROR('Pay App 41'!F137/'Summary Sheet'!$D$19,""))</f>
        <v>#N/A</v>
      </c>
      <c r="CI79" s="264"/>
      <c r="CJ79" s="263" t="e">
        <f>IF('Pay App 42'!$H$149=0,NA(),IFERROR('Pay App 42'!F137/'Summary Sheet'!$D$19,""))</f>
        <v>#N/A</v>
      </c>
      <c r="CK79" s="264"/>
      <c r="CL79" s="276" t="e">
        <f>IF('Pay App 43'!$H$149=0,NA(),IFERROR('Pay App 43'!F137/'Summary Sheet'!$D$19,""))</f>
        <v>#N/A</v>
      </c>
      <c r="CM79" s="264"/>
      <c r="CN79" s="263" t="e">
        <f>IF('Pay App 44'!$H$149=0,NA(),IFERROR('Pay App 44'!F137/'Summary Sheet'!$D$19,""))</f>
        <v>#N/A</v>
      </c>
      <c r="CO79" s="264"/>
      <c r="CP79" s="276" t="e">
        <f>IF('Pay App 45'!$H$149=0,NA(),IFERROR('Pay App 45'!F137/'Summary Sheet'!$D$19,""))</f>
        <v>#N/A</v>
      </c>
      <c r="CQ79" s="264"/>
      <c r="CR79" s="263" t="e">
        <f>IF('Pay App 46'!$H$149=0,NA(),IFERROR('Pay App 46'!F137/'Summary Sheet'!$D$19,""))</f>
        <v>#N/A</v>
      </c>
      <c r="CS79" s="264"/>
      <c r="CT79" s="276" t="e">
        <f>IF('Pay App 47'!$H$149=0,NA(),IFERROR('Pay App 47'!F137/'Summary Sheet'!$D$19,""))</f>
        <v>#N/A</v>
      </c>
      <c r="CU79" s="264"/>
      <c r="CV79" s="263" t="e">
        <f>IF('Pay App 48'!$H$149=0,NA(),IFERROR('Pay App 48'!F137/'Summary Sheet'!$D$19,""))</f>
        <v>#N/A</v>
      </c>
      <c r="CW79" s="264"/>
      <c r="CX79" s="276" t="e">
        <f>IF('Pay App 49'!$H$149=0,NA(),IFERROR('Pay App 49'!F137/'Summary Sheet'!$D$19,""))</f>
        <v>#N/A</v>
      </c>
      <c r="CY79" s="264"/>
      <c r="CZ79" s="263" t="e">
        <f>IF('Pay App 50'!$H$149=0,NA(),IFERROR('Pay App 50'!F137/'Summary Sheet'!$D$19,""))</f>
        <v>#N/A</v>
      </c>
      <c r="DA79" s="264"/>
      <c r="DB79" s="276" t="e">
        <f>IF('Pay App 51'!$H$149=0,NA(),IFERROR('Pay App 51'!F137/'Summary Sheet'!$D$19,""))</f>
        <v>#N/A</v>
      </c>
      <c r="DC79" s="264"/>
      <c r="DD79" s="263" t="e">
        <f>IF('Pay App 52'!$H$149=0,NA(),IFERROR('Pay App 52'!F137/'Summary Sheet'!$D$19,""))</f>
        <v>#N/A</v>
      </c>
      <c r="DE79" s="264"/>
      <c r="DF79" s="276" t="e">
        <f>IF('Pay App 53'!$H$149=0,NA(),IFERROR('Pay App 53'!F137/'Summary Sheet'!$D$19,""))</f>
        <v>#N/A</v>
      </c>
      <c r="DG79" s="264"/>
      <c r="DH79" s="263" t="e">
        <f>IF('Pay App 54'!$H$149=0,NA(),IFERROR('Pay App 54'!F137/'Summary Sheet'!$D$19,""))</f>
        <v>#N/A</v>
      </c>
      <c r="DI79" s="264"/>
      <c r="DJ79" s="276" t="e">
        <f>IF('Pay App 55'!$H$149=0,NA(),IFERROR('Pay App 55'!F137/'Summary Sheet'!$D$19,""))</f>
        <v>#N/A</v>
      </c>
      <c r="DK79" s="264"/>
      <c r="DL79" s="263" t="e">
        <f>IF('Pay App 56'!$H$149=0,NA(),IFERROR('Pay App 56'!F137/'Summary Sheet'!$D$19,""))</f>
        <v>#N/A</v>
      </c>
      <c r="DM79" s="264"/>
      <c r="DN79" s="276" t="e">
        <f>IF('Pay App 57'!$H$149=0,NA(),IFERROR('Pay App 57'!F137/'Summary Sheet'!$D$19,""))</f>
        <v>#N/A</v>
      </c>
      <c r="DO79" s="264"/>
      <c r="DP79" s="263" t="e">
        <f>IF('Pay App 58'!$H$149=0,NA(),IFERROR('Pay App 58'!F137/'Summary Sheet'!$D$19,""))</f>
        <v>#N/A</v>
      </c>
      <c r="DQ79" s="264"/>
      <c r="DR79" s="276" t="e">
        <f>IF('Pay App 59'!$H$149=0,NA(),IFERROR('Pay App 59'!F137/'Summary Sheet'!$D$19,""))</f>
        <v>#N/A</v>
      </c>
      <c r="DS79" s="264"/>
      <c r="DT79" s="263" t="e">
        <f>IF('Pay App 60'!$H$149=0,NA(),IFERROR('Pay App 60'!F1047/'Summary Sheet'!$D$19,""))</f>
        <v>#N/A</v>
      </c>
      <c r="DU79" s="296"/>
    </row>
    <row r="80" spans="2:125" x14ac:dyDescent="0.25">
      <c r="B80" s="40" t="str">
        <f>'Pay App 1'!B138</f>
        <v>31 50 00</v>
      </c>
      <c r="C80" s="41" t="str">
        <f>'Pay App 1'!C138</f>
        <v>Excavation Support &amp; Protection</v>
      </c>
      <c r="D80" s="282" t="str" cm="1">
        <f t="array" ref="D80">IFERROR(1+(LOOKUP(2,1/(E80:DT80&lt;&gt;""),E80:DT80)-E80)/E80,"")</f>
        <v/>
      </c>
      <c r="E80" s="275" t="str">
        <f>IFERROR('GMP Tracker'!D84/'Summary Sheet'!$D$19,"")</f>
        <v/>
      </c>
      <c r="F80" s="276" t="e">
        <f>IF('Pay App 1'!$D$149=0,NA(),IFERROR('Pay App 1'!F138/'Summary Sheet'!$D$19,""))</f>
        <v>#N/A</v>
      </c>
      <c r="G80" s="271"/>
      <c r="H80" s="277" t="e">
        <f>IF('Pay App 2'!$H$149=0,NA(),IFERROR('Pay App 2'!F138/'Summary Sheet'!$D$19,""))</f>
        <v>#N/A</v>
      </c>
      <c r="I80" s="266"/>
      <c r="J80" s="276" t="e">
        <f>IF('Pay App 3'!$H$149=0,NA(),IFERROR('Pay App 3'!F138/'Summary Sheet'!$D$19,""))</f>
        <v>#N/A</v>
      </c>
      <c r="K80" s="268"/>
      <c r="L80" s="277" t="e">
        <f>IF('Pay App 4'!$H$149=0,NA(),IFERROR('Pay App 4'!F138/'Summary Sheet'!$D$19,""))</f>
        <v>#N/A</v>
      </c>
      <c r="M80" s="266"/>
      <c r="N80" s="276" t="e">
        <f>IF('Pay App 5'!$H$149=0,NA(),IFERROR('Pay App 5'!F138/'Summary Sheet'!$D$19,""))</f>
        <v>#N/A</v>
      </c>
      <c r="O80" s="263"/>
      <c r="P80" s="277" t="e">
        <f>IF('Pay App 6'!$H$149=0,NA(),IFERROR('Pay App 6'!F138/'Summary Sheet'!$D$19,""))</f>
        <v>#N/A</v>
      </c>
      <c r="Q80" s="263"/>
      <c r="R80" s="276" t="e">
        <f>IF('Pay App 7'!$H$149=0,NA(),IFERROR('Pay App 7'!F138/'Summary Sheet'!$D$19,""))</f>
        <v>#N/A</v>
      </c>
      <c r="S80" s="263"/>
      <c r="T80" s="277" t="e">
        <f>IF('Pay App 8'!$H$149=0,NA(),IFERROR('Pay App 8'!F138/'Summary Sheet'!$D$19,""))</f>
        <v>#N/A</v>
      </c>
      <c r="U80" s="263"/>
      <c r="V80" s="276" t="e">
        <f>IF('Pay App 9'!$H$149=0,NA(),IFERROR('Pay App 9'!F138/'Summary Sheet'!$D$19,""))</f>
        <v>#N/A</v>
      </c>
      <c r="W80" s="263"/>
      <c r="X80" s="277" t="e">
        <f>IF('Pay App 10'!$H$149=0,NA(),IFERROR('Pay App 10'!F138/'Summary Sheet'!$D$19,""))</f>
        <v>#N/A</v>
      </c>
      <c r="Y80" s="263"/>
      <c r="Z80" s="276" t="e">
        <f>IF('Pay App 11'!$H$149=0,NA(),IFERROR('Pay App 11'!F138/'Summary Sheet'!$D$19,""))</f>
        <v>#N/A</v>
      </c>
      <c r="AA80" s="263"/>
      <c r="AB80" s="277" t="e">
        <f>IF('Pay App 12'!$H$149=0,NA(),IFERROR('Pay App 12'!F138/'Summary Sheet'!$D$19,""))</f>
        <v>#N/A</v>
      </c>
      <c r="AC80" s="263"/>
      <c r="AD80" s="276" t="e">
        <f>IF('Pay App 13'!$H$149=0,NA(),IFERROR('Pay App 13'!F138/'Summary Sheet'!$D$19,""))</f>
        <v>#N/A</v>
      </c>
      <c r="AE80" s="263"/>
      <c r="AF80" s="277" t="e">
        <f>IF('Pay App 14'!$H$149=0,NA(),IFERROR('Pay App 14'!F138/'Summary Sheet'!$D$19,""))</f>
        <v>#N/A</v>
      </c>
      <c r="AG80" s="263"/>
      <c r="AH80" s="276" t="e">
        <f>IF('Pay App 15'!$H$149=0,NA(),IFERROR('Pay App 15'!F138/'Summary Sheet'!$D$19,""))</f>
        <v>#N/A</v>
      </c>
      <c r="AI80" s="263"/>
      <c r="AJ80" s="277" t="e">
        <f>IF('Pay App 16'!$H$149=0,NA(),IFERROR('Pay App 16'!F138/'Summary Sheet'!$D$19,""))</f>
        <v>#N/A</v>
      </c>
      <c r="AK80" s="263"/>
      <c r="AL80" s="276" t="e">
        <f>IF('Pay App 17'!$H$149=0,NA(),IFERROR('Pay App 17'!F138/'Summary Sheet'!$D$19,""))</f>
        <v>#N/A</v>
      </c>
      <c r="AM80" s="263"/>
      <c r="AN80" s="277" t="e">
        <f>IF('Pay App 18'!$H$149=0,NA(),IFERROR('Pay App 18'!F138/'Summary Sheet'!$D$19,""))</f>
        <v>#N/A</v>
      </c>
      <c r="AO80" s="263"/>
      <c r="AP80" s="276" t="e">
        <f>IF('Pay App 19'!$H$149=0,NA(),IFERROR('Pay App 19'!F138/'Summary Sheet'!$D$19,""))</f>
        <v>#N/A</v>
      </c>
      <c r="AQ80" s="263"/>
      <c r="AR80" s="263" t="e">
        <f>IF('Pay App 20'!$H$149=0,NA(),IFERROR('Pay App 20'!F138/'Summary Sheet'!$D$19,""))</f>
        <v>#N/A</v>
      </c>
      <c r="AS80" s="264"/>
      <c r="AT80" s="276" t="e">
        <f>IF('Pay App 21'!$H$149=0,NA(),IFERROR('Pay App 21'!F138/'Summary Sheet'!$D$19,""))</f>
        <v>#N/A</v>
      </c>
      <c r="AU80" s="264"/>
      <c r="AV80" s="263" t="e">
        <f>IF('Pay App 22'!$H$149=0,NA(),IFERROR('Pay App 22'!F138/'Summary Sheet'!$D$19,""))</f>
        <v>#N/A</v>
      </c>
      <c r="AW80" s="264"/>
      <c r="AX80" s="276" t="e">
        <f>IF('Pay App 23'!$H$149=0,NA(),IFERROR('Pay App 23'!F138/'Summary Sheet'!$D$19,""))</f>
        <v>#N/A</v>
      </c>
      <c r="AY80" s="264"/>
      <c r="AZ80" s="263" t="e">
        <f>IF('Pay App 24'!$H$149=0,NA(),IFERROR('Pay App 24'!F138/'Summary Sheet'!$D$19,""))</f>
        <v>#N/A</v>
      </c>
      <c r="BA80" s="264"/>
      <c r="BB80" s="276" t="e">
        <f>IF('Pay App 25'!$H$149=0,NA(),IFERROR('Pay App 25'!F138/'Summary Sheet'!$D$19,""))</f>
        <v>#N/A</v>
      </c>
      <c r="BC80" s="264"/>
      <c r="BD80" s="263" t="e">
        <f>IF('Pay App 26'!$H$149=0,NA(),IFERROR('Pay App 26'!F138/'Summary Sheet'!$D$19,""))</f>
        <v>#N/A</v>
      </c>
      <c r="BE80" s="264"/>
      <c r="BF80" s="276" t="e">
        <f>IF('Pay App 27'!$H$149=0,NA(),IFERROR('Pay App 27'!F138/'Summary Sheet'!$D$19,""))</f>
        <v>#N/A</v>
      </c>
      <c r="BG80" s="264"/>
      <c r="BH80" s="263" t="e">
        <f>IF('Pay App 28'!$H$149=0,NA(),IFERROR('Pay App 28'!F138/'Summary Sheet'!$D$19,""))</f>
        <v>#N/A</v>
      </c>
      <c r="BI80" s="264"/>
      <c r="BJ80" s="276" t="e">
        <f>IF('Pay App 29'!$H$149=0,NA(),IFERROR('Pay App 29'!F138/'Summary Sheet'!$D$19,""))</f>
        <v>#N/A</v>
      </c>
      <c r="BK80" s="271"/>
      <c r="BL80" s="263" t="e">
        <f>IF('Pay App 30'!$H$149=0,NA(),IFERROR('Pay App 30'!F138/'Summary Sheet'!$D$19,""))</f>
        <v>#N/A</v>
      </c>
      <c r="BM80" s="264"/>
      <c r="BN80" s="276" t="e">
        <f>IF('Pay App 31'!$H$149=0,NA(),IFERROR('Pay App 31'!F138/'Summary Sheet'!$D$19,""))</f>
        <v>#N/A</v>
      </c>
      <c r="BO80" s="264"/>
      <c r="BP80" s="263" t="e">
        <f>IF('Pay App 32'!$H$149=0,NA(),IFERROR('Pay App 32'!F138/'Summary Sheet'!$D$19,""))</f>
        <v>#N/A</v>
      </c>
      <c r="BQ80" s="264"/>
      <c r="BR80" s="276" t="e">
        <f>IF('Pay App 33'!$H$149=0,NA(),IFERROR('Pay App 33'!F138/'Summary Sheet'!$D$19,""))</f>
        <v>#N/A</v>
      </c>
      <c r="BS80" s="264"/>
      <c r="BT80" s="263" t="e">
        <f>IF('Pay App 34'!$H$149=0,NA(),IFERROR('Pay App 34'!F138/'Summary Sheet'!$D$19,""))</f>
        <v>#N/A</v>
      </c>
      <c r="BU80" s="264"/>
      <c r="BV80" s="276" t="e">
        <f>IF('Pay App 35'!$H$149=0,NA(),IFERROR('Pay App 35'!F138/'Summary Sheet'!$D$19,""))</f>
        <v>#N/A</v>
      </c>
      <c r="BW80" s="264"/>
      <c r="BX80" s="263" t="e">
        <f>IF('Pay App 36'!$H$149=0,NA(),IFERROR('Pay App 36'!F138/'Summary Sheet'!$D$19,""))</f>
        <v>#N/A</v>
      </c>
      <c r="BY80" s="264"/>
      <c r="BZ80" s="276" t="e">
        <f>IF('Pay App 37'!$H$149=0,NA(),IFERROR('Pay App 37'!F138/'Summary Sheet'!$D$19,""))</f>
        <v>#N/A</v>
      </c>
      <c r="CA80" s="264"/>
      <c r="CB80" s="263" t="e">
        <f>IF('Pay App 38'!$H$149=0,NA(),IFERROR('Pay App 38'!F138/'Summary Sheet'!$D$19,""))</f>
        <v>#N/A</v>
      </c>
      <c r="CC80" s="264"/>
      <c r="CD80" s="276" t="e">
        <f>IF('Pay App 39'!$H$149=0,NA(),IFERROR('Pay App 39'!F138/'Summary Sheet'!$D$19,""))</f>
        <v>#N/A</v>
      </c>
      <c r="CE80" s="264"/>
      <c r="CF80" s="263" t="e">
        <f>IF('Pay App 40'!$H$149=0,NA(),IFERROR('Pay App 40'!F138/'Summary Sheet'!$D$19,""))</f>
        <v>#N/A</v>
      </c>
      <c r="CG80" s="264"/>
      <c r="CH80" s="276" t="e">
        <f>IF('Pay App 41'!$H$149=0,NA(),IFERROR('Pay App 41'!F138/'Summary Sheet'!$D$19,""))</f>
        <v>#N/A</v>
      </c>
      <c r="CI80" s="264"/>
      <c r="CJ80" s="263" t="e">
        <f>IF('Pay App 42'!$H$149=0,NA(),IFERROR('Pay App 42'!F138/'Summary Sheet'!$D$19,""))</f>
        <v>#N/A</v>
      </c>
      <c r="CK80" s="264"/>
      <c r="CL80" s="276" t="e">
        <f>IF('Pay App 43'!$H$149=0,NA(),IFERROR('Pay App 43'!F138/'Summary Sheet'!$D$19,""))</f>
        <v>#N/A</v>
      </c>
      <c r="CM80" s="264"/>
      <c r="CN80" s="263" t="e">
        <f>IF('Pay App 44'!$H$149=0,NA(),IFERROR('Pay App 44'!F138/'Summary Sheet'!$D$19,""))</f>
        <v>#N/A</v>
      </c>
      <c r="CO80" s="264"/>
      <c r="CP80" s="276" t="e">
        <f>IF('Pay App 45'!$H$149=0,NA(),IFERROR('Pay App 45'!F138/'Summary Sheet'!$D$19,""))</f>
        <v>#N/A</v>
      </c>
      <c r="CQ80" s="264"/>
      <c r="CR80" s="263" t="e">
        <f>IF('Pay App 46'!$H$149=0,NA(),IFERROR('Pay App 46'!F138/'Summary Sheet'!$D$19,""))</f>
        <v>#N/A</v>
      </c>
      <c r="CS80" s="264"/>
      <c r="CT80" s="276" t="e">
        <f>IF('Pay App 47'!$H$149=0,NA(),IFERROR('Pay App 47'!F138/'Summary Sheet'!$D$19,""))</f>
        <v>#N/A</v>
      </c>
      <c r="CU80" s="264"/>
      <c r="CV80" s="263" t="e">
        <f>IF('Pay App 48'!$H$149=0,NA(),IFERROR('Pay App 48'!F138/'Summary Sheet'!$D$19,""))</f>
        <v>#N/A</v>
      </c>
      <c r="CW80" s="264"/>
      <c r="CX80" s="276" t="e">
        <f>IF('Pay App 49'!$H$149=0,NA(),IFERROR('Pay App 49'!F138/'Summary Sheet'!$D$19,""))</f>
        <v>#N/A</v>
      </c>
      <c r="CY80" s="264"/>
      <c r="CZ80" s="263" t="e">
        <f>IF('Pay App 50'!$H$149=0,NA(),IFERROR('Pay App 50'!F138/'Summary Sheet'!$D$19,""))</f>
        <v>#N/A</v>
      </c>
      <c r="DA80" s="264"/>
      <c r="DB80" s="276" t="e">
        <f>IF('Pay App 51'!$H$149=0,NA(),IFERROR('Pay App 51'!F138/'Summary Sheet'!$D$19,""))</f>
        <v>#N/A</v>
      </c>
      <c r="DC80" s="264"/>
      <c r="DD80" s="263" t="e">
        <f>IF('Pay App 52'!$H$149=0,NA(),IFERROR('Pay App 52'!F138/'Summary Sheet'!$D$19,""))</f>
        <v>#N/A</v>
      </c>
      <c r="DE80" s="264"/>
      <c r="DF80" s="276" t="e">
        <f>IF('Pay App 53'!$H$149=0,NA(),IFERROR('Pay App 53'!F138/'Summary Sheet'!$D$19,""))</f>
        <v>#N/A</v>
      </c>
      <c r="DG80" s="264"/>
      <c r="DH80" s="263" t="e">
        <f>IF('Pay App 54'!$H$149=0,NA(),IFERROR('Pay App 54'!F138/'Summary Sheet'!$D$19,""))</f>
        <v>#N/A</v>
      </c>
      <c r="DI80" s="264"/>
      <c r="DJ80" s="276" t="e">
        <f>IF('Pay App 55'!$H$149=0,NA(),IFERROR('Pay App 55'!F138/'Summary Sheet'!$D$19,""))</f>
        <v>#N/A</v>
      </c>
      <c r="DK80" s="264"/>
      <c r="DL80" s="263" t="e">
        <f>IF('Pay App 56'!$H$149=0,NA(),IFERROR('Pay App 56'!F138/'Summary Sheet'!$D$19,""))</f>
        <v>#N/A</v>
      </c>
      <c r="DM80" s="264"/>
      <c r="DN80" s="276" t="e">
        <f>IF('Pay App 57'!$H$149=0,NA(),IFERROR('Pay App 57'!F138/'Summary Sheet'!$D$19,""))</f>
        <v>#N/A</v>
      </c>
      <c r="DO80" s="264"/>
      <c r="DP80" s="263" t="e">
        <f>IF('Pay App 58'!$H$149=0,NA(),IFERROR('Pay App 58'!F138/'Summary Sheet'!$D$19,""))</f>
        <v>#N/A</v>
      </c>
      <c r="DQ80" s="264"/>
      <c r="DR80" s="276" t="e">
        <f>IF('Pay App 59'!$H$149=0,NA(),IFERROR('Pay App 59'!F138/'Summary Sheet'!$D$19,""))</f>
        <v>#N/A</v>
      </c>
      <c r="DS80" s="264"/>
      <c r="DT80" s="263" t="e">
        <f>IF('Pay App 60'!$H$149=0,NA(),IFERROR('Pay App 60'!F1048/'Summary Sheet'!$D$19,""))</f>
        <v>#N/A</v>
      </c>
      <c r="DU80" s="296"/>
    </row>
    <row r="81" spans="2:125" x14ac:dyDescent="0.25">
      <c r="B81" s="42" t="str">
        <f>'Pay App 1'!B139</f>
        <v>32 12 16</v>
      </c>
      <c r="C81" s="43" t="str">
        <f>'Pay App 1'!C139</f>
        <v>Asphalt Paving</v>
      </c>
      <c r="D81" s="282" t="str" cm="1">
        <f t="array" ref="D81">IFERROR(1+(LOOKUP(2,1/(E81:DT81&lt;&gt;""),E81:DT81)-E81)/E81,"")</f>
        <v/>
      </c>
      <c r="E81" s="275" t="str">
        <f>IFERROR('GMP Tracker'!D85/'Summary Sheet'!$D$19,"")</f>
        <v/>
      </c>
      <c r="F81" s="276" t="e">
        <f>IF('Pay App 1'!$D$149=0,NA(),IFERROR('Pay App 1'!F139/'Summary Sheet'!$D$19,""))</f>
        <v>#N/A</v>
      </c>
      <c r="G81" s="271"/>
      <c r="H81" s="277" t="e">
        <f>IF('Pay App 2'!$H$149=0,NA(),IFERROR('Pay App 2'!F139/'Summary Sheet'!$D$19,""))</f>
        <v>#N/A</v>
      </c>
      <c r="I81" s="266"/>
      <c r="J81" s="276" t="e">
        <f>IF('Pay App 3'!$H$149=0,NA(),IFERROR('Pay App 3'!F139/'Summary Sheet'!$D$19,""))</f>
        <v>#N/A</v>
      </c>
      <c r="K81" s="268"/>
      <c r="L81" s="277" t="e">
        <f>IF('Pay App 4'!$H$149=0,NA(),IFERROR('Pay App 4'!F139/'Summary Sheet'!$D$19,""))</f>
        <v>#N/A</v>
      </c>
      <c r="M81" s="266"/>
      <c r="N81" s="276" t="e">
        <f>IF('Pay App 5'!$H$149=0,NA(),IFERROR('Pay App 5'!F139/'Summary Sheet'!$D$19,""))</f>
        <v>#N/A</v>
      </c>
      <c r="O81" s="263"/>
      <c r="P81" s="277" t="e">
        <f>IF('Pay App 6'!$H$149=0,NA(),IFERROR('Pay App 6'!F139/'Summary Sheet'!$D$19,""))</f>
        <v>#N/A</v>
      </c>
      <c r="Q81" s="263"/>
      <c r="R81" s="276" t="e">
        <f>IF('Pay App 7'!$H$149=0,NA(),IFERROR('Pay App 7'!F139/'Summary Sheet'!$D$19,""))</f>
        <v>#N/A</v>
      </c>
      <c r="S81" s="263"/>
      <c r="T81" s="277" t="e">
        <f>IF('Pay App 8'!$H$149=0,NA(),IFERROR('Pay App 8'!F139/'Summary Sheet'!$D$19,""))</f>
        <v>#N/A</v>
      </c>
      <c r="U81" s="263"/>
      <c r="V81" s="276" t="e">
        <f>IF('Pay App 9'!$H$149=0,NA(),IFERROR('Pay App 9'!F139/'Summary Sheet'!$D$19,""))</f>
        <v>#N/A</v>
      </c>
      <c r="W81" s="263"/>
      <c r="X81" s="277" t="e">
        <f>IF('Pay App 10'!$H$149=0,NA(),IFERROR('Pay App 10'!F139/'Summary Sheet'!$D$19,""))</f>
        <v>#N/A</v>
      </c>
      <c r="Y81" s="263"/>
      <c r="Z81" s="276" t="e">
        <f>IF('Pay App 11'!$H$149=0,NA(),IFERROR('Pay App 11'!F139/'Summary Sheet'!$D$19,""))</f>
        <v>#N/A</v>
      </c>
      <c r="AA81" s="263"/>
      <c r="AB81" s="277" t="e">
        <f>IF('Pay App 12'!$H$149=0,NA(),IFERROR('Pay App 12'!F139/'Summary Sheet'!$D$19,""))</f>
        <v>#N/A</v>
      </c>
      <c r="AC81" s="263"/>
      <c r="AD81" s="276" t="e">
        <f>IF('Pay App 13'!$H$149=0,NA(),IFERROR('Pay App 13'!F139/'Summary Sheet'!$D$19,""))</f>
        <v>#N/A</v>
      </c>
      <c r="AE81" s="263"/>
      <c r="AF81" s="277" t="e">
        <f>IF('Pay App 14'!$H$149=0,NA(),IFERROR('Pay App 14'!F139/'Summary Sheet'!$D$19,""))</f>
        <v>#N/A</v>
      </c>
      <c r="AG81" s="263"/>
      <c r="AH81" s="276" t="e">
        <f>IF('Pay App 15'!$H$149=0,NA(),IFERROR('Pay App 15'!F139/'Summary Sheet'!$D$19,""))</f>
        <v>#N/A</v>
      </c>
      <c r="AI81" s="263"/>
      <c r="AJ81" s="277" t="e">
        <f>IF('Pay App 16'!$H$149=0,NA(),IFERROR('Pay App 16'!F139/'Summary Sheet'!$D$19,""))</f>
        <v>#N/A</v>
      </c>
      <c r="AK81" s="263"/>
      <c r="AL81" s="276" t="e">
        <f>IF('Pay App 17'!$H$149=0,NA(),IFERROR('Pay App 17'!F139/'Summary Sheet'!$D$19,""))</f>
        <v>#N/A</v>
      </c>
      <c r="AM81" s="263"/>
      <c r="AN81" s="277" t="e">
        <f>IF('Pay App 18'!$H$149=0,NA(),IFERROR('Pay App 18'!F139/'Summary Sheet'!$D$19,""))</f>
        <v>#N/A</v>
      </c>
      <c r="AO81" s="263"/>
      <c r="AP81" s="276" t="e">
        <f>IF('Pay App 19'!$H$149=0,NA(),IFERROR('Pay App 19'!F139/'Summary Sheet'!$D$19,""))</f>
        <v>#N/A</v>
      </c>
      <c r="AQ81" s="263"/>
      <c r="AR81" s="263" t="e">
        <f>IF('Pay App 20'!$H$149=0,NA(),IFERROR('Pay App 20'!F139/'Summary Sheet'!$D$19,""))</f>
        <v>#N/A</v>
      </c>
      <c r="AS81" s="264"/>
      <c r="AT81" s="276" t="e">
        <f>IF('Pay App 21'!$H$149=0,NA(),IFERROR('Pay App 21'!F139/'Summary Sheet'!$D$19,""))</f>
        <v>#N/A</v>
      </c>
      <c r="AU81" s="264"/>
      <c r="AV81" s="263" t="e">
        <f>IF('Pay App 22'!$H$149=0,NA(),IFERROR('Pay App 22'!F139/'Summary Sheet'!$D$19,""))</f>
        <v>#N/A</v>
      </c>
      <c r="AW81" s="264"/>
      <c r="AX81" s="276" t="e">
        <f>IF('Pay App 23'!$H$149=0,NA(),IFERROR('Pay App 23'!F139/'Summary Sheet'!$D$19,""))</f>
        <v>#N/A</v>
      </c>
      <c r="AY81" s="264"/>
      <c r="AZ81" s="263" t="e">
        <f>IF('Pay App 24'!$H$149=0,NA(),IFERROR('Pay App 24'!F139/'Summary Sheet'!$D$19,""))</f>
        <v>#N/A</v>
      </c>
      <c r="BA81" s="264"/>
      <c r="BB81" s="276" t="e">
        <f>IF('Pay App 25'!$H$149=0,NA(),IFERROR('Pay App 25'!F139/'Summary Sheet'!$D$19,""))</f>
        <v>#N/A</v>
      </c>
      <c r="BC81" s="264"/>
      <c r="BD81" s="263" t="e">
        <f>IF('Pay App 26'!$H$149=0,NA(),IFERROR('Pay App 26'!F139/'Summary Sheet'!$D$19,""))</f>
        <v>#N/A</v>
      </c>
      <c r="BE81" s="264"/>
      <c r="BF81" s="276" t="e">
        <f>IF('Pay App 27'!$H$149=0,NA(),IFERROR('Pay App 27'!F139/'Summary Sheet'!$D$19,""))</f>
        <v>#N/A</v>
      </c>
      <c r="BG81" s="264"/>
      <c r="BH81" s="263" t="e">
        <f>IF('Pay App 28'!$H$149=0,NA(),IFERROR('Pay App 28'!F139/'Summary Sheet'!$D$19,""))</f>
        <v>#N/A</v>
      </c>
      <c r="BI81" s="264"/>
      <c r="BJ81" s="276" t="e">
        <f>IF('Pay App 29'!$H$149=0,NA(),IFERROR('Pay App 29'!F139/'Summary Sheet'!$D$19,""))</f>
        <v>#N/A</v>
      </c>
      <c r="BK81" s="271"/>
      <c r="BL81" s="263" t="e">
        <f>IF('Pay App 30'!$H$149=0,NA(),IFERROR('Pay App 30'!F139/'Summary Sheet'!$D$19,""))</f>
        <v>#N/A</v>
      </c>
      <c r="BM81" s="264"/>
      <c r="BN81" s="276" t="e">
        <f>IF('Pay App 31'!$H$149=0,NA(),IFERROR('Pay App 31'!F139/'Summary Sheet'!$D$19,""))</f>
        <v>#N/A</v>
      </c>
      <c r="BO81" s="264"/>
      <c r="BP81" s="263" t="e">
        <f>IF('Pay App 32'!$H$149=0,NA(),IFERROR('Pay App 32'!F139/'Summary Sheet'!$D$19,""))</f>
        <v>#N/A</v>
      </c>
      <c r="BQ81" s="264"/>
      <c r="BR81" s="276" t="e">
        <f>IF('Pay App 33'!$H$149=0,NA(),IFERROR('Pay App 33'!F139/'Summary Sheet'!$D$19,""))</f>
        <v>#N/A</v>
      </c>
      <c r="BS81" s="264"/>
      <c r="BT81" s="263" t="e">
        <f>IF('Pay App 34'!$H$149=0,NA(),IFERROR('Pay App 34'!F139/'Summary Sheet'!$D$19,""))</f>
        <v>#N/A</v>
      </c>
      <c r="BU81" s="264"/>
      <c r="BV81" s="276" t="e">
        <f>IF('Pay App 35'!$H$149=0,NA(),IFERROR('Pay App 35'!F139/'Summary Sheet'!$D$19,""))</f>
        <v>#N/A</v>
      </c>
      <c r="BW81" s="264"/>
      <c r="BX81" s="263" t="e">
        <f>IF('Pay App 36'!$H$149=0,NA(),IFERROR('Pay App 36'!F139/'Summary Sheet'!$D$19,""))</f>
        <v>#N/A</v>
      </c>
      <c r="BY81" s="264"/>
      <c r="BZ81" s="276" t="e">
        <f>IF('Pay App 37'!$H$149=0,NA(),IFERROR('Pay App 37'!F139/'Summary Sheet'!$D$19,""))</f>
        <v>#N/A</v>
      </c>
      <c r="CA81" s="264"/>
      <c r="CB81" s="263" t="e">
        <f>IF('Pay App 38'!$H$149=0,NA(),IFERROR('Pay App 38'!F139/'Summary Sheet'!$D$19,""))</f>
        <v>#N/A</v>
      </c>
      <c r="CC81" s="264"/>
      <c r="CD81" s="276" t="e">
        <f>IF('Pay App 39'!$H$149=0,NA(),IFERROR('Pay App 39'!F139/'Summary Sheet'!$D$19,""))</f>
        <v>#N/A</v>
      </c>
      <c r="CE81" s="264"/>
      <c r="CF81" s="263" t="e">
        <f>IF('Pay App 40'!$H$149=0,NA(),IFERROR('Pay App 40'!F139/'Summary Sheet'!$D$19,""))</f>
        <v>#N/A</v>
      </c>
      <c r="CG81" s="264"/>
      <c r="CH81" s="276" t="e">
        <f>IF('Pay App 41'!$H$149=0,NA(),IFERROR('Pay App 41'!F139/'Summary Sheet'!$D$19,""))</f>
        <v>#N/A</v>
      </c>
      <c r="CI81" s="264"/>
      <c r="CJ81" s="263" t="e">
        <f>IF('Pay App 42'!$H$149=0,NA(),IFERROR('Pay App 42'!F139/'Summary Sheet'!$D$19,""))</f>
        <v>#N/A</v>
      </c>
      <c r="CK81" s="264"/>
      <c r="CL81" s="276" t="e">
        <f>IF('Pay App 43'!$H$149=0,NA(),IFERROR('Pay App 43'!F139/'Summary Sheet'!$D$19,""))</f>
        <v>#N/A</v>
      </c>
      <c r="CM81" s="264"/>
      <c r="CN81" s="263" t="e">
        <f>IF('Pay App 44'!$H$149=0,NA(),IFERROR('Pay App 44'!F139/'Summary Sheet'!$D$19,""))</f>
        <v>#N/A</v>
      </c>
      <c r="CO81" s="264"/>
      <c r="CP81" s="276" t="e">
        <f>IF('Pay App 45'!$H$149=0,NA(),IFERROR('Pay App 45'!F139/'Summary Sheet'!$D$19,""))</f>
        <v>#N/A</v>
      </c>
      <c r="CQ81" s="264"/>
      <c r="CR81" s="263" t="e">
        <f>IF('Pay App 46'!$H$149=0,NA(),IFERROR('Pay App 46'!F139/'Summary Sheet'!$D$19,""))</f>
        <v>#N/A</v>
      </c>
      <c r="CS81" s="264"/>
      <c r="CT81" s="276" t="e">
        <f>IF('Pay App 47'!$H$149=0,NA(),IFERROR('Pay App 47'!F139/'Summary Sheet'!$D$19,""))</f>
        <v>#N/A</v>
      </c>
      <c r="CU81" s="264"/>
      <c r="CV81" s="263" t="e">
        <f>IF('Pay App 48'!$H$149=0,NA(),IFERROR('Pay App 48'!F139/'Summary Sheet'!$D$19,""))</f>
        <v>#N/A</v>
      </c>
      <c r="CW81" s="264"/>
      <c r="CX81" s="276" t="e">
        <f>IF('Pay App 49'!$H$149=0,NA(),IFERROR('Pay App 49'!F139/'Summary Sheet'!$D$19,""))</f>
        <v>#N/A</v>
      </c>
      <c r="CY81" s="264"/>
      <c r="CZ81" s="263" t="e">
        <f>IF('Pay App 50'!$H$149=0,NA(),IFERROR('Pay App 50'!F139/'Summary Sheet'!$D$19,""))</f>
        <v>#N/A</v>
      </c>
      <c r="DA81" s="264"/>
      <c r="DB81" s="276" t="e">
        <f>IF('Pay App 51'!$H$149=0,NA(),IFERROR('Pay App 51'!F139/'Summary Sheet'!$D$19,""))</f>
        <v>#N/A</v>
      </c>
      <c r="DC81" s="264"/>
      <c r="DD81" s="263" t="e">
        <f>IF('Pay App 52'!$H$149=0,NA(),IFERROR('Pay App 52'!F139/'Summary Sheet'!$D$19,""))</f>
        <v>#N/A</v>
      </c>
      <c r="DE81" s="264"/>
      <c r="DF81" s="276" t="e">
        <f>IF('Pay App 53'!$H$149=0,NA(),IFERROR('Pay App 53'!F139/'Summary Sheet'!$D$19,""))</f>
        <v>#N/A</v>
      </c>
      <c r="DG81" s="264"/>
      <c r="DH81" s="263" t="e">
        <f>IF('Pay App 54'!$H$149=0,NA(),IFERROR('Pay App 54'!F139/'Summary Sheet'!$D$19,""))</f>
        <v>#N/A</v>
      </c>
      <c r="DI81" s="264"/>
      <c r="DJ81" s="276" t="e">
        <f>IF('Pay App 55'!$H$149=0,NA(),IFERROR('Pay App 55'!F139/'Summary Sheet'!$D$19,""))</f>
        <v>#N/A</v>
      </c>
      <c r="DK81" s="264"/>
      <c r="DL81" s="263" t="e">
        <f>IF('Pay App 56'!$H$149=0,NA(),IFERROR('Pay App 56'!F139/'Summary Sheet'!$D$19,""))</f>
        <v>#N/A</v>
      </c>
      <c r="DM81" s="264"/>
      <c r="DN81" s="276" t="e">
        <f>IF('Pay App 57'!$H$149=0,NA(),IFERROR('Pay App 57'!F139/'Summary Sheet'!$D$19,""))</f>
        <v>#N/A</v>
      </c>
      <c r="DO81" s="264"/>
      <c r="DP81" s="263" t="e">
        <f>IF('Pay App 58'!$H$149=0,NA(),IFERROR('Pay App 58'!F139/'Summary Sheet'!$D$19,""))</f>
        <v>#N/A</v>
      </c>
      <c r="DQ81" s="264"/>
      <c r="DR81" s="276" t="e">
        <f>IF('Pay App 59'!$H$149=0,NA(),IFERROR('Pay App 59'!F139/'Summary Sheet'!$D$19,""))</f>
        <v>#N/A</v>
      </c>
      <c r="DS81" s="264"/>
      <c r="DT81" s="263" t="e">
        <f>IF('Pay App 60'!$H$149=0,NA(),IFERROR('Pay App 60'!F1049/'Summary Sheet'!$D$19,""))</f>
        <v>#N/A</v>
      </c>
      <c r="DU81" s="296"/>
    </row>
    <row r="82" spans="2:125" x14ac:dyDescent="0.25">
      <c r="B82" s="42" t="str">
        <f>'Pay App 1'!B140</f>
        <v>32 16 00</v>
      </c>
      <c r="C82" s="43" t="str">
        <f>'Pay App 1'!C140</f>
        <v>Site Concrete</v>
      </c>
      <c r="D82" s="282" t="str" cm="1">
        <f t="array" ref="D82">IFERROR(1+(LOOKUP(2,1/(E82:DT82&lt;&gt;""),E82:DT82)-E82)/E82,"")</f>
        <v/>
      </c>
      <c r="E82" s="275" t="str">
        <f>IFERROR('GMP Tracker'!D86/'Summary Sheet'!$D$19,"")</f>
        <v/>
      </c>
      <c r="F82" s="276" t="e">
        <f>IF('Pay App 1'!$D$149=0,NA(),IFERROR('Pay App 1'!F140/'Summary Sheet'!$D$19,""))</f>
        <v>#N/A</v>
      </c>
      <c r="G82" s="271"/>
      <c r="H82" s="277" t="e">
        <f>IF('Pay App 2'!$H$149=0,NA(),IFERROR('Pay App 2'!F140/'Summary Sheet'!$D$19,""))</f>
        <v>#N/A</v>
      </c>
      <c r="I82" s="266"/>
      <c r="J82" s="276" t="e">
        <f>IF('Pay App 3'!$H$149=0,NA(),IFERROR('Pay App 3'!F140/'Summary Sheet'!$D$19,""))</f>
        <v>#N/A</v>
      </c>
      <c r="K82" s="268"/>
      <c r="L82" s="277" t="e">
        <f>IF('Pay App 4'!$H$149=0,NA(),IFERROR('Pay App 4'!F140/'Summary Sheet'!$D$19,""))</f>
        <v>#N/A</v>
      </c>
      <c r="M82" s="266"/>
      <c r="N82" s="276" t="e">
        <f>IF('Pay App 5'!$H$149=0,NA(),IFERROR('Pay App 5'!F140/'Summary Sheet'!$D$19,""))</f>
        <v>#N/A</v>
      </c>
      <c r="O82" s="263"/>
      <c r="P82" s="277" t="e">
        <f>IF('Pay App 6'!$H$149=0,NA(),IFERROR('Pay App 6'!F140/'Summary Sheet'!$D$19,""))</f>
        <v>#N/A</v>
      </c>
      <c r="Q82" s="263"/>
      <c r="R82" s="276" t="e">
        <f>IF('Pay App 7'!$H$149=0,NA(),IFERROR('Pay App 7'!F140/'Summary Sheet'!$D$19,""))</f>
        <v>#N/A</v>
      </c>
      <c r="S82" s="263"/>
      <c r="T82" s="277" t="e">
        <f>IF('Pay App 8'!$H$149=0,NA(),IFERROR('Pay App 8'!F140/'Summary Sheet'!$D$19,""))</f>
        <v>#N/A</v>
      </c>
      <c r="U82" s="263"/>
      <c r="V82" s="276" t="e">
        <f>IF('Pay App 9'!$H$149=0,NA(),IFERROR('Pay App 9'!F140/'Summary Sheet'!$D$19,""))</f>
        <v>#N/A</v>
      </c>
      <c r="W82" s="263"/>
      <c r="X82" s="277" t="e">
        <f>IF('Pay App 10'!$H$149=0,NA(),IFERROR('Pay App 10'!F140/'Summary Sheet'!$D$19,""))</f>
        <v>#N/A</v>
      </c>
      <c r="Y82" s="263"/>
      <c r="Z82" s="276" t="e">
        <f>IF('Pay App 11'!$H$149=0,NA(),IFERROR('Pay App 11'!F140/'Summary Sheet'!$D$19,""))</f>
        <v>#N/A</v>
      </c>
      <c r="AA82" s="263"/>
      <c r="AB82" s="277" t="e">
        <f>IF('Pay App 12'!$H$149=0,NA(),IFERROR('Pay App 12'!F140/'Summary Sheet'!$D$19,""))</f>
        <v>#N/A</v>
      </c>
      <c r="AC82" s="263"/>
      <c r="AD82" s="276" t="e">
        <f>IF('Pay App 13'!$H$149=0,NA(),IFERROR('Pay App 13'!F140/'Summary Sheet'!$D$19,""))</f>
        <v>#N/A</v>
      </c>
      <c r="AE82" s="263"/>
      <c r="AF82" s="277" t="e">
        <f>IF('Pay App 14'!$H$149=0,NA(),IFERROR('Pay App 14'!F140/'Summary Sheet'!$D$19,""))</f>
        <v>#N/A</v>
      </c>
      <c r="AG82" s="263"/>
      <c r="AH82" s="276" t="e">
        <f>IF('Pay App 15'!$H$149=0,NA(),IFERROR('Pay App 15'!F140/'Summary Sheet'!$D$19,""))</f>
        <v>#N/A</v>
      </c>
      <c r="AI82" s="263"/>
      <c r="AJ82" s="277" t="e">
        <f>IF('Pay App 16'!$H$149=0,NA(),IFERROR('Pay App 16'!F140/'Summary Sheet'!$D$19,""))</f>
        <v>#N/A</v>
      </c>
      <c r="AK82" s="263"/>
      <c r="AL82" s="276" t="e">
        <f>IF('Pay App 17'!$H$149=0,NA(),IFERROR('Pay App 17'!F140/'Summary Sheet'!$D$19,""))</f>
        <v>#N/A</v>
      </c>
      <c r="AM82" s="263"/>
      <c r="AN82" s="277" t="e">
        <f>IF('Pay App 18'!$H$149=0,NA(),IFERROR('Pay App 18'!F140/'Summary Sheet'!$D$19,""))</f>
        <v>#N/A</v>
      </c>
      <c r="AO82" s="263"/>
      <c r="AP82" s="276" t="e">
        <f>IF('Pay App 19'!$H$149=0,NA(),IFERROR('Pay App 19'!F140/'Summary Sheet'!$D$19,""))</f>
        <v>#N/A</v>
      </c>
      <c r="AQ82" s="263"/>
      <c r="AR82" s="263" t="e">
        <f>IF('Pay App 20'!$H$149=0,NA(),IFERROR('Pay App 20'!F140/'Summary Sheet'!$D$19,""))</f>
        <v>#N/A</v>
      </c>
      <c r="AS82" s="264"/>
      <c r="AT82" s="276" t="e">
        <f>IF('Pay App 21'!$H$149=0,NA(),IFERROR('Pay App 21'!F140/'Summary Sheet'!$D$19,""))</f>
        <v>#N/A</v>
      </c>
      <c r="AU82" s="264"/>
      <c r="AV82" s="263" t="e">
        <f>IF('Pay App 22'!$H$149=0,NA(),IFERROR('Pay App 22'!F140/'Summary Sheet'!$D$19,""))</f>
        <v>#N/A</v>
      </c>
      <c r="AW82" s="264"/>
      <c r="AX82" s="276" t="e">
        <f>IF('Pay App 23'!$H$149=0,NA(),IFERROR('Pay App 23'!F140/'Summary Sheet'!$D$19,""))</f>
        <v>#N/A</v>
      </c>
      <c r="AY82" s="264"/>
      <c r="AZ82" s="263" t="e">
        <f>IF('Pay App 24'!$H$149=0,NA(),IFERROR('Pay App 24'!F140/'Summary Sheet'!$D$19,""))</f>
        <v>#N/A</v>
      </c>
      <c r="BA82" s="264"/>
      <c r="BB82" s="276" t="e">
        <f>IF('Pay App 25'!$H$149=0,NA(),IFERROR('Pay App 25'!F140/'Summary Sheet'!$D$19,""))</f>
        <v>#N/A</v>
      </c>
      <c r="BC82" s="264"/>
      <c r="BD82" s="263" t="e">
        <f>IF('Pay App 26'!$H$149=0,NA(),IFERROR('Pay App 26'!F140/'Summary Sheet'!$D$19,""))</f>
        <v>#N/A</v>
      </c>
      <c r="BE82" s="264"/>
      <c r="BF82" s="276" t="e">
        <f>IF('Pay App 27'!$H$149=0,NA(),IFERROR('Pay App 27'!F140/'Summary Sheet'!$D$19,""))</f>
        <v>#N/A</v>
      </c>
      <c r="BG82" s="264"/>
      <c r="BH82" s="263" t="e">
        <f>IF('Pay App 28'!$H$149=0,NA(),IFERROR('Pay App 28'!F140/'Summary Sheet'!$D$19,""))</f>
        <v>#N/A</v>
      </c>
      <c r="BI82" s="264"/>
      <c r="BJ82" s="276" t="e">
        <f>IF('Pay App 29'!$H$149=0,NA(),IFERROR('Pay App 29'!F140/'Summary Sheet'!$D$19,""))</f>
        <v>#N/A</v>
      </c>
      <c r="BK82" s="271"/>
      <c r="BL82" s="263" t="e">
        <f>IF('Pay App 30'!$H$149=0,NA(),IFERROR('Pay App 30'!F140/'Summary Sheet'!$D$19,""))</f>
        <v>#N/A</v>
      </c>
      <c r="BM82" s="264"/>
      <c r="BN82" s="276" t="e">
        <f>IF('Pay App 31'!$H$149=0,NA(),IFERROR('Pay App 31'!F140/'Summary Sheet'!$D$19,""))</f>
        <v>#N/A</v>
      </c>
      <c r="BO82" s="264"/>
      <c r="BP82" s="263" t="e">
        <f>IF('Pay App 32'!$H$149=0,NA(),IFERROR('Pay App 32'!F140/'Summary Sheet'!$D$19,""))</f>
        <v>#N/A</v>
      </c>
      <c r="BQ82" s="264"/>
      <c r="BR82" s="276" t="e">
        <f>IF('Pay App 33'!$H$149=0,NA(),IFERROR('Pay App 33'!F140/'Summary Sheet'!$D$19,""))</f>
        <v>#N/A</v>
      </c>
      <c r="BS82" s="264"/>
      <c r="BT82" s="263" t="e">
        <f>IF('Pay App 34'!$H$149=0,NA(),IFERROR('Pay App 34'!F140/'Summary Sheet'!$D$19,""))</f>
        <v>#N/A</v>
      </c>
      <c r="BU82" s="264"/>
      <c r="BV82" s="276" t="e">
        <f>IF('Pay App 35'!$H$149=0,NA(),IFERROR('Pay App 35'!F140/'Summary Sheet'!$D$19,""))</f>
        <v>#N/A</v>
      </c>
      <c r="BW82" s="264"/>
      <c r="BX82" s="263" t="e">
        <f>IF('Pay App 36'!$H$149=0,NA(),IFERROR('Pay App 36'!F140/'Summary Sheet'!$D$19,""))</f>
        <v>#N/A</v>
      </c>
      <c r="BY82" s="264"/>
      <c r="BZ82" s="276" t="e">
        <f>IF('Pay App 37'!$H$149=0,NA(),IFERROR('Pay App 37'!F140/'Summary Sheet'!$D$19,""))</f>
        <v>#N/A</v>
      </c>
      <c r="CA82" s="264"/>
      <c r="CB82" s="263" t="e">
        <f>IF('Pay App 38'!$H$149=0,NA(),IFERROR('Pay App 38'!F140/'Summary Sheet'!$D$19,""))</f>
        <v>#N/A</v>
      </c>
      <c r="CC82" s="264"/>
      <c r="CD82" s="276" t="e">
        <f>IF('Pay App 39'!$H$149=0,NA(),IFERROR('Pay App 39'!F140/'Summary Sheet'!$D$19,""))</f>
        <v>#N/A</v>
      </c>
      <c r="CE82" s="264"/>
      <c r="CF82" s="263" t="e">
        <f>IF('Pay App 40'!$H$149=0,NA(),IFERROR('Pay App 40'!F140/'Summary Sheet'!$D$19,""))</f>
        <v>#N/A</v>
      </c>
      <c r="CG82" s="264"/>
      <c r="CH82" s="276" t="e">
        <f>IF('Pay App 41'!$H$149=0,NA(),IFERROR('Pay App 41'!F140/'Summary Sheet'!$D$19,""))</f>
        <v>#N/A</v>
      </c>
      <c r="CI82" s="264"/>
      <c r="CJ82" s="263" t="e">
        <f>IF('Pay App 42'!$H$149=0,NA(),IFERROR('Pay App 42'!F140/'Summary Sheet'!$D$19,""))</f>
        <v>#N/A</v>
      </c>
      <c r="CK82" s="264"/>
      <c r="CL82" s="276" t="e">
        <f>IF('Pay App 43'!$H$149=0,NA(),IFERROR('Pay App 43'!F140/'Summary Sheet'!$D$19,""))</f>
        <v>#N/A</v>
      </c>
      <c r="CM82" s="264"/>
      <c r="CN82" s="263" t="e">
        <f>IF('Pay App 44'!$H$149=0,NA(),IFERROR('Pay App 44'!F140/'Summary Sheet'!$D$19,""))</f>
        <v>#N/A</v>
      </c>
      <c r="CO82" s="264"/>
      <c r="CP82" s="276" t="e">
        <f>IF('Pay App 45'!$H$149=0,NA(),IFERROR('Pay App 45'!F140/'Summary Sheet'!$D$19,""))</f>
        <v>#N/A</v>
      </c>
      <c r="CQ82" s="264"/>
      <c r="CR82" s="263" t="e">
        <f>IF('Pay App 46'!$H$149=0,NA(),IFERROR('Pay App 46'!F140/'Summary Sheet'!$D$19,""))</f>
        <v>#N/A</v>
      </c>
      <c r="CS82" s="264"/>
      <c r="CT82" s="276" t="e">
        <f>IF('Pay App 47'!$H$149=0,NA(),IFERROR('Pay App 47'!F140/'Summary Sheet'!$D$19,""))</f>
        <v>#N/A</v>
      </c>
      <c r="CU82" s="264"/>
      <c r="CV82" s="263" t="e">
        <f>IF('Pay App 48'!$H$149=0,NA(),IFERROR('Pay App 48'!F140/'Summary Sheet'!$D$19,""))</f>
        <v>#N/A</v>
      </c>
      <c r="CW82" s="264"/>
      <c r="CX82" s="276" t="e">
        <f>IF('Pay App 49'!$H$149=0,NA(),IFERROR('Pay App 49'!F140/'Summary Sheet'!$D$19,""))</f>
        <v>#N/A</v>
      </c>
      <c r="CY82" s="264"/>
      <c r="CZ82" s="263" t="e">
        <f>IF('Pay App 50'!$H$149=0,NA(),IFERROR('Pay App 50'!F140/'Summary Sheet'!$D$19,""))</f>
        <v>#N/A</v>
      </c>
      <c r="DA82" s="264"/>
      <c r="DB82" s="276" t="e">
        <f>IF('Pay App 51'!$H$149=0,NA(),IFERROR('Pay App 51'!F140/'Summary Sheet'!$D$19,""))</f>
        <v>#N/A</v>
      </c>
      <c r="DC82" s="264"/>
      <c r="DD82" s="263" t="e">
        <f>IF('Pay App 52'!$H$149=0,NA(),IFERROR('Pay App 52'!F140/'Summary Sheet'!$D$19,""))</f>
        <v>#N/A</v>
      </c>
      <c r="DE82" s="264"/>
      <c r="DF82" s="276" t="e">
        <f>IF('Pay App 53'!$H$149=0,NA(),IFERROR('Pay App 53'!F140/'Summary Sheet'!$D$19,""))</f>
        <v>#N/A</v>
      </c>
      <c r="DG82" s="264"/>
      <c r="DH82" s="263" t="e">
        <f>IF('Pay App 54'!$H$149=0,NA(),IFERROR('Pay App 54'!F140/'Summary Sheet'!$D$19,""))</f>
        <v>#N/A</v>
      </c>
      <c r="DI82" s="264"/>
      <c r="DJ82" s="276" t="e">
        <f>IF('Pay App 55'!$H$149=0,NA(),IFERROR('Pay App 55'!F140/'Summary Sheet'!$D$19,""))</f>
        <v>#N/A</v>
      </c>
      <c r="DK82" s="264"/>
      <c r="DL82" s="263" t="e">
        <f>IF('Pay App 56'!$H$149=0,NA(),IFERROR('Pay App 56'!F140/'Summary Sheet'!$D$19,""))</f>
        <v>#N/A</v>
      </c>
      <c r="DM82" s="264"/>
      <c r="DN82" s="276" t="e">
        <f>IF('Pay App 57'!$H$149=0,NA(),IFERROR('Pay App 57'!F140/'Summary Sheet'!$D$19,""))</f>
        <v>#N/A</v>
      </c>
      <c r="DO82" s="264"/>
      <c r="DP82" s="263" t="e">
        <f>IF('Pay App 58'!$H$149=0,NA(),IFERROR('Pay App 58'!F140/'Summary Sheet'!$D$19,""))</f>
        <v>#N/A</v>
      </c>
      <c r="DQ82" s="264"/>
      <c r="DR82" s="276" t="e">
        <f>IF('Pay App 59'!$H$149=0,NA(),IFERROR('Pay App 59'!F140/'Summary Sheet'!$D$19,""))</f>
        <v>#N/A</v>
      </c>
      <c r="DS82" s="264"/>
      <c r="DT82" s="263" t="e">
        <f>IF('Pay App 60'!$H$149=0,NA(),IFERROR('Pay App 60'!F1050/'Summary Sheet'!$D$19,""))</f>
        <v>#N/A</v>
      </c>
      <c r="DU82" s="296"/>
    </row>
    <row r="83" spans="2:125" x14ac:dyDescent="0.25">
      <c r="B83" s="42" t="str">
        <f>'Pay App 1'!B141</f>
        <v>32 30 00</v>
      </c>
      <c r="C83" s="43" t="str">
        <f>'Pay App 1'!C141</f>
        <v>Site Improvements/Fencing</v>
      </c>
      <c r="D83" s="282" t="str" cm="1">
        <f t="array" ref="D83">IFERROR(1+(LOOKUP(2,1/(E83:DT83&lt;&gt;""),E83:DT83)-E83)/E83,"")</f>
        <v/>
      </c>
      <c r="E83" s="275" t="str">
        <f>IFERROR('GMP Tracker'!D87/'Summary Sheet'!$D$19,"")</f>
        <v/>
      </c>
      <c r="F83" s="276" t="e">
        <f>IF('Pay App 1'!$D$149=0,NA(),IFERROR('Pay App 1'!F141/'Summary Sheet'!$D$19,""))</f>
        <v>#N/A</v>
      </c>
      <c r="G83" s="271"/>
      <c r="H83" s="277" t="e">
        <f>IF('Pay App 2'!$H$149=0,NA(),IFERROR('Pay App 2'!F141/'Summary Sheet'!$D$19,""))</f>
        <v>#N/A</v>
      </c>
      <c r="I83" s="266"/>
      <c r="J83" s="276" t="e">
        <f>IF('Pay App 3'!$H$149=0,NA(),IFERROR('Pay App 3'!F141/'Summary Sheet'!$D$19,""))</f>
        <v>#N/A</v>
      </c>
      <c r="K83" s="268"/>
      <c r="L83" s="277" t="e">
        <f>IF('Pay App 4'!$H$149=0,NA(),IFERROR('Pay App 4'!F141/'Summary Sheet'!$D$19,""))</f>
        <v>#N/A</v>
      </c>
      <c r="M83" s="266"/>
      <c r="N83" s="276" t="e">
        <f>IF('Pay App 5'!$H$149=0,NA(),IFERROR('Pay App 5'!F141/'Summary Sheet'!$D$19,""))</f>
        <v>#N/A</v>
      </c>
      <c r="O83" s="263"/>
      <c r="P83" s="277" t="e">
        <f>IF('Pay App 6'!$H$149=0,NA(),IFERROR('Pay App 6'!F141/'Summary Sheet'!$D$19,""))</f>
        <v>#N/A</v>
      </c>
      <c r="Q83" s="263"/>
      <c r="R83" s="276" t="e">
        <f>IF('Pay App 7'!$H$149=0,NA(),IFERROR('Pay App 7'!F141/'Summary Sheet'!$D$19,""))</f>
        <v>#N/A</v>
      </c>
      <c r="S83" s="263"/>
      <c r="T83" s="277" t="e">
        <f>IF('Pay App 8'!$H$149=0,NA(),IFERROR('Pay App 8'!F141/'Summary Sheet'!$D$19,""))</f>
        <v>#N/A</v>
      </c>
      <c r="U83" s="263"/>
      <c r="V83" s="276" t="e">
        <f>IF('Pay App 9'!$H$149=0,NA(),IFERROR('Pay App 9'!F141/'Summary Sheet'!$D$19,""))</f>
        <v>#N/A</v>
      </c>
      <c r="W83" s="263"/>
      <c r="X83" s="277" t="e">
        <f>IF('Pay App 10'!$H$149=0,NA(),IFERROR('Pay App 10'!F141/'Summary Sheet'!$D$19,""))</f>
        <v>#N/A</v>
      </c>
      <c r="Y83" s="263"/>
      <c r="Z83" s="276" t="e">
        <f>IF('Pay App 11'!$H$149=0,NA(),IFERROR('Pay App 11'!F141/'Summary Sheet'!$D$19,""))</f>
        <v>#N/A</v>
      </c>
      <c r="AA83" s="263"/>
      <c r="AB83" s="277" t="e">
        <f>IF('Pay App 12'!$H$149=0,NA(),IFERROR('Pay App 12'!F141/'Summary Sheet'!$D$19,""))</f>
        <v>#N/A</v>
      </c>
      <c r="AC83" s="263"/>
      <c r="AD83" s="276" t="e">
        <f>IF('Pay App 13'!$H$149=0,NA(),IFERROR('Pay App 13'!F141/'Summary Sheet'!$D$19,""))</f>
        <v>#N/A</v>
      </c>
      <c r="AE83" s="263"/>
      <c r="AF83" s="277" t="e">
        <f>IF('Pay App 14'!$H$149=0,NA(),IFERROR('Pay App 14'!F141/'Summary Sheet'!$D$19,""))</f>
        <v>#N/A</v>
      </c>
      <c r="AG83" s="263"/>
      <c r="AH83" s="276" t="e">
        <f>IF('Pay App 15'!$H$149=0,NA(),IFERROR('Pay App 15'!F141/'Summary Sheet'!$D$19,""))</f>
        <v>#N/A</v>
      </c>
      <c r="AI83" s="263"/>
      <c r="AJ83" s="277" t="e">
        <f>IF('Pay App 16'!$H$149=0,NA(),IFERROR('Pay App 16'!F141/'Summary Sheet'!$D$19,""))</f>
        <v>#N/A</v>
      </c>
      <c r="AK83" s="263"/>
      <c r="AL83" s="276" t="e">
        <f>IF('Pay App 17'!$H$149=0,NA(),IFERROR('Pay App 17'!F141/'Summary Sheet'!$D$19,""))</f>
        <v>#N/A</v>
      </c>
      <c r="AM83" s="263"/>
      <c r="AN83" s="277" t="e">
        <f>IF('Pay App 18'!$H$149=0,NA(),IFERROR('Pay App 18'!F141/'Summary Sheet'!$D$19,""))</f>
        <v>#N/A</v>
      </c>
      <c r="AO83" s="263"/>
      <c r="AP83" s="276" t="e">
        <f>IF('Pay App 19'!$H$149=0,NA(),IFERROR('Pay App 19'!F141/'Summary Sheet'!$D$19,""))</f>
        <v>#N/A</v>
      </c>
      <c r="AQ83" s="263"/>
      <c r="AR83" s="263" t="e">
        <f>IF('Pay App 20'!$H$149=0,NA(),IFERROR('Pay App 20'!F141/'Summary Sheet'!$D$19,""))</f>
        <v>#N/A</v>
      </c>
      <c r="AS83" s="264"/>
      <c r="AT83" s="276" t="e">
        <f>IF('Pay App 21'!$H$149=0,NA(),IFERROR('Pay App 21'!F141/'Summary Sheet'!$D$19,""))</f>
        <v>#N/A</v>
      </c>
      <c r="AU83" s="264"/>
      <c r="AV83" s="263" t="e">
        <f>IF('Pay App 22'!$H$149=0,NA(),IFERROR('Pay App 22'!F141/'Summary Sheet'!$D$19,""))</f>
        <v>#N/A</v>
      </c>
      <c r="AW83" s="264"/>
      <c r="AX83" s="276" t="e">
        <f>IF('Pay App 23'!$H$149=0,NA(),IFERROR('Pay App 23'!F141/'Summary Sheet'!$D$19,""))</f>
        <v>#N/A</v>
      </c>
      <c r="AY83" s="264"/>
      <c r="AZ83" s="263" t="e">
        <f>IF('Pay App 24'!$H$149=0,NA(),IFERROR('Pay App 24'!F141/'Summary Sheet'!$D$19,""))</f>
        <v>#N/A</v>
      </c>
      <c r="BA83" s="264"/>
      <c r="BB83" s="276" t="e">
        <f>IF('Pay App 25'!$H$149=0,NA(),IFERROR('Pay App 25'!F141/'Summary Sheet'!$D$19,""))</f>
        <v>#N/A</v>
      </c>
      <c r="BC83" s="264"/>
      <c r="BD83" s="263" t="e">
        <f>IF('Pay App 26'!$H$149=0,NA(),IFERROR('Pay App 26'!F141/'Summary Sheet'!$D$19,""))</f>
        <v>#N/A</v>
      </c>
      <c r="BE83" s="264"/>
      <c r="BF83" s="276" t="e">
        <f>IF('Pay App 27'!$H$149=0,NA(),IFERROR('Pay App 27'!F141/'Summary Sheet'!$D$19,""))</f>
        <v>#N/A</v>
      </c>
      <c r="BG83" s="264"/>
      <c r="BH83" s="263" t="e">
        <f>IF('Pay App 28'!$H$149=0,NA(),IFERROR('Pay App 28'!F141/'Summary Sheet'!$D$19,""))</f>
        <v>#N/A</v>
      </c>
      <c r="BI83" s="264"/>
      <c r="BJ83" s="276" t="e">
        <f>IF('Pay App 29'!$H$149=0,NA(),IFERROR('Pay App 29'!F141/'Summary Sheet'!$D$19,""))</f>
        <v>#N/A</v>
      </c>
      <c r="BK83" s="271"/>
      <c r="BL83" s="263" t="e">
        <f>IF('Pay App 30'!$H$149=0,NA(),IFERROR('Pay App 30'!F141/'Summary Sheet'!$D$19,""))</f>
        <v>#N/A</v>
      </c>
      <c r="BM83" s="264"/>
      <c r="BN83" s="276" t="e">
        <f>IF('Pay App 31'!$H$149=0,NA(),IFERROR('Pay App 31'!F141/'Summary Sheet'!$D$19,""))</f>
        <v>#N/A</v>
      </c>
      <c r="BO83" s="264"/>
      <c r="BP83" s="263" t="e">
        <f>IF('Pay App 32'!$H$149=0,NA(),IFERROR('Pay App 32'!F141/'Summary Sheet'!$D$19,""))</f>
        <v>#N/A</v>
      </c>
      <c r="BQ83" s="264"/>
      <c r="BR83" s="276" t="e">
        <f>IF('Pay App 33'!$H$149=0,NA(),IFERROR('Pay App 33'!F141/'Summary Sheet'!$D$19,""))</f>
        <v>#N/A</v>
      </c>
      <c r="BS83" s="264"/>
      <c r="BT83" s="263" t="e">
        <f>IF('Pay App 34'!$H$149=0,NA(),IFERROR('Pay App 34'!F141/'Summary Sheet'!$D$19,""))</f>
        <v>#N/A</v>
      </c>
      <c r="BU83" s="264"/>
      <c r="BV83" s="276" t="e">
        <f>IF('Pay App 35'!$H$149=0,NA(),IFERROR('Pay App 35'!F141/'Summary Sheet'!$D$19,""))</f>
        <v>#N/A</v>
      </c>
      <c r="BW83" s="264"/>
      <c r="BX83" s="263" t="e">
        <f>IF('Pay App 36'!$H$149=0,NA(),IFERROR('Pay App 36'!F141/'Summary Sheet'!$D$19,""))</f>
        <v>#N/A</v>
      </c>
      <c r="BY83" s="264"/>
      <c r="BZ83" s="276" t="e">
        <f>IF('Pay App 37'!$H$149=0,NA(),IFERROR('Pay App 37'!F141/'Summary Sheet'!$D$19,""))</f>
        <v>#N/A</v>
      </c>
      <c r="CA83" s="264"/>
      <c r="CB83" s="263" t="e">
        <f>IF('Pay App 38'!$H$149=0,NA(),IFERROR('Pay App 38'!F141/'Summary Sheet'!$D$19,""))</f>
        <v>#N/A</v>
      </c>
      <c r="CC83" s="264"/>
      <c r="CD83" s="276" t="e">
        <f>IF('Pay App 39'!$H$149=0,NA(),IFERROR('Pay App 39'!F141/'Summary Sheet'!$D$19,""))</f>
        <v>#N/A</v>
      </c>
      <c r="CE83" s="264"/>
      <c r="CF83" s="263" t="e">
        <f>IF('Pay App 40'!$H$149=0,NA(),IFERROR('Pay App 40'!F141/'Summary Sheet'!$D$19,""))</f>
        <v>#N/A</v>
      </c>
      <c r="CG83" s="264"/>
      <c r="CH83" s="276" t="e">
        <f>IF('Pay App 41'!$H$149=0,NA(),IFERROR('Pay App 41'!F141/'Summary Sheet'!$D$19,""))</f>
        <v>#N/A</v>
      </c>
      <c r="CI83" s="264"/>
      <c r="CJ83" s="263" t="e">
        <f>IF('Pay App 42'!$H$149=0,NA(),IFERROR('Pay App 42'!F141/'Summary Sheet'!$D$19,""))</f>
        <v>#N/A</v>
      </c>
      <c r="CK83" s="264"/>
      <c r="CL83" s="276" t="e">
        <f>IF('Pay App 43'!$H$149=0,NA(),IFERROR('Pay App 43'!F141/'Summary Sheet'!$D$19,""))</f>
        <v>#N/A</v>
      </c>
      <c r="CM83" s="264"/>
      <c r="CN83" s="263" t="e">
        <f>IF('Pay App 44'!$H$149=0,NA(),IFERROR('Pay App 44'!F141/'Summary Sheet'!$D$19,""))</f>
        <v>#N/A</v>
      </c>
      <c r="CO83" s="264"/>
      <c r="CP83" s="276" t="e">
        <f>IF('Pay App 45'!$H$149=0,NA(),IFERROR('Pay App 45'!F141/'Summary Sheet'!$D$19,""))</f>
        <v>#N/A</v>
      </c>
      <c r="CQ83" s="264"/>
      <c r="CR83" s="263" t="e">
        <f>IF('Pay App 46'!$H$149=0,NA(),IFERROR('Pay App 46'!F141/'Summary Sheet'!$D$19,""))</f>
        <v>#N/A</v>
      </c>
      <c r="CS83" s="264"/>
      <c r="CT83" s="276" t="e">
        <f>IF('Pay App 47'!$H$149=0,NA(),IFERROR('Pay App 47'!F141/'Summary Sheet'!$D$19,""))</f>
        <v>#N/A</v>
      </c>
      <c r="CU83" s="264"/>
      <c r="CV83" s="263" t="e">
        <f>IF('Pay App 48'!$H$149=0,NA(),IFERROR('Pay App 48'!F141/'Summary Sheet'!$D$19,""))</f>
        <v>#N/A</v>
      </c>
      <c r="CW83" s="264"/>
      <c r="CX83" s="276" t="e">
        <f>IF('Pay App 49'!$H$149=0,NA(),IFERROR('Pay App 49'!F141/'Summary Sheet'!$D$19,""))</f>
        <v>#N/A</v>
      </c>
      <c r="CY83" s="264"/>
      <c r="CZ83" s="263" t="e">
        <f>IF('Pay App 50'!$H$149=0,NA(),IFERROR('Pay App 50'!F141/'Summary Sheet'!$D$19,""))</f>
        <v>#N/A</v>
      </c>
      <c r="DA83" s="264"/>
      <c r="DB83" s="276" t="e">
        <f>IF('Pay App 51'!$H$149=0,NA(),IFERROR('Pay App 51'!F141/'Summary Sheet'!$D$19,""))</f>
        <v>#N/A</v>
      </c>
      <c r="DC83" s="264"/>
      <c r="DD83" s="263" t="e">
        <f>IF('Pay App 52'!$H$149=0,NA(),IFERROR('Pay App 52'!F141/'Summary Sheet'!$D$19,""))</f>
        <v>#N/A</v>
      </c>
      <c r="DE83" s="264"/>
      <c r="DF83" s="276" t="e">
        <f>IF('Pay App 53'!$H$149=0,NA(),IFERROR('Pay App 53'!F141/'Summary Sheet'!$D$19,""))</f>
        <v>#N/A</v>
      </c>
      <c r="DG83" s="264"/>
      <c r="DH83" s="263" t="e">
        <f>IF('Pay App 54'!$H$149=0,NA(),IFERROR('Pay App 54'!F141/'Summary Sheet'!$D$19,""))</f>
        <v>#N/A</v>
      </c>
      <c r="DI83" s="264"/>
      <c r="DJ83" s="276" t="e">
        <f>IF('Pay App 55'!$H$149=0,NA(),IFERROR('Pay App 55'!F141/'Summary Sheet'!$D$19,""))</f>
        <v>#N/A</v>
      </c>
      <c r="DK83" s="264"/>
      <c r="DL83" s="263" t="e">
        <f>IF('Pay App 56'!$H$149=0,NA(),IFERROR('Pay App 56'!F141/'Summary Sheet'!$D$19,""))</f>
        <v>#N/A</v>
      </c>
      <c r="DM83" s="264"/>
      <c r="DN83" s="276" t="e">
        <f>IF('Pay App 57'!$H$149=0,NA(),IFERROR('Pay App 57'!F141/'Summary Sheet'!$D$19,""))</f>
        <v>#N/A</v>
      </c>
      <c r="DO83" s="264"/>
      <c r="DP83" s="263" t="e">
        <f>IF('Pay App 58'!$H$149=0,NA(),IFERROR('Pay App 58'!F141/'Summary Sheet'!$D$19,""))</f>
        <v>#N/A</v>
      </c>
      <c r="DQ83" s="264"/>
      <c r="DR83" s="276" t="e">
        <f>IF('Pay App 59'!$H$149=0,NA(),IFERROR('Pay App 59'!F141/'Summary Sheet'!$D$19,""))</f>
        <v>#N/A</v>
      </c>
      <c r="DS83" s="264"/>
      <c r="DT83" s="263" t="e">
        <f>IF('Pay App 60'!$H$149=0,NA(),IFERROR('Pay App 60'!F1051/'Summary Sheet'!$D$19,""))</f>
        <v>#N/A</v>
      </c>
      <c r="DU83" s="296"/>
    </row>
    <row r="84" spans="2:125" x14ac:dyDescent="0.25">
      <c r="B84" s="42" t="str">
        <f>'Pay App 1'!B142</f>
        <v>32 90 00</v>
      </c>
      <c r="C84" s="43" t="str">
        <f>'Pay App 1'!C142</f>
        <v>Landscaping/Irrigation</v>
      </c>
      <c r="D84" s="282" t="str" cm="1">
        <f t="array" ref="D84">IFERROR(1+(LOOKUP(2,1/(E84:DT84&lt;&gt;""),E84:DT84)-E84)/E84,"")</f>
        <v/>
      </c>
      <c r="E84" s="275" t="str">
        <f>IFERROR('GMP Tracker'!D88/'Summary Sheet'!$D$19,"")</f>
        <v/>
      </c>
      <c r="F84" s="276" t="e">
        <f>IF('Pay App 1'!$D$149=0,NA(),IFERROR('Pay App 1'!F142/'Summary Sheet'!$D$19,""))</f>
        <v>#N/A</v>
      </c>
      <c r="G84" s="271"/>
      <c r="H84" s="277" t="e">
        <f>IF('Pay App 2'!$H$149=0,NA(),IFERROR('Pay App 2'!F142/'Summary Sheet'!$D$19,""))</f>
        <v>#N/A</v>
      </c>
      <c r="I84" s="266"/>
      <c r="J84" s="276" t="e">
        <f>IF('Pay App 3'!$H$149=0,NA(),IFERROR('Pay App 3'!F142/'Summary Sheet'!$D$19,""))</f>
        <v>#N/A</v>
      </c>
      <c r="K84" s="268"/>
      <c r="L84" s="277" t="e">
        <f>IF('Pay App 4'!$H$149=0,NA(),IFERROR('Pay App 4'!F142/'Summary Sheet'!$D$19,""))</f>
        <v>#N/A</v>
      </c>
      <c r="M84" s="266"/>
      <c r="N84" s="276" t="e">
        <f>IF('Pay App 5'!$H$149=0,NA(),IFERROR('Pay App 5'!F142/'Summary Sheet'!$D$19,""))</f>
        <v>#N/A</v>
      </c>
      <c r="O84" s="263"/>
      <c r="P84" s="277" t="e">
        <f>IF('Pay App 6'!$H$149=0,NA(),IFERROR('Pay App 6'!F142/'Summary Sheet'!$D$19,""))</f>
        <v>#N/A</v>
      </c>
      <c r="Q84" s="263"/>
      <c r="R84" s="276" t="e">
        <f>IF('Pay App 7'!$H$149=0,NA(),IFERROR('Pay App 7'!F142/'Summary Sheet'!$D$19,""))</f>
        <v>#N/A</v>
      </c>
      <c r="S84" s="263"/>
      <c r="T84" s="277" t="e">
        <f>IF('Pay App 8'!$H$149=0,NA(),IFERROR('Pay App 8'!F142/'Summary Sheet'!$D$19,""))</f>
        <v>#N/A</v>
      </c>
      <c r="U84" s="263"/>
      <c r="V84" s="276" t="e">
        <f>IF('Pay App 9'!$H$149=0,NA(),IFERROR('Pay App 9'!F142/'Summary Sheet'!$D$19,""))</f>
        <v>#N/A</v>
      </c>
      <c r="W84" s="263"/>
      <c r="X84" s="277" t="e">
        <f>IF('Pay App 10'!$H$149=0,NA(),IFERROR('Pay App 10'!F142/'Summary Sheet'!$D$19,""))</f>
        <v>#N/A</v>
      </c>
      <c r="Y84" s="263"/>
      <c r="Z84" s="276" t="e">
        <f>IF('Pay App 11'!$H$149=0,NA(),IFERROR('Pay App 11'!F142/'Summary Sheet'!$D$19,""))</f>
        <v>#N/A</v>
      </c>
      <c r="AA84" s="263"/>
      <c r="AB84" s="277" t="e">
        <f>IF('Pay App 12'!$H$149=0,NA(),IFERROR('Pay App 12'!F142/'Summary Sheet'!$D$19,""))</f>
        <v>#N/A</v>
      </c>
      <c r="AC84" s="263"/>
      <c r="AD84" s="276" t="e">
        <f>IF('Pay App 13'!$H$149=0,NA(),IFERROR('Pay App 13'!F142/'Summary Sheet'!$D$19,""))</f>
        <v>#N/A</v>
      </c>
      <c r="AE84" s="263"/>
      <c r="AF84" s="277" t="e">
        <f>IF('Pay App 14'!$H$149=0,NA(),IFERROR('Pay App 14'!F142/'Summary Sheet'!$D$19,""))</f>
        <v>#N/A</v>
      </c>
      <c r="AG84" s="263"/>
      <c r="AH84" s="276" t="e">
        <f>IF('Pay App 15'!$H$149=0,NA(),IFERROR('Pay App 15'!F142/'Summary Sheet'!$D$19,""))</f>
        <v>#N/A</v>
      </c>
      <c r="AI84" s="263"/>
      <c r="AJ84" s="277" t="e">
        <f>IF('Pay App 16'!$H$149=0,NA(),IFERROR('Pay App 16'!F142/'Summary Sheet'!$D$19,""))</f>
        <v>#N/A</v>
      </c>
      <c r="AK84" s="263"/>
      <c r="AL84" s="276" t="e">
        <f>IF('Pay App 17'!$H$149=0,NA(),IFERROR('Pay App 17'!F142/'Summary Sheet'!$D$19,""))</f>
        <v>#N/A</v>
      </c>
      <c r="AM84" s="263"/>
      <c r="AN84" s="277" t="e">
        <f>IF('Pay App 18'!$H$149=0,NA(),IFERROR('Pay App 18'!F142/'Summary Sheet'!$D$19,""))</f>
        <v>#N/A</v>
      </c>
      <c r="AO84" s="263"/>
      <c r="AP84" s="276" t="e">
        <f>IF('Pay App 19'!$H$149=0,NA(),IFERROR('Pay App 19'!F142/'Summary Sheet'!$D$19,""))</f>
        <v>#N/A</v>
      </c>
      <c r="AQ84" s="263"/>
      <c r="AR84" s="263" t="e">
        <f>IF('Pay App 20'!$H$149=0,NA(),IFERROR('Pay App 20'!F142/'Summary Sheet'!$D$19,""))</f>
        <v>#N/A</v>
      </c>
      <c r="AS84" s="264"/>
      <c r="AT84" s="276" t="e">
        <f>IF('Pay App 21'!$H$149=0,NA(),IFERROR('Pay App 21'!F142/'Summary Sheet'!$D$19,""))</f>
        <v>#N/A</v>
      </c>
      <c r="AU84" s="264"/>
      <c r="AV84" s="263" t="e">
        <f>IF('Pay App 22'!$H$149=0,NA(),IFERROR('Pay App 22'!F142/'Summary Sheet'!$D$19,""))</f>
        <v>#N/A</v>
      </c>
      <c r="AW84" s="264"/>
      <c r="AX84" s="276" t="e">
        <f>IF('Pay App 23'!$H$149=0,NA(),IFERROR('Pay App 23'!F142/'Summary Sheet'!$D$19,""))</f>
        <v>#N/A</v>
      </c>
      <c r="AY84" s="264"/>
      <c r="AZ84" s="263" t="e">
        <f>IF('Pay App 24'!$H$149=0,NA(),IFERROR('Pay App 24'!F142/'Summary Sheet'!$D$19,""))</f>
        <v>#N/A</v>
      </c>
      <c r="BA84" s="264"/>
      <c r="BB84" s="276" t="e">
        <f>IF('Pay App 25'!$H$149=0,NA(),IFERROR('Pay App 25'!F142/'Summary Sheet'!$D$19,""))</f>
        <v>#N/A</v>
      </c>
      <c r="BC84" s="264"/>
      <c r="BD84" s="263" t="e">
        <f>IF('Pay App 26'!$H$149=0,NA(),IFERROR('Pay App 26'!F142/'Summary Sheet'!$D$19,""))</f>
        <v>#N/A</v>
      </c>
      <c r="BE84" s="264"/>
      <c r="BF84" s="276" t="e">
        <f>IF('Pay App 27'!$H$149=0,NA(),IFERROR('Pay App 27'!F142/'Summary Sheet'!$D$19,""))</f>
        <v>#N/A</v>
      </c>
      <c r="BG84" s="264"/>
      <c r="BH84" s="263" t="e">
        <f>IF('Pay App 28'!$H$149=0,NA(),IFERROR('Pay App 28'!F142/'Summary Sheet'!$D$19,""))</f>
        <v>#N/A</v>
      </c>
      <c r="BI84" s="264"/>
      <c r="BJ84" s="276" t="e">
        <f>IF('Pay App 29'!$H$149=0,NA(),IFERROR('Pay App 29'!F142/'Summary Sheet'!$D$19,""))</f>
        <v>#N/A</v>
      </c>
      <c r="BK84" s="271"/>
      <c r="BL84" s="263" t="e">
        <f>IF('Pay App 30'!$H$149=0,NA(),IFERROR('Pay App 30'!F142/'Summary Sheet'!$D$19,""))</f>
        <v>#N/A</v>
      </c>
      <c r="BM84" s="264"/>
      <c r="BN84" s="276" t="e">
        <f>IF('Pay App 31'!$H$149=0,NA(),IFERROR('Pay App 31'!F142/'Summary Sheet'!$D$19,""))</f>
        <v>#N/A</v>
      </c>
      <c r="BO84" s="264"/>
      <c r="BP84" s="263" t="e">
        <f>IF('Pay App 32'!$H$149=0,NA(),IFERROR('Pay App 32'!F142/'Summary Sheet'!$D$19,""))</f>
        <v>#N/A</v>
      </c>
      <c r="BQ84" s="264"/>
      <c r="BR84" s="276" t="e">
        <f>IF('Pay App 33'!$H$149=0,NA(),IFERROR('Pay App 33'!F142/'Summary Sheet'!$D$19,""))</f>
        <v>#N/A</v>
      </c>
      <c r="BS84" s="264"/>
      <c r="BT84" s="263" t="e">
        <f>IF('Pay App 34'!$H$149=0,NA(),IFERROR('Pay App 34'!F142/'Summary Sheet'!$D$19,""))</f>
        <v>#N/A</v>
      </c>
      <c r="BU84" s="264"/>
      <c r="BV84" s="276" t="e">
        <f>IF('Pay App 35'!$H$149=0,NA(),IFERROR('Pay App 35'!F142/'Summary Sheet'!$D$19,""))</f>
        <v>#N/A</v>
      </c>
      <c r="BW84" s="264"/>
      <c r="BX84" s="263" t="e">
        <f>IF('Pay App 36'!$H$149=0,NA(),IFERROR('Pay App 36'!F142/'Summary Sheet'!$D$19,""))</f>
        <v>#N/A</v>
      </c>
      <c r="BY84" s="264"/>
      <c r="BZ84" s="276" t="e">
        <f>IF('Pay App 37'!$H$149=0,NA(),IFERROR('Pay App 37'!F142/'Summary Sheet'!$D$19,""))</f>
        <v>#N/A</v>
      </c>
      <c r="CA84" s="264"/>
      <c r="CB84" s="263" t="e">
        <f>IF('Pay App 38'!$H$149=0,NA(),IFERROR('Pay App 38'!F142/'Summary Sheet'!$D$19,""))</f>
        <v>#N/A</v>
      </c>
      <c r="CC84" s="264"/>
      <c r="CD84" s="276" t="e">
        <f>IF('Pay App 39'!$H$149=0,NA(),IFERROR('Pay App 39'!F142/'Summary Sheet'!$D$19,""))</f>
        <v>#N/A</v>
      </c>
      <c r="CE84" s="264"/>
      <c r="CF84" s="263" t="e">
        <f>IF('Pay App 40'!$H$149=0,NA(),IFERROR('Pay App 40'!F142/'Summary Sheet'!$D$19,""))</f>
        <v>#N/A</v>
      </c>
      <c r="CG84" s="264"/>
      <c r="CH84" s="276" t="e">
        <f>IF('Pay App 41'!$H$149=0,NA(),IFERROR('Pay App 41'!F142/'Summary Sheet'!$D$19,""))</f>
        <v>#N/A</v>
      </c>
      <c r="CI84" s="264"/>
      <c r="CJ84" s="263" t="e">
        <f>IF('Pay App 42'!$H$149=0,NA(),IFERROR('Pay App 42'!F142/'Summary Sheet'!$D$19,""))</f>
        <v>#N/A</v>
      </c>
      <c r="CK84" s="264"/>
      <c r="CL84" s="276" t="e">
        <f>IF('Pay App 43'!$H$149=0,NA(),IFERROR('Pay App 43'!F142/'Summary Sheet'!$D$19,""))</f>
        <v>#N/A</v>
      </c>
      <c r="CM84" s="264"/>
      <c r="CN84" s="263" t="e">
        <f>IF('Pay App 44'!$H$149=0,NA(),IFERROR('Pay App 44'!F142/'Summary Sheet'!$D$19,""))</f>
        <v>#N/A</v>
      </c>
      <c r="CO84" s="264"/>
      <c r="CP84" s="276" t="e">
        <f>IF('Pay App 45'!$H$149=0,NA(),IFERROR('Pay App 45'!F142/'Summary Sheet'!$D$19,""))</f>
        <v>#N/A</v>
      </c>
      <c r="CQ84" s="264"/>
      <c r="CR84" s="263" t="e">
        <f>IF('Pay App 46'!$H$149=0,NA(),IFERROR('Pay App 46'!F142/'Summary Sheet'!$D$19,""))</f>
        <v>#N/A</v>
      </c>
      <c r="CS84" s="264"/>
      <c r="CT84" s="276" t="e">
        <f>IF('Pay App 47'!$H$149=0,NA(),IFERROR('Pay App 47'!F142/'Summary Sheet'!$D$19,""))</f>
        <v>#N/A</v>
      </c>
      <c r="CU84" s="264"/>
      <c r="CV84" s="263" t="e">
        <f>IF('Pay App 48'!$H$149=0,NA(),IFERROR('Pay App 48'!F142/'Summary Sheet'!$D$19,""))</f>
        <v>#N/A</v>
      </c>
      <c r="CW84" s="264"/>
      <c r="CX84" s="276" t="e">
        <f>IF('Pay App 49'!$H$149=0,NA(),IFERROR('Pay App 49'!F142/'Summary Sheet'!$D$19,""))</f>
        <v>#N/A</v>
      </c>
      <c r="CY84" s="264"/>
      <c r="CZ84" s="263" t="e">
        <f>IF('Pay App 50'!$H$149=0,NA(),IFERROR('Pay App 50'!F142/'Summary Sheet'!$D$19,""))</f>
        <v>#N/A</v>
      </c>
      <c r="DA84" s="264"/>
      <c r="DB84" s="276" t="e">
        <f>IF('Pay App 51'!$H$149=0,NA(),IFERROR('Pay App 51'!F142/'Summary Sheet'!$D$19,""))</f>
        <v>#N/A</v>
      </c>
      <c r="DC84" s="264"/>
      <c r="DD84" s="263" t="e">
        <f>IF('Pay App 52'!$H$149=0,NA(),IFERROR('Pay App 52'!F142/'Summary Sheet'!$D$19,""))</f>
        <v>#N/A</v>
      </c>
      <c r="DE84" s="264"/>
      <c r="DF84" s="276" t="e">
        <f>IF('Pay App 53'!$H$149=0,NA(),IFERROR('Pay App 53'!F142/'Summary Sheet'!$D$19,""))</f>
        <v>#N/A</v>
      </c>
      <c r="DG84" s="264"/>
      <c r="DH84" s="263" t="e">
        <f>IF('Pay App 54'!$H$149=0,NA(),IFERROR('Pay App 54'!F142/'Summary Sheet'!$D$19,""))</f>
        <v>#N/A</v>
      </c>
      <c r="DI84" s="264"/>
      <c r="DJ84" s="276" t="e">
        <f>IF('Pay App 55'!$H$149=0,NA(),IFERROR('Pay App 55'!F142/'Summary Sheet'!$D$19,""))</f>
        <v>#N/A</v>
      </c>
      <c r="DK84" s="264"/>
      <c r="DL84" s="263" t="e">
        <f>IF('Pay App 56'!$H$149=0,NA(),IFERROR('Pay App 56'!F142/'Summary Sheet'!$D$19,""))</f>
        <v>#N/A</v>
      </c>
      <c r="DM84" s="264"/>
      <c r="DN84" s="276" t="e">
        <f>IF('Pay App 57'!$H$149=0,NA(),IFERROR('Pay App 57'!F142/'Summary Sheet'!$D$19,""))</f>
        <v>#N/A</v>
      </c>
      <c r="DO84" s="264"/>
      <c r="DP84" s="263" t="e">
        <f>IF('Pay App 58'!$H$149=0,NA(),IFERROR('Pay App 58'!F142/'Summary Sheet'!$D$19,""))</f>
        <v>#N/A</v>
      </c>
      <c r="DQ84" s="264"/>
      <c r="DR84" s="276" t="e">
        <f>IF('Pay App 59'!$H$149=0,NA(),IFERROR('Pay App 59'!F142/'Summary Sheet'!$D$19,""))</f>
        <v>#N/A</v>
      </c>
      <c r="DS84" s="264"/>
      <c r="DT84" s="263" t="e">
        <f>IF('Pay App 60'!$H$149=0,NA(),IFERROR('Pay App 60'!F1052/'Summary Sheet'!$D$19,""))</f>
        <v>#N/A</v>
      </c>
      <c r="DU84" s="296"/>
    </row>
    <row r="85" spans="2:125" x14ac:dyDescent="0.25">
      <c r="B85" s="44" t="str">
        <f>'Pay App 1'!B143</f>
        <v>33 00 00</v>
      </c>
      <c r="C85" s="45" t="str">
        <f>'Pay App 1'!C143</f>
        <v>Site Utilities</v>
      </c>
      <c r="D85" s="282" t="str" cm="1">
        <f t="array" ref="D85">IFERROR(1+(LOOKUP(2,1/(E85:DT85&lt;&gt;""),E85:DT85)-E85)/E85,"")</f>
        <v/>
      </c>
      <c r="E85" s="275" t="str">
        <f>IFERROR('GMP Tracker'!D89/'Summary Sheet'!$D$19,"")</f>
        <v/>
      </c>
      <c r="F85" s="276" t="e">
        <f>IF('Pay App 1'!$D$149=0,NA(),IFERROR('Pay App 1'!F143/'Summary Sheet'!$D$19,""))</f>
        <v>#N/A</v>
      </c>
      <c r="G85" s="271"/>
      <c r="H85" s="277" t="e">
        <f>IF('Pay App 2'!$H$149=0,NA(),IFERROR('Pay App 2'!F143/'Summary Sheet'!$D$19,""))</f>
        <v>#N/A</v>
      </c>
      <c r="I85" s="266"/>
      <c r="J85" s="276" t="e">
        <f>IF('Pay App 3'!$H$149=0,NA(),IFERROR('Pay App 3'!F143/'Summary Sheet'!$D$19,""))</f>
        <v>#N/A</v>
      </c>
      <c r="K85" s="268"/>
      <c r="L85" s="277" t="e">
        <f>IF('Pay App 4'!$H$149=0,NA(),IFERROR('Pay App 4'!F143/'Summary Sheet'!$D$19,""))</f>
        <v>#N/A</v>
      </c>
      <c r="M85" s="266"/>
      <c r="N85" s="276" t="e">
        <f>IF('Pay App 5'!$H$149=0,NA(),IFERROR('Pay App 5'!F143/'Summary Sheet'!$D$19,""))</f>
        <v>#N/A</v>
      </c>
      <c r="O85" s="263"/>
      <c r="P85" s="277" t="e">
        <f>IF('Pay App 6'!$H$149=0,NA(),IFERROR('Pay App 6'!F143/'Summary Sheet'!$D$19,""))</f>
        <v>#N/A</v>
      </c>
      <c r="Q85" s="263"/>
      <c r="R85" s="276" t="e">
        <f>IF('Pay App 7'!$H$149=0,NA(),IFERROR('Pay App 7'!F143/'Summary Sheet'!$D$19,""))</f>
        <v>#N/A</v>
      </c>
      <c r="S85" s="263"/>
      <c r="T85" s="277" t="e">
        <f>IF('Pay App 8'!$H$149=0,NA(),IFERROR('Pay App 8'!F143/'Summary Sheet'!$D$19,""))</f>
        <v>#N/A</v>
      </c>
      <c r="U85" s="263"/>
      <c r="V85" s="276" t="e">
        <f>IF('Pay App 9'!$H$149=0,NA(),IFERROR('Pay App 9'!F143/'Summary Sheet'!$D$19,""))</f>
        <v>#N/A</v>
      </c>
      <c r="W85" s="263"/>
      <c r="X85" s="277" t="e">
        <f>IF('Pay App 10'!$H$149=0,NA(),IFERROR('Pay App 10'!F143/'Summary Sheet'!$D$19,""))</f>
        <v>#N/A</v>
      </c>
      <c r="Y85" s="263"/>
      <c r="Z85" s="276" t="e">
        <f>IF('Pay App 11'!$H$149=0,NA(),IFERROR('Pay App 11'!F143/'Summary Sheet'!$D$19,""))</f>
        <v>#N/A</v>
      </c>
      <c r="AA85" s="263"/>
      <c r="AB85" s="277" t="e">
        <f>IF('Pay App 12'!$H$149=0,NA(),IFERROR('Pay App 12'!F143/'Summary Sheet'!$D$19,""))</f>
        <v>#N/A</v>
      </c>
      <c r="AC85" s="263"/>
      <c r="AD85" s="276" t="e">
        <f>IF('Pay App 13'!$H$149=0,NA(),IFERROR('Pay App 13'!F143/'Summary Sheet'!$D$19,""))</f>
        <v>#N/A</v>
      </c>
      <c r="AE85" s="263"/>
      <c r="AF85" s="277" t="e">
        <f>IF('Pay App 14'!$H$149=0,NA(),IFERROR('Pay App 14'!F143/'Summary Sheet'!$D$19,""))</f>
        <v>#N/A</v>
      </c>
      <c r="AG85" s="263"/>
      <c r="AH85" s="276" t="e">
        <f>IF('Pay App 15'!$H$149=0,NA(),IFERROR('Pay App 15'!F143/'Summary Sheet'!$D$19,""))</f>
        <v>#N/A</v>
      </c>
      <c r="AI85" s="263"/>
      <c r="AJ85" s="277" t="e">
        <f>IF('Pay App 16'!$H$149=0,NA(),IFERROR('Pay App 16'!F143/'Summary Sheet'!$D$19,""))</f>
        <v>#N/A</v>
      </c>
      <c r="AK85" s="263"/>
      <c r="AL85" s="276" t="e">
        <f>IF('Pay App 17'!$H$149=0,NA(),IFERROR('Pay App 17'!F143/'Summary Sheet'!$D$19,""))</f>
        <v>#N/A</v>
      </c>
      <c r="AM85" s="263"/>
      <c r="AN85" s="277" t="e">
        <f>IF('Pay App 18'!$H$149=0,NA(),IFERROR('Pay App 18'!F143/'Summary Sheet'!$D$19,""))</f>
        <v>#N/A</v>
      </c>
      <c r="AO85" s="263"/>
      <c r="AP85" s="276" t="e">
        <f>IF('Pay App 19'!$H$149=0,NA(),IFERROR('Pay App 19'!F143/'Summary Sheet'!$D$19,""))</f>
        <v>#N/A</v>
      </c>
      <c r="AQ85" s="263"/>
      <c r="AR85" s="263" t="e">
        <f>IF('Pay App 20'!$H$149=0,NA(),IFERROR('Pay App 20'!F143/'Summary Sheet'!$D$19,""))</f>
        <v>#N/A</v>
      </c>
      <c r="AS85" s="264"/>
      <c r="AT85" s="276" t="e">
        <f>IF('Pay App 21'!$H$149=0,NA(),IFERROR('Pay App 21'!F143/'Summary Sheet'!$D$19,""))</f>
        <v>#N/A</v>
      </c>
      <c r="AU85" s="264"/>
      <c r="AV85" s="263" t="e">
        <f>IF('Pay App 22'!$H$149=0,NA(),IFERROR('Pay App 22'!F143/'Summary Sheet'!$D$19,""))</f>
        <v>#N/A</v>
      </c>
      <c r="AW85" s="264"/>
      <c r="AX85" s="276" t="e">
        <f>IF('Pay App 23'!$H$149=0,NA(),IFERROR('Pay App 23'!F143/'Summary Sheet'!$D$19,""))</f>
        <v>#N/A</v>
      </c>
      <c r="AY85" s="264"/>
      <c r="AZ85" s="263" t="e">
        <f>IF('Pay App 24'!$H$149=0,NA(),IFERROR('Pay App 24'!F143/'Summary Sheet'!$D$19,""))</f>
        <v>#N/A</v>
      </c>
      <c r="BA85" s="264"/>
      <c r="BB85" s="276" t="e">
        <f>IF('Pay App 25'!$H$149=0,NA(),IFERROR('Pay App 25'!F143/'Summary Sheet'!$D$19,""))</f>
        <v>#N/A</v>
      </c>
      <c r="BC85" s="264"/>
      <c r="BD85" s="263" t="e">
        <f>IF('Pay App 26'!$H$149=0,NA(),IFERROR('Pay App 26'!F143/'Summary Sheet'!$D$19,""))</f>
        <v>#N/A</v>
      </c>
      <c r="BE85" s="264"/>
      <c r="BF85" s="276" t="e">
        <f>IF('Pay App 27'!$H$149=0,NA(),IFERROR('Pay App 27'!F143/'Summary Sheet'!$D$19,""))</f>
        <v>#N/A</v>
      </c>
      <c r="BG85" s="264"/>
      <c r="BH85" s="263" t="e">
        <f>IF('Pay App 28'!$H$149=0,NA(),IFERROR('Pay App 28'!F143/'Summary Sheet'!$D$19,""))</f>
        <v>#N/A</v>
      </c>
      <c r="BI85" s="264"/>
      <c r="BJ85" s="276" t="e">
        <f>IF('Pay App 29'!$H$149=0,NA(),IFERROR('Pay App 29'!F143/'Summary Sheet'!$D$19,""))</f>
        <v>#N/A</v>
      </c>
      <c r="BK85" s="271"/>
      <c r="BL85" s="263" t="e">
        <f>IF('Pay App 30'!$H$149=0,NA(),IFERROR('Pay App 30'!F143/'Summary Sheet'!$D$19,""))</f>
        <v>#N/A</v>
      </c>
      <c r="BM85" s="264"/>
      <c r="BN85" s="276" t="e">
        <f>IF('Pay App 31'!$H$149=0,NA(),IFERROR('Pay App 31'!F143/'Summary Sheet'!$D$19,""))</f>
        <v>#N/A</v>
      </c>
      <c r="BO85" s="264"/>
      <c r="BP85" s="263" t="e">
        <f>IF('Pay App 32'!$H$149=0,NA(),IFERROR('Pay App 32'!F143/'Summary Sheet'!$D$19,""))</f>
        <v>#N/A</v>
      </c>
      <c r="BQ85" s="264"/>
      <c r="BR85" s="276" t="e">
        <f>IF('Pay App 33'!$H$149=0,NA(),IFERROR('Pay App 33'!F143/'Summary Sheet'!$D$19,""))</f>
        <v>#N/A</v>
      </c>
      <c r="BS85" s="264"/>
      <c r="BT85" s="263" t="e">
        <f>IF('Pay App 34'!$H$149=0,NA(),IFERROR('Pay App 34'!F143/'Summary Sheet'!$D$19,""))</f>
        <v>#N/A</v>
      </c>
      <c r="BU85" s="264"/>
      <c r="BV85" s="276" t="e">
        <f>IF('Pay App 35'!$H$149=0,NA(),IFERROR('Pay App 35'!F143/'Summary Sheet'!$D$19,""))</f>
        <v>#N/A</v>
      </c>
      <c r="BW85" s="264"/>
      <c r="BX85" s="263" t="e">
        <f>IF('Pay App 36'!$H$149=0,NA(),IFERROR('Pay App 36'!F143/'Summary Sheet'!$D$19,""))</f>
        <v>#N/A</v>
      </c>
      <c r="BY85" s="264"/>
      <c r="BZ85" s="276" t="e">
        <f>IF('Pay App 37'!$H$149=0,NA(),IFERROR('Pay App 37'!F143/'Summary Sheet'!$D$19,""))</f>
        <v>#N/A</v>
      </c>
      <c r="CA85" s="264"/>
      <c r="CB85" s="263" t="e">
        <f>IF('Pay App 38'!$H$149=0,NA(),IFERROR('Pay App 38'!F143/'Summary Sheet'!$D$19,""))</f>
        <v>#N/A</v>
      </c>
      <c r="CC85" s="264"/>
      <c r="CD85" s="276" t="e">
        <f>IF('Pay App 39'!$H$149=0,NA(),IFERROR('Pay App 39'!F143/'Summary Sheet'!$D$19,""))</f>
        <v>#N/A</v>
      </c>
      <c r="CE85" s="264"/>
      <c r="CF85" s="263" t="e">
        <f>IF('Pay App 40'!$H$149=0,NA(),IFERROR('Pay App 40'!F143/'Summary Sheet'!$D$19,""))</f>
        <v>#N/A</v>
      </c>
      <c r="CG85" s="264"/>
      <c r="CH85" s="276" t="e">
        <f>IF('Pay App 41'!$H$149=0,NA(),IFERROR('Pay App 41'!F143/'Summary Sheet'!$D$19,""))</f>
        <v>#N/A</v>
      </c>
      <c r="CI85" s="264"/>
      <c r="CJ85" s="263" t="e">
        <f>IF('Pay App 42'!$H$149=0,NA(),IFERROR('Pay App 42'!F143/'Summary Sheet'!$D$19,""))</f>
        <v>#N/A</v>
      </c>
      <c r="CK85" s="264"/>
      <c r="CL85" s="276" t="e">
        <f>IF('Pay App 43'!$H$149=0,NA(),IFERROR('Pay App 43'!F143/'Summary Sheet'!$D$19,""))</f>
        <v>#N/A</v>
      </c>
      <c r="CM85" s="264"/>
      <c r="CN85" s="263" t="e">
        <f>IF('Pay App 44'!$H$149=0,NA(),IFERROR('Pay App 44'!F143/'Summary Sheet'!$D$19,""))</f>
        <v>#N/A</v>
      </c>
      <c r="CO85" s="264"/>
      <c r="CP85" s="276" t="e">
        <f>IF('Pay App 45'!$H$149=0,NA(),IFERROR('Pay App 45'!F143/'Summary Sheet'!$D$19,""))</f>
        <v>#N/A</v>
      </c>
      <c r="CQ85" s="264"/>
      <c r="CR85" s="263" t="e">
        <f>IF('Pay App 46'!$H$149=0,NA(),IFERROR('Pay App 46'!F143/'Summary Sheet'!$D$19,""))</f>
        <v>#N/A</v>
      </c>
      <c r="CS85" s="264"/>
      <c r="CT85" s="276" t="e">
        <f>IF('Pay App 47'!$H$149=0,NA(),IFERROR('Pay App 47'!F143/'Summary Sheet'!$D$19,""))</f>
        <v>#N/A</v>
      </c>
      <c r="CU85" s="264"/>
      <c r="CV85" s="263" t="e">
        <f>IF('Pay App 48'!$H$149=0,NA(),IFERROR('Pay App 48'!F143/'Summary Sheet'!$D$19,""))</f>
        <v>#N/A</v>
      </c>
      <c r="CW85" s="264"/>
      <c r="CX85" s="276" t="e">
        <f>IF('Pay App 49'!$H$149=0,NA(),IFERROR('Pay App 49'!F143/'Summary Sheet'!$D$19,""))</f>
        <v>#N/A</v>
      </c>
      <c r="CY85" s="264"/>
      <c r="CZ85" s="263" t="e">
        <f>IF('Pay App 50'!$H$149=0,NA(),IFERROR('Pay App 50'!F143/'Summary Sheet'!$D$19,""))</f>
        <v>#N/A</v>
      </c>
      <c r="DA85" s="264"/>
      <c r="DB85" s="276" t="e">
        <f>IF('Pay App 51'!$H$149=0,NA(),IFERROR('Pay App 51'!F143/'Summary Sheet'!$D$19,""))</f>
        <v>#N/A</v>
      </c>
      <c r="DC85" s="264"/>
      <c r="DD85" s="263" t="e">
        <f>IF('Pay App 52'!$H$149=0,NA(),IFERROR('Pay App 52'!F143/'Summary Sheet'!$D$19,""))</f>
        <v>#N/A</v>
      </c>
      <c r="DE85" s="264"/>
      <c r="DF85" s="276" t="e">
        <f>IF('Pay App 53'!$H$149=0,NA(),IFERROR('Pay App 53'!F143/'Summary Sheet'!$D$19,""))</f>
        <v>#N/A</v>
      </c>
      <c r="DG85" s="264"/>
      <c r="DH85" s="263" t="e">
        <f>IF('Pay App 54'!$H$149=0,NA(),IFERROR('Pay App 54'!F143/'Summary Sheet'!$D$19,""))</f>
        <v>#N/A</v>
      </c>
      <c r="DI85" s="264"/>
      <c r="DJ85" s="276" t="e">
        <f>IF('Pay App 55'!$H$149=0,NA(),IFERROR('Pay App 55'!F143/'Summary Sheet'!$D$19,""))</f>
        <v>#N/A</v>
      </c>
      <c r="DK85" s="264"/>
      <c r="DL85" s="263" t="e">
        <f>IF('Pay App 56'!$H$149=0,NA(),IFERROR('Pay App 56'!F143/'Summary Sheet'!$D$19,""))</f>
        <v>#N/A</v>
      </c>
      <c r="DM85" s="264"/>
      <c r="DN85" s="276" t="e">
        <f>IF('Pay App 57'!$H$149=0,NA(),IFERROR('Pay App 57'!F143/'Summary Sheet'!$D$19,""))</f>
        <v>#N/A</v>
      </c>
      <c r="DO85" s="264"/>
      <c r="DP85" s="263" t="e">
        <f>IF('Pay App 58'!$H$149=0,NA(),IFERROR('Pay App 58'!F143/'Summary Sheet'!$D$19,""))</f>
        <v>#N/A</v>
      </c>
      <c r="DQ85" s="264"/>
      <c r="DR85" s="276" t="e">
        <f>IF('Pay App 59'!$H$149=0,NA(),IFERROR('Pay App 59'!F143/'Summary Sheet'!$D$19,""))</f>
        <v>#N/A</v>
      </c>
      <c r="DS85" s="264"/>
      <c r="DT85" s="263" t="e">
        <f>IF('Pay App 60'!$H$149=0,NA(),IFERROR('Pay App 60'!F1053/'Summary Sheet'!$D$19,""))</f>
        <v>#N/A</v>
      </c>
      <c r="DU85" s="296"/>
    </row>
    <row r="86" spans="2:125" x14ac:dyDescent="0.25">
      <c r="B86" s="44" t="str">
        <f>'Pay App 1'!B144</f>
        <v>33 40 00</v>
      </c>
      <c r="C86" s="45" t="str">
        <f>'Pay App 1'!C144</f>
        <v>Underground Storm Retention Sys</v>
      </c>
      <c r="D86" s="282" t="str" cm="1">
        <f t="array" ref="D86">IFERROR(1+(LOOKUP(2,1/(E86:DT86&lt;&gt;""),E86:DT86)-E86)/E86,"")</f>
        <v/>
      </c>
      <c r="E86" s="275" t="str">
        <f>IFERROR('GMP Tracker'!D90/'Summary Sheet'!$D$19,"")</f>
        <v/>
      </c>
      <c r="F86" s="276" t="e">
        <f>IF('Pay App 1'!$D$149=0,NA(),IFERROR('Pay App 1'!F144/'Summary Sheet'!$D$19,""))</f>
        <v>#N/A</v>
      </c>
      <c r="G86" s="271"/>
      <c r="H86" s="277" t="e">
        <f>IF('Pay App 2'!$H$149=0,NA(),IFERROR('Pay App 2'!F144/'Summary Sheet'!$D$19,""))</f>
        <v>#N/A</v>
      </c>
      <c r="I86" s="266"/>
      <c r="J86" s="276" t="e">
        <f>IF('Pay App 3'!$H$149=0,NA(),IFERROR('Pay App 3'!F144/'Summary Sheet'!$D$19,""))</f>
        <v>#N/A</v>
      </c>
      <c r="K86" s="268"/>
      <c r="L86" s="277" t="e">
        <f>IF('Pay App 4'!$H$149=0,NA(),IFERROR('Pay App 4'!F144/'Summary Sheet'!$D$19,""))</f>
        <v>#N/A</v>
      </c>
      <c r="M86" s="266"/>
      <c r="N86" s="276" t="e">
        <f>IF('Pay App 5'!$H$149=0,NA(),IFERROR('Pay App 5'!F144/'Summary Sheet'!$D$19,""))</f>
        <v>#N/A</v>
      </c>
      <c r="O86" s="263"/>
      <c r="P86" s="277" t="e">
        <f>IF('Pay App 6'!$H$149=0,NA(),IFERROR('Pay App 6'!F144/'Summary Sheet'!$D$19,""))</f>
        <v>#N/A</v>
      </c>
      <c r="Q86" s="263"/>
      <c r="R86" s="276" t="e">
        <f>IF('Pay App 7'!$H$149=0,NA(),IFERROR('Pay App 7'!F144/'Summary Sheet'!$D$19,""))</f>
        <v>#N/A</v>
      </c>
      <c r="S86" s="263"/>
      <c r="T86" s="277" t="e">
        <f>IF('Pay App 8'!$H$149=0,NA(),IFERROR('Pay App 8'!F144/'Summary Sheet'!$D$19,""))</f>
        <v>#N/A</v>
      </c>
      <c r="U86" s="263"/>
      <c r="V86" s="276" t="e">
        <f>IF('Pay App 9'!$H$149=0,NA(),IFERROR('Pay App 9'!F144/'Summary Sheet'!$D$19,""))</f>
        <v>#N/A</v>
      </c>
      <c r="W86" s="263"/>
      <c r="X86" s="277" t="e">
        <f>IF('Pay App 10'!$H$149=0,NA(),IFERROR('Pay App 10'!F144/'Summary Sheet'!$D$19,""))</f>
        <v>#N/A</v>
      </c>
      <c r="Y86" s="263"/>
      <c r="Z86" s="276" t="e">
        <f>IF('Pay App 11'!$H$149=0,NA(),IFERROR('Pay App 11'!F144/'Summary Sheet'!$D$19,""))</f>
        <v>#N/A</v>
      </c>
      <c r="AA86" s="263"/>
      <c r="AB86" s="277" t="e">
        <f>IF('Pay App 12'!$H$149=0,NA(),IFERROR('Pay App 12'!F144/'Summary Sheet'!$D$19,""))</f>
        <v>#N/A</v>
      </c>
      <c r="AC86" s="263"/>
      <c r="AD86" s="276" t="e">
        <f>IF('Pay App 13'!$H$149=0,NA(),IFERROR('Pay App 13'!F144/'Summary Sheet'!$D$19,""))</f>
        <v>#N/A</v>
      </c>
      <c r="AE86" s="263"/>
      <c r="AF86" s="277" t="e">
        <f>IF('Pay App 14'!$H$149=0,NA(),IFERROR('Pay App 14'!F144/'Summary Sheet'!$D$19,""))</f>
        <v>#N/A</v>
      </c>
      <c r="AG86" s="263"/>
      <c r="AH86" s="276" t="e">
        <f>IF('Pay App 15'!$H$149=0,NA(),IFERROR('Pay App 15'!F144/'Summary Sheet'!$D$19,""))</f>
        <v>#N/A</v>
      </c>
      <c r="AI86" s="263"/>
      <c r="AJ86" s="277" t="e">
        <f>IF('Pay App 16'!$H$149=0,NA(),IFERROR('Pay App 16'!F144/'Summary Sheet'!$D$19,""))</f>
        <v>#N/A</v>
      </c>
      <c r="AK86" s="263"/>
      <c r="AL86" s="276" t="e">
        <f>IF('Pay App 17'!$H$149=0,NA(),IFERROR('Pay App 17'!F144/'Summary Sheet'!$D$19,""))</f>
        <v>#N/A</v>
      </c>
      <c r="AM86" s="263"/>
      <c r="AN86" s="277" t="e">
        <f>IF('Pay App 18'!$H$149=0,NA(),IFERROR('Pay App 18'!F144/'Summary Sheet'!$D$19,""))</f>
        <v>#N/A</v>
      </c>
      <c r="AO86" s="263"/>
      <c r="AP86" s="276" t="e">
        <f>IF('Pay App 19'!$H$149=0,NA(),IFERROR('Pay App 19'!F144/'Summary Sheet'!$D$19,""))</f>
        <v>#N/A</v>
      </c>
      <c r="AQ86" s="263"/>
      <c r="AR86" s="263" t="e">
        <f>IF('Pay App 20'!$H$149=0,NA(),IFERROR('Pay App 20'!F144/'Summary Sheet'!$D$19,""))</f>
        <v>#N/A</v>
      </c>
      <c r="AS86" s="264"/>
      <c r="AT86" s="276" t="e">
        <f>IF('Pay App 21'!$H$149=0,NA(),IFERROR('Pay App 21'!F144/'Summary Sheet'!$D$19,""))</f>
        <v>#N/A</v>
      </c>
      <c r="AU86" s="264"/>
      <c r="AV86" s="263" t="e">
        <f>IF('Pay App 22'!$H$149=0,NA(),IFERROR('Pay App 22'!F144/'Summary Sheet'!$D$19,""))</f>
        <v>#N/A</v>
      </c>
      <c r="AW86" s="264"/>
      <c r="AX86" s="276" t="e">
        <f>IF('Pay App 23'!$H$149=0,NA(),IFERROR('Pay App 23'!F144/'Summary Sheet'!$D$19,""))</f>
        <v>#N/A</v>
      </c>
      <c r="AY86" s="264"/>
      <c r="AZ86" s="263" t="e">
        <f>IF('Pay App 24'!$H$149=0,NA(),IFERROR('Pay App 24'!F144/'Summary Sheet'!$D$19,""))</f>
        <v>#N/A</v>
      </c>
      <c r="BA86" s="264"/>
      <c r="BB86" s="276" t="e">
        <f>IF('Pay App 25'!$H$149=0,NA(),IFERROR('Pay App 25'!F144/'Summary Sheet'!$D$19,""))</f>
        <v>#N/A</v>
      </c>
      <c r="BC86" s="264"/>
      <c r="BD86" s="263" t="e">
        <f>IF('Pay App 26'!$H$149=0,NA(),IFERROR('Pay App 26'!F144/'Summary Sheet'!$D$19,""))</f>
        <v>#N/A</v>
      </c>
      <c r="BE86" s="264"/>
      <c r="BF86" s="276" t="e">
        <f>IF('Pay App 27'!$H$149=0,NA(),IFERROR('Pay App 27'!F144/'Summary Sheet'!$D$19,""))</f>
        <v>#N/A</v>
      </c>
      <c r="BG86" s="264"/>
      <c r="BH86" s="263" t="e">
        <f>IF('Pay App 28'!$H$149=0,NA(),IFERROR('Pay App 28'!F144/'Summary Sheet'!$D$19,""))</f>
        <v>#N/A</v>
      </c>
      <c r="BI86" s="264"/>
      <c r="BJ86" s="276" t="e">
        <f>IF('Pay App 29'!$H$149=0,NA(),IFERROR('Pay App 29'!F144/'Summary Sheet'!$D$19,""))</f>
        <v>#N/A</v>
      </c>
      <c r="BK86" s="271"/>
      <c r="BL86" s="263" t="e">
        <f>IF('Pay App 30'!$H$149=0,NA(),IFERROR('Pay App 30'!F144/'Summary Sheet'!$D$19,""))</f>
        <v>#N/A</v>
      </c>
      <c r="BM86" s="264"/>
      <c r="BN86" s="276" t="e">
        <f>IF('Pay App 31'!$H$149=0,NA(),IFERROR('Pay App 31'!F144/'Summary Sheet'!$D$19,""))</f>
        <v>#N/A</v>
      </c>
      <c r="BO86" s="264"/>
      <c r="BP86" s="263" t="e">
        <f>IF('Pay App 32'!$H$149=0,NA(),IFERROR('Pay App 32'!F144/'Summary Sheet'!$D$19,""))</f>
        <v>#N/A</v>
      </c>
      <c r="BQ86" s="264"/>
      <c r="BR86" s="276" t="e">
        <f>IF('Pay App 33'!$H$149=0,NA(),IFERROR('Pay App 33'!F144/'Summary Sheet'!$D$19,""))</f>
        <v>#N/A</v>
      </c>
      <c r="BS86" s="264"/>
      <c r="BT86" s="263" t="e">
        <f>IF('Pay App 34'!$H$149=0,NA(),IFERROR('Pay App 34'!F144/'Summary Sheet'!$D$19,""))</f>
        <v>#N/A</v>
      </c>
      <c r="BU86" s="264"/>
      <c r="BV86" s="276" t="e">
        <f>IF('Pay App 35'!$H$149=0,NA(),IFERROR('Pay App 35'!F144/'Summary Sheet'!$D$19,""))</f>
        <v>#N/A</v>
      </c>
      <c r="BW86" s="264"/>
      <c r="BX86" s="263" t="e">
        <f>IF('Pay App 36'!$H$149=0,NA(),IFERROR('Pay App 36'!F144/'Summary Sheet'!$D$19,""))</f>
        <v>#N/A</v>
      </c>
      <c r="BY86" s="264"/>
      <c r="BZ86" s="276" t="e">
        <f>IF('Pay App 37'!$H$149=0,NA(),IFERROR('Pay App 37'!F144/'Summary Sheet'!$D$19,""))</f>
        <v>#N/A</v>
      </c>
      <c r="CA86" s="264"/>
      <c r="CB86" s="263" t="e">
        <f>IF('Pay App 38'!$H$149=0,NA(),IFERROR('Pay App 38'!F144/'Summary Sheet'!$D$19,""))</f>
        <v>#N/A</v>
      </c>
      <c r="CC86" s="264"/>
      <c r="CD86" s="276" t="e">
        <f>IF('Pay App 39'!$H$149=0,NA(),IFERROR('Pay App 39'!F144/'Summary Sheet'!$D$19,""))</f>
        <v>#N/A</v>
      </c>
      <c r="CE86" s="264"/>
      <c r="CF86" s="263" t="e">
        <f>IF('Pay App 40'!$H$149=0,NA(),IFERROR('Pay App 40'!F144/'Summary Sheet'!$D$19,""))</f>
        <v>#N/A</v>
      </c>
      <c r="CG86" s="264"/>
      <c r="CH86" s="276" t="e">
        <f>IF('Pay App 41'!$H$149=0,NA(),IFERROR('Pay App 41'!F144/'Summary Sheet'!$D$19,""))</f>
        <v>#N/A</v>
      </c>
      <c r="CI86" s="264"/>
      <c r="CJ86" s="263" t="e">
        <f>IF('Pay App 42'!$H$149=0,NA(),IFERROR('Pay App 42'!F144/'Summary Sheet'!$D$19,""))</f>
        <v>#N/A</v>
      </c>
      <c r="CK86" s="264"/>
      <c r="CL86" s="276" t="e">
        <f>IF('Pay App 43'!$H$149=0,NA(),IFERROR('Pay App 43'!F144/'Summary Sheet'!$D$19,""))</f>
        <v>#N/A</v>
      </c>
      <c r="CM86" s="264"/>
      <c r="CN86" s="263" t="e">
        <f>IF('Pay App 44'!$H$149=0,NA(),IFERROR('Pay App 44'!F144/'Summary Sheet'!$D$19,""))</f>
        <v>#N/A</v>
      </c>
      <c r="CO86" s="264"/>
      <c r="CP86" s="276" t="e">
        <f>IF('Pay App 45'!$H$149=0,NA(),IFERROR('Pay App 45'!F144/'Summary Sheet'!$D$19,""))</f>
        <v>#N/A</v>
      </c>
      <c r="CQ86" s="264"/>
      <c r="CR86" s="263" t="e">
        <f>IF('Pay App 46'!$H$149=0,NA(),IFERROR('Pay App 46'!F144/'Summary Sheet'!$D$19,""))</f>
        <v>#N/A</v>
      </c>
      <c r="CS86" s="264"/>
      <c r="CT86" s="276" t="e">
        <f>IF('Pay App 47'!$H$149=0,NA(),IFERROR('Pay App 47'!F144/'Summary Sheet'!$D$19,""))</f>
        <v>#N/A</v>
      </c>
      <c r="CU86" s="264"/>
      <c r="CV86" s="263" t="e">
        <f>IF('Pay App 48'!$H$149=0,NA(),IFERROR('Pay App 48'!F144/'Summary Sheet'!$D$19,""))</f>
        <v>#N/A</v>
      </c>
      <c r="CW86" s="264"/>
      <c r="CX86" s="276" t="e">
        <f>IF('Pay App 49'!$H$149=0,NA(),IFERROR('Pay App 49'!F144/'Summary Sheet'!$D$19,""))</f>
        <v>#N/A</v>
      </c>
      <c r="CY86" s="264"/>
      <c r="CZ86" s="263" t="e">
        <f>IF('Pay App 50'!$H$149=0,NA(),IFERROR('Pay App 50'!F144/'Summary Sheet'!$D$19,""))</f>
        <v>#N/A</v>
      </c>
      <c r="DA86" s="264"/>
      <c r="DB86" s="276" t="e">
        <f>IF('Pay App 51'!$H$149=0,NA(),IFERROR('Pay App 51'!F144/'Summary Sheet'!$D$19,""))</f>
        <v>#N/A</v>
      </c>
      <c r="DC86" s="264"/>
      <c r="DD86" s="263" t="e">
        <f>IF('Pay App 52'!$H$149=0,NA(),IFERROR('Pay App 52'!F144/'Summary Sheet'!$D$19,""))</f>
        <v>#N/A</v>
      </c>
      <c r="DE86" s="264"/>
      <c r="DF86" s="276" t="e">
        <f>IF('Pay App 53'!$H$149=0,NA(),IFERROR('Pay App 53'!F144/'Summary Sheet'!$D$19,""))</f>
        <v>#N/A</v>
      </c>
      <c r="DG86" s="264"/>
      <c r="DH86" s="263" t="e">
        <f>IF('Pay App 54'!$H$149=0,NA(),IFERROR('Pay App 54'!F144/'Summary Sheet'!$D$19,""))</f>
        <v>#N/A</v>
      </c>
      <c r="DI86" s="264"/>
      <c r="DJ86" s="276" t="e">
        <f>IF('Pay App 55'!$H$149=0,NA(),IFERROR('Pay App 55'!F144/'Summary Sheet'!$D$19,""))</f>
        <v>#N/A</v>
      </c>
      <c r="DK86" s="264"/>
      <c r="DL86" s="263" t="e">
        <f>IF('Pay App 56'!$H$149=0,NA(),IFERROR('Pay App 56'!F144/'Summary Sheet'!$D$19,""))</f>
        <v>#N/A</v>
      </c>
      <c r="DM86" s="264"/>
      <c r="DN86" s="276" t="e">
        <f>IF('Pay App 57'!$H$149=0,NA(),IFERROR('Pay App 57'!F144/'Summary Sheet'!$D$19,""))</f>
        <v>#N/A</v>
      </c>
      <c r="DO86" s="264"/>
      <c r="DP86" s="263" t="e">
        <f>IF('Pay App 58'!$H$149=0,NA(),IFERROR('Pay App 58'!F144/'Summary Sheet'!$D$19,""))</f>
        <v>#N/A</v>
      </c>
      <c r="DQ86" s="264"/>
      <c r="DR86" s="276" t="e">
        <f>IF('Pay App 59'!$H$149=0,NA(),IFERROR('Pay App 59'!F144/'Summary Sheet'!$D$19,""))</f>
        <v>#N/A</v>
      </c>
      <c r="DS86" s="264"/>
      <c r="DT86" s="263" t="e">
        <f>IF('Pay App 60'!$H$149=0,NA(),IFERROR('Pay App 60'!F1054/'Summary Sheet'!$D$19,""))</f>
        <v>#N/A</v>
      </c>
      <c r="DU86" s="296"/>
    </row>
    <row r="87" spans="2:125" x14ac:dyDescent="0.25">
      <c r="B87" s="112" t="str">
        <f>'Pay App 1'!B145</f>
        <v>60 00 10</v>
      </c>
      <c r="C87" s="113" t="str">
        <f>'Pay App 1'!C145</f>
        <v>Other - Please Specify</v>
      </c>
      <c r="D87" s="282" t="str" cm="1">
        <f t="array" ref="D87">IFERROR(1+(LOOKUP(2,1/(E87:DT87&lt;&gt;""),E87:DT87)-E87)/E87,"")</f>
        <v/>
      </c>
      <c r="E87" s="275" t="str">
        <f>IFERROR('GMP Tracker'!D91/'Summary Sheet'!$D$19,"")</f>
        <v/>
      </c>
      <c r="F87" s="276" t="e">
        <f>IF('Pay App 1'!$D$149=0,NA(),IFERROR('Pay App 1'!F145/'Summary Sheet'!$D$19,""))</f>
        <v>#N/A</v>
      </c>
      <c r="G87" s="271"/>
      <c r="H87" s="277" t="e">
        <f>IF('Pay App 2'!$H$149=0,NA(),IFERROR('Pay App 2'!F145/'Summary Sheet'!$D$19,""))</f>
        <v>#N/A</v>
      </c>
      <c r="I87" s="266"/>
      <c r="J87" s="276" t="e">
        <f>IF('Pay App 3'!$H$149=0,NA(),IFERROR('Pay App 3'!F145/'Summary Sheet'!$D$19,""))</f>
        <v>#N/A</v>
      </c>
      <c r="K87" s="268"/>
      <c r="L87" s="277" t="e">
        <f>IF('Pay App 4'!$H$149=0,NA(),IFERROR('Pay App 4'!F145/'Summary Sheet'!$D$19,""))</f>
        <v>#N/A</v>
      </c>
      <c r="M87" s="266"/>
      <c r="N87" s="276" t="e">
        <f>IF('Pay App 5'!$H$149=0,NA(),IFERROR('Pay App 5'!F145/'Summary Sheet'!$D$19,""))</f>
        <v>#N/A</v>
      </c>
      <c r="O87" s="263"/>
      <c r="P87" s="277" t="e">
        <f>IF('Pay App 6'!$H$149=0,NA(),IFERROR('Pay App 6'!F145/'Summary Sheet'!$D$19,""))</f>
        <v>#N/A</v>
      </c>
      <c r="Q87" s="263"/>
      <c r="R87" s="276" t="e">
        <f>IF('Pay App 7'!$H$149=0,NA(),IFERROR('Pay App 7'!F145/'Summary Sheet'!$D$19,""))</f>
        <v>#N/A</v>
      </c>
      <c r="S87" s="263"/>
      <c r="T87" s="277" t="e">
        <f>IF('Pay App 8'!$H$149=0,NA(),IFERROR('Pay App 8'!F145/'Summary Sheet'!$D$19,""))</f>
        <v>#N/A</v>
      </c>
      <c r="U87" s="263"/>
      <c r="V87" s="276" t="e">
        <f>IF('Pay App 9'!$H$149=0,NA(),IFERROR('Pay App 9'!F145/'Summary Sheet'!$D$19,""))</f>
        <v>#N/A</v>
      </c>
      <c r="W87" s="263"/>
      <c r="X87" s="277" t="e">
        <f>IF('Pay App 10'!$H$149=0,NA(),IFERROR('Pay App 10'!F145/'Summary Sheet'!$D$19,""))</f>
        <v>#N/A</v>
      </c>
      <c r="Y87" s="263"/>
      <c r="Z87" s="276" t="e">
        <f>IF('Pay App 11'!$H$149=0,NA(),IFERROR('Pay App 11'!F145/'Summary Sheet'!$D$19,""))</f>
        <v>#N/A</v>
      </c>
      <c r="AA87" s="263"/>
      <c r="AB87" s="277" t="e">
        <f>IF('Pay App 12'!$H$149=0,NA(),IFERROR('Pay App 12'!F145/'Summary Sheet'!$D$19,""))</f>
        <v>#N/A</v>
      </c>
      <c r="AC87" s="263"/>
      <c r="AD87" s="276" t="e">
        <f>IF('Pay App 13'!$H$149=0,NA(),IFERROR('Pay App 13'!F145/'Summary Sheet'!$D$19,""))</f>
        <v>#N/A</v>
      </c>
      <c r="AE87" s="263"/>
      <c r="AF87" s="277" t="e">
        <f>IF('Pay App 14'!$H$149=0,NA(),IFERROR('Pay App 14'!F145/'Summary Sheet'!$D$19,""))</f>
        <v>#N/A</v>
      </c>
      <c r="AG87" s="263"/>
      <c r="AH87" s="276" t="e">
        <f>IF('Pay App 15'!$H$149=0,NA(),IFERROR('Pay App 15'!F145/'Summary Sheet'!$D$19,""))</f>
        <v>#N/A</v>
      </c>
      <c r="AI87" s="263"/>
      <c r="AJ87" s="277" t="e">
        <f>IF('Pay App 16'!$H$149=0,NA(),IFERROR('Pay App 16'!F145/'Summary Sheet'!$D$19,""))</f>
        <v>#N/A</v>
      </c>
      <c r="AK87" s="263"/>
      <c r="AL87" s="276" t="e">
        <f>IF('Pay App 17'!$H$149=0,NA(),IFERROR('Pay App 17'!F145/'Summary Sheet'!$D$19,""))</f>
        <v>#N/A</v>
      </c>
      <c r="AM87" s="263"/>
      <c r="AN87" s="277" t="e">
        <f>IF('Pay App 18'!$H$149=0,NA(),IFERROR('Pay App 18'!F145/'Summary Sheet'!$D$19,""))</f>
        <v>#N/A</v>
      </c>
      <c r="AO87" s="263"/>
      <c r="AP87" s="276" t="e">
        <f>IF('Pay App 19'!$H$149=0,NA(),IFERROR('Pay App 19'!F145/'Summary Sheet'!$D$19,""))</f>
        <v>#N/A</v>
      </c>
      <c r="AQ87" s="263"/>
      <c r="AR87" s="263" t="e">
        <f>IF('Pay App 20'!$H$149=0,NA(),IFERROR('Pay App 20'!F145/'Summary Sheet'!$D$19,""))</f>
        <v>#N/A</v>
      </c>
      <c r="AS87" s="264"/>
      <c r="AT87" s="276" t="e">
        <f>IF('Pay App 21'!$H$149=0,NA(),IFERROR('Pay App 21'!F145/'Summary Sheet'!$D$19,""))</f>
        <v>#N/A</v>
      </c>
      <c r="AU87" s="264"/>
      <c r="AV87" s="263" t="e">
        <f>IF('Pay App 22'!$H$149=0,NA(),IFERROR('Pay App 22'!F145/'Summary Sheet'!$D$19,""))</f>
        <v>#N/A</v>
      </c>
      <c r="AW87" s="264"/>
      <c r="AX87" s="276" t="e">
        <f>IF('Pay App 23'!$H$149=0,NA(),IFERROR('Pay App 23'!F145/'Summary Sheet'!$D$19,""))</f>
        <v>#N/A</v>
      </c>
      <c r="AY87" s="264"/>
      <c r="AZ87" s="263" t="e">
        <f>IF('Pay App 24'!$H$149=0,NA(),IFERROR('Pay App 24'!F145/'Summary Sheet'!$D$19,""))</f>
        <v>#N/A</v>
      </c>
      <c r="BA87" s="264"/>
      <c r="BB87" s="276" t="e">
        <f>IF('Pay App 25'!$H$149=0,NA(),IFERROR('Pay App 25'!F145/'Summary Sheet'!$D$19,""))</f>
        <v>#N/A</v>
      </c>
      <c r="BC87" s="264"/>
      <c r="BD87" s="263" t="e">
        <f>IF('Pay App 26'!$H$149=0,NA(),IFERROR('Pay App 26'!F145/'Summary Sheet'!$D$19,""))</f>
        <v>#N/A</v>
      </c>
      <c r="BE87" s="264"/>
      <c r="BF87" s="276" t="e">
        <f>IF('Pay App 27'!$H$149=0,NA(),IFERROR('Pay App 27'!F145/'Summary Sheet'!$D$19,""))</f>
        <v>#N/A</v>
      </c>
      <c r="BG87" s="264"/>
      <c r="BH87" s="263" t="e">
        <f>IF('Pay App 28'!$H$149=0,NA(),IFERROR('Pay App 28'!F145/'Summary Sheet'!$D$19,""))</f>
        <v>#N/A</v>
      </c>
      <c r="BI87" s="264"/>
      <c r="BJ87" s="276" t="e">
        <f>IF('Pay App 29'!$H$149=0,NA(),IFERROR('Pay App 29'!F145/'Summary Sheet'!$D$19,""))</f>
        <v>#N/A</v>
      </c>
      <c r="BK87" s="271"/>
      <c r="BL87" s="263" t="e">
        <f>IF('Pay App 30'!$H$149=0,NA(),IFERROR('Pay App 30'!F145/'Summary Sheet'!$D$19,""))</f>
        <v>#N/A</v>
      </c>
      <c r="BM87" s="264"/>
      <c r="BN87" s="276" t="e">
        <f>IF('Pay App 31'!$H$149=0,NA(),IFERROR('Pay App 31'!F145/'Summary Sheet'!$D$19,""))</f>
        <v>#N/A</v>
      </c>
      <c r="BO87" s="264"/>
      <c r="BP87" s="263" t="e">
        <f>IF('Pay App 32'!$H$149=0,NA(),IFERROR('Pay App 32'!F145/'Summary Sheet'!$D$19,""))</f>
        <v>#N/A</v>
      </c>
      <c r="BQ87" s="264"/>
      <c r="BR87" s="276" t="e">
        <f>IF('Pay App 33'!$H$149=0,NA(),IFERROR('Pay App 33'!F145/'Summary Sheet'!$D$19,""))</f>
        <v>#N/A</v>
      </c>
      <c r="BS87" s="264"/>
      <c r="BT87" s="263" t="e">
        <f>IF('Pay App 34'!$H$149=0,NA(),IFERROR('Pay App 34'!F145/'Summary Sheet'!$D$19,""))</f>
        <v>#N/A</v>
      </c>
      <c r="BU87" s="264"/>
      <c r="BV87" s="276" t="e">
        <f>IF('Pay App 35'!$H$149=0,NA(),IFERROR('Pay App 35'!F145/'Summary Sheet'!$D$19,""))</f>
        <v>#N/A</v>
      </c>
      <c r="BW87" s="264"/>
      <c r="BX87" s="263" t="e">
        <f>IF('Pay App 36'!$H$149=0,NA(),IFERROR('Pay App 36'!F145/'Summary Sheet'!$D$19,""))</f>
        <v>#N/A</v>
      </c>
      <c r="BY87" s="264"/>
      <c r="BZ87" s="276" t="e">
        <f>IF('Pay App 37'!$H$149=0,NA(),IFERROR('Pay App 37'!F145/'Summary Sheet'!$D$19,""))</f>
        <v>#N/A</v>
      </c>
      <c r="CA87" s="264"/>
      <c r="CB87" s="263" t="e">
        <f>IF('Pay App 38'!$H$149=0,NA(),IFERROR('Pay App 38'!F145/'Summary Sheet'!$D$19,""))</f>
        <v>#N/A</v>
      </c>
      <c r="CC87" s="264"/>
      <c r="CD87" s="276" t="e">
        <f>IF('Pay App 39'!$H$149=0,NA(),IFERROR('Pay App 39'!F145/'Summary Sheet'!$D$19,""))</f>
        <v>#N/A</v>
      </c>
      <c r="CE87" s="264"/>
      <c r="CF87" s="263" t="e">
        <f>IF('Pay App 40'!$H$149=0,NA(),IFERROR('Pay App 40'!F145/'Summary Sheet'!$D$19,""))</f>
        <v>#N/A</v>
      </c>
      <c r="CG87" s="264"/>
      <c r="CH87" s="276" t="e">
        <f>IF('Pay App 41'!$H$149=0,NA(),IFERROR('Pay App 41'!F145/'Summary Sheet'!$D$19,""))</f>
        <v>#N/A</v>
      </c>
      <c r="CI87" s="264"/>
      <c r="CJ87" s="263" t="e">
        <f>IF('Pay App 42'!$H$149=0,NA(),IFERROR('Pay App 42'!F145/'Summary Sheet'!$D$19,""))</f>
        <v>#N/A</v>
      </c>
      <c r="CK87" s="264"/>
      <c r="CL87" s="276" t="e">
        <f>IF('Pay App 43'!$H$149=0,NA(),IFERROR('Pay App 43'!F145/'Summary Sheet'!$D$19,""))</f>
        <v>#N/A</v>
      </c>
      <c r="CM87" s="264"/>
      <c r="CN87" s="263" t="e">
        <f>IF('Pay App 44'!$H$149=0,NA(),IFERROR('Pay App 44'!F145/'Summary Sheet'!$D$19,""))</f>
        <v>#N/A</v>
      </c>
      <c r="CO87" s="264"/>
      <c r="CP87" s="276" t="e">
        <f>IF('Pay App 45'!$H$149=0,NA(),IFERROR('Pay App 45'!F145/'Summary Sheet'!$D$19,""))</f>
        <v>#N/A</v>
      </c>
      <c r="CQ87" s="264"/>
      <c r="CR87" s="263" t="e">
        <f>IF('Pay App 46'!$H$149=0,NA(),IFERROR('Pay App 46'!F145/'Summary Sheet'!$D$19,""))</f>
        <v>#N/A</v>
      </c>
      <c r="CS87" s="264"/>
      <c r="CT87" s="276" t="e">
        <f>IF('Pay App 47'!$H$149=0,NA(),IFERROR('Pay App 47'!F145/'Summary Sheet'!$D$19,""))</f>
        <v>#N/A</v>
      </c>
      <c r="CU87" s="264"/>
      <c r="CV87" s="263" t="e">
        <f>IF('Pay App 48'!$H$149=0,NA(),IFERROR('Pay App 48'!F145/'Summary Sheet'!$D$19,""))</f>
        <v>#N/A</v>
      </c>
      <c r="CW87" s="264"/>
      <c r="CX87" s="276" t="e">
        <f>IF('Pay App 49'!$H$149=0,NA(),IFERROR('Pay App 49'!F145/'Summary Sheet'!$D$19,""))</f>
        <v>#N/A</v>
      </c>
      <c r="CY87" s="264"/>
      <c r="CZ87" s="263" t="e">
        <f>IF('Pay App 50'!$H$149=0,NA(),IFERROR('Pay App 50'!F145/'Summary Sheet'!$D$19,""))</f>
        <v>#N/A</v>
      </c>
      <c r="DA87" s="264"/>
      <c r="DB87" s="276" t="e">
        <f>IF('Pay App 51'!$H$149=0,NA(),IFERROR('Pay App 51'!F145/'Summary Sheet'!$D$19,""))</f>
        <v>#N/A</v>
      </c>
      <c r="DC87" s="264"/>
      <c r="DD87" s="263" t="e">
        <f>IF('Pay App 52'!$H$149=0,NA(),IFERROR('Pay App 52'!F145/'Summary Sheet'!$D$19,""))</f>
        <v>#N/A</v>
      </c>
      <c r="DE87" s="264"/>
      <c r="DF87" s="276" t="e">
        <f>IF('Pay App 53'!$H$149=0,NA(),IFERROR('Pay App 53'!F145/'Summary Sheet'!$D$19,""))</f>
        <v>#N/A</v>
      </c>
      <c r="DG87" s="264"/>
      <c r="DH87" s="263" t="e">
        <f>IF('Pay App 54'!$H$149=0,NA(),IFERROR('Pay App 54'!F145/'Summary Sheet'!$D$19,""))</f>
        <v>#N/A</v>
      </c>
      <c r="DI87" s="264"/>
      <c r="DJ87" s="276" t="e">
        <f>IF('Pay App 55'!$H$149=0,NA(),IFERROR('Pay App 55'!F145/'Summary Sheet'!$D$19,""))</f>
        <v>#N/A</v>
      </c>
      <c r="DK87" s="264"/>
      <c r="DL87" s="263" t="e">
        <f>IF('Pay App 56'!$H$149=0,NA(),IFERROR('Pay App 56'!F145/'Summary Sheet'!$D$19,""))</f>
        <v>#N/A</v>
      </c>
      <c r="DM87" s="264"/>
      <c r="DN87" s="276" t="e">
        <f>IF('Pay App 57'!$H$149=0,NA(),IFERROR('Pay App 57'!F145/'Summary Sheet'!$D$19,""))</f>
        <v>#N/A</v>
      </c>
      <c r="DO87" s="264"/>
      <c r="DP87" s="263" t="e">
        <f>IF('Pay App 58'!$H$149=0,NA(),IFERROR('Pay App 58'!F145/'Summary Sheet'!$D$19,""))</f>
        <v>#N/A</v>
      </c>
      <c r="DQ87" s="264"/>
      <c r="DR87" s="276" t="e">
        <f>IF('Pay App 59'!$H$149=0,NA(),IFERROR('Pay App 59'!F145/'Summary Sheet'!$D$19,""))</f>
        <v>#N/A</v>
      </c>
      <c r="DS87" s="264"/>
      <c r="DT87" s="263" t="e">
        <f>IF('Pay App 60'!$H$149=0,NA(),IFERROR('Pay App 60'!F1055/'Summary Sheet'!$D$19,""))</f>
        <v>#N/A</v>
      </c>
      <c r="DU87" s="296"/>
    </row>
    <row r="88" spans="2:125" x14ac:dyDescent="0.25">
      <c r="B88" s="112" t="str">
        <f>'Pay App 1'!B146</f>
        <v>60 00 20</v>
      </c>
      <c r="C88" s="113" t="str">
        <f>'Pay App 1'!C146</f>
        <v>Other - Please Specify</v>
      </c>
      <c r="D88" s="282" t="str" cm="1">
        <f t="array" ref="D88">IFERROR(1+(LOOKUP(2,1/(E88:DT88&lt;&gt;""),E88:DT88)-E88)/E88,"")</f>
        <v/>
      </c>
      <c r="E88" s="275" t="str">
        <f>IFERROR('GMP Tracker'!D92/'Summary Sheet'!$D$19,"")</f>
        <v/>
      </c>
      <c r="F88" s="276" t="e">
        <f>IF('Pay App 1'!$D$149=0,NA(),IFERROR('Pay App 1'!F146/'Summary Sheet'!$D$19,""))</f>
        <v>#N/A</v>
      </c>
      <c r="G88" s="271"/>
      <c r="H88" s="277" t="e">
        <f>IF('Pay App 2'!$H$149=0,NA(),IFERROR('Pay App 2'!F146/'Summary Sheet'!$D$19,""))</f>
        <v>#N/A</v>
      </c>
      <c r="I88" s="266"/>
      <c r="J88" s="276" t="e">
        <f>IF('Pay App 3'!$H$149=0,NA(),IFERROR('Pay App 3'!F146/'Summary Sheet'!$D$19,""))</f>
        <v>#N/A</v>
      </c>
      <c r="K88" s="268"/>
      <c r="L88" s="277" t="e">
        <f>IF('Pay App 4'!$H$149=0,NA(),IFERROR('Pay App 4'!F146/'Summary Sheet'!$D$19,""))</f>
        <v>#N/A</v>
      </c>
      <c r="M88" s="266"/>
      <c r="N88" s="276" t="e">
        <f>IF('Pay App 5'!$H$149=0,NA(),IFERROR('Pay App 5'!F146/'Summary Sheet'!$D$19,""))</f>
        <v>#N/A</v>
      </c>
      <c r="O88" s="263"/>
      <c r="P88" s="277" t="e">
        <f>IF('Pay App 6'!$H$149=0,NA(),IFERROR('Pay App 6'!F146/'Summary Sheet'!$D$19,""))</f>
        <v>#N/A</v>
      </c>
      <c r="Q88" s="263"/>
      <c r="R88" s="276" t="e">
        <f>IF('Pay App 7'!$H$149=0,NA(),IFERROR('Pay App 7'!F146/'Summary Sheet'!$D$19,""))</f>
        <v>#N/A</v>
      </c>
      <c r="S88" s="263"/>
      <c r="T88" s="277" t="e">
        <f>IF('Pay App 8'!$H$149=0,NA(),IFERROR('Pay App 8'!F146/'Summary Sheet'!$D$19,""))</f>
        <v>#N/A</v>
      </c>
      <c r="U88" s="263"/>
      <c r="V88" s="276" t="e">
        <f>IF('Pay App 9'!$H$149=0,NA(),IFERROR('Pay App 9'!F146/'Summary Sheet'!$D$19,""))</f>
        <v>#N/A</v>
      </c>
      <c r="W88" s="263"/>
      <c r="X88" s="277" t="e">
        <f>IF('Pay App 10'!$H$149=0,NA(),IFERROR('Pay App 10'!F146/'Summary Sheet'!$D$19,""))</f>
        <v>#N/A</v>
      </c>
      <c r="Y88" s="263"/>
      <c r="Z88" s="276" t="e">
        <f>IF('Pay App 11'!$H$149=0,NA(),IFERROR('Pay App 11'!F146/'Summary Sheet'!$D$19,""))</f>
        <v>#N/A</v>
      </c>
      <c r="AA88" s="263"/>
      <c r="AB88" s="277" t="e">
        <f>IF('Pay App 12'!$H$149=0,NA(),IFERROR('Pay App 12'!F146/'Summary Sheet'!$D$19,""))</f>
        <v>#N/A</v>
      </c>
      <c r="AC88" s="263"/>
      <c r="AD88" s="276" t="e">
        <f>IF('Pay App 13'!$H$149=0,NA(),IFERROR('Pay App 13'!F146/'Summary Sheet'!$D$19,""))</f>
        <v>#N/A</v>
      </c>
      <c r="AE88" s="263"/>
      <c r="AF88" s="277" t="e">
        <f>IF('Pay App 14'!$H$149=0,NA(),IFERROR('Pay App 14'!F146/'Summary Sheet'!$D$19,""))</f>
        <v>#N/A</v>
      </c>
      <c r="AG88" s="263"/>
      <c r="AH88" s="276" t="e">
        <f>IF('Pay App 15'!$H$149=0,NA(),IFERROR('Pay App 15'!F146/'Summary Sheet'!$D$19,""))</f>
        <v>#N/A</v>
      </c>
      <c r="AI88" s="263"/>
      <c r="AJ88" s="277" t="e">
        <f>IF('Pay App 16'!$H$149=0,NA(),IFERROR('Pay App 16'!F146/'Summary Sheet'!$D$19,""))</f>
        <v>#N/A</v>
      </c>
      <c r="AK88" s="263"/>
      <c r="AL88" s="276" t="e">
        <f>IF('Pay App 17'!$H$149=0,NA(),IFERROR('Pay App 17'!F146/'Summary Sheet'!$D$19,""))</f>
        <v>#N/A</v>
      </c>
      <c r="AM88" s="263"/>
      <c r="AN88" s="277" t="e">
        <f>IF('Pay App 18'!$H$149=0,NA(),IFERROR('Pay App 18'!F146/'Summary Sheet'!$D$19,""))</f>
        <v>#N/A</v>
      </c>
      <c r="AO88" s="263"/>
      <c r="AP88" s="276" t="e">
        <f>IF('Pay App 19'!$H$149=0,NA(),IFERROR('Pay App 19'!F146/'Summary Sheet'!$D$19,""))</f>
        <v>#N/A</v>
      </c>
      <c r="AQ88" s="263"/>
      <c r="AR88" s="263" t="e">
        <f>IF('Pay App 20'!$H$149=0,NA(),IFERROR('Pay App 20'!F146/'Summary Sheet'!$D$19,""))</f>
        <v>#N/A</v>
      </c>
      <c r="AS88" s="264"/>
      <c r="AT88" s="276" t="e">
        <f>IF('Pay App 21'!$H$149=0,NA(),IFERROR('Pay App 21'!F146/'Summary Sheet'!$D$19,""))</f>
        <v>#N/A</v>
      </c>
      <c r="AU88" s="264"/>
      <c r="AV88" s="263" t="e">
        <f>IF('Pay App 22'!$H$149=0,NA(),IFERROR('Pay App 22'!F146/'Summary Sheet'!$D$19,""))</f>
        <v>#N/A</v>
      </c>
      <c r="AW88" s="264"/>
      <c r="AX88" s="276" t="e">
        <f>IF('Pay App 23'!$H$149=0,NA(),IFERROR('Pay App 23'!F146/'Summary Sheet'!$D$19,""))</f>
        <v>#N/A</v>
      </c>
      <c r="AY88" s="264"/>
      <c r="AZ88" s="263" t="e">
        <f>IF('Pay App 24'!$H$149=0,NA(),IFERROR('Pay App 24'!F146/'Summary Sheet'!$D$19,""))</f>
        <v>#N/A</v>
      </c>
      <c r="BA88" s="264"/>
      <c r="BB88" s="276" t="e">
        <f>IF('Pay App 25'!$H$149=0,NA(),IFERROR('Pay App 25'!F146/'Summary Sheet'!$D$19,""))</f>
        <v>#N/A</v>
      </c>
      <c r="BC88" s="264"/>
      <c r="BD88" s="263" t="e">
        <f>IF('Pay App 26'!$H$149=0,NA(),IFERROR('Pay App 26'!F146/'Summary Sheet'!$D$19,""))</f>
        <v>#N/A</v>
      </c>
      <c r="BE88" s="264"/>
      <c r="BF88" s="276" t="e">
        <f>IF('Pay App 27'!$H$149=0,NA(),IFERROR('Pay App 27'!F146/'Summary Sheet'!$D$19,""))</f>
        <v>#N/A</v>
      </c>
      <c r="BG88" s="264"/>
      <c r="BH88" s="263" t="e">
        <f>IF('Pay App 28'!$H$149=0,NA(),IFERROR('Pay App 28'!F146/'Summary Sheet'!$D$19,""))</f>
        <v>#N/A</v>
      </c>
      <c r="BI88" s="264"/>
      <c r="BJ88" s="276" t="e">
        <f>IF('Pay App 29'!$H$149=0,NA(),IFERROR('Pay App 29'!F146/'Summary Sheet'!$D$19,""))</f>
        <v>#N/A</v>
      </c>
      <c r="BK88" s="271"/>
      <c r="BL88" s="263" t="e">
        <f>IF('Pay App 30'!$H$149=0,NA(),IFERROR('Pay App 30'!F146/'Summary Sheet'!$D$19,""))</f>
        <v>#N/A</v>
      </c>
      <c r="BM88" s="264"/>
      <c r="BN88" s="276" t="e">
        <f>IF('Pay App 31'!$H$149=0,NA(),IFERROR('Pay App 31'!F146/'Summary Sheet'!$D$19,""))</f>
        <v>#N/A</v>
      </c>
      <c r="BO88" s="264"/>
      <c r="BP88" s="263" t="e">
        <f>IF('Pay App 32'!$H$149=0,NA(),IFERROR('Pay App 32'!F146/'Summary Sheet'!$D$19,""))</f>
        <v>#N/A</v>
      </c>
      <c r="BQ88" s="264"/>
      <c r="BR88" s="276" t="e">
        <f>IF('Pay App 33'!$H$149=0,NA(),IFERROR('Pay App 33'!F146/'Summary Sheet'!$D$19,""))</f>
        <v>#N/A</v>
      </c>
      <c r="BS88" s="264"/>
      <c r="BT88" s="263" t="e">
        <f>IF('Pay App 34'!$H$149=0,NA(),IFERROR('Pay App 34'!F146/'Summary Sheet'!$D$19,""))</f>
        <v>#N/A</v>
      </c>
      <c r="BU88" s="264"/>
      <c r="BV88" s="276" t="e">
        <f>IF('Pay App 35'!$H$149=0,NA(),IFERROR('Pay App 35'!F146/'Summary Sheet'!$D$19,""))</f>
        <v>#N/A</v>
      </c>
      <c r="BW88" s="264"/>
      <c r="BX88" s="263" t="e">
        <f>IF('Pay App 36'!$H$149=0,NA(),IFERROR('Pay App 36'!F146/'Summary Sheet'!$D$19,""))</f>
        <v>#N/A</v>
      </c>
      <c r="BY88" s="264"/>
      <c r="BZ88" s="276" t="e">
        <f>IF('Pay App 37'!$H$149=0,NA(),IFERROR('Pay App 37'!F146/'Summary Sheet'!$D$19,""))</f>
        <v>#N/A</v>
      </c>
      <c r="CA88" s="264"/>
      <c r="CB88" s="263" t="e">
        <f>IF('Pay App 38'!$H$149=0,NA(),IFERROR('Pay App 38'!F146/'Summary Sheet'!$D$19,""))</f>
        <v>#N/A</v>
      </c>
      <c r="CC88" s="264"/>
      <c r="CD88" s="276" t="e">
        <f>IF('Pay App 39'!$H$149=0,NA(),IFERROR('Pay App 39'!F146/'Summary Sheet'!$D$19,""))</f>
        <v>#N/A</v>
      </c>
      <c r="CE88" s="264"/>
      <c r="CF88" s="263" t="e">
        <f>IF('Pay App 40'!$H$149=0,NA(),IFERROR('Pay App 40'!F146/'Summary Sheet'!$D$19,""))</f>
        <v>#N/A</v>
      </c>
      <c r="CG88" s="264"/>
      <c r="CH88" s="276" t="e">
        <f>IF('Pay App 41'!$H$149=0,NA(),IFERROR('Pay App 41'!F146/'Summary Sheet'!$D$19,""))</f>
        <v>#N/A</v>
      </c>
      <c r="CI88" s="264"/>
      <c r="CJ88" s="263" t="e">
        <f>IF('Pay App 42'!$H$149=0,NA(),IFERROR('Pay App 42'!F146/'Summary Sheet'!$D$19,""))</f>
        <v>#N/A</v>
      </c>
      <c r="CK88" s="264"/>
      <c r="CL88" s="276" t="e">
        <f>IF('Pay App 43'!$H$149=0,NA(),IFERROR('Pay App 43'!F146/'Summary Sheet'!$D$19,""))</f>
        <v>#N/A</v>
      </c>
      <c r="CM88" s="264"/>
      <c r="CN88" s="263" t="e">
        <f>IF('Pay App 44'!$H$149=0,NA(),IFERROR('Pay App 44'!F146/'Summary Sheet'!$D$19,""))</f>
        <v>#N/A</v>
      </c>
      <c r="CO88" s="264"/>
      <c r="CP88" s="276" t="e">
        <f>IF('Pay App 45'!$H$149=0,NA(),IFERROR('Pay App 45'!F146/'Summary Sheet'!$D$19,""))</f>
        <v>#N/A</v>
      </c>
      <c r="CQ88" s="264"/>
      <c r="CR88" s="263" t="e">
        <f>IF('Pay App 46'!$H$149=0,NA(),IFERROR('Pay App 46'!F146/'Summary Sheet'!$D$19,""))</f>
        <v>#N/A</v>
      </c>
      <c r="CS88" s="264"/>
      <c r="CT88" s="276" t="e">
        <f>IF('Pay App 47'!$H$149=0,NA(),IFERROR('Pay App 47'!F146/'Summary Sheet'!$D$19,""))</f>
        <v>#N/A</v>
      </c>
      <c r="CU88" s="264"/>
      <c r="CV88" s="263" t="e">
        <f>IF('Pay App 48'!$H$149=0,NA(),IFERROR('Pay App 48'!F146/'Summary Sheet'!$D$19,""))</f>
        <v>#N/A</v>
      </c>
      <c r="CW88" s="264"/>
      <c r="CX88" s="276" t="e">
        <f>IF('Pay App 49'!$H$149=0,NA(),IFERROR('Pay App 49'!F146/'Summary Sheet'!$D$19,""))</f>
        <v>#N/A</v>
      </c>
      <c r="CY88" s="264"/>
      <c r="CZ88" s="263" t="e">
        <f>IF('Pay App 50'!$H$149=0,NA(),IFERROR('Pay App 50'!F146/'Summary Sheet'!$D$19,""))</f>
        <v>#N/A</v>
      </c>
      <c r="DA88" s="264"/>
      <c r="DB88" s="276" t="e">
        <f>IF('Pay App 51'!$H$149=0,NA(),IFERROR('Pay App 51'!F146/'Summary Sheet'!$D$19,""))</f>
        <v>#N/A</v>
      </c>
      <c r="DC88" s="264"/>
      <c r="DD88" s="263" t="e">
        <f>IF('Pay App 52'!$H$149=0,NA(),IFERROR('Pay App 52'!F146/'Summary Sheet'!$D$19,""))</f>
        <v>#N/A</v>
      </c>
      <c r="DE88" s="264"/>
      <c r="DF88" s="276" t="e">
        <f>IF('Pay App 53'!$H$149=0,NA(),IFERROR('Pay App 53'!F146/'Summary Sheet'!$D$19,""))</f>
        <v>#N/A</v>
      </c>
      <c r="DG88" s="264"/>
      <c r="DH88" s="263" t="e">
        <f>IF('Pay App 54'!$H$149=0,NA(),IFERROR('Pay App 54'!F146/'Summary Sheet'!$D$19,""))</f>
        <v>#N/A</v>
      </c>
      <c r="DI88" s="264"/>
      <c r="DJ88" s="276" t="e">
        <f>IF('Pay App 55'!$H$149=0,NA(),IFERROR('Pay App 55'!F146/'Summary Sheet'!$D$19,""))</f>
        <v>#N/A</v>
      </c>
      <c r="DK88" s="264"/>
      <c r="DL88" s="263" t="e">
        <f>IF('Pay App 56'!$H$149=0,NA(),IFERROR('Pay App 56'!F146/'Summary Sheet'!$D$19,""))</f>
        <v>#N/A</v>
      </c>
      <c r="DM88" s="264"/>
      <c r="DN88" s="276" t="e">
        <f>IF('Pay App 57'!$H$149=0,NA(),IFERROR('Pay App 57'!F146/'Summary Sheet'!$D$19,""))</f>
        <v>#N/A</v>
      </c>
      <c r="DO88" s="264"/>
      <c r="DP88" s="263" t="e">
        <f>IF('Pay App 58'!$H$149=0,NA(),IFERROR('Pay App 58'!F146/'Summary Sheet'!$D$19,""))</f>
        <v>#N/A</v>
      </c>
      <c r="DQ88" s="264"/>
      <c r="DR88" s="276" t="e">
        <f>IF('Pay App 59'!$H$149=0,NA(),IFERROR('Pay App 59'!F146/'Summary Sheet'!$D$19,""))</f>
        <v>#N/A</v>
      </c>
      <c r="DS88" s="264"/>
      <c r="DT88" s="263" t="e">
        <f>IF('Pay App 60'!$H$149=0,NA(),IFERROR('Pay App 60'!F1056/'Summary Sheet'!$D$19,""))</f>
        <v>#N/A</v>
      </c>
      <c r="DU88" s="296"/>
    </row>
    <row r="89" spans="2:125" x14ac:dyDescent="0.25">
      <c r="B89" s="112" t="str">
        <f>'Pay App 1'!B147</f>
        <v>60 00 30</v>
      </c>
      <c r="C89" s="113" t="str">
        <f>'Pay App 1'!C147</f>
        <v>Other - Please Specify</v>
      </c>
      <c r="D89" s="282" t="str" cm="1">
        <f t="array" ref="D89">IFERROR(1+(LOOKUP(2,1/(E89:DT89&lt;&gt;""),E89:DT89)-E89)/E89,"")</f>
        <v/>
      </c>
      <c r="E89" s="275" t="str">
        <f>IFERROR('GMP Tracker'!D93/'Summary Sheet'!$D$19,"")</f>
        <v/>
      </c>
      <c r="F89" s="276" t="e">
        <f>IF('Pay App 1'!$D$149=0,NA(),IFERROR('Pay App 1'!F147/'Summary Sheet'!$D$19,""))</f>
        <v>#N/A</v>
      </c>
      <c r="G89" s="271"/>
      <c r="H89" s="277" t="e">
        <f>IF('Pay App 2'!$H$149=0,NA(),IFERROR('Pay App 2'!F147/'Summary Sheet'!$D$19,""))</f>
        <v>#N/A</v>
      </c>
      <c r="I89" s="266"/>
      <c r="J89" s="276" t="e">
        <f>IF('Pay App 3'!$H$149=0,NA(),IFERROR('Pay App 3'!F147/'Summary Sheet'!$D$19,""))</f>
        <v>#N/A</v>
      </c>
      <c r="K89" s="268"/>
      <c r="L89" s="277" t="e">
        <f>IF('Pay App 4'!$H$149=0,NA(),IFERROR('Pay App 4'!F147/'Summary Sheet'!$D$19,""))</f>
        <v>#N/A</v>
      </c>
      <c r="M89" s="266"/>
      <c r="N89" s="276" t="e">
        <f>IF('Pay App 5'!$H$149=0,NA(),IFERROR('Pay App 5'!F147/'Summary Sheet'!$D$19,""))</f>
        <v>#N/A</v>
      </c>
      <c r="O89" s="263"/>
      <c r="P89" s="277" t="e">
        <f>IF('Pay App 6'!$H$149=0,NA(),IFERROR('Pay App 6'!F147/'Summary Sheet'!$D$19,""))</f>
        <v>#N/A</v>
      </c>
      <c r="Q89" s="263"/>
      <c r="R89" s="276" t="e">
        <f>IF('Pay App 7'!$H$149=0,NA(),IFERROR('Pay App 7'!F147/'Summary Sheet'!$D$19,""))</f>
        <v>#N/A</v>
      </c>
      <c r="S89" s="263"/>
      <c r="T89" s="277" t="e">
        <f>IF('Pay App 8'!$H$149=0,NA(),IFERROR('Pay App 8'!F147/'Summary Sheet'!$D$19,""))</f>
        <v>#N/A</v>
      </c>
      <c r="U89" s="263"/>
      <c r="V89" s="276" t="e">
        <f>IF('Pay App 9'!$H$149=0,NA(),IFERROR('Pay App 9'!F147/'Summary Sheet'!$D$19,""))</f>
        <v>#N/A</v>
      </c>
      <c r="W89" s="263"/>
      <c r="X89" s="277" t="e">
        <f>IF('Pay App 10'!$H$149=0,NA(),IFERROR('Pay App 10'!F147/'Summary Sheet'!$D$19,""))</f>
        <v>#N/A</v>
      </c>
      <c r="Y89" s="263"/>
      <c r="Z89" s="276" t="e">
        <f>IF('Pay App 11'!$H$149=0,NA(),IFERROR('Pay App 11'!F147/'Summary Sheet'!$D$19,""))</f>
        <v>#N/A</v>
      </c>
      <c r="AA89" s="263"/>
      <c r="AB89" s="277" t="e">
        <f>IF('Pay App 12'!$H$149=0,NA(),IFERROR('Pay App 12'!F147/'Summary Sheet'!$D$19,""))</f>
        <v>#N/A</v>
      </c>
      <c r="AC89" s="263"/>
      <c r="AD89" s="276" t="e">
        <f>IF('Pay App 13'!$H$149=0,NA(),IFERROR('Pay App 13'!F147/'Summary Sheet'!$D$19,""))</f>
        <v>#N/A</v>
      </c>
      <c r="AE89" s="263"/>
      <c r="AF89" s="277" t="e">
        <f>IF('Pay App 14'!$H$149=0,NA(),IFERROR('Pay App 14'!F147/'Summary Sheet'!$D$19,""))</f>
        <v>#N/A</v>
      </c>
      <c r="AG89" s="263"/>
      <c r="AH89" s="276" t="e">
        <f>IF('Pay App 15'!$H$149=0,NA(),IFERROR('Pay App 15'!F147/'Summary Sheet'!$D$19,""))</f>
        <v>#N/A</v>
      </c>
      <c r="AI89" s="263"/>
      <c r="AJ89" s="277" t="e">
        <f>IF('Pay App 16'!$H$149=0,NA(),IFERROR('Pay App 16'!F147/'Summary Sheet'!$D$19,""))</f>
        <v>#N/A</v>
      </c>
      <c r="AK89" s="263"/>
      <c r="AL89" s="276" t="e">
        <f>IF('Pay App 17'!$H$149=0,NA(),IFERROR('Pay App 17'!F147/'Summary Sheet'!$D$19,""))</f>
        <v>#N/A</v>
      </c>
      <c r="AM89" s="263"/>
      <c r="AN89" s="277" t="e">
        <f>IF('Pay App 18'!$H$149=0,NA(),IFERROR('Pay App 18'!F147/'Summary Sheet'!$D$19,""))</f>
        <v>#N/A</v>
      </c>
      <c r="AO89" s="263"/>
      <c r="AP89" s="276" t="e">
        <f>IF('Pay App 19'!$H$149=0,NA(),IFERROR('Pay App 19'!F147/'Summary Sheet'!$D$19,""))</f>
        <v>#N/A</v>
      </c>
      <c r="AQ89" s="263"/>
      <c r="AR89" s="263" t="e">
        <f>IF('Pay App 20'!$H$149=0,NA(),IFERROR('Pay App 20'!F147/'Summary Sheet'!$D$19,""))</f>
        <v>#N/A</v>
      </c>
      <c r="AS89" s="264"/>
      <c r="AT89" s="276" t="e">
        <f>IF('Pay App 21'!$H$149=0,NA(),IFERROR('Pay App 21'!F147/'Summary Sheet'!$D$19,""))</f>
        <v>#N/A</v>
      </c>
      <c r="AU89" s="264"/>
      <c r="AV89" s="263" t="e">
        <f>IF('Pay App 22'!$H$149=0,NA(),IFERROR('Pay App 22'!F147/'Summary Sheet'!$D$19,""))</f>
        <v>#N/A</v>
      </c>
      <c r="AW89" s="264"/>
      <c r="AX89" s="276" t="e">
        <f>IF('Pay App 23'!$H$149=0,NA(),IFERROR('Pay App 23'!F147/'Summary Sheet'!$D$19,""))</f>
        <v>#N/A</v>
      </c>
      <c r="AY89" s="264"/>
      <c r="AZ89" s="263" t="e">
        <f>IF('Pay App 24'!$H$149=0,NA(),IFERROR('Pay App 24'!F147/'Summary Sheet'!$D$19,""))</f>
        <v>#N/A</v>
      </c>
      <c r="BA89" s="264"/>
      <c r="BB89" s="276" t="e">
        <f>IF('Pay App 25'!$H$149=0,NA(),IFERROR('Pay App 25'!F147/'Summary Sheet'!$D$19,""))</f>
        <v>#N/A</v>
      </c>
      <c r="BC89" s="264"/>
      <c r="BD89" s="263" t="e">
        <f>IF('Pay App 26'!$H$149=0,NA(),IFERROR('Pay App 26'!F147/'Summary Sheet'!$D$19,""))</f>
        <v>#N/A</v>
      </c>
      <c r="BE89" s="264"/>
      <c r="BF89" s="276" t="e">
        <f>IF('Pay App 27'!$H$149=0,NA(),IFERROR('Pay App 27'!F147/'Summary Sheet'!$D$19,""))</f>
        <v>#N/A</v>
      </c>
      <c r="BG89" s="264"/>
      <c r="BH89" s="263" t="e">
        <f>IF('Pay App 28'!$H$149=0,NA(),IFERROR('Pay App 28'!F147/'Summary Sheet'!$D$19,""))</f>
        <v>#N/A</v>
      </c>
      <c r="BI89" s="264"/>
      <c r="BJ89" s="276" t="e">
        <f>IF('Pay App 29'!$H$149=0,NA(),IFERROR('Pay App 29'!F147/'Summary Sheet'!$D$19,""))</f>
        <v>#N/A</v>
      </c>
      <c r="BK89" s="271"/>
      <c r="BL89" s="263" t="e">
        <f>IF('Pay App 30'!$H$149=0,NA(),IFERROR('Pay App 30'!F147/'Summary Sheet'!$D$19,""))</f>
        <v>#N/A</v>
      </c>
      <c r="BM89" s="264"/>
      <c r="BN89" s="276" t="e">
        <f>IF('Pay App 31'!$H$149=0,NA(),IFERROR('Pay App 31'!F147/'Summary Sheet'!$D$19,""))</f>
        <v>#N/A</v>
      </c>
      <c r="BO89" s="264"/>
      <c r="BP89" s="263" t="e">
        <f>IF('Pay App 32'!$H$149=0,NA(),IFERROR('Pay App 32'!F147/'Summary Sheet'!$D$19,""))</f>
        <v>#N/A</v>
      </c>
      <c r="BQ89" s="264"/>
      <c r="BR89" s="276" t="e">
        <f>IF('Pay App 33'!$H$149=0,NA(),IFERROR('Pay App 33'!F147/'Summary Sheet'!$D$19,""))</f>
        <v>#N/A</v>
      </c>
      <c r="BS89" s="264"/>
      <c r="BT89" s="263" t="e">
        <f>IF('Pay App 34'!$H$149=0,NA(),IFERROR('Pay App 34'!F147/'Summary Sheet'!$D$19,""))</f>
        <v>#N/A</v>
      </c>
      <c r="BU89" s="264"/>
      <c r="BV89" s="276" t="e">
        <f>IF('Pay App 35'!$H$149=0,NA(),IFERROR('Pay App 35'!F147/'Summary Sheet'!$D$19,""))</f>
        <v>#N/A</v>
      </c>
      <c r="BW89" s="264"/>
      <c r="BX89" s="263" t="e">
        <f>IF('Pay App 36'!$H$149=0,NA(),IFERROR('Pay App 36'!F147/'Summary Sheet'!$D$19,""))</f>
        <v>#N/A</v>
      </c>
      <c r="BY89" s="264"/>
      <c r="BZ89" s="276" t="e">
        <f>IF('Pay App 37'!$H$149=0,NA(),IFERROR('Pay App 37'!F147/'Summary Sheet'!$D$19,""))</f>
        <v>#N/A</v>
      </c>
      <c r="CA89" s="264"/>
      <c r="CB89" s="263" t="e">
        <f>IF('Pay App 38'!$H$149=0,NA(),IFERROR('Pay App 38'!F147/'Summary Sheet'!$D$19,""))</f>
        <v>#N/A</v>
      </c>
      <c r="CC89" s="264"/>
      <c r="CD89" s="276" t="e">
        <f>IF('Pay App 39'!$H$149=0,NA(),IFERROR('Pay App 39'!F147/'Summary Sheet'!$D$19,""))</f>
        <v>#N/A</v>
      </c>
      <c r="CE89" s="264"/>
      <c r="CF89" s="263" t="e">
        <f>IF('Pay App 40'!$H$149=0,NA(),IFERROR('Pay App 40'!F147/'Summary Sheet'!$D$19,""))</f>
        <v>#N/A</v>
      </c>
      <c r="CG89" s="264"/>
      <c r="CH89" s="276" t="e">
        <f>IF('Pay App 41'!$H$149=0,NA(),IFERROR('Pay App 41'!F147/'Summary Sheet'!$D$19,""))</f>
        <v>#N/A</v>
      </c>
      <c r="CI89" s="264"/>
      <c r="CJ89" s="263" t="e">
        <f>IF('Pay App 42'!$H$149=0,NA(),IFERROR('Pay App 42'!F147/'Summary Sheet'!$D$19,""))</f>
        <v>#N/A</v>
      </c>
      <c r="CK89" s="264"/>
      <c r="CL89" s="276" t="e">
        <f>IF('Pay App 43'!$H$149=0,NA(),IFERROR('Pay App 43'!F147/'Summary Sheet'!$D$19,""))</f>
        <v>#N/A</v>
      </c>
      <c r="CM89" s="264"/>
      <c r="CN89" s="263" t="e">
        <f>IF('Pay App 44'!$H$149=0,NA(),IFERROR('Pay App 44'!F147/'Summary Sheet'!$D$19,""))</f>
        <v>#N/A</v>
      </c>
      <c r="CO89" s="264"/>
      <c r="CP89" s="276" t="e">
        <f>IF('Pay App 45'!$H$149=0,NA(),IFERROR('Pay App 45'!F147/'Summary Sheet'!$D$19,""))</f>
        <v>#N/A</v>
      </c>
      <c r="CQ89" s="264"/>
      <c r="CR89" s="263" t="e">
        <f>IF('Pay App 46'!$H$149=0,NA(),IFERROR('Pay App 46'!F147/'Summary Sheet'!$D$19,""))</f>
        <v>#N/A</v>
      </c>
      <c r="CS89" s="264"/>
      <c r="CT89" s="276" t="e">
        <f>IF('Pay App 47'!$H$149=0,NA(),IFERROR('Pay App 47'!F147/'Summary Sheet'!$D$19,""))</f>
        <v>#N/A</v>
      </c>
      <c r="CU89" s="264"/>
      <c r="CV89" s="263" t="e">
        <f>IF('Pay App 48'!$H$149=0,NA(),IFERROR('Pay App 48'!F147/'Summary Sheet'!$D$19,""))</f>
        <v>#N/A</v>
      </c>
      <c r="CW89" s="264"/>
      <c r="CX89" s="276" t="e">
        <f>IF('Pay App 49'!$H$149=0,NA(),IFERROR('Pay App 49'!F147/'Summary Sheet'!$D$19,""))</f>
        <v>#N/A</v>
      </c>
      <c r="CY89" s="264"/>
      <c r="CZ89" s="263" t="e">
        <f>IF('Pay App 50'!$H$149=0,NA(),IFERROR('Pay App 50'!F147/'Summary Sheet'!$D$19,""))</f>
        <v>#N/A</v>
      </c>
      <c r="DA89" s="264"/>
      <c r="DB89" s="276" t="e">
        <f>IF('Pay App 51'!$H$149=0,NA(),IFERROR('Pay App 51'!F147/'Summary Sheet'!$D$19,""))</f>
        <v>#N/A</v>
      </c>
      <c r="DC89" s="264"/>
      <c r="DD89" s="263" t="e">
        <f>IF('Pay App 52'!$H$149=0,NA(),IFERROR('Pay App 52'!F147/'Summary Sheet'!$D$19,""))</f>
        <v>#N/A</v>
      </c>
      <c r="DE89" s="264"/>
      <c r="DF89" s="276" t="e">
        <f>IF('Pay App 53'!$H$149=0,NA(),IFERROR('Pay App 53'!F147/'Summary Sheet'!$D$19,""))</f>
        <v>#N/A</v>
      </c>
      <c r="DG89" s="264"/>
      <c r="DH89" s="263" t="e">
        <f>IF('Pay App 54'!$H$149=0,NA(),IFERROR('Pay App 54'!F147/'Summary Sheet'!$D$19,""))</f>
        <v>#N/A</v>
      </c>
      <c r="DI89" s="264"/>
      <c r="DJ89" s="276" t="e">
        <f>IF('Pay App 55'!$H$149=0,NA(),IFERROR('Pay App 55'!F147/'Summary Sheet'!$D$19,""))</f>
        <v>#N/A</v>
      </c>
      <c r="DK89" s="264"/>
      <c r="DL89" s="263" t="e">
        <f>IF('Pay App 56'!$H$149=0,NA(),IFERROR('Pay App 56'!F147/'Summary Sheet'!$D$19,""))</f>
        <v>#N/A</v>
      </c>
      <c r="DM89" s="264"/>
      <c r="DN89" s="276" t="e">
        <f>IF('Pay App 57'!$H$149=0,NA(),IFERROR('Pay App 57'!F147/'Summary Sheet'!$D$19,""))</f>
        <v>#N/A</v>
      </c>
      <c r="DO89" s="264"/>
      <c r="DP89" s="263" t="e">
        <f>IF('Pay App 58'!$H$149=0,NA(),IFERROR('Pay App 58'!F147/'Summary Sheet'!$D$19,""))</f>
        <v>#N/A</v>
      </c>
      <c r="DQ89" s="264"/>
      <c r="DR89" s="276" t="e">
        <f>IF('Pay App 59'!$H$149=0,NA(),IFERROR('Pay App 59'!F147/'Summary Sheet'!$D$19,""))</f>
        <v>#N/A</v>
      </c>
      <c r="DS89" s="264"/>
      <c r="DT89" s="263" t="e">
        <f>IF('Pay App 60'!$H$149=0,NA(),IFERROR('Pay App 60'!F1057/'Summary Sheet'!$D$19,""))</f>
        <v>#N/A</v>
      </c>
      <c r="DU89" s="296"/>
    </row>
    <row r="90" spans="2:125" x14ac:dyDescent="0.25">
      <c r="B90" s="112" t="str">
        <f>'Pay App 1'!B148</f>
        <v>60 00 40</v>
      </c>
      <c r="C90" s="113" t="str">
        <f>'Pay App 1'!C148</f>
        <v>Other - Please Specify</v>
      </c>
      <c r="D90" s="282" t="str" cm="1">
        <f t="array" ref="D90">IFERROR(1+(LOOKUP(2,1/(E90:DT90&lt;&gt;""),E90:DT90)-E90)/E90,"")</f>
        <v/>
      </c>
      <c r="E90" s="275" t="str">
        <f>IFERROR('GMP Tracker'!D94/'Summary Sheet'!$D$19,"")</f>
        <v/>
      </c>
      <c r="F90" s="285" t="e">
        <f>IF('Pay App 1'!$D$149=0,NA(),IFERROR('Pay App 1'!F148/'Summary Sheet'!$D$19,""))</f>
        <v>#N/A</v>
      </c>
      <c r="G90" s="286"/>
      <c r="H90" s="287" t="e">
        <f>IF('Pay App 2'!$H$149=0,NA(),IFERROR('Pay App 2'!F148/'Summary Sheet'!$D$19,""))</f>
        <v>#N/A</v>
      </c>
      <c r="I90" s="288"/>
      <c r="J90" s="285" t="e">
        <f>IF('Pay App 3'!$H$149=0,NA(),IFERROR('Pay App 3'!F148/'Summary Sheet'!$D$19,""))</f>
        <v>#N/A</v>
      </c>
      <c r="K90" s="286"/>
      <c r="L90" s="287" t="e">
        <f>IF('Pay App 4'!$H$149=0,NA(),IFERROR('Pay App 4'!F148/'Summary Sheet'!$D$19,""))</f>
        <v>#N/A</v>
      </c>
      <c r="M90" s="288"/>
      <c r="N90" s="285" t="e">
        <f>IF('Pay App 5'!$H$149=0,NA(),IFERROR('Pay App 5'!F148/'Summary Sheet'!$D$19,""))</f>
        <v>#N/A</v>
      </c>
      <c r="O90" s="289"/>
      <c r="P90" s="287" t="e">
        <f>IF('Pay App 6'!$H$149=0,NA(),IFERROR('Pay App 6'!F148/'Summary Sheet'!$D$19,""))</f>
        <v>#N/A</v>
      </c>
      <c r="Q90" s="289"/>
      <c r="R90" s="285" t="e">
        <f>IF('Pay App 7'!$H$149=0,NA(),IFERROR('Pay App 7'!F148/'Summary Sheet'!$D$19,""))</f>
        <v>#N/A</v>
      </c>
      <c r="S90" s="289"/>
      <c r="T90" s="287" t="e">
        <f>IF('Pay App 8'!$H$149=0,NA(),IFERROR('Pay App 8'!F148/'Summary Sheet'!$D$19,""))</f>
        <v>#N/A</v>
      </c>
      <c r="U90" s="289"/>
      <c r="V90" s="285" t="e">
        <f>IF('Pay App 9'!$H$149=0,NA(),IFERROR('Pay App 9'!F148/'Summary Sheet'!$D$19,""))</f>
        <v>#N/A</v>
      </c>
      <c r="W90" s="289"/>
      <c r="X90" s="287" t="e">
        <f>IF('Pay App 10'!$H$149=0,NA(),IFERROR('Pay App 10'!F148/'Summary Sheet'!$D$19,""))</f>
        <v>#N/A</v>
      </c>
      <c r="Y90" s="289"/>
      <c r="Z90" s="285" t="e">
        <f>IF('Pay App 11'!$H$149=0,NA(),IFERROR('Pay App 11'!F148/'Summary Sheet'!$D$19,""))</f>
        <v>#N/A</v>
      </c>
      <c r="AA90" s="289"/>
      <c r="AB90" s="287" t="e">
        <f>IF('Pay App 12'!$H$149=0,NA(),IFERROR('Pay App 12'!F148/'Summary Sheet'!$D$19,""))</f>
        <v>#N/A</v>
      </c>
      <c r="AC90" s="289"/>
      <c r="AD90" s="285" t="e">
        <f>IF('Pay App 13'!$H$149=0,NA(),IFERROR('Pay App 13'!F148/'Summary Sheet'!$D$19,""))</f>
        <v>#N/A</v>
      </c>
      <c r="AE90" s="289"/>
      <c r="AF90" s="287" t="e">
        <f>IF('Pay App 14'!$H$149=0,NA(),IFERROR('Pay App 14'!F148/'Summary Sheet'!$D$19,""))</f>
        <v>#N/A</v>
      </c>
      <c r="AG90" s="289"/>
      <c r="AH90" s="285" t="e">
        <f>IF('Pay App 15'!$H$149=0,NA(),IFERROR('Pay App 15'!F148/'Summary Sheet'!$D$19,""))</f>
        <v>#N/A</v>
      </c>
      <c r="AI90" s="289"/>
      <c r="AJ90" s="287" t="e">
        <f>IF('Pay App 16'!$H$149=0,NA(),IFERROR('Pay App 16'!F148/'Summary Sheet'!$D$19,""))</f>
        <v>#N/A</v>
      </c>
      <c r="AK90" s="289"/>
      <c r="AL90" s="285" t="e">
        <f>IF('Pay App 17'!$H$149=0,NA(),IFERROR('Pay App 17'!F148/'Summary Sheet'!$D$19,""))</f>
        <v>#N/A</v>
      </c>
      <c r="AM90" s="289"/>
      <c r="AN90" s="287" t="e">
        <f>IF('Pay App 18'!$H$149=0,NA(),IFERROR('Pay App 18'!F148/'Summary Sheet'!$D$19,""))</f>
        <v>#N/A</v>
      </c>
      <c r="AO90" s="289"/>
      <c r="AP90" s="285" t="e">
        <f>IF('Pay App 19'!$H$149=0,NA(),IFERROR('Pay App 19'!F148/'Summary Sheet'!$D$19,""))</f>
        <v>#N/A</v>
      </c>
      <c r="AQ90" s="289"/>
      <c r="AR90" s="289" t="e">
        <f>IF('Pay App 20'!$H$149=0,NA(),IFERROR('Pay App 20'!F148/'Summary Sheet'!$D$19,""))</f>
        <v>#N/A</v>
      </c>
      <c r="AS90" s="276" t="str">
        <f>IF('Pay App 3'!$H$149=0,"",IFERROR('Pay App 3'!AN143/'Summary Sheet'!$D$19,""))</f>
        <v/>
      </c>
      <c r="AT90" s="285" t="e">
        <f>IF('Pay App 21'!$H$149=0,NA(),IFERROR('Pay App 21'!F148/'Summary Sheet'!$D$19,""))</f>
        <v>#N/A</v>
      </c>
      <c r="AU90" s="264"/>
      <c r="AV90" s="289" t="e">
        <f>IF('Pay App 22'!$H$149=0,NA(),IFERROR('Pay App 22'!F148/'Summary Sheet'!$D$19,""))</f>
        <v>#N/A</v>
      </c>
      <c r="AW90" s="264"/>
      <c r="AX90" s="285" t="e">
        <f>IF('Pay App 23'!$H$149=0,NA(),IFERROR('Pay App 23'!F148/'Summary Sheet'!$D$19,""))</f>
        <v>#N/A</v>
      </c>
      <c r="AY90" s="264"/>
      <c r="AZ90" s="289" t="e">
        <f>IF('Pay App 24'!$H$149=0,NA(),IFERROR('Pay App 24'!F148/'Summary Sheet'!$D$19,""))</f>
        <v>#N/A</v>
      </c>
      <c r="BA90" s="264"/>
      <c r="BB90" s="285" t="e">
        <f>IF('Pay App 25'!$H$149=0,NA(),IFERROR('Pay App 25'!F148/'Summary Sheet'!$D$19,""))</f>
        <v>#N/A</v>
      </c>
      <c r="BC90" s="264"/>
      <c r="BD90" s="289" t="e">
        <f>IF('Pay App 26'!$H$149=0,NA(),IFERROR('Pay App 26'!F148/'Summary Sheet'!$D$19,""))</f>
        <v>#N/A</v>
      </c>
      <c r="BE90" s="264"/>
      <c r="BF90" s="285" t="e">
        <f>IF('Pay App 27'!$H$149=0,NA(),IFERROR('Pay App 27'!F148/'Summary Sheet'!$D$19,""))</f>
        <v>#N/A</v>
      </c>
      <c r="BG90" s="264"/>
      <c r="BH90" s="289" t="e">
        <f>IF('Pay App 28'!$H$149=0,NA(),IFERROR('Pay App 28'!F148/'Summary Sheet'!$D$19,""))</f>
        <v>#N/A</v>
      </c>
      <c r="BI90" s="264"/>
      <c r="BJ90" s="285" t="e">
        <f>IF('Pay App 29'!$H$149=0,NA(),IFERROR('Pay App 29'!F148/'Summary Sheet'!$D$19,""))</f>
        <v>#N/A</v>
      </c>
      <c r="BK90" s="294"/>
      <c r="BL90" s="289" t="e">
        <f>IF('Pay App 30'!$H$149=0,NA(),IFERROR('Pay App 30'!F148/'Summary Sheet'!$D$19,""))</f>
        <v>#N/A</v>
      </c>
      <c r="BM90" s="264"/>
      <c r="BN90" s="285" t="e">
        <f>IF('Pay App 31'!$H$149=0,NA(),IFERROR('Pay App 31'!F148/'Summary Sheet'!$D$19,""))</f>
        <v>#N/A</v>
      </c>
      <c r="BO90" s="264"/>
      <c r="BP90" s="289" t="e">
        <f>IF('Pay App 32'!$H$149=0,NA(),IFERROR('Pay App 32'!F148/'Summary Sheet'!$D$19,""))</f>
        <v>#N/A</v>
      </c>
      <c r="BQ90" s="264"/>
      <c r="BR90" s="285" t="e">
        <f>IF('Pay App 33'!$H$149=0,NA(),IFERROR('Pay App 33'!F148/'Summary Sheet'!$D$19,""))</f>
        <v>#N/A</v>
      </c>
      <c r="BS90" s="264"/>
      <c r="BT90" s="289" t="e">
        <f>IF('Pay App 34'!$H$149=0,NA(),IFERROR('Pay App 34'!F148/'Summary Sheet'!$D$19,""))</f>
        <v>#N/A</v>
      </c>
      <c r="BU90" s="264"/>
      <c r="BV90" s="285" t="e">
        <f>IF('Pay App 35'!$H$149=0,NA(),IFERROR('Pay App 35'!F148/'Summary Sheet'!$D$19,""))</f>
        <v>#N/A</v>
      </c>
      <c r="BW90" s="264"/>
      <c r="BX90" s="289" t="e">
        <f>IF('Pay App 36'!$H$149=0,NA(),IFERROR('Pay App 36'!F148/'Summary Sheet'!$D$19,""))</f>
        <v>#N/A</v>
      </c>
      <c r="BY90" s="264"/>
      <c r="BZ90" s="285" t="e">
        <f>IF('Pay App 37'!$H$149=0,NA(),IFERROR('Pay App 37'!F148/'Summary Sheet'!$D$19,""))</f>
        <v>#N/A</v>
      </c>
      <c r="CA90" s="264"/>
      <c r="CB90" s="289" t="e">
        <f>IF('Pay App 38'!$H$149=0,NA(),IFERROR('Pay App 38'!F148/'Summary Sheet'!$D$19,""))</f>
        <v>#N/A</v>
      </c>
      <c r="CC90" s="264"/>
      <c r="CD90" s="285" t="e">
        <f>IF('Pay App 39'!$H$149=0,NA(),IFERROR('Pay App 39'!F148/'Summary Sheet'!$D$19,""))</f>
        <v>#N/A</v>
      </c>
      <c r="CE90" s="264"/>
      <c r="CF90" s="289" t="e">
        <f>IF('Pay App 40'!$H$149=0,NA(),IFERROR('Pay App 40'!F148/'Summary Sheet'!$D$19,""))</f>
        <v>#N/A</v>
      </c>
      <c r="CG90" s="264"/>
      <c r="CH90" s="285" t="e">
        <f>IF('Pay App 41'!$H$149=0,NA(),IFERROR('Pay App 41'!F148/'Summary Sheet'!$D$19,""))</f>
        <v>#N/A</v>
      </c>
      <c r="CI90" s="264"/>
      <c r="CJ90" s="289" t="e">
        <f>IF('Pay App 42'!$H$149=0,NA(),IFERROR('Pay App 42'!F148/'Summary Sheet'!$D$19,""))</f>
        <v>#N/A</v>
      </c>
      <c r="CK90" s="264"/>
      <c r="CL90" s="285" t="e">
        <f>IF('Pay App 43'!$H$149=0,NA(),IFERROR('Pay App 43'!F148/'Summary Sheet'!$D$19,""))</f>
        <v>#N/A</v>
      </c>
      <c r="CM90" s="264"/>
      <c r="CN90" s="289" t="e">
        <f>IF('Pay App 44'!$H$149=0,NA(),IFERROR('Pay App 44'!F148/'Summary Sheet'!$D$19,""))</f>
        <v>#N/A</v>
      </c>
      <c r="CO90" s="264"/>
      <c r="CP90" s="285" t="e">
        <f>IF('Pay App 45'!$H$149=0,NA(),IFERROR('Pay App 45'!F148/'Summary Sheet'!$D$19,""))</f>
        <v>#N/A</v>
      </c>
      <c r="CQ90" s="264"/>
      <c r="CR90" s="289" t="e">
        <f>IF('Pay App 46'!$H$149=0,NA(),IFERROR('Pay App 46'!F148/'Summary Sheet'!$D$19,""))</f>
        <v>#N/A</v>
      </c>
      <c r="CS90" s="264"/>
      <c r="CT90" s="285" t="e">
        <f>IF('Pay App 47'!$H$149=0,NA(),IFERROR('Pay App 47'!F148/'Summary Sheet'!$D$19,""))</f>
        <v>#N/A</v>
      </c>
      <c r="CU90" s="264"/>
      <c r="CV90" s="289" t="e">
        <f>IF('Pay App 48'!$H$149=0,NA(),IFERROR('Pay App 48'!F148/'Summary Sheet'!$D$19,""))</f>
        <v>#N/A</v>
      </c>
      <c r="CW90" s="264"/>
      <c r="CX90" s="285" t="e">
        <f>IF('Pay App 49'!$H$149=0,NA(),IFERROR('Pay App 49'!F148/'Summary Sheet'!$D$19,""))</f>
        <v>#N/A</v>
      </c>
      <c r="CY90" s="264"/>
      <c r="CZ90" s="289" t="e">
        <f>IF('Pay App 50'!$H$149=0,NA(),IFERROR('Pay App 50'!F148/'Summary Sheet'!$D$19,""))</f>
        <v>#N/A</v>
      </c>
      <c r="DA90" s="264"/>
      <c r="DB90" s="285" t="e">
        <f>IF('Pay App 51'!$H$149=0,NA(),IFERROR('Pay App 51'!F148/'Summary Sheet'!$D$19,""))</f>
        <v>#N/A</v>
      </c>
      <c r="DC90" s="264"/>
      <c r="DD90" s="289" t="e">
        <f>IF('Pay App 52'!$H$149=0,NA(),IFERROR('Pay App 52'!F148/'Summary Sheet'!$D$19,""))</f>
        <v>#N/A</v>
      </c>
      <c r="DE90" s="264"/>
      <c r="DF90" s="285" t="e">
        <f>IF('Pay App 53'!$H$149=0,NA(),IFERROR('Pay App 53'!F148/'Summary Sheet'!$D$19,""))</f>
        <v>#N/A</v>
      </c>
      <c r="DG90" s="264"/>
      <c r="DH90" s="289" t="e">
        <f>IF('Pay App 54'!$H$149=0,NA(),IFERROR('Pay App 54'!F148/'Summary Sheet'!$D$19,""))</f>
        <v>#N/A</v>
      </c>
      <c r="DI90" s="264"/>
      <c r="DJ90" s="285" t="e">
        <f>IF('Pay App 55'!$H$149=0,NA(),IFERROR('Pay App 55'!F148/'Summary Sheet'!$D$19,""))</f>
        <v>#N/A</v>
      </c>
      <c r="DK90" s="264"/>
      <c r="DL90" s="289" t="e">
        <f>IF('Pay App 56'!$H$149=0,NA(),IFERROR('Pay App 56'!F148/'Summary Sheet'!$D$19,""))</f>
        <v>#N/A</v>
      </c>
      <c r="DM90" s="264"/>
      <c r="DN90" s="285" t="e">
        <f>IF('Pay App 57'!$H$149=0,NA(),IFERROR('Pay App 57'!F148/'Summary Sheet'!$D$19,""))</f>
        <v>#N/A</v>
      </c>
      <c r="DO90" s="264"/>
      <c r="DP90" s="289" t="e">
        <f>IF('Pay App 58'!$H$149=0,NA(),IFERROR('Pay App 58'!F148/'Summary Sheet'!$D$19,""))</f>
        <v>#N/A</v>
      </c>
      <c r="DQ90" s="264"/>
      <c r="DR90" s="285" t="e">
        <f>IF('Pay App 59'!$H$149=0,NA(),IFERROR('Pay App 59'!F148/'Summary Sheet'!$D$19,""))</f>
        <v>#N/A</v>
      </c>
      <c r="DS90" s="264"/>
      <c r="DT90" s="289" t="e">
        <f>IF('Pay App 60'!$H$149=0,NA(),IFERROR('Pay App 60'!F1058/'Summary Sheet'!$D$19,""))</f>
        <v>#N/A</v>
      </c>
      <c r="DU90" s="296"/>
    </row>
    <row r="91" spans="2:125" ht="15.75" thickBot="1" x14ac:dyDescent="0.3">
      <c r="B91" s="330"/>
      <c r="C91" s="331" t="s">
        <v>104</v>
      </c>
      <c r="D91" s="297" t="str" cm="1">
        <f t="array" ref="D91">IFERROR(1+(LOOKUP(2,1/(E91:DT91&lt;&gt;""),E91:DT91)-E91)/E91,"")</f>
        <v/>
      </c>
      <c r="E91" s="332">
        <f>SUM(E4:E90)</f>
        <v>0</v>
      </c>
      <c r="F91" s="290" t="e">
        <f>IF('Pay App 1'!$D$149=0,NA(),IFERROR('Pay App 1'!F149/'Summary Sheet'!$D$19,""))</f>
        <v>#N/A</v>
      </c>
      <c r="G91" s="295"/>
      <c r="H91" s="291" t="e">
        <f>IF('Pay App 2'!$H$149=0,NA(),IFERROR('Pay App 2'!F149/'Summary Sheet'!$D$19,""))</f>
        <v>#N/A</v>
      </c>
      <c r="I91" s="292"/>
      <c r="J91" s="290" t="e">
        <f>IF('Pay App 3'!$H$149=0,NA(),IFERROR('Pay App 3'!F149/'Summary Sheet'!$D$19,""))</f>
        <v>#N/A</v>
      </c>
      <c r="K91" s="295"/>
      <c r="L91" s="291" t="e">
        <f>IF('Pay App 4'!$H$149=0,NA(),IFERROR('Pay App 4'!F149/'Summary Sheet'!$D$19,""))</f>
        <v>#N/A</v>
      </c>
      <c r="M91" s="333"/>
      <c r="N91" s="290" t="e">
        <f>IF('Pay App 5'!$H$149=0,NA(),IFERROR('Pay App 5'!F149/'Summary Sheet'!$D$19,""))</f>
        <v>#N/A</v>
      </c>
      <c r="O91" s="295"/>
      <c r="P91" s="291" t="e">
        <f>IF('Pay App 6'!$H$149=0,NA(),IFERROR('Pay App 6'!F149/'Summary Sheet'!$D$19,""))</f>
        <v>#N/A</v>
      </c>
      <c r="Q91" s="293"/>
      <c r="R91" s="290" t="e">
        <f>IF('Pay App 7'!$H$149=0,NA(),IFERROR('Pay App 7'!F149/'Summary Sheet'!$D$19,""))</f>
        <v>#N/A</v>
      </c>
      <c r="S91" s="295"/>
      <c r="T91" s="291" t="e">
        <f>IF('Pay App 8'!$H$149=0,NA(),IFERROR('Pay App 8'!F149/'Summary Sheet'!$D$19,""))</f>
        <v>#N/A</v>
      </c>
      <c r="U91" s="333"/>
      <c r="V91" s="290" t="e">
        <f>IF('Pay App 9'!$H$149=0,NA(),IFERROR('Pay App 9'!F149/'Summary Sheet'!$D$19,""))</f>
        <v>#N/A</v>
      </c>
      <c r="W91" s="295"/>
      <c r="X91" s="291" t="e">
        <f>IF('Pay App 10'!$H$149=0,NA(),IFERROR('Pay App 10'!F149/'Summary Sheet'!$D$19,""))</f>
        <v>#N/A</v>
      </c>
      <c r="Y91" s="292"/>
      <c r="Z91" s="290" t="e">
        <f>IF('Pay App 11'!$H$149=0,NA(),IFERROR('Pay App 11'!F149/'Summary Sheet'!$D$19,""))</f>
        <v>#N/A</v>
      </c>
      <c r="AA91" s="292"/>
      <c r="AB91" s="291" t="e">
        <f>IF('Pay App 12'!$H$149=0,NA(),IFERROR('Pay App 12'!F149/'Summary Sheet'!$D$19,""))</f>
        <v>#N/A</v>
      </c>
      <c r="AC91" s="292"/>
      <c r="AD91" s="290" t="e">
        <f>IF('Pay App 13'!$H$149=0,NA(),IFERROR('Pay App 13'!F149/'Summary Sheet'!$D$19,""))</f>
        <v>#N/A</v>
      </c>
      <c r="AE91" s="295"/>
      <c r="AF91" s="291" t="e">
        <f>IF('Pay App 14'!$H$149=0,NA(),IFERROR('Pay App 14'!F149/'Summary Sheet'!$D$19,""))</f>
        <v>#N/A</v>
      </c>
      <c r="AG91" s="333"/>
      <c r="AH91" s="290" t="e">
        <f>IF('Pay App 15'!$H$149=0,NA(),IFERROR('Pay App 15'!F149/'Summary Sheet'!$D$19,""))</f>
        <v>#N/A</v>
      </c>
      <c r="AI91" s="295"/>
      <c r="AJ91" s="291" t="e">
        <f>IF('Pay App 16'!$H$149=0,NA(),IFERROR('Pay App 16'!F149/'Summary Sheet'!$D$19,""))</f>
        <v>#N/A</v>
      </c>
      <c r="AK91" s="293"/>
      <c r="AL91" s="290" t="e">
        <f>IF('Pay App 17'!$H$149=0,NA(),IFERROR('Pay App 17'!F149/'Summary Sheet'!$D$19,""))</f>
        <v>#N/A</v>
      </c>
      <c r="AM91" s="295"/>
      <c r="AN91" s="291" t="e">
        <f>IF('Pay App 18'!$H$149=0,NA(),IFERROR('Pay App 18'!F149/'Summary Sheet'!$D$19,""))</f>
        <v>#N/A</v>
      </c>
      <c r="AO91" s="333"/>
      <c r="AP91" s="290" t="e">
        <f>IF('Pay App 19'!$H$149=0,NA(),IFERROR('Pay App 19'!F149/'Summary Sheet'!$D$19,""))</f>
        <v>#N/A</v>
      </c>
      <c r="AQ91" s="295"/>
      <c r="AR91" s="292" t="e">
        <f>IF('Pay App 20'!$H$149=0,NA(),IFERROR('Pay App 20'!F149/'Summary Sheet'!$D$19,""))</f>
        <v>#N/A</v>
      </c>
      <c r="AS91" s="333"/>
      <c r="AT91" s="290" t="e">
        <f>IF('Pay App 21'!$H$149=0,NA(),IFERROR('Pay App 21'!F149/'Summary Sheet'!$D$19,""))</f>
        <v>#N/A</v>
      </c>
      <c r="AU91" s="333"/>
      <c r="AV91" s="292" t="e">
        <f>IF('Pay App 22'!$H$149=0,NA(),IFERROR('Pay App 22'!F149/'Summary Sheet'!$D$19,""))</f>
        <v>#N/A</v>
      </c>
      <c r="AW91" s="333"/>
      <c r="AX91" s="290" t="e">
        <f>IF('Pay App 23'!$H$149=0,NA(),IFERROR('Pay App 23'!F149/'Summary Sheet'!$D$19,""))</f>
        <v>#N/A</v>
      </c>
      <c r="AY91" s="333"/>
      <c r="AZ91" s="292" t="e">
        <f>IF('Pay App 24'!$H$149=0,NA(),IFERROR('Pay App 24'!F149/'Summary Sheet'!$D$19,""))</f>
        <v>#N/A</v>
      </c>
      <c r="BA91" s="333"/>
      <c r="BB91" s="290" t="e">
        <f>IF('Pay App 25'!$H$149=0,NA(),IFERROR('Pay App 25'!F149/'Summary Sheet'!$D$19,""))</f>
        <v>#N/A</v>
      </c>
      <c r="BC91" s="333"/>
      <c r="BD91" s="292" t="e">
        <f>IF('Pay App 26'!$H$149=0,NA(),IFERROR('Pay App 26'!F149/'Summary Sheet'!$D$19,""))</f>
        <v>#N/A</v>
      </c>
      <c r="BE91" s="333"/>
      <c r="BF91" s="290" t="e">
        <f>IF('Pay App 27'!$H$149=0,NA(),IFERROR('Pay App 27'!F149/'Summary Sheet'!$D$19,""))</f>
        <v>#N/A</v>
      </c>
      <c r="BG91" s="333"/>
      <c r="BH91" s="292" t="e">
        <f>IF('Pay App 28'!$H$149=0,NA(),IFERROR('Pay App 28'!F149/'Summary Sheet'!$D$19,""))</f>
        <v>#N/A</v>
      </c>
      <c r="BI91" s="333"/>
      <c r="BJ91" s="290" t="e">
        <f>IF('Pay App 29'!$H$149=0,NA(),IFERROR('Pay App 29'!F149/'Summary Sheet'!$D$19,""))</f>
        <v>#N/A</v>
      </c>
      <c r="BK91" s="295"/>
      <c r="BL91" s="292" t="e">
        <f>IF('Pay App 30'!$H$149=0,NA(),IFERROR('Pay App 30'!F149/'Summary Sheet'!$D$19,""))</f>
        <v>#N/A</v>
      </c>
      <c r="BM91" s="333"/>
      <c r="BN91" s="290" t="e">
        <f>IF('Pay App 31'!$H$149=0,NA(),IFERROR('Pay App 31'!F149/'Summary Sheet'!$D$19,""))</f>
        <v>#N/A</v>
      </c>
      <c r="BO91" s="333"/>
      <c r="BP91" s="292" t="e">
        <f>IF('Pay App 32'!$H$149=0,NA(),IFERROR('Pay App 32'!F149/'Summary Sheet'!$D$19,""))</f>
        <v>#N/A</v>
      </c>
      <c r="BQ91" s="333"/>
      <c r="BR91" s="290" t="e">
        <f>IF('Pay App 33'!$H$149=0,NA(),IFERROR('Pay App 33'!F149/'Summary Sheet'!$D$19,""))</f>
        <v>#N/A</v>
      </c>
      <c r="BS91" s="333"/>
      <c r="BT91" s="292" t="e">
        <f>IF('Pay App 34'!$H$149=0,NA(),IFERROR('Pay App 34'!F149/'Summary Sheet'!$D$19,""))</f>
        <v>#N/A</v>
      </c>
      <c r="BU91" s="333"/>
      <c r="BV91" s="290" t="e">
        <f>IF('Pay App 35'!$H$149=0,NA(),IFERROR('Pay App 35'!F149/'Summary Sheet'!$D$19,""))</f>
        <v>#N/A</v>
      </c>
      <c r="BW91" s="333"/>
      <c r="BX91" s="292" t="e">
        <f>IF('Pay App 36'!$H$149=0,NA(),IFERROR('Pay App 36'!F149/'Summary Sheet'!$D$19,""))</f>
        <v>#N/A</v>
      </c>
      <c r="BY91" s="333"/>
      <c r="BZ91" s="290" t="e">
        <f>IF('Pay App 37'!$H$149=0,NA(),IFERROR('Pay App 37'!F149/'Summary Sheet'!$D$19,""))</f>
        <v>#N/A</v>
      </c>
      <c r="CA91" s="333"/>
      <c r="CB91" s="292" t="e">
        <f>IF('Pay App 38'!$H$149=0,NA(),IFERROR('Pay App 38'!F149/'Summary Sheet'!$D$19,""))</f>
        <v>#N/A</v>
      </c>
      <c r="CC91" s="333"/>
      <c r="CD91" s="290" t="e">
        <f>IF('Pay App 39'!$H$149=0,NA(),IFERROR('Pay App 39'!F149/'Summary Sheet'!$D$19,""))</f>
        <v>#N/A</v>
      </c>
      <c r="CE91" s="333"/>
      <c r="CF91" s="292" t="e">
        <f>IF('Pay App 40'!$H$149=0,NA(),IFERROR('Pay App 40'!F149/'Summary Sheet'!$D$19,""))</f>
        <v>#N/A</v>
      </c>
      <c r="CG91" s="333"/>
      <c r="CH91" s="290" t="e">
        <f>IF('Pay App 41'!$H$149=0,NA(),IFERROR('Pay App 41'!F149/'Summary Sheet'!$D$19,""))</f>
        <v>#N/A</v>
      </c>
      <c r="CI91" s="333"/>
      <c r="CJ91" s="292" t="e">
        <f>IF('Pay App 42'!$H$149=0,NA(),IFERROR('Pay App 42'!F149/'Summary Sheet'!$D$19,""))</f>
        <v>#N/A</v>
      </c>
      <c r="CK91" s="333"/>
      <c r="CL91" s="290" t="e">
        <f>IF('Pay App 43'!$H$149=0,NA(),IFERROR('Pay App 43'!F149/'Summary Sheet'!$D$19,""))</f>
        <v>#N/A</v>
      </c>
      <c r="CM91" s="333"/>
      <c r="CN91" s="292" t="e">
        <f>IF('Pay App 44'!$H$149=0,NA(),IFERROR('Pay App 44'!F149/'Summary Sheet'!$D$19,""))</f>
        <v>#N/A</v>
      </c>
      <c r="CO91" s="333"/>
      <c r="CP91" s="290" t="e">
        <f>IF('Pay App 45'!$H$149=0,NA(),IFERROR('Pay App 45'!F149/'Summary Sheet'!$D$19,""))</f>
        <v>#N/A</v>
      </c>
      <c r="CQ91" s="333"/>
      <c r="CR91" s="292" t="e">
        <f>IF('Pay App 46'!$H$149=0,NA(),IFERROR('Pay App 46'!F149/'Summary Sheet'!$D$19,""))</f>
        <v>#N/A</v>
      </c>
      <c r="CS91" s="333"/>
      <c r="CT91" s="290" t="e">
        <f>IF('Pay App 47'!$H$149=0,NA(),IFERROR('Pay App 47'!F149/'Summary Sheet'!$D$19,""))</f>
        <v>#N/A</v>
      </c>
      <c r="CU91" s="333"/>
      <c r="CV91" s="292" t="e">
        <f>IF('Pay App 48'!$H$149=0,NA(),IFERROR('Pay App 48'!F149/'Summary Sheet'!$D$19,""))</f>
        <v>#N/A</v>
      </c>
      <c r="CW91" s="333"/>
      <c r="CX91" s="290" t="e">
        <f>IF('Pay App 49'!$H$149=0,NA(),IFERROR('Pay App 49'!F149/'Summary Sheet'!$D$19,""))</f>
        <v>#N/A</v>
      </c>
      <c r="CY91" s="333"/>
      <c r="CZ91" s="292" t="e">
        <f>IF('Pay App 50'!$H$149=0,NA(),IFERROR('Pay App 50'!F149/'Summary Sheet'!$D$19,""))</f>
        <v>#N/A</v>
      </c>
      <c r="DA91" s="333"/>
      <c r="DB91" s="290" t="e">
        <f>IF('Pay App 51'!$H$149=0,NA(),IFERROR('Pay App 51'!F149/'Summary Sheet'!$D$19,""))</f>
        <v>#N/A</v>
      </c>
      <c r="DC91" s="333"/>
      <c r="DD91" s="292" t="e">
        <f>IF('Pay App 52'!$H$149=0,NA(),IFERROR('Pay App 52'!F149/'Summary Sheet'!$D$19,""))</f>
        <v>#N/A</v>
      </c>
      <c r="DE91" s="333"/>
      <c r="DF91" s="290" t="e">
        <f>IF('Pay App 53'!$H$149=0,NA(),IFERROR('Pay App 53'!F149/'Summary Sheet'!$D$19,""))</f>
        <v>#N/A</v>
      </c>
      <c r="DG91" s="333"/>
      <c r="DH91" s="292" t="e">
        <f>IF('Pay App 54'!$H$149=0,NA(),IFERROR('Pay App 54'!F149/'Summary Sheet'!$D$19,""))</f>
        <v>#N/A</v>
      </c>
      <c r="DI91" s="333"/>
      <c r="DJ91" s="290" t="e">
        <f>IF('Pay App 55'!$H$149=0,NA(),IFERROR('Pay App 55'!F149/'Summary Sheet'!$D$19,""))</f>
        <v>#N/A</v>
      </c>
      <c r="DK91" s="333"/>
      <c r="DL91" s="292" t="e">
        <f>IF('Pay App 56'!$H$149=0,NA(),IFERROR('Pay App 56'!F149/'Summary Sheet'!$D$19,""))</f>
        <v>#N/A</v>
      </c>
      <c r="DM91" s="333"/>
      <c r="DN91" s="290" t="e">
        <f>IF('Pay App 57'!$H$149=0,NA(),IFERROR('Pay App 57'!F149/'Summary Sheet'!$D$19,""))</f>
        <v>#N/A</v>
      </c>
      <c r="DO91" s="333"/>
      <c r="DP91" s="292" t="e">
        <f>IF('Pay App 58'!$H$149=0,NA(),IFERROR('Pay App 58'!F149/'Summary Sheet'!$D$19,""))</f>
        <v>#N/A</v>
      </c>
      <c r="DQ91" s="333"/>
      <c r="DR91" s="290" t="e">
        <f>IF('Pay App 59'!$H$149=0,NA(),IFERROR('Pay App 59'!F149/'Summary Sheet'!$D$19,""))</f>
        <v>#N/A</v>
      </c>
      <c r="DS91" s="333"/>
      <c r="DT91" s="292" t="e">
        <f>IF('Pay App 60'!$H$149=0,NA(),IFERROR('Pay App 60'!F1059/'Summary Sheet'!$D$19,""))</f>
        <v>#N/A</v>
      </c>
      <c r="DU91" s="82"/>
    </row>
    <row r="92" spans="2:125" ht="15.75" thickTop="1" x14ac:dyDescent="0.25">
      <c r="H92" s="82"/>
      <c r="I92" s="82"/>
      <c r="J92" s="82"/>
      <c r="K92" s="82"/>
      <c r="L92" s="82"/>
    </row>
  </sheetData>
  <sheetProtection algorithmName="SHA-512" hashValue="2YIpQiAOKZfqtTxUk12sFWIH5QMUxTAexhkVNytgV8k7n442bdhqLjlALytgo+D6vuxy1R6DPwXgKvyBQeNgXw==" saltValue="Pbv9ORBm13n08Ues/Few5w==" spinCount="100000" sheet="1" objects="1" scenarios="1" selectLockedCells="1"/>
  <mergeCells count="5">
    <mergeCell ref="D1:E1"/>
    <mergeCell ref="B2:B3"/>
    <mergeCell ref="C2:C3"/>
    <mergeCell ref="D2:D3"/>
    <mergeCell ref="E2:E3"/>
  </mergeCells>
  <phoneticPr fontId="13" type="noConversion"/>
  <conditionalFormatting sqref="E4:E91">
    <cfRule type="cellIs" dxfId="785" priority="189" operator="equal">
      <formula>0</formula>
    </cfRule>
  </conditionalFormatting>
  <conditionalFormatting sqref="F4:F91">
    <cfRule type="expression" dxfId="784" priority="78">
      <formula>ISNA(F4)</formula>
    </cfRule>
  </conditionalFormatting>
  <conditionalFormatting sqref="F4:G91">
    <cfRule type="cellIs" dxfId="783" priority="82" operator="equal">
      <formula>0</formula>
    </cfRule>
  </conditionalFormatting>
  <conditionalFormatting sqref="H4:H91">
    <cfRule type="expression" dxfId="782" priority="77">
      <formula>ISNA(H4)</formula>
    </cfRule>
  </conditionalFormatting>
  <conditionalFormatting sqref="H4:I48 I49:I90 H49:H91">
    <cfRule type="cellIs" dxfId="781" priority="201" operator="equal">
      <formula>0</formula>
    </cfRule>
  </conditionalFormatting>
  <conditionalFormatting sqref="J4:J91">
    <cfRule type="expression" dxfId="780" priority="74">
      <formula>ISNA(J4)</formula>
    </cfRule>
  </conditionalFormatting>
  <conditionalFormatting sqref="J4:K91">
    <cfRule type="cellIs" dxfId="779" priority="108" operator="equal">
      <formula>0</formula>
    </cfRule>
  </conditionalFormatting>
  <conditionalFormatting sqref="L4:L91">
    <cfRule type="expression" dxfId="778" priority="80">
      <formula>ISNA(L4)</formula>
    </cfRule>
  </conditionalFormatting>
  <conditionalFormatting sqref="L4:M91">
    <cfRule type="cellIs" dxfId="777" priority="107" operator="equal">
      <formula>0</formula>
    </cfRule>
  </conditionalFormatting>
  <conditionalFormatting sqref="N4:N91">
    <cfRule type="expression" dxfId="776" priority="79">
      <formula>ISNA(N4)</formula>
    </cfRule>
    <cfRule type="cellIs" dxfId="775" priority="180" operator="equal">
      <formula>0</formula>
    </cfRule>
  </conditionalFormatting>
  <conditionalFormatting sqref="O91">
    <cfRule type="cellIs" dxfId="774" priority="106" operator="equal">
      <formula>0</formula>
    </cfRule>
  </conditionalFormatting>
  <conditionalFormatting sqref="P4:P91">
    <cfRule type="cellIs" dxfId="773" priority="105" operator="equal">
      <formula>0</formula>
    </cfRule>
    <cfRule type="expression" dxfId="772" priority="76">
      <formula>ISNA(P4)</formula>
    </cfRule>
  </conditionalFormatting>
  <conditionalFormatting sqref="Q91">
    <cfRule type="cellIs" dxfId="771" priority="109" operator="equal">
      <formula>0</formula>
    </cfRule>
  </conditionalFormatting>
  <conditionalFormatting sqref="R4:R91">
    <cfRule type="cellIs" dxfId="770" priority="173" operator="equal">
      <formula>0</formula>
    </cfRule>
    <cfRule type="expression" dxfId="769" priority="75">
      <formula>ISNA(R4)</formula>
    </cfRule>
  </conditionalFormatting>
  <conditionalFormatting sqref="S91">
    <cfRule type="cellIs" dxfId="768" priority="103" operator="equal">
      <formula>0</formula>
    </cfRule>
  </conditionalFormatting>
  <conditionalFormatting sqref="T4:T91">
    <cfRule type="cellIs" dxfId="767" priority="102" operator="equal">
      <formula>0</formula>
    </cfRule>
    <cfRule type="expression" dxfId="766" priority="73">
      <formula>ISNA(T4)</formula>
    </cfRule>
  </conditionalFormatting>
  <conditionalFormatting sqref="U91">
    <cfRule type="cellIs" dxfId="765" priority="104" operator="equal">
      <formula>0</formula>
    </cfRule>
  </conditionalFormatting>
  <conditionalFormatting sqref="V4:V91">
    <cfRule type="cellIs" dxfId="764" priority="85" operator="equal">
      <formula>0</formula>
    </cfRule>
    <cfRule type="expression" dxfId="763" priority="72">
      <formula>ISNA(V4)</formula>
    </cfRule>
  </conditionalFormatting>
  <conditionalFormatting sqref="W91">
    <cfRule type="cellIs" dxfId="762" priority="101" operator="equal">
      <formula>0</formula>
    </cfRule>
  </conditionalFormatting>
  <conditionalFormatting sqref="X4:X91">
    <cfRule type="cellIs" dxfId="761" priority="100" operator="equal">
      <formula>0</formula>
    </cfRule>
    <cfRule type="expression" dxfId="760" priority="71">
      <formula>ISNA(X4)</formula>
    </cfRule>
  </conditionalFormatting>
  <conditionalFormatting sqref="Z4:Z91">
    <cfRule type="cellIs" dxfId="759" priority="99" operator="equal">
      <formula>0</formula>
    </cfRule>
    <cfRule type="expression" dxfId="758" priority="70">
      <formula>ISNA(Z4)</formula>
    </cfRule>
  </conditionalFormatting>
  <conditionalFormatting sqref="AB4:AB91">
    <cfRule type="cellIs" dxfId="757" priority="98" operator="equal">
      <formula>0</formula>
    </cfRule>
    <cfRule type="expression" dxfId="756" priority="69">
      <formula>ISNA(AB4)</formula>
    </cfRule>
  </conditionalFormatting>
  <conditionalFormatting sqref="AD4:AD91">
    <cfRule type="cellIs" dxfId="755" priority="151" operator="equal">
      <formula>0</formula>
    </cfRule>
    <cfRule type="expression" dxfId="754" priority="68">
      <formula>ISNA(AD4)</formula>
    </cfRule>
  </conditionalFormatting>
  <conditionalFormatting sqref="AE91">
    <cfRule type="cellIs" dxfId="753" priority="95" operator="equal">
      <formula>0</formula>
    </cfRule>
  </conditionalFormatting>
  <conditionalFormatting sqref="AF4:AF91">
    <cfRule type="cellIs" dxfId="752" priority="83" operator="equal">
      <formula>0</formula>
    </cfRule>
    <cfRule type="expression" dxfId="751" priority="67">
      <formula>ISNA(AF4)</formula>
    </cfRule>
  </conditionalFormatting>
  <conditionalFormatting sqref="AG91">
    <cfRule type="cellIs" dxfId="750" priority="97" operator="equal">
      <formula>0</formula>
    </cfRule>
  </conditionalFormatting>
  <conditionalFormatting sqref="AH4:AH91">
    <cfRule type="cellIs" dxfId="749" priority="146" operator="equal">
      <formula>0</formula>
    </cfRule>
    <cfRule type="expression" dxfId="748" priority="66">
      <formula>ISNA(AH4)</formula>
    </cfRule>
  </conditionalFormatting>
  <conditionalFormatting sqref="AI91">
    <cfRule type="cellIs" dxfId="747" priority="93" operator="equal">
      <formula>0</formula>
    </cfRule>
  </conditionalFormatting>
  <conditionalFormatting sqref="AJ4:AJ91">
    <cfRule type="cellIs" dxfId="746" priority="92" operator="equal">
      <formula>0</formula>
    </cfRule>
    <cfRule type="expression" dxfId="745" priority="65">
      <formula>ISNA(AJ4)</formula>
    </cfRule>
  </conditionalFormatting>
  <conditionalFormatting sqref="AK91">
    <cfRule type="cellIs" dxfId="744" priority="96" operator="equal">
      <formula>0</formula>
    </cfRule>
  </conditionalFormatting>
  <conditionalFormatting sqref="AL4:AL91">
    <cfRule type="cellIs" dxfId="743" priority="143" operator="equal">
      <formula>0</formula>
    </cfRule>
    <cfRule type="expression" dxfId="742" priority="64">
      <formula>ISNA(AL4)</formula>
    </cfRule>
  </conditionalFormatting>
  <conditionalFormatting sqref="AM91">
    <cfRule type="cellIs" dxfId="741" priority="90" operator="equal">
      <formula>0</formula>
    </cfRule>
  </conditionalFormatting>
  <conditionalFormatting sqref="AN4:AN91">
    <cfRule type="expression" dxfId="740" priority="63">
      <formula>ISNA(AN4)</formula>
    </cfRule>
    <cfRule type="cellIs" dxfId="739" priority="89" operator="equal">
      <formula>0</formula>
    </cfRule>
  </conditionalFormatting>
  <conditionalFormatting sqref="AO91">
    <cfRule type="cellIs" dxfId="738" priority="91" operator="equal">
      <formula>0</formula>
    </cfRule>
  </conditionalFormatting>
  <conditionalFormatting sqref="AP4:AP91">
    <cfRule type="cellIs" dxfId="737" priority="138" operator="equal">
      <formula>0</formula>
    </cfRule>
    <cfRule type="expression" dxfId="736" priority="62">
      <formula>ISNA(AP4)</formula>
    </cfRule>
  </conditionalFormatting>
  <conditionalFormatting sqref="AQ91">
    <cfRule type="cellIs" dxfId="735" priority="88" operator="equal">
      <formula>0</formula>
    </cfRule>
  </conditionalFormatting>
  <conditionalFormatting sqref="AR4:AR91">
    <cfRule type="expression" dxfId="734" priority="61">
      <formula>ISNA(AR4)</formula>
    </cfRule>
  </conditionalFormatting>
  <conditionalFormatting sqref="AS90">
    <cfRule type="cellIs" dxfId="733" priority="186" operator="equal">
      <formula>0</formula>
    </cfRule>
  </conditionalFormatting>
  <conditionalFormatting sqref="AT4:AT91">
    <cfRule type="cellIs" dxfId="732" priority="60" operator="equal">
      <formula>0</formula>
    </cfRule>
    <cfRule type="expression" dxfId="731" priority="59">
      <formula>ISNA(AT4)</formula>
    </cfRule>
  </conditionalFormatting>
  <conditionalFormatting sqref="AV4:AV91">
    <cfRule type="expression" dxfId="730" priority="58">
      <formula>ISNA(AV4)</formula>
    </cfRule>
  </conditionalFormatting>
  <conditionalFormatting sqref="AX4:AX91">
    <cfRule type="cellIs" dxfId="729" priority="57" operator="equal">
      <formula>0</formula>
    </cfRule>
    <cfRule type="expression" dxfId="728" priority="56">
      <formula>ISNA(AX4)</formula>
    </cfRule>
  </conditionalFormatting>
  <conditionalFormatting sqref="AZ4:AZ91">
    <cfRule type="expression" dxfId="727" priority="55">
      <formula>ISNA(AZ4)</formula>
    </cfRule>
  </conditionalFormatting>
  <conditionalFormatting sqref="BB4:BB91">
    <cfRule type="cellIs" dxfId="726" priority="54" operator="equal">
      <formula>0</formula>
    </cfRule>
    <cfRule type="expression" dxfId="725" priority="53">
      <formula>ISNA(BB4)</formula>
    </cfRule>
  </conditionalFormatting>
  <conditionalFormatting sqref="BD4:BD91">
    <cfRule type="expression" dxfId="724" priority="52">
      <formula>ISNA(BD4)</formula>
    </cfRule>
  </conditionalFormatting>
  <conditionalFormatting sqref="BF4:BF91">
    <cfRule type="cellIs" dxfId="723" priority="51" operator="equal">
      <formula>0</formula>
    </cfRule>
    <cfRule type="expression" dxfId="722" priority="50">
      <formula>ISNA(BF4)</formula>
    </cfRule>
  </conditionalFormatting>
  <conditionalFormatting sqref="BH4:BH91">
    <cfRule type="expression" dxfId="721" priority="49">
      <formula>ISNA(BH4)</formula>
    </cfRule>
  </conditionalFormatting>
  <conditionalFormatting sqref="BJ4:BK91">
    <cfRule type="cellIs" dxfId="720" priority="48" operator="equal">
      <formula>0</formula>
    </cfRule>
    <cfRule type="expression" dxfId="719" priority="47">
      <formula>ISNA(BJ4)</formula>
    </cfRule>
  </conditionalFormatting>
  <conditionalFormatting sqref="BL4:BL91">
    <cfRule type="expression" dxfId="718" priority="46">
      <formula>ISNA(BL4)</formula>
    </cfRule>
  </conditionalFormatting>
  <conditionalFormatting sqref="BN4:BN91">
    <cfRule type="cellIs" dxfId="717" priority="45" operator="equal">
      <formula>0</formula>
    </cfRule>
    <cfRule type="expression" dxfId="716" priority="44">
      <formula>ISNA(BN4)</formula>
    </cfRule>
  </conditionalFormatting>
  <conditionalFormatting sqref="BP4:BP91">
    <cfRule type="expression" dxfId="715" priority="43">
      <formula>ISNA(BP4)</formula>
    </cfRule>
  </conditionalFormatting>
  <conditionalFormatting sqref="BR4:BR91">
    <cfRule type="cellIs" dxfId="714" priority="42" operator="equal">
      <formula>0</formula>
    </cfRule>
    <cfRule type="expression" dxfId="713" priority="41">
      <formula>ISNA(BR4)</formula>
    </cfRule>
  </conditionalFormatting>
  <conditionalFormatting sqref="BT4:BT91">
    <cfRule type="expression" dxfId="712" priority="40">
      <formula>ISNA(BT4)</formula>
    </cfRule>
  </conditionalFormatting>
  <conditionalFormatting sqref="BV4:BV91">
    <cfRule type="cellIs" dxfId="711" priority="39" operator="equal">
      <formula>0</formula>
    </cfRule>
    <cfRule type="expression" dxfId="710" priority="38">
      <formula>ISNA(BV4)</formula>
    </cfRule>
  </conditionalFormatting>
  <conditionalFormatting sqref="BX4:BX91">
    <cfRule type="expression" dxfId="709" priority="37">
      <formula>ISNA(BX4)</formula>
    </cfRule>
  </conditionalFormatting>
  <conditionalFormatting sqref="BZ4:BZ91">
    <cfRule type="cellIs" dxfId="708" priority="36" operator="equal">
      <formula>0</formula>
    </cfRule>
    <cfRule type="expression" dxfId="707" priority="35">
      <formula>ISNA(BZ4)</formula>
    </cfRule>
  </conditionalFormatting>
  <conditionalFormatting sqref="CB4:CB91">
    <cfRule type="expression" dxfId="706" priority="34">
      <formula>ISNA(CB4)</formula>
    </cfRule>
  </conditionalFormatting>
  <conditionalFormatting sqref="CD4:CD91">
    <cfRule type="cellIs" dxfId="705" priority="33" operator="equal">
      <formula>0</formula>
    </cfRule>
    <cfRule type="expression" dxfId="704" priority="32">
      <formula>ISNA(CD4)</formula>
    </cfRule>
  </conditionalFormatting>
  <conditionalFormatting sqref="CF4:CF91">
    <cfRule type="expression" dxfId="703" priority="31">
      <formula>ISNA(CF4)</formula>
    </cfRule>
  </conditionalFormatting>
  <conditionalFormatting sqref="CH4:CH91">
    <cfRule type="cellIs" dxfId="702" priority="30" operator="equal">
      <formula>0</formula>
    </cfRule>
    <cfRule type="expression" dxfId="701" priority="29">
      <formula>ISNA(CH4)</formula>
    </cfRule>
  </conditionalFormatting>
  <conditionalFormatting sqref="CJ4:CJ91">
    <cfRule type="expression" dxfId="700" priority="28">
      <formula>ISNA(CJ4)</formula>
    </cfRule>
  </conditionalFormatting>
  <conditionalFormatting sqref="CL4:CL91">
    <cfRule type="expression" dxfId="699" priority="26">
      <formula>ISNA(CL4)</formula>
    </cfRule>
    <cfRule type="cellIs" dxfId="698" priority="27" operator="equal">
      <formula>0</formula>
    </cfRule>
  </conditionalFormatting>
  <conditionalFormatting sqref="CN4:CN91">
    <cfRule type="expression" dxfId="697" priority="25">
      <formula>ISNA(CN4)</formula>
    </cfRule>
  </conditionalFormatting>
  <conditionalFormatting sqref="CP4:CP91">
    <cfRule type="cellIs" dxfId="696" priority="24" operator="equal">
      <formula>0</formula>
    </cfRule>
    <cfRule type="expression" dxfId="695" priority="23">
      <formula>ISNA(CP4)</formula>
    </cfRule>
  </conditionalFormatting>
  <conditionalFormatting sqref="CR4:CR91">
    <cfRule type="expression" dxfId="694" priority="22">
      <formula>ISNA(CR4)</formula>
    </cfRule>
  </conditionalFormatting>
  <conditionalFormatting sqref="CT4:CT91">
    <cfRule type="cellIs" dxfId="693" priority="21" operator="equal">
      <formula>0</formula>
    </cfRule>
    <cfRule type="expression" dxfId="692" priority="20">
      <formula>ISNA(CT4)</formula>
    </cfRule>
  </conditionalFormatting>
  <conditionalFormatting sqref="CV4:CV91">
    <cfRule type="expression" dxfId="691" priority="19">
      <formula>ISNA(CV4)</formula>
    </cfRule>
  </conditionalFormatting>
  <conditionalFormatting sqref="CX4:CX91">
    <cfRule type="cellIs" dxfId="690" priority="18" operator="equal">
      <formula>0</formula>
    </cfRule>
    <cfRule type="expression" dxfId="689" priority="17">
      <formula>ISNA(CX4)</formula>
    </cfRule>
  </conditionalFormatting>
  <conditionalFormatting sqref="CZ4:CZ91">
    <cfRule type="expression" dxfId="688" priority="16">
      <formula>ISNA(CZ4)</formula>
    </cfRule>
  </conditionalFormatting>
  <conditionalFormatting sqref="DB4:DB91">
    <cfRule type="expression" dxfId="687" priority="14">
      <formula>ISNA(DB4)</formula>
    </cfRule>
    <cfRule type="cellIs" dxfId="686" priority="15" operator="equal">
      <formula>0</formula>
    </cfRule>
  </conditionalFormatting>
  <conditionalFormatting sqref="DD4:DD91">
    <cfRule type="expression" dxfId="685" priority="13">
      <formula>ISNA(DD4)</formula>
    </cfRule>
  </conditionalFormatting>
  <conditionalFormatting sqref="DF4:DF91">
    <cfRule type="expression" dxfId="684" priority="11">
      <formula>ISNA(DF4)</formula>
    </cfRule>
    <cfRule type="cellIs" dxfId="683" priority="12" operator="equal">
      <formula>0</formula>
    </cfRule>
  </conditionalFormatting>
  <conditionalFormatting sqref="DH4:DH91">
    <cfRule type="expression" dxfId="682" priority="10">
      <formula>ISNA(DH4)</formula>
    </cfRule>
  </conditionalFormatting>
  <conditionalFormatting sqref="DJ4:DJ91">
    <cfRule type="cellIs" dxfId="681" priority="9" operator="equal">
      <formula>0</formula>
    </cfRule>
    <cfRule type="expression" dxfId="680" priority="8">
      <formula>ISNA(DJ4)</formula>
    </cfRule>
  </conditionalFormatting>
  <conditionalFormatting sqref="DL4:DL91">
    <cfRule type="expression" dxfId="679" priority="7">
      <formula>ISNA(DL4)</formula>
    </cfRule>
  </conditionalFormatting>
  <conditionalFormatting sqref="DN4:DN91">
    <cfRule type="expression" dxfId="678" priority="5">
      <formula>ISNA(DN4)</formula>
    </cfRule>
    <cfRule type="cellIs" dxfId="677" priority="6" operator="equal">
      <formula>0</formula>
    </cfRule>
  </conditionalFormatting>
  <conditionalFormatting sqref="DP4:DP91">
    <cfRule type="expression" dxfId="676" priority="4">
      <formula>ISNA(DP4)</formula>
    </cfRule>
  </conditionalFormatting>
  <conditionalFormatting sqref="DR4:DR91">
    <cfRule type="cellIs" dxfId="675" priority="3" operator="equal">
      <formula>0</formula>
    </cfRule>
    <cfRule type="expression" dxfId="674" priority="2">
      <formula>ISNA(DR4)</formula>
    </cfRule>
  </conditionalFormatting>
  <conditionalFormatting sqref="DT4:DT91">
    <cfRule type="expression" dxfId="673" priority="1">
      <formula>ISNA(DT4)</formula>
    </cfRule>
  </conditionalFormatting>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97097-9BED-45B0-A039-D6E09BB5641B}">
  <sheetPr>
    <tabColor rgb="FF00B0F0"/>
    <pageSetUpPr autoPageBreaks="0"/>
  </sheetPr>
  <dimension ref="A1:BC96"/>
  <sheetViews>
    <sheetView showGridLines="0" zoomScaleNormal="100" workbookViewId="0">
      <pane xSplit="5" ySplit="7" topLeftCell="F8" activePane="bottomRight" state="frozen"/>
      <selection pane="topRight" activeCell="D1" sqref="D1"/>
      <selection pane="bottomLeft" activeCell="A7" sqref="A7"/>
      <selection pane="bottomRight" activeCell="B95" sqref="B95"/>
    </sheetView>
  </sheetViews>
  <sheetFormatPr defaultColWidth="9.140625" defaultRowHeight="15" x14ac:dyDescent="0.25"/>
  <cols>
    <col min="1" max="1" width="2.7109375" style="83" customWidth="1"/>
    <col min="2" max="2" width="13.28515625" customWidth="1"/>
    <col min="3" max="3" width="25.42578125" customWidth="1"/>
    <col min="4" max="4" width="16.85546875" customWidth="1"/>
    <col min="5" max="5" width="13.85546875" style="335" customWidth="1"/>
    <col min="6" max="55" width="17.140625" style="335" customWidth="1"/>
    <col min="56" max="16384" width="9.140625" style="83"/>
  </cols>
  <sheetData>
    <row r="1" spans="1:55" s="95" customFormat="1" ht="66" customHeight="1" x14ac:dyDescent="0.25">
      <c r="A1" s="83"/>
      <c r="B1" s="377" t="s">
        <v>927</v>
      </c>
      <c r="C1" s="377"/>
      <c r="D1" s="377"/>
      <c r="E1" s="335" t="s">
        <v>340</v>
      </c>
      <c r="F1" s="299" t="str">
        <f>IFERROR(VLOOKUP(F7,'Graph Data'!$A$2:$F$501,6,FALSE),"")</f>
        <v/>
      </c>
      <c r="G1" s="299" t="str">
        <f>IFERROR(VLOOKUP(G7,'Graph Data'!$A$2:$F$501,6,FALSE),"")</f>
        <v/>
      </c>
      <c r="H1" s="299" t="str">
        <f>IFERROR(VLOOKUP(H7,'Graph Data'!$A$2:$F$501,6,FALSE),"")</f>
        <v/>
      </c>
      <c r="I1" s="299" t="str">
        <f>IFERROR(VLOOKUP(I7,'Graph Data'!$A$2:$F$501,6,FALSE),"")</f>
        <v/>
      </c>
      <c r="J1" s="299" t="str">
        <f>IFERROR(VLOOKUP(J7,'Graph Data'!$A$2:$F$501,6,FALSE),"")</f>
        <v/>
      </c>
      <c r="K1" s="299" t="str">
        <f>IFERROR(VLOOKUP(K7,'Graph Data'!$A$2:$F$501,6,FALSE),"")</f>
        <v/>
      </c>
      <c r="L1" s="299" t="str">
        <f>IFERROR(VLOOKUP(L7,'Graph Data'!$A$2:$F$501,6,FALSE),"")</f>
        <v/>
      </c>
      <c r="M1" s="299" t="str">
        <f>IFERROR(VLOOKUP(M7,'Graph Data'!$A$2:$F$501,6,FALSE),"")</f>
        <v/>
      </c>
      <c r="N1" s="299" t="str">
        <f>IFERROR(VLOOKUP(N7,'Graph Data'!$A$2:$F$501,6,FALSE),"")</f>
        <v/>
      </c>
      <c r="O1" s="299" t="str">
        <f>IFERROR(VLOOKUP(O7,'Graph Data'!$A$2:$F$501,6,FALSE),"")</f>
        <v/>
      </c>
      <c r="P1" s="299" t="str">
        <f>IFERROR(VLOOKUP(P7,'Graph Data'!$A$2:$F$501,6,FALSE),"")</f>
        <v/>
      </c>
      <c r="Q1" s="299" t="str">
        <f>IFERROR(VLOOKUP(Q7,'Graph Data'!$A$2:$F$501,6,FALSE),"")</f>
        <v/>
      </c>
      <c r="R1" s="299" t="str">
        <f>IFERROR(VLOOKUP(R7,'Graph Data'!$A$2:$F$501,6,FALSE),"")</f>
        <v/>
      </c>
      <c r="S1" s="299" t="str">
        <f>IFERROR(VLOOKUP(S7,'Graph Data'!$A$2:$F$501,6,FALSE),"")</f>
        <v/>
      </c>
      <c r="T1" s="299" t="str">
        <f>IFERROR(VLOOKUP(T7,'Graph Data'!$A$2:$F$501,6,FALSE),"")</f>
        <v/>
      </c>
      <c r="U1" s="299" t="str">
        <f>IFERROR(VLOOKUP(U7,'Graph Data'!$A$2:$F$501,6,FALSE),"")</f>
        <v/>
      </c>
      <c r="V1" s="299" t="str">
        <f>IFERROR(VLOOKUP(V7,'Graph Data'!$A$2:$F$501,6,FALSE),"")</f>
        <v/>
      </c>
      <c r="W1" s="299" t="str">
        <f>IFERROR(VLOOKUP(W7,'Graph Data'!$A$2:$F$501,6,FALSE),"")</f>
        <v/>
      </c>
      <c r="X1" s="299" t="str">
        <f>IFERROR(VLOOKUP(X7,'Graph Data'!$A$2:$F$501,6,FALSE),"")</f>
        <v/>
      </c>
      <c r="Y1" s="299" t="str">
        <f>IFERROR(VLOOKUP(Y7,'Graph Data'!$A$2:$F$501,6,FALSE),"")</f>
        <v/>
      </c>
      <c r="Z1" s="299" t="str">
        <f>IFERROR(VLOOKUP(Z7,'Graph Data'!$A$2:$F$501,6,FALSE),"")</f>
        <v/>
      </c>
      <c r="AA1" s="299" t="str">
        <f>IFERROR(VLOOKUP(AA7,'Graph Data'!$A$2:$F$501,6,FALSE),"")</f>
        <v/>
      </c>
      <c r="AB1" s="299" t="str">
        <f>IFERROR(VLOOKUP(AB7,'Graph Data'!$A$2:$F$501,6,FALSE),"")</f>
        <v/>
      </c>
      <c r="AC1" s="299" t="str">
        <f>IFERROR(VLOOKUP(AC7,'Graph Data'!$A$2:$F$501,6,FALSE),"")</f>
        <v/>
      </c>
      <c r="AD1" s="299" t="str">
        <f>IFERROR(VLOOKUP(AD7,'Graph Data'!$A$2:$F$501,6,FALSE),"")</f>
        <v/>
      </c>
      <c r="AE1" s="299" t="str">
        <f>IFERROR(VLOOKUP(AE7,'Graph Data'!$A$2:$F$501,6,FALSE),"")</f>
        <v/>
      </c>
      <c r="AF1" s="299" t="str">
        <f>IFERROR(VLOOKUP(AF7,'Graph Data'!$A$2:$F$501,6,FALSE),"")</f>
        <v/>
      </c>
      <c r="AG1" s="299" t="str">
        <f>IFERROR(VLOOKUP(AG7,'Graph Data'!$A$2:$F$501,6,FALSE),"")</f>
        <v/>
      </c>
      <c r="AH1" s="299" t="str">
        <f>IFERROR(VLOOKUP(AH7,'Graph Data'!$A$2:$F$501,6,FALSE),"")</f>
        <v/>
      </c>
      <c r="AI1" s="299" t="str">
        <f>IFERROR(VLOOKUP(AI7,'Graph Data'!$A$2:$F$501,6,FALSE),"")</f>
        <v/>
      </c>
      <c r="AJ1" s="299" t="str">
        <f>IFERROR(VLOOKUP(AJ7,'Graph Data'!$A$2:$F$501,6,FALSE),"")</f>
        <v/>
      </c>
      <c r="AK1" s="299" t="str">
        <f>IFERROR(VLOOKUP(AK7,'Graph Data'!$A$2:$F$501,6,FALSE),"")</f>
        <v/>
      </c>
      <c r="AL1" s="299" t="str">
        <f>IFERROR(VLOOKUP(AL7,'Graph Data'!$A$2:$F$501,6,FALSE),"")</f>
        <v/>
      </c>
      <c r="AM1" s="299" t="str">
        <f>IFERROR(VLOOKUP(AM7,'Graph Data'!$A$2:$F$501,6,FALSE),"")</f>
        <v/>
      </c>
      <c r="AN1" s="299" t="str">
        <f>IFERROR(VLOOKUP(AN7,'Graph Data'!$A$2:$F$501,6,FALSE),"")</f>
        <v/>
      </c>
      <c r="AO1" s="299" t="str">
        <f>IFERROR(VLOOKUP(AO7,'Graph Data'!$A$2:$F$501,6,FALSE),"")</f>
        <v/>
      </c>
      <c r="AP1" s="299" t="str">
        <f>IFERROR(VLOOKUP(AP7,'Graph Data'!$A$2:$F$501,6,FALSE),"")</f>
        <v/>
      </c>
      <c r="AQ1" s="299" t="str">
        <f>IFERROR(VLOOKUP(AQ7,'Graph Data'!$A$2:$F$501,6,FALSE),"")</f>
        <v/>
      </c>
      <c r="AR1" s="299" t="str">
        <f>IFERROR(VLOOKUP(AR7,'Graph Data'!$A$2:$F$501,6,FALSE),"")</f>
        <v/>
      </c>
      <c r="AS1" s="299" t="str">
        <f>IFERROR(VLOOKUP(AS7,'Graph Data'!$A$2:$F$501,6,FALSE),"")</f>
        <v/>
      </c>
      <c r="AT1" s="299" t="str">
        <f>IFERROR(VLOOKUP(AT7,'Graph Data'!$A$2:$F$501,6,FALSE),"")</f>
        <v/>
      </c>
      <c r="AU1" s="299" t="str">
        <f>IFERROR(VLOOKUP(AU7,'Graph Data'!$A$2:$F$501,6,FALSE),"")</f>
        <v/>
      </c>
      <c r="AV1" s="299" t="str">
        <f>IFERROR(VLOOKUP(AV7,'Graph Data'!$A$2:$F$501,6,FALSE),"")</f>
        <v/>
      </c>
      <c r="AW1" s="299" t="str">
        <f>IFERROR(VLOOKUP(AW7,'Graph Data'!$A$2:$F$501,6,FALSE),"")</f>
        <v/>
      </c>
      <c r="AX1" s="299" t="str">
        <f>IFERROR(VLOOKUP(AX7,'Graph Data'!$A$2:$F$501,6,FALSE),"")</f>
        <v/>
      </c>
      <c r="AY1" s="299" t="str">
        <f>IFERROR(VLOOKUP(AY7,'Graph Data'!$A$2:$F$501,6,FALSE),"")</f>
        <v/>
      </c>
      <c r="AZ1" s="299" t="str">
        <f>IFERROR(VLOOKUP(AZ7,'Graph Data'!$A$2:$F$501,6,FALSE),"")</f>
        <v/>
      </c>
      <c r="BA1" s="299" t="str">
        <f>IFERROR(VLOOKUP(BA7,'Graph Data'!$A$2:$F$501,6,FALSE),"")</f>
        <v/>
      </c>
      <c r="BB1" s="299" t="str">
        <f>IFERROR(VLOOKUP(BB7,'Graph Data'!$A$2:$F$501,6,FALSE),"")</f>
        <v/>
      </c>
      <c r="BC1" s="299" t="str">
        <f>IFERROR(VLOOKUP(BC7,'Graph Data'!$A$2:$F$501,6,FALSE),"")</f>
        <v/>
      </c>
    </row>
    <row r="2" spans="1:55" ht="15" customHeight="1" x14ac:dyDescent="0.25">
      <c r="B2" s="377"/>
      <c r="C2" s="377"/>
      <c r="D2" s="377"/>
      <c r="E2" s="335" t="s">
        <v>444</v>
      </c>
      <c r="F2" s="299" t="str">
        <f>IFERROR(VLOOKUP(F7,'Graph Data'!$A$2:$C$501,3,FALSE),"")</f>
        <v/>
      </c>
      <c r="G2" s="299" t="str">
        <f>IFERROR(VLOOKUP(G7,'Graph Data'!$A$2:$C$501,3,FALSE),"")</f>
        <v/>
      </c>
      <c r="H2" s="299" t="str">
        <f>IFERROR(VLOOKUP(H7,'Graph Data'!$A$2:$C$501,3,FALSE),"")</f>
        <v/>
      </c>
      <c r="I2" s="299" t="str">
        <f>IFERROR(VLOOKUP(I7,'Graph Data'!$A$2:$C$501,3,FALSE),"")</f>
        <v/>
      </c>
      <c r="J2" s="299" t="str">
        <f>IFERROR(VLOOKUP(J7,'Graph Data'!$A$2:$C$501,3,FALSE),"")</f>
        <v/>
      </c>
      <c r="K2" s="299" t="str">
        <f>IFERROR(VLOOKUP(K7,'Graph Data'!$A$2:$C$501,3,FALSE),"")</f>
        <v/>
      </c>
      <c r="L2" s="299" t="str">
        <f>IFERROR(VLOOKUP(L7,'Graph Data'!$A$2:$C$501,3,FALSE),"")</f>
        <v/>
      </c>
      <c r="M2" s="299" t="str">
        <f>IFERROR(VLOOKUP(M7,'Graph Data'!$A$2:$C$501,3,FALSE),"")</f>
        <v/>
      </c>
      <c r="N2" s="299" t="str">
        <f>IFERROR(VLOOKUP(N7,'Graph Data'!$A$2:$C$501,3,FALSE),"")</f>
        <v/>
      </c>
      <c r="O2" s="299" t="str">
        <f>IFERROR(VLOOKUP(O7,'Graph Data'!$A$2:$C$501,3,FALSE),"")</f>
        <v/>
      </c>
      <c r="P2" s="299" t="str">
        <f>IFERROR(VLOOKUP(P7,'Graph Data'!$A$2:$C$501,3,FALSE),"")</f>
        <v/>
      </c>
      <c r="Q2" s="299" t="str">
        <f>IFERROR(VLOOKUP(Q7,'Graph Data'!$A$2:$C$501,3,FALSE),"")</f>
        <v/>
      </c>
      <c r="R2" s="299" t="str">
        <f>IFERROR(VLOOKUP(R7,'Graph Data'!$A$2:$C$501,3,FALSE),"")</f>
        <v/>
      </c>
      <c r="S2" s="299" t="str">
        <f>IFERROR(VLOOKUP(S7,'Graph Data'!$A$2:$C$501,3,FALSE),"")</f>
        <v/>
      </c>
      <c r="T2" s="299" t="str">
        <f>IFERROR(VLOOKUP(T7,'Graph Data'!$A$2:$C$501,3,FALSE),"")</f>
        <v/>
      </c>
      <c r="U2" s="299" t="str">
        <f>IFERROR(VLOOKUP(U7,'Graph Data'!$A$2:$C$501,3,FALSE),"")</f>
        <v/>
      </c>
      <c r="V2" s="299" t="str">
        <f>IFERROR(VLOOKUP(V7,'Graph Data'!$A$2:$C$501,3,FALSE),"")</f>
        <v/>
      </c>
      <c r="W2" s="299" t="str">
        <f>IFERROR(VLOOKUP(W7,'Graph Data'!$A$2:$C$501,3,FALSE),"")</f>
        <v/>
      </c>
      <c r="X2" s="299" t="str">
        <f>IFERROR(VLOOKUP(X7,'Graph Data'!$A$2:$C$501,3,FALSE),"")</f>
        <v/>
      </c>
      <c r="Y2" s="299" t="str">
        <f>IFERROR(VLOOKUP(Y7,'Graph Data'!$A$2:$C$501,3,FALSE),"")</f>
        <v/>
      </c>
      <c r="Z2" s="299" t="str">
        <f>IFERROR(VLOOKUP(Z7,'Graph Data'!$A$2:$C$501,3,FALSE),"")</f>
        <v/>
      </c>
      <c r="AA2" s="299" t="str">
        <f>IFERROR(VLOOKUP(AA7,'Graph Data'!$A$2:$C$501,3,FALSE),"")</f>
        <v/>
      </c>
      <c r="AB2" s="299" t="str">
        <f>IFERROR(VLOOKUP(AB7,'Graph Data'!$A$2:$C$501,3,FALSE),"")</f>
        <v/>
      </c>
      <c r="AC2" s="299" t="str">
        <f>IFERROR(VLOOKUP(AC7,'Graph Data'!$A$2:$C$501,3,FALSE),"")</f>
        <v/>
      </c>
      <c r="AD2" s="299" t="str">
        <f>IFERROR(VLOOKUP(AD7,'Graph Data'!$A$2:$C$501,3,FALSE),"")</f>
        <v/>
      </c>
      <c r="AE2" s="299" t="str">
        <f>IFERROR(VLOOKUP(AE7,'Graph Data'!$A$2:$C$501,3,FALSE),"")</f>
        <v/>
      </c>
      <c r="AF2" s="299" t="str">
        <f>IFERROR(VLOOKUP(AF7,'Graph Data'!$A$2:$C$501,3,FALSE),"")</f>
        <v/>
      </c>
      <c r="AG2" s="299" t="str">
        <f>IFERROR(VLOOKUP(AG7,'Graph Data'!$A$2:$C$501,3,FALSE),"")</f>
        <v/>
      </c>
      <c r="AH2" s="299" t="str">
        <f>IFERROR(VLOOKUP(AH7,'Graph Data'!$A$2:$C$501,3,FALSE),"")</f>
        <v/>
      </c>
      <c r="AI2" s="299" t="str">
        <f>IFERROR(VLOOKUP(AI7,'Graph Data'!$A$2:$C$501,3,FALSE),"")</f>
        <v/>
      </c>
      <c r="AJ2" s="299" t="str">
        <f>IFERROR(VLOOKUP(AJ7,'Graph Data'!$A$2:$C$501,3,FALSE),"")</f>
        <v/>
      </c>
      <c r="AK2" s="299" t="str">
        <f>IFERROR(VLOOKUP(AK7,'Graph Data'!$A$2:$C$501,3,FALSE),"")</f>
        <v/>
      </c>
      <c r="AL2" s="299" t="str">
        <f>IFERROR(VLOOKUP(AL7,'Graph Data'!$A$2:$C$501,3,FALSE),"")</f>
        <v/>
      </c>
      <c r="AM2" s="299" t="str">
        <f>IFERROR(VLOOKUP(AM7,'Graph Data'!$A$2:$C$501,3,FALSE),"")</f>
        <v/>
      </c>
      <c r="AN2" s="299" t="str">
        <f>IFERROR(VLOOKUP(AN7,'Graph Data'!$A$2:$C$501,3,FALSE),"")</f>
        <v/>
      </c>
      <c r="AO2" s="299" t="str">
        <f>IFERROR(VLOOKUP(AO7,'Graph Data'!$A$2:$C$501,3,FALSE),"")</f>
        <v/>
      </c>
      <c r="AP2" s="299" t="str">
        <f>IFERROR(VLOOKUP(AP7,'Graph Data'!$A$2:$C$501,3,FALSE),"")</f>
        <v/>
      </c>
      <c r="AQ2" s="299" t="str">
        <f>IFERROR(VLOOKUP(AQ7,'Graph Data'!$A$2:$C$501,3,FALSE),"")</f>
        <v/>
      </c>
      <c r="AR2" s="299" t="str">
        <f>IFERROR(VLOOKUP(AR7,'Graph Data'!$A$2:$C$501,3,FALSE),"")</f>
        <v/>
      </c>
      <c r="AS2" s="299" t="str">
        <f>IFERROR(VLOOKUP(AS7,'Graph Data'!$A$2:$C$501,3,FALSE),"")</f>
        <v/>
      </c>
      <c r="AT2" s="299" t="str">
        <f>IFERROR(VLOOKUP(AT7,'Graph Data'!$A$2:$C$501,3,FALSE),"")</f>
        <v/>
      </c>
      <c r="AU2" s="299" t="str">
        <f>IFERROR(VLOOKUP(AU7,'Graph Data'!$A$2:$C$501,3,FALSE),"")</f>
        <v/>
      </c>
      <c r="AV2" s="299" t="str">
        <f>IFERROR(VLOOKUP(AV7,'Graph Data'!$A$2:$C$501,3,FALSE),"")</f>
        <v/>
      </c>
      <c r="AW2" s="299" t="str">
        <f>IFERROR(VLOOKUP(AW7,'Graph Data'!$A$2:$C$501,3,FALSE),"")</f>
        <v/>
      </c>
      <c r="AX2" s="299" t="str">
        <f>IFERROR(VLOOKUP(AX7,'Graph Data'!$A$2:$C$501,3,FALSE),"")</f>
        <v/>
      </c>
      <c r="AY2" s="299" t="str">
        <f>IFERROR(VLOOKUP(AY7,'Graph Data'!$A$2:$C$501,3,FALSE),"")</f>
        <v/>
      </c>
      <c r="AZ2" s="299" t="str">
        <f>IFERROR(VLOOKUP(AZ7,'Graph Data'!$A$2:$C$501,3,FALSE),"")</f>
        <v/>
      </c>
      <c r="BA2" s="299" t="str">
        <f>IFERROR(VLOOKUP(BA7,'Graph Data'!$A$2:$C$501,3,FALSE),"")</f>
        <v/>
      </c>
      <c r="BB2" s="299" t="str">
        <f>IFERROR(VLOOKUP(BB7,'Graph Data'!$A$2:$C$501,3,FALSE),"")</f>
        <v/>
      </c>
      <c r="BC2" s="299" t="str">
        <f>IFERROR(VLOOKUP(BC7,'Graph Data'!$A$2:$C$501,3,FALSE),"")</f>
        <v/>
      </c>
    </row>
    <row r="3" spans="1:55" ht="15" customHeight="1" x14ac:dyDescent="0.25">
      <c r="B3" s="377"/>
      <c r="C3" s="377"/>
      <c r="D3" s="377"/>
      <c r="E3" s="335" t="s">
        <v>921</v>
      </c>
      <c r="F3" s="299" t="str">
        <f>IFERROR(VLOOKUP(F7,'Graph Data'!$A$2:$D$501,4,FALSE),"")</f>
        <v/>
      </c>
      <c r="G3" s="299" t="str">
        <f>IFERROR(VLOOKUP(G7,'Graph Data'!$A$2:$D$501,4,FALSE),"")</f>
        <v/>
      </c>
      <c r="H3" s="299" t="str">
        <f>IFERROR(VLOOKUP(H7,'Graph Data'!$A$2:$D$501,4,FALSE),"")</f>
        <v/>
      </c>
      <c r="I3" s="299" t="str">
        <f>IFERROR(VLOOKUP(I7,'Graph Data'!$A$2:$D$501,4,FALSE),"")</f>
        <v/>
      </c>
      <c r="J3" s="299" t="str">
        <f>IFERROR(VLOOKUP(J7,'Graph Data'!$A$2:$D$501,4,FALSE),"")</f>
        <v/>
      </c>
      <c r="K3" s="299" t="str">
        <f>IFERROR(VLOOKUP(K7,'Graph Data'!$A$2:$D$501,4,FALSE),"")</f>
        <v/>
      </c>
      <c r="L3" s="299" t="str">
        <f>IFERROR(VLOOKUP(L7,'Graph Data'!$A$2:$D$501,4,FALSE),"")</f>
        <v/>
      </c>
      <c r="M3" s="299" t="str">
        <f>IFERROR(VLOOKUP(M7,'Graph Data'!$A$2:$D$501,4,FALSE),"")</f>
        <v/>
      </c>
      <c r="N3" s="299" t="str">
        <f>IFERROR(VLOOKUP(N7,'Graph Data'!$A$2:$D$501,4,FALSE),"")</f>
        <v/>
      </c>
      <c r="O3" s="299" t="str">
        <f>IFERROR(VLOOKUP(O7,'Graph Data'!$A$2:$D$501,4,FALSE),"")</f>
        <v/>
      </c>
      <c r="P3" s="299" t="str">
        <f>IFERROR(VLOOKUP(P7,'Graph Data'!$A$2:$D$501,4,FALSE),"")</f>
        <v/>
      </c>
      <c r="Q3" s="299" t="str">
        <f>IFERROR(VLOOKUP(Q7,'Graph Data'!$A$2:$D$501,4,FALSE),"")</f>
        <v/>
      </c>
      <c r="R3" s="299" t="str">
        <f>IFERROR(VLOOKUP(R7,'Graph Data'!$A$2:$D$501,4,FALSE),"")</f>
        <v/>
      </c>
      <c r="S3" s="299" t="str">
        <f>IFERROR(VLOOKUP(S7,'Graph Data'!$A$2:$D$501,4,FALSE),"")</f>
        <v/>
      </c>
      <c r="T3" s="299" t="str">
        <f>IFERROR(VLOOKUP(T7,'Graph Data'!$A$2:$D$501,4,FALSE),"")</f>
        <v/>
      </c>
      <c r="U3" s="299" t="str">
        <f>IFERROR(VLOOKUP(U7,'Graph Data'!$A$2:$D$501,4,FALSE),"")</f>
        <v/>
      </c>
      <c r="V3" s="299" t="str">
        <f>IFERROR(VLOOKUP(V7,'Graph Data'!$A$2:$D$501,4,FALSE),"")</f>
        <v/>
      </c>
      <c r="W3" s="299" t="str">
        <f>IFERROR(VLOOKUP(W7,'Graph Data'!$A$2:$D$501,4,FALSE),"")</f>
        <v/>
      </c>
      <c r="X3" s="299" t="str">
        <f>IFERROR(VLOOKUP(X7,'Graph Data'!$A$2:$D$501,4,FALSE),"")</f>
        <v/>
      </c>
      <c r="Y3" s="299" t="str">
        <f>IFERROR(VLOOKUP(Y7,'Graph Data'!$A$2:$D$501,4,FALSE),"")</f>
        <v/>
      </c>
      <c r="Z3" s="299" t="str">
        <f>IFERROR(VLOOKUP(Z7,'Graph Data'!$A$2:$D$501,4,FALSE),"")</f>
        <v/>
      </c>
      <c r="AA3" s="299" t="str">
        <f>IFERROR(VLOOKUP(AA7,'Graph Data'!$A$2:$D$501,4,FALSE),"")</f>
        <v/>
      </c>
      <c r="AB3" s="299" t="str">
        <f>IFERROR(VLOOKUP(AB7,'Graph Data'!$A$2:$D$501,4,FALSE),"")</f>
        <v/>
      </c>
      <c r="AC3" s="299" t="str">
        <f>IFERROR(VLOOKUP(AC7,'Graph Data'!$A$2:$D$501,4,FALSE),"")</f>
        <v/>
      </c>
      <c r="AD3" s="299" t="str">
        <f>IFERROR(VLOOKUP(AD7,'Graph Data'!$A$2:$D$501,4,FALSE),"")</f>
        <v/>
      </c>
      <c r="AE3" s="299" t="str">
        <f>IFERROR(VLOOKUP(AE7,'Graph Data'!$A$2:$D$501,4,FALSE),"")</f>
        <v/>
      </c>
      <c r="AF3" s="299" t="str">
        <f>IFERROR(VLOOKUP(AF7,'Graph Data'!$A$2:$D$501,4,FALSE),"")</f>
        <v/>
      </c>
      <c r="AG3" s="299" t="str">
        <f>IFERROR(VLOOKUP(AG7,'Graph Data'!$A$2:$D$501,4,FALSE),"")</f>
        <v/>
      </c>
      <c r="AH3" s="299" t="str">
        <f>IFERROR(VLOOKUP(AH7,'Graph Data'!$A$2:$D$501,4,FALSE),"")</f>
        <v/>
      </c>
      <c r="AI3" s="299" t="str">
        <f>IFERROR(VLOOKUP(AI7,'Graph Data'!$A$2:$D$501,4,FALSE),"")</f>
        <v/>
      </c>
      <c r="AJ3" s="299" t="str">
        <f>IFERROR(VLOOKUP(AJ7,'Graph Data'!$A$2:$D$501,4,FALSE),"")</f>
        <v/>
      </c>
      <c r="AK3" s="299" t="str">
        <f>IFERROR(VLOOKUP(AK7,'Graph Data'!$A$2:$D$501,4,FALSE),"")</f>
        <v/>
      </c>
      <c r="AL3" s="299" t="str">
        <f>IFERROR(VLOOKUP(AL7,'Graph Data'!$A$2:$D$501,4,FALSE),"")</f>
        <v/>
      </c>
      <c r="AM3" s="299" t="str">
        <f>IFERROR(VLOOKUP(AM7,'Graph Data'!$A$2:$D$501,4,FALSE),"")</f>
        <v/>
      </c>
      <c r="AN3" s="299" t="str">
        <f>IFERROR(VLOOKUP(AN7,'Graph Data'!$A$2:$D$501,4,FALSE),"")</f>
        <v/>
      </c>
      <c r="AO3" s="299" t="str">
        <f>IFERROR(VLOOKUP(AO7,'Graph Data'!$A$2:$D$501,4,FALSE),"")</f>
        <v/>
      </c>
      <c r="AP3" s="299" t="str">
        <f>IFERROR(VLOOKUP(AP7,'Graph Data'!$A$2:$D$501,4,FALSE),"")</f>
        <v/>
      </c>
      <c r="AQ3" s="299" t="str">
        <f>IFERROR(VLOOKUP(AQ7,'Graph Data'!$A$2:$D$501,4,FALSE),"")</f>
        <v/>
      </c>
      <c r="AR3" s="299" t="str">
        <f>IFERROR(VLOOKUP(AR7,'Graph Data'!$A$2:$D$501,4,FALSE),"")</f>
        <v/>
      </c>
      <c r="AS3" s="299" t="str">
        <f>IFERROR(VLOOKUP(AS7,'Graph Data'!$A$2:$D$501,4,FALSE),"")</f>
        <v/>
      </c>
      <c r="AT3" s="299" t="str">
        <f>IFERROR(VLOOKUP(AT7,'Graph Data'!$A$2:$D$501,4,FALSE),"")</f>
        <v/>
      </c>
      <c r="AU3" s="299" t="str">
        <f>IFERROR(VLOOKUP(AU7,'Graph Data'!$A$2:$D$501,4,FALSE),"")</f>
        <v/>
      </c>
      <c r="AV3" s="299" t="str">
        <f>IFERROR(VLOOKUP(AV7,'Graph Data'!$A$2:$D$501,4,FALSE),"")</f>
        <v/>
      </c>
      <c r="AW3" s="299" t="str">
        <f>IFERROR(VLOOKUP(AW7,'Graph Data'!$A$2:$D$501,4,FALSE),"")</f>
        <v/>
      </c>
      <c r="AX3" s="299" t="str">
        <f>IFERROR(VLOOKUP(AX7,'Graph Data'!$A$2:$D$501,4,FALSE),"")</f>
        <v/>
      </c>
      <c r="AY3" s="299" t="str">
        <f>IFERROR(VLOOKUP(AY7,'Graph Data'!$A$2:$D$501,4,FALSE),"")</f>
        <v/>
      </c>
      <c r="AZ3" s="299" t="str">
        <f>IFERROR(VLOOKUP(AZ7,'Graph Data'!$A$2:$D$501,4,FALSE),"")</f>
        <v/>
      </c>
      <c r="BA3" s="299" t="str">
        <f>IFERROR(VLOOKUP(BA7,'Graph Data'!$A$2:$D$501,4,FALSE),"")</f>
        <v/>
      </c>
      <c r="BB3" s="299" t="str">
        <f>IFERROR(VLOOKUP(BB7,'Graph Data'!$A$2:$D$501,4,FALSE),"")</f>
        <v/>
      </c>
      <c r="BC3" s="299" t="str">
        <f>IFERROR(VLOOKUP(BC7,'Graph Data'!$A$2:$D$501,4,FALSE),"")</f>
        <v/>
      </c>
    </row>
    <row r="4" spans="1:55" x14ac:dyDescent="0.25">
      <c r="B4" s="377"/>
      <c r="C4" s="377"/>
      <c r="D4" s="377"/>
      <c r="E4" s="335" t="s">
        <v>341</v>
      </c>
      <c r="F4" s="299" t="str">
        <f>IFERROR(VLOOKUP(F7,'Graph Data'!$A$2:$C$501,2,FALSE),"")</f>
        <v/>
      </c>
      <c r="G4" s="299" t="str">
        <f>IFERROR(VLOOKUP(G7,'Graph Data'!$A$2:$C$501,2,FALSE),"")</f>
        <v/>
      </c>
      <c r="H4" s="299" t="str">
        <f>IFERROR(VLOOKUP(H7,'Graph Data'!$A$2:$C$501,2,FALSE),"")</f>
        <v/>
      </c>
      <c r="I4" s="299" t="str">
        <f>IFERROR(VLOOKUP(I7,'Graph Data'!$A$2:$C$501,2,FALSE),"")</f>
        <v/>
      </c>
      <c r="J4" s="299" t="str">
        <f>IFERROR(VLOOKUP(J7,'Graph Data'!$A$2:$C$501,2,FALSE),"")</f>
        <v/>
      </c>
      <c r="K4" s="299" t="str">
        <f>IFERROR(VLOOKUP(K7,'Graph Data'!$A$2:$C$501,2,FALSE),"")</f>
        <v/>
      </c>
      <c r="L4" s="299" t="str">
        <f>IFERROR(VLOOKUP(L7,'Graph Data'!$A$2:$C$501,2,FALSE),"")</f>
        <v/>
      </c>
      <c r="M4" s="299" t="str">
        <f>IFERROR(VLOOKUP(M7,'Graph Data'!$A$2:$C$501,2,FALSE),"")</f>
        <v/>
      </c>
      <c r="N4" s="299" t="str">
        <f>IFERROR(VLOOKUP(N7,'Graph Data'!$A$2:$C$501,2,FALSE),"")</f>
        <v/>
      </c>
      <c r="O4" s="299" t="str">
        <f>IFERROR(VLOOKUP(O7,'Graph Data'!$A$2:$C$501,2,FALSE),"")</f>
        <v/>
      </c>
      <c r="P4" s="299" t="str">
        <f>IFERROR(VLOOKUP(P7,'Graph Data'!$A$2:$C$501,2,FALSE),"")</f>
        <v/>
      </c>
      <c r="Q4" s="299" t="str">
        <f>IFERROR(VLOOKUP(Q7,'Graph Data'!$A$2:$C$501,2,FALSE),"")</f>
        <v/>
      </c>
      <c r="R4" s="299" t="str">
        <f>IFERROR(VLOOKUP(R7,'Graph Data'!$A$2:$C$501,2,FALSE),"")</f>
        <v/>
      </c>
      <c r="S4" s="299" t="str">
        <f>IFERROR(VLOOKUP(S7,'Graph Data'!$A$2:$C$501,2,FALSE),"")</f>
        <v/>
      </c>
      <c r="T4" s="299" t="str">
        <f>IFERROR(VLOOKUP(T7,'Graph Data'!$A$2:$C$501,2,FALSE),"")</f>
        <v/>
      </c>
      <c r="U4" s="299" t="str">
        <f>IFERROR(VLOOKUP(U7,'Graph Data'!$A$2:$C$501,2,FALSE),"")</f>
        <v/>
      </c>
      <c r="V4" s="299" t="str">
        <f>IFERROR(VLOOKUP(V7,'Graph Data'!$A$2:$C$501,2,FALSE),"")</f>
        <v/>
      </c>
      <c r="W4" s="299" t="str">
        <f>IFERROR(VLOOKUP(W7,'Graph Data'!$A$2:$C$501,2,FALSE),"")</f>
        <v/>
      </c>
      <c r="X4" s="299" t="str">
        <f>IFERROR(VLOOKUP(X7,'Graph Data'!$A$2:$C$501,2,FALSE),"")</f>
        <v/>
      </c>
      <c r="Y4" s="299" t="str">
        <f>IFERROR(VLOOKUP(Y7,'Graph Data'!$A$2:$C$501,2,FALSE),"")</f>
        <v/>
      </c>
      <c r="Z4" s="299" t="str">
        <f>IFERROR(VLOOKUP(Z7,'Graph Data'!$A$2:$C$501,2,FALSE),"")</f>
        <v/>
      </c>
      <c r="AA4" s="299" t="str">
        <f>IFERROR(VLOOKUP(AA7,'Graph Data'!$A$2:$C$501,2,FALSE),"")</f>
        <v/>
      </c>
      <c r="AB4" s="299" t="str">
        <f>IFERROR(VLOOKUP(AB7,'Graph Data'!$A$2:$C$501,2,FALSE),"")</f>
        <v/>
      </c>
      <c r="AC4" s="299" t="str">
        <f>IFERROR(VLOOKUP(AC7,'Graph Data'!$A$2:$C$501,2,FALSE),"")</f>
        <v/>
      </c>
      <c r="AD4" s="299" t="str">
        <f>IFERROR(VLOOKUP(AD7,'Graph Data'!$A$2:$C$501,2,FALSE),"")</f>
        <v/>
      </c>
      <c r="AE4" s="299" t="str">
        <f>IFERROR(VLOOKUP(AE7,'Graph Data'!$A$2:$C$501,2,FALSE),"")</f>
        <v/>
      </c>
      <c r="AF4" s="299" t="str">
        <f>IFERROR(VLOOKUP(AF7,'Graph Data'!$A$2:$C$501,2,FALSE),"")</f>
        <v/>
      </c>
      <c r="AG4" s="299" t="str">
        <f>IFERROR(VLOOKUP(AG7,'Graph Data'!$A$2:$C$501,2,FALSE),"")</f>
        <v/>
      </c>
      <c r="AH4" s="299" t="str">
        <f>IFERROR(VLOOKUP(AH7,'Graph Data'!$A$2:$C$501,2,FALSE),"")</f>
        <v/>
      </c>
      <c r="AI4" s="299" t="str">
        <f>IFERROR(VLOOKUP(AI7,'Graph Data'!$A$2:$C$501,2,FALSE),"")</f>
        <v/>
      </c>
      <c r="AJ4" s="299" t="str">
        <f>IFERROR(VLOOKUP(AJ7,'Graph Data'!$A$2:$C$501,2,FALSE),"")</f>
        <v/>
      </c>
      <c r="AK4" s="299" t="str">
        <f>IFERROR(VLOOKUP(AK7,'Graph Data'!$A$2:$C$501,2,FALSE),"")</f>
        <v/>
      </c>
      <c r="AL4" s="299" t="str">
        <f>IFERROR(VLOOKUP(AL7,'Graph Data'!$A$2:$C$501,2,FALSE),"")</f>
        <v/>
      </c>
      <c r="AM4" s="299" t="str">
        <f>IFERROR(VLOOKUP(AM7,'Graph Data'!$A$2:$C$501,2,FALSE),"")</f>
        <v/>
      </c>
      <c r="AN4" s="299" t="str">
        <f>IFERROR(VLOOKUP(AN7,'Graph Data'!$A$2:$C$501,2,FALSE),"")</f>
        <v/>
      </c>
      <c r="AO4" s="299" t="str">
        <f>IFERROR(VLOOKUP(AO7,'Graph Data'!$A$2:$C$501,2,FALSE),"")</f>
        <v/>
      </c>
      <c r="AP4" s="299" t="str">
        <f>IFERROR(VLOOKUP(AP7,'Graph Data'!$A$2:$C$501,2,FALSE),"")</f>
        <v/>
      </c>
      <c r="AQ4" s="299" t="str">
        <f>IFERROR(VLOOKUP(AQ7,'Graph Data'!$A$2:$C$501,2,FALSE),"")</f>
        <v/>
      </c>
      <c r="AR4" s="299" t="str">
        <f>IFERROR(VLOOKUP(AR7,'Graph Data'!$A$2:$C$501,2,FALSE),"")</f>
        <v/>
      </c>
      <c r="AS4" s="299" t="str">
        <f>IFERROR(VLOOKUP(AS7,'Graph Data'!$A$2:$C$501,2,FALSE),"")</f>
        <v/>
      </c>
      <c r="AT4" s="299" t="str">
        <f>IFERROR(VLOOKUP(AT7,'Graph Data'!$A$2:$C$501,2,FALSE),"")</f>
        <v/>
      </c>
      <c r="AU4" s="299" t="str">
        <f>IFERROR(VLOOKUP(AU7,'Graph Data'!$A$2:$C$501,2,FALSE),"")</f>
        <v/>
      </c>
      <c r="AV4" s="299" t="str">
        <f>IFERROR(VLOOKUP(AV7,'Graph Data'!$A$2:$C$501,2,FALSE),"")</f>
        <v/>
      </c>
      <c r="AW4" s="299" t="str">
        <f>IFERROR(VLOOKUP(AW7,'Graph Data'!$A$2:$C$501,2,FALSE),"")</f>
        <v/>
      </c>
      <c r="AX4" s="299" t="str">
        <f>IFERROR(VLOOKUP(AX7,'Graph Data'!$A$2:$C$501,2,FALSE),"")</f>
        <v/>
      </c>
      <c r="AY4" s="299" t="str">
        <f>IFERROR(VLOOKUP(AY7,'Graph Data'!$A$2:$C$501,2,FALSE),"")</f>
        <v/>
      </c>
      <c r="AZ4" s="299" t="str">
        <f>IFERROR(VLOOKUP(AZ7,'Graph Data'!$A$2:$C$501,2,FALSE),"")</f>
        <v/>
      </c>
      <c r="BA4" s="299" t="str">
        <f>IFERROR(VLOOKUP(BA7,'Graph Data'!$A$2:$C$501,2,FALSE),"")</f>
        <v/>
      </c>
      <c r="BB4" s="299" t="str">
        <f>IFERROR(VLOOKUP(BB7,'Graph Data'!$A$2:$C$501,2,FALSE),"")</f>
        <v/>
      </c>
      <c r="BC4" s="299" t="str">
        <f>IFERROR(VLOOKUP(BC7,'Graph Data'!$A$2:$C$501,2,FALSE),"")</f>
        <v/>
      </c>
    </row>
    <row r="5" spans="1:55" s="93" customFormat="1" ht="15" customHeight="1" x14ac:dyDescent="0.25">
      <c r="B5" s="376" t="str">
        <f>IF('Summary Sheet'!E25="Yes","OPEN GMP:",IF('Summary Sheet'!E25="No","FINAL GMP:","GMP"))</f>
        <v>OPEN GMP:</v>
      </c>
      <c r="C5" s="324"/>
      <c r="D5" s="324"/>
      <c r="E5" s="336" t="s">
        <v>442</v>
      </c>
      <c r="F5" s="300" t="str">
        <f>IFERROR(VLOOKUP(F7,'Graph Data'!$A$2:$E$501,5,FALSE),"")</f>
        <v/>
      </c>
      <c r="G5" s="300" t="str">
        <f>IFERROR(VLOOKUP(G7,'Graph Data'!$A$2:$E$501,5,FALSE),"")</f>
        <v/>
      </c>
      <c r="H5" s="300" t="str">
        <f>IFERROR(VLOOKUP(H7,'Graph Data'!$A$2:$E$501,5,FALSE),"")</f>
        <v/>
      </c>
      <c r="I5" s="300" t="str">
        <f>IFERROR(VLOOKUP(I7,'Graph Data'!$A$2:$E$501,5,FALSE),"")</f>
        <v/>
      </c>
      <c r="J5" s="300" t="str">
        <f>IFERROR(VLOOKUP(J7,'Graph Data'!$A$2:$E$501,5,FALSE),"")</f>
        <v/>
      </c>
      <c r="K5" s="300" t="str">
        <f>IFERROR(VLOOKUP(K7,'Graph Data'!$A$2:$E$501,5,FALSE),"")</f>
        <v/>
      </c>
      <c r="L5" s="300" t="str">
        <f>IFERROR(VLOOKUP(L7,'Graph Data'!$A$2:$E$501,5,FALSE),"")</f>
        <v/>
      </c>
      <c r="M5" s="300" t="str">
        <f>IFERROR(VLOOKUP(M7,'Graph Data'!$A$2:$E$501,5,FALSE),"")</f>
        <v/>
      </c>
      <c r="N5" s="300" t="str">
        <f>IFERROR(VLOOKUP(N7,'Graph Data'!$A$2:$E$501,5,FALSE),"")</f>
        <v/>
      </c>
      <c r="O5" s="300" t="str">
        <f>IFERROR(VLOOKUP(O7,'Graph Data'!$A$2:$E$501,5,FALSE),"")</f>
        <v/>
      </c>
      <c r="P5" s="300" t="str">
        <f>IFERROR(VLOOKUP(P7,'Graph Data'!$A$2:$E$501,5,FALSE),"")</f>
        <v/>
      </c>
      <c r="Q5" s="300" t="str">
        <f>IFERROR(VLOOKUP(Q7,'Graph Data'!$A$2:$E$501,5,FALSE),"")</f>
        <v/>
      </c>
      <c r="R5" s="300" t="str">
        <f>IFERROR(VLOOKUP(R7,'Graph Data'!$A$2:$E$501,5,FALSE),"")</f>
        <v/>
      </c>
      <c r="S5" s="300" t="str">
        <f>IFERROR(VLOOKUP(S7,'Graph Data'!$A$2:$E$501,5,FALSE),"")</f>
        <v/>
      </c>
      <c r="T5" s="300" t="str">
        <f>IFERROR(VLOOKUP(T7,'Graph Data'!$A$2:$E$501,5,FALSE),"")</f>
        <v/>
      </c>
      <c r="U5" s="300" t="str">
        <f>IFERROR(VLOOKUP(U7,'Graph Data'!$A$2:$E$501,5,FALSE),"")</f>
        <v/>
      </c>
      <c r="V5" s="300" t="str">
        <f>IFERROR(VLOOKUP(V7,'Graph Data'!$A$2:$E$501,5,FALSE),"")</f>
        <v/>
      </c>
      <c r="W5" s="300" t="str">
        <f>IFERROR(VLOOKUP(W7,'Graph Data'!$A$2:$E$501,5,FALSE),"")</f>
        <v/>
      </c>
      <c r="X5" s="300" t="str">
        <f>IFERROR(VLOOKUP(X7,'Graph Data'!$A$2:$E$501,5,FALSE),"")</f>
        <v/>
      </c>
      <c r="Y5" s="300" t="str">
        <f>IFERROR(VLOOKUP(Y7,'Graph Data'!$A$2:$E$501,5,FALSE),"")</f>
        <v/>
      </c>
      <c r="Z5" s="300" t="str">
        <f>IFERROR(VLOOKUP(Z7,'Graph Data'!$A$2:$E$501,5,FALSE),"")</f>
        <v/>
      </c>
      <c r="AA5" s="300" t="str">
        <f>IFERROR(VLOOKUP(AA7,'Graph Data'!$A$2:$E$501,5,FALSE),"")</f>
        <v/>
      </c>
      <c r="AB5" s="300" t="str">
        <f>IFERROR(VLOOKUP(AB7,'Graph Data'!$A$2:$E$501,5,FALSE),"")</f>
        <v/>
      </c>
      <c r="AC5" s="300" t="str">
        <f>IFERROR(VLOOKUP(AC7,'Graph Data'!$A$2:$E$501,5,FALSE),"")</f>
        <v/>
      </c>
      <c r="AD5" s="300" t="str">
        <f>IFERROR(VLOOKUP(AD7,'Graph Data'!$A$2:$E$501,5,FALSE),"")</f>
        <v/>
      </c>
      <c r="AE5" s="300" t="str">
        <f>IFERROR(VLOOKUP(AE7,'Graph Data'!$A$2:$E$501,5,FALSE),"")</f>
        <v/>
      </c>
      <c r="AF5" s="300" t="str">
        <f>IFERROR(VLOOKUP(AF7,'Graph Data'!$A$2:$E$501,5,FALSE),"")</f>
        <v/>
      </c>
      <c r="AG5" s="300" t="str">
        <f>IFERROR(VLOOKUP(AG7,'Graph Data'!$A$2:$E$501,5,FALSE),"")</f>
        <v/>
      </c>
      <c r="AH5" s="300" t="str">
        <f>IFERROR(VLOOKUP(AH7,'Graph Data'!$A$2:$E$501,5,FALSE),"")</f>
        <v/>
      </c>
      <c r="AI5" s="300" t="str">
        <f>IFERROR(VLOOKUP(AI7,'Graph Data'!$A$2:$E$501,5,FALSE),"")</f>
        <v/>
      </c>
      <c r="AJ5" s="300" t="str">
        <f>IFERROR(VLOOKUP(AJ7,'Graph Data'!$A$2:$E$501,5,FALSE),"")</f>
        <v/>
      </c>
      <c r="AK5" s="300" t="str">
        <f>IFERROR(VLOOKUP(AK7,'Graph Data'!$A$2:$E$501,5,FALSE),"")</f>
        <v/>
      </c>
      <c r="AL5" s="300" t="str">
        <f>IFERROR(VLOOKUP(AL7,'Graph Data'!$A$2:$E$501,5,FALSE),"")</f>
        <v/>
      </c>
      <c r="AM5" s="300" t="str">
        <f>IFERROR(VLOOKUP(AM7,'Graph Data'!$A$2:$E$501,5,FALSE),"")</f>
        <v/>
      </c>
      <c r="AN5" s="300" t="str">
        <f>IFERROR(VLOOKUP(AN7,'Graph Data'!$A$2:$E$501,5,FALSE),"")</f>
        <v/>
      </c>
      <c r="AO5" s="300" t="str">
        <f>IFERROR(VLOOKUP(AO7,'Graph Data'!$A$2:$E$501,5,FALSE),"")</f>
        <v/>
      </c>
      <c r="AP5" s="300" t="str">
        <f>IFERROR(VLOOKUP(AP7,'Graph Data'!$A$2:$E$501,5,FALSE),"")</f>
        <v/>
      </c>
      <c r="AQ5" s="300" t="str">
        <f>IFERROR(VLOOKUP(AQ7,'Graph Data'!$A$2:$E$501,5,FALSE),"")</f>
        <v/>
      </c>
      <c r="AR5" s="300" t="str">
        <f>IFERROR(VLOOKUP(AR7,'Graph Data'!$A$2:$E$501,5,FALSE),"")</f>
        <v/>
      </c>
      <c r="AS5" s="300" t="str">
        <f>IFERROR(VLOOKUP(AS7,'Graph Data'!$A$2:$E$501,5,FALSE),"")</f>
        <v/>
      </c>
      <c r="AT5" s="300" t="str">
        <f>IFERROR(VLOOKUP(AT7,'Graph Data'!$A$2:$E$501,5,FALSE),"")</f>
        <v/>
      </c>
      <c r="AU5" s="300" t="str">
        <f>IFERROR(VLOOKUP(AU7,'Graph Data'!$A$2:$E$501,5,FALSE),"")</f>
        <v/>
      </c>
      <c r="AV5" s="300" t="str">
        <f>IFERROR(VLOOKUP(AV7,'Graph Data'!$A$2:$E$501,5,FALSE),"")</f>
        <v/>
      </c>
      <c r="AW5" s="300" t="str">
        <f>IFERROR(VLOOKUP(AW7,'Graph Data'!$A$2:$E$501,5,FALSE),"")</f>
        <v/>
      </c>
      <c r="AX5" s="300" t="str">
        <f>IFERROR(VLOOKUP(AX7,'Graph Data'!$A$2:$E$501,5,FALSE),"")</f>
        <v/>
      </c>
      <c r="AY5" s="300" t="str">
        <f>IFERROR(VLOOKUP(AY7,'Graph Data'!$A$2:$E$501,5,FALSE),"")</f>
        <v/>
      </c>
      <c r="AZ5" s="300" t="str">
        <f>IFERROR(VLOOKUP(AZ7,'Graph Data'!$A$2:$E$501,5,FALSE),"")</f>
        <v/>
      </c>
      <c r="BA5" s="300" t="str">
        <f>IFERROR(VLOOKUP(BA7,'Graph Data'!$A$2:$E$501,5,FALSE),"")</f>
        <v/>
      </c>
      <c r="BB5" s="300" t="str">
        <f>IFERROR(VLOOKUP(BB7,'Graph Data'!$A$2:$E$501,5,FALSE),"")</f>
        <v/>
      </c>
      <c r="BC5" s="300" t="str">
        <f>IFERROR(VLOOKUP(BC7,'Graph Data'!$A$2:$E$501,5,FALSE),"")</f>
        <v/>
      </c>
    </row>
    <row r="6" spans="1:55" ht="15" customHeight="1" x14ac:dyDescent="0.25">
      <c r="B6" s="376"/>
      <c r="C6" s="322">
        <f>D95</f>
        <v>0</v>
      </c>
      <c r="D6" s="325">
        <f>IFERROR(C6/'Summary Sheet'!D19,0)</f>
        <v>0</v>
      </c>
      <c r="E6" s="335" t="s">
        <v>915</v>
      </c>
      <c r="F6" s="263">
        <f>SUM(F8:F94)</f>
        <v>0</v>
      </c>
      <c r="G6" s="263">
        <f t="shared" ref="G6:BB6" si="0">SUM(G8:G94)</f>
        <v>0</v>
      </c>
      <c r="H6" s="263">
        <f t="shared" si="0"/>
        <v>0</v>
      </c>
      <c r="I6" s="263">
        <f t="shared" si="0"/>
        <v>0</v>
      </c>
      <c r="J6" s="264">
        <f t="shared" si="0"/>
        <v>0</v>
      </c>
      <c r="K6" s="264">
        <f t="shared" si="0"/>
        <v>0</v>
      </c>
      <c r="L6" s="264">
        <f t="shared" si="0"/>
        <v>0</v>
      </c>
      <c r="M6" s="264">
        <f t="shared" si="0"/>
        <v>0</v>
      </c>
      <c r="N6" s="264">
        <f t="shared" si="0"/>
        <v>0</v>
      </c>
      <c r="O6" s="264">
        <f t="shared" si="0"/>
        <v>0</v>
      </c>
      <c r="P6" s="264">
        <f t="shared" si="0"/>
        <v>0</v>
      </c>
      <c r="Q6" s="264">
        <f t="shared" si="0"/>
        <v>0</v>
      </c>
      <c r="R6" s="264">
        <f t="shared" si="0"/>
        <v>0</v>
      </c>
      <c r="S6" s="264">
        <f t="shared" si="0"/>
        <v>0</v>
      </c>
      <c r="T6" s="264">
        <f t="shared" si="0"/>
        <v>0</v>
      </c>
      <c r="U6" s="264">
        <f t="shared" si="0"/>
        <v>0</v>
      </c>
      <c r="V6" s="264">
        <f t="shared" si="0"/>
        <v>0</v>
      </c>
      <c r="W6" s="264">
        <f t="shared" si="0"/>
        <v>0</v>
      </c>
      <c r="X6" s="264">
        <f t="shared" si="0"/>
        <v>0</v>
      </c>
      <c r="Y6" s="264">
        <f t="shared" si="0"/>
        <v>0</v>
      </c>
      <c r="Z6" s="264">
        <f t="shared" si="0"/>
        <v>0</v>
      </c>
      <c r="AA6" s="264">
        <f t="shared" si="0"/>
        <v>0</v>
      </c>
      <c r="AB6" s="264">
        <f t="shared" si="0"/>
        <v>0</v>
      </c>
      <c r="AC6" s="264">
        <f t="shared" si="0"/>
        <v>0</v>
      </c>
      <c r="AD6" s="264">
        <f t="shared" si="0"/>
        <v>0</v>
      </c>
      <c r="AE6" s="264">
        <f t="shared" si="0"/>
        <v>0</v>
      </c>
      <c r="AF6" s="264">
        <f t="shared" si="0"/>
        <v>0</v>
      </c>
      <c r="AG6" s="264">
        <f t="shared" si="0"/>
        <v>0</v>
      </c>
      <c r="AH6" s="264">
        <f t="shared" si="0"/>
        <v>0</v>
      </c>
      <c r="AI6" s="264">
        <f t="shared" si="0"/>
        <v>0</v>
      </c>
      <c r="AJ6" s="264">
        <f t="shared" si="0"/>
        <v>0</v>
      </c>
      <c r="AK6" s="264">
        <f t="shared" si="0"/>
        <v>0</v>
      </c>
      <c r="AL6" s="264">
        <f t="shared" si="0"/>
        <v>0</v>
      </c>
      <c r="AM6" s="264">
        <f t="shared" si="0"/>
        <v>0</v>
      </c>
      <c r="AN6" s="264">
        <f t="shared" si="0"/>
        <v>0</v>
      </c>
      <c r="AO6" s="264">
        <f t="shared" si="0"/>
        <v>0</v>
      </c>
      <c r="AP6" s="264">
        <f t="shared" si="0"/>
        <v>0</v>
      </c>
      <c r="AQ6" s="264">
        <f t="shared" si="0"/>
        <v>0</v>
      </c>
      <c r="AR6" s="264">
        <f t="shared" si="0"/>
        <v>0</v>
      </c>
      <c r="AS6" s="264">
        <f t="shared" si="0"/>
        <v>0</v>
      </c>
      <c r="AT6" s="264">
        <f t="shared" si="0"/>
        <v>0</v>
      </c>
      <c r="AU6" s="264">
        <f t="shared" si="0"/>
        <v>0</v>
      </c>
      <c r="AV6" s="264">
        <f t="shared" si="0"/>
        <v>0</v>
      </c>
      <c r="AW6" s="264">
        <f t="shared" si="0"/>
        <v>0</v>
      </c>
      <c r="AX6" s="264">
        <f t="shared" si="0"/>
        <v>0</v>
      </c>
      <c r="AY6" s="264">
        <f t="shared" si="0"/>
        <v>0</v>
      </c>
      <c r="AZ6" s="264">
        <f t="shared" si="0"/>
        <v>0</v>
      </c>
      <c r="BA6" s="264">
        <f t="shared" si="0"/>
        <v>0</v>
      </c>
      <c r="BB6" s="264">
        <f t="shared" si="0"/>
        <v>0</v>
      </c>
      <c r="BC6" s="264">
        <f>SUM(BC8:BC94)</f>
        <v>0</v>
      </c>
    </row>
    <row r="7" spans="1:55" s="334" customFormat="1" x14ac:dyDescent="0.25">
      <c r="B7" s="337" t="s">
        <v>273</v>
      </c>
      <c r="C7" s="338" t="s">
        <v>188</v>
      </c>
      <c r="D7" s="339" t="s">
        <v>104</v>
      </c>
      <c r="E7" s="339" t="s">
        <v>916</v>
      </c>
      <c r="F7" s="339" t="str" cm="1">
        <f t="array" ref="F7">IFERROR(INDEX('Graph Data'!$A$2:$A$501,SMALL(IF(('Graph Data'!$C$2:$C$501="BID PACKAGE")*('Graph Data'!$B$2:$B$501="Approved"),ROW('Graph Data'!$A$2:$A$501)),ROW(1:1))-1,1),"")</f>
        <v/>
      </c>
      <c r="G7" s="339" t="str" cm="1">
        <f t="array" ref="G7">IFERROR(INDEX('Graph Data'!$A$2:$A$501,SMALL(IF(('Graph Data'!$C$2:$C$501="BID PACKAGE")*('Graph Data'!$B$2:$B$501="Approved"),ROW('Graph Data'!$A$2:$A$501)),ROW(2:2))-1,1),"")</f>
        <v/>
      </c>
      <c r="H7" s="339" t="str" cm="1">
        <f t="array" ref="H7">IFERROR(INDEX('Graph Data'!$A$2:$A$501,SMALL(IF(('Graph Data'!$C$2:$C$501="BID PACKAGE")*('Graph Data'!$B$2:$B$501="Approved"),ROW('Graph Data'!$A$2:$A$501)),ROW(3:3))-1,1),"")</f>
        <v/>
      </c>
      <c r="I7" s="339" t="str" cm="1">
        <f t="array" ref="I7">IFERROR(INDEX('Graph Data'!$A$2:$A$501,SMALL(IF(('Graph Data'!$C$2:$C$501="BID PACKAGE")*('Graph Data'!$B$2:$B$501="Approved"),ROW('Graph Data'!$A$2:$A$501)),ROW(4:4))-1,1),"")</f>
        <v/>
      </c>
      <c r="J7" s="339" t="str" cm="1">
        <f t="array" ref="J7">IFERROR(INDEX('Graph Data'!$A$2:$A$501,SMALL(IF(('Graph Data'!$C$2:$C$501="BID PACKAGE")*('Graph Data'!$B$2:$B$501="Approved"),ROW('Graph Data'!$A$2:$A$501)),ROW(5:5))-1,1),"")</f>
        <v/>
      </c>
      <c r="K7" s="339" t="str" cm="1">
        <f t="array" ref="K7">IFERROR(INDEX('Graph Data'!$A$2:$A$501,SMALL(IF(('Graph Data'!$C$2:$C$501="BID PACKAGE")*('Graph Data'!$B$2:$B$501="Approved"),ROW('Graph Data'!$A$2:$A$501)),ROW(6:6))-1,1),"")</f>
        <v/>
      </c>
      <c r="L7" s="340" t="str" cm="1">
        <f t="array" ref="L7">IFERROR(INDEX('Graph Data'!$A$2:$A$501,SMALL(IF(('Graph Data'!$C$2:$C$501="BID PACKAGE")*('Graph Data'!$B$2:$B$501="Approved"),ROW('Graph Data'!$A$2:$A$501)),ROW(7:7))-1,1),"")</f>
        <v/>
      </c>
      <c r="M7" s="339" t="str" cm="1">
        <f t="array" ref="M7">IFERROR(INDEX('Graph Data'!$A$2:$A$501,SMALL(IF(('Graph Data'!$C$2:$C$501="BID PACKAGE")*('Graph Data'!$B$2:$B$501="Approved"),ROW('Graph Data'!$A$2:$A$501)),ROW(8:8))-1,1),"")</f>
        <v/>
      </c>
      <c r="N7" s="340" t="str" cm="1">
        <f t="array" ref="N7">IFERROR(INDEX('Graph Data'!$A$2:$A$501,SMALL(IF(('Graph Data'!$C$2:$C$501="BID PACKAGE")*('Graph Data'!$B$2:$B$501="Approved"),ROW('Graph Data'!$A$2:$A$501)),ROW(9:9))-1,1),"")</f>
        <v/>
      </c>
      <c r="O7" s="339" t="str" cm="1">
        <f t="array" ref="O7">IFERROR(INDEX('Graph Data'!$A$2:$A$501,SMALL(IF(('Graph Data'!$C$2:$C$501="BID PACKAGE")*('Graph Data'!$B$2:$B$501="Approved"),ROW('Graph Data'!$A$2:$A$501)),ROW(10:10))-1,1),"")</f>
        <v/>
      </c>
      <c r="P7" s="340" t="str" cm="1">
        <f t="array" ref="P7">IFERROR(INDEX('Graph Data'!$A$2:$A$501,SMALL(IF(('Graph Data'!$C$2:$C$501="BID PACKAGE")*('Graph Data'!$B$2:$B$501="Approved"),ROW('Graph Data'!$A$2:$A$501)),ROW(11:11))-1,1),"")</f>
        <v/>
      </c>
      <c r="Q7" s="339" t="str" cm="1">
        <f t="array" ref="Q7">IFERROR(INDEX('Graph Data'!$A$2:$A$501,SMALL(IF(('Graph Data'!$C$2:$C$501="BID PACKAGE")*('Graph Data'!$B$2:$B$501="Approved"),ROW('Graph Data'!$A$2:$A$501)),ROW(12:12))-1,1),"")</f>
        <v/>
      </c>
      <c r="R7" s="340" t="str" cm="1">
        <f t="array" ref="R7">IFERROR(INDEX('Graph Data'!$A$2:$A$501,SMALL(IF(('Graph Data'!$C$2:$C$501="BID PACKAGE")*('Graph Data'!$B$2:$B$501="Approved"),ROW('Graph Data'!$A$2:$A$501)),ROW(13:13))-1,1),"")</f>
        <v/>
      </c>
      <c r="S7" s="339" t="str" cm="1">
        <f t="array" ref="S7">IFERROR(INDEX('Graph Data'!$A$2:$A$501,SMALL(IF(('Graph Data'!$C$2:$C$501="BID PACKAGE")*('Graph Data'!$B$2:$B$501="Approved"),ROW('Graph Data'!$A$2:$A$501)),ROW(14:14))-1,1),"")</f>
        <v/>
      </c>
      <c r="T7" s="340" t="str" cm="1">
        <f t="array" ref="T7">IFERROR(INDEX('Graph Data'!$A$2:$A$501,SMALL(IF(('Graph Data'!$C$2:$C$501="BID PACKAGE")*('Graph Data'!$B$2:$B$501="Approved"),ROW('Graph Data'!$A$2:$A$501)),ROW(15:15))-1,1),"")</f>
        <v/>
      </c>
      <c r="U7" s="339" t="str" cm="1">
        <f t="array" ref="U7">IFERROR(INDEX('Graph Data'!$A$2:$A$501,SMALL(IF(('Graph Data'!$C$2:$C$501="BID PACKAGE")*('Graph Data'!$B$2:$B$501="Approved"),ROW('Graph Data'!$A$2:$A$501)),ROW(16:16))-1,1),"")</f>
        <v/>
      </c>
      <c r="V7" s="340" t="str" cm="1">
        <f t="array" ref="V7">IFERROR(INDEX('Graph Data'!$A$2:$A$501,SMALL(IF(('Graph Data'!$C$2:$C$501="BID PACKAGE")*('Graph Data'!$B$2:$B$501="Approved"),ROW('Graph Data'!$A$2:$A$501)),ROW(17:17))-1,1),"")</f>
        <v/>
      </c>
      <c r="W7" s="339" t="str" cm="1">
        <f t="array" ref="W7">IFERROR(INDEX('Graph Data'!$A$2:$A$501,SMALL(IF(('Graph Data'!$C$2:$C$501="BID PACKAGE")*('Graph Data'!$B$2:$B$501="Approved"),ROW('Graph Data'!$A$2:$A$501)),ROW(18:18))-1,1),"")</f>
        <v/>
      </c>
      <c r="X7" s="340" t="str" cm="1">
        <f t="array" ref="X7">IFERROR(INDEX('Graph Data'!$A$2:$A$501,SMALL(IF(('Graph Data'!$C$2:$C$501="BID PACKAGE")*('Graph Data'!$B$2:$B$501="Approved"),ROW('Graph Data'!$A$2:$A$501)),ROW(19:19))-1,1),"")</f>
        <v/>
      </c>
      <c r="Y7" s="339" t="str" cm="1">
        <f t="array" ref="Y7">IFERROR(INDEX('Graph Data'!$A$2:$A$501,SMALL(IF(('Graph Data'!$C$2:$C$501="BID PACKAGE")*('Graph Data'!$B$2:$B$501="Approved"),ROW('Graph Data'!$A$2:$A$501)),ROW(20:20))-1,1),"")</f>
        <v/>
      </c>
      <c r="Z7" s="340" t="str" cm="1">
        <f t="array" ref="Z7">IFERROR(INDEX('Graph Data'!$A$2:$A$501,SMALL(IF(('Graph Data'!$C$2:$C$501="BID PACKAGE")*('Graph Data'!$B$2:$B$501="Approved"),ROW('Graph Data'!$A$2:$A$501)),ROW(21:21))-1,1),"")</f>
        <v/>
      </c>
      <c r="AA7" s="339" t="str" cm="1">
        <f t="array" ref="AA7">IFERROR(INDEX('Graph Data'!$A$2:$A$501,SMALL(IF(('Graph Data'!$C$2:$C$501="BID PACKAGE")*('Graph Data'!$B$2:$B$501="Approved"),ROW('Graph Data'!$A$2:$A$501)),ROW(22:22))-1,1),"")</f>
        <v/>
      </c>
      <c r="AB7" s="340" t="str" cm="1">
        <f t="array" ref="AB7">IFERROR(INDEX('Graph Data'!$A$2:$A$501,SMALL(IF(('Graph Data'!$C$2:$C$501="BID PACKAGE")*('Graph Data'!$B$2:$B$501="Approved"),ROW('Graph Data'!$A$2:$A$501)),ROW(23:23))-1,1),"")</f>
        <v/>
      </c>
      <c r="AC7" s="339" t="str" cm="1">
        <f t="array" ref="AC7">IFERROR(INDEX('Graph Data'!$A$2:$A$501,SMALL(IF(('Graph Data'!$C$2:$C$501="BID PACKAGE")*('Graph Data'!$B$2:$B$501="Approved"),ROW('Graph Data'!$A$2:$A$501)),ROW(24:24))-1,1),"")</f>
        <v/>
      </c>
      <c r="AD7" s="340" t="str" cm="1">
        <f t="array" ref="AD7">IFERROR(INDEX('Graph Data'!$A$2:$A$501,SMALL(IF(('Graph Data'!$C$2:$C$501="BID PACKAGE")*('Graph Data'!$B$2:$B$501="Approved"),ROW('Graph Data'!$A$2:$A$501)),ROW(25:25))-1,1),"")</f>
        <v/>
      </c>
      <c r="AE7" s="339" t="str" cm="1">
        <f t="array" ref="AE7">IFERROR(INDEX('Graph Data'!$A$2:$A$501,SMALL(IF(('Graph Data'!$C$2:$C$501="BID PACKAGE")*('Graph Data'!$B$2:$B$501="Approved"),ROW('Graph Data'!$A$2:$A$501)),ROW(26:26))-1,1),"")</f>
        <v/>
      </c>
      <c r="AF7" s="340" t="str" cm="1">
        <f t="array" ref="AF7">IFERROR(INDEX('Graph Data'!$A$2:$A$501,SMALL(IF(('Graph Data'!$C$2:$C$501="BID PACKAGE")*('Graph Data'!$B$2:$B$501="Approved"),ROW('Graph Data'!$A$2:$A$501)),ROW(27:27))-1,1),"")</f>
        <v/>
      </c>
      <c r="AG7" s="339" t="str" cm="1">
        <f t="array" ref="AG7">IFERROR(INDEX('Graph Data'!$A$2:$A$501,SMALL(IF(('Graph Data'!$C$2:$C$501="BID PACKAGE")*('Graph Data'!$B$2:$B$501="Approved"),ROW('Graph Data'!$A$2:$A$501)),ROW(28:28))-1,1),"")</f>
        <v/>
      </c>
      <c r="AH7" s="340" t="str" cm="1">
        <f t="array" ref="AH7">IFERROR(INDEX('Graph Data'!$A$2:$A$501,SMALL(IF(('Graph Data'!$C$2:$C$501="BID PACKAGE")*('Graph Data'!$B$2:$B$501="Approved"),ROW('Graph Data'!$A$2:$A$501)),ROW(29:29))-1,1),"")</f>
        <v/>
      </c>
      <c r="AI7" s="339" t="str" cm="1">
        <f t="array" ref="AI7">IFERROR(INDEX('Graph Data'!$A$2:$A$501,SMALL(IF(('Graph Data'!$C$2:$C$501="BID PACKAGE")*('Graph Data'!$B$2:$B$501="Approved"),ROW('Graph Data'!$A$2:$A$501)),ROW(30:30))-1,1),"")</f>
        <v/>
      </c>
      <c r="AJ7" s="340" t="str" cm="1">
        <f t="array" ref="AJ7">IFERROR(INDEX('Graph Data'!$A$2:$A$501,SMALL(IF(('Graph Data'!$C$2:$C$501="BID PACKAGE")*('Graph Data'!$B$2:$B$501="Approved"),ROW('Graph Data'!$A$2:$A$501)),ROW(31:31))-1,1),"")</f>
        <v/>
      </c>
      <c r="AK7" s="339" t="str" cm="1">
        <f t="array" ref="AK7">IFERROR(INDEX('Graph Data'!$A$2:$A$501,SMALL(IF(('Graph Data'!$C$2:$C$501="BID PACKAGE")*('Graph Data'!$B$2:$B$501="Approved"),ROW('Graph Data'!$A$2:$A$501)),ROW(32:32))-1,1),"")</f>
        <v/>
      </c>
      <c r="AL7" s="340" t="str" cm="1">
        <f t="array" ref="AL7">IFERROR(INDEX('Graph Data'!$A$2:$A$501,SMALL(IF(('Graph Data'!$C$2:$C$501="BID PACKAGE")*('Graph Data'!$B$2:$B$501="Approved"),ROW('Graph Data'!$A$2:$A$501)),ROW(33:33))-1,1),"")</f>
        <v/>
      </c>
      <c r="AM7" s="339" t="str" cm="1">
        <f t="array" ref="AM7">IFERROR(INDEX('Graph Data'!$A$2:$A$501,SMALL(IF(('Graph Data'!$C$2:$C$501="BID PACKAGE")*('Graph Data'!$B$2:$B$501="Approved"),ROW('Graph Data'!$A$2:$A$501)),ROW(34:34))-1,1),"")</f>
        <v/>
      </c>
      <c r="AN7" s="340" t="str" cm="1">
        <f t="array" ref="AN7">IFERROR(INDEX('Graph Data'!$A$2:$A$501,SMALL(IF(('Graph Data'!$C$2:$C$501="BID PACKAGE")*('Graph Data'!$B$2:$B$501="Approved"),ROW('Graph Data'!$A$2:$A$501)),ROW(35:35))-1,1),"")</f>
        <v/>
      </c>
      <c r="AO7" s="339" t="str" cm="1">
        <f t="array" ref="AO7">IFERROR(INDEX('Graph Data'!$A$2:$A$501,SMALL(IF(('Graph Data'!$C$2:$C$501="BID PACKAGE")*('Graph Data'!$B$2:$B$501="Approved"),ROW('Graph Data'!$A$2:$A$501)),ROW(36:36))-1,1),"")</f>
        <v/>
      </c>
      <c r="AP7" s="340" t="str" cm="1">
        <f t="array" ref="AP7">IFERROR(INDEX('Graph Data'!$A$2:$A$501,SMALL(IF(('Graph Data'!$C$2:$C$501="BID PACKAGE")*('Graph Data'!$B$2:$B$501="Approved"),ROW('Graph Data'!$A$2:$A$501)),ROW(37:37))-1,1),"")</f>
        <v/>
      </c>
      <c r="AQ7" s="339" t="str" cm="1">
        <f t="array" ref="AQ7">IFERROR(INDEX('Graph Data'!$A$2:$A$501,SMALL(IF(('Graph Data'!$C$2:$C$501="BID PACKAGE")*('Graph Data'!$B$2:$B$501="Approved"),ROW('Graph Data'!$A$2:$A$501)),ROW(38:38))-1,1),"")</f>
        <v/>
      </c>
      <c r="AR7" s="340" t="str" cm="1">
        <f t="array" ref="AR7">IFERROR(INDEX('Graph Data'!$A$2:$A$501,SMALL(IF(('Graph Data'!$C$2:$C$501="BID PACKAGE")*('Graph Data'!$B$2:$B$501="Approved"),ROW('Graph Data'!$A$2:$A$501)),ROW(39:39))-1,1),"")</f>
        <v/>
      </c>
      <c r="AS7" s="339" t="str" cm="1">
        <f t="array" ref="AS7">IFERROR(INDEX('Graph Data'!$A$2:$A$501,SMALL(IF(('Graph Data'!$C$2:$C$501="BID PACKAGE")*('Graph Data'!$B$2:$B$501="Approved"),ROW('Graph Data'!$A$2:$A$501)),ROW(40:40))-1,1),"")</f>
        <v/>
      </c>
      <c r="AT7" s="340" t="str" cm="1">
        <f t="array" ref="AT7">IFERROR(INDEX('Graph Data'!$A$2:$A$501,SMALL(IF(('Graph Data'!$C$2:$C$501="BID PACKAGE")*('Graph Data'!$B$2:$B$501="Approved"),ROW('Graph Data'!$A$2:$A$501)),ROW(41:41))-1,1),"")</f>
        <v/>
      </c>
      <c r="AU7" s="339" t="str" cm="1">
        <f t="array" ref="AU7">IFERROR(INDEX('Graph Data'!$A$2:$A$501,SMALL(IF(('Graph Data'!$C$2:$C$501="BID PACKAGE")*('Graph Data'!$B$2:$B$501="Approved"),ROW('Graph Data'!$A$2:$A$501)),ROW(42:42))-1,1),"")</f>
        <v/>
      </c>
      <c r="AV7" s="340" t="str" cm="1">
        <f t="array" ref="AV7">IFERROR(INDEX('Graph Data'!$A$2:$A$501,SMALL(IF(('Graph Data'!$C$2:$C$501="BID PACKAGE")*('Graph Data'!$B$2:$B$501="Approved"),ROW('Graph Data'!$A$2:$A$501)),ROW(43:43))-1,1),"")</f>
        <v/>
      </c>
      <c r="AW7" s="339" t="str" cm="1">
        <f t="array" ref="AW7">IFERROR(INDEX('Graph Data'!$A$2:$A$501,SMALL(IF(('Graph Data'!$C$2:$C$501="BID PACKAGE")*('Graph Data'!$B$2:$B$501="Approved"),ROW('Graph Data'!$A$2:$A$501)),ROW(44:44))-1,1),"")</f>
        <v/>
      </c>
      <c r="AX7" s="340" t="str" cm="1">
        <f t="array" ref="AX7">IFERROR(INDEX('Graph Data'!$A$2:$A$501,SMALL(IF(('Graph Data'!$C$2:$C$501="BID PACKAGE")*('Graph Data'!$B$2:$B$501="Approved"),ROW('Graph Data'!$A$2:$A$501)),ROW(45:45))-1,1),"")</f>
        <v/>
      </c>
      <c r="AY7" s="339" t="str" cm="1">
        <f t="array" ref="AY7">IFERROR(INDEX('Graph Data'!$A$2:$A$501,SMALL(IF(('Graph Data'!$C$2:$C$501="BID PACKAGE")*('Graph Data'!$B$2:$B$501="Approved"),ROW('Graph Data'!$A$2:$A$501)),ROW(46:46))-1,1),"")</f>
        <v/>
      </c>
      <c r="AZ7" s="340" t="str" cm="1">
        <f t="array" ref="AZ7">IFERROR(INDEX('Graph Data'!$A$2:$A$501,SMALL(IF(('Graph Data'!$C$2:$C$501="BID PACKAGE")*('Graph Data'!$B$2:$B$501="Approved"),ROW('Graph Data'!$A$2:$A$501)),ROW(47:47))-1,1),"")</f>
        <v/>
      </c>
      <c r="BA7" s="339" t="str" cm="1">
        <f t="array" ref="BA7">IFERROR(INDEX('Graph Data'!$A$2:$A$501,SMALL(IF(('Graph Data'!$C$2:$C$501="BID PACKAGE")*('Graph Data'!$B$2:$B$501="Approved"),ROW('Graph Data'!$A$2:$A$501)),ROW(48:48))-1,1),"")</f>
        <v/>
      </c>
      <c r="BB7" s="340" t="str" cm="1">
        <f t="array" ref="BB7">IFERROR(INDEX('Graph Data'!$A$2:$A$501,SMALL(IF(('Graph Data'!$C$2:$C$501="BID PACKAGE")*('Graph Data'!$B$2:$B$501="Approved"),ROW('Graph Data'!$A$2:$A$501)),ROW(49:49))-1,1),"")</f>
        <v/>
      </c>
      <c r="BC7" s="339" t="str" cm="1">
        <f t="array" ref="BC7">IFERROR(INDEX('Graph Data'!$A$2:$A$501,SMALL(IF(('Graph Data'!$C$2:$C$501="BID PACKAGE")*('Graph Data'!$B$2:$B$501="Approved"),ROW('Graph Data'!$A$2:$A$501)),ROW(50:50))-1,1),"")</f>
        <v/>
      </c>
    </row>
    <row r="8" spans="1:55" s="334" customFormat="1" x14ac:dyDescent="0.25">
      <c r="B8" s="48" t="str">
        <f>'Pay App 1'!B57</f>
        <v>00 01 00</v>
      </c>
      <c r="C8" s="24" t="str">
        <f>'Pay App 1'!C57</f>
        <v>Design Fee (if design build)</v>
      </c>
      <c r="D8" s="263">
        <f>SUM(E8:BC8)</f>
        <v>0</v>
      </c>
      <c r="E8" s="263">
        <f>'Pay App 1'!D57</f>
        <v>0</v>
      </c>
      <c r="F8" s="263" t="str">
        <f>IFERROR(HLOOKUP(F$7,'PCO Log'!$E$11:$SJ$98,2,FALSE),"")</f>
        <v/>
      </c>
      <c r="G8" s="263" t="str">
        <f>IFERROR(HLOOKUP(G$7,'PCO Log'!$E$11:$SJ$98,2,FALSE),"")</f>
        <v/>
      </c>
      <c r="H8" s="263" t="str">
        <f>IFERROR(HLOOKUP(H$7,'PCO Log'!$E$11:$SJ$98,2,FALSE),"")</f>
        <v/>
      </c>
      <c r="I8" s="263" t="str">
        <f>IFERROR(HLOOKUP(I$7,'PCO Log'!$E$11:$SJ$98,2,FALSE),"")</f>
        <v/>
      </c>
      <c r="J8" s="263" t="str">
        <f>IFERROR(HLOOKUP(J$7,'PCO Log'!$E$11:$SJ$98,2,FALSE),"")</f>
        <v/>
      </c>
      <c r="K8" s="263" t="str">
        <f>IFERROR(HLOOKUP(K$7,'PCO Log'!$E$11:$SJ$98,2,FALSE),"")</f>
        <v/>
      </c>
      <c r="L8" s="263" t="str">
        <f>IFERROR(HLOOKUP(L$7,'PCO Log'!$E$11:$SJ$98,2,FALSE),"")</f>
        <v/>
      </c>
      <c r="M8" s="263" t="str">
        <f>IFERROR(HLOOKUP(M$7,'PCO Log'!$E$11:$SJ$98,2,FALSE),"")</f>
        <v/>
      </c>
      <c r="N8" s="263" t="str">
        <f>IFERROR(HLOOKUP(N$7,'PCO Log'!$E$11:$SJ$98,2,FALSE),"")</f>
        <v/>
      </c>
      <c r="O8" s="263" t="str">
        <f>IFERROR(HLOOKUP(O$7,'PCO Log'!$E$11:$SJ$98,2,FALSE),"")</f>
        <v/>
      </c>
      <c r="P8" s="263" t="str">
        <f>IFERROR(HLOOKUP(P$7,'PCO Log'!$E$11:$SJ$98,2,FALSE),"")</f>
        <v/>
      </c>
      <c r="Q8" s="263" t="str">
        <f>IFERROR(HLOOKUP(Q$7,'PCO Log'!$E$11:$SJ$98,2,FALSE),"")</f>
        <v/>
      </c>
      <c r="R8" s="263" t="str">
        <f>IFERROR(HLOOKUP(R$7,'PCO Log'!$E$11:$SJ$98,2,FALSE),"")</f>
        <v/>
      </c>
      <c r="S8" s="263" t="str">
        <f>IFERROR(HLOOKUP(S$7,'PCO Log'!$E$11:$SJ$98,2,FALSE),"")</f>
        <v/>
      </c>
      <c r="T8" s="263" t="str">
        <f>IFERROR(HLOOKUP(T$7,'PCO Log'!$E$11:$SJ$98,2,FALSE),"")</f>
        <v/>
      </c>
      <c r="U8" s="263" t="str">
        <f>IFERROR(HLOOKUP(U$7,'PCO Log'!$E$11:$SJ$98,2,FALSE),"")</f>
        <v/>
      </c>
      <c r="V8" s="263" t="str">
        <f>IFERROR(HLOOKUP(V$7,'PCO Log'!$E$11:$SJ$98,2,FALSE),"")</f>
        <v/>
      </c>
      <c r="W8" s="263" t="str">
        <f>IFERROR(HLOOKUP(W$7,'PCO Log'!$E$11:$SJ$98,2,FALSE),"")</f>
        <v/>
      </c>
      <c r="X8" s="263" t="str">
        <f>IFERROR(HLOOKUP(X$7,'PCO Log'!$E$11:$SJ$98,2,FALSE),"")</f>
        <v/>
      </c>
      <c r="Y8" s="263" t="str">
        <f>IFERROR(HLOOKUP(Y$7,'PCO Log'!$E$11:$SJ$98,2,FALSE),"")</f>
        <v/>
      </c>
      <c r="Z8" s="263" t="str">
        <f>IFERROR(HLOOKUP(Z$7,'PCO Log'!$E$11:$SJ$98,2,FALSE),"")</f>
        <v/>
      </c>
      <c r="AA8" s="263" t="str">
        <f>IFERROR(HLOOKUP(AA$7,'PCO Log'!$E$11:$SJ$98,2,FALSE),"")</f>
        <v/>
      </c>
      <c r="AB8" s="263" t="str">
        <f>IFERROR(HLOOKUP(AB$7,'PCO Log'!$E$11:$SJ$98,2,FALSE),"")</f>
        <v/>
      </c>
      <c r="AC8" s="263" t="str">
        <f>IFERROR(HLOOKUP(AC$7,'PCO Log'!$E$11:$SJ$98,2,FALSE),"")</f>
        <v/>
      </c>
      <c r="AD8" s="263" t="str">
        <f>IFERROR(HLOOKUP(AD$7,'PCO Log'!$E$11:$SJ$98,2,FALSE),"")</f>
        <v/>
      </c>
      <c r="AE8" s="263" t="str">
        <f>IFERROR(HLOOKUP(AE$7,'PCO Log'!$E$11:$SJ$98,2,FALSE),"")</f>
        <v/>
      </c>
      <c r="AF8" s="263" t="str">
        <f>IFERROR(HLOOKUP(AF$7,'PCO Log'!$E$11:$SJ$98,2,FALSE),"")</f>
        <v/>
      </c>
      <c r="AG8" s="263" t="str">
        <f>IFERROR(HLOOKUP(AG$7,'PCO Log'!$E$11:$SJ$98,2,FALSE),"")</f>
        <v/>
      </c>
      <c r="AH8" s="263" t="str">
        <f>IFERROR(HLOOKUP(AH$7,'PCO Log'!$E$11:$SJ$98,2,FALSE),"")</f>
        <v/>
      </c>
      <c r="AI8" s="263" t="str">
        <f>IFERROR(HLOOKUP(AI$7,'PCO Log'!$E$11:$SJ$98,2,FALSE),"")</f>
        <v/>
      </c>
      <c r="AJ8" s="263" t="str">
        <f>IFERROR(HLOOKUP(AJ$7,'PCO Log'!$E$11:$SJ$98,2,FALSE),"")</f>
        <v/>
      </c>
      <c r="AK8" s="263" t="str">
        <f>IFERROR(HLOOKUP(AK$7,'PCO Log'!$E$11:$SJ$98,2,FALSE),"")</f>
        <v/>
      </c>
      <c r="AL8" s="263" t="str">
        <f>IFERROR(HLOOKUP(AL$7,'PCO Log'!$E$11:$SJ$98,2,FALSE),"")</f>
        <v/>
      </c>
      <c r="AM8" s="263" t="str">
        <f>IFERROR(HLOOKUP(AM$7,'PCO Log'!$E$11:$SJ$98,2,FALSE),"")</f>
        <v/>
      </c>
      <c r="AN8" s="263" t="str">
        <f>IFERROR(HLOOKUP(AN$7,'PCO Log'!$E$11:$SJ$98,2,FALSE),"")</f>
        <v/>
      </c>
      <c r="AO8" s="263" t="str">
        <f>IFERROR(HLOOKUP(AO$7,'PCO Log'!$E$11:$SJ$98,2,FALSE),"")</f>
        <v/>
      </c>
      <c r="AP8" s="263" t="str">
        <f>IFERROR(HLOOKUP(AP$7,'PCO Log'!$E$11:$SJ$98,2,FALSE),"")</f>
        <v/>
      </c>
      <c r="AQ8" s="263" t="str">
        <f>IFERROR(HLOOKUP(AQ$7,'PCO Log'!$E$11:$SJ$98,2,FALSE),"")</f>
        <v/>
      </c>
      <c r="AR8" s="263" t="str">
        <f>IFERROR(HLOOKUP(AR$7,'PCO Log'!$E$11:$SJ$98,2,FALSE),"")</f>
        <v/>
      </c>
      <c r="AS8" s="263" t="str">
        <f>IFERROR(HLOOKUP(AS$7,'PCO Log'!$E$11:$SJ$98,2,FALSE),"")</f>
        <v/>
      </c>
      <c r="AT8" s="263" t="str">
        <f>IFERROR(HLOOKUP(AT$7,'PCO Log'!$E$11:$SJ$98,2,FALSE),"")</f>
        <v/>
      </c>
      <c r="AU8" s="263" t="str">
        <f>IFERROR(HLOOKUP(AU$7,'PCO Log'!$E$11:$SJ$98,2,FALSE),"")</f>
        <v/>
      </c>
      <c r="AV8" s="263" t="str">
        <f>IFERROR(HLOOKUP(AV$7,'PCO Log'!$E$11:$SJ$98,2,FALSE),"")</f>
        <v/>
      </c>
      <c r="AW8" s="263" t="str">
        <f>IFERROR(HLOOKUP(AW$7,'PCO Log'!$E$11:$SJ$98,2,FALSE),"")</f>
        <v/>
      </c>
      <c r="AX8" s="263" t="str">
        <f>IFERROR(HLOOKUP(AX$7,'PCO Log'!$E$11:$SJ$98,2,FALSE),"")</f>
        <v/>
      </c>
      <c r="AY8" s="263" t="str">
        <f>IFERROR(HLOOKUP(AY$7,'PCO Log'!$E$11:$SJ$98,2,FALSE),"")</f>
        <v/>
      </c>
      <c r="AZ8" s="263" t="str">
        <f>IFERROR(HLOOKUP(AZ$7,'PCO Log'!$E$11:$SJ$98,2,FALSE),"")</f>
        <v/>
      </c>
      <c r="BA8" s="263" t="str">
        <f>IFERROR(HLOOKUP(BA$7,'PCO Log'!$E$11:$SJ$98,2,FALSE),"")</f>
        <v/>
      </c>
      <c r="BB8" s="263" t="str">
        <f>IFERROR(HLOOKUP(BB$7,'PCO Log'!$E$11:$SJ$98,2,FALSE),"")</f>
        <v/>
      </c>
      <c r="BC8" s="263" t="str">
        <f>IFERROR(HLOOKUP(BC$7,'PCO Log'!$E$11:$SJ$98,2,FALSE),"")</f>
        <v/>
      </c>
    </row>
    <row r="9" spans="1:55" s="334" customFormat="1" x14ac:dyDescent="0.25">
      <c r="B9" s="48" t="str">
        <f>'Pay App 1'!B58</f>
        <v>00 02 00</v>
      </c>
      <c r="C9" s="24" t="str">
        <f>'Pay App 1'!C58</f>
        <v>Preconstruction Services</v>
      </c>
      <c r="D9" s="263">
        <f t="shared" ref="D9:D72" si="1">SUM(E9:BC9)</f>
        <v>0</v>
      </c>
      <c r="E9" s="263">
        <f>'Pay App 1'!D58</f>
        <v>0</v>
      </c>
      <c r="F9" s="263" t="str">
        <f>IFERROR(HLOOKUP(F$7,'PCO Log'!$E$11:$SJ$98,3,FALSE),"")</f>
        <v/>
      </c>
      <c r="G9" s="263" t="str">
        <f>IFERROR(HLOOKUP(G$7,'PCO Log'!$E$11:$SJ$98,3,FALSE),"")</f>
        <v/>
      </c>
      <c r="H9" s="263" t="str">
        <f>IFERROR(HLOOKUP(H$7,'PCO Log'!$E$11:$SJ$98,3,FALSE),"")</f>
        <v/>
      </c>
      <c r="I9" s="263" t="str">
        <f>IFERROR(HLOOKUP(I$7,'PCO Log'!$E$11:$SJ$98,3,FALSE),"")</f>
        <v/>
      </c>
      <c r="J9" s="263" t="str">
        <f>IFERROR(HLOOKUP(J$7,'PCO Log'!$E$11:$SJ$98,3,FALSE),"")</f>
        <v/>
      </c>
      <c r="K9" s="263" t="str">
        <f>IFERROR(HLOOKUP(K$7,'PCO Log'!$E$11:$SJ$98,3,FALSE),"")</f>
        <v/>
      </c>
      <c r="L9" s="263" t="str">
        <f>IFERROR(HLOOKUP(L$7,'PCO Log'!$E$11:$SJ$98,3,FALSE),"")</f>
        <v/>
      </c>
      <c r="M9" s="263" t="str">
        <f>IFERROR(HLOOKUP(M$7,'PCO Log'!$E$11:$SJ$98,3,FALSE),"")</f>
        <v/>
      </c>
      <c r="N9" s="263" t="str">
        <f>IFERROR(HLOOKUP(N$7,'PCO Log'!$E$11:$SJ$98,3,FALSE),"")</f>
        <v/>
      </c>
      <c r="O9" s="263" t="str">
        <f>IFERROR(HLOOKUP(O$7,'PCO Log'!$E$11:$SJ$98,3,FALSE),"")</f>
        <v/>
      </c>
      <c r="P9" s="263" t="str">
        <f>IFERROR(HLOOKUP(P$7,'PCO Log'!$E$11:$SJ$98,3,FALSE),"")</f>
        <v/>
      </c>
      <c r="Q9" s="263" t="str">
        <f>IFERROR(HLOOKUP(Q$7,'PCO Log'!$E$11:$SJ$98,3,FALSE),"")</f>
        <v/>
      </c>
      <c r="R9" s="263" t="str">
        <f>IFERROR(HLOOKUP(R$7,'PCO Log'!$E$11:$SJ$98,3,FALSE),"")</f>
        <v/>
      </c>
      <c r="S9" s="263" t="str">
        <f>IFERROR(HLOOKUP(S$7,'PCO Log'!$E$11:$SJ$98,3,FALSE),"")</f>
        <v/>
      </c>
      <c r="T9" s="263" t="str">
        <f>IFERROR(HLOOKUP(T$7,'PCO Log'!$E$11:$SJ$98,3,FALSE),"")</f>
        <v/>
      </c>
      <c r="U9" s="263" t="str">
        <f>IFERROR(HLOOKUP(U$7,'PCO Log'!$E$11:$SJ$98,3,FALSE),"")</f>
        <v/>
      </c>
      <c r="V9" s="263" t="str">
        <f>IFERROR(HLOOKUP(V$7,'PCO Log'!$E$11:$SJ$98,3,FALSE),"")</f>
        <v/>
      </c>
      <c r="W9" s="263" t="str">
        <f>IFERROR(HLOOKUP(W$7,'PCO Log'!$E$11:$SJ$98,3,FALSE),"")</f>
        <v/>
      </c>
      <c r="X9" s="263" t="str">
        <f>IFERROR(HLOOKUP(X$7,'PCO Log'!$E$11:$SJ$98,3,FALSE),"")</f>
        <v/>
      </c>
      <c r="Y9" s="263" t="str">
        <f>IFERROR(HLOOKUP(Y$7,'PCO Log'!$E$11:$SJ$98,3,FALSE),"")</f>
        <v/>
      </c>
      <c r="Z9" s="263" t="str">
        <f>IFERROR(HLOOKUP(Z$7,'PCO Log'!$E$11:$SJ$98,3,FALSE),"")</f>
        <v/>
      </c>
      <c r="AA9" s="263" t="str">
        <f>IFERROR(HLOOKUP(AA$7,'PCO Log'!$E$11:$SJ$98,3,FALSE),"")</f>
        <v/>
      </c>
      <c r="AB9" s="263" t="str">
        <f>IFERROR(HLOOKUP(AB$7,'PCO Log'!$E$11:$SJ$98,3,FALSE),"")</f>
        <v/>
      </c>
      <c r="AC9" s="263" t="str">
        <f>IFERROR(HLOOKUP(AC$7,'PCO Log'!$E$11:$SJ$98,3,FALSE),"")</f>
        <v/>
      </c>
      <c r="AD9" s="263" t="str">
        <f>IFERROR(HLOOKUP(AD$7,'PCO Log'!$E$11:$SJ$98,3,FALSE),"")</f>
        <v/>
      </c>
      <c r="AE9" s="263" t="str">
        <f>IFERROR(HLOOKUP(AE$7,'PCO Log'!$E$11:$SJ$98,3,FALSE),"")</f>
        <v/>
      </c>
      <c r="AF9" s="263" t="str">
        <f>IFERROR(HLOOKUP(AF$7,'PCO Log'!$E$11:$SJ$98,3,FALSE),"")</f>
        <v/>
      </c>
      <c r="AG9" s="263" t="str">
        <f>IFERROR(HLOOKUP(AG$7,'PCO Log'!$E$11:$SJ$98,3,FALSE),"")</f>
        <v/>
      </c>
      <c r="AH9" s="263" t="str">
        <f>IFERROR(HLOOKUP(AH$7,'PCO Log'!$E$11:$SJ$98,3,FALSE),"")</f>
        <v/>
      </c>
      <c r="AI9" s="263" t="str">
        <f>IFERROR(HLOOKUP(AI$7,'PCO Log'!$E$11:$SJ$98,3,FALSE),"")</f>
        <v/>
      </c>
      <c r="AJ9" s="263" t="str">
        <f>IFERROR(HLOOKUP(AJ$7,'PCO Log'!$E$11:$SJ$98,3,FALSE),"")</f>
        <v/>
      </c>
      <c r="AK9" s="263" t="str">
        <f>IFERROR(HLOOKUP(AK$7,'PCO Log'!$E$11:$SJ$98,3,FALSE),"")</f>
        <v/>
      </c>
      <c r="AL9" s="263" t="str">
        <f>IFERROR(HLOOKUP(AL$7,'PCO Log'!$E$11:$SJ$98,3,FALSE),"")</f>
        <v/>
      </c>
      <c r="AM9" s="263" t="str">
        <f>IFERROR(HLOOKUP(AM$7,'PCO Log'!$E$11:$SJ$98,3,FALSE),"")</f>
        <v/>
      </c>
      <c r="AN9" s="263" t="str">
        <f>IFERROR(HLOOKUP(AN$7,'PCO Log'!$E$11:$SJ$98,3,FALSE),"")</f>
        <v/>
      </c>
      <c r="AO9" s="263" t="str">
        <f>IFERROR(HLOOKUP(AO$7,'PCO Log'!$E$11:$SJ$98,3,FALSE),"")</f>
        <v/>
      </c>
      <c r="AP9" s="263" t="str">
        <f>IFERROR(HLOOKUP(AP$7,'PCO Log'!$E$11:$SJ$98,3,FALSE),"")</f>
        <v/>
      </c>
      <c r="AQ9" s="263" t="str">
        <f>IFERROR(HLOOKUP(AQ$7,'PCO Log'!$E$11:$SJ$98,3,FALSE),"")</f>
        <v/>
      </c>
      <c r="AR9" s="263" t="str">
        <f>IFERROR(HLOOKUP(AR$7,'PCO Log'!$E$11:$SJ$98,3,FALSE),"")</f>
        <v/>
      </c>
      <c r="AS9" s="263" t="str">
        <f>IFERROR(HLOOKUP(AS$7,'PCO Log'!$E$11:$SJ$98,3,FALSE),"")</f>
        <v/>
      </c>
      <c r="AT9" s="263" t="str">
        <f>IFERROR(HLOOKUP(AT$7,'PCO Log'!$E$11:$SJ$98,3,FALSE),"")</f>
        <v/>
      </c>
      <c r="AU9" s="263" t="str">
        <f>IFERROR(HLOOKUP(AU$7,'PCO Log'!$E$11:$SJ$98,3,FALSE),"")</f>
        <v/>
      </c>
      <c r="AV9" s="263" t="str">
        <f>IFERROR(HLOOKUP(AV$7,'PCO Log'!$E$11:$SJ$98,3,FALSE),"")</f>
        <v/>
      </c>
      <c r="AW9" s="263" t="str">
        <f>IFERROR(HLOOKUP(AW$7,'PCO Log'!$E$11:$SJ$98,3,FALSE),"")</f>
        <v/>
      </c>
      <c r="AX9" s="263" t="str">
        <f>IFERROR(HLOOKUP(AX$7,'PCO Log'!$E$11:$SJ$98,3,FALSE),"")</f>
        <v/>
      </c>
      <c r="AY9" s="263" t="str">
        <f>IFERROR(HLOOKUP(AY$7,'PCO Log'!$E$11:$SJ$98,3,FALSE),"")</f>
        <v/>
      </c>
      <c r="AZ9" s="263" t="str">
        <f>IFERROR(HLOOKUP(AZ$7,'PCO Log'!$E$11:$SJ$98,3,FALSE),"")</f>
        <v/>
      </c>
      <c r="BA9" s="263" t="str">
        <f>IFERROR(HLOOKUP(BA$7,'PCO Log'!$E$11:$SJ$98,3,FALSE),"")</f>
        <v/>
      </c>
      <c r="BB9" s="263" t="str">
        <f>IFERROR(HLOOKUP(BB$7,'PCO Log'!$E$11:$SJ$98,3,FALSE),"")</f>
        <v/>
      </c>
      <c r="BC9" s="263" t="str">
        <f>IFERROR(HLOOKUP(BC$7,'PCO Log'!$E$11:$SJ$98,3,FALSE),"")</f>
        <v/>
      </c>
    </row>
    <row r="10" spans="1:55" s="334" customFormat="1" x14ac:dyDescent="0.25">
      <c r="B10" s="49" t="str">
        <f>'Pay App 1'!B59</f>
        <v>01 00 00</v>
      </c>
      <c r="C10" s="25" t="str">
        <f>'Pay App 1'!C59</f>
        <v>General Conditions/Requirements</v>
      </c>
      <c r="D10" s="263">
        <f t="shared" si="1"/>
        <v>0</v>
      </c>
      <c r="E10" s="263">
        <f>'Pay App 1'!D59</f>
        <v>0</v>
      </c>
      <c r="F10" s="263" t="str">
        <f>IFERROR(HLOOKUP(F$7,'PCO Log'!$E$11:$SJ$98,4,FALSE),"")</f>
        <v/>
      </c>
      <c r="G10" s="263" t="str">
        <f>IFERROR(HLOOKUP(G$7,'PCO Log'!$E$11:$SJ$98,4,FALSE),"")</f>
        <v/>
      </c>
      <c r="H10" s="263" t="str">
        <f>IFERROR(HLOOKUP(H$7,'PCO Log'!$E$11:$SJ$98,4,FALSE),"")</f>
        <v/>
      </c>
      <c r="I10" s="263" t="str">
        <f>IFERROR(HLOOKUP(I$7,'PCO Log'!$E$11:$SJ$98,4,FALSE),"")</f>
        <v/>
      </c>
      <c r="J10" s="263" t="str">
        <f>IFERROR(HLOOKUP(J$7,'PCO Log'!$E$11:$SJ$98,4,FALSE),"")</f>
        <v/>
      </c>
      <c r="K10" s="263" t="str">
        <f>IFERROR(HLOOKUP(K$7,'PCO Log'!$E$11:$SJ$98,4,FALSE),"")</f>
        <v/>
      </c>
      <c r="L10" s="263" t="str">
        <f>IFERROR(HLOOKUP(L$7,'PCO Log'!$E$11:$SJ$98,4,FALSE),"")</f>
        <v/>
      </c>
      <c r="M10" s="263" t="str">
        <f>IFERROR(HLOOKUP(M$7,'PCO Log'!$E$11:$SJ$98,4,FALSE),"")</f>
        <v/>
      </c>
      <c r="N10" s="263" t="str">
        <f>IFERROR(HLOOKUP(N$7,'PCO Log'!$E$11:$SJ$98,4,FALSE),"")</f>
        <v/>
      </c>
      <c r="O10" s="263" t="str">
        <f>IFERROR(HLOOKUP(O$7,'PCO Log'!$E$11:$SJ$98,4,FALSE),"")</f>
        <v/>
      </c>
      <c r="P10" s="263" t="str">
        <f>IFERROR(HLOOKUP(P$7,'PCO Log'!$E$11:$SJ$98,4,FALSE),"")</f>
        <v/>
      </c>
      <c r="Q10" s="263" t="str">
        <f>IFERROR(HLOOKUP(Q$7,'PCO Log'!$E$11:$SJ$98,4,FALSE),"")</f>
        <v/>
      </c>
      <c r="R10" s="263" t="str">
        <f>IFERROR(HLOOKUP(R$7,'PCO Log'!$E$11:$SJ$98,4,FALSE),"")</f>
        <v/>
      </c>
      <c r="S10" s="263" t="str">
        <f>IFERROR(HLOOKUP(S$7,'PCO Log'!$E$11:$SJ$98,4,FALSE),"")</f>
        <v/>
      </c>
      <c r="T10" s="263" t="str">
        <f>IFERROR(HLOOKUP(T$7,'PCO Log'!$E$11:$SJ$98,4,FALSE),"")</f>
        <v/>
      </c>
      <c r="U10" s="263" t="str">
        <f>IFERROR(HLOOKUP(U$7,'PCO Log'!$E$11:$SJ$98,4,FALSE),"")</f>
        <v/>
      </c>
      <c r="V10" s="263" t="str">
        <f>IFERROR(HLOOKUP(V$7,'PCO Log'!$E$11:$SJ$98,4,FALSE),"")</f>
        <v/>
      </c>
      <c r="W10" s="263" t="str">
        <f>IFERROR(HLOOKUP(W$7,'PCO Log'!$E$11:$SJ$98,4,FALSE),"")</f>
        <v/>
      </c>
      <c r="X10" s="263" t="str">
        <f>IFERROR(HLOOKUP(X$7,'PCO Log'!$E$11:$SJ$98,4,FALSE),"")</f>
        <v/>
      </c>
      <c r="Y10" s="263" t="str">
        <f>IFERROR(HLOOKUP(Y$7,'PCO Log'!$E$11:$SJ$98,4,FALSE),"")</f>
        <v/>
      </c>
      <c r="Z10" s="263" t="str">
        <f>IFERROR(HLOOKUP(Z$7,'PCO Log'!$E$11:$SJ$98,4,FALSE),"")</f>
        <v/>
      </c>
      <c r="AA10" s="263" t="str">
        <f>IFERROR(HLOOKUP(AA$7,'PCO Log'!$E$11:$SJ$98,4,FALSE),"")</f>
        <v/>
      </c>
      <c r="AB10" s="263" t="str">
        <f>IFERROR(HLOOKUP(AB$7,'PCO Log'!$E$11:$SJ$98,4,FALSE),"")</f>
        <v/>
      </c>
      <c r="AC10" s="263" t="str">
        <f>IFERROR(HLOOKUP(AC$7,'PCO Log'!$E$11:$SJ$98,4,FALSE),"")</f>
        <v/>
      </c>
      <c r="AD10" s="263" t="str">
        <f>IFERROR(HLOOKUP(AD$7,'PCO Log'!$E$11:$SJ$98,4,FALSE),"")</f>
        <v/>
      </c>
      <c r="AE10" s="263" t="str">
        <f>IFERROR(HLOOKUP(AE$7,'PCO Log'!$E$11:$SJ$98,4,FALSE),"")</f>
        <v/>
      </c>
      <c r="AF10" s="263" t="str">
        <f>IFERROR(HLOOKUP(AF$7,'PCO Log'!$E$11:$SJ$98,4,FALSE),"")</f>
        <v/>
      </c>
      <c r="AG10" s="263" t="str">
        <f>IFERROR(HLOOKUP(AG$7,'PCO Log'!$E$11:$SJ$98,4,FALSE),"")</f>
        <v/>
      </c>
      <c r="AH10" s="263" t="str">
        <f>IFERROR(HLOOKUP(AH$7,'PCO Log'!$E$11:$SJ$98,4,FALSE),"")</f>
        <v/>
      </c>
      <c r="AI10" s="263" t="str">
        <f>IFERROR(HLOOKUP(AI$7,'PCO Log'!$E$11:$SJ$98,4,FALSE),"")</f>
        <v/>
      </c>
      <c r="AJ10" s="263" t="str">
        <f>IFERROR(HLOOKUP(AJ$7,'PCO Log'!$E$11:$SJ$98,4,FALSE),"")</f>
        <v/>
      </c>
      <c r="AK10" s="263" t="str">
        <f>IFERROR(HLOOKUP(AK$7,'PCO Log'!$E$11:$SJ$98,4,FALSE),"")</f>
        <v/>
      </c>
      <c r="AL10" s="263" t="str">
        <f>IFERROR(HLOOKUP(AL$7,'PCO Log'!$E$11:$SJ$98,4,FALSE),"")</f>
        <v/>
      </c>
      <c r="AM10" s="263" t="str">
        <f>IFERROR(HLOOKUP(AM$7,'PCO Log'!$E$11:$SJ$98,4,FALSE),"")</f>
        <v/>
      </c>
      <c r="AN10" s="263" t="str">
        <f>IFERROR(HLOOKUP(AN$7,'PCO Log'!$E$11:$SJ$98,4,FALSE),"")</f>
        <v/>
      </c>
      <c r="AO10" s="263" t="str">
        <f>IFERROR(HLOOKUP(AO$7,'PCO Log'!$E$11:$SJ$98,4,FALSE),"")</f>
        <v/>
      </c>
      <c r="AP10" s="263" t="str">
        <f>IFERROR(HLOOKUP(AP$7,'PCO Log'!$E$11:$SJ$98,4,FALSE),"")</f>
        <v/>
      </c>
      <c r="AQ10" s="263" t="str">
        <f>IFERROR(HLOOKUP(AQ$7,'PCO Log'!$E$11:$SJ$98,4,FALSE),"")</f>
        <v/>
      </c>
      <c r="AR10" s="263" t="str">
        <f>IFERROR(HLOOKUP(AR$7,'PCO Log'!$E$11:$SJ$98,4,FALSE),"")</f>
        <v/>
      </c>
      <c r="AS10" s="263" t="str">
        <f>IFERROR(HLOOKUP(AS$7,'PCO Log'!$E$11:$SJ$98,4,FALSE),"")</f>
        <v/>
      </c>
      <c r="AT10" s="263" t="str">
        <f>IFERROR(HLOOKUP(AT$7,'PCO Log'!$E$11:$SJ$98,4,FALSE),"")</f>
        <v/>
      </c>
      <c r="AU10" s="263" t="str">
        <f>IFERROR(HLOOKUP(AU$7,'PCO Log'!$E$11:$SJ$98,4,FALSE),"")</f>
        <v/>
      </c>
      <c r="AV10" s="263" t="str">
        <f>IFERROR(HLOOKUP(AV$7,'PCO Log'!$E$11:$SJ$98,4,FALSE),"")</f>
        <v/>
      </c>
      <c r="AW10" s="263" t="str">
        <f>IFERROR(HLOOKUP(AW$7,'PCO Log'!$E$11:$SJ$98,4,FALSE),"")</f>
        <v/>
      </c>
      <c r="AX10" s="263" t="str">
        <f>IFERROR(HLOOKUP(AX$7,'PCO Log'!$E$11:$SJ$98,4,FALSE),"")</f>
        <v/>
      </c>
      <c r="AY10" s="263" t="str">
        <f>IFERROR(HLOOKUP(AY$7,'PCO Log'!$E$11:$SJ$98,4,FALSE),"")</f>
        <v/>
      </c>
      <c r="AZ10" s="263" t="str">
        <f>IFERROR(HLOOKUP(AZ$7,'PCO Log'!$E$11:$SJ$98,4,FALSE),"")</f>
        <v/>
      </c>
      <c r="BA10" s="263" t="str">
        <f>IFERROR(HLOOKUP(BA$7,'PCO Log'!$E$11:$SJ$98,4,FALSE),"")</f>
        <v/>
      </c>
      <c r="BB10" s="263" t="str">
        <f>IFERROR(HLOOKUP(BB$7,'PCO Log'!$E$11:$SJ$98,4,FALSE),"")</f>
        <v/>
      </c>
      <c r="BC10" s="263" t="str">
        <f>IFERROR(HLOOKUP(BC$7,'PCO Log'!$E$11:$SJ$98,4,FALSE),"")</f>
        <v/>
      </c>
    </row>
    <row r="11" spans="1:55" s="334" customFormat="1" x14ac:dyDescent="0.25">
      <c r="B11" s="49" t="str">
        <f>'Pay App 1'!B60</f>
        <v>01 13 41</v>
      </c>
      <c r="C11" s="25" t="str">
        <f>'Pay App 1'!C60</f>
        <v>Temp. Scaffolding and Platforms</v>
      </c>
      <c r="D11" s="263">
        <f t="shared" si="1"/>
        <v>0</v>
      </c>
      <c r="E11" s="263">
        <f>'Pay App 1'!D60</f>
        <v>0</v>
      </c>
      <c r="F11" s="263" t="str">
        <f>IFERROR(HLOOKUP(F$7,'PCO Log'!$E$11:$SJ$98,5,FALSE),"")</f>
        <v/>
      </c>
      <c r="G11" s="263" t="str">
        <f>IFERROR(HLOOKUP(G$7,'PCO Log'!$E$11:$SJ$98,5,FALSE),"")</f>
        <v/>
      </c>
      <c r="H11" s="263" t="str">
        <f>IFERROR(HLOOKUP(H$7,'PCO Log'!$E$11:$SJ$98,5,FALSE),"")</f>
        <v/>
      </c>
      <c r="I11" s="263" t="str">
        <f>IFERROR(HLOOKUP(I$7,'PCO Log'!$E$11:$SJ$98,5,FALSE),"")</f>
        <v/>
      </c>
      <c r="J11" s="263" t="str">
        <f>IFERROR(HLOOKUP(J$7,'PCO Log'!$E$11:$SJ$98,5,FALSE),"")</f>
        <v/>
      </c>
      <c r="K11" s="263" t="str">
        <f>IFERROR(HLOOKUP(K$7,'PCO Log'!$E$11:$SJ$98,5,FALSE),"")</f>
        <v/>
      </c>
      <c r="L11" s="263" t="str">
        <f>IFERROR(HLOOKUP(L$7,'PCO Log'!$E$11:$SJ$98,5,FALSE),"")</f>
        <v/>
      </c>
      <c r="M11" s="263" t="str">
        <f>IFERROR(HLOOKUP(M$7,'PCO Log'!$E$11:$SJ$98,5,FALSE),"")</f>
        <v/>
      </c>
      <c r="N11" s="263" t="str">
        <f>IFERROR(HLOOKUP(N$7,'PCO Log'!$E$11:$SJ$98,5,FALSE),"")</f>
        <v/>
      </c>
      <c r="O11" s="263" t="str">
        <f>IFERROR(HLOOKUP(O$7,'PCO Log'!$E$11:$SJ$98,5,FALSE),"")</f>
        <v/>
      </c>
      <c r="P11" s="263" t="str">
        <f>IFERROR(HLOOKUP(P$7,'PCO Log'!$E$11:$SJ$98,5,FALSE),"")</f>
        <v/>
      </c>
      <c r="Q11" s="263" t="str">
        <f>IFERROR(HLOOKUP(Q$7,'PCO Log'!$E$11:$SJ$98,5,FALSE),"")</f>
        <v/>
      </c>
      <c r="R11" s="263" t="str">
        <f>IFERROR(HLOOKUP(R$7,'PCO Log'!$E$11:$SJ$98,5,FALSE),"")</f>
        <v/>
      </c>
      <c r="S11" s="263" t="str">
        <f>IFERROR(HLOOKUP(S$7,'PCO Log'!$E$11:$SJ$98,5,FALSE),"")</f>
        <v/>
      </c>
      <c r="T11" s="263" t="str">
        <f>IFERROR(HLOOKUP(T$7,'PCO Log'!$E$11:$SJ$98,5,FALSE),"")</f>
        <v/>
      </c>
      <c r="U11" s="263" t="str">
        <f>IFERROR(HLOOKUP(U$7,'PCO Log'!$E$11:$SJ$98,5,FALSE),"")</f>
        <v/>
      </c>
      <c r="V11" s="263" t="str">
        <f>IFERROR(HLOOKUP(V$7,'PCO Log'!$E$11:$SJ$98,5,FALSE),"")</f>
        <v/>
      </c>
      <c r="W11" s="263" t="str">
        <f>IFERROR(HLOOKUP(W$7,'PCO Log'!$E$11:$SJ$98,5,FALSE),"")</f>
        <v/>
      </c>
      <c r="X11" s="263" t="str">
        <f>IFERROR(HLOOKUP(X$7,'PCO Log'!$E$11:$SJ$98,5,FALSE),"")</f>
        <v/>
      </c>
      <c r="Y11" s="263" t="str">
        <f>IFERROR(HLOOKUP(Y$7,'PCO Log'!$E$11:$SJ$98,5,FALSE),"")</f>
        <v/>
      </c>
      <c r="Z11" s="263" t="str">
        <f>IFERROR(HLOOKUP(Z$7,'PCO Log'!$E$11:$SJ$98,5,FALSE),"")</f>
        <v/>
      </c>
      <c r="AA11" s="263" t="str">
        <f>IFERROR(HLOOKUP(AA$7,'PCO Log'!$E$11:$SJ$98,5,FALSE),"")</f>
        <v/>
      </c>
      <c r="AB11" s="263" t="str">
        <f>IFERROR(HLOOKUP(AB$7,'PCO Log'!$E$11:$SJ$98,5,FALSE),"")</f>
        <v/>
      </c>
      <c r="AC11" s="263" t="str">
        <f>IFERROR(HLOOKUP(AC$7,'PCO Log'!$E$11:$SJ$98,5,FALSE),"")</f>
        <v/>
      </c>
      <c r="AD11" s="263" t="str">
        <f>IFERROR(HLOOKUP(AD$7,'PCO Log'!$E$11:$SJ$98,5,FALSE),"")</f>
        <v/>
      </c>
      <c r="AE11" s="263" t="str">
        <f>IFERROR(HLOOKUP(AE$7,'PCO Log'!$E$11:$SJ$98,5,FALSE),"")</f>
        <v/>
      </c>
      <c r="AF11" s="263" t="str">
        <f>IFERROR(HLOOKUP(AF$7,'PCO Log'!$E$11:$SJ$98,5,FALSE),"")</f>
        <v/>
      </c>
      <c r="AG11" s="263" t="str">
        <f>IFERROR(HLOOKUP(AG$7,'PCO Log'!$E$11:$SJ$98,5,FALSE),"")</f>
        <v/>
      </c>
      <c r="AH11" s="263" t="str">
        <f>IFERROR(HLOOKUP(AH$7,'PCO Log'!$E$11:$SJ$98,5,FALSE),"")</f>
        <v/>
      </c>
      <c r="AI11" s="263" t="str">
        <f>IFERROR(HLOOKUP(AI$7,'PCO Log'!$E$11:$SJ$98,5,FALSE),"")</f>
        <v/>
      </c>
      <c r="AJ11" s="263" t="str">
        <f>IFERROR(HLOOKUP(AJ$7,'PCO Log'!$E$11:$SJ$98,5,FALSE),"")</f>
        <v/>
      </c>
      <c r="AK11" s="263" t="str">
        <f>IFERROR(HLOOKUP(AK$7,'PCO Log'!$E$11:$SJ$98,5,FALSE),"")</f>
        <v/>
      </c>
      <c r="AL11" s="263" t="str">
        <f>IFERROR(HLOOKUP(AL$7,'PCO Log'!$E$11:$SJ$98,5,FALSE),"")</f>
        <v/>
      </c>
      <c r="AM11" s="263" t="str">
        <f>IFERROR(HLOOKUP(AM$7,'PCO Log'!$E$11:$SJ$98,5,FALSE),"")</f>
        <v/>
      </c>
      <c r="AN11" s="263" t="str">
        <f>IFERROR(HLOOKUP(AN$7,'PCO Log'!$E$11:$SJ$98,5,FALSE),"")</f>
        <v/>
      </c>
      <c r="AO11" s="263" t="str">
        <f>IFERROR(HLOOKUP(AO$7,'PCO Log'!$E$11:$SJ$98,5,FALSE),"")</f>
        <v/>
      </c>
      <c r="AP11" s="263" t="str">
        <f>IFERROR(HLOOKUP(AP$7,'PCO Log'!$E$11:$SJ$98,5,FALSE),"")</f>
        <v/>
      </c>
      <c r="AQ11" s="263" t="str">
        <f>IFERROR(HLOOKUP(AQ$7,'PCO Log'!$E$11:$SJ$98,5,FALSE),"")</f>
        <v/>
      </c>
      <c r="AR11" s="263" t="str">
        <f>IFERROR(HLOOKUP(AR$7,'PCO Log'!$E$11:$SJ$98,5,FALSE),"")</f>
        <v/>
      </c>
      <c r="AS11" s="263" t="str">
        <f>IFERROR(HLOOKUP(AS$7,'PCO Log'!$E$11:$SJ$98,5,FALSE),"")</f>
        <v/>
      </c>
      <c r="AT11" s="263" t="str">
        <f>IFERROR(HLOOKUP(AT$7,'PCO Log'!$E$11:$SJ$98,5,FALSE),"")</f>
        <v/>
      </c>
      <c r="AU11" s="263" t="str">
        <f>IFERROR(HLOOKUP(AU$7,'PCO Log'!$E$11:$SJ$98,5,FALSE),"")</f>
        <v/>
      </c>
      <c r="AV11" s="263" t="str">
        <f>IFERROR(HLOOKUP(AV$7,'PCO Log'!$E$11:$SJ$98,5,FALSE),"")</f>
        <v/>
      </c>
      <c r="AW11" s="263" t="str">
        <f>IFERROR(HLOOKUP(AW$7,'PCO Log'!$E$11:$SJ$98,5,FALSE),"")</f>
        <v/>
      </c>
      <c r="AX11" s="263" t="str">
        <f>IFERROR(HLOOKUP(AX$7,'PCO Log'!$E$11:$SJ$98,5,FALSE),"")</f>
        <v/>
      </c>
      <c r="AY11" s="263" t="str">
        <f>IFERROR(HLOOKUP(AY$7,'PCO Log'!$E$11:$SJ$98,5,FALSE),"")</f>
        <v/>
      </c>
      <c r="AZ11" s="263" t="str">
        <f>IFERROR(HLOOKUP(AZ$7,'PCO Log'!$E$11:$SJ$98,5,FALSE),"")</f>
        <v/>
      </c>
      <c r="BA11" s="263" t="str">
        <f>IFERROR(HLOOKUP(BA$7,'PCO Log'!$E$11:$SJ$98,5,FALSE),"")</f>
        <v/>
      </c>
      <c r="BB11" s="263" t="str">
        <f>IFERROR(HLOOKUP(BB$7,'PCO Log'!$E$11:$SJ$98,5,FALSE),"")</f>
        <v/>
      </c>
      <c r="BC11" s="263" t="str">
        <f>IFERROR(HLOOKUP(BC$7,'PCO Log'!$E$11:$SJ$98,5,FALSE),"")</f>
        <v/>
      </c>
    </row>
    <row r="12" spans="1:55" s="334" customFormat="1" x14ac:dyDescent="0.25">
      <c r="B12" s="49" t="str">
        <f>'Pay App 1'!B61</f>
        <v>01 13 60</v>
      </c>
      <c r="C12" s="25" t="str">
        <f>'Pay App 1'!C61</f>
        <v>SWPPP</v>
      </c>
      <c r="D12" s="263">
        <f t="shared" si="1"/>
        <v>0</v>
      </c>
      <c r="E12" s="263">
        <f>'Pay App 1'!D61</f>
        <v>0</v>
      </c>
      <c r="F12" s="263" t="str">
        <f>IFERROR(HLOOKUP(F$7,'PCO Log'!$E$11:$SJ$98,6,FALSE),"")</f>
        <v/>
      </c>
      <c r="G12" s="263" t="str">
        <f>IFERROR(HLOOKUP(G$7,'PCO Log'!$E$11:$SJ$98,6,FALSE),"")</f>
        <v/>
      </c>
      <c r="H12" s="263" t="str">
        <f>IFERROR(HLOOKUP(H$7,'PCO Log'!$E$11:$SJ$98,6,FALSE),"")</f>
        <v/>
      </c>
      <c r="I12" s="263" t="str">
        <f>IFERROR(HLOOKUP(I$7,'PCO Log'!$E$11:$SJ$98,6,FALSE),"")</f>
        <v/>
      </c>
      <c r="J12" s="263" t="str">
        <f>IFERROR(HLOOKUP(J$7,'PCO Log'!$E$11:$SJ$98,6,FALSE),"")</f>
        <v/>
      </c>
      <c r="K12" s="263" t="str">
        <f>IFERROR(HLOOKUP(K$7,'PCO Log'!$E$11:$SJ$98,6,FALSE),"")</f>
        <v/>
      </c>
      <c r="L12" s="263" t="str">
        <f>IFERROR(HLOOKUP(L$7,'PCO Log'!$E$11:$SJ$98,6,FALSE),"")</f>
        <v/>
      </c>
      <c r="M12" s="263" t="str">
        <f>IFERROR(HLOOKUP(M$7,'PCO Log'!$E$11:$SJ$98,6,FALSE),"")</f>
        <v/>
      </c>
      <c r="N12" s="263" t="str">
        <f>IFERROR(HLOOKUP(N$7,'PCO Log'!$E$11:$SJ$98,6,FALSE),"")</f>
        <v/>
      </c>
      <c r="O12" s="263" t="str">
        <f>IFERROR(HLOOKUP(O$7,'PCO Log'!$E$11:$SJ$98,6,FALSE),"")</f>
        <v/>
      </c>
      <c r="P12" s="263" t="str">
        <f>IFERROR(HLOOKUP(P$7,'PCO Log'!$E$11:$SJ$98,6,FALSE),"")</f>
        <v/>
      </c>
      <c r="Q12" s="263" t="str">
        <f>IFERROR(HLOOKUP(Q$7,'PCO Log'!$E$11:$SJ$98,6,FALSE),"")</f>
        <v/>
      </c>
      <c r="R12" s="263" t="str">
        <f>IFERROR(HLOOKUP(R$7,'PCO Log'!$E$11:$SJ$98,6,FALSE),"")</f>
        <v/>
      </c>
      <c r="S12" s="263" t="str">
        <f>IFERROR(HLOOKUP(S$7,'PCO Log'!$E$11:$SJ$98,6,FALSE),"")</f>
        <v/>
      </c>
      <c r="T12" s="263" t="str">
        <f>IFERROR(HLOOKUP(T$7,'PCO Log'!$E$11:$SJ$98,6,FALSE),"")</f>
        <v/>
      </c>
      <c r="U12" s="263" t="str">
        <f>IFERROR(HLOOKUP(U$7,'PCO Log'!$E$11:$SJ$98,6,FALSE),"")</f>
        <v/>
      </c>
      <c r="V12" s="263" t="str">
        <f>IFERROR(HLOOKUP(V$7,'PCO Log'!$E$11:$SJ$98,6,FALSE),"")</f>
        <v/>
      </c>
      <c r="W12" s="263" t="str">
        <f>IFERROR(HLOOKUP(W$7,'PCO Log'!$E$11:$SJ$98,6,FALSE),"")</f>
        <v/>
      </c>
      <c r="X12" s="263" t="str">
        <f>IFERROR(HLOOKUP(X$7,'PCO Log'!$E$11:$SJ$98,6,FALSE),"")</f>
        <v/>
      </c>
      <c r="Y12" s="263" t="str">
        <f>IFERROR(HLOOKUP(Y$7,'PCO Log'!$E$11:$SJ$98,6,FALSE),"")</f>
        <v/>
      </c>
      <c r="Z12" s="263" t="str">
        <f>IFERROR(HLOOKUP(Z$7,'PCO Log'!$E$11:$SJ$98,6,FALSE),"")</f>
        <v/>
      </c>
      <c r="AA12" s="263" t="str">
        <f>IFERROR(HLOOKUP(AA$7,'PCO Log'!$E$11:$SJ$98,6,FALSE),"")</f>
        <v/>
      </c>
      <c r="AB12" s="263" t="str">
        <f>IFERROR(HLOOKUP(AB$7,'PCO Log'!$E$11:$SJ$98,6,FALSE),"")</f>
        <v/>
      </c>
      <c r="AC12" s="263" t="str">
        <f>IFERROR(HLOOKUP(AC$7,'PCO Log'!$E$11:$SJ$98,6,FALSE),"")</f>
        <v/>
      </c>
      <c r="AD12" s="263" t="str">
        <f>IFERROR(HLOOKUP(AD$7,'PCO Log'!$E$11:$SJ$98,6,FALSE),"")</f>
        <v/>
      </c>
      <c r="AE12" s="263" t="str">
        <f>IFERROR(HLOOKUP(AE$7,'PCO Log'!$E$11:$SJ$98,6,FALSE),"")</f>
        <v/>
      </c>
      <c r="AF12" s="263" t="str">
        <f>IFERROR(HLOOKUP(AF$7,'PCO Log'!$E$11:$SJ$98,6,FALSE),"")</f>
        <v/>
      </c>
      <c r="AG12" s="263" t="str">
        <f>IFERROR(HLOOKUP(AG$7,'PCO Log'!$E$11:$SJ$98,6,FALSE),"")</f>
        <v/>
      </c>
      <c r="AH12" s="263" t="str">
        <f>IFERROR(HLOOKUP(AH$7,'PCO Log'!$E$11:$SJ$98,6,FALSE),"")</f>
        <v/>
      </c>
      <c r="AI12" s="263" t="str">
        <f>IFERROR(HLOOKUP(AI$7,'PCO Log'!$E$11:$SJ$98,6,FALSE),"")</f>
        <v/>
      </c>
      <c r="AJ12" s="263" t="str">
        <f>IFERROR(HLOOKUP(AJ$7,'PCO Log'!$E$11:$SJ$98,6,FALSE),"")</f>
        <v/>
      </c>
      <c r="AK12" s="263" t="str">
        <f>IFERROR(HLOOKUP(AK$7,'PCO Log'!$E$11:$SJ$98,6,FALSE),"")</f>
        <v/>
      </c>
      <c r="AL12" s="263" t="str">
        <f>IFERROR(HLOOKUP(AL$7,'PCO Log'!$E$11:$SJ$98,6,FALSE),"")</f>
        <v/>
      </c>
      <c r="AM12" s="263" t="str">
        <f>IFERROR(HLOOKUP(AM$7,'PCO Log'!$E$11:$SJ$98,6,FALSE),"")</f>
        <v/>
      </c>
      <c r="AN12" s="263" t="str">
        <f>IFERROR(HLOOKUP(AN$7,'PCO Log'!$E$11:$SJ$98,6,FALSE),"")</f>
        <v/>
      </c>
      <c r="AO12" s="263" t="str">
        <f>IFERROR(HLOOKUP(AO$7,'PCO Log'!$E$11:$SJ$98,6,FALSE),"")</f>
        <v/>
      </c>
      <c r="AP12" s="263" t="str">
        <f>IFERROR(HLOOKUP(AP$7,'PCO Log'!$E$11:$SJ$98,6,FALSE),"")</f>
        <v/>
      </c>
      <c r="AQ12" s="263" t="str">
        <f>IFERROR(HLOOKUP(AQ$7,'PCO Log'!$E$11:$SJ$98,6,FALSE),"")</f>
        <v/>
      </c>
      <c r="AR12" s="263" t="str">
        <f>IFERROR(HLOOKUP(AR$7,'PCO Log'!$E$11:$SJ$98,6,FALSE),"")</f>
        <v/>
      </c>
      <c r="AS12" s="263" t="str">
        <f>IFERROR(HLOOKUP(AS$7,'PCO Log'!$E$11:$SJ$98,6,FALSE),"")</f>
        <v/>
      </c>
      <c r="AT12" s="263" t="str">
        <f>IFERROR(HLOOKUP(AT$7,'PCO Log'!$E$11:$SJ$98,6,FALSE),"")</f>
        <v/>
      </c>
      <c r="AU12" s="263" t="str">
        <f>IFERROR(HLOOKUP(AU$7,'PCO Log'!$E$11:$SJ$98,6,FALSE),"")</f>
        <v/>
      </c>
      <c r="AV12" s="263" t="str">
        <f>IFERROR(HLOOKUP(AV$7,'PCO Log'!$E$11:$SJ$98,6,FALSE),"")</f>
        <v/>
      </c>
      <c r="AW12" s="263" t="str">
        <f>IFERROR(HLOOKUP(AW$7,'PCO Log'!$E$11:$SJ$98,6,FALSE),"")</f>
        <v/>
      </c>
      <c r="AX12" s="263" t="str">
        <f>IFERROR(HLOOKUP(AX$7,'PCO Log'!$E$11:$SJ$98,6,FALSE),"")</f>
        <v/>
      </c>
      <c r="AY12" s="263" t="str">
        <f>IFERROR(HLOOKUP(AY$7,'PCO Log'!$E$11:$SJ$98,6,FALSE),"")</f>
        <v/>
      </c>
      <c r="AZ12" s="263" t="str">
        <f>IFERROR(HLOOKUP(AZ$7,'PCO Log'!$E$11:$SJ$98,6,FALSE),"")</f>
        <v/>
      </c>
      <c r="BA12" s="263" t="str">
        <f>IFERROR(HLOOKUP(BA$7,'PCO Log'!$E$11:$SJ$98,6,FALSE),"")</f>
        <v/>
      </c>
      <c r="BB12" s="263" t="str">
        <f>IFERROR(HLOOKUP(BB$7,'PCO Log'!$E$11:$SJ$98,6,FALSE),"")</f>
        <v/>
      </c>
      <c r="BC12" s="263" t="str">
        <f>IFERROR(HLOOKUP(BC$7,'PCO Log'!$E$11:$SJ$98,6,FALSE),"")</f>
        <v/>
      </c>
    </row>
    <row r="13" spans="1:55" s="334" customFormat="1" x14ac:dyDescent="0.25">
      <c r="B13" s="49" t="str">
        <f>'Pay App 1'!B62</f>
        <v>01 19 70</v>
      </c>
      <c r="C13" s="25" t="str">
        <f>'Pay App 1'!C62</f>
        <v>Construction Cranes and Hoists</v>
      </c>
      <c r="D13" s="263">
        <f t="shared" si="1"/>
        <v>0</v>
      </c>
      <c r="E13" s="263">
        <f>'Pay App 1'!D62</f>
        <v>0</v>
      </c>
      <c r="F13" s="263" t="str">
        <f>IFERROR(HLOOKUP(F$7,'PCO Log'!$E$11:$SJ$98,7,FALSE),"")</f>
        <v/>
      </c>
      <c r="G13" s="263" t="str">
        <f>IFERROR(HLOOKUP(G$7,'PCO Log'!$E$11:$SJ$98,7,FALSE),"")</f>
        <v/>
      </c>
      <c r="H13" s="263" t="str">
        <f>IFERROR(HLOOKUP(H$7,'PCO Log'!$E$11:$SJ$98,7,FALSE),"")</f>
        <v/>
      </c>
      <c r="I13" s="263" t="str">
        <f>IFERROR(HLOOKUP(I$7,'PCO Log'!$E$11:$SJ$98,7,FALSE),"")</f>
        <v/>
      </c>
      <c r="J13" s="263" t="str">
        <f>IFERROR(HLOOKUP(J$7,'PCO Log'!$E$11:$SJ$98,7,FALSE),"")</f>
        <v/>
      </c>
      <c r="K13" s="263" t="str">
        <f>IFERROR(HLOOKUP(K$7,'PCO Log'!$E$11:$SJ$98,7,FALSE),"")</f>
        <v/>
      </c>
      <c r="L13" s="263" t="str">
        <f>IFERROR(HLOOKUP(L$7,'PCO Log'!$E$11:$SJ$98,7,FALSE),"")</f>
        <v/>
      </c>
      <c r="M13" s="263" t="str">
        <f>IFERROR(HLOOKUP(M$7,'PCO Log'!$E$11:$SJ$98,7,FALSE),"")</f>
        <v/>
      </c>
      <c r="N13" s="263" t="str">
        <f>IFERROR(HLOOKUP(N$7,'PCO Log'!$E$11:$SJ$98,7,FALSE),"")</f>
        <v/>
      </c>
      <c r="O13" s="263" t="str">
        <f>IFERROR(HLOOKUP(O$7,'PCO Log'!$E$11:$SJ$98,7,FALSE),"")</f>
        <v/>
      </c>
      <c r="P13" s="263" t="str">
        <f>IFERROR(HLOOKUP(P$7,'PCO Log'!$E$11:$SJ$98,7,FALSE),"")</f>
        <v/>
      </c>
      <c r="Q13" s="263" t="str">
        <f>IFERROR(HLOOKUP(Q$7,'PCO Log'!$E$11:$SJ$98,7,FALSE),"")</f>
        <v/>
      </c>
      <c r="R13" s="263" t="str">
        <f>IFERROR(HLOOKUP(R$7,'PCO Log'!$E$11:$SJ$98,7,FALSE),"")</f>
        <v/>
      </c>
      <c r="S13" s="263" t="str">
        <f>IFERROR(HLOOKUP(S$7,'PCO Log'!$E$11:$SJ$98,7,FALSE),"")</f>
        <v/>
      </c>
      <c r="T13" s="263" t="str">
        <f>IFERROR(HLOOKUP(T$7,'PCO Log'!$E$11:$SJ$98,7,FALSE),"")</f>
        <v/>
      </c>
      <c r="U13" s="263" t="str">
        <f>IFERROR(HLOOKUP(U$7,'PCO Log'!$E$11:$SJ$98,7,FALSE),"")</f>
        <v/>
      </c>
      <c r="V13" s="263" t="str">
        <f>IFERROR(HLOOKUP(V$7,'PCO Log'!$E$11:$SJ$98,7,FALSE),"")</f>
        <v/>
      </c>
      <c r="W13" s="263" t="str">
        <f>IFERROR(HLOOKUP(W$7,'PCO Log'!$E$11:$SJ$98,7,FALSE),"")</f>
        <v/>
      </c>
      <c r="X13" s="263" t="str">
        <f>IFERROR(HLOOKUP(X$7,'PCO Log'!$E$11:$SJ$98,7,FALSE),"")</f>
        <v/>
      </c>
      <c r="Y13" s="263" t="str">
        <f>IFERROR(HLOOKUP(Y$7,'PCO Log'!$E$11:$SJ$98,7,FALSE),"")</f>
        <v/>
      </c>
      <c r="Z13" s="263" t="str">
        <f>IFERROR(HLOOKUP(Z$7,'PCO Log'!$E$11:$SJ$98,7,FALSE),"")</f>
        <v/>
      </c>
      <c r="AA13" s="263" t="str">
        <f>IFERROR(HLOOKUP(AA$7,'PCO Log'!$E$11:$SJ$98,7,FALSE),"")</f>
        <v/>
      </c>
      <c r="AB13" s="263" t="str">
        <f>IFERROR(HLOOKUP(AB$7,'PCO Log'!$E$11:$SJ$98,7,FALSE),"")</f>
        <v/>
      </c>
      <c r="AC13" s="263" t="str">
        <f>IFERROR(HLOOKUP(AC$7,'PCO Log'!$E$11:$SJ$98,7,FALSE),"")</f>
        <v/>
      </c>
      <c r="AD13" s="263" t="str">
        <f>IFERROR(HLOOKUP(AD$7,'PCO Log'!$E$11:$SJ$98,7,FALSE),"")</f>
        <v/>
      </c>
      <c r="AE13" s="263" t="str">
        <f>IFERROR(HLOOKUP(AE$7,'PCO Log'!$E$11:$SJ$98,7,FALSE),"")</f>
        <v/>
      </c>
      <c r="AF13" s="263" t="str">
        <f>IFERROR(HLOOKUP(AF$7,'PCO Log'!$E$11:$SJ$98,7,FALSE),"")</f>
        <v/>
      </c>
      <c r="AG13" s="263" t="str">
        <f>IFERROR(HLOOKUP(AG$7,'PCO Log'!$E$11:$SJ$98,7,FALSE),"")</f>
        <v/>
      </c>
      <c r="AH13" s="263" t="str">
        <f>IFERROR(HLOOKUP(AH$7,'PCO Log'!$E$11:$SJ$98,7,FALSE),"")</f>
        <v/>
      </c>
      <c r="AI13" s="263" t="str">
        <f>IFERROR(HLOOKUP(AI$7,'PCO Log'!$E$11:$SJ$98,7,FALSE),"")</f>
        <v/>
      </c>
      <c r="AJ13" s="263" t="str">
        <f>IFERROR(HLOOKUP(AJ$7,'PCO Log'!$E$11:$SJ$98,7,FALSE),"")</f>
        <v/>
      </c>
      <c r="AK13" s="263" t="str">
        <f>IFERROR(HLOOKUP(AK$7,'PCO Log'!$E$11:$SJ$98,7,FALSE),"")</f>
        <v/>
      </c>
      <c r="AL13" s="263" t="str">
        <f>IFERROR(HLOOKUP(AL$7,'PCO Log'!$E$11:$SJ$98,7,FALSE),"")</f>
        <v/>
      </c>
      <c r="AM13" s="263" t="str">
        <f>IFERROR(HLOOKUP(AM$7,'PCO Log'!$E$11:$SJ$98,7,FALSE),"")</f>
        <v/>
      </c>
      <c r="AN13" s="263" t="str">
        <f>IFERROR(HLOOKUP(AN$7,'PCO Log'!$E$11:$SJ$98,7,FALSE),"")</f>
        <v/>
      </c>
      <c r="AO13" s="263" t="str">
        <f>IFERROR(HLOOKUP(AO$7,'PCO Log'!$E$11:$SJ$98,7,FALSE),"")</f>
        <v/>
      </c>
      <c r="AP13" s="263" t="str">
        <f>IFERROR(HLOOKUP(AP$7,'PCO Log'!$E$11:$SJ$98,7,FALSE),"")</f>
        <v/>
      </c>
      <c r="AQ13" s="263" t="str">
        <f>IFERROR(HLOOKUP(AQ$7,'PCO Log'!$E$11:$SJ$98,7,FALSE),"")</f>
        <v/>
      </c>
      <c r="AR13" s="263" t="str">
        <f>IFERROR(HLOOKUP(AR$7,'PCO Log'!$E$11:$SJ$98,7,FALSE),"")</f>
        <v/>
      </c>
      <c r="AS13" s="263" t="str">
        <f>IFERROR(HLOOKUP(AS$7,'PCO Log'!$E$11:$SJ$98,7,FALSE),"")</f>
        <v/>
      </c>
      <c r="AT13" s="263" t="str">
        <f>IFERROR(HLOOKUP(AT$7,'PCO Log'!$E$11:$SJ$98,7,FALSE),"")</f>
        <v/>
      </c>
      <c r="AU13" s="263" t="str">
        <f>IFERROR(HLOOKUP(AU$7,'PCO Log'!$E$11:$SJ$98,7,FALSE),"")</f>
        <v/>
      </c>
      <c r="AV13" s="263" t="str">
        <f>IFERROR(HLOOKUP(AV$7,'PCO Log'!$E$11:$SJ$98,7,FALSE),"")</f>
        <v/>
      </c>
      <c r="AW13" s="263" t="str">
        <f>IFERROR(HLOOKUP(AW$7,'PCO Log'!$E$11:$SJ$98,7,FALSE),"")</f>
        <v/>
      </c>
      <c r="AX13" s="263" t="str">
        <f>IFERROR(HLOOKUP(AX$7,'PCO Log'!$E$11:$SJ$98,7,FALSE),"")</f>
        <v/>
      </c>
      <c r="AY13" s="263" t="str">
        <f>IFERROR(HLOOKUP(AY$7,'PCO Log'!$E$11:$SJ$98,7,FALSE),"")</f>
        <v/>
      </c>
      <c r="AZ13" s="263" t="str">
        <f>IFERROR(HLOOKUP(AZ$7,'PCO Log'!$E$11:$SJ$98,7,FALSE),"")</f>
        <v/>
      </c>
      <c r="BA13" s="263" t="str">
        <f>IFERROR(HLOOKUP(BA$7,'PCO Log'!$E$11:$SJ$98,7,FALSE),"")</f>
        <v/>
      </c>
      <c r="BB13" s="263" t="str">
        <f>IFERROR(HLOOKUP(BB$7,'PCO Log'!$E$11:$SJ$98,7,FALSE),"")</f>
        <v/>
      </c>
      <c r="BC13" s="263" t="str">
        <f>IFERROR(HLOOKUP(BC$7,'PCO Log'!$E$11:$SJ$98,7,FALSE),"")</f>
        <v/>
      </c>
    </row>
    <row r="14" spans="1:55" s="334" customFormat="1" x14ac:dyDescent="0.25">
      <c r="B14" s="49" t="str">
        <f>'Pay App 1'!B63</f>
        <v>01 31 00</v>
      </c>
      <c r="C14" s="25" t="str">
        <f>'Pay App 1'!C63</f>
        <v>Contractor's Supervision</v>
      </c>
      <c r="D14" s="263">
        <f t="shared" si="1"/>
        <v>0</v>
      </c>
      <c r="E14" s="264">
        <f>'Pay App 1'!D63</f>
        <v>0</v>
      </c>
      <c r="F14" s="263" t="str">
        <f>IFERROR(HLOOKUP(F$7,'PCO Log'!$E$11:$SJ$98,8,FALSE),"")</f>
        <v/>
      </c>
      <c r="G14" s="263" t="str">
        <f>IFERROR(HLOOKUP(G$7,'PCO Log'!$E$11:$SJ$98,8,FALSE),"")</f>
        <v/>
      </c>
      <c r="H14" s="263" t="str">
        <f>IFERROR(HLOOKUP(H$7,'PCO Log'!$E$11:$SJ$98,8,FALSE),"")</f>
        <v/>
      </c>
      <c r="I14" s="263" t="str">
        <f>IFERROR(HLOOKUP(I$7,'PCO Log'!$E$11:$SJ$98,8,FALSE),"")</f>
        <v/>
      </c>
      <c r="J14" s="263" t="str">
        <f>IFERROR(HLOOKUP(J$7,'PCO Log'!$E$11:$SJ$98,8,FALSE),"")</f>
        <v/>
      </c>
      <c r="K14" s="263" t="str">
        <f>IFERROR(HLOOKUP(K$7,'PCO Log'!$E$11:$SJ$98,8,FALSE),"")</f>
        <v/>
      </c>
      <c r="L14" s="263" t="str">
        <f>IFERROR(HLOOKUP(L$7,'PCO Log'!$E$11:$SJ$98,8,FALSE),"")</f>
        <v/>
      </c>
      <c r="M14" s="263" t="str">
        <f>IFERROR(HLOOKUP(M$7,'PCO Log'!$E$11:$SJ$98,8,FALSE),"")</f>
        <v/>
      </c>
      <c r="N14" s="263" t="str">
        <f>IFERROR(HLOOKUP(N$7,'PCO Log'!$E$11:$SJ$98,8,FALSE),"")</f>
        <v/>
      </c>
      <c r="O14" s="263" t="str">
        <f>IFERROR(HLOOKUP(O$7,'PCO Log'!$E$11:$SJ$98,8,FALSE),"")</f>
        <v/>
      </c>
      <c r="P14" s="263" t="str">
        <f>IFERROR(HLOOKUP(P$7,'PCO Log'!$E$11:$SJ$98,8,FALSE),"")</f>
        <v/>
      </c>
      <c r="Q14" s="263" t="str">
        <f>IFERROR(HLOOKUP(Q$7,'PCO Log'!$E$11:$SJ$98,8,FALSE),"")</f>
        <v/>
      </c>
      <c r="R14" s="263" t="str">
        <f>IFERROR(HLOOKUP(R$7,'PCO Log'!$E$11:$SJ$98,8,FALSE),"")</f>
        <v/>
      </c>
      <c r="S14" s="263" t="str">
        <f>IFERROR(HLOOKUP(S$7,'PCO Log'!$E$11:$SJ$98,8,FALSE),"")</f>
        <v/>
      </c>
      <c r="T14" s="263" t="str">
        <f>IFERROR(HLOOKUP(T$7,'PCO Log'!$E$11:$SJ$98,8,FALSE),"")</f>
        <v/>
      </c>
      <c r="U14" s="263" t="str">
        <f>IFERROR(HLOOKUP(U$7,'PCO Log'!$E$11:$SJ$98,8,FALSE),"")</f>
        <v/>
      </c>
      <c r="V14" s="263" t="str">
        <f>IFERROR(HLOOKUP(V$7,'PCO Log'!$E$11:$SJ$98,8,FALSE),"")</f>
        <v/>
      </c>
      <c r="W14" s="263" t="str">
        <f>IFERROR(HLOOKUP(W$7,'PCO Log'!$E$11:$SJ$98,8,FALSE),"")</f>
        <v/>
      </c>
      <c r="X14" s="263" t="str">
        <f>IFERROR(HLOOKUP(X$7,'PCO Log'!$E$11:$SJ$98,8,FALSE),"")</f>
        <v/>
      </c>
      <c r="Y14" s="263" t="str">
        <f>IFERROR(HLOOKUP(Y$7,'PCO Log'!$E$11:$SJ$98,8,FALSE),"")</f>
        <v/>
      </c>
      <c r="Z14" s="263" t="str">
        <f>IFERROR(HLOOKUP(Z$7,'PCO Log'!$E$11:$SJ$98,8,FALSE),"")</f>
        <v/>
      </c>
      <c r="AA14" s="263" t="str">
        <f>IFERROR(HLOOKUP(AA$7,'PCO Log'!$E$11:$SJ$98,8,FALSE),"")</f>
        <v/>
      </c>
      <c r="AB14" s="263" t="str">
        <f>IFERROR(HLOOKUP(AB$7,'PCO Log'!$E$11:$SJ$98,8,FALSE),"")</f>
        <v/>
      </c>
      <c r="AC14" s="263" t="str">
        <f>IFERROR(HLOOKUP(AC$7,'PCO Log'!$E$11:$SJ$98,8,FALSE),"")</f>
        <v/>
      </c>
      <c r="AD14" s="263" t="str">
        <f>IFERROR(HLOOKUP(AD$7,'PCO Log'!$E$11:$SJ$98,8,FALSE),"")</f>
        <v/>
      </c>
      <c r="AE14" s="263" t="str">
        <f>IFERROR(HLOOKUP(AE$7,'PCO Log'!$E$11:$SJ$98,8,FALSE),"")</f>
        <v/>
      </c>
      <c r="AF14" s="263" t="str">
        <f>IFERROR(HLOOKUP(AF$7,'PCO Log'!$E$11:$SJ$98,8,FALSE),"")</f>
        <v/>
      </c>
      <c r="AG14" s="263" t="str">
        <f>IFERROR(HLOOKUP(AG$7,'PCO Log'!$E$11:$SJ$98,8,FALSE),"")</f>
        <v/>
      </c>
      <c r="AH14" s="263" t="str">
        <f>IFERROR(HLOOKUP(AH$7,'PCO Log'!$E$11:$SJ$98,8,FALSE),"")</f>
        <v/>
      </c>
      <c r="AI14" s="263" t="str">
        <f>IFERROR(HLOOKUP(AI$7,'PCO Log'!$E$11:$SJ$98,8,FALSE),"")</f>
        <v/>
      </c>
      <c r="AJ14" s="263" t="str">
        <f>IFERROR(HLOOKUP(AJ$7,'PCO Log'!$E$11:$SJ$98,8,FALSE),"")</f>
        <v/>
      </c>
      <c r="AK14" s="263" t="str">
        <f>IFERROR(HLOOKUP(AK$7,'PCO Log'!$E$11:$SJ$98,8,FALSE),"")</f>
        <v/>
      </c>
      <c r="AL14" s="263" t="str">
        <f>IFERROR(HLOOKUP(AL$7,'PCO Log'!$E$11:$SJ$98,8,FALSE),"")</f>
        <v/>
      </c>
      <c r="AM14" s="263" t="str">
        <f>IFERROR(HLOOKUP(AM$7,'PCO Log'!$E$11:$SJ$98,8,FALSE),"")</f>
        <v/>
      </c>
      <c r="AN14" s="263" t="str">
        <f>IFERROR(HLOOKUP(AN$7,'PCO Log'!$E$11:$SJ$98,8,FALSE),"")</f>
        <v/>
      </c>
      <c r="AO14" s="263" t="str">
        <f>IFERROR(HLOOKUP(AO$7,'PCO Log'!$E$11:$SJ$98,8,FALSE),"")</f>
        <v/>
      </c>
      <c r="AP14" s="263" t="str">
        <f>IFERROR(HLOOKUP(AP$7,'PCO Log'!$E$11:$SJ$98,8,FALSE),"")</f>
        <v/>
      </c>
      <c r="AQ14" s="263" t="str">
        <f>IFERROR(HLOOKUP(AQ$7,'PCO Log'!$E$11:$SJ$98,8,FALSE),"")</f>
        <v/>
      </c>
      <c r="AR14" s="263" t="str">
        <f>IFERROR(HLOOKUP(AR$7,'PCO Log'!$E$11:$SJ$98,8,FALSE),"")</f>
        <v/>
      </c>
      <c r="AS14" s="263" t="str">
        <f>IFERROR(HLOOKUP(AS$7,'PCO Log'!$E$11:$SJ$98,8,FALSE),"")</f>
        <v/>
      </c>
      <c r="AT14" s="263" t="str">
        <f>IFERROR(HLOOKUP(AT$7,'PCO Log'!$E$11:$SJ$98,8,FALSE),"")</f>
        <v/>
      </c>
      <c r="AU14" s="263" t="str">
        <f>IFERROR(HLOOKUP(AU$7,'PCO Log'!$E$11:$SJ$98,8,FALSE),"")</f>
        <v/>
      </c>
      <c r="AV14" s="263" t="str">
        <f>IFERROR(HLOOKUP(AV$7,'PCO Log'!$E$11:$SJ$98,8,FALSE),"")</f>
        <v/>
      </c>
      <c r="AW14" s="263" t="str">
        <f>IFERROR(HLOOKUP(AW$7,'PCO Log'!$E$11:$SJ$98,8,FALSE),"")</f>
        <v/>
      </c>
      <c r="AX14" s="263" t="str">
        <f>IFERROR(HLOOKUP(AX$7,'PCO Log'!$E$11:$SJ$98,8,FALSE),"")</f>
        <v/>
      </c>
      <c r="AY14" s="263" t="str">
        <f>IFERROR(HLOOKUP(AY$7,'PCO Log'!$E$11:$SJ$98,8,FALSE),"")</f>
        <v/>
      </c>
      <c r="AZ14" s="263" t="str">
        <f>IFERROR(HLOOKUP(AZ$7,'PCO Log'!$E$11:$SJ$98,8,FALSE),"")</f>
        <v/>
      </c>
      <c r="BA14" s="263" t="str">
        <f>IFERROR(HLOOKUP(BA$7,'PCO Log'!$E$11:$SJ$98,8,FALSE),"")</f>
        <v/>
      </c>
      <c r="BB14" s="263" t="str">
        <f>IFERROR(HLOOKUP(BB$7,'PCO Log'!$E$11:$SJ$98,8,FALSE),"")</f>
        <v/>
      </c>
      <c r="BC14" s="263" t="str">
        <f>IFERROR(HLOOKUP(BC$7,'PCO Log'!$E$11:$SJ$98,8,FALSE),"")</f>
        <v/>
      </c>
    </row>
    <row r="15" spans="1:55" s="334" customFormat="1" x14ac:dyDescent="0.25">
      <c r="B15" s="49" t="str">
        <f>'Pay App 1'!B64</f>
        <v>01 32 00</v>
      </c>
      <c r="C15" s="25" t="str">
        <f>'Pay App 1'!C64</f>
        <v>General Liability Insurance</v>
      </c>
      <c r="D15" s="263">
        <f t="shared" si="1"/>
        <v>0</v>
      </c>
      <c r="E15" s="264">
        <f>'Pay App 1'!D64</f>
        <v>0</v>
      </c>
      <c r="F15" s="263" t="str">
        <f>IFERROR(HLOOKUP(F$7,'PCO Log'!$E$11:$SJ$98,9,FALSE),"")</f>
        <v/>
      </c>
      <c r="G15" s="263" t="str">
        <f>IFERROR(HLOOKUP(G$7,'PCO Log'!$E$11:$SJ$98,9,FALSE),"")</f>
        <v/>
      </c>
      <c r="H15" s="263" t="str">
        <f>IFERROR(HLOOKUP(H$7,'PCO Log'!$E$11:$SJ$98,9,FALSE),"")</f>
        <v/>
      </c>
      <c r="I15" s="263" t="str">
        <f>IFERROR(HLOOKUP(I$7,'PCO Log'!$E$11:$SJ$98,9,FALSE),"")</f>
        <v/>
      </c>
      <c r="J15" s="263" t="str">
        <f>IFERROR(HLOOKUP(J$7,'PCO Log'!$E$11:$SJ$98,9,FALSE),"")</f>
        <v/>
      </c>
      <c r="K15" s="263" t="str">
        <f>IFERROR(HLOOKUP(K$7,'PCO Log'!$E$11:$SJ$98,9,FALSE),"")</f>
        <v/>
      </c>
      <c r="L15" s="263" t="str">
        <f>IFERROR(HLOOKUP(L$7,'PCO Log'!$E$11:$SJ$98,9,FALSE),"")</f>
        <v/>
      </c>
      <c r="M15" s="263" t="str">
        <f>IFERROR(HLOOKUP(M$7,'PCO Log'!$E$11:$SJ$98,9,FALSE),"")</f>
        <v/>
      </c>
      <c r="N15" s="263" t="str">
        <f>IFERROR(HLOOKUP(N$7,'PCO Log'!$E$11:$SJ$98,9,FALSE),"")</f>
        <v/>
      </c>
      <c r="O15" s="263" t="str">
        <f>IFERROR(HLOOKUP(O$7,'PCO Log'!$E$11:$SJ$98,9,FALSE),"")</f>
        <v/>
      </c>
      <c r="P15" s="263" t="str">
        <f>IFERROR(HLOOKUP(P$7,'PCO Log'!$E$11:$SJ$98,9,FALSE),"")</f>
        <v/>
      </c>
      <c r="Q15" s="263" t="str">
        <f>IFERROR(HLOOKUP(Q$7,'PCO Log'!$E$11:$SJ$98,9,FALSE),"")</f>
        <v/>
      </c>
      <c r="R15" s="263" t="str">
        <f>IFERROR(HLOOKUP(R$7,'PCO Log'!$E$11:$SJ$98,9,FALSE),"")</f>
        <v/>
      </c>
      <c r="S15" s="263" t="str">
        <f>IFERROR(HLOOKUP(S$7,'PCO Log'!$E$11:$SJ$98,9,FALSE),"")</f>
        <v/>
      </c>
      <c r="T15" s="263" t="str">
        <f>IFERROR(HLOOKUP(T$7,'PCO Log'!$E$11:$SJ$98,9,FALSE),"")</f>
        <v/>
      </c>
      <c r="U15" s="263" t="str">
        <f>IFERROR(HLOOKUP(U$7,'PCO Log'!$E$11:$SJ$98,9,FALSE),"")</f>
        <v/>
      </c>
      <c r="V15" s="263" t="str">
        <f>IFERROR(HLOOKUP(V$7,'PCO Log'!$E$11:$SJ$98,9,FALSE),"")</f>
        <v/>
      </c>
      <c r="W15" s="263" t="str">
        <f>IFERROR(HLOOKUP(W$7,'PCO Log'!$E$11:$SJ$98,9,FALSE),"")</f>
        <v/>
      </c>
      <c r="X15" s="263" t="str">
        <f>IFERROR(HLOOKUP(X$7,'PCO Log'!$E$11:$SJ$98,9,FALSE),"")</f>
        <v/>
      </c>
      <c r="Y15" s="263" t="str">
        <f>IFERROR(HLOOKUP(Y$7,'PCO Log'!$E$11:$SJ$98,9,FALSE),"")</f>
        <v/>
      </c>
      <c r="Z15" s="263" t="str">
        <f>IFERROR(HLOOKUP(Z$7,'PCO Log'!$E$11:$SJ$98,9,FALSE),"")</f>
        <v/>
      </c>
      <c r="AA15" s="263" t="str">
        <f>IFERROR(HLOOKUP(AA$7,'PCO Log'!$E$11:$SJ$98,9,FALSE),"")</f>
        <v/>
      </c>
      <c r="AB15" s="263" t="str">
        <f>IFERROR(HLOOKUP(AB$7,'PCO Log'!$E$11:$SJ$98,9,FALSE),"")</f>
        <v/>
      </c>
      <c r="AC15" s="263" t="str">
        <f>IFERROR(HLOOKUP(AC$7,'PCO Log'!$E$11:$SJ$98,9,FALSE),"")</f>
        <v/>
      </c>
      <c r="AD15" s="263" t="str">
        <f>IFERROR(HLOOKUP(AD$7,'PCO Log'!$E$11:$SJ$98,9,FALSE),"")</f>
        <v/>
      </c>
      <c r="AE15" s="263" t="str">
        <f>IFERROR(HLOOKUP(AE$7,'PCO Log'!$E$11:$SJ$98,9,FALSE),"")</f>
        <v/>
      </c>
      <c r="AF15" s="263" t="str">
        <f>IFERROR(HLOOKUP(AF$7,'PCO Log'!$E$11:$SJ$98,9,FALSE),"")</f>
        <v/>
      </c>
      <c r="AG15" s="263" t="str">
        <f>IFERROR(HLOOKUP(AG$7,'PCO Log'!$E$11:$SJ$98,9,FALSE),"")</f>
        <v/>
      </c>
      <c r="AH15" s="263" t="str">
        <f>IFERROR(HLOOKUP(AH$7,'PCO Log'!$E$11:$SJ$98,9,FALSE),"")</f>
        <v/>
      </c>
      <c r="AI15" s="263" t="str">
        <f>IFERROR(HLOOKUP(AI$7,'PCO Log'!$E$11:$SJ$98,9,FALSE),"")</f>
        <v/>
      </c>
      <c r="AJ15" s="263" t="str">
        <f>IFERROR(HLOOKUP(AJ$7,'PCO Log'!$E$11:$SJ$98,9,FALSE),"")</f>
        <v/>
      </c>
      <c r="AK15" s="263" t="str">
        <f>IFERROR(HLOOKUP(AK$7,'PCO Log'!$E$11:$SJ$98,9,FALSE),"")</f>
        <v/>
      </c>
      <c r="AL15" s="263" t="str">
        <f>IFERROR(HLOOKUP(AL$7,'PCO Log'!$E$11:$SJ$98,9,FALSE),"")</f>
        <v/>
      </c>
      <c r="AM15" s="263" t="str">
        <f>IFERROR(HLOOKUP(AM$7,'PCO Log'!$E$11:$SJ$98,9,FALSE),"")</f>
        <v/>
      </c>
      <c r="AN15" s="263" t="str">
        <f>IFERROR(HLOOKUP(AN$7,'PCO Log'!$E$11:$SJ$98,9,FALSE),"")</f>
        <v/>
      </c>
      <c r="AO15" s="263" t="str">
        <f>IFERROR(HLOOKUP(AO$7,'PCO Log'!$E$11:$SJ$98,9,FALSE),"")</f>
        <v/>
      </c>
      <c r="AP15" s="263" t="str">
        <f>IFERROR(HLOOKUP(AP$7,'PCO Log'!$E$11:$SJ$98,9,FALSE),"")</f>
        <v/>
      </c>
      <c r="AQ15" s="263" t="str">
        <f>IFERROR(HLOOKUP(AQ$7,'PCO Log'!$E$11:$SJ$98,9,FALSE),"")</f>
        <v/>
      </c>
      <c r="AR15" s="263" t="str">
        <f>IFERROR(HLOOKUP(AR$7,'PCO Log'!$E$11:$SJ$98,9,FALSE),"")</f>
        <v/>
      </c>
      <c r="AS15" s="263" t="str">
        <f>IFERROR(HLOOKUP(AS$7,'PCO Log'!$E$11:$SJ$98,9,FALSE),"")</f>
        <v/>
      </c>
      <c r="AT15" s="263" t="str">
        <f>IFERROR(HLOOKUP(AT$7,'PCO Log'!$E$11:$SJ$98,9,FALSE),"")</f>
        <v/>
      </c>
      <c r="AU15" s="263" t="str">
        <f>IFERROR(HLOOKUP(AU$7,'PCO Log'!$E$11:$SJ$98,9,FALSE),"")</f>
        <v/>
      </c>
      <c r="AV15" s="263" t="str">
        <f>IFERROR(HLOOKUP(AV$7,'PCO Log'!$E$11:$SJ$98,9,FALSE),"")</f>
        <v/>
      </c>
      <c r="AW15" s="263" t="str">
        <f>IFERROR(HLOOKUP(AW$7,'PCO Log'!$E$11:$SJ$98,9,FALSE),"")</f>
        <v/>
      </c>
      <c r="AX15" s="263" t="str">
        <f>IFERROR(HLOOKUP(AX$7,'PCO Log'!$E$11:$SJ$98,9,FALSE),"")</f>
        <v/>
      </c>
      <c r="AY15" s="263" t="str">
        <f>IFERROR(HLOOKUP(AY$7,'PCO Log'!$E$11:$SJ$98,9,FALSE),"")</f>
        <v/>
      </c>
      <c r="AZ15" s="263" t="str">
        <f>IFERROR(HLOOKUP(AZ$7,'PCO Log'!$E$11:$SJ$98,9,FALSE),"")</f>
        <v/>
      </c>
      <c r="BA15" s="263" t="str">
        <f>IFERROR(HLOOKUP(BA$7,'PCO Log'!$E$11:$SJ$98,9,FALSE),"")</f>
        <v/>
      </c>
      <c r="BB15" s="263" t="str">
        <f>IFERROR(HLOOKUP(BB$7,'PCO Log'!$E$11:$SJ$98,9,FALSE),"")</f>
        <v/>
      </c>
      <c r="BC15" s="263" t="str">
        <f>IFERROR(HLOOKUP(BC$7,'PCO Log'!$E$11:$SJ$98,9,FALSE),"")</f>
        <v/>
      </c>
    </row>
    <row r="16" spans="1:55" s="334" customFormat="1" x14ac:dyDescent="0.25">
      <c r="B16" s="49" t="str">
        <f>'Pay App 1'!B65</f>
        <v>01 33 00</v>
      </c>
      <c r="C16" s="25" t="str">
        <f>'Pay App 1'!C65</f>
        <v xml:space="preserve">Performance &amp; Payment Bond  </v>
      </c>
      <c r="D16" s="263">
        <f t="shared" si="1"/>
        <v>0</v>
      </c>
      <c r="E16" s="264">
        <f>'Pay App 1'!D65</f>
        <v>0</v>
      </c>
      <c r="F16" s="263" t="str">
        <f>IFERROR(HLOOKUP(F$7,'PCO Log'!$E$11:$SJ$98,10,FALSE),"")</f>
        <v/>
      </c>
      <c r="G16" s="263" t="str">
        <f>IFERROR(HLOOKUP(G$7,'PCO Log'!$E$11:$SJ$98,10,FALSE),"")</f>
        <v/>
      </c>
      <c r="H16" s="263" t="str">
        <f>IFERROR(HLOOKUP(H$7,'PCO Log'!$E$11:$SJ$98,10,FALSE),"")</f>
        <v/>
      </c>
      <c r="I16" s="263" t="str">
        <f>IFERROR(HLOOKUP(I$7,'PCO Log'!$E$11:$SJ$98,10,FALSE),"")</f>
        <v/>
      </c>
      <c r="J16" s="263" t="str">
        <f>IFERROR(HLOOKUP(J$7,'PCO Log'!$E$11:$SJ$98,10,FALSE),"")</f>
        <v/>
      </c>
      <c r="K16" s="263" t="str">
        <f>IFERROR(HLOOKUP(K$7,'PCO Log'!$E$11:$SJ$98,10,FALSE),"")</f>
        <v/>
      </c>
      <c r="L16" s="263" t="str">
        <f>IFERROR(HLOOKUP(L$7,'PCO Log'!$E$11:$SJ$98,10,FALSE),"")</f>
        <v/>
      </c>
      <c r="M16" s="263" t="str">
        <f>IFERROR(HLOOKUP(M$7,'PCO Log'!$E$11:$SJ$98,10,FALSE),"")</f>
        <v/>
      </c>
      <c r="N16" s="263" t="str">
        <f>IFERROR(HLOOKUP(N$7,'PCO Log'!$E$11:$SJ$98,10,FALSE),"")</f>
        <v/>
      </c>
      <c r="O16" s="263" t="str">
        <f>IFERROR(HLOOKUP(O$7,'PCO Log'!$E$11:$SJ$98,10,FALSE),"")</f>
        <v/>
      </c>
      <c r="P16" s="263" t="str">
        <f>IFERROR(HLOOKUP(P$7,'PCO Log'!$E$11:$SJ$98,10,FALSE),"")</f>
        <v/>
      </c>
      <c r="Q16" s="263" t="str">
        <f>IFERROR(HLOOKUP(Q$7,'PCO Log'!$E$11:$SJ$98,10,FALSE),"")</f>
        <v/>
      </c>
      <c r="R16" s="263" t="str">
        <f>IFERROR(HLOOKUP(R$7,'PCO Log'!$E$11:$SJ$98,10,FALSE),"")</f>
        <v/>
      </c>
      <c r="S16" s="263" t="str">
        <f>IFERROR(HLOOKUP(S$7,'PCO Log'!$E$11:$SJ$98,10,FALSE),"")</f>
        <v/>
      </c>
      <c r="T16" s="263" t="str">
        <f>IFERROR(HLOOKUP(T$7,'PCO Log'!$E$11:$SJ$98,10,FALSE),"")</f>
        <v/>
      </c>
      <c r="U16" s="263" t="str">
        <f>IFERROR(HLOOKUP(U$7,'PCO Log'!$E$11:$SJ$98,10,FALSE),"")</f>
        <v/>
      </c>
      <c r="V16" s="263" t="str">
        <f>IFERROR(HLOOKUP(V$7,'PCO Log'!$E$11:$SJ$98,10,FALSE),"")</f>
        <v/>
      </c>
      <c r="W16" s="263" t="str">
        <f>IFERROR(HLOOKUP(W$7,'PCO Log'!$E$11:$SJ$98,10,FALSE),"")</f>
        <v/>
      </c>
      <c r="X16" s="263" t="str">
        <f>IFERROR(HLOOKUP(X$7,'PCO Log'!$E$11:$SJ$98,10,FALSE),"")</f>
        <v/>
      </c>
      <c r="Y16" s="263" t="str">
        <f>IFERROR(HLOOKUP(Y$7,'PCO Log'!$E$11:$SJ$98,10,FALSE),"")</f>
        <v/>
      </c>
      <c r="Z16" s="263" t="str">
        <f>IFERROR(HLOOKUP(Z$7,'PCO Log'!$E$11:$SJ$98,10,FALSE),"")</f>
        <v/>
      </c>
      <c r="AA16" s="263" t="str">
        <f>IFERROR(HLOOKUP(AA$7,'PCO Log'!$E$11:$SJ$98,10,FALSE),"")</f>
        <v/>
      </c>
      <c r="AB16" s="263" t="str">
        <f>IFERROR(HLOOKUP(AB$7,'PCO Log'!$E$11:$SJ$98,10,FALSE),"")</f>
        <v/>
      </c>
      <c r="AC16" s="263" t="str">
        <f>IFERROR(HLOOKUP(AC$7,'PCO Log'!$E$11:$SJ$98,10,FALSE),"")</f>
        <v/>
      </c>
      <c r="AD16" s="263" t="str">
        <f>IFERROR(HLOOKUP(AD$7,'PCO Log'!$E$11:$SJ$98,10,FALSE),"")</f>
        <v/>
      </c>
      <c r="AE16" s="263" t="str">
        <f>IFERROR(HLOOKUP(AE$7,'PCO Log'!$E$11:$SJ$98,10,FALSE),"")</f>
        <v/>
      </c>
      <c r="AF16" s="263" t="str">
        <f>IFERROR(HLOOKUP(AF$7,'PCO Log'!$E$11:$SJ$98,10,FALSE),"")</f>
        <v/>
      </c>
      <c r="AG16" s="263" t="str">
        <f>IFERROR(HLOOKUP(AG$7,'PCO Log'!$E$11:$SJ$98,10,FALSE),"")</f>
        <v/>
      </c>
      <c r="AH16" s="263" t="str">
        <f>IFERROR(HLOOKUP(AH$7,'PCO Log'!$E$11:$SJ$98,10,FALSE),"")</f>
        <v/>
      </c>
      <c r="AI16" s="263" t="str">
        <f>IFERROR(HLOOKUP(AI$7,'PCO Log'!$E$11:$SJ$98,10,FALSE),"")</f>
        <v/>
      </c>
      <c r="AJ16" s="263" t="str">
        <f>IFERROR(HLOOKUP(AJ$7,'PCO Log'!$E$11:$SJ$98,10,FALSE),"")</f>
        <v/>
      </c>
      <c r="AK16" s="263" t="str">
        <f>IFERROR(HLOOKUP(AK$7,'PCO Log'!$E$11:$SJ$98,10,FALSE),"")</f>
        <v/>
      </c>
      <c r="AL16" s="263" t="str">
        <f>IFERROR(HLOOKUP(AL$7,'PCO Log'!$E$11:$SJ$98,10,FALSE),"")</f>
        <v/>
      </c>
      <c r="AM16" s="263" t="str">
        <f>IFERROR(HLOOKUP(AM$7,'PCO Log'!$E$11:$SJ$98,10,FALSE),"")</f>
        <v/>
      </c>
      <c r="AN16" s="263" t="str">
        <f>IFERROR(HLOOKUP(AN$7,'PCO Log'!$E$11:$SJ$98,10,FALSE),"")</f>
        <v/>
      </c>
      <c r="AO16" s="263" t="str">
        <f>IFERROR(HLOOKUP(AO$7,'PCO Log'!$E$11:$SJ$98,10,FALSE),"")</f>
        <v/>
      </c>
      <c r="AP16" s="263" t="str">
        <f>IFERROR(HLOOKUP(AP$7,'PCO Log'!$E$11:$SJ$98,10,FALSE),"")</f>
        <v/>
      </c>
      <c r="AQ16" s="263" t="str">
        <f>IFERROR(HLOOKUP(AQ$7,'PCO Log'!$E$11:$SJ$98,10,FALSE),"")</f>
        <v/>
      </c>
      <c r="AR16" s="263" t="str">
        <f>IFERROR(HLOOKUP(AR$7,'PCO Log'!$E$11:$SJ$98,10,FALSE),"")</f>
        <v/>
      </c>
      <c r="AS16" s="263" t="str">
        <f>IFERROR(HLOOKUP(AS$7,'PCO Log'!$E$11:$SJ$98,10,FALSE),"")</f>
        <v/>
      </c>
      <c r="AT16" s="263" t="str">
        <f>IFERROR(HLOOKUP(AT$7,'PCO Log'!$E$11:$SJ$98,10,FALSE),"")</f>
        <v/>
      </c>
      <c r="AU16" s="263" t="str">
        <f>IFERROR(HLOOKUP(AU$7,'PCO Log'!$E$11:$SJ$98,10,FALSE),"")</f>
        <v/>
      </c>
      <c r="AV16" s="263" t="str">
        <f>IFERROR(HLOOKUP(AV$7,'PCO Log'!$E$11:$SJ$98,10,FALSE),"")</f>
        <v/>
      </c>
      <c r="AW16" s="263" t="str">
        <f>IFERROR(HLOOKUP(AW$7,'PCO Log'!$E$11:$SJ$98,10,FALSE),"")</f>
        <v/>
      </c>
      <c r="AX16" s="263" t="str">
        <f>IFERROR(HLOOKUP(AX$7,'PCO Log'!$E$11:$SJ$98,10,FALSE),"")</f>
        <v/>
      </c>
      <c r="AY16" s="263" t="str">
        <f>IFERROR(HLOOKUP(AY$7,'PCO Log'!$E$11:$SJ$98,10,FALSE),"")</f>
        <v/>
      </c>
      <c r="AZ16" s="263" t="str">
        <f>IFERROR(HLOOKUP(AZ$7,'PCO Log'!$E$11:$SJ$98,10,FALSE),"")</f>
        <v/>
      </c>
      <c r="BA16" s="263" t="str">
        <f>IFERROR(HLOOKUP(BA$7,'PCO Log'!$E$11:$SJ$98,10,FALSE),"")</f>
        <v/>
      </c>
      <c r="BB16" s="263" t="str">
        <f>IFERROR(HLOOKUP(BB$7,'PCO Log'!$E$11:$SJ$98,10,FALSE),"")</f>
        <v/>
      </c>
      <c r="BC16" s="263" t="str">
        <f>IFERROR(HLOOKUP(BC$7,'PCO Log'!$E$11:$SJ$98,10,FALSE),"")</f>
        <v/>
      </c>
    </row>
    <row r="17" spans="2:55" s="334" customFormat="1" x14ac:dyDescent="0.25">
      <c r="B17" s="49" t="str">
        <f>'Pay App 1'!B66</f>
        <v>01 34 00</v>
      </c>
      <c r="C17" s="25" t="str">
        <f>'Pay App 1'!C66</f>
        <v>Subcontractor Default Insurance</v>
      </c>
      <c r="D17" s="263">
        <f t="shared" si="1"/>
        <v>0</v>
      </c>
      <c r="E17" s="264">
        <f>'Pay App 1'!D66</f>
        <v>0</v>
      </c>
      <c r="F17" s="263" t="str">
        <f>IFERROR(HLOOKUP(F$7,'PCO Log'!$E$11:$SJ$98,11,FALSE),"")</f>
        <v/>
      </c>
      <c r="G17" s="263" t="str">
        <f>IFERROR(HLOOKUP(G$7,'PCO Log'!$E$11:$SJ$98,11,FALSE),"")</f>
        <v/>
      </c>
      <c r="H17" s="263" t="str">
        <f>IFERROR(HLOOKUP(H$7,'PCO Log'!$E$11:$SJ$98,11,FALSE),"")</f>
        <v/>
      </c>
      <c r="I17" s="263" t="str">
        <f>IFERROR(HLOOKUP(I$7,'PCO Log'!$E$11:$SJ$98,11,FALSE),"")</f>
        <v/>
      </c>
      <c r="J17" s="263" t="str">
        <f>IFERROR(HLOOKUP(J$7,'PCO Log'!$E$11:$SJ$98,11,FALSE),"")</f>
        <v/>
      </c>
      <c r="K17" s="263" t="str">
        <f>IFERROR(HLOOKUP(K$7,'PCO Log'!$E$11:$SJ$98,11,FALSE),"")</f>
        <v/>
      </c>
      <c r="L17" s="263" t="str">
        <f>IFERROR(HLOOKUP(L$7,'PCO Log'!$E$11:$SJ$98,11,FALSE),"")</f>
        <v/>
      </c>
      <c r="M17" s="263" t="str">
        <f>IFERROR(HLOOKUP(M$7,'PCO Log'!$E$11:$SJ$98,11,FALSE),"")</f>
        <v/>
      </c>
      <c r="N17" s="263" t="str">
        <f>IFERROR(HLOOKUP(N$7,'PCO Log'!$E$11:$SJ$98,11,FALSE),"")</f>
        <v/>
      </c>
      <c r="O17" s="263" t="str">
        <f>IFERROR(HLOOKUP(O$7,'PCO Log'!$E$11:$SJ$98,11,FALSE),"")</f>
        <v/>
      </c>
      <c r="P17" s="263" t="str">
        <f>IFERROR(HLOOKUP(P$7,'PCO Log'!$E$11:$SJ$98,11,FALSE),"")</f>
        <v/>
      </c>
      <c r="Q17" s="263" t="str">
        <f>IFERROR(HLOOKUP(Q$7,'PCO Log'!$E$11:$SJ$98,11,FALSE),"")</f>
        <v/>
      </c>
      <c r="R17" s="263" t="str">
        <f>IFERROR(HLOOKUP(R$7,'PCO Log'!$E$11:$SJ$98,11,FALSE),"")</f>
        <v/>
      </c>
      <c r="S17" s="263" t="str">
        <f>IFERROR(HLOOKUP(S$7,'PCO Log'!$E$11:$SJ$98,11,FALSE),"")</f>
        <v/>
      </c>
      <c r="T17" s="263" t="str">
        <f>IFERROR(HLOOKUP(T$7,'PCO Log'!$E$11:$SJ$98,11,FALSE),"")</f>
        <v/>
      </c>
      <c r="U17" s="263" t="str">
        <f>IFERROR(HLOOKUP(U$7,'PCO Log'!$E$11:$SJ$98,11,FALSE),"")</f>
        <v/>
      </c>
      <c r="V17" s="263" t="str">
        <f>IFERROR(HLOOKUP(V$7,'PCO Log'!$E$11:$SJ$98,11,FALSE),"")</f>
        <v/>
      </c>
      <c r="W17" s="263" t="str">
        <f>IFERROR(HLOOKUP(W$7,'PCO Log'!$E$11:$SJ$98,11,FALSE),"")</f>
        <v/>
      </c>
      <c r="X17" s="263" t="str">
        <f>IFERROR(HLOOKUP(X$7,'PCO Log'!$E$11:$SJ$98,11,FALSE),"")</f>
        <v/>
      </c>
      <c r="Y17" s="263" t="str">
        <f>IFERROR(HLOOKUP(Y$7,'PCO Log'!$E$11:$SJ$98,11,FALSE),"")</f>
        <v/>
      </c>
      <c r="Z17" s="263" t="str">
        <f>IFERROR(HLOOKUP(Z$7,'PCO Log'!$E$11:$SJ$98,11,FALSE),"")</f>
        <v/>
      </c>
      <c r="AA17" s="263" t="str">
        <f>IFERROR(HLOOKUP(AA$7,'PCO Log'!$E$11:$SJ$98,11,FALSE),"")</f>
        <v/>
      </c>
      <c r="AB17" s="263" t="str">
        <f>IFERROR(HLOOKUP(AB$7,'PCO Log'!$E$11:$SJ$98,11,FALSE),"")</f>
        <v/>
      </c>
      <c r="AC17" s="263" t="str">
        <f>IFERROR(HLOOKUP(AC$7,'PCO Log'!$E$11:$SJ$98,11,FALSE),"")</f>
        <v/>
      </c>
      <c r="AD17" s="263" t="str">
        <f>IFERROR(HLOOKUP(AD$7,'PCO Log'!$E$11:$SJ$98,11,FALSE),"")</f>
        <v/>
      </c>
      <c r="AE17" s="263" t="str">
        <f>IFERROR(HLOOKUP(AE$7,'PCO Log'!$E$11:$SJ$98,11,FALSE),"")</f>
        <v/>
      </c>
      <c r="AF17" s="263" t="str">
        <f>IFERROR(HLOOKUP(AF$7,'PCO Log'!$E$11:$SJ$98,11,FALSE),"")</f>
        <v/>
      </c>
      <c r="AG17" s="263" t="str">
        <f>IFERROR(HLOOKUP(AG$7,'PCO Log'!$E$11:$SJ$98,11,FALSE),"")</f>
        <v/>
      </c>
      <c r="AH17" s="263" t="str">
        <f>IFERROR(HLOOKUP(AH$7,'PCO Log'!$E$11:$SJ$98,11,FALSE),"")</f>
        <v/>
      </c>
      <c r="AI17" s="263" t="str">
        <f>IFERROR(HLOOKUP(AI$7,'PCO Log'!$E$11:$SJ$98,11,FALSE),"")</f>
        <v/>
      </c>
      <c r="AJ17" s="263" t="str">
        <f>IFERROR(HLOOKUP(AJ$7,'PCO Log'!$E$11:$SJ$98,11,FALSE),"")</f>
        <v/>
      </c>
      <c r="AK17" s="263" t="str">
        <f>IFERROR(HLOOKUP(AK$7,'PCO Log'!$E$11:$SJ$98,11,FALSE),"")</f>
        <v/>
      </c>
      <c r="AL17" s="263" t="str">
        <f>IFERROR(HLOOKUP(AL$7,'PCO Log'!$E$11:$SJ$98,11,FALSE),"")</f>
        <v/>
      </c>
      <c r="AM17" s="263" t="str">
        <f>IFERROR(HLOOKUP(AM$7,'PCO Log'!$E$11:$SJ$98,11,FALSE),"")</f>
        <v/>
      </c>
      <c r="AN17" s="263" t="str">
        <f>IFERROR(HLOOKUP(AN$7,'PCO Log'!$E$11:$SJ$98,11,FALSE),"")</f>
        <v/>
      </c>
      <c r="AO17" s="263" t="str">
        <f>IFERROR(HLOOKUP(AO$7,'PCO Log'!$E$11:$SJ$98,11,FALSE),"")</f>
        <v/>
      </c>
      <c r="AP17" s="263" t="str">
        <f>IFERROR(HLOOKUP(AP$7,'PCO Log'!$E$11:$SJ$98,11,FALSE),"")</f>
        <v/>
      </c>
      <c r="AQ17" s="263" t="str">
        <f>IFERROR(HLOOKUP(AQ$7,'PCO Log'!$E$11:$SJ$98,11,FALSE),"")</f>
        <v/>
      </c>
      <c r="AR17" s="263" t="str">
        <f>IFERROR(HLOOKUP(AR$7,'PCO Log'!$E$11:$SJ$98,11,FALSE),"")</f>
        <v/>
      </c>
      <c r="AS17" s="263" t="str">
        <f>IFERROR(HLOOKUP(AS$7,'PCO Log'!$E$11:$SJ$98,11,FALSE),"")</f>
        <v/>
      </c>
      <c r="AT17" s="263" t="str">
        <f>IFERROR(HLOOKUP(AT$7,'PCO Log'!$E$11:$SJ$98,11,FALSE),"")</f>
        <v/>
      </c>
      <c r="AU17" s="263" t="str">
        <f>IFERROR(HLOOKUP(AU$7,'PCO Log'!$E$11:$SJ$98,11,FALSE),"")</f>
        <v/>
      </c>
      <c r="AV17" s="263" t="str">
        <f>IFERROR(HLOOKUP(AV$7,'PCO Log'!$E$11:$SJ$98,11,FALSE),"")</f>
        <v/>
      </c>
      <c r="AW17" s="263" t="str">
        <f>IFERROR(HLOOKUP(AW$7,'PCO Log'!$E$11:$SJ$98,11,FALSE),"")</f>
        <v/>
      </c>
      <c r="AX17" s="263" t="str">
        <f>IFERROR(HLOOKUP(AX$7,'PCO Log'!$E$11:$SJ$98,11,FALSE),"")</f>
        <v/>
      </c>
      <c r="AY17" s="263" t="str">
        <f>IFERROR(HLOOKUP(AY$7,'PCO Log'!$E$11:$SJ$98,11,FALSE),"")</f>
        <v/>
      </c>
      <c r="AZ17" s="263" t="str">
        <f>IFERROR(HLOOKUP(AZ$7,'PCO Log'!$E$11:$SJ$98,11,FALSE),"")</f>
        <v/>
      </c>
      <c r="BA17" s="263" t="str">
        <f>IFERROR(HLOOKUP(BA$7,'PCO Log'!$E$11:$SJ$98,11,FALSE),"")</f>
        <v/>
      </c>
      <c r="BB17" s="263" t="str">
        <f>IFERROR(HLOOKUP(BB$7,'PCO Log'!$E$11:$SJ$98,11,FALSE),"")</f>
        <v/>
      </c>
      <c r="BC17" s="263" t="str">
        <f>IFERROR(HLOOKUP(BC$7,'PCO Log'!$E$11:$SJ$98,11,FALSE),"")</f>
        <v/>
      </c>
    </row>
    <row r="18" spans="2:55" s="334" customFormat="1" x14ac:dyDescent="0.25">
      <c r="B18" s="49" t="str">
        <f>'Pay App 1'!B67</f>
        <v>01 35 00</v>
      </c>
      <c r="C18" s="25" t="str">
        <f>'Pay App 1'!C67</f>
        <v>Construction Management Fee</v>
      </c>
      <c r="D18" s="263">
        <f t="shared" si="1"/>
        <v>0</v>
      </c>
      <c r="E18" s="264">
        <f>'Pay App 1'!D67</f>
        <v>0</v>
      </c>
      <c r="F18" s="263" t="str">
        <f>IFERROR(HLOOKUP(F$7,'PCO Log'!$E$11:$SJ$98,12,FALSE),"")</f>
        <v/>
      </c>
      <c r="G18" s="263" t="str">
        <f>IFERROR(HLOOKUP(G$7,'PCO Log'!$E$11:$SJ$98,12,FALSE),"")</f>
        <v/>
      </c>
      <c r="H18" s="263" t="str">
        <f>IFERROR(HLOOKUP(H$7,'PCO Log'!$E$11:$SJ$98,12,FALSE),"")</f>
        <v/>
      </c>
      <c r="I18" s="263" t="str">
        <f>IFERROR(HLOOKUP(I$7,'PCO Log'!$E$11:$SJ$98,12,FALSE),"")</f>
        <v/>
      </c>
      <c r="J18" s="263" t="str">
        <f>IFERROR(HLOOKUP(J$7,'PCO Log'!$E$11:$SJ$98,12,FALSE),"")</f>
        <v/>
      </c>
      <c r="K18" s="263" t="str">
        <f>IFERROR(HLOOKUP(K$7,'PCO Log'!$E$11:$SJ$98,12,FALSE),"")</f>
        <v/>
      </c>
      <c r="L18" s="263" t="str">
        <f>IFERROR(HLOOKUP(L$7,'PCO Log'!$E$11:$SJ$98,12,FALSE),"")</f>
        <v/>
      </c>
      <c r="M18" s="263" t="str">
        <f>IFERROR(HLOOKUP(M$7,'PCO Log'!$E$11:$SJ$98,12,FALSE),"")</f>
        <v/>
      </c>
      <c r="N18" s="263" t="str">
        <f>IFERROR(HLOOKUP(N$7,'PCO Log'!$E$11:$SJ$98,12,FALSE),"")</f>
        <v/>
      </c>
      <c r="O18" s="263" t="str">
        <f>IFERROR(HLOOKUP(O$7,'PCO Log'!$E$11:$SJ$98,12,FALSE),"")</f>
        <v/>
      </c>
      <c r="P18" s="263" t="str">
        <f>IFERROR(HLOOKUP(P$7,'PCO Log'!$E$11:$SJ$98,12,FALSE),"")</f>
        <v/>
      </c>
      <c r="Q18" s="263" t="str">
        <f>IFERROR(HLOOKUP(Q$7,'PCO Log'!$E$11:$SJ$98,12,FALSE),"")</f>
        <v/>
      </c>
      <c r="R18" s="263" t="str">
        <f>IFERROR(HLOOKUP(R$7,'PCO Log'!$E$11:$SJ$98,12,FALSE),"")</f>
        <v/>
      </c>
      <c r="S18" s="263" t="str">
        <f>IFERROR(HLOOKUP(S$7,'PCO Log'!$E$11:$SJ$98,12,FALSE),"")</f>
        <v/>
      </c>
      <c r="T18" s="263" t="str">
        <f>IFERROR(HLOOKUP(T$7,'PCO Log'!$E$11:$SJ$98,12,FALSE),"")</f>
        <v/>
      </c>
      <c r="U18" s="263" t="str">
        <f>IFERROR(HLOOKUP(U$7,'PCO Log'!$E$11:$SJ$98,12,FALSE),"")</f>
        <v/>
      </c>
      <c r="V18" s="263" t="str">
        <f>IFERROR(HLOOKUP(V$7,'PCO Log'!$E$11:$SJ$98,12,FALSE),"")</f>
        <v/>
      </c>
      <c r="W18" s="263" t="str">
        <f>IFERROR(HLOOKUP(W$7,'PCO Log'!$E$11:$SJ$98,12,FALSE),"")</f>
        <v/>
      </c>
      <c r="X18" s="263" t="str">
        <f>IFERROR(HLOOKUP(X$7,'PCO Log'!$E$11:$SJ$98,12,FALSE),"")</f>
        <v/>
      </c>
      <c r="Y18" s="263" t="str">
        <f>IFERROR(HLOOKUP(Y$7,'PCO Log'!$E$11:$SJ$98,12,FALSE),"")</f>
        <v/>
      </c>
      <c r="Z18" s="263" t="str">
        <f>IFERROR(HLOOKUP(Z$7,'PCO Log'!$E$11:$SJ$98,12,FALSE),"")</f>
        <v/>
      </c>
      <c r="AA18" s="263" t="str">
        <f>IFERROR(HLOOKUP(AA$7,'PCO Log'!$E$11:$SJ$98,12,FALSE),"")</f>
        <v/>
      </c>
      <c r="AB18" s="263" t="str">
        <f>IFERROR(HLOOKUP(AB$7,'PCO Log'!$E$11:$SJ$98,12,FALSE),"")</f>
        <v/>
      </c>
      <c r="AC18" s="263" t="str">
        <f>IFERROR(HLOOKUP(AC$7,'PCO Log'!$E$11:$SJ$98,12,FALSE),"")</f>
        <v/>
      </c>
      <c r="AD18" s="263" t="str">
        <f>IFERROR(HLOOKUP(AD$7,'PCO Log'!$E$11:$SJ$98,12,FALSE),"")</f>
        <v/>
      </c>
      <c r="AE18" s="263" t="str">
        <f>IFERROR(HLOOKUP(AE$7,'PCO Log'!$E$11:$SJ$98,12,FALSE),"")</f>
        <v/>
      </c>
      <c r="AF18" s="263" t="str">
        <f>IFERROR(HLOOKUP(AF$7,'PCO Log'!$E$11:$SJ$98,12,FALSE),"")</f>
        <v/>
      </c>
      <c r="AG18" s="263" t="str">
        <f>IFERROR(HLOOKUP(AG$7,'PCO Log'!$E$11:$SJ$98,12,FALSE),"")</f>
        <v/>
      </c>
      <c r="AH18" s="263" t="str">
        <f>IFERROR(HLOOKUP(AH$7,'PCO Log'!$E$11:$SJ$98,12,FALSE),"")</f>
        <v/>
      </c>
      <c r="AI18" s="263" t="str">
        <f>IFERROR(HLOOKUP(AI$7,'PCO Log'!$E$11:$SJ$98,12,FALSE),"")</f>
        <v/>
      </c>
      <c r="AJ18" s="263" t="str">
        <f>IFERROR(HLOOKUP(AJ$7,'PCO Log'!$E$11:$SJ$98,12,FALSE),"")</f>
        <v/>
      </c>
      <c r="AK18" s="263" t="str">
        <f>IFERROR(HLOOKUP(AK$7,'PCO Log'!$E$11:$SJ$98,12,FALSE),"")</f>
        <v/>
      </c>
      <c r="AL18" s="263" t="str">
        <f>IFERROR(HLOOKUP(AL$7,'PCO Log'!$E$11:$SJ$98,12,FALSE),"")</f>
        <v/>
      </c>
      <c r="AM18" s="263" t="str">
        <f>IFERROR(HLOOKUP(AM$7,'PCO Log'!$E$11:$SJ$98,12,FALSE),"")</f>
        <v/>
      </c>
      <c r="AN18" s="263" t="str">
        <f>IFERROR(HLOOKUP(AN$7,'PCO Log'!$E$11:$SJ$98,12,FALSE),"")</f>
        <v/>
      </c>
      <c r="AO18" s="263" t="str">
        <f>IFERROR(HLOOKUP(AO$7,'PCO Log'!$E$11:$SJ$98,12,FALSE),"")</f>
        <v/>
      </c>
      <c r="AP18" s="263" t="str">
        <f>IFERROR(HLOOKUP(AP$7,'PCO Log'!$E$11:$SJ$98,12,FALSE),"")</f>
        <v/>
      </c>
      <c r="AQ18" s="263" t="str">
        <f>IFERROR(HLOOKUP(AQ$7,'PCO Log'!$E$11:$SJ$98,12,FALSE),"")</f>
        <v/>
      </c>
      <c r="AR18" s="263" t="str">
        <f>IFERROR(HLOOKUP(AR$7,'PCO Log'!$E$11:$SJ$98,12,FALSE),"")</f>
        <v/>
      </c>
      <c r="AS18" s="263" t="str">
        <f>IFERROR(HLOOKUP(AS$7,'PCO Log'!$E$11:$SJ$98,12,FALSE),"")</f>
        <v/>
      </c>
      <c r="AT18" s="263" t="str">
        <f>IFERROR(HLOOKUP(AT$7,'PCO Log'!$E$11:$SJ$98,12,FALSE),"")</f>
        <v/>
      </c>
      <c r="AU18" s="263" t="str">
        <f>IFERROR(HLOOKUP(AU$7,'PCO Log'!$E$11:$SJ$98,12,FALSE),"")</f>
        <v/>
      </c>
      <c r="AV18" s="263" t="str">
        <f>IFERROR(HLOOKUP(AV$7,'PCO Log'!$E$11:$SJ$98,12,FALSE),"")</f>
        <v/>
      </c>
      <c r="AW18" s="263" t="str">
        <f>IFERROR(HLOOKUP(AW$7,'PCO Log'!$E$11:$SJ$98,12,FALSE),"")</f>
        <v/>
      </c>
      <c r="AX18" s="263" t="str">
        <f>IFERROR(HLOOKUP(AX$7,'PCO Log'!$E$11:$SJ$98,12,FALSE),"")</f>
        <v/>
      </c>
      <c r="AY18" s="263" t="str">
        <f>IFERROR(HLOOKUP(AY$7,'PCO Log'!$E$11:$SJ$98,12,FALSE),"")</f>
        <v/>
      </c>
      <c r="AZ18" s="263" t="str">
        <f>IFERROR(HLOOKUP(AZ$7,'PCO Log'!$E$11:$SJ$98,12,FALSE),"")</f>
        <v/>
      </c>
      <c r="BA18" s="263" t="str">
        <f>IFERROR(HLOOKUP(BA$7,'PCO Log'!$E$11:$SJ$98,12,FALSE),"")</f>
        <v/>
      </c>
      <c r="BB18" s="263" t="str">
        <f>IFERROR(HLOOKUP(BB$7,'PCO Log'!$E$11:$SJ$98,12,FALSE),"")</f>
        <v/>
      </c>
      <c r="BC18" s="263" t="str">
        <f>IFERROR(HLOOKUP(BC$7,'PCO Log'!$E$11:$SJ$98,12,FALSE),"")</f>
        <v/>
      </c>
    </row>
    <row r="19" spans="2:55" s="334" customFormat="1" x14ac:dyDescent="0.25">
      <c r="B19" s="49" t="str">
        <f>'Pay App 1'!B68</f>
        <v>01 36 00</v>
      </c>
      <c r="C19" s="25" t="str">
        <f>'Pay App 1'!C68</f>
        <v>Contingency</v>
      </c>
      <c r="D19" s="263">
        <f t="shared" si="1"/>
        <v>0</v>
      </c>
      <c r="E19" s="264">
        <f>'Pay App 1'!D68</f>
        <v>0</v>
      </c>
      <c r="F19" s="263" t="str">
        <f>IFERROR(HLOOKUP(F$7,'PCO Log'!$E$11:$SJ$98,13,FALSE),"")</f>
        <v/>
      </c>
      <c r="G19" s="263" t="str">
        <f>IFERROR(HLOOKUP(G$7,'PCO Log'!$E$11:$SJ$98,13,FALSE),"")</f>
        <v/>
      </c>
      <c r="H19" s="263" t="str">
        <f>IFERROR(HLOOKUP(H$7,'PCO Log'!$E$11:$SJ$98,13,FALSE),"")</f>
        <v/>
      </c>
      <c r="I19" s="263" t="str">
        <f>IFERROR(HLOOKUP(I$7,'PCO Log'!$E$11:$SJ$98,13,FALSE),"")</f>
        <v/>
      </c>
      <c r="J19" s="263" t="str">
        <f>IFERROR(HLOOKUP(J$7,'PCO Log'!$E$11:$SJ$98,13,FALSE),"")</f>
        <v/>
      </c>
      <c r="K19" s="263" t="str">
        <f>IFERROR(HLOOKUP(K$7,'PCO Log'!$E$11:$SJ$98,13,FALSE),"")</f>
        <v/>
      </c>
      <c r="L19" s="263" t="str">
        <f>IFERROR(HLOOKUP(L$7,'PCO Log'!$E$11:$SJ$98,13,FALSE),"")</f>
        <v/>
      </c>
      <c r="M19" s="263" t="str">
        <f>IFERROR(HLOOKUP(M$7,'PCO Log'!$E$11:$SJ$98,13,FALSE),"")</f>
        <v/>
      </c>
      <c r="N19" s="263" t="str">
        <f>IFERROR(HLOOKUP(N$7,'PCO Log'!$E$11:$SJ$98,13,FALSE),"")</f>
        <v/>
      </c>
      <c r="O19" s="263" t="str">
        <f>IFERROR(HLOOKUP(O$7,'PCO Log'!$E$11:$SJ$98,13,FALSE),"")</f>
        <v/>
      </c>
      <c r="P19" s="263" t="str">
        <f>IFERROR(HLOOKUP(P$7,'PCO Log'!$E$11:$SJ$98,13,FALSE),"")</f>
        <v/>
      </c>
      <c r="Q19" s="263" t="str">
        <f>IFERROR(HLOOKUP(Q$7,'PCO Log'!$E$11:$SJ$98,13,FALSE),"")</f>
        <v/>
      </c>
      <c r="R19" s="263" t="str">
        <f>IFERROR(HLOOKUP(R$7,'PCO Log'!$E$11:$SJ$98,13,FALSE),"")</f>
        <v/>
      </c>
      <c r="S19" s="263" t="str">
        <f>IFERROR(HLOOKUP(S$7,'PCO Log'!$E$11:$SJ$98,13,FALSE),"")</f>
        <v/>
      </c>
      <c r="T19" s="263" t="str">
        <f>IFERROR(HLOOKUP(T$7,'PCO Log'!$E$11:$SJ$98,13,FALSE),"")</f>
        <v/>
      </c>
      <c r="U19" s="263" t="str">
        <f>IFERROR(HLOOKUP(U$7,'PCO Log'!$E$11:$SJ$98,13,FALSE),"")</f>
        <v/>
      </c>
      <c r="V19" s="263" t="str">
        <f>IFERROR(HLOOKUP(V$7,'PCO Log'!$E$11:$SJ$98,13,FALSE),"")</f>
        <v/>
      </c>
      <c r="W19" s="263" t="str">
        <f>IFERROR(HLOOKUP(W$7,'PCO Log'!$E$11:$SJ$98,13,FALSE),"")</f>
        <v/>
      </c>
      <c r="X19" s="263" t="str">
        <f>IFERROR(HLOOKUP(X$7,'PCO Log'!$E$11:$SJ$98,13,FALSE),"")</f>
        <v/>
      </c>
      <c r="Y19" s="263" t="str">
        <f>IFERROR(HLOOKUP(Y$7,'PCO Log'!$E$11:$SJ$98,13,FALSE),"")</f>
        <v/>
      </c>
      <c r="Z19" s="263" t="str">
        <f>IFERROR(HLOOKUP(Z$7,'PCO Log'!$E$11:$SJ$98,13,FALSE),"")</f>
        <v/>
      </c>
      <c r="AA19" s="263" t="str">
        <f>IFERROR(HLOOKUP(AA$7,'PCO Log'!$E$11:$SJ$98,13,FALSE),"")</f>
        <v/>
      </c>
      <c r="AB19" s="263" t="str">
        <f>IFERROR(HLOOKUP(AB$7,'PCO Log'!$E$11:$SJ$98,13,FALSE),"")</f>
        <v/>
      </c>
      <c r="AC19" s="263" t="str">
        <f>IFERROR(HLOOKUP(AC$7,'PCO Log'!$E$11:$SJ$98,13,FALSE),"")</f>
        <v/>
      </c>
      <c r="AD19" s="263" t="str">
        <f>IFERROR(HLOOKUP(AD$7,'PCO Log'!$E$11:$SJ$98,13,FALSE),"")</f>
        <v/>
      </c>
      <c r="AE19" s="263" t="str">
        <f>IFERROR(HLOOKUP(AE$7,'PCO Log'!$E$11:$SJ$98,13,FALSE),"")</f>
        <v/>
      </c>
      <c r="AF19" s="263" t="str">
        <f>IFERROR(HLOOKUP(AF$7,'PCO Log'!$E$11:$SJ$98,13,FALSE),"")</f>
        <v/>
      </c>
      <c r="AG19" s="263" t="str">
        <f>IFERROR(HLOOKUP(AG$7,'PCO Log'!$E$11:$SJ$98,13,FALSE),"")</f>
        <v/>
      </c>
      <c r="AH19" s="263" t="str">
        <f>IFERROR(HLOOKUP(AH$7,'PCO Log'!$E$11:$SJ$98,13,FALSE),"")</f>
        <v/>
      </c>
      <c r="AI19" s="263" t="str">
        <f>IFERROR(HLOOKUP(AI$7,'PCO Log'!$E$11:$SJ$98,13,FALSE),"")</f>
        <v/>
      </c>
      <c r="AJ19" s="263" t="str">
        <f>IFERROR(HLOOKUP(AJ$7,'PCO Log'!$E$11:$SJ$98,13,FALSE),"")</f>
        <v/>
      </c>
      <c r="AK19" s="263" t="str">
        <f>IFERROR(HLOOKUP(AK$7,'PCO Log'!$E$11:$SJ$98,13,FALSE),"")</f>
        <v/>
      </c>
      <c r="AL19" s="263" t="str">
        <f>IFERROR(HLOOKUP(AL$7,'PCO Log'!$E$11:$SJ$98,13,FALSE),"")</f>
        <v/>
      </c>
      <c r="AM19" s="263" t="str">
        <f>IFERROR(HLOOKUP(AM$7,'PCO Log'!$E$11:$SJ$98,13,FALSE),"")</f>
        <v/>
      </c>
      <c r="AN19" s="263" t="str">
        <f>IFERROR(HLOOKUP(AN$7,'PCO Log'!$E$11:$SJ$98,13,FALSE),"")</f>
        <v/>
      </c>
      <c r="AO19" s="263" t="str">
        <f>IFERROR(HLOOKUP(AO$7,'PCO Log'!$E$11:$SJ$98,13,FALSE),"")</f>
        <v/>
      </c>
      <c r="AP19" s="263" t="str">
        <f>IFERROR(HLOOKUP(AP$7,'PCO Log'!$E$11:$SJ$98,13,FALSE),"")</f>
        <v/>
      </c>
      <c r="AQ19" s="263" t="str">
        <f>IFERROR(HLOOKUP(AQ$7,'PCO Log'!$E$11:$SJ$98,13,FALSE),"")</f>
        <v/>
      </c>
      <c r="AR19" s="263" t="str">
        <f>IFERROR(HLOOKUP(AR$7,'PCO Log'!$E$11:$SJ$98,13,FALSE),"")</f>
        <v/>
      </c>
      <c r="AS19" s="263" t="str">
        <f>IFERROR(HLOOKUP(AS$7,'PCO Log'!$E$11:$SJ$98,13,FALSE),"")</f>
        <v/>
      </c>
      <c r="AT19" s="263" t="str">
        <f>IFERROR(HLOOKUP(AT$7,'PCO Log'!$E$11:$SJ$98,13,FALSE),"")</f>
        <v/>
      </c>
      <c r="AU19" s="263" t="str">
        <f>IFERROR(HLOOKUP(AU$7,'PCO Log'!$E$11:$SJ$98,13,FALSE),"")</f>
        <v/>
      </c>
      <c r="AV19" s="263" t="str">
        <f>IFERROR(HLOOKUP(AV$7,'PCO Log'!$E$11:$SJ$98,13,FALSE),"")</f>
        <v/>
      </c>
      <c r="AW19" s="263" t="str">
        <f>IFERROR(HLOOKUP(AW$7,'PCO Log'!$E$11:$SJ$98,13,FALSE),"")</f>
        <v/>
      </c>
      <c r="AX19" s="263" t="str">
        <f>IFERROR(HLOOKUP(AX$7,'PCO Log'!$E$11:$SJ$98,13,FALSE),"")</f>
        <v/>
      </c>
      <c r="AY19" s="263" t="str">
        <f>IFERROR(HLOOKUP(AY$7,'PCO Log'!$E$11:$SJ$98,13,FALSE),"")</f>
        <v/>
      </c>
      <c r="AZ19" s="263" t="str">
        <f>IFERROR(HLOOKUP(AZ$7,'PCO Log'!$E$11:$SJ$98,13,FALSE),"")</f>
        <v/>
      </c>
      <c r="BA19" s="263" t="str">
        <f>IFERROR(HLOOKUP(BA$7,'PCO Log'!$E$11:$SJ$98,13,FALSE),"")</f>
        <v/>
      </c>
      <c r="BB19" s="263" t="str">
        <f>IFERROR(HLOOKUP(BB$7,'PCO Log'!$E$11:$SJ$98,13,FALSE),"")</f>
        <v/>
      </c>
      <c r="BC19" s="263" t="str">
        <f>IFERROR(HLOOKUP(BC$7,'PCO Log'!$E$11:$SJ$98,13,FALSE),"")</f>
        <v/>
      </c>
    </row>
    <row r="20" spans="2:55" s="334" customFormat="1" x14ac:dyDescent="0.25">
      <c r="B20" s="49" t="str">
        <f>'Pay App 1'!B69</f>
        <v>01 37 00</v>
      </c>
      <c r="C20" s="25" t="str">
        <f>'Pay App 1'!C69</f>
        <v>Weather Allowance (All Trades)</v>
      </c>
      <c r="D20" s="263">
        <f t="shared" si="1"/>
        <v>0</v>
      </c>
      <c r="E20" s="264">
        <f>'Pay App 1'!D69</f>
        <v>0</v>
      </c>
      <c r="F20" s="263" t="str">
        <f>IFERROR(HLOOKUP(F$7,'PCO Log'!$E$11:$SJ$98,14,FALSE),"")</f>
        <v/>
      </c>
      <c r="G20" s="263" t="str">
        <f>IFERROR(HLOOKUP(G$7,'PCO Log'!$E$11:$SJ$98,14,FALSE),"")</f>
        <v/>
      </c>
      <c r="H20" s="263" t="str">
        <f>IFERROR(HLOOKUP(H$7,'PCO Log'!$E$11:$SJ$98,14,FALSE),"")</f>
        <v/>
      </c>
      <c r="I20" s="263" t="str">
        <f>IFERROR(HLOOKUP(I$7,'PCO Log'!$E$11:$SJ$98,14,FALSE),"")</f>
        <v/>
      </c>
      <c r="J20" s="263" t="str">
        <f>IFERROR(HLOOKUP(J$7,'PCO Log'!$E$11:$SJ$98,14,FALSE),"")</f>
        <v/>
      </c>
      <c r="K20" s="263" t="str">
        <f>IFERROR(HLOOKUP(K$7,'PCO Log'!$E$11:$SJ$98,14,FALSE),"")</f>
        <v/>
      </c>
      <c r="L20" s="263" t="str">
        <f>IFERROR(HLOOKUP(L$7,'PCO Log'!$E$11:$SJ$98,14,FALSE),"")</f>
        <v/>
      </c>
      <c r="M20" s="263" t="str">
        <f>IFERROR(HLOOKUP(M$7,'PCO Log'!$E$11:$SJ$98,14,FALSE),"")</f>
        <v/>
      </c>
      <c r="N20" s="263" t="str">
        <f>IFERROR(HLOOKUP(N$7,'PCO Log'!$E$11:$SJ$98,14,FALSE),"")</f>
        <v/>
      </c>
      <c r="O20" s="263" t="str">
        <f>IFERROR(HLOOKUP(O$7,'PCO Log'!$E$11:$SJ$98,14,FALSE),"")</f>
        <v/>
      </c>
      <c r="P20" s="263" t="str">
        <f>IFERROR(HLOOKUP(P$7,'PCO Log'!$E$11:$SJ$98,14,FALSE),"")</f>
        <v/>
      </c>
      <c r="Q20" s="263" t="str">
        <f>IFERROR(HLOOKUP(Q$7,'PCO Log'!$E$11:$SJ$98,14,FALSE),"")</f>
        <v/>
      </c>
      <c r="R20" s="263" t="str">
        <f>IFERROR(HLOOKUP(R$7,'PCO Log'!$E$11:$SJ$98,14,FALSE),"")</f>
        <v/>
      </c>
      <c r="S20" s="263" t="str">
        <f>IFERROR(HLOOKUP(S$7,'PCO Log'!$E$11:$SJ$98,14,FALSE),"")</f>
        <v/>
      </c>
      <c r="T20" s="263" t="str">
        <f>IFERROR(HLOOKUP(T$7,'PCO Log'!$E$11:$SJ$98,14,FALSE),"")</f>
        <v/>
      </c>
      <c r="U20" s="263" t="str">
        <f>IFERROR(HLOOKUP(U$7,'PCO Log'!$E$11:$SJ$98,14,FALSE),"")</f>
        <v/>
      </c>
      <c r="V20" s="263" t="str">
        <f>IFERROR(HLOOKUP(V$7,'PCO Log'!$E$11:$SJ$98,14,FALSE),"")</f>
        <v/>
      </c>
      <c r="W20" s="263" t="str">
        <f>IFERROR(HLOOKUP(W$7,'PCO Log'!$E$11:$SJ$98,14,FALSE),"")</f>
        <v/>
      </c>
      <c r="X20" s="263" t="str">
        <f>IFERROR(HLOOKUP(X$7,'PCO Log'!$E$11:$SJ$98,14,FALSE),"")</f>
        <v/>
      </c>
      <c r="Y20" s="263" t="str">
        <f>IFERROR(HLOOKUP(Y$7,'PCO Log'!$E$11:$SJ$98,14,FALSE),"")</f>
        <v/>
      </c>
      <c r="Z20" s="263" t="str">
        <f>IFERROR(HLOOKUP(Z$7,'PCO Log'!$E$11:$SJ$98,14,FALSE),"")</f>
        <v/>
      </c>
      <c r="AA20" s="263" t="str">
        <f>IFERROR(HLOOKUP(AA$7,'PCO Log'!$E$11:$SJ$98,14,FALSE),"")</f>
        <v/>
      </c>
      <c r="AB20" s="263" t="str">
        <f>IFERROR(HLOOKUP(AB$7,'PCO Log'!$E$11:$SJ$98,14,FALSE),"")</f>
        <v/>
      </c>
      <c r="AC20" s="263" t="str">
        <f>IFERROR(HLOOKUP(AC$7,'PCO Log'!$E$11:$SJ$98,14,FALSE),"")</f>
        <v/>
      </c>
      <c r="AD20" s="263" t="str">
        <f>IFERROR(HLOOKUP(AD$7,'PCO Log'!$E$11:$SJ$98,14,FALSE),"")</f>
        <v/>
      </c>
      <c r="AE20" s="263" t="str">
        <f>IFERROR(HLOOKUP(AE$7,'PCO Log'!$E$11:$SJ$98,14,FALSE),"")</f>
        <v/>
      </c>
      <c r="AF20" s="263" t="str">
        <f>IFERROR(HLOOKUP(AF$7,'PCO Log'!$E$11:$SJ$98,14,FALSE),"")</f>
        <v/>
      </c>
      <c r="AG20" s="263" t="str">
        <f>IFERROR(HLOOKUP(AG$7,'PCO Log'!$E$11:$SJ$98,14,FALSE),"")</f>
        <v/>
      </c>
      <c r="AH20" s="263" t="str">
        <f>IFERROR(HLOOKUP(AH$7,'PCO Log'!$E$11:$SJ$98,14,FALSE),"")</f>
        <v/>
      </c>
      <c r="AI20" s="263" t="str">
        <f>IFERROR(HLOOKUP(AI$7,'PCO Log'!$E$11:$SJ$98,14,FALSE),"")</f>
        <v/>
      </c>
      <c r="AJ20" s="263" t="str">
        <f>IFERROR(HLOOKUP(AJ$7,'PCO Log'!$E$11:$SJ$98,14,FALSE),"")</f>
        <v/>
      </c>
      <c r="AK20" s="263" t="str">
        <f>IFERROR(HLOOKUP(AK$7,'PCO Log'!$E$11:$SJ$98,14,FALSE),"")</f>
        <v/>
      </c>
      <c r="AL20" s="263" t="str">
        <f>IFERROR(HLOOKUP(AL$7,'PCO Log'!$E$11:$SJ$98,14,FALSE),"")</f>
        <v/>
      </c>
      <c r="AM20" s="263" t="str">
        <f>IFERROR(HLOOKUP(AM$7,'PCO Log'!$E$11:$SJ$98,14,FALSE),"")</f>
        <v/>
      </c>
      <c r="AN20" s="263" t="str">
        <f>IFERROR(HLOOKUP(AN$7,'PCO Log'!$E$11:$SJ$98,14,FALSE),"")</f>
        <v/>
      </c>
      <c r="AO20" s="263" t="str">
        <f>IFERROR(HLOOKUP(AO$7,'PCO Log'!$E$11:$SJ$98,14,FALSE),"")</f>
        <v/>
      </c>
      <c r="AP20" s="263" t="str">
        <f>IFERROR(HLOOKUP(AP$7,'PCO Log'!$E$11:$SJ$98,14,FALSE),"")</f>
        <v/>
      </c>
      <c r="AQ20" s="263" t="str">
        <f>IFERROR(HLOOKUP(AQ$7,'PCO Log'!$E$11:$SJ$98,14,FALSE),"")</f>
        <v/>
      </c>
      <c r="AR20" s="263" t="str">
        <f>IFERROR(HLOOKUP(AR$7,'PCO Log'!$E$11:$SJ$98,14,FALSE),"")</f>
        <v/>
      </c>
      <c r="AS20" s="263" t="str">
        <f>IFERROR(HLOOKUP(AS$7,'PCO Log'!$E$11:$SJ$98,14,FALSE),"")</f>
        <v/>
      </c>
      <c r="AT20" s="263" t="str">
        <f>IFERROR(HLOOKUP(AT$7,'PCO Log'!$E$11:$SJ$98,14,FALSE),"")</f>
        <v/>
      </c>
      <c r="AU20" s="263" t="str">
        <f>IFERROR(HLOOKUP(AU$7,'PCO Log'!$E$11:$SJ$98,14,FALSE),"")</f>
        <v/>
      </c>
      <c r="AV20" s="263" t="str">
        <f>IFERROR(HLOOKUP(AV$7,'PCO Log'!$E$11:$SJ$98,14,FALSE),"")</f>
        <v/>
      </c>
      <c r="AW20" s="263" t="str">
        <f>IFERROR(HLOOKUP(AW$7,'PCO Log'!$E$11:$SJ$98,14,FALSE),"")</f>
        <v/>
      </c>
      <c r="AX20" s="263" t="str">
        <f>IFERROR(HLOOKUP(AX$7,'PCO Log'!$E$11:$SJ$98,14,FALSE),"")</f>
        <v/>
      </c>
      <c r="AY20" s="263" t="str">
        <f>IFERROR(HLOOKUP(AY$7,'PCO Log'!$E$11:$SJ$98,14,FALSE),"")</f>
        <v/>
      </c>
      <c r="AZ20" s="263" t="str">
        <f>IFERROR(HLOOKUP(AZ$7,'PCO Log'!$E$11:$SJ$98,14,FALSE),"")</f>
        <v/>
      </c>
      <c r="BA20" s="263" t="str">
        <f>IFERROR(HLOOKUP(BA$7,'PCO Log'!$E$11:$SJ$98,14,FALSE),"")</f>
        <v/>
      </c>
      <c r="BB20" s="263" t="str">
        <f>IFERROR(HLOOKUP(BB$7,'PCO Log'!$E$11:$SJ$98,14,FALSE),"")</f>
        <v/>
      </c>
      <c r="BC20" s="263" t="str">
        <f>IFERROR(HLOOKUP(BC$7,'PCO Log'!$E$11:$SJ$98,14,FALSE),"")</f>
        <v/>
      </c>
    </row>
    <row r="21" spans="2:55" s="334" customFormat="1" x14ac:dyDescent="0.25">
      <c r="B21" s="49" t="str">
        <f>'Pay App 1'!B70</f>
        <v>01 74 23</v>
      </c>
      <c r="C21" s="25" t="str">
        <f>'Pay App 1'!C70</f>
        <v>Cleaning (Final)</v>
      </c>
      <c r="D21" s="263">
        <f t="shared" si="1"/>
        <v>0</v>
      </c>
      <c r="E21" s="264">
        <f>'Pay App 1'!D70</f>
        <v>0</v>
      </c>
      <c r="F21" s="263" t="str">
        <f>IFERROR(HLOOKUP(F$7,'PCO Log'!$E$11:$SJ$98,15,FALSE),"")</f>
        <v/>
      </c>
      <c r="G21" s="263" t="str">
        <f>IFERROR(HLOOKUP(G$7,'PCO Log'!$E$11:$SJ$98,15,FALSE),"")</f>
        <v/>
      </c>
      <c r="H21" s="263" t="str">
        <f>IFERROR(HLOOKUP(H$7,'PCO Log'!$E$11:$SJ$98,15,FALSE),"")</f>
        <v/>
      </c>
      <c r="I21" s="263" t="str">
        <f>IFERROR(HLOOKUP(I$7,'PCO Log'!$E$11:$SJ$98,15,FALSE),"")</f>
        <v/>
      </c>
      <c r="J21" s="263" t="str">
        <f>IFERROR(HLOOKUP(J$7,'PCO Log'!$E$11:$SJ$98,15,FALSE),"")</f>
        <v/>
      </c>
      <c r="K21" s="263" t="str">
        <f>IFERROR(HLOOKUP(K$7,'PCO Log'!$E$11:$SJ$98,15,FALSE),"")</f>
        <v/>
      </c>
      <c r="L21" s="263" t="str">
        <f>IFERROR(HLOOKUP(L$7,'PCO Log'!$E$11:$SJ$98,15,FALSE),"")</f>
        <v/>
      </c>
      <c r="M21" s="263" t="str">
        <f>IFERROR(HLOOKUP(M$7,'PCO Log'!$E$11:$SJ$98,15,FALSE),"")</f>
        <v/>
      </c>
      <c r="N21" s="263" t="str">
        <f>IFERROR(HLOOKUP(N$7,'PCO Log'!$E$11:$SJ$98,15,FALSE),"")</f>
        <v/>
      </c>
      <c r="O21" s="263" t="str">
        <f>IFERROR(HLOOKUP(O$7,'PCO Log'!$E$11:$SJ$98,15,FALSE),"")</f>
        <v/>
      </c>
      <c r="P21" s="263" t="str">
        <f>IFERROR(HLOOKUP(P$7,'PCO Log'!$E$11:$SJ$98,15,FALSE),"")</f>
        <v/>
      </c>
      <c r="Q21" s="263" t="str">
        <f>IFERROR(HLOOKUP(Q$7,'PCO Log'!$E$11:$SJ$98,15,FALSE),"")</f>
        <v/>
      </c>
      <c r="R21" s="263" t="str">
        <f>IFERROR(HLOOKUP(R$7,'PCO Log'!$E$11:$SJ$98,15,FALSE),"")</f>
        <v/>
      </c>
      <c r="S21" s="263" t="str">
        <f>IFERROR(HLOOKUP(S$7,'PCO Log'!$E$11:$SJ$98,15,FALSE),"")</f>
        <v/>
      </c>
      <c r="T21" s="263" t="str">
        <f>IFERROR(HLOOKUP(T$7,'PCO Log'!$E$11:$SJ$98,15,FALSE),"")</f>
        <v/>
      </c>
      <c r="U21" s="263" t="str">
        <f>IFERROR(HLOOKUP(U$7,'PCO Log'!$E$11:$SJ$98,15,FALSE),"")</f>
        <v/>
      </c>
      <c r="V21" s="263" t="str">
        <f>IFERROR(HLOOKUP(V$7,'PCO Log'!$E$11:$SJ$98,15,FALSE),"")</f>
        <v/>
      </c>
      <c r="W21" s="263" t="str">
        <f>IFERROR(HLOOKUP(W$7,'PCO Log'!$E$11:$SJ$98,15,FALSE),"")</f>
        <v/>
      </c>
      <c r="X21" s="263" t="str">
        <f>IFERROR(HLOOKUP(X$7,'PCO Log'!$E$11:$SJ$98,15,FALSE),"")</f>
        <v/>
      </c>
      <c r="Y21" s="263" t="str">
        <f>IFERROR(HLOOKUP(Y$7,'PCO Log'!$E$11:$SJ$98,15,FALSE),"")</f>
        <v/>
      </c>
      <c r="Z21" s="263" t="str">
        <f>IFERROR(HLOOKUP(Z$7,'PCO Log'!$E$11:$SJ$98,15,FALSE),"")</f>
        <v/>
      </c>
      <c r="AA21" s="263" t="str">
        <f>IFERROR(HLOOKUP(AA$7,'PCO Log'!$E$11:$SJ$98,15,FALSE),"")</f>
        <v/>
      </c>
      <c r="AB21" s="263" t="str">
        <f>IFERROR(HLOOKUP(AB$7,'PCO Log'!$E$11:$SJ$98,15,FALSE),"")</f>
        <v/>
      </c>
      <c r="AC21" s="263" t="str">
        <f>IFERROR(HLOOKUP(AC$7,'PCO Log'!$E$11:$SJ$98,15,FALSE),"")</f>
        <v/>
      </c>
      <c r="AD21" s="263" t="str">
        <f>IFERROR(HLOOKUP(AD$7,'PCO Log'!$E$11:$SJ$98,15,FALSE),"")</f>
        <v/>
      </c>
      <c r="AE21" s="263" t="str">
        <f>IFERROR(HLOOKUP(AE$7,'PCO Log'!$E$11:$SJ$98,15,FALSE),"")</f>
        <v/>
      </c>
      <c r="AF21" s="263" t="str">
        <f>IFERROR(HLOOKUP(AF$7,'PCO Log'!$E$11:$SJ$98,15,FALSE),"")</f>
        <v/>
      </c>
      <c r="AG21" s="263" t="str">
        <f>IFERROR(HLOOKUP(AG$7,'PCO Log'!$E$11:$SJ$98,15,FALSE),"")</f>
        <v/>
      </c>
      <c r="AH21" s="263" t="str">
        <f>IFERROR(HLOOKUP(AH$7,'PCO Log'!$E$11:$SJ$98,15,FALSE),"")</f>
        <v/>
      </c>
      <c r="AI21" s="263" t="str">
        <f>IFERROR(HLOOKUP(AI$7,'PCO Log'!$E$11:$SJ$98,15,FALSE),"")</f>
        <v/>
      </c>
      <c r="AJ21" s="263" t="str">
        <f>IFERROR(HLOOKUP(AJ$7,'PCO Log'!$E$11:$SJ$98,15,FALSE),"")</f>
        <v/>
      </c>
      <c r="AK21" s="263" t="str">
        <f>IFERROR(HLOOKUP(AK$7,'PCO Log'!$E$11:$SJ$98,15,FALSE),"")</f>
        <v/>
      </c>
      <c r="AL21" s="263" t="str">
        <f>IFERROR(HLOOKUP(AL$7,'PCO Log'!$E$11:$SJ$98,15,FALSE),"")</f>
        <v/>
      </c>
      <c r="AM21" s="263" t="str">
        <f>IFERROR(HLOOKUP(AM$7,'PCO Log'!$E$11:$SJ$98,15,FALSE),"")</f>
        <v/>
      </c>
      <c r="AN21" s="263" t="str">
        <f>IFERROR(HLOOKUP(AN$7,'PCO Log'!$E$11:$SJ$98,15,FALSE),"")</f>
        <v/>
      </c>
      <c r="AO21" s="263" t="str">
        <f>IFERROR(HLOOKUP(AO$7,'PCO Log'!$E$11:$SJ$98,15,FALSE),"")</f>
        <v/>
      </c>
      <c r="AP21" s="263" t="str">
        <f>IFERROR(HLOOKUP(AP$7,'PCO Log'!$E$11:$SJ$98,15,FALSE),"")</f>
        <v/>
      </c>
      <c r="AQ21" s="263" t="str">
        <f>IFERROR(HLOOKUP(AQ$7,'PCO Log'!$E$11:$SJ$98,15,FALSE),"")</f>
        <v/>
      </c>
      <c r="AR21" s="263" t="str">
        <f>IFERROR(HLOOKUP(AR$7,'PCO Log'!$E$11:$SJ$98,15,FALSE),"")</f>
        <v/>
      </c>
      <c r="AS21" s="263" t="str">
        <f>IFERROR(HLOOKUP(AS$7,'PCO Log'!$E$11:$SJ$98,15,FALSE),"")</f>
        <v/>
      </c>
      <c r="AT21" s="263" t="str">
        <f>IFERROR(HLOOKUP(AT$7,'PCO Log'!$E$11:$SJ$98,15,FALSE),"")</f>
        <v/>
      </c>
      <c r="AU21" s="263" t="str">
        <f>IFERROR(HLOOKUP(AU$7,'PCO Log'!$E$11:$SJ$98,15,FALSE),"")</f>
        <v/>
      </c>
      <c r="AV21" s="263" t="str">
        <f>IFERROR(HLOOKUP(AV$7,'PCO Log'!$E$11:$SJ$98,15,FALSE),"")</f>
        <v/>
      </c>
      <c r="AW21" s="263" t="str">
        <f>IFERROR(HLOOKUP(AW$7,'PCO Log'!$E$11:$SJ$98,15,FALSE),"")</f>
        <v/>
      </c>
      <c r="AX21" s="263" t="str">
        <f>IFERROR(HLOOKUP(AX$7,'PCO Log'!$E$11:$SJ$98,15,FALSE),"")</f>
        <v/>
      </c>
      <c r="AY21" s="263" t="str">
        <f>IFERROR(HLOOKUP(AY$7,'PCO Log'!$E$11:$SJ$98,15,FALSE),"")</f>
        <v/>
      </c>
      <c r="AZ21" s="263" t="str">
        <f>IFERROR(HLOOKUP(AZ$7,'PCO Log'!$E$11:$SJ$98,15,FALSE),"")</f>
        <v/>
      </c>
      <c r="BA21" s="263" t="str">
        <f>IFERROR(HLOOKUP(BA$7,'PCO Log'!$E$11:$SJ$98,15,FALSE),"")</f>
        <v/>
      </c>
      <c r="BB21" s="263" t="str">
        <f>IFERROR(HLOOKUP(BB$7,'PCO Log'!$E$11:$SJ$98,15,FALSE),"")</f>
        <v/>
      </c>
      <c r="BC21" s="263" t="str">
        <f>IFERROR(HLOOKUP(BC$7,'PCO Log'!$E$11:$SJ$98,15,FALSE),"")</f>
        <v/>
      </c>
    </row>
    <row r="22" spans="2:55" s="334" customFormat="1" x14ac:dyDescent="0.25">
      <c r="B22" s="35" t="str">
        <f>'Pay App 1'!B71</f>
        <v>02 21 00</v>
      </c>
      <c r="C22" s="27" t="str">
        <f>'Pay App 1'!C71</f>
        <v>Survey/Engineering</v>
      </c>
      <c r="D22" s="263">
        <f t="shared" si="1"/>
        <v>0</v>
      </c>
      <c r="E22" s="264">
        <f>'Pay App 1'!D71</f>
        <v>0</v>
      </c>
      <c r="F22" s="263" t="str">
        <f>IFERROR(HLOOKUP(F$7,'PCO Log'!$E$11:$SJ$98,16,FALSE),"")</f>
        <v/>
      </c>
      <c r="G22" s="263" t="str">
        <f>IFERROR(HLOOKUP(G$7,'PCO Log'!$E$11:$SJ$98,16,FALSE),"")</f>
        <v/>
      </c>
      <c r="H22" s="263" t="str">
        <f>IFERROR(HLOOKUP(H$7,'PCO Log'!$E$11:$SJ$98,16,FALSE),"")</f>
        <v/>
      </c>
      <c r="I22" s="263" t="str">
        <f>IFERROR(HLOOKUP(I$7,'PCO Log'!$E$11:$SJ$98,16,FALSE),"")</f>
        <v/>
      </c>
      <c r="J22" s="263" t="str">
        <f>IFERROR(HLOOKUP(J$7,'PCO Log'!$E$11:$SJ$98,16,FALSE),"")</f>
        <v/>
      </c>
      <c r="K22" s="263" t="str">
        <f>IFERROR(HLOOKUP(K$7,'PCO Log'!$E$11:$SJ$98,16,FALSE),"")</f>
        <v/>
      </c>
      <c r="L22" s="263" t="str">
        <f>IFERROR(HLOOKUP(L$7,'PCO Log'!$E$11:$SJ$98,16,FALSE),"")</f>
        <v/>
      </c>
      <c r="M22" s="263" t="str">
        <f>IFERROR(HLOOKUP(M$7,'PCO Log'!$E$11:$SJ$98,16,FALSE),"")</f>
        <v/>
      </c>
      <c r="N22" s="263" t="str">
        <f>IFERROR(HLOOKUP(N$7,'PCO Log'!$E$11:$SJ$98,16,FALSE),"")</f>
        <v/>
      </c>
      <c r="O22" s="263" t="str">
        <f>IFERROR(HLOOKUP(O$7,'PCO Log'!$E$11:$SJ$98,16,FALSE),"")</f>
        <v/>
      </c>
      <c r="P22" s="263" t="str">
        <f>IFERROR(HLOOKUP(P$7,'PCO Log'!$E$11:$SJ$98,16,FALSE),"")</f>
        <v/>
      </c>
      <c r="Q22" s="263" t="str">
        <f>IFERROR(HLOOKUP(Q$7,'PCO Log'!$E$11:$SJ$98,16,FALSE),"")</f>
        <v/>
      </c>
      <c r="R22" s="263" t="str">
        <f>IFERROR(HLOOKUP(R$7,'PCO Log'!$E$11:$SJ$98,16,FALSE),"")</f>
        <v/>
      </c>
      <c r="S22" s="263" t="str">
        <f>IFERROR(HLOOKUP(S$7,'PCO Log'!$E$11:$SJ$98,16,FALSE),"")</f>
        <v/>
      </c>
      <c r="T22" s="263" t="str">
        <f>IFERROR(HLOOKUP(T$7,'PCO Log'!$E$11:$SJ$98,16,FALSE),"")</f>
        <v/>
      </c>
      <c r="U22" s="263" t="str">
        <f>IFERROR(HLOOKUP(U$7,'PCO Log'!$E$11:$SJ$98,16,FALSE),"")</f>
        <v/>
      </c>
      <c r="V22" s="263" t="str">
        <f>IFERROR(HLOOKUP(V$7,'PCO Log'!$E$11:$SJ$98,16,FALSE),"")</f>
        <v/>
      </c>
      <c r="W22" s="263" t="str">
        <f>IFERROR(HLOOKUP(W$7,'PCO Log'!$E$11:$SJ$98,16,FALSE),"")</f>
        <v/>
      </c>
      <c r="X22" s="263" t="str">
        <f>IFERROR(HLOOKUP(X$7,'PCO Log'!$E$11:$SJ$98,16,FALSE),"")</f>
        <v/>
      </c>
      <c r="Y22" s="263" t="str">
        <f>IFERROR(HLOOKUP(Y$7,'PCO Log'!$E$11:$SJ$98,16,FALSE),"")</f>
        <v/>
      </c>
      <c r="Z22" s="263" t="str">
        <f>IFERROR(HLOOKUP(Z$7,'PCO Log'!$E$11:$SJ$98,16,FALSE),"")</f>
        <v/>
      </c>
      <c r="AA22" s="263" t="str">
        <f>IFERROR(HLOOKUP(AA$7,'PCO Log'!$E$11:$SJ$98,16,FALSE),"")</f>
        <v/>
      </c>
      <c r="AB22" s="263" t="str">
        <f>IFERROR(HLOOKUP(AB$7,'PCO Log'!$E$11:$SJ$98,16,FALSE),"")</f>
        <v/>
      </c>
      <c r="AC22" s="263" t="str">
        <f>IFERROR(HLOOKUP(AC$7,'PCO Log'!$E$11:$SJ$98,16,FALSE),"")</f>
        <v/>
      </c>
      <c r="AD22" s="263" t="str">
        <f>IFERROR(HLOOKUP(AD$7,'PCO Log'!$E$11:$SJ$98,16,FALSE),"")</f>
        <v/>
      </c>
      <c r="AE22" s="263" t="str">
        <f>IFERROR(HLOOKUP(AE$7,'PCO Log'!$E$11:$SJ$98,16,FALSE),"")</f>
        <v/>
      </c>
      <c r="AF22" s="263" t="str">
        <f>IFERROR(HLOOKUP(AF$7,'PCO Log'!$E$11:$SJ$98,16,FALSE),"")</f>
        <v/>
      </c>
      <c r="AG22" s="263" t="str">
        <f>IFERROR(HLOOKUP(AG$7,'PCO Log'!$E$11:$SJ$98,16,FALSE),"")</f>
        <v/>
      </c>
      <c r="AH22" s="263" t="str">
        <f>IFERROR(HLOOKUP(AH$7,'PCO Log'!$E$11:$SJ$98,16,FALSE),"")</f>
        <v/>
      </c>
      <c r="AI22" s="263" t="str">
        <f>IFERROR(HLOOKUP(AI$7,'PCO Log'!$E$11:$SJ$98,16,FALSE),"")</f>
        <v/>
      </c>
      <c r="AJ22" s="263" t="str">
        <f>IFERROR(HLOOKUP(AJ$7,'PCO Log'!$E$11:$SJ$98,16,FALSE),"")</f>
        <v/>
      </c>
      <c r="AK22" s="263" t="str">
        <f>IFERROR(HLOOKUP(AK$7,'PCO Log'!$E$11:$SJ$98,16,FALSE),"")</f>
        <v/>
      </c>
      <c r="AL22" s="263" t="str">
        <f>IFERROR(HLOOKUP(AL$7,'PCO Log'!$E$11:$SJ$98,16,FALSE),"")</f>
        <v/>
      </c>
      <c r="AM22" s="263" t="str">
        <f>IFERROR(HLOOKUP(AM$7,'PCO Log'!$E$11:$SJ$98,16,FALSE),"")</f>
        <v/>
      </c>
      <c r="AN22" s="263" t="str">
        <f>IFERROR(HLOOKUP(AN$7,'PCO Log'!$E$11:$SJ$98,16,FALSE),"")</f>
        <v/>
      </c>
      <c r="AO22" s="263" t="str">
        <f>IFERROR(HLOOKUP(AO$7,'PCO Log'!$E$11:$SJ$98,16,FALSE),"")</f>
        <v/>
      </c>
      <c r="AP22" s="263" t="str">
        <f>IFERROR(HLOOKUP(AP$7,'PCO Log'!$E$11:$SJ$98,16,FALSE),"")</f>
        <v/>
      </c>
      <c r="AQ22" s="263" t="str">
        <f>IFERROR(HLOOKUP(AQ$7,'PCO Log'!$E$11:$SJ$98,16,FALSE),"")</f>
        <v/>
      </c>
      <c r="AR22" s="263" t="str">
        <f>IFERROR(HLOOKUP(AR$7,'PCO Log'!$E$11:$SJ$98,16,FALSE),"")</f>
        <v/>
      </c>
      <c r="AS22" s="263" t="str">
        <f>IFERROR(HLOOKUP(AS$7,'PCO Log'!$E$11:$SJ$98,16,FALSE),"")</f>
        <v/>
      </c>
      <c r="AT22" s="263" t="str">
        <f>IFERROR(HLOOKUP(AT$7,'PCO Log'!$E$11:$SJ$98,16,FALSE),"")</f>
        <v/>
      </c>
      <c r="AU22" s="263" t="str">
        <f>IFERROR(HLOOKUP(AU$7,'PCO Log'!$E$11:$SJ$98,16,FALSE),"")</f>
        <v/>
      </c>
      <c r="AV22" s="263" t="str">
        <f>IFERROR(HLOOKUP(AV$7,'PCO Log'!$E$11:$SJ$98,16,FALSE),"")</f>
        <v/>
      </c>
      <c r="AW22" s="263" t="str">
        <f>IFERROR(HLOOKUP(AW$7,'PCO Log'!$E$11:$SJ$98,16,FALSE),"")</f>
        <v/>
      </c>
      <c r="AX22" s="263" t="str">
        <f>IFERROR(HLOOKUP(AX$7,'PCO Log'!$E$11:$SJ$98,16,FALSE),"")</f>
        <v/>
      </c>
      <c r="AY22" s="263" t="str">
        <f>IFERROR(HLOOKUP(AY$7,'PCO Log'!$E$11:$SJ$98,16,FALSE),"")</f>
        <v/>
      </c>
      <c r="AZ22" s="263" t="str">
        <f>IFERROR(HLOOKUP(AZ$7,'PCO Log'!$E$11:$SJ$98,16,FALSE),"")</f>
        <v/>
      </c>
      <c r="BA22" s="263" t="str">
        <f>IFERROR(HLOOKUP(BA$7,'PCO Log'!$E$11:$SJ$98,16,FALSE),"")</f>
        <v/>
      </c>
      <c r="BB22" s="263" t="str">
        <f>IFERROR(HLOOKUP(BB$7,'PCO Log'!$E$11:$SJ$98,16,FALSE),"")</f>
        <v/>
      </c>
      <c r="BC22" s="263" t="str">
        <f>IFERROR(HLOOKUP(BC$7,'PCO Log'!$E$11:$SJ$98,16,FALSE),"")</f>
        <v/>
      </c>
    </row>
    <row r="23" spans="2:55" s="334" customFormat="1" x14ac:dyDescent="0.25">
      <c r="B23" s="35" t="str">
        <f>'Pay App 1'!B72</f>
        <v>02 41 00</v>
      </c>
      <c r="C23" s="27" t="str">
        <f>'Pay App 1'!C72</f>
        <v>Demolition</v>
      </c>
      <c r="D23" s="263">
        <f>SUM(E23:BC23)</f>
        <v>0</v>
      </c>
      <c r="E23" s="264">
        <f>'Pay App 1'!D72</f>
        <v>0</v>
      </c>
      <c r="F23" s="263" t="str">
        <f>IFERROR(HLOOKUP(F$7,'PCO Log'!$E$11:$SJ$98,17,FALSE),"")</f>
        <v/>
      </c>
      <c r="G23" s="263" t="str">
        <f>IFERROR(HLOOKUP(G$7,'PCO Log'!$E$11:$SJ$98,17,FALSE),"")</f>
        <v/>
      </c>
      <c r="H23" s="263" t="str">
        <f>IFERROR(HLOOKUP(H$7,'PCO Log'!$E$11:$SJ$98,17,FALSE),"")</f>
        <v/>
      </c>
      <c r="I23" s="263" t="str">
        <f>IFERROR(HLOOKUP(I$7,'PCO Log'!$E$11:$SJ$98,17,FALSE),"")</f>
        <v/>
      </c>
      <c r="J23" s="263" t="str">
        <f>IFERROR(HLOOKUP(J$7,'PCO Log'!$E$11:$SJ$98,17,FALSE),"")</f>
        <v/>
      </c>
      <c r="K23" s="263" t="str">
        <f>IFERROR(HLOOKUP(K$7,'PCO Log'!$E$11:$SJ$98,17,FALSE),"")</f>
        <v/>
      </c>
      <c r="L23" s="263" t="str">
        <f>IFERROR(HLOOKUP(L$7,'PCO Log'!$E$11:$SJ$98,17,FALSE),"")</f>
        <v/>
      </c>
      <c r="M23" s="263" t="str">
        <f>IFERROR(HLOOKUP(M$7,'PCO Log'!$E$11:$SJ$98,17,FALSE),"")</f>
        <v/>
      </c>
      <c r="N23" s="263" t="str">
        <f>IFERROR(HLOOKUP(N$7,'PCO Log'!$E$11:$SJ$98,17,FALSE),"")</f>
        <v/>
      </c>
      <c r="O23" s="263" t="str">
        <f>IFERROR(HLOOKUP(O$7,'PCO Log'!$E$11:$SJ$98,17,FALSE),"")</f>
        <v/>
      </c>
      <c r="P23" s="263" t="str">
        <f>IFERROR(HLOOKUP(P$7,'PCO Log'!$E$11:$SJ$98,17,FALSE),"")</f>
        <v/>
      </c>
      <c r="Q23" s="263" t="str">
        <f>IFERROR(HLOOKUP(Q$7,'PCO Log'!$E$11:$SJ$98,17,FALSE),"")</f>
        <v/>
      </c>
      <c r="R23" s="263" t="str">
        <f>IFERROR(HLOOKUP(R$7,'PCO Log'!$E$11:$SJ$98,17,FALSE),"")</f>
        <v/>
      </c>
      <c r="S23" s="263" t="str">
        <f>IFERROR(HLOOKUP(S$7,'PCO Log'!$E$11:$SJ$98,17,FALSE),"")</f>
        <v/>
      </c>
      <c r="T23" s="263" t="str">
        <f>IFERROR(HLOOKUP(T$7,'PCO Log'!$E$11:$SJ$98,17,FALSE),"")</f>
        <v/>
      </c>
      <c r="U23" s="263" t="str">
        <f>IFERROR(HLOOKUP(U$7,'PCO Log'!$E$11:$SJ$98,17,FALSE),"")</f>
        <v/>
      </c>
      <c r="V23" s="263" t="str">
        <f>IFERROR(HLOOKUP(V$7,'PCO Log'!$E$11:$SJ$98,17,FALSE),"")</f>
        <v/>
      </c>
      <c r="W23" s="263" t="str">
        <f>IFERROR(HLOOKUP(W$7,'PCO Log'!$E$11:$SJ$98,17,FALSE),"")</f>
        <v/>
      </c>
      <c r="X23" s="263" t="str">
        <f>IFERROR(HLOOKUP(X$7,'PCO Log'!$E$11:$SJ$98,17,FALSE),"")</f>
        <v/>
      </c>
      <c r="Y23" s="263" t="str">
        <f>IFERROR(HLOOKUP(Y$7,'PCO Log'!$E$11:$SJ$98,17,FALSE),"")</f>
        <v/>
      </c>
      <c r="Z23" s="263" t="str">
        <f>IFERROR(HLOOKUP(Z$7,'PCO Log'!$E$11:$SJ$98,17,FALSE),"")</f>
        <v/>
      </c>
      <c r="AA23" s="263" t="str">
        <f>IFERROR(HLOOKUP(AA$7,'PCO Log'!$E$11:$SJ$98,17,FALSE),"")</f>
        <v/>
      </c>
      <c r="AB23" s="263" t="str">
        <f>IFERROR(HLOOKUP(AB$7,'PCO Log'!$E$11:$SJ$98,17,FALSE),"")</f>
        <v/>
      </c>
      <c r="AC23" s="263" t="str">
        <f>IFERROR(HLOOKUP(AC$7,'PCO Log'!$E$11:$SJ$98,17,FALSE),"")</f>
        <v/>
      </c>
      <c r="AD23" s="263" t="str">
        <f>IFERROR(HLOOKUP(AD$7,'PCO Log'!$E$11:$SJ$98,17,FALSE),"")</f>
        <v/>
      </c>
      <c r="AE23" s="263" t="str">
        <f>IFERROR(HLOOKUP(AE$7,'PCO Log'!$E$11:$SJ$98,17,FALSE),"")</f>
        <v/>
      </c>
      <c r="AF23" s="263" t="str">
        <f>IFERROR(HLOOKUP(AF$7,'PCO Log'!$E$11:$SJ$98,17,FALSE),"")</f>
        <v/>
      </c>
      <c r="AG23" s="263" t="str">
        <f>IFERROR(HLOOKUP(AG$7,'PCO Log'!$E$11:$SJ$98,17,FALSE),"")</f>
        <v/>
      </c>
      <c r="AH23" s="263" t="str">
        <f>IFERROR(HLOOKUP(AH$7,'PCO Log'!$E$11:$SJ$98,17,FALSE),"")</f>
        <v/>
      </c>
      <c r="AI23" s="263" t="str">
        <f>IFERROR(HLOOKUP(AI$7,'PCO Log'!$E$11:$SJ$98,17,FALSE),"")</f>
        <v/>
      </c>
      <c r="AJ23" s="263" t="str">
        <f>IFERROR(HLOOKUP(AJ$7,'PCO Log'!$E$11:$SJ$98,17,FALSE),"")</f>
        <v/>
      </c>
      <c r="AK23" s="263" t="str">
        <f>IFERROR(HLOOKUP(AK$7,'PCO Log'!$E$11:$SJ$98,17,FALSE),"")</f>
        <v/>
      </c>
      <c r="AL23" s="263" t="str">
        <f>IFERROR(HLOOKUP(AL$7,'PCO Log'!$E$11:$SJ$98,17,FALSE),"")</f>
        <v/>
      </c>
      <c r="AM23" s="263" t="str">
        <f>IFERROR(HLOOKUP(AM$7,'PCO Log'!$E$11:$SJ$98,17,FALSE),"")</f>
        <v/>
      </c>
      <c r="AN23" s="263" t="str">
        <f>IFERROR(HLOOKUP(AN$7,'PCO Log'!$E$11:$SJ$98,17,FALSE),"")</f>
        <v/>
      </c>
      <c r="AO23" s="263" t="str">
        <f>IFERROR(HLOOKUP(AO$7,'PCO Log'!$E$11:$SJ$98,17,FALSE),"")</f>
        <v/>
      </c>
      <c r="AP23" s="263" t="str">
        <f>IFERROR(HLOOKUP(AP$7,'PCO Log'!$E$11:$SJ$98,17,FALSE),"")</f>
        <v/>
      </c>
      <c r="AQ23" s="263" t="str">
        <f>IFERROR(HLOOKUP(AQ$7,'PCO Log'!$E$11:$SJ$98,17,FALSE),"")</f>
        <v/>
      </c>
      <c r="AR23" s="263" t="str">
        <f>IFERROR(HLOOKUP(AR$7,'PCO Log'!$E$11:$SJ$98,17,FALSE),"")</f>
        <v/>
      </c>
      <c r="AS23" s="263" t="str">
        <f>IFERROR(HLOOKUP(AS$7,'PCO Log'!$E$11:$SJ$98,17,FALSE),"")</f>
        <v/>
      </c>
      <c r="AT23" s="263" t="str">
        <f>IFERROR(HLOOKUP(AT$7,'PCO Log'!$E$11:$SJ$98,17,FALSE),"")</f>
        <v/>
      </c>
      <c r="AU23" s="263" t="str">
        <f>IFERROR(HLOOKUP(AU$7,'PCO Log'!$E$11:$SJ$98,17,FALSE),"")</f>
        <v/>
      </c>
      <c r="AV23" s="263" t="str">
        <f>IFERROR(HLOOKUP(AV$7,'PCO Log'!$E$11:$SJ$98,17,FALSE),"")</f>
        <v/>
      </c>
      <c r="AW23" s="263" t="str">
        <f>IFERROR(HLOOKUP(AW$7,'PCO Log'!$E$11:$SJ$98,17,FALSE),"")</f>
        <v/>
      </c>
      <c r="AX23" s="263" t="str">
        <f>IFERROR(HLOOKUP(AX$7,'PCO Log'!$E$11:$SJ$98,17,FALSE),"")</f>
        <v/>
      </c>
      <c r="AY23" s="263" t="str">
        <f>IFERROR(HLOOKUP(AY$7,'PCO Log'!$E$11:$SJ$98,17,FALSE),"")</f>
        <v/>
      </c>
      <c r="AZ23" s="263" t="str">
        <f>IFERROR(HLOOKUP(AZ$7,'PCO Log'!$E$11:$SJ$98,17,FALSE),"")</f>
        <v/>
      </c>
      <c r="BA23" s="263" t="str">
        <f>IFERROR(HLOOKUP(BA$7,'PCO Log'!$E$11:$SJ$98,17,FALSE),"")</f>
        <v/>
      </c>
      <c r="BB23" s="263" t="str">
        <f>IFERROR(HLOOKUP(BB$7,'PCO Log'!$E$11:$SJ$98,17,FALSE),"")</f>
        <v/>
      </c>
      <c r="BC23" s="263" t="str">
        <f>IFERROR(HLOOKUP(BC$7,'PCO Log'!$E$11:$SJ$98,17,FALSE),"")</f>
        <v/>
      </c>
    </row>
    <row r="24" spans="2:55" s="334" customFormat="1" x14ac:dyDescent="0.25">
      <c r="B24" s="35" t="str">
        <f>'Pay App 1'!B73</f>
        <v>02 82 00</v>
      </c>
      <c r="C24" s="27" t="str">
        <f>'Pay App 1'!C73</f>
        <v>Asbestos Abatement</v>
      </c>
      <c r="D24" s="263">
        <f t="shared" si="1"/>
        <v>0</v>
      </c>
      <c r="E24" s="264">
        <f>'Pay App 1'!D73</f>
        <v>0</v>
      </c>
      <c r="F24" s="263" t="str">
        <f>IFERROR(HLOOKUP(F$7,'PCO Log'!$E$11:$SJ$98,18,FALSE),"")</f>
        <v/>
      </c>
      <c r="G24" s="263" t="str">
        <f>IFERROR(HLOOKUP(G$7,'PCO Log'!$E$11:$SJ$98,18,FALSE),"")</f>
        <v/>
      </c>
      <c r="H24" s="263" t="str">
        <f>IFERROR(HLOOKUP(H$7,'PCO Log'!$E$11:$SJ$98,18,FALSE),"")</f>
        <v/>
      </c>
      <c r="I24" s="263" t="str">
        <f>IFERROR(HLOOKUP(I$7,'PCO Log'!$E$11:$SJ$98,18,FALSE),"")</f>
        <v/>
      </c>
      <c r="J24" s="263" t="str">
        <f>IFERROR(HLOOKUP(J$7,'PCO Log'!$E$11:$SJ$98,18,FALSE),"")</f>
        <v/>
      </c>
      <c r="K24" s="263" t="str">
        <f>IFERROR(HLOOKUP(K$7,'PCO Log'!$E$11:$SJ$98,18,FALSE),"")</f>
        <v/>
      </c>
      <c r="L24" s="263" t="str">
        <f>IFERROR(HLOOKUP(L$7,'PCO Log'!$E$11:$SJ$98,18,FALSE),"")</f>
        <v/>
      </c>
      <c r="M24" s="263" t="str">
        <f>IFERROR(HLOOKUP(M$7,'PCO Log'!$E$11:$SJ$98,18,FALSE),"")</f>
        <v/>
      </c>
      <c r="N24" s="263" t="str">
        <f>IFERROR(HLOOKUP(N$7,'PCO Log'!$E$11:$SJ$98,18,FALSE),"")</f>
        <v/>
      </c>
      <c r="O24" s="263" t="str">
        <f>IFERROR(HLOOKUP(O$7,'PCO Log'!$E$11:$SJ$98,18,FALSE),"")</f>
        <v/>
      </c>
      <c r="P24" s="263" t="str">
        <f>IFERROR(HLOOKUP(P$7,'PCO Log'!$E$11:$SJ$98,18,FALSE),"")</f>
        <v/>
      </c>
      <c r="Q24" s="263" t="str">
        <f>IFERROR(HLOOKUP(Q$7,'PCO Log'!$E$11:$SJ$98,18,FALSE),"")</f>
        <v/>
      </c>
      <c r="R24" s="263" t="str">
        <f>IFERROR(HLOOKUP(R$7,'PCO Log'!$E$11:$SJ$98,18,FALSE),"")</f>
        <v/>
      </c>
      <c r="S24" s="263" t="str">
        <f>IFERROR(HLOOKUP(S$7,'PCO Log'!$E$11:$SJ$98,18,FALSE),"")</f>
        <v/>
      </c>
      <c r="T24" s="263" t="str">
        <f>IFERROR(HLOOKUP(T$7,'PCO Log'!$E$11:$SJ$98,18,FALSE),"")</f>
        <v/>
      </c>
      <c r="U24" s="263" t="str">
        <f>IFERROR(HLOOKUP(U$7,'PCO Log'!$E$11:$SJ$98,18,FALSE),"")</f>
        <v/>
      </c>
      <c r="V24" s="263" t="str">
        <f>IFERROR(HLOOKUP(V$7,'PCO Log'!$E$11:$SJ$98,18,FALSE),"")</f>
        <v/>
      </c>
      <c r="W24" s="263" t="str">
        <f>IFERROR(HLOOKUP(W$7,'PCO Log'!$E$11:$SJ$98,18,FALSE),"")</f>
        <v/>
      </c>
      <c r="X24" s="263" t="str">
        <f>IFERROR(HLOOKUP(X$7,'PCO Log'!$E$11:$SJ$98,18,FALSE),"")</f>
        <v/>
      </c>
      <c r="Y24" s="263" t="str">
        <f>IFERROR(HLOOKUP(Y$7,'PCO Log'!$E$11:$SJ$98,18,FALSE),"")</f>
        <v/>
      </c>
      <c r="Z24" s="263" t="str">
        <f>IFERROR(HLOOKUP(Z$7,'PCO Log'!$E$11:$SJ$98,18,FALSE),"")</f>
        <v/>
      </c>
      <c r="AA24" s="263" t="str">
        <f>IFERROR(HLOOKUP(AA$7,'PCO Log'!$E$11:$SJ$98,18,FALSE),"")</f>
        <v/>
      </c>
      <c r="AB24" s="263" t="str">
        <f>IFERROR(HLOOKUP(AB$7,'PCO Log'!$E$11:$SJ$98,18,FALSE),"")</f>
        <v/>
      </c>
      <c r="AC24" s="263" t="str">
        <f>IFERROR(HLOOKUP(AC$7,'PCO Log'!$E$11:$SJ$98,18,FALSE),"")</f>
        <v/>
      </c>
      <c r="AD24" s="263" t="str">
        <f>IFERROR(HLOOKUP(AD$7,'PCO Log'!$E$11:$SJ$98,18,FALSE),"")</f>
        <v/>
      </c>
      <c r="AE24" s="263" t="str">
        <f>IFERROR(HLOOKUP(AE$7,'PCO Log'!$E$11:$SJ$98,18,FALSE),"")</f>
        <v/>
      </c>
      <c r="AF24" s="263" t="str">
        <f>IFERROR(HLOOKUP(AF$7,'PCO Log'!$E$11:$SJ$98,18,FALSE),"")</f>
        <v/>
      </c>
      <c r="AG24" s="263" t="str">
        <f>IFERROR(HLOOKUP(AG$7,'PCO Log'!$E$11:$SJ$98,18,FALSE),"")</f>
        <v/>
      </c>
      <c r="AH24" s="263" t="str">
        <f>IFERROR(HLOOKUP(AH$7,'PCO Log'!$E$11:$SJ$98,18,FALSE),"")</f>
        <v/>
      </c>
      <c r="AI24" s="263" t="str">
        <f>IFERROR(HLOOKUP(AI$7,'PCO Log'!$E$11:$SJ$98,18,FALSE),"")</f>
        <v/>
      </c>
      <c r="AJ24" s="263" t="str">
        <f>IFERROR(HLOOKUP(AJ$7,'PCO Log'!$E$11:$SJ$98,18,FALSE),"")</f>
        <v/>
      </c>
      <c r="AK24" s="263" t="str">
        <f>IFERROR(HLOOKUP(AK$7,'PCO Log'!$E$11:$SJ$98,18,FALSE),"")</f>
        <v/>
      </c>
      <c r="AL24" s="263" t="str">
        <f>IFERROR(HLOOKUP(AL$7,'PCO Log'!$E$11:$SJ$98,18,FALSE),"")</f>
        <v/>
      </c>
      <c r="AM24" s="263" t="str">
        <f>IFERROR(HLOOKUP(AM$7,'PCO Log'!$E$11:$SJ$98,18,FALSE),"")</f>
        <v/>
      </c>
      <c r="AN24" s="263" t="str">
        <f>IFERROR(HLOOKUP(AN$7,'PCO Log'!$E$11:$SJ$98,18,FALSE),"")</f>
        <v/>
      </c>
      <c r="AO24" s="263" t="str">
        <f>IFERROR(HLOOKUP(AO$7,'PCO Log'!$E$11:$SJ$98,18,FALSE),"")</f>
        <v/>
      </c>
      <c r="AP24" s="263" t="str">
        <f>IFERROR(HLOOKUP(AP$7,'PCO Log'!$E$11:$SJ$98,18,FALSE),"")</f>
        <v/>
      </c>
      <c r="AQ24" s="263" t="str">
        <f>IFERROR(HLOOKUP(AQ$7,'PCO Log'!$E$11:$SJ$98,18,FALSE),"")</f>
        <v/>
      </c>
      <c r="AR24" s="263" t="str">
        <f>IFERROR(HLOOKUP(AR$7,'PCO Log'!$E$11:$SJ$98,18,FALSE),"")</f>
        <v/>
      </c>
      <c r="AS24" s="263" t="str">
        <f>IFERROR(HLOOKUP(AS$7,'PCO Log'!$E$11:$SJ$98,18,FALSE),"")</f>
        <v/>
      </c>
      <c r="AT24" s="263" t="str">
        <f>IFERROR(HLOOKUP(AT$7,'PCO Log'!$E$11:$SJ$98,18,FALSE),"")</f>
        <v/>
      </c>
      <c r="AU24" s="263" t="str">
        <f>IFERROR(HLOOKUP(AU$7,'PCO Log'!$E$11:$SJ$98,18,FALSE),"")</f>
        <v/>
      </c>
      <c r="AV24" s="263" t="str">
        <f>IFERROR(HLOOKUP(AV$7,'PCO Log'!$E$11:$SJ$98,18,FALSE),"")</f>
        <v/>
      </c>
      <c r="AW24" s="263" t="str">
        <f>IFERROR(HLOOKUP(AW$7,'PCO Log'!$E$11:$SJ$98,18,FALSE),"")</f>
        <v/>
      </c>
      <c r="AX24" s="263" t="str">
        <f>IFERROR(HLOOKUP(AX$7,'PCO Log'!$E$11:$SJ$98,18,FALSE),"")</f>
        <v/>
      </c>
      <c r="AY24" s="263" t="str">
        <f>IFERROR(HLOOKUP(AY$7,'PCO Log'!$E$11:$SJ$98,18,FALSE),"")</f>
        <v/>
      </c>
      <c r="AZ24" s="263" t="str">
        <f>IFERROR(HLOOKUP(AZ$7,'PCO Log'!$E$11:$SJ$98,18,FALSE),"")</f>
        <v/>
      </c>
      <c r="BA24" s="263" t="str">
        <f>IFERROR(HLOOKUP(BA$7,'PCO Log'!$E$11:$SJ$98,18,FALSE),"")</f>
        <v/>
      </c>
      <c r="BB24" s="263" t="str">
        <f>IFERROR(HLOOKUP(BB$7,'PCO Log'!$E$11:$SJ$98,18,FALSE),"")</f>
        <v/>
      </c>
      <c r="BC24" s="263" t="str">
        <f>IFERROR(HLOOKUP(BC$7,'PCO Log'!$E$11:$SJ$98,18,FALSE),"")</f>
        <v/>
      </c>
    </row>
    <row r="25" spans="2:55" s="334" customFormat="1" x14ac:dyDescent="0.25">
      <c r="B25" s="36" t="str">
        <f>'Pay App 1'!B74</f>
        <v>03 00 00</v>
      </c>
      <c r="C25" s="37" t="str">
        <f>'Pay App 1'!C74</f>
        <v>Building Concrete</v>
      </c>
      <c r="D25" s="263">
        <f t="shared" si="1"/>
        <v>0</v>
      </c>
      <c r="E25" s="264">
        <f>'Pay App 1'!D74</f>
        <v>0</v>
      </c>
      <c r="F25" s="263" t="str">
        <f>IFERROR(HLOOKUP(F$7,'PCO Log'!$E$11:$SJ$98,19,FALSE),"")</f>
        <v/>
      </c>
      <c r="G25" s="263" t="str">
        <f>IFERROR(HLOOKUP(G$7,'PCO Log'!$E$11:$SJ$98,19,FALSE),"")</f>
        <v/>
      </c>
      <c r="H25" s="263" t="str">
        <f>IFERROR(HLOOKUP(H$7,'PCO Log'!$E$11:$SJ$98,19,FALSE),"")</f>
        <v/>
      </c>
      <c r="I25" s="263" t="str">
        <f>IFERROR(HLOOKUP(I$7,'PCO Log'!$E$11:$SJ$98,19,FALSE),"")</f>
        <v/>
      </c>
      <c r="J25" s="263" t="str">
        <f>IFERROR(HLOOKUP(J$7,'PCO Log'!$E$11:$SJ$98,19,FALSE),"")</f>
        <v/>
      </c>
      <c r="K25" s="263" t="str">
        <f>IFERROR(HLOOKUP(K$7,'PCO Log'!$E$11:$SJ$98,19,FALSE),"")</f>
        <v/>
      </c>
      <c r="L25" s="263" t="str">
        <f>IFERROR(HLOOKUP(L$7,'PCO Log'!$E$11:$SJ$98,19,FALSE),"")</f>
        <v/>
      </c>
      <c r="M25" s="263" t="str">
        <f>IFERROR(HLOOKUP(M$7,'PCO Log'!$E$11:$SJ$98,19,FALSE),"")</f>
        <v/>
      </c>
      <c r="N25" s="263" t="str">
        <f>IFERROR(HLOOKUP(N$7,'PCO Log'!$E$11:$SJ$98,19,FALSE),"")</f>
        <v/>
      </c>
      <c r="O25" s="263" t="str">
        <f>IFERROR(HLOOKUP(O$7,'PCO Log'!$E$11:$SJ$98,19,FALSE),"")</f>
        <v/>
      </c>
      <c r="P25" s="263" t="str">
        <f>IFERROR(HLOOKUP(P$7,'PCO Log'!$E$11:$SJ$98,19,FALSE),"")</f>
        <v/>
      </c>
      <c r="Q25" s="263" t="str">
        <f>IFERROR(HLOOKUP(Q$7,'PCO Log'!$E$11:$SJ$98,19,FALSE),"")</f>
        <v/>
      </c>
      <c r="R25" s="263" t="str">
        <f>IFERROR(HLOOKUP(R$7,'PCO Log'!$E$11:$SJ$98,19,FALSE),"")</f>
        <v/>
      </c>
      <c r="S25" s="263" t="str">
        <f>IFERROR(HLOOKUP(S$7,'PCO Log'!$E$11:$SJ$98,19,FALSE),"")</f>
        <v/>
      </c>
      <c r="T25" s="263" t="str">
        <f>IFERROR(HLOOKUP(T$7,'PCO Log'!$E$11:$SJ$98,19,FALSE),"")</f>
        <v/>
      </c>
      <c r="U25" s="263" t="str">
        <f>IFERROR(HLOOKUP(U$7,'PCO Log'!$E$11:$SJ$98,19,FALSE),"")</f>
        <v/>
      </c>
      <c r="V25" s="263" t="str">
        <f>IFERROR(HLOOKUP(V$7,'PCO Log'!$E$11:$SJ$98,19,FALSE),"")</f>
        <v/>
      </c>
      <c r="W25" s="263" t="str">
        <f>IFERROR(HLOOKUP(W$7,'PCO Log'!$E$11:$SJ$98,19,FALSE),"")</f>
        <v/>
      </c>
      <c r="X25" s="263" t="str">
        <f>IFERROR(HLOOKUP(X$7,'PCO Log'!$E$11:$SJ$98,19,FALSE),"")</f>
        <v/>
      </c>
      <c r="Y25" s="263" t="str">
        <f>IFERROR(HLOOKUP(Y$7,'PCO Log'!$E$11:$SJ$98,19,FALSE),"")</f>
        <v/>
      </c>
      <c r="Z25" s="263" t="str">
        <f>IFERROR(HLOOKUP(Z$7,'PCO Log'!$E$11:$SJ$98,19,FALSE),"")</f>
        <v/>
      </c>
      <c r="AA25" s="263" t="str">
        <f>IFERROR(HLOOKUP(AA$7,'PCO Log'!$E$11:$SJ$98,19,FALSE),"")</f>
        <v/>
      </c>
      <c r="AB25" s="263" t="str">
        <f>IFERROR(HLOOKUP(AB$7,'PCO Log'!$E$11:$SJ$98,19,FALSE),"")</f>
        <v/>
      </c>
      <c r="AC25" s="263" t="str">
        <f>IFERROR(HLOOKUP(AC$7,'PCO Log'!$E$11:$SJ$98,19,FALSE),"")</f>
        <v/>
      </c>
      <c r="AD25" s="263" t="str">
        <f>IFERROR(HLOOKUP(AD$7,'PCO Log'!$E$11:$SJ$98,19,FALSE),"")</f>
        <v/>
      </c>
      <c r="AE25" s="263" t="str">
        <f>IFERROR(HLOOKUP(AE$7,'PCO Log'!$E$11:$SJ$98,19,FALSE),"")</f>
        <v/>
      </c>
      <c r="AF25" s="263" t="str">
        <f>IFERROR(HLOOKUP(AF$7,'PCO Log'!$E$11:$SJ$98,19,FALSE),"")</f>
        <v/>
      </c>
      <c r="AG25" s="263" t="str">
        <f>IFERROR(HLOOKUP(AG$7,'PCO Log'!$E$11:$SJ$98,19,FALSE),"")</f>
        <v/>
      </c>
      <c r="AH25" s="263" t="str">
        <f>IFERROR(HLOOKUP(AH$7,'PCO Log'!$E$11:$SJ$98,19,FALSE),"")</f>
        <v/>
      </c>
      <c r="AI25" s="263" t="str">
        <f>IFERROR(HLOOKUP(AI$7,'PCO Log'!$E$11:$SJ$98,19,FALSE),"")</f>
        <v/>
      </c>
      <c r="AJ25" s="263" t="str">
        <f>IFERROR(HLOOKUP(AJ$7,'PCO Log'!$E$11:$SJ$98,19,FALSE),"")</f>
        <v/>
      </c>
      <c r="AK25" s="263" t="str">
        <f>IFERROR(HLOOKUP(AK$7,'PCO Log'!$E$11:$SJ$98,19,FALSE),"")</f>
        <v/>
      </c>
      <c r="AL25" s="263" t="str">
        <f>IFERROR(HLOOKUP(AL$7,'PCO Log'!$E$11:$SJ$98,19,FALSE),"")</f>
        <v/>
      </c>
      <c r="AM25" s="263" t="str">
        <f>IFERROR(HLOOKUP(AM$7,'PCO Log'!$E$11:$SJ$98,19,FALSE),"")</f>
        <v/>
      </c>
      <c r="AN25" s="263" t="str">
        <f>IFERROR(HLOOKUP(AN$7,'PCO Log'!$E$11:$SJ$98,19,FALSE),"")</f>
        <v/>
      </c>
      <c r="AO25" s="263" t="str">
        <f>IFERROR(HLOOKUP(AO$7,'PCO Log'!$E$11:$SJ$98,19,FALSE),"")</f>
        <v/>
      </c>
      <c r="AP25" s="263" t="str">
        <f>IFERROR(HLOOKUP(AP$7,'PCO Log'!$E$11:$SJ$98,19,FALSE),"")</f>
        <v/>
      </c>
      <c r="AQ25" s="263" t="str">
        <f>IFERROR(HLOOKUP(AQ$7,'PCO Log'!$E$11:$SJ$98,19,FALSE),"")</f>
        <v/>
      </c>
      <c r="AR25" s="263" t="str">
        <f>IFERROR(HLOOKUP(AR$7,'PCO Log'!$E$11:$SJ$98,19,FALSE),"")</f>
        <v/>
      </c>
      <c r="AS25" s="263" t="str">
        <f>IFERROR(HLOOKUP(AS$7,'PCO Log'!$E$11:$SJ$98,19,FALSE),"")</f>
        <v/>
      </c>
      <c r="AT25" s="263" t="str">
        <f>IFERROR(HLOOKUP(AT$7,'PCO Log'!$E$11:$SJ$98,19,FALSE),"")</f>
        <v/>
      </c>
      <c r="AU25" s="263" t="str">
        <f>IFERROR(HLOOKUP(AU$7,'PCO Log'!$E$11:$SJ$98,19,FALSE),"")</f>
        <v/>
      </c>
      <c r="AV25" s="263" t="str">
        <f>IFERROR(HLOOKUP(AV$7,'PCO Log'!$E$11:$SJ$98,19,FALSE),"")</f>
        <v/>
      </c>
      <c r="AW25" s="263" t="str">
        <f>IFERROR(HLOOKUP(AW$7,'PCO Log'!$E$11:$SJ$98,19,FALSE),"")</f>
        <v/>
      </c>
      <c r="AX25" s="263" t="str">
        <f>IFERROR(HLOOKUP(AX$7,'PCO Log'!$E$11:$SJ$98,19,FALSE),"")</f>
        <v/>
      </c>
      <c r="AY25" s="263" t="str">
        <f>IFERROR(HLOOKUP(AY$7,'PCO Log'!$E$11:$SJ$98,19,FALSE),"")</f>
        <v/>
      </c>
      <c r="AZ25" s="263" t="str">
        <f>IFERROR(HLOOKUP(AZ$7,'PCO Log'!$E$11:$SJ$98,19,FALSE),"")</f>
        <v/>
      </c>
      <c r="BA25" s="263" t="str">
        <f>IFERROR(HLOOKUP(BA$7,'PCO Log'!$E$11:$SJ$98,19,FALSE),"")</f>
        <v/>
      </c>
      <c r="BB25" s="263" t="str">
        <f>IFERROR(HLOOKUP(BB$7,'PCO Log'!$E$11:$SJ$98,19,FALSE),"")</f>
        <v/>
      </c>
      <c r="BC25" s="263" t="str">
        <f>IFERROR(HLOOKUP(BC$7,'PCO Log'!$E$11:$SJ$98,19,FALSE),"")</f>
        <v/>
      </c>
    </row>
    <row r="26" spans="2:55" s="334" customFormat="1" x14ac:dyDescent="0.25">
      <c r="B26" s="36" t="str">
        <f>'Pay App 1'!B75</f>
        <v>03 20 00</v>
      </c>
      <c r="C26" s="37" t="str">
        <f>'Pay App 1'!C75</f>
        <v>Building Concrete Reinforcing</v>
      </c>
      <c r="D26" s="263">
        <f t="shared" si="1"/>
        <v>0</v>
      </c>
      <c r="E26" s="264">
        <f>'Pay App 1'!D75</f>
        <v>0</v>
      </c>
      <c r="F26" s="263" t="str">
        <f>IFERROR(HLOOKUP(F$7,'PCO Log'!$E$11:$SJ$98,20,FALSE),"")</f>
        <v/>
      </c>
      <c r="G26" s="263" t="str">
        <f>IFERROR(HLOOKUP(G$7,'PCO Log'!$E$11:$SJ$98,20,FALSE),"")</f>
        <v/>
      </c>
      <c r="H26" s="263" t="str">
        <f>IFERROR(HLOOKUP(H$7,'PCO Log'!$E$11:$SJ$98,20,FALSE),"")</f>
        <v/>
      </c>
      <c r="I26" s="263" t="str">
        <f>IFERROR(HLOOKUP(I$7,'PCO Log'!$E$11:$SJ$98,20,FALSE),"")</f>
        <v/>
      </c>
      <c r="J26" s="263" t="str">
        <f>IFERROR(HLOOKUP(J$7,'PCO Log'!$E$11:$SJ$98,20,FALSE),"")</f>
        <v/>
      </c>
      <c r="K26" s="263" t="str">
        <f>IFERROR(HLOOKUP(K$7,'PCO Log'!$E$11:$SJ$98,20,FALSE),"")</f>
        <v/>
      </c>
      <c r="L26" s="263" t="str">
        <f>IFERROR(HLOOKUP(L$7,'PCO Log'!$E$11:$SJ$98,20,FALSE),"")</f>
        <v/>
      </c>
      <c r="M26" s="263" t="str">
        <f>IFERROR(HLOOKUP(M$7,'PCO Log'!$E$11:$SJ$98,20,FALSE),"")</f>
        <v/>
      </c>
      <c r="N26" s="263" t="str">
        <f>IFERROR(HLOOKUP(N$7,'PCO Log'!$E$11:$SJ$98,20,FALSE),"")</f>
        <v/>
      </c>
      <c r="O26" s="263" t="str">
        <f>IFERROR(HLOOKUP(O$7,'PCO Log'!$E$11:$SJ$98,20,FALSE),"")</f>
        <v/>
      </c>
      <c r="P26" s="263" t="str">
        <f>IFERROR(HLOOKUP(P$7,'PCO Log'!$E$11:$SJ$98,20,FALSE),"")</f>
        <v/>
      </c>
      <c r="Q26" s="263" t="str">
        <f>IFERROR(HLOOKUP(Q$7,'PCO Log'!$E$11:$SJ$98,20,FALSE),"")</f>
        <v/>
      </c>
      <c r="R26" s="263" t="str">
        <f>IFERROR(HLOOKUP(R$7,'PCO Log'!$E$11:$SJ$98,20,FALSE),"")</f>
        <v/>
      </c>
      <c r="S26" s="263" t="str">
        <f>IFERROR(HLOOKUP(S$7,'PCO Log'!$E$11:$SJ$98,20,FALSE),"")</f>
        <v/>
      </c>
      <c r="T26" s="263" t="str">
        <f>IFERROR(HLOOKUP(T$7,'PCO Log'!$E$11:$SJ$98,20,FALSE),"")</f>
        <v/>
      </c>
      <c r="U26" s="263" t="str">
        <f>IFERROR(HLOOKUP(U$7,'PCO Log'!$E$11:$SJ$98,20,FALSE),"")</f>
        <v/>
      </c>
      <c r="V26" s="263" t="str">
        <f>IFERROR(HLOOKUP(V$7,'PCO Log'!$E$11:$SJ$98,20,FALSE),"")</f>
        <v/>
      </c>
      <c r="W26" s="263" t="str">
        <f>IFERROR(HLOOKUP(W$7,'PCO Log'!$E$11:$SJ$98,20,FALSE),"")</f>
        <v/>
      </c>
      <c r="X26" s="263" t="str">
        <f>IFERROR(HLOOKUP(X$7,'PCO Log'!$E$11:$SJ$98,20,FALSE),"")</f>
        <v/>
      </c>
      <c r="Y26" s="263" t="str">
        <f>IFERROR(HLOOKUP(Y$7,'PCO Log'!$E$11:$SJ$98,20,FALSE),"")</f>
        <v/>
      </c>
      <c r="Z26" s="263" t="str">
        <f>IFERROR(HLOOKUP(Z$7,'PCO Log'!$E$11:$SJ$98,20,FALSE),"")</f>
        <v/>
      </c>
      <c r="AA26" s="263" t="str">
        <f>IFERROR(HLOOKUP(AA$7,'PCO Log'!$E$11:$SJ$98,20,FALSE),"")</f>
        <v/>
      </c>
      <c r="AB26" s="263" t="str">
        <f>IFERROR(HLOOKUP(AB$7,'PCO Log'!$E$11:$SJ$98,20,FALSE),"")</f>
        <v/>
      </c>
      <c r="AC26" s="263" t="str">
        <f>IFERROR(HLOOKUP(AC$7,'PCO Log'!$E$11:$SJ$98,20,FALSE),"")</f>
        <v/>
      </c>
      <c r="AD26" s="263" t="str">
        <f>IFERROR(HLOOKUP(AD$7,'PCO Log'!$E$11:$SJ$98,20,FALSE),"")</f>
        <v/>
      </c>
      <c r="AE26" s="263" t="str">
        <f>IFERROR(HLOOKUP(AE$7,'PCO Log'!$E$11:$SJ$98,20,FALSE),"")</f>
        <v/>
      </c>
      <c r="AF26" s="263" t="str">
        <f>IFERROR(HLOOKUP(AF$7,'PCO Log'!$E$11:$SJ$98,20,FALSE),"")</f>
        <v/>
      </c>
      <c r="AG26" s="263" t="str">
        <f>IFERROR(HLOOKUP(AG$7,'PCO Log'!$E$11:$SJ$98,20,FALSE),"")</f>
        <v/>
      </c>
      <c r="AH26" s="263" t="str">
        <f>IFERROR(HLOOKUP(AH$7,'PCO Log'!$E$11:$SJ$98,20,FALSE),"")</f>
        <v/>
      </c>
      <c r="AI26" s="263" t="str">
        <f>IFERROR(HLOOKUP(AI$7,'PCO Log'!$E$11:$SJ$98,20,FALSE),"")</f>
        <v/>
      </c>
      <c r="AJ26" s="263" t="str">
        <f>IFERROR(HLOOKUP(AJ$7,'PCO Log'!$E$11:$SJ$98,20,FALSE),"")</f>
        <v/>
      </c>
      <c r="AK26" s="263" t="str">
        <f>IFERROR(HLOOKUP(AK$7,'PCO Log'!$E$11:$SJ$98,20,FALSE),"")</f>
        <v/>
      </c>
      <c r="AL26" s="263" t="str">
        <f>IFERROR(HLOOKUP(AL$7,'PCO Log'!$E$11:$SJ$98,20,FALSE),"")</f>
        <v/>
      </c>
      <c r="AM26" s="263" t="str">
        <f>IFERROR(HLOOKUP(AM$7,'PCO Log'!$E$11:$SJ$98,20,FALSE),"")</f>
        <v/>
      </c>
      <c r="AN26" s="263" t="str">
        <f>IFERROR(HLOOKUP(AN$7,'PCO Log'!$E$11:$SJ$98,20,FALSE),"")</f>
        <v/>
      </c>
      <c r="AO26" s="263" t="str">
        <f>IFERROR(HLOOKUP(AO$7,'PCO Log'!$E$11:$SJ$98,20,FALSE),"")</f>
        <v/>
      </c>
      <c r="AP26" s="263" t="str">
        <f>IFERROR(HLOOKUP(AP$7,'PCO Log'!$E$11:$SJ$98,20,FALSE),"")</f>
        <v/>
      </c>
      <c r="AQ26" s="263" t="str">
        <f>IFERROR(HLOOKUP(AQ$7,'PCO Log'!$E$11:$SJ$98,20,FALSE),"")</f>
        <v/>
      </c>
      <c r="AR26" s="263" t="str">
        <f>IFERROR(HLOOKUP(AR$7,'PCO Log'!$E$11:$SJ$98,20,FALSE),"")</f>
        <v/>
      </c>
      <c r="AS26" s="263" t="str">
        <f>IFERROR(HLOOKUP(AS$7,'PCO Log'!$E$11:$SJ$98,20,FALSE),"")</f>
        <v/>
      </c>
      <c r="AT26" s="263" t="str">
        <f>IFERROR(HLOOKUP(AT$7,'PCO Log'!$E$11:$SJ$98,20,FALSE),"")</f>
        <v/>
      </c>
      <c r="AU26" s="263" t="str">
        <f>IFERROR(HLOOKUP(AU$7,'PCO Log'!$E$11:$SJ$98,20,FALSE),"")</f>
        <v/>
      </c>
      <c r="AV26" s="263" t="str">
        <f>IFERROR(HLOOKUP(AV$7,'PCO Log'!$E$11:$SJ$98,20,FALSE),"")</f>
        <v/>
      </c>
      <c r="AW26" s="263" t="str">
        <f>IFERROR(HLOOKUP(AW$7,'PCO Log'!$E$11:$SJ$98,20,FALSE),"")</f>
        <v/>
      </c>
      <c r="AX26" s="263" t="str">
        <f>IFERROR(HLOOKUP(AX$7,'PCO Log'!$E$11:$SJ$98,20,FALSE),"")</f>
        <v/>
      </c>
      <c r="AY26" s="263" t="str">
        <f>IFERROR(HLOOKUP(AY$7,'PCO Log'!$E$11:$SJ$98,20,FALSE),"")</f>
        <v/>
      </c>
      <c r="AZ26" s="263" t="str">
        <f>IFERROR(HLOOKUP(AZ$7,'PCO Log'!$E$11:$SJ$98,20,FALSE),"")</f>
        <v/>
      </c>
      <c r="BA26" s="263" t="str">
        <f>IFERROR(HLOOKUP(BA$7,'PCO Log'!$E$11:$SJ$98,20,FALSE),"")</f>
        <v/>
      </c>
      <c r="BB26" s="263" t="str">
        <f>IFERROR(HLOOKUP(BB$7,'PCO Log'!$E$11:$SJ$98,20,FALSE),"")</f>
        <v/>
      </c>
      <c r="BC26" s="263" t="str">
        <f>IFERROR(HLOOKUP(BC$7,'PCO Log'!$E$11:$SJ$98,20,FALSE),"")</f>
        <v/>
      </c>
    </row>
    <row r="27" spans="2:55" s="334" customFormat="1" x14ac:dyDescent="0.25">
      <c r="B27" s="36" t="str">
        <f>'Pay App 1'!B76</f>
        <v>03 40 00</v>
      </c>
      <c r="C27" s="37" t="str">
        <f>'Pay App 1'!C76</f>
        <v>Precast</v>
      </c>
      <c r="D27" s="263">
        <f t="shared" si="1"/>
        <v>0</v>
      </c>
      <c r="E27" s="264">
        <f>'Pay App 1'!D76</f>
        <v>0</v>
      </c>
      <c r="F27" s="263" t="str">
        <f>IFERROR(HLOOKUP(F$7,'PCO Log'!$E$11:$SJ$98,21,FALSE),"")</f>
        <v/>
      </c>
      <c r="G27" s="263" t="str">
        <f>IFERROR(HLOOKUP(G$7,'PCO Log'!$E$11:$SJ$98,21,FALSE),"")</f>
        <v/>
      </c>
      <c r="H27" s="263" t="str">
        <f>IFERROR(HLOOKUP(H$7,'PCO Log'!$E$11:$SJ$98,21,FALSE),"")</f>
        <v/>
      </c>
      <c r="I27" s="263" t="str">
        <f>IFERROR(HLOOKUP(I$7,'PCO Log'!$E$11:$SJ$98,21,FALSE),"")</f>
        <v/>
      </c>
      <c r="J27" s="263" t="str">
        <f>IFERROR(HLOOKUP(J$7,'PCO Log'!$E$11:$SJ$98,21,FALSE),"")</f>
        <v/>
      </c>
      <c r="K27" s="263" t="str">
        <f>IFERROR(HLOOKUP(K$7,'PCO Log'!$E$11:$SJ$98,21,FALSE),"")</f>
        <v/>
      </c>
      <c r="L27" s="263" t="str">
        <f>IFERROR(HLOOKUP(L$7,'PCO Log'!$E$11:$SJ$98,21,FALSE),"")</f>
        <v/>
      </c>
      <c r="M27" s="263" t="str">
        <f>IFERROR(HLOOKUP(M$7,'PCO Log'!$E$11:$SJ$98,21,FALSE),"")</f>
        <v/>
      </c>
      <c r="N27" s="263" t="str">
        <f>IFERROR(HLOOKUP(N$7,'PCO Log'!$E$11:$SJ$98,21,FALSE),"")</f>
        <v/>
      </c>
      <c r="O27" s="263" t="str">
        <f>IFERROR(HLOOKUP(O$7,'PCO Log'!$E$11:$SJ$98,21,FALSE),"")</f>
        <v/>
      </c>
      <c r="P27" s="263" t="str">
        <f>IFERROR(HLOOKUP(P$7,'PCO Log'!$E$11:$SJ$98,21,FALSE),"")</f>
        <v/>
      </c>
      <c r="Q27" s="263" t="str">
        <f>IFERROR(HLOOKUP(Q$7,'PCO Log'!$E$11:$SJ$98,21,FALSE),"")</f>
        <v/>
      </c>
      <c r="R27" s="263" t="str">
        <f>IFERROR(HLOOKUP(R$7,'PCO Log'!$E$11:$SJ$98,21,FALSE),"")</f>
        <v/>
      </c>
      <c r="S27" s="263" t="str">
        <f>IFERROR(HLOOKUP(S$7,'PCO Log'!$E$11:$SJ$98,21,FALSE),"")</f>
        <v/>
      </c>
      <c r="T27" s="263" t="str">
        <f>IFERROR(HLOOKUP(T$7,'PCO Log'!$E$11:$SJ$98,21,FALSE),"")</f>
        <v/>
      </c>
      <c r="U27" s="263" t="str">
        <f>IFERROR(HLOOKUP(U$7,'PCO Log'!$E$11:$SJ$98,21,FALSE),"")</f>
        <v/>
      </c>
      <c r="V27" s="263" t="str">
        <f>IFERROR(HLOOKUP(V$7,'PCO Log'!$E$11:$SJ$98,21,FALSE),"")</f>
        <v/>
      </c>
      <c r="W27" s="263" t="str">
        <f>IFERROR(HLOOKUP(W$7,'PCO Log'!$E$11:$SJ$98,21,FALSE),"")</f>
        <v/>
      </c>
      <c r="X27" s="263" t="str">
        <f>IFERROR(HLOOKUP(X$7,'PCO Log'!$E$11:$SJ$98,21,FALSE),"")</f>
        <v/>
      </c>
      <c r="Y27" s="263" t="str">
        <f>IFERROR(HLOOKUP(Y$7,'PCO Log'!$E$11:$SJ$98,21,FALSE),"")</f>
        <v/>
      </c>
      <c r="Z27" s="263" t="str">
        <f>IFERROR(HLOOKUP(Z$7,'PCO Log'!$E$11:$SJ$98,21,FALSE),"")</f>
        <v/>
      </c>
      <c r="AA27" s="263" t="str">
        <f>IFERROR(HLOOKUP(AA$7,'PCO Log'!$E$11:$SJ$98,21,FALSE),"")</f>
        <v/>
      </c>
      <c r="AB27" s="263" t="str">
        <f>IFERROR(HLOOKUP(AB$7,'PCO Log'!$E$11:$SJ$98,21,FALSE),"")</f>
        <v/>
      </c>
      <c r="AC27" s="263" t="str">
        <f>IFERROR(HLOOKUP(AC$7,'PCO Log'!$E$11:$SJ$98,21,FALSE),"")</f>
        <v/>
      </c>
      <c r="AD27" s="263" t="str">
        <f>IFERROR(HLOOKUP(AD$7,'PCO Log'!$E$11:$SJ$98,21,FALSE),"")</f>
        <v/>
      </c>
      <c r="AE27" s="263" t="str">
        <f>IFERROR(HLOOKUP(AE$7,'PCO Log'!$E$11:$SJ$98,21,FALSE),"")</f>
        <v/>
      </c>
      <c r="AF27" s="263" t="str">
        <f>IFERROR(HLOOKUP(AF$7,'PCO Log'!$E$11:$SJ$98,21,FALSE),"")</f>
        <v/>
      </c>
      <c r="AG27" s="263" t="str">
        <f>IFERROR(HLOOKUP(AG$7,'PCO Log'!$E$11:$SJ$98,21,FALSE),"")</f>
        <v/>
      </c>
      <c r="AH27" s="263" t="str">
        <f>IFERROR(HLOOKUP(AH$7,'PCO Log'!$E$11:$SJ$98,21,FALSE),"")</f>
        <v/>
      </c>
      <c r="AI27" s="263" t="str">
        <f>IFERROR(HLOOKUP(AI$7,'PCO Log'!$E$11:$SJ$98,21,FALSE),"")</f>
        <v/>
      </c>
      <c r="AJ27" s="263" t="str">
        <f>IFERROR(HLOOKUP(AJ$7,'PCO Log'!$E$11:$SJ$98,21,FALSE),"")</f>
        <v/>
      </c>
      <c r="AK27" s="263" t="str">
        <f>IFERROR(HLOOKUP(AK$7,'PCO Log'!$E$11:$SJ$98,21,FALSE),"")</f>
        <v/>
      </c>
      <c r="AL27" s="263" t="str">
        <f>IFERROR(HLOOKUP(AL$7,'PCO Log'!$E$11:$SJ$98,21,FALSE),"")</f>
        <v/>
      </c>
      <c r="AM27" s="263" t="str">
        <f>IFERROR(HLOOKUP(AM$7,'PCO Log'!$E$11:$SJ$98,21,FALSE),"")</f>
        <v/>
      </c>
      <c r="AN27" s="263" t="str">
        <f>IFERROR(HLOOKUP(AN$7,'PCO Log'!$E$11:$SJ$98,21,FALSE),"")</f>
        <v/>
      </c>
      <c r="AO27" s="263" t="str">
        <f>IFERROR(HLOOKUP(AO$7,'PCO Log'!$E$11:$SJ$98,21,FALSE),"")</f>
        <v/>
      </c>
      <c r="AP27" s="263" t="str">
        <f>IFERROR(HLOOKUP(AP$7,'PCO Log'!$E$11:$SJ$98,21,FALSE),"")</f>
        <v/>
      </c>
      <c r="AQ27" s="263" t="str">
        <f>IFERROR(HLOOKUP(AQ$7,'PCO Log'!$E$11:$SJ$98,21,FALSE),"")</f>
        <v/>
      </c>
      <c r="AR27" s="263" t="str">
        <f>IFERROR(HLOOKUP(AR$7,'PCO Log'!$E$11:$SJ$98,21,FALSE),"")</f>
        <v/>
      </c>
      <c r="AS27" s="263" t="str">
        <f>IFERROR(HLOOKUP(AS$7,'PCO Log'!$E$11:$SJ$98,21,FALSE),"")</f>
        <v/>
      </c>
      <c r="AT27" s="263" t="str">
        <f>IFERROR(HLOOKUP(AT$7,'PCO Log'!$E$11:$SJ$98,21,FALSE),"")</f>
        <v/>
      </c>
      <c r="AU27" s="263" t="str">
        <f>IFERROR(HLOOKUP(AU$7,'PCO Log'!$E$11:$SJ$98,21,FALSE),"")</f>
        <v/>
      </c>
      <c r="AV27" s="263" t="str">
        <f>IFERROR(HLOOKUP(AV$7,'PCO Log'!$E$11:$SJ$98,21,FALSE),"")</f>
        <v/>
      </c>
      <c r="AW27" s="263" t="str">
        <f>IFERROR(HLOOKUP(AW$7,'PCO Log'!$E$11:$SJ$98,21,FALSE),"")</f>
        <v/>
      </c>
      <c r="AX27" s="263" t="str">
        <f>IFERROR(HLOOKUP(AX$7,'PCO Log'!$E$11:$SJ$98,21,FALSE),"")</f>
        <v/>
      </c>
      <c r="AY27" s="263" t="str">
        <f>IFERROR(HLOOKUP(AY$7,'PCO Log'!$E$11:$SJ$98,21,FALSE),"")</f>
        <v/>
      </c>
      <c r="AZ27" s="263" t="str">
        <f>IFERROR(HLOOKUP(AZ$7,'PCO Log'!$E$11:$SJ$98,21,FALSE),"")</f>
        <v/>
      </c>
      <c r="BA27" s="263" t="str">
        <f>IFERROR(HLOOKUP(BA$7,'PCO Log'!$E$11:$SJ$98,21,FALSE),"")</f>
        <v/>
      </c>
      <c r="BB27" s="263" t="str">
        <f>IFERROR(HLOOKUP(BB$7,'PCO Log'!$E$11:$SJ$98,21,FALSE),"")</f>
        <v/>
      </c>
      <c r="BC27" s="263" t="str">
        <f>IFERROR(HLOOKUP(BC$7,'PCO Log'!$E$11:$SJ$98,21,FALSE),"")</f>
        <v/>
      </c>
    </row>
    <row r="28" spans="2:55" s="334" customFormat="1" x14ac:dyDescent="0.25">
      <c r="B28" s="38" t="str">
        <f>'Pay App 1'!B77</f>
        <v>04 00 00</v>
      </c>
      <c r="C28" s="39" t="str">
        <f>'Pay App 1'!C77</f>
        <v>Masonry</v>
      </c>
      <c r="D28" s="263">
        <f t="shared" si="1"/>
        <v>0</v>
      </c>
      <c r="E28" s="264">
        <f>'Pay App 1'!D77</f>
        <v>0</v>
      </c>
      <c r="F28" s="263" t="str">
        <f>IFERROR(HLOOKUP(F$7,'PCO Log'!$E$11:$SJ$98,22,FALSE),"")</f>
        <v/>
      </c>
      <c r="G28" s="263" t="str">
        <f>IFERROR(HLOOKUP(G$7,'PCO Log'!$E$11:$SJ$98,22,FALSE),"")</f>
        <v/>
      </c>
      <c r="H28" s="263" t="str">
        <f>IFERROR(HLOOKUP(H$7,'PCO Log'!$E$11:$SJ$98,22,FALSE),"")</f>
        <v/>
      </c>
      <c r="I28" s="263" t="str">
        <f>IFERROR(HLOOKUP(I$7,'PCO Log'!$E$11:$SJ$98,22,FALSE),"")</f>
        <v/>
      </c>
      <c r="J28" s="263" t="str">
        <f>IFERROR(HLOOKUP(J$7,'PCO Log'!$E$11:$SJ$98,22,FALSE),"")</f>
        <v/>
      </c>
      <c r="K28" s="263" t="str">
        <f>IFERROR(HLOOKUP(K$7,'PCO Log'!$E$11:$SJ$98,22,FALSE),"")</f>
        <v/>
      </c>
      <c r="L28" s="263" t="str">
        <f>IFERROR(HLOOKUP(L$7,'PCO Log'!$E$11:$SJ$98,22,FALSE),"")</f>
        <v/>
      </c>
      <c r="M28" s="263" t="str">
        <f>IFERROR(HLOOKUP(M$7,'PCO Log'!$E$11:$SJ$98,22,FALSE),"")</f>
        <v/>
      </c>
      <c r="N28" s="263" t="str">
        <f>IFERROR(HLOOKUP(N$7,'PCO Log'!$E$11:$SJ$98,22,FALSE),"")</f>
        <v/>
      </c>
      <c r="O28" s="263" t="str">
        <f>IFERROR(HLOOKUP(O$7,'PCO Log'!$E$11:$SJ$98,22,FALSE),"")</f>
        <v/>
      </c>
      <c r="P28" s="263" t="str">
        <f>IFERROR(HLOOKUP(P$7,'PCO Log'!$E$11:$SJ$98,22,FALSE),"")</f>
        <v/>
      </c>
      <c r="Q28" s="263" t="str">
        <f>IFERROR(HLOOKUP(Q$7,'PCO Log'!$E$11:$SJ$98,22,FALSE),"")</f>
        <v/>
      </c>
      <c r="R28" s="263" t="str">
        <f>IFERROR(HLOOKUP(R$7,'PCO Log'!$E$11:$SJ$98,22,FALSE),"")</f>
        <v/>
      </c>
      <c r="S28" s="263" t="str">
        <f>IFERROR(HLOOKUP(S$7,'PCO Log'!$E$11:$SJ$98,22,FALSE),"")</f>
        <v/>
      </c>
      <c r="T28" s="263" t="str">
        <f>IFERROR(HLOOKUP(T$7,'PCO Log'!$E$11:$SJ$98,22,FALSE),"")</f>
        <v/>
      </c>
      <c r="U28" s="263" t="str">
        <f>IFERROR(HLOOKUP(U$7,'PCO Log'!$E$11:$SJ$98,22,FALSE),"")</f>
        <v/>
      </c>
      <c r="V28" s="263" t="str">
        <f>IFERROR(HLOOKUP(V$7,'PCO Log'!$E$11:$SJ$98,22,FALSE),"")</f>
        <v/>
      </c>
      <c r="W28" s="263" t="str">
        <f>IFERROR(HLOOKUP(W$7,'PCO Log'!$E$11:$SJ$98,22,FALSE),"")</f>
        <v/>
      </c>
      <c r="X28" s="263" t="str">
        <f>IFERROR(HLOOKUP(X$7,'PCO Log'!$E$11:$SJ$98,22,FALSE),"")</f>
        <v/>
      </c>
      <c r="Y28" s="263" t="str">
        <f>IFERROR(HLOOKUP(Y$7,'PCO Log'!$E$11:$SJ$98,22,FALSE),"")</f>
        <v/>
      </c>
      <c r="Z28" s="263" t="str">
        <f>IFERROR(HLOOKUP(Z$7,'PCO Log'!$E$11:$SJ$98,22,FALSE),"")</f>
        <v/>
      </c>
      <c r="AA28" s="263" t="str">
        <f>IFERROR(HLOOKUP(AA$7,'PCO Log'!$E$11:$SJ$98,22,FALSE),"")</f>
        <v/>
      </c>
      <c r="AB28" s="263" t="str">
        <f>IFERROR(HLOOKUP(AB$7,'PCO Log'!$E$11:$SJ$98,22,FALSE),"")</f>
        <v/>
      </c>
      <c r="AC28" s="263" t="str">
        <f>IFERROR(HLOOKUP(AC$7,'PCO Log'!$E$11:$SJ$98,22,FALSE),"")</f>
        <v/>
      </c>
      <c r="AD28" s="263" t="str">
        <f>IFERROR(HLOOKUP(AD$7,'PCO Log'!$E$11:$SJ$98,22,FALSE),"")</f>
        <v/>
      </c>
      <c r="AE28" s="263" t="str">
        <f>IFERROR(HLOOKUP(AE$7,'PCO Log'!$E$11:$SJ$98,22,FALSE),"")</f>
        <v/>
      </c>
      <c r="AF28" s="263" t="str">
        <f>IFERROR(HLOOKUP(AF$7,'PCO Log'!$E$11:$SJ$98,22,FALSE),"")</f>
        <v/>
      </c>
      <c r="AG28" s="263" t="str">
        <f>IFERROR(HLOOKUP(AG$7,'PCO Log'!$E$11:$SJ$98,22,FALSE),"")</f>
        <v/>
      </c>
      <c r="AH28" s="263" t="str">
        <f>IFERROR(HLOOKUP(AH$7,'PCO Log'!$E$11:$SJ$98,22,FALSE),"")</f>
        <v/>
      </c>
      <c r="AI28" s="263" t="str">
        <f>IFERROR(HLOOKUP(AI$7,'PCO Log'!$E$11:$SJ$98,22,FALSE),"")</f>
        <v/>
      </c>
      <c r="AJ28" s="263" t="str">
        <f>IFERROR(HLOOKUP(AJ$7,'PCO Log'!$E$11:$SJ$98,22,FALSE),"")</f>
        <v/>
      </c>
      <c r="AK28" s="263" t="str">
        <f>IFERROR(HLOOKUP(AK$7,'PCO Log'!$E$11:$SJ$98,22,FALSE),"")</f>
        <v/>
      </c>
      <c r="AL28" s="263" t="str">
        <f>IFERROR(HLOOKUP(AL$7,'PCO Log'!$E$11:$SJ$98,22,FALSE),"")</f>
        <v/>
      </c>
      <c r="AM28" s="263" t="str">
        <f>IFERROR(HLOOKUP(AM$7,'PCO Log'!$E$11:$SJ$98,22,FALSE),"")</f>
        <v/>
      </c>
      <c r="AN28" s="263" t="str">
        <f>IFERROR(HLOOKUP(AN$7,'PCO Log'!$E$11:$SJ$98,22,FALSE),"")</f>
        <v/>
      </c>
      <c r="AO28" s="263" t="str">
        <f>IFERROR(HLOOKUP(AO$7,'PCO Log'!$E$11:$SJ$98,22,FALSE),"")</f>
        <v/>
      </c>
      <c r="AP28" s="263" t="str">
        <f>IFERROR(HLOOKUP(AP$7,'PCO Log'!$E$11:$SJ$98,22,FALSE),"")</f>
        <v/>
      </c>
      <c r="AQ28" s="263" t="str">
        <f>IFERROR(HLOOKUP(AQ$7,'PCO Log'!$E$11:$SJ$98,22,FALSE),"")</f>
        <v/>
      </c>
      <c r="AR28" s="263" t="str">
        <f>IFERROR(HLOOKUP(AR$7,'PCO Log'!$E$11:$SJ$98,22,FALSE),"")</f>
        <v/>
      </c>
      <c r="AS28" s="263" t="str">
        <f>IFERROR(HLOOKUP(AS$7,'PCO Log'!$E$11:$SJ$98,22,FALSE),"")</f>
        <v/>
      </c>
      <c r="AT28" s="263" t="str">
        <f>IFERROR(HLOOKUP(AT$7,'PCO Log'!$E$11:$SJ$98,22,FALSE),"")</f>
        <v/>
      </c>
      <c r="AU28" s="263" t="str">
        <f>IFERROR(HLOOKUP(AU$7,'PCO Log'!$E$11:$SJ$98,22,FALSE),"")</f>
        <v/>
      </c>
      <c r="AV28" s="263" t="str">
        <f>IFERROR(HLOOKUP(AV$7,'PCO Log'!$E$11:$SJ$98,22,FALSE),"")</f>
        <v/>
      </c>
      <c r="AW28" s="263" t="str">
        <f>IFERROR(HLOOKUP(AW$7,'PCO Log'!$E$11:$SJ$98,22,FALSE),"")</f>
        <v/>
      </c>
      <c r="AX28" s="263" t="str">
        <f>IFERROR(HLOOKUP(AX$7,'PCO Log'!$E$11:$SJ$98,22,FALSE),"")</f>
        <v/>
      </c>
      <c r="AY28" s="263" t="str">
        <f>IFERROR(HLOOKUP(AY$7,'PCO Log'!$E$11:$SJ$98,22,FALSE),"")</f>
        <v/>
      </c>
      <c r="AZ28" s="263" t="str">
        <f>IFERROR(HLOOKUP(AZ$7,'PCO Log'!$E$11:$SJ$98,22,FALSE),"")</f>
        <v/>
      </c>
      <c r="BA28" s="263" t="str">
        <f>IFERROR(HLOOKUP(BA$7,'PCO Log'!$E$11:$SJ$98,22,FALSE),"")</f>
        <v/>
      </c>
      <c r="BB28" s="263" t="str">
        <f>IFERROR(HLOOKUP(BB$7,'PCO Log'!$E$11:$SJ$98,22,FALSE),"")</f>
        <v/>
      </c>
      <c r="BC28" s="263" t="str">
        <f>IFERROR(HLOOKUP(BC$7,'PCO Log'!$E$11:$SJ$98,22,FALSE),"")</f>
        <v/>
      </c>
    </row>
    <row r="29" spans="2:55" s="334" customFormat="1" x14ac:dyDescent="0.25">
      <c r="B29" s="38" t="str">
        <f>'Pay App 1'!B78</f>
        <v>04 05 19</v>
      </c>
      <c r="C29" s="39" t="str">
        <f>'Pay App 1'!C78</f>
        <v>Masonry Reinforcing</v>
      </c>
      <c r="D29" s="263">
        <f t="shared" si="1"/>
        <v>0</v>
      </c>
      <c r="E29" s="264">
        <f>'Pay App 1'!D78</f>
        <v>0</v>
      </c>
      <c r="F29" s="263" t="str">
        <f>IFERROR(HLOOKUP(F$7,'PCO Log'!$E$11:$SJ$98,23,FALSE),"")</f>
        <v/>
      </c>
      <c r="G29" s="263" t="str">
        <f>IFERROR(HLOOKUP(G$7,'PCO Log'!$E$11:$SJ$98,23,FALSE),"")</f>
        <v/>
      </c>
      <c r="H29" s="263" t="str">
        <f>IFERROR(HLOOKUP(H$7,'PCO Log'!$E$11:$SJ$98,23,FALSE),"")</f>
        <v/>
      </c>
      <c r="I29" s="263" t="str">
        <f>IFERROR(HLOOKUP(I$7,'PCO Log'!$E$11:$SJ$98,23,FALSE),"")</f>
        <v/>
      </c>
      <c r="J29" s="263" t="str">
        <f>IFERROR(HLOOKUP(J$7,'PCO Log'!$E$11:$SJ$98,23,FALSE),"")</f>
        <v/>
      </c>
      <c r="K29" s="263" t="str">
        <f>IFERROR(HLOOKUP(K$7,'PCO Log'!$E$11:$SJ$98,23,FALSE),"")</f>
        <v/>
      </c>
      <c r="L29" s="263" t="str">
        <f>IFERROR(HLOOKUP(L$7,'PCO Log'!$E$11:$SJ$98,23,FALSE),"")</f>
        <v/>
      </c>
      <c r="M29" s="263" t="str">
        <f>IFERROR(HLOOKUP(M$7,'PCO Log'!$E$11:$SJ$98,23,FALSE),"")</f>
        <v/>
      </c>
      <c r="N29" s="263" t="str">
        <f>IFERROR(HLOOKUP(N$7,'PCO Log'!$E$11:$SJ$98,23,FALSE),"")</f>
        <v/>
      </c>
      <c r="O29" s="263" t="str">
        <f>IFERROR(HLOOKUP(O$7,'PCO Log'!$E$11:$SJ$98,23,FALSE),"")</f>
        <v/>
      </c>
      <c r="P29" s="263" t="str">
        <f>IFERROR(HLOOKUP(P$7,'PCO Log'!$E$11:$SJ$98,23,FALSE),"")</f>
        <v/>
      </c>
      <c r="Q29" s="263" t="str">
        <f>IFERROR(HLOOKUP(Q$7,'PCO Log'!$E$11:$SJ$98,23,FALSE),"")</f>
        <v/>
      </c>
      <c r="R29" s="263" t="str">
        <f>IFERROR(HLOOKUP(R$7,'PCO Log'!$E$11:$SJ$98,23,FALSE),"")</f>
        <v/>
      </c>
      <c r="S29" s="263" t="str">
        <f>IFERROR(HLOOKUP(S$7,'PCO Log'!$E$11:$SJ$98,23,FALSE),"")</f>
        <v/>
      </c>
      <c r="T29" s="263" t="str">
        <f>IFERROR(HLOOKUP(T$7,'PCO Log'!$E$11:$SJ$98,23,FALSE),"")</f>
        <v/>
      </c>
      <c r="U29" s="263" t="str">
        <f>IFERROR(HLOOKUP(U$7,'PCO Log'!$E$11:$SJ$98,23,FALSE),"")</f>
        <v/>
      </c>
      <c r="V29" s="263" t="str">
        <f>IFERROR(HLOOKUP(V$7,'PCO Log'!$E$11:$SJ$98,23,FALSE),"")</f>
        <v/>
      </c>
      <c r="W29" s="263" t="str">
        <f>IFERROR(HLOOKUP(W$7,'PCO Log'!$E$11:$SJ$98,23,FALSE),"")</f>
        <v/>
      </c>
      <c r="X29" s="263" t="str">
        <f>IFERROR(HLOOKUP(X$7,'PCO Log'!$E$11:$SJ$98,23,FALSE),"")</f>
        <v/>
      </c>
      <c r="Y29" s="263" t="str">
        <f>IFERROR(HLOOKUP(Y$7,'PCO Log'!$E$11:$SJ$98,23,FALSE),"")</f>
        <v/>
      </c>
      <c r="Z29" s="263" t="str">
        <f>IFERROR(HLOOKUP(Z$7,'PCO Log'!$E$11:$SJ$98,23,FALSE),"")</f>
        <v/>
      </c>
      <c r="AA29" s="263" t="str">
        <f>IFERROR(HLOOKUP(AA$7,'PCO Log'!$E$11:$SJ$98,23,FALSE),"")</f>
        <v/>
      </c>
      <c r="AB29" s="263" t="str">
        <f>IFERROR(HLOOKUP(AB$7,'PCO Log'!$E$11:$SJ$98,23,FALSE),"")</f>
        <v/>
      </c>
      <c r="AC29" s="263" t="str">
        <f>IFERROR(HLOOKUP(AC$7,'PCO Log'!$E$11:$SJ$98,23,FALSE),"")</f>
        <v/>
      </c>
      <c r="AD29" s="263" t="str">
        <f>IFERROR(HLOOKUP(AD$7,'PCO Log'!$E$11:$SJ$98,23,FALSE),"")</f>
        <v/>
      </c>
      <c r="AE29" s="263" t="str">
        <f>IFERROR(HLOOKUP(AE$7,'PCO Log'!$E$11:$SJ$98,23,FALSE),"")</f>
        <v/>
      </c>
      <c r="AF29" s="263" t="str">
        <f>IFERROR(HLOOKUP(AF$7,'PCO Log'!$E$11:$SJ$98,23,FALSE),"")</f>
        <v/>
      </c>
      <c r="AG29" s="263" t="str">
        <f>IFERROR(HLOOKUP(AG$7,'PCO Log'!$E$11:$SJ$98,23,FALSE),"")</f>
        <v/>
      </c>
      <c r="AH29" s="263" t="str">
        <f>IFERROR(HLOOKUP(AH$7,'PCO Log'!$E$11:$SJ$98,23,FALSE),"")</f>
        <v/>
      </c>
      <c r="AI29" s="263" t="str">
        <f>IFERROR(HLOOKUP(AI$7,'PCO Log'!$E$11:$SJ$98,23,FALSE),"")</f>
        <v/>
      </c>
      <c r="AJ29" s="263" t="str">
        <f>IFERROR(HLOOKUP(AJ$7,'PCO Log'!$E$11:$SJ$98,23,FALSE),"")</f>
        <v/>
      </c>
      <c r="AK29" s="263" t="str">
        <f>IFERROR(HLOOKUP(AK$7,'PCO Log'!$E$11:$SJ$98,23,FALSE),"")</f>
        <v/>
      </c>
      <c r="AL29" s="263" t="str">
        <f>IFERROR(HLOOKUP(AL$7,'PCO Log'!$E$11:$SJ$98,23,FALSE),"")</f>
        <v/>
      </c>
      <c r="AM29" s="263" t="str">
        <f>IFERROR(HLOOKUP(AM$7,'PCO Log'!$E$11:$SJ$98,23,FALSE),"")</f>
        <v/>
      </c>
      <c r="AN29" s="263" t="str">
        <f>IFERROR(HLOOKUP(AN$7,'PCO Log'!$E$11:$SJ$98,23,FALSE),"")</f>
        <v/>
      </c>
      <c r="AO29" s="263" t="str">
        <f>IFERROR(HLOOKUP(AO$7,'PCO Log'!$E$11:$SJ$98,23,FALSE),"")</f>
        <v/>
      </c>
      <c r="AP29" s="263" t="str">
        <f>IFERROR(HLOOKUP(AP$7,'PCO Log'!$E$11:$SJ$98,23,FALSE),"")</f>
        <v/>
      </c>
      <c r="AQ29" s="263" t="str">
        <f>IFERROR(HLOOKUP(AQ$7,'PCO Log'!$E$11:$SJ$98,23,FALSE),"")</f>
        <v/>
      </c>
      <c r="AR29" s="263" t="str">
        <f>IFERROR(HLOOKUP(AR$7,'PCO Log'!$E$11:$SJ$98,23,FALSE),"")</f>
        <v/>
      </c>
      <c r="AS29" s="263" t="str">
        <f>IFERROR(HLOOKUP(AS$7,'PCO Log'!$E$11:$SJ$98,23,FALSE),"")</f>
        <v/>
      </c>
      <c r="AT29" s="263" t="str">
        <f>IFERROR(HLOOKUP(AT$7,'PCO Log'!$E$11:$SJ$98,23,FALSE),"")</f>
        <v/>
      </c>
      <c r="AU29" s="263" t="str">
        <f>IFERROR(HLOOKUP(AU$7,'PCO Log'!$E$11:$SJ$98,23,FALSE),"")</f>
        <v/>
      </c>
      <c r="AV29" s="263" t="str">
        <f>IFERROR(HLOOKUP(AV$7,'PCO Log'!$E$11:$SJ$98,23,FALSE),"")</f>
        <v/>
      </c>
      <c r="AW29" s="263" t="str">
        <f>IFERROR(HLOOKUP(AW$7,'PCO Log'!$E$11:$SJ$98,23,FALSE),"")</f>
        <v/>
      </c>
      <c r="AX29" s="263" t="str">
        <f>IFERROR(HLOOKUP(AX$7,'PCO Log'!$E$11:$SJ$98,23,FALSE),"")</f>
        <v/>
      </c>
      <c r="AY29" s="263" t="str">
        <f>IFERROR(HLOOKUP(AY$7,'PCO Log'!$E$11:$SJ$98,23,FALSE),"")</f>
        <v/>
      </c>
      <c r="AZ29" s="263" t="str">
        <f>IFERROR(HLOOKUP(AZ$7,'PCO Log'!$E$11:$SJ$98,23,FALSE),"")</f>
        <v/>
      </c>
      <c r="BA29" s="263" t="str">
        <f>IFERROR(HLOOKUP(BA$7,'PCO Log'!$E$11:$SJ$98,23,FALSE),"")</f>
        <v/>
      </c>
      <c r="BB29" s="263" t="str">
        <f>IFERROR(HLOOKUP(BB$7,'PCO Log'!$E$11:$SJ$98,23,FALSE),"")</f>
        <v/>
      </c>
      <c r="BC29" s="263" t="str">
        <f>IFERROR(HLOOKUP(BC$7,'PCO Log'!$E$11:$SJ$98,23,FALSE),"")</f>
        <v/>
      </c>
    </row>
    <row r="30" spans="2:55" s="334" customFormat="1" x14ac:dyDescent="0.25">
      <c r="B30" s="40" t="str">
        <f>'Pay App 1'!B79</f>
        <v>05 10 00</v>
      </c>
      <c r="C30" s="41" t="str">
        <f>'Pay App 1'!C79</f>
        <v>Structural Steel/Misc. Steel Fab</v>
      </c>
      <c r="D30" s="263">
        <f t="shared" si="1"/>
        <v>0</v>
      </c>
      <c r="E30" s="263">
        <f>'Pay App 1'!D79</f>
        <v>0</v>
      </c>
      <c r="F30" s="263" t="str">
        <f>IFERROR(HLOOKUP(F$7,'PCO Log'!$E$11:$SJ$98,24,FALSE),"")</f>
        <v/>
      </c>
      <c r="G30" s="263" t="str">
        <f>IFERROR(HLOOKUP(G$7,'PCO Log'!$E$11:$SJ$98,24,FALSE),"")</f>
        <v/>
      </c>
      <c r="H30" s="263" t="str">
        <f>IFERROR(HLOOKUP(H$7,'PCO Log'!$E$11:$SJ$98,24,FALSE),"")</f>
        <v/>
      </c>
      <c r="I30" s="263" t="str">
        <f>IFERROR(HLOOKUP(I$7,'PCO Log'!$E$11:$SJ$98,24,FALSE),"")</f>
        <v/>
      </c>
      <c r="J30" s="263" t="str">
        <f>IFERROR(HLOOKUP(J$7,'PCO Log'!$E$11:$SJ$98,24,FALSE),"")</f>
        <v/>
      </c>
      <c r="K30" s="263" t="str">
        <f>IFERROR(HLOOKUP(K$7,'PCO Log'!$E$11:$SJ$98,24,FALSE),"")</f>
        <v/>
      </c>
      <c r="L30" s="263" t="str">
        <f>IFERROR(HLOOKUP(L$7,'PCO Log'!$E$11:$SJ$98,24,FALSE),"")</f>
        <v/>
      </c>
      <c r="M30" s="263" t="str">
        <f>IFERROR(HLOOKUP(M$7,'PCO Log'!$E$11:$SJ$98,24,FALSE),"")</f>
        <v/>
      </c>
      <c r="N30" s="263" t="str">
        <f>IFERROR(HLOOKUP(N$7,'PCO Log'!$E$11:$SJ$98,24,FALSE),"")</f>
        <v/>
      </c>
      <c r="O30" s="263" t="str">
        <f>IFERROR(HLOOKUP(O$7,'PCO Log'!$E$11:$SJ$98,24,FALSE),"")</f>
        <v/>
      </c>
      <c r="P30" s="263" t="str">
        <f>IFERROR(HLOOKUP(P$7,'PCO Log'!$E$11:$SJ$98,24,FALSE),"")</f>
        <v/>
      </c>
      <c r="Q30" s="263" t="str">
        <f>IFERROR(HLOOKUP(Q$7,'PCO Log'!$E$11:$SJ$98,24,FALSE),"")</f>
        <v/>
      </c>
      <c r="R30" s="263" t="str">
        <f>IFERROR(HLOOKUP(R$7,'PCO Log'!$E$11:$SJ$98,24,FALSE),"")</f>
        <v/>
      </c>
      <c r="S30" s="263" t="str">
        <f>IFERROR(HLOOKUP(S$7,'PCO Log'!$E$11:$SJ$98,24,FALSE),"")</f>
        <v/>
      </c>
      <c r="T30" s="263" t="str">
        <f>IFERROR(HLOOKUP(T$7,'PCO Log'!$E$11:$SJ$98,24,FALSE),"")</f>
        <v/>
      </c>
      <c r="U30" s="263" t="str">
        <f>IFERROR(HLOOKUP(U$7,'PCO Log'!$E$11:$SJ$98,24,FALSE),"")</f>
        <v/>
      </c>
      <c r="V30" s="263" t="str">
        <f>IFERROR(HLOOKUP(V$7,'PCO Log'!$E$11:$SJ$98,24,FALSE),"")</f>
        <v/>
      </c>
      <c r="W30" s="263" t="str">
        <f>IFERROR(HLOOKUP(W$7,'PCO Log'!$E$11:$SJ$98,24,FALSE),"")</f>
        <v/>
      </c>
      <c r="X30" s="263" t="str">
        <f>IFERROR(HLOOKUP(X$7,'PCO Log'!$E$11:$SJ$98,24,FALSE),"")</f>
        <v/>
      </c>
      <c r="Y30" s="263" t="str">
        <f>IFERROR(HLOOKUP(Y$7,'PCO Log'!$E$11:$SJ$98,24,FALSE),"")</f>
        <v/>
      </c>
      <c r="Z30" s="263" t="str">
        <f>IFERROR(HLOOKUP(Z$7,'PCO Log'!$E$11:$SJ$98,24,FALSE),"")</f>
        <v/>
      </c>
      <c r="AA30" s="263" t="str">
        <f>IFERROR(HLOOKUP(AA$7,'PCO Log'!$E$11:$SJ$98,24,FALSE),"")</f>
        <v/>
      </c>
      <c r="AB30" s="263" t="str">
        <f>IFERROR(HLOOKUP(AB$7,'PCO Log'!$E$11:$SJ$98,24,FALSE),"")</f>
        <v/>
      </c>
      <c r="AC30" s="263" t="str">
        <f>IFERROR(HLOOKUP(AC$7,'PCO Log'!$E$11:$SJ$98,24,FALSE),"")</f>
        <v/>
      </c>
      <c r="AD30" s="263" t="str">
        <f>IFERROR(HLOOKUP(AD$7,'PCO Log'!$E$11:$SJ$98,24,FALSE),"")</f>
        <v/>
      </c>
      <c r="AE30" s="263" t="str">
        <f>IFERROR(HLOOKUP(AE$7,'PCO Log'!$E$11:$SJ$98,24,FALSE),"")</f>
        <v/>
      </c>
      <c r="AF30" s="263" t="str">
        <f>IFERROR(HLOOKUP(AF$7,'PCO Log'!$E$11:$SJ$98,24,FALSE),"")</f>
        <v/>
      </c>
      <c r="AG30" s="263" t="str">
        <f>IFERROR(HLOOKUP(AG$7,'PCO Log'!$E$11:$SJ$98,24,FALSE),"")</f>
        <v/>
      </c>
      <c r="AH30" s="263" t="str">
        <f>IFERROR(HLOOKUP(AH$7,'PCO Log'!$E$11:$SJ$98,24,FALSE),"")</f>
        <v/>
      </c>
      <c r="AI30" s="263" t="str">
        <f>IFERROR(HLOOKUP(AI$7,'PCO Log'!$E$11:$SJ$98,24,FALSE),"")</f>
        <v/>
      </c>
      <c r="AJ30" s="263" t="str">
        <f>IFERROR(HLOOKUP(AJ$7,'PCO Log'!$E$11:$SJ$98,24,FALSE),"")</f>
        <v/>
      </c>
      <c r="AK30" s="263" t="str">
        <f>IFERROR(HLOOKUP(AK$7,'PCO Log'!$E$11:$SJ$98,24,FALSE),"")</f>
        <v/>
      </c>
      <c r="AL30" s="263" t="str">
        <f>IFERROR(HLOOKUP(AL$7,'PCO Log'!$E$11:$SJ$98,24,FALSE),"")</f>
        <v/>
      </c>
      <c r="AM30" s="263" t="str">
        <f>IFERROR(HLOOKUP(AM$7,'PCO Log'!$E$11:$SJ$98,24,FALSE),"")</f>
        <v/>
      </c>
      <c r="AN30" s="263" t="str">
        <f>IFERROR(HLOOKUP(AN$7,'PCO Log'!$E$11:$SJ$98,24,FALSE),"")</f>
        <v/>
      </c>
      <c r="AO30" s="263" t="str">
        <f>IFERROR(HLOOKUP(AO$7,'PCO Log'!$E$11:$SJ$98,24,FALSE),"")</f>
        <v/>
      </c>
      <c r="AP30" s="263" t="str">
        <f>IFERROR(HLOOKUP(AP$7,'PCO Log'!$E$11:$SJ$98,24,FALSE),"")</f>
        <v/>
      </c>
      <c r="AQ30" s="263" t="str">
        <f>IFERROR(HLOOKUP(AQ$7,'PCO Log'!$E$11:$SJ$98,24,FALSE),"")</f>
        <v/>
      </c>
      <c r="AR30" s="263" t="str">
        <f>IFERROR(HLOOKUP(AR$7,'PCO Log'!$E$11:$SJ$98,24,FALSE),"")</f>
        <v/>
      </c>
      <c r="AS30" s="263" t="str">
        <f>IFERROR(HLOOKUP(AS$7,'PCO Log'!$E$11:$SJ$98,24,FALSE),"")</f>
        <v/>
      </c>
      <c r="AT30" s="263" t="str">
        <f>IFERROR(HLOOKUP(AT$7,'PCO Log'!$E$11:$SJ$98,24,FALSE),"")</f>
        <v/>
      </c>
      <c r="AU30" s="263" t="str">
        <f>IFERROR(HLOOKUP(AU$7,'PCO Log'!$E$11:$SJ$98,24,FALSE),"")</f>
        <v/>
      </c>
      <c r="AV30" s="263" t="str">
        <f>IFERROR(HLOOKUP(AV$7,'PCO Log'!$E$11:$SJ$98,24,FALSE),"")</f>
        <v/>
      </c>
      <c r="AW30" s="263" t="str">
        <f>IFERROR(HLOOKUP(AW$7,'PCO Log'!$E$11:$SJ$98,24,FALSE),"")</f>
        <v/>
      </c>
      <c r="AX30" s="263" t="str">
        <f>IFERROR(HLOOKUP(AX$7,'PCO Log'!$E$11:$SJ$98,24,FALSE),"")</f>
        <v/>
      </c>
      <c r="AY30" s="263" t="str">
        <f>IFERROR(HLOOKUP(AY$7,'PCO Log'!$E$11:$SJ$98,24,FALSE),"")</f>
        <v/>
      </c>
      <c r="AZ30" s="263" t="str">
        <f>IFERROR(HLOOKUP(AZ$7,'PCO Log'!$E$11:$SJ$98,24,FALSE),"")</f>
        <v/>
      </c>
      <c r="BA30" s="263" t="str">
        <f>IFERROR(HLOOKUP(BA$7,'PCO Log'!$E$11:$SJ$98,24,FALSE),"")</f>
        <v/>
      </c>
      <c r="BB30" s="263" t="str">
        <f>IFERROR(HLOOKUP(BB$7,'PCO Log'!$E$11:$SJ$98,24,FALSE),"")</f>
        <v/>
      </c>
      <c r="BC30" s="263" t="str">
        <f>IFERROR(HLOOKUP(BC$7,'PCO Log'!$E$11:$SJ$98,24,FALSE),"")</f>
        <v/>
      </c>
    </row>
    <row r="31" spans="2:55" s="334" customFormat="1" x14ac:dyDescent="0.25">
      <c r="B31" s="40" t="str">
        <f>'Pay App 1'!B80</f>
        <v>05 20 00</v>
      </c>
      <c r="C31" s="41" t="str">
        <f>'Pay App 1'!C80</f>
        <v>Joists &amp; Deck</v>
      </c>
      <c r="D31" s="263">
        <f t="shared" si="1"/>
        <v>0</v>
      </c>
      <c r="E31" s="264">
        <f>'Pay App 1'!D80</f>
        <v>0</v>
      </c>
      <c r="F31" s="263" t="str">
        <f>IFERROR(HLOOKUP(F$7,'PCO Log'!$E$11:$SJ$98,25,FALSE),"")</f>
        <v/>
      </c>
      <c r="G31" s="263" t="str">
        <f>IFERROR(HLOOKUP(G$7,'PCO Log'!$E$11:$SJ$98,25,FALSE),"")</f>
        <v/>
      </c>
      <c r="H31" s="263" t="str">
        <f>IFERROR(HLOOKUP(H$7,'PCO Log'!$E$11:$SJ$98,25,FALSE),"")</f>
        <v/>
      </c>
      <c r="I31" s="263" t="str">
        <f>IFERROR(HLOOKUP(I$7,'PCO Log'!$E$11:$SJ$98,25,FALSE),"")</f>
        <v/>
      </c>
      <c r="J31" s="263" t="str">
        <f>IFERROR(HLOOKUP(J$7,'PCO Log'!$E$11:$SJ$98,25,FALSE),"")</f>
        <v/>
      </c>
      <c r="K31" s="263" t="str">
        <f>IFERROR(HLOOKUP(K$7,'PCO Log'!$E$11:$SJ$98,25,FALSE),"")</f>
        <v/>
      </c>
      <c r="L31" s="263" t="str">
        <f>IFERROR(HLOOKUP(L$7,'PCO Log'!$E$11:$SJ$98,25,FALSE),"")</f>
        <v/>
      </c>
      <c r="M31" s="263" t="str">
        <f>IFERROR(HLOOKUP(M$7,'PCO Log'!$E$11:$SJ$98,25,FALSE),"")</f>
        <v/>
      </c>
      <c r="N31" s="263" t="str">
        <f>IFERROR(HLOOKUP(N$7,'PCO Log'!$E$11:$SJ$98,25,FALSE),"")</f>
        <v/>
      </c>
      <c r="O31" s="263" t="str">
        <f>IFERROR(HLOOKUP(O$7,'PCO Log'!$E$11:$SJ$98,25,FALSE),"")</f>
        <v/>
      </c>
      <c r="P31" s="263" t="str">
        <f>IFERROR(HLOOKUP(P$7,'PCO Log'!$E$11:$SJ$98,25,FALSE),"")</f>
        <v/>
      </c>
      <c r="Q31" s="263" t="str">
        <f>IFERROR(HLOOKUP(Q$7,'PCO Log'!$E$11:$SJ$98,25,FALSE),"")</f>
        <v/>
      </c>
      <c r="R31" s="263" t="str">
        <f>IFERROR(HLOOKUP(R$7,'PCO Log'!$E$11:$SJ$98,25,FALSE),"")</f>
        <v/>
      </c>
      <c r="S31" s="263" t="str">
        <f>IFERROR(HLOOKUP(S$7,'PCO Log'!$E$11:$SJ$98,25,FALSE),"")</f>
        <v/>
      </c>
      <c r="T31" s="263" t="str">
        <f>IFERROR(HLOOKUP(T$7,'PCO Log'!$E$11:$SJ$98,25,FALSE),"")</f>
        <v/>
      </c>
      <c r="U31" s="263" t="str">
        <f>IFERROR(HLOOKUP(U$7,'PCO Log'!$E$11:$SJ$98,25,FALSE),"")</f>
        <v/>
      </c>
      <c r="V31" s="263" t="str">
        <f>IFERROR(HLOOKUP(V$7,'PCO Log'!$E$11:$SJ$98,25,FALSE),"")</f>
        <v/>
      </c>
      <c r="W31" s="263" t="str">
        <f>IFERROR(HLOOKUP(W$7,'PCO Log'!$E$11:$SJ$98,25,FALSE),"")</f>
        <v/>
      </c>
      <c r="X31" s="263" t="str">
        <f>IFERROR(HLOOKUP(X$7,'PCO Log'!$E$11:$SJ$98,25,FALSE),"")</f>
        <v/>
      </c>
      <c r="Y31" s="263" t="str">
        <f>IFERROR(HLOOKUP(Y$7,'PCO Log'!$E$11:$SJ$98,25,FALSE),"")</f>
        <v/>
      </c>
      <c r="Z31" s="263" t="str">
        <f>IFERROR(HLOOKUP(Z$7,'PCO Log'!$E$11:$SJ$98,25,FALSE),"")</f>
        <v/>
      </c>
      <c r="AA31" s="263" t="str">
        <f>IFERROR(HLOOKUP(AA$7,'PCO Log'!$E$11:$SJ$98,25,FALSE),"")</f>
        <v/>
      </c>
      <c r="AB31" s="263" t="str">
        <f>IFERROR(HLOOKUP(AB$7,'PCO Log'!$E$11:$SJ$98,25,FALSE),"")</f>
        <v/>
      </c>
      <c r="AC31" s="263" t="str">
        <f>IFERROR(HLOOKUP(AC$7,'PCO Log'!$E$11:$SJ$98,25,FALSE),"")</f>
        <v/>
      </c>
      <c r="AD31" s="263" t="str">
        <f>IFERROR(HLOOKUP(AD$7,'PCO Log'!$E$11:$SJ$98,25,FALSE),"")</f>
        <v/>
      </c>
      <c r="AE31" s="263" t="str">
        <f>IFERROR(HLOOKUP(AE$7,'PCO Log'!$E$11:$SJ$98,25,FALSE),"")</f>
        <v/>
      </c>
      <c r="AF31" s="263" t="str">
        <f>IFERROR(HLOOKUP(AF$7,'PCO Log'!$E$11:$SJ$98,25,FALSE),"")</f>
        <v/>
      </c>
      <c r="AG31" s="263" t="str">
        <f>IFERROR(HLOOKUP(AG$7,'PCO Log'!$E$11:$SJ$98,25,FALSE),"")</f>
        <v/>
      </c>
      <c r="AH31" s="263" t="str">
        <f>IFERROR(HLOOKUP(AH$7,'PCO Log'!$E$11:$SJ$98,25,FALSE),"")</f>
        <v/>
      </c>
      <c r="AI31" s="263" t="str">
        <f>IFERROR(HLOOKUP(AI$7,'PCO Log'!$E$11:$SJ$98,25,FALSE),"")</f>
        <v/>
      </c>
      <c r="AJ31" s="263" t="str">
        <f>IFERROR(HLOOKUP(AJ$7,'PCO Log'!$E$11:$SJ$98,25,FALSE),"")</f>
        <v/>
      </c>
      <c r="AK31" s="263" t="str">
        <f>IFERROR(HLOOKUP(AK$7,'PCO Log'!$E$11:$SJ$98,25,FALSE),"")</f>
        <v/>
      </c>
      <c r="AL31" s="263" t="str">
        <f>IFERROR(HLOOKUP(AL$7,'PCO Log'!$E$11:$SJ$98,25,FALSE),"")</f>
        <v/>
      </c>
      <c r="AM31" s="263" t="str">
        <f>IFERROR(HLOOKUP(AM$7,'PCO Log'!$E$11:$SJ$98,25,FALSE),"")</f>
        <v/>
      </c>
      <c r="AN31" s="263" t="str">
        <f>IFERROR(HLOOKUP(AN$7,'PCO Log'!$E$11:$SJ$98,25,FALSE),"")</f>
        <v/>
      </c>
      <c r="AO31" s="263" t="str">
        <f>IFERROR(HLOOKUP(AO$7,'PCO Log'!$E$11:$SJ$98,25,FALSE),"")</f>
        <v/>
      </c>
      <c r="AP31" s="263" t="str">
        <f>IFERROR(HLOOKUP(AP$7,'PCO Log'!$E$11:$SJ$98,25,FALSE),"")</f>
        <v/>
      </c>
      <c r="AQ31" s="263" t="str">
        <f>IFERROR(HLOOKUP(AQ$7,'PCO Log'!$E$11:$SJ$98,25,FALSE),"")</f>
        <v/>
      </c>
      <c r="AR31" s="263" t="str">
        <f>IFERROR(HLOOKUP(AR$7,'PCO Log'!$E$11:$SJ$98,25,FALSE),"")</f>
        <v/>
      </c>
      <c r="AS31" s="263" t="str">
        <f>IFERROR(HLOOKUP(AS$7,'PCO Log'!$E$11:$SJ$98,25,FALSE),"")</f>
        <v/>
      </c>
      <c r="AT31" s="263" t="str">
        <f>IFERROR(HLOOKUP(AT$7,'PCO Log'!$E$11:$SJ$98,25,FALSE),"")</f>
        <v/>
      </c>
      <c r="AU31" s="263" t="str">
        <f>IFERROR(HLOOKUP(AU$7,'PCO Log'!$E$11:$SJ$98,25,FALSE),"")</f>
        <v/>
      </c>
      <c r="AV31" s="263" t="str">
        <f>IFERROR(HLOOKUP(AV$7,'PCO Log'!$E$11:$SJ$98,25,FALSE),"")</f>
        <v/>
      </c>
      <c r="AW31" s="263" t="str">
        <f>IFERROR(HLOOKUP(AW$7,'PCO Log'!$E$11:$SJ$98,25,FALSE),"")</f>
        <v/>
      </c>
      <c r="AX31" s="263" t="str">
        <f>IFERROR(HLOOKUP(AX$7,'PCO Log'!$E$11:$SJ$98,25,FALSE),"")</f>
        <v/>
      </c>
      <c r="AY31" s="263" t="str">
        <f>IFERROR(HLOOKUP(AY$7,'PCO Log'!$E$11:$SJ$98,25,FALSE),"")</f>
        <v/>
      </c>
      <c r="AZ31" s="263" t="str">
        <f>IFERROR(HLOOKUP(AZ$7,'PCO Log'!$E$11:$SJ$98,25,FALSE),"")</f>
        <v/>
      </c>
      <c r="BA31" s="263" t="str">
        <f>IFERROR(HLOOKUP(BA$7,'PCO Log'!$E$11:$SJ$98,25,FALSE),"")</f>
        <v/>
      </c>
      <c r="BB31" s="263" t="str">
        <f>IFERROR(HLOOKUP(BB$7,'PCO Log'!$E$11:$SJ$98,25,FALSE),"")</f>
        <v/>
      </c>
      <c r="BC31" s="263" t="str">
        <f>IFERROR(HLOOKUP(BC$7,'PCO Log'!$E$11:$SJ$98,25,FALSE),"")</f>
        <v/>
      </c>
    </row>
    <row r="32" spans="2:55" s="334" customFormat="1" x14ac:dyDescent="0.25">
      <c r="B32" s="40" t="str">
        <f>'Pay App 1'!B81</f>
        <v>05 70 00</v>
      </c>
      <c r="C32" s="41" t="str">
        <f>'Pay App 1'!C81</f>
        <v>Ornamental Metal</v>
      </c>
      <c r="D32" s="263">
        <f t="shared" si="1"/>
        <v>0</v>
      </c>
      <c r="E32" s="264">
        <f>'Pay App 1'!D81</f>
        <v>0</v>
      </c>
      <c r="F32" s="263" t="str">
        <f>IFERROR(HLOOKUP(F$7,'PCO Log'!$E$11:$SJ$98,26,FALSE),"")</f>
        <v/>
      </c>
      <c r="G32" s="263" t="str">
        <f>IFERROR(HLOOKUP(G$7,'PCO Log'!$E$11:$SJ$98,26,FALSE),"")</f>
        <v/>
      </c>
      <c r="H32" s="263" t="str">
        <f>IFERROR(HLOOKUP(H$7,'PCO Log'!$E$11:$SJ$98,26,FALSE),"")</f>
        <v/>
      </c>
      <c r="I32" s="263" t="str">
        <f>IFERROR(HLOOKUP(I$7,'PCO Log'!$E$11:$SJ$98,26,FALSE),"")</f>
        <v/>
      </c>
      <c r="J32" s="263" t="str">
        <f>IFERROR(HLOOKUP(J$7,'PCO Log'!$E$11:$SJ$98,26,FALSE),"")</f>
        <v/>
      </c>
      <c r="K32" s="263" t="str">
        <f>IFERROR(HLOOKUP(K$7,'PCO Log'!$E$11:$SJ$98,26,FALSE),"")</f>
        <v/>
      </c>
      <c r="L32" s="263" t="str">
        <f>IFERROR(HLOOKUP(L$7,'PCO Log'!$E$11:$SJ$98,26,FALSE),"")</f>
        <v/>
      </c>
      <c r="M32" s="263" t="str">
        <f>IFERROR(HLOOKUP(M$7,'PCO Log'!$E$11:$SJ$98,26,FALSE),"")</f>
        <v/>
      </c>
      <c r="N32" s="263" t="str">
        <f>IFERROR(HLOOKUP(N$7,'PCO Log'!$E$11:$SJ$98,26,FALSE),"")</f>
        <v/>
      </c>
      <c r="O32" s="263" t="str">
        <f>IFERROR(HLOOKUP(O$7,'PCO Log'!$E$11:$SJ$98,26,FALSE),"")</f>
        <v/>
      </c>
      <c r="P32" s="263" t="str">
        <f>IFERROR(HLOOKUP(P$7,'PCO Log'!$E$11:$SJ$98,26,FALSE),"")</f>
        <v/>
      </c>
      <c r="Q32" s="263" t="str">
        <f>IFERROR(HLOOKUP(Q$7,'PCO Log'!$E$11:$SJ$98,26,FALSE),"")</f>
        <v/>
      </c>
      <c r="R32" s="263" t="str">
        <f>IFERROR(HLOOKUP(R$7,'PCO Log'!$E$11:$SJ$98,26,FALSE),"")</f>
        <v/>
      </c>
      <c r="S32" s="263" t="str">
        <f>IFERROR(HLOOKUP(S$7,'PCO Log'!$E$11:$SJ$98,26,FALSE),"")</f>
        <v/>
      </c>
      <c r="T32" s="263" t="str">
        <f>IFERROR(HLOOKUP(T$7,'PCO Log'!$E$11:$SJ$98,26,FALSE),"")</f>
        <v/>
      </c>
      <c r="U32" s="263" t="str">
        <f>IFERROR(HLOOKUP(U$7,'PCO Log'!$E$11:$SJ$98,26,FALSE),"")</f>
        <v/>
      </c>
      <c r="V32" s="263" t="str">
        <f>IFERROR(HLOOKUP(V$7,'PCO Log'!$E$11:$SJ$98,26,FALSE),"")</f>
        <v/>
      </c>
      <c r="W32" s="263" t="str">
        <f>IFERROR(HLOOKUP(W$7,'PCO Log'!$E$11:$SJ$98,26,FALSE),"")</f>
        <v/>
      </c>
      <c r="X32" s="263" t="str">
        <f>IFERROR(HLOOKUP(X$7,'PCO Log'!$E$11:$SJ$98,26,FALSE),"")</f>
        <v/>
      </c>
      <c r="Y32" s="263" t="str">
        <f>IFERROR(HLOOKUP(Y$7,'PCO Log'!$E$11:$SJ$98,26,FALSE),"")</f>
        <v/>
      </c>
      <c r="Z32" s="263" t="str">
        <f>IFERROR(HLOOKUP(Z$7,'PCO Log'!$E$11:$SJ$98,26,FALSE),"")</f>
        <v/>
      </c>
      <c r="AA32" s="263" t="str">
        <f>IFERROR(HLOOKUP(AA$7,'PCO Log'!$E$11:$SJ$98,26,FALSE),"")</f>
        <v/>
      </c>
      <c r="AB32" s="263" t="str">
        <f>IFERROR(HLOOKUP(AB$7,'PCO Log'!$E$11:$SJ$98,26,FALSE),"")</f>
        <v/>
      </c>
      <c r="AC32" s="263" t="str">
        <f>IFERROR(HLOOKUP(AC$7,'PCO Log'!$E$11:$SJ$98,26,FALSE),"")</f>
        <v/>
      </c>
      <c r="AD32" s="263" t="str">
        <f>IFERROR(HLOOKUP(AD$7,'PCO Log'!$E$11:$SJ$98,26,FALSE),"")</f>
        <v/>
      </c>
      <c r="AE32" s="263" t="str">
        <f>IFERROR(HLOOKUP(AE$7,'PCO Log'!$E$11:$SJ$98,26,FALSE),"")</f>
        <v/>
      </c>
      <c r="AF32" s="263" t="str">
        <f>IFERROR(HLOOKUP(AF$7,'PCO Log'!$E$11:$SJ$98,26,FALSE),"")</f>
        <v/>
      </c>
      <c r="AG32" s="263" t="str">
        <f>IFERROR(HLOOKUP(AG$7,'PCO Log'!$E$11:$SJ$98,26,FALSE),"")</f>
        <v/>
      </c>
      <c r="AH32" s="263" t="str">
        <f>IFERROR(HLOOKUP(AH$7,'PCO Log'!$E$11:$SJ$98,26,FALSE),"")</f>
        <v/>
      </c>
      <c r="AI32" s="263" t="str">
        <f>IFERROR(HLOOKUP(AI$7,'PCO Log'!$E$11:$SJ$98,26,FALSE),"")</f>
        <v/>
      </c>
      <c r="AJ32" s="263" t="str">
        <f>IFERROR(HLOOKUP(AJ$7,'PCO Log'!$E$11:$SJ$98,26,FALSE),"")</f>
        <v/>
      </c>
      <c r="AK32" s="263" t="str">
        <f>IFERROR(HLOOKUP(AK$7,'PCO Log'!$E$11:$SJ$98,26,FALSE),"")</f>
        <v/>
      </c>
      <c r="AL32" s="263" t="str">
        <f>IFERROR(HLOOKUP(AL$7,'PCO Log'!$E$11:$SJ$98,26,FALSE),"")</f>
        <v/>
      </c>
      <c r="AM32" s="263" t="str">
        <f>IFERROR(HLOOKUP(AM$7,'PCO Log'!$E$11:$SJ$98,26,FALSE),"")</f>
        <v/>
      </c>
      <c r="AN32" s="263" t="str">
        <f>IFERROR(HLOOKUP(AN$7,'PCO Log'!$E$11:$SJ$98,26,FALSE),"")</f>
        <v/>
      </c>
      <c r="AO32" s="263" t="str">
        <f>IFERROR(HLOOKUP(AO$7,'PCO Log'!$E$11:$SJ$98,26,FALSE),"")</f>
        <v/>
      </c>
      <c r="AP32" s="263" t="str">
        <f>IFERROR(HLOOKUP(AP$7,'PCO Log'!$E$11:$SJ$98,26,FALSE),"")</f>
        <v/>
      </c>
      <c r="AQ32" s="263" t="str">
        <f>IFERROR(HLOOKUP(AQ$7,'PCO Log'!$E$11:$SJ$98,26,FALSE),"")</f>
        <v/>
      </c>
      <c r="AR32" s="263" t="str">
        <f>IFERROR(HLOOKUP(AR$7,'PCO Log'!$E$11:$SJ$98,26,FALSE),"")</f>
        <v/>
      </c>
      <c r="AS32" s="263" t="str">
        <f>IFERROR(HLOOKUP(AS$7,'PCO Log'!$E$11:$SJ$98,26,FALSE),"")</f>
        <v/>
      </c>
      <c r="AT32" s="263" t="str">
        <f>IFERROR(HLOOKUP(AT$7,'PCO Log'!$E$11:$SJ$98,26,FALSE),"")</f>
        <v/>
      </c>
      <c r="AU32" s="263" t="str">
        <f>IFERROR(HLOOKUP(AU$7,'PCO Log'!$E$11:$SJ$98,26,FALSE),"")</f>
        <v/>
      </c>
      <c r="AV32" s="263" t="str">
        <f>IFERROR(HLOOKUP(AV$7,'PCO Log'!$E$11:$SJ$98,26,FALSE),"")</f>
        <v/>
      </c>
      <c r="AW32" s="263" t="str">
        <f>IFERROR(HLOOKUP(AW$7,'PCO Log'!$E$11:$SJ$98,26,FALSE),"")</f>
        <v/>
      </c>
      <c r="AX32" s="263" t="str">
        <f>IFERROR(HLOOKUP(AX$7,'PCO Log'!$E$11:$SJ$98,26,FALSE),"")</f>
        <v/>
      </c>
      <c r="AY32" s="263" t="str">
        <f>IFERROR(HLOOKUP(AY$7,'PCO Log'!$E$11:$SJ$98,26,FALSE),"")</f>
        <v/>
      </c>
      <c r="AZ32" s="263" t="str">
        <f>IFERROR(HLOOKUP(AZ$7,'PCO Log'!$E$11:$SJ$98,26,FALSE),"")</f>
        <v/>
      </c>
      <c r="BA32" s="263" t="str">
        <f>IFERROR(HLOOKUP(BA$7,'PCO Log'!$E$11:$SJ$98,26,FALSE),"")</f>
        <v/>
      </c>
      <c r="BB32" s="263" t="str">
        <f>IFERROR(HLOOKUP(BB$7,'PCO Log'!$E$11:$SJ$98,26,FALSE),"")</f>
        <v/>
      </c>
      <c r="BC32" s="263" t="str">
        <f>IFERROR(HLOOKUP(BC$7,'PCO Log'!$E$11:$SJ$98,26,FALSE),"")</f>
        <v/>
      </c>
    </row>
    <row r="33" spans="2:55" s="334" customFormat="1" x14ac:dyDescent="0.25">
      <c r="B33" s="48" t="str">
        <f>'Pay App 1'!B82</f>
        <v>06 10 00</v>
      </c>
      <c r="C33" s="24" t="str">
        <f>'Pay App 1'!C82</f>
        <v>Rough Carpentry</v>
      </c>
      <c r="D33" s="263">
        <f t="shared" si="1"/>
        <v>0</v>
      </c>
      <c r="E33" s="264">
        <f>'Pay App 1'!D82</f>
        <v>0</v>
      </c>
      <c r="F33" s="263" t="str">
        <f>IFERROR(HLOOKUP(F$7,'PCO Log'!$E$11:$SJ$98,27,FALSE),"")</f>
        <v/>
      </c>
      <c r="G33" s="263" t="str">
        <f>IFERROR(HLOOKUP(G$7,'PCO Log'!$E$11:$SJ$98,27,FALSE),"")</f>
        <v/>
      </c>
      <c r="H33" s="263" t="str">
        <f>IFERROR(HLOOKUP(H$7,'PCO Log'!$E$11:$SJ$98,27,FALSE),"")</f>
        <v/>
      </c>
      <c r="I33" s="263" t="str">
        <f>IFERROR(HLOOKUP(I$7,'PCO Log'!$E$11:$SJ$98,27,FALSE),"")</f>
        <v/>
      </c>
      <c r="J33" s="263" t="str">
        <f>IFERROR(HLOOKUP(J$7,'PCO Log'!$E$11:$SJ$98,27,FALSE),"")</f>
        <v/>
      </c>
      <c r="K33" s="263" t="str">
        <f>IFERROR(HLOOKUP(K$7,'PCO Log'!$E$11:$SJ$98,27,FALSE),"")</f>
        <v/>
      </c>
      <c r="L33" s="263" t="str">
        <f>IFERROR(HLOOKUP(L$7,'PCO Log'!$E$11:$SJ$98,27,FALSE),"")</f>
        <v/>
      </c>
      <c r="M33" s="263" t="str">
        <f>IFERROR(HLOOKUP(M$7,'PCO Log'!$E$11:$SJ$98,27,FALSE),"")</f>
        <v/>
      </c>
      <c r="N33" s="263" t="str">
        <f>IFERROR(HLOOKUP(N$7,'PCO Log'!$E$11:$SJ$98,27,FALSE),"")</f>
        <v/>
      </c>
      <c r="O33" s="263" t="str">
        <f>IFERROR(HLOOKUP(O$7,'PCO Log'!$E$11:$SJ$98,27,FALSE),"")</f>
        <v/>
      </c>
      <c r="P33" s="263" t="str">
        <f>IFERROR(HLOOKUP(P$7,'PCO Log'!$E$11:$SJ$98,27,FALSE),"")</f>
        <v/>
      </c>
      <c r="Q33" s="263" t="str">
        <f>IFERROR(HLOOKUP(Q$7,'PCO Log'!$E$11:$SJ$98,27,FALSE),"")</f>
        <v/>
      </c>
      <c r="R33" s="263" t="str">
        <f>IFERROR(HLOOKUP(R$7,'PCO Log'!$E$11:$SJ$98,27,FALSE),"")</f>
        <v/>
      </c>
      <c r="S33" s="263" t="str">
        <f>IFERROR(HLOOKUP(S$7,'PCO Log'!$E$11:$SJ$98,27,FALSE),"")</f>
        <v/>
      </c>
      <c r="T33" s="263" t="str">
        <f>IFERROR(HLOOKUP(T$7,'PCO Log'!$E$11:$SJ$98,27,FALSE),"")</f>
        <v/>
      </c>
      <c r="U33" s="263" t="str">
        <f>IFERROR(HLOOKUP(U$7,'PCO Log'!$E$11:$SJ$98,27,FALSE),"")</f>
        <v/>
      </c>
      <c r="V33" s="263" t="str">
        <f>IFERROR(HLOOKUP(V$7,'PCO Log'!$E$11:$SJ$98,27,FALSE),"")</f>
        <v/>
      </c>
      <c r="W33" s="263" t="str">
        <f>IFERROR(HLOOKUP(W$7,'PCO Log'!$E$11:$SJ$98,27,FALSE),"")</f>
        <v/>
      </c>
      <c r="X33" s="263" t="str">
        <f>IFERROR(HLOOKUP(X$7,'PCO Log'!$E$11:$SJ$98,27,FALSE),"")</f>
        <v/>
      </c>
      <c r="Y33" s="263" t="str">
        <f>IFERROR(HLOOKUP(Y$7,'PCO Log'!$E$11:$SJ$98,27,FALSE),"")</f>
        <v/>
      </c>
      <c r="Z33" s="263" t="str">
        <f>IFERROR(HLOOKUP(Z$7,'PCO Log'!$E$11:$SJ$98,27,FALSE),"")</f>
        <v/>
      </c>
      <c r="AA33" s="263" t="str">
        <f>IFERROR(HLOOKUP(AA$7,'PCO Log'!$E$11:$SJ$98,27,FALSE),"")</f>
        <v/>
      </c>
      <c r="AB33" s="263" t="str">
        <f>IFERROR(HLOOKUP(AB$7,'PCO Log'!$E$11:$SJ$98,27,FALSE),"")</f>
        <v/>
      </c>
      <c r="AC33" s="263" t="str">
        <f>IFERROR(HLOOKUP(AC$7,'PCO Log'!$E$11:$SJ$98,27,FALSE),"")</f>
        <v/>
      </c>
      <c r="AD33" s="263" t="str">
        <f>IFERROR(HLOOKUP(AD$7,'PCO Log'!$E$11:$SJ$98,27,FALSE),"")</f>
        <v/>
      </c>
      <c r="AE33" s="263" t="str">
        <f>IFERROR(HLOOKUP(AE$7,'PCO Log'!$E$11:$SJ$98,27,FALSE),"")</f>
        <v/>
      </c>
      <c r="AF33" s="263" t="str">
        <f>IFERROR(HLOOKUP(AF$7,'PCO Log'!$E$11:$SJ$98,27,FALSE),"")</f>
        <v/>
      </c>
      <c r="AG33" s="263" t="str">
        <f>IFERROR(HLOOKUP(AG$7,'PCO Log'!$E$11:$SJ$98,27,FALSE),"")</f>
        <v/>
      </c>
      <c r="AH33" s="263" t="str">
        <f>IFERROR(HLOOKUP(AH$7,'PCO Log'!$E$11:$SJ$98,27,FALSE),"")</f>
        <v/>
      </c>
      <c r="AI33" s="263" t="str">
        <f>IFERROR(HLOOKUP(AI$7,'PCO Log'!$E$11:$SJ$98,27,FALSE),"")</f>
        <v/>
      </c>
      <c r="AJ33" s="263" t="str">
        <f>IFERROR(HLOOKUP(AJ$7,'PCO Log'!$E$11:$SJ$98,27,FALSE),"")</f>
        <v/>
      </c>
      <c r="AK33" s="263" t="str">
        <f>IFERROR(HLOOKUP(AK$7,'PCO Log'!$E$11:$SJ$98,27,FALSE),"")</f>
        <v/>
      </c>
      <c r="AL33" s="263" t="str">
        <f>IFERROR(HLOOKUP(AL$7,'PCO Log'!$E$11:$SJ$98,27,FALSE),"")</f>
        <v/>
      </c>
      <c r="AM33" s="263" t="str">
        <f>IFERROR(HLOOKUP(AM$7,'PCO Log'!$E$11:$SJ$98,27,FALSE),"")</f>
        <v/>
      </c>
      <c r="AN33" s="263" t="str">
        <f>IFERROR(HLOOKUP(AN$7,'PCO Log'!$E$11:$SJ$98,27,FALSE),"")</f>
        <v/>
      </c>
      <c r="AO33" s="263" t="str">
        <f>IFERROR(HLOOKUP(AO$7,'PCO Log'!$E$11:$SJ$98,27,FALSE),"")</f>
        <v/>
      </c>
      <c r="AP33" s="263" t="str">
        <f>IFERROR(HLOOKUP(AP$7,'PCO Log'!$E$11:$SJ$98,27,FALSE),"")</f>
        <v/>
      </c>
      <c r="AQ33" s="263" t="str">
        <f>IFERROR(HLOOKUP(AQ$7,'PCO Log'!$E$11:$SJ$98,27,FALSE),"")</f>
        <v/>
      </c>
      <c r="AR33" s="263" t="str">
        <f>IFERROR(HLOOKUP(AR$7,'PCO Log'!$E$11:$SJ$98,27,FALSE),"")</f>
        <v/>
      </c>
      <c r="AS33" s="263" t="str">
        <f>IFERROR(HLOOKUP(AS$7,'PCO Log'!$E$11:$SJ$98,27,FALSE),"")</f>
        <v/>
      </c>
      <c r="AT33" s="263" t="str">
        <f>IFERROR(HLOOKUP(AT$7,'PCO Log'!$E$11:$SJ$98,27,FALSE),"")</f>
        <v/>
      </c>
      <c r="AU33" s="263" t="str">
        <f>IFERROR(HLOOKUP(AU$7,'PCO Log'!$E$11:$SJ$98,27,FALSE),"")</f>
        <v/>
      </c>
      <c r="AV33" s="263" t="str">
        <f>IFERROR(HLOOKUP(AV$7,'PCO Log'!$E$11:$SJ$98,27,FALSE),"")</f>
        <v/>
      </c>
      <c r="AW33" s="263" t="str">
        <f>IFERROR(HLOOKUP(AW$7,'PCO Log'!$E$11:$SJ$98,27,FALSE),"")</f>
        <v/>
      </c>
      <c r="AX33" s="263" t="str">
        <f>IFERROR(HLOOKUP(AX$7,'PCO Log'!$E$11:$SJ$98,27,FALSE),"")</f>
        <v/>
      </c>
      <c r="AY33" s="263" t="str">
        <f>IFERROR(HLOOKUP(AY$7,'PCO Log'!$E$11:$SJ$98,27,FALSE),"")</f>
        <v/>
      </c>
      <c r="AZ33" s="263" t="str">
        <f>IFERROR(HLOOKUP(AZ$7,'PCO Log'!$E$11:$SJ$98,27,FALSE),"")</f>
        <v/>
      </c>
      <c r="BA33" s="263" t="str">
        <f>IFERROR(HLOOKUP(BA$7,'PCO Log'!$E$11:$SJ$98,27,FALSE),"")</f>
        <v/>
      </c>
      <c r="BB33" s="263" t="str">
        <f>IFERROR(HLOOKUP(BB$7,'PCO Log'!$E$11:$SJ$98,27,FALSE),"")</f>
        <v/>
      </c>
      <c r="BC33" s="263" t="str">
        <f>IFERROR(HLOOKUP(BC$7,'PCO Log'!$E$11:$SJ$98,27,FALSE),"")</f>
        <v/>
      </c>
    </row>
    <row r="34" spans="2:55" s="334" customFormat="1" x14ac:dyDescent="0.25">
      <c r="B34" s="48" t="str">
        <f>'Pay App 1'!B83</f>
        <v>06 40 00</v>
      </c>
      <c r="C34" s="24" t="str">
        <f>'Pay App 1'!C83</f>
        <v>Arch. Woodwork &amp; Finish Carp.</v>
      </c>
      <c r="D34" s="263">
        <f t="shared" si="1"/>
        <v>0</v>
      </c>
      <c r="E34" s="264">
        <f>'Pay App 1'!D83</f>
        <v>0</v>
      </c>
      <c r="F34" s="263" t="str">
        <f>IFERROR(HLOOKUP(F$7,'PCO Log'!$E$11:$SJ$98,28,FALSE),"")</f>
        <v/>
      </c>
      <c r="G34" s="263" t="str">
        <f>IFERROR(HLOOKUP(G$7,'PCO Log'!$E$11:$SJ$98,28,FALSE),"")</f>
        <v/>
      </c>
      <c r="H34" s="263" t="str">
        <f>IFERROR(HLOOKUP(H$7,'PCO Log'!$E$11:$SJ$98,28,FALSE),"")</f>
        <v/>
      </c>
      <c r="I34" s="263" t="str">
        <f>IFERROR(HLOOKUP(I$7,'PCO Log'!$E$11:$SJ$98,28,FALSE),"")</f>
        <v/>
      </c>
      <c r="J34" s="263" t="str">
        <f>IFERROR(HLOOKUP(J$7,'PCO Log'!$E$11:$SJ$98,28,FALSE),"")</f>
        <v/>
      </c>
      <c r="K34" s="263" t="str">
        <f>IFERROR(HLOOKUP(K$7,'PCO Log'!$E$11:$SJ$98,28,FALSE),"")</f>
        <v/>
      </c>
      <c r="L34" s="263" t="str">
        <f>IFERROR(HLOOKUP(L$7,'PCO Log'!$E$11:$SJ$98,28,FALSE),"")</f>
        <v/>
      </c>
      <c r="M34" s="263" t="str">
        <f>IFERROR(HLOOKUP(M$7,'PCO Log'!$E$11:$SJ$98,28,FALSE),"")</f>
        <v/>
      </c>
      <c r="N34" s="263" t="str">
        <f>IFERROR(HLOOKUP(N$7,'PCO Log'!$E$11:$SJ$98,28,FALSE),"")</f>
        <v/>
      </c>
      <c r="O34" s="263" t="str">
        <f>IFERROR(HLOOKUP(O$7,'PCO Log'!$E$11:$SJ$98,28,FALSE),"")</f>
        <v/>
      </c>
      <c r="P34" s="263" t="str">
        <f>IFERROR(HLOOKUP(P$7,'PCO Log'!$E$11:$SJ$98,28,FALSE),"")</f>
        <v/>
      </c>
      <c r="Q34" s="263" t="str">
        <f>IFERROR(HLOOKUP(Q$7,'PCO Log'!$E$11:$SJ$98,28,FALSE),"")</f>
        <v/>
      </c>
      <c r="R34" s="263" t="str">
        <f>IFERROR(HLOOKUP(R$7,'PCO Log'!$E$11:$SJ$98,28,FALSE),"")</f>
        <v/>
      </c>
      <c r="S34" s="263" t="str">
        <f>IFERROR(HLOOKUP(S$7,'PCO Log'!$E$11:$SJ$98,28,FALSE),"")</f>
        <v/>
      </c>
      <c r="T34" s="263" t="str">
        <f>IFERROR(HLOOKUP(T$7,'PCO Log'!$E$11:$SJ$98,28,FALSE),"")</f>
        <v/>
      </c>
      <c r="U34" s="263" t="str">
        <f>IFERROR(HLOOKUP(U$7,'PCO Log'!$E$11:$SJ$98,28,FALSE),"")</f>
        <v/>
      </c>
      <c r="V34" s="263" t="str">
        <f>IFERROR(HLOOKUP(V$7,'PCO Log'!$E$11:$SJ$98,28,FALSE),"")</f>
        <v/>
      </c>
      <c r="W34" s="263" t="str">
        <f>IFERROR(HLOOKUP(W$7,'PCO Log'!$E$11:$SJ$98,28,FALSE),"")</f>
        <v/>
      </c>
      <c r="X34" s="263" t="str">
        <f>IFERROR(HLOOKUP(X$7,'PCO Log'!$E$11:$SJ$98,28,FALSE),"")</f>
        <v/>
      </c>
      <c r="Y34" s="263" t="str">
        <f>IFERROR(HLOOKUP(Y$7,'PCO Log'!$E$11:$SJ$98,28,FALSE),"")</f>
        <v/>
      </c>
      <c r="Z34" s="263" t="str">
        <f>IFERROR(HLOOKUP(Z$7,'PCO Log'!$E$11:$SJ$98,28,FALSE),"")</f>
        <v/>
      </c>
      <c r="AA34" s="263" t="str">
        <f>IFERROR(HLOOKUP(AA$7,'PCO Log'!$E$11:$SJ$98,28,FALSE),"")</f>
        <v/>
      </c>
      <c r="AB34" s="263" t="str">
        <f>IFERROR(HLOOKUP(AB$7,'PCO Log'!$E$11:$SJ$98,28,FALSE),"")</f>
        <v/>
      </c>
      <c r="AC34" s="263" t="str">
        <f>IFERROR(HLOOKUP(AC$7,'PCO Log'!$E$11:$SJ$98,28,FALSE),"")</f>
        <v/>
      </c>
      <c r="AD34" s="263" t="str">
        <f>IFERROR(HLOOKUP(AD$7,'PCO Log'!$E$11:$SJ$98,28,FALSE),"")</f>
        <v/>
      </c>
      <c r="AE34" s="263" t="str">
        <f>IFERROR(HLOOKUP(AE$7,'PCO Log'!$E$11:$SJ$98,28,FALSE),"")</f>
        <v/>
      </c>
      <c r="AF34" s="263" t="str">
        <f>IFERROR(HLOOKUP(AF$7,'PCO Log'!$E$11:$SJ$98,28,FALSE),"")</f>
        <v/>
      </c>
      <c r="AG34" s="263" t="str">
        <f>IFERROR(HLOOKUP(AG$7,'PCO Log'!$E$11:$SJ$98,28,FALSE),"")</f>
        <v/>
      </c>
      <c r="AH34" s="263" t="str">
        <f>IFERROR(HLOOKUP(AH$7,'PCO Log'!$E$11:$SJ$98,28,FALSE),"")</f>
        <v/>
      </c>
      <c r="AI34" s="263" t="str">
        <f>IFERROR(HLOOKUP(AI$7,'PCO Log'!$E$11:$SJ$98,28,FALSE),"")</f>
        <v/>
      </c>
      <c r="AJ34" s="263" t="str">
        <f>IFERROR(HLOOKUP(AJ$7,'PCO Log'!$E$11:$SJ$98,28,FALSE),"")</f>
        <v/>
      </c>
      <c r="AK34" s="263" t="str">
        <f>IFERROR(HLOOKUP(AK$7,'PCO Log'!$E$11:$SJ$98,28,FALSE),"")</f>
        <v/>
      </c>
      <c r="AL34" s="263" t="str">
        <f>IFERROR(HLOOKUP(AL$7,'PCO Log'!$E$11:$SJ$98,28,FALSE),"")</f>
        <v/>
      </c>
      <c r="AM34" s="263" t="str">
        <f>IFERROR(HLOOKUP(AM$7,'PCO Log'!$E$11:$SJ$98,28,FALSE),"")</f>
        <v/>
      </c>
      <c r="AN34" s="263" t="str">
        <f>IFERROR(HLOOKUP(AN$7,'PCO Log'!$E$11:$SJ$98,28,FALSE),"")</f>
        <v/>
      </c>
      <c r="AO34" s="263" t="str">
        <f>IFERROR(HLOOKUP(AO$7,'PCO Log'!$E$11:$SJ$98,28,FALSE),"")</f>
        <v/>
      </c>
      <c r="AP34" s="263" t="str">
        <f>IFERROR(HLOOKUP(AP$7,'PCO Log'!$E$11:$SJ$98,28,FALSE),"")</f>
        <v/>
      </c>
      <c r="AQ34" s="263" t="str">
        <f>IFERROR(HLOOKUP(AQ$7,'PCO Log'!$E$11:$SJ$98,28,FALSE),"")</f>
        <v/>
      </c>
      <c r="AR34" s="263" t="str">
        <f>IFERROR(HLOOKUP(AR$7,'PCO Log'!$E$11:$SJ$98,28,FALSE),"")</f>
        <v/>
      </c>
      <c r="AS34" s="263" t="str">
        <f>IFERROR(HLOOKUP(AS$7,'PCO Log'!$E$11:$SJ$98,28,FALSE),"")</f>
        <v/>
      </c>
      <c r="AT34" s="263" t="str">
        <f>IFERROR(HLOOKUP(AT$7,'PCO Log'!$E$11:$SJ$98,28,FALSE),"")</f>
        <v/>
      </c>
      <c r="AU34" s="263" t="str">
        <f>IFERROR(HLOOKUP(AU$7,'PCO Log'!$E$11:$SJ$98,28,FALSE),"")</f>
        <v/>
      </c>
      <c r="AV34" s="263" t="str">
        <f>IFERROR(HLOOKUP(AV$7,'PCO Log'!$E$11:$SJ$98,28,FALSE),"")</f>
        <v/>
      </c>
      <c r="AW34" s="263" t="str">
        <f>IFERROR(HLOOKUP(AW$7,'PCO Log'!$E$11:$SJ$98,28,FALSE),"")</f>
        <v/>
      </c>
      <c r="AX34" s="263" t="str">
        <f>IFERROR(HLOOKUP(AX$7,'PCO Log'!$E$11:$SJ$98,28,FALSE),"")</f>
        <v/>
      </c>
      <c r="AY34" s="263" t="str">
        <f>IFERROR(HLOOKUP(AY$7,'PCO Log'!$E$11:$SJ$98,28,FALSE),"")</f>
        <v/>
      </c>
      <c r="AZ34" s="263" t="str">
        <f>IFERROR(HLOOKUP(AZ$7,'PCO Log'!$E$11:$SJ$98,28,FALSE),"")</f>
        <v/>
      </c>
      <c r="BA34" s="263" t="str">
        <f>IFERROR(HLOOKUP(BA$7,'PCO Log'!$E$11:$SJ$98,28,FALSE),"")</f>
        <v/>
      </c>
      <c r="BB34" s="263" t="str">
        <f>IFERROR(HLOOKUP(BB$7,'PCO Log'!$E$11:$SJ$98,28,FALSE),"")</f>
        <v/>
      </c>
      <c r="BC34" s="263" t="str">
        <f>IFERROR(HLOOKUP(BC$7,'PCO Log'!$E$11:$SJ$98,28,FALSE),"")</f>
        <v/>
      </c>
    </row>
    <row r="35" spans="2:55" s="334" customFormat="1" x14ac:dyDescent="0.25">
      <c r="B35" s="49" t="str">
        <f>'Pay App 1'!B84</f>
        <v>07 10 00</v>
      </c>
      <c r="C35" s="25" t="str">
        <f>'Pay App 1'!C84</f>
        <v>Waterproofing/Water Repellents</v>
      </c>
      <c r="D35" s="263">
        <f t="shared" si="1"/>
        <v>0</v>
      </c>
      <c r="E35" s="264">
        <f>'Pay App 1'!D84</f>
        <v>0</v>
      </c>
      <c r="F35" s="263" t="str">
        <f>IFERROR(HLOOKUP(F$7,'PCO Log'!$E$11:$SJ$98,29,FALSE),"")</f>
        <v/>
      </c>
      <c r="G35" s="263" t="str">
        <f>IFERROR(HLOOKUP(G$7,'PCO Log'!$E$11:$SJ$98,29,FALSE),"")</f>
        <v/>
      </c>
      <c r="H35" s="263" t="str">
        <f>IFERROR(HLOOKUP(H$7,'PCO Log'!$E$11:$SJ$98,29,FALSE),"")</f>
        <v/>
      </c>
      <c r="I35" s="263" t="str">
        <f>IFERROR(HLOOKUP(I$7,'PCO Log'!$E$11:$SJ$98,29,FALSE),"")</f>
        <v/>
      </c>
      <c r="J35" s="263" t="str">
        <f>IFERROR(HLOOKUP(J$7,'PCO Log'!$E$11:$SJ$98,29,FALSE),"")</f>
        <v/>
      </c>
      <c r="K35" s="263" t="str">
        <f>IFERROR(HLOOKUP(K$7,'PCO Log'!$E$11:$SJ$98,29,FALSE),"")</f>
        <v/>
      </c>
      <c r="L35" s="263" t="str">
        <f>IFERROR(HLOOKUP(L$7,'PCO Log'!$E$11:$SJ$98,29,FALSE),"")</f>
        <v/>
      </c>
      <c r="M35" s="263" t="str">
        <f>IFERROR(HLOOKUP(M$7,'PCO Log'!$E$11:$SJ$98,29,FALSE),"")</f>
        <v/>
      </c>
      <c r="N35" s="263" t="str">
        <f>IFERROR(HLOOKUP(N$7,'PCO Log'!$E$11:$SJ$98,29,FALSE),"")</f>
        <v/>
      </c>
      <c r="O35" s="263" t="str">
        <f>IFERROR(HLOOKUP(O$7,'PCO Log'!$E$11:$SJ$98,29,FALSE),"")</f>
        <v/>
      </c>
      <c r="P35" s="263" t="str">
        <f>IFERROR(HLOOKUP(P$7,'PCO Log'!$E$11:$SJ$98,29,FALSE),"")</f>
        <v/>
      </c>
      <c r="Q35" s="263" t="str">
        <f>IFERROR(HLOOKUP(Q$7,'PCO Log'!$E$11:$SJ$98,29,FALSE),"")</f>
        <v/>
      </c>
      <c r="R35" s="263" t="str">
        <f>IFERROR(HLOOKUP(R$7,'PCO Log'!$E$11:$SJ$98,29,FALSE),"")</f>
        <v/>
      </c>
      <c r="S35" s="263" t="str">
        <f>IFERROR(HLOOKUP(S$7,'PCO Log'!$E$11:$SJ$98,29,FALSE),"")</f>
        <v/>
      </c>
      <c r="T35" s="263" t="str">
        <f>IFERROR(HLOOKUP(T$7,'PCO Log'!$E$11:$SJ$98,29,FALSE),"")</f>
        <v/>
      </c>
      <c r="U35" s="263" t="str">
        <f>IFERROR(HLOOKUP(U$7,'PCO Log'!$E$11:$SJ$98,29,FALSE),"")</f>
        <v/>
      </c>
      <c r="V35" s="263" t="str">
        <f>IFERROR(HLOOKUP(V$7,'PCO Log'!$E$11:$SJ$98,29,FALSE),"")</f>
        <v/>
      </c>
      <c r="W35" s="263" t="str">
        <f>IFERROR(HLOOKUP(W$7,'PCO Log'!$E$11:$SJ$98,29,FALSE),"")</f>
        <v/>
      </c>
      <c r="X35" s="263" t="str">
        <f>IFERROR(HLOOKUP(X$7,'PCO Log'!$E$11:$SJ$98,29,FALSE),"")</f>
        <v/>
      </c>
      <c r="Y35" s="263" t="str">
        <f>IFERROR(HLOOKUP(Y$7,'PCO Log'!$E$11:$SJ$98,29,FALSE),"")</f>
        <v/>
      </c>
      <c r="Z35" s="263" t="str">
        <f>IFERROR(HLOOKUP(Z$7,'PCO Log'!$E$11:$SJ$98,29,FALSE),"")</f>
        <v/>
      </c>
      <c r="AA35" s="263" t="str">
        <f>IFERROR(HLOOKUP(AA$7,'PCO Log'!$E$11:$SJ$98,29,FALSE),"")</f>
        <v/>
      </c>
      <c r="AB35" s="263" t="str">
        <f>IFERROR(HLOOKUP(AB$7,'PCO Log'!$E$11:$SJ$98,29,FALSE),"")</f>
        <v/>
      </c>
      <c r="AC35" s="263" t="str">
        <f>IFERROR(HLOOKUP(AC$7,'PCO Log'!$E$11:$SJ$98,29,FALSE),"")</f>
        <v/>
      </c>
      <c r="AD35" s="263" t="str">
        <f>IFERROR(HLOOKUP(AD$7,'PCO Log'!$E$11:$SJ$98,29,FALSE),"")</f>
        <v/>
      </c>
      <c r="AE35" s="263" t="str">
        <f>IFERROR(HLOOKUP(AE$7,'PCO Log'!$E$11:$SJ$98,29,FALSE),"")</f>
        <v/>
      </c>
      <c r="AF35" s="263" t="str">
        <f>IFERROR(HLOOKUP(AF$7,'PCO Log'!$E$11:$SJ$98,29,FALSE),"")</f>
        <v/>
      </c>
      <c r="AG35" s="263" t="str">
        <f>IFERROR(HLOOKUP(AG$7,'PCO Log'!$E$11:$SJ$98,29,FALSE),"")</f>
        <v/>
      </c>
      <c r="AH35" s="263" t="str">
        <f>IFERROR(HLOOKUP(AH$7,'PCO Log'!$E$11:$SJ$98,29,FALSE),"")</f>
        <v/>
      </c>
      <c r="AI35" s="263" t="str">
        <f>IFERROR(HLOOKUP(AI$7,'PCO Log'!$E$11:$SJ$98,29,FALSE),"")</f>
        <v/>
      </c>
      <c r="AJ35" s="263" t="str">
        <f>IFERROR(HLOOKUP(AJ$7,'PCO Log'!$E$11:$SJ$98,29,FALSE),"")</f>
        <v/>
      </c>
      <c r="AK35" s="263" t="str">
        <f>IFERROR(HLOOKUP(AK$7,'PCO Log'!$E$11:$SJ$98,29,FALSE),"")</f>
        <v/>
      </c>
      <c r="AL35" s="263" t="str">
        <f>IFERROR(HLOOKUP(AL$7,'PCO Log'!$E$11:$SJ$98,29,FALSE),"")</f>
        <v/>
      </c>
      <c r="AM35" s="263" t="str">
        <f>IFERROR(HLOOKUP(AM$7,'PCO Log'!$E$11:$SJ$98,29,FALSE),"")</f>
        <v/>
      </c>
      <c r="AN35" s="263" t="str">
        <f>IFERROR(HLOOKUP(AN$7,'PCO Log'!$E$11:$SJ$98,29,FALSE),"")</f>
        <v/>
      </c>
      <c r="AO35" s="263" t="str">
        <f>IFERROR(HLOOKUP(AO$7,'PCO Log'!$E$11:$SJ$98,29,FALSE),"")</f>
        <v/>
      </c>
      <c r="AP35" s="263" t="str">
        <f>IFERROR(HLOOKUP(AP$7,'PCO Log'!$E$11:$SJ$98,29,FALSE),"")</f>
        <v/>
      </c>
      <c r="AQ35" s="263" t="str">
        <f>IFERROR(HLOOKUP(AQ$7,'PCO Log'!$E$11:$SJ$98,29,FALSE),"")</f>
        <v/>
      </c>
      <c r="AR35" s="263" t="str">
        <f>IFERROR(HLOOKUP(AR$7,'PCO Log'!$E$11:$SJ$98,29,FALSE),"")</f>
        <v/>
      </c>
      <c r="AS35" s="263" t="str">
        <f>IFERROR(HLOOKUP(AS$7,'PCO Log'!$E$11:$SJ$98,29,FALSE),"")</f>
        <v/>
      </c>
      <c r="AT35" s="263" t="str">
        <f>IFERROR(HLOOKUP(AT$7,'PCO Log'!$E$11:$SJ$98,29,FALSE),"")</f>
        <v/>
      </c>
      <c r="AU35" s="263" t="str">
        <f>IFERROR(HLOOKUP(AU$7,'PCO Log'!$E$11:$SJ$98,29,FALSE),"")</f>
        <v/>
      </c>
      <c r="AV35" s="263" t="str">
        <f>IFERROR(HLOOKUP(AV$7,'PCO Log'!$E$11:$SJ$98,29,FALSE),"")</f>
        <v/>
      </c>
      <c r="AW35" s="263" t="str">
        <f>IFERROR(HLOOKUP(AW$7,'PCO Log'!$E$11:$SJ$98,29,FALSE),"")</f>
        <v/>
      </c>
      <c r="AX35" s="263" t="str">
        <f>IFERROR(HLOOKUP(AX$7,'PCO Log'!$E$11:$SJ$98,29,FALSE),"")</f>
        <v/>
      </c>
      <c r="AY35" s="263" t="str">
        <f>IFERROR(HLOOKUP(AY$7,'PCO Log'!$E$11:$SJ$98,29,FALSE),"")</f>
        <v/>
      </c>
      <c r="AZ35" s="263" t="str">
        <f>IFERROR(HLOOKUP(AZ$7,'PCO Log'!$E$11:$SJ$98,29,FALSE),"")</f>
        <v/>
      </c>
      <c r="BA35" s="263" t="str">
        <f>IFERROR(HLOOKUP(BA$7,'PCO Log'!$E$11:$SJ$98,29,FALSE),"")</f>
        <v/>
      </c>
      <c r="BB35" s="263" t="str">
        <f>IFERROR(HLOOKUP(BB$7,'PCO Log'!$E$11:$SJ$98,29,FALSE),"")</f>
        <v/>
      </c>
      <c r="BC35" s="263" t="str">
        <f>IFERROR(HLOOKUP(BC$7,'PCO Log'!$E$11:$SJ$98,29,FALSE),"")</f>
        <v/>
      </c>
    </row>
    <row r="36" spans="2:55" s="334" customFormat="1" x14ac:dyDescent="0.25">
      <c r="B36" s="49" t="str">
        <f>'Pay App 1'!B85</f>
        <v>07 20 00</v>
      </c>
      <c r="C36" s="25" t="str">
        <f>'Pay App 1'!C85</f>
        <v>Insulation</v>
      </c>
      <c r="D36" s="263">
        <f t="shared" si="1"/>
        <v>0</v>
      </c>
      <c r="E36" s="264">
        <f>'Pay App 1'!D85</f>
        <v>0</v>
      </c>
      <c r="F36" s="263" t="str">
        <f>IFERROR(HLOOKUP(F$7,'PCO Log'!$E$11:$SJ$98,30,FALSE),"")</f>
        <v/>
      </c>
      <c r="G36" s="263" t="str">
        <f>IFERROR(HLOOKUP(G$7,'PCO Log'!$E$11:$SJ$98,30,FALSE),"")</f>
        <v/>
      </c>
      <c r="H36" s="263" t="str">
        <f>IFERROR(HLOOKUP(H$7,'PCO Log'!$E$11:$SJ$98,30,FALSE),"")</f>
        <v/>
      </c>
      <c r="I36" s="263" t="str">
        <f>IFERROR(HLOOKUP(I$7,'PCO Log'!$E$11:$SJ$98,30,FALSE),"")</f>
        <v/>
      </c>
      <c r="J36" s="263" t="str">
        <f>IFERROR(HLOOKUP(J$7,'PCO Log'!$E$11:$SJ$98,30,FALSE),"")</f>
        <v/>
      </c>
      <c r="K36" s="263" t="str">
        <f>IFERROR(HLOOKUP(K$7,'PCO Log'!$E$11:$SJ$98,30,FALSE),"")</f>
        <v/>
      </c>
      <c r="L36" s="263" t="str">
        <f>IFERROR(HLOOKUP(L$7,'PCO Log'!$E$11:$SJ$98,30,FALSE),"")</f>
        <v/>
      </c>
      <c r="M36" s="263" t="str">
        <f>IFERROR(HLOOKUP(M$7,'PCO Log'!$E$11:$SJ$98,30,FALSE),"")</f>
        <v/>
      </c>
      <c r="N36" s="263" t="str">
        <f>IFERROR(HLOOKUP(N$7,'PCO Log'!$E$11:$SJ$98,30,FALSE),"")</f>
        <v/>
      </c>
      <c r="O36" s="263" t="str">
        <f>IFERROR(HLOOKUP(O$7,'PCO Log'!$E$11:$SJ$98,30,FALSE),"")</f>
        <v/>
      </c>
      <c r="P36" s="263" t="str">
        <f>IFERROR(HLOOKUP(P$7,'PCO Log'!$E$11:$SJ$98,30,FALSE),"")</f>
        <v/>
      </c>
      <c r="Q36" s="263" t="str">
        <f>IFERROR(HLOOKUP(Q$7,'PCO Log'!$E$11:$SJ$98,30,FALSE),"")</f>
        <v/>
      </c>
      <c r="R36" s="263" t="str">
        <f>IFERROR(HLOOKUP(R$7,'PCO Log'!$E$11:$SJ$98,30,FALSE),"")</f>
        <v/>
      </c>
      <c r="S36" s="263" t="str">
        <f>IFERROR(HLOOKUP(S$7,'PCO Log'!$E$11:$SJ$98,30,FALSE),"")</f>
        <v/>
      </c>
      <c r="T36" s="263" t="str">
        <f>IFERROR(HLOOKUP(T$7,'PCO Log'!$E$11:$SJ$98,30,FALSE),"")</f>
        <v/>
      </c>
      <c r="U36" s="263" t="str">
        <f>IFERROR(HLOOKUP(U$7,'PCO Log'!$E$11:$SJ$98,30,FALSE),"")</f>
        <v/>
      </c>
      <c r="V36" s="263" t="str">
        <f>IFERROR(HLOOKUP(V$7,'PCO Log'!$E$11:$SJ$98,30,FALSE),"")</f>
        <v/>
      </c>
      <c r="W36" s="263" t="str">
        <f>IFERROR(HLOOKUP(W$7,'PCO Log'!$E$11:$SJ$98,30,FALSE),"")</f>
        <v/>
      </c>
      <c r="X36" s="263" t="str">
        <f>IFERROR(HLOOKUP(X$7,'PCO Log'!$E$11:$SJ$98,30,FALSE),"")</f>
        <v/>
      </c>
      <c r="Y36" s="263" t="str">
        <f>IFERROR(HLOOKUP(Y$7,'PCO Log'!$E$11:$SJ$98,30,FALSE),"")</f>
        <v/>
      </c>
      <c r="Z36" s="263" t="str">
        <f>IFERROR(HLOOKUP(Z$7,'PCO Log'!$E$11:$SJ$98,30,FALSE),"")</f>
        <v/>
      </c>
      <c r="AA36" s="263" t="str">
        <f>IFERROR(HLOOKUP(AA$7,'PCO Log'!$E$11:$SJ$98,30,FALSE),"")</f>
        <v/>
      </c>
      <c r="AB36" s="263" t="str">
        <f>IFERROR(HLOOKUP(AB$7,'PCO Log'!$E$11:$SJ$98,30,FALSE),"")</f>
        <v/>
      </c>
      <c r="AC36" s="263" t="str">
        <f>IFERROR(HLOOKUP(AC$7,'PCO Log'!$E$11:$SJ$98,30,FALSE),"")</f>
        <v/>
      </c>
      <c r="AD36" s="263" t="str">
        <f>IFERROR(HLOOKUP(AD$7,'PCO Log'!$E$11:$SJ$98,30,FALSE),"")</f>
        <v/>
      </c>
      <c r="AE36" s="263" t="str">
        <f>IFERROR(HLOOKUP(AE$7,'PCO Log'!$E$11:$SJ$98,30,FALSE),"")</f>
        <v/>
      </c>
      <c r="AF36" s="263" t="str">
        <f>IFERROR(HLOOKUP(AF$7,'PCO Log'!$E$11:$SJ$98,30,FALSE),"")</f>
        <v/>
      </c>
      <c r="AG36" s="263" t="str">
        <f>IFERROR(HLOOKUP(AG$7,'PCO Log'!$E$11:$SJ$98,30,FALSE),"")</f>
        <v/>
      </c>
      <c r="AH36" s="263" t="str">
        <f>IFERROR(HLOOKUP(AH$7,'PCO Log'!$E$11:$SJ$98,30,FALSE),"")</f>
        <v/>
      </c>
      <c r="AI36" s="263" t="str">
        <f>IFERROR(HLOOKUP(AI$7,'PCO Log'!$E$11:$SJ$98,30,FALSE),"")</f>
        <v/>
      </c>
      <c r="AJ36" s="263" t="str">
        <f>IFERROR(HLOOKUP(AJ$7,'PCO Log'!$E$11:$SJ$98,30,FALSE),"")</f>
        <v/>
      </c>
      <c r="AK36" s="263" t="str">
        <f>IFERROR(HLOOKUP(AK$7,'PCO Log'!$E$11:$SJ$98,30,FALSE),"")</f>
        <v/>
      </c>
      <c r="AL36" s="263" t="str">
        <f>IFERROR(HLOOKUP(AL$7,'PCO Log'!$E$11:$SJ$98,30,FALSE),"")</f>
        <v/>
      </c>
      <c r="AM36" s="263" t="str">
        <f>IFERROR(HLOOKUP(AM$7,'PCO Log'!$E$11:$SJ$98,30,FALSE),"")</f>
        <v/>
      </c>
      <c r="AN36" s="263" t="str">
        <f>IFERROR(HLOOKUP(AN$7,'PCO Log'!$E$11:$SJ$98,30,FALSE),"")</f>
        <v/>
      </c>
      <c r="AO36" s="263" t="str">
        <f>IFERROR(HLOOKUP(AO$7,'PCO Log'!$E$11:$SJ$98,30,FALSE),"")</f>
        <v/>
      </c>
      <c r="AP36" s="263" t="str">
        <f>IFERROR(HLOOKUP(AP$7,'PCO Log'!$E$11:$SJ$98,30,FALSE),"")</f>
        <v/>
      </c>
      <c r="AQ36" s="263" t="str">
        <f>IFERROR(HLOOKUP(AQ$7,'PCO Log'!$E$11:$SJ$98,30,FALSE),"")</f>
        <v/>
      </c>
      <c r="AR36" s="263" t="str">
        <f>IFERROR(HLOOKUP(AR$7,'PCO Log'!$E$11:$SJ$98,30,FALSE),"")</f>
        <v/>
      </c>
      <c r="AS36" s="263" t="str">
        <f>IFERROR(HLOOKUP(AS$7,'PCO Log'!$E$11:$SJ$98,30,FALSE),"")</f>
        <v/>
      </c>
      <c r="AT36" s="263" t="str">
        <f>IFERROR(HLOOKUP(AT$7,'PCO Log'!$E$11:$SJ$98,30,FALSE),"")</f>
        <v/>
      </c>
      <c r="AU36" s="263" t="str">
        <f>IFERROR(HLOOKUP(AU$7,'PCO Log'!$E$11:$SJ$98,30,FALSE),"")</f>
        <v/>
      </c>
      <c r="AV36" s="263" t="str">
        <f>IFERROR(HLOOKUP(AV$7,'PCO Log'!$E$11:$SJ$98,30,FALSE),"")</f>
        <v/>
      </c>
      <c r="AW36" s="263" t="str">
        <f>IFERROR(HLOOKUP(AW$7,'PCO Log'!$E$11:$SJ$98,30,FALSE),"")</f>
        <v/>
      </c>
      <c r="AX36" s="263" t="str">
        <f>IFERROR(HLOOKUP(AX$7,'PCO Log'!$E$11:$SJ$98,30,FALSE),"")</f>
        <v/>
      </c>
      <c r="AY36" s="263" t="str">
        <f>IFERROR(HLOOKUP(AY$7,'PCO Log'!$E$11:$SJ$98,30,FALSE),"")</f>
        <v/>
      </c>
      <c r="AZ36" s="263" t="str">
        <f>IFERROR(HLOOKUP(AZ$7,'PCO Log'!$E$11:$SJ$98,30,FALSE),"")</f>
        <v/>
      </c>
      <c r="BA36" s="263" t="str">
        <f>IFERROR(HLOOKUP(BA$7,'PCO Log'!$E$11:$SJ$98,30,FALSE),"")</f>
        <v/>
      </c>
      <c r="BB36" s="263" t="str">
        <f>IFERROR(HLOOKUP(BB$7,'PCO Log'!$E$11:$SJ$98,30,FALSE),"")</f>
        <v/>
      </c>
      <c r="BC36" s="263" t="str">
        <f>IFERROR(HLOOKUP(BC$7,'PCO Log'!$E$11:$SJ$98,30,FALSE),"")</f>
        <v/>
      </c>
    </row>
    <row r="37" spans="2:55" s="334" customFormat="1" x14ac:dyDescent="0.25">
      <c r="B37" s="49" t="str">
        <f>'Pay App 1'!B86</f>
        <v>07 24 00</v>
      </c>
      <c r="C37" s="25" t="str">
        <f>'Pay App 1'!C86</f>
        <v>EIFS</v>
      </c>
      <c r="D37" s="263">
        <f t="shared" si="1"/>
        <v>0</v>
      </c>
      <c r="E37" s="264">
        <f>'Pay App 1'!D86</f>
        <v>0</v>
      </c>
      <c r="F37" s="263" t="str">
        <f>IFERROR(HLOOKUP(F$7,'PCO Log'!$E$11:$SJ$98,31,FALSE),"")</f>
        <v/>
      </c>
      <c r="G37" s="263" t="str">
        <f>IFERROR(HLOOKUP(G$7,'PCO Log'!$E$11:$SJ$98,31,FALSE),"")</f>
        <v/>
      </c>
      <c r="H37" s="263" t="str">
        <f>IFERROR(HLOOKUP(H$7,'PCO Log'!$E$11:$SJ$98,31,FALSE),"")</f>
        <v/>
      </c>
      <c r="I37" s="263" t="str">
        <f>IFERROR(HLOOKUP(I$7,'PCO Log'!$E$11:$SJ$98,31,FALSE),"")</f>
        <v/>
      </c>
      <c r="J37" s="263" t="str">
        <f>IFERROR(HLOOKUP(J$7,'PCO Log'!$E$11:$SJ$98,31,FALSE),"")</f>
        <v/>
      </c>
      <c r="K37" s="263" t="str">
        <f>IFERROR(HLOOKUP(K$7,'PCO Log'!$E$11:$SJ$98,31,FALSE),"")</f>
        <v/>
      </c>
      <c r="L37" s="263" t="str">
        <f>IFERROR(HLOOKUP(L$7,'PCO Log'!$E$11:$SJ$98,31,FALSE),"")</f>
        <v/>
      </c>
      <c r="M37" s="263" t="str">
        <f>IFERROR(HLOOKUP(M$7,'PCO Log'!$E$11:$SJ$98,31,FALSE),"")</f>
        <v/>
      </c>
      <c r="N37" s="263" t="str">
        <f>IFERROR(HLOOKUP(N$7,'PCO Log'!$E$11:$SJ$98,31,FALSE),"")</f>
        <v/>
      </c>
      <c r="O37" s="263" t="str">
        <f>IFERROR(HLOOKUP(O$7,'PCO Log'!$E$11:$SJ$98,31,FALSE),"")</f>
        <v/>
      </c>
      <c r="P37" s="263" t="str">
        <f>IFERROR(HLOOKUP(P$7,'PCO Log'!$E$11:$SJ$98,31,FALSE),"")</f>
        <v/>
      </c>
      <c r="Q37" s="263" t="str">
        <f>IFERROR(HLOOKUP(Q$7,'PCO Log'!$E$11:$SJ$98,31,FALSE),"")</f>
        <v/>
      </c>
      <c r="R37" s="263" t="str">
        <f>IFERROR(HLOOKUP(R$7,'PCO Log'!$E$11:$SJ$98,31,FALSE),"")</f>
        <v/>
      </c>
      <c r="S37" s="263" t="str">
        <f>IFERROR(HLOOKUP(S$7,'PCO Log'!$E$11:$SJ$98,31,FALSE),"")</f>
        <v/>
      </c>
      <c r="T37" s="263" t="str">
        <f>IFERROR(HLOOKUP(T$7,'PCO Log'!$E$11:$SJ$98,31,FALSE),"")</f>
        <v/>
      </c>
      <c r="U37" s="263" t="str">
        <f>IFERROR(HLOOKUP(U$7,'PCO Log'!$E$11:$SJ$98,31,FALSE),"")</f>
        <v/>
      </c>
      <c r="V37" s="263" t="str">
        <f>IFERROR(HLOOKUP(V$7,'PCO Log'!$E$11:$SJ$98,31,FALSE),"")</f>
        <v/>
      </c>
      <c r="W37" s="263" t="str">
        <f>IFERROR(HLOOKUP(W$7,'PCO Log'!$E$11:$SJ$98,31,FALSE),"")</f>
        <v/>
      </c>
      <c r="X37" s="263" t="str">
        <f>IFERROR(HLOOKUP(X$7,'PCO Log'!$E$11:$SJ$98,31,FALSE),"")</f>
        <v/>
      </c>
      <c r="Y37" s="263" t="str">
        <f>IFERROR(HLOOKUP(Y$7,'PCO Log'!$E$11:$SJ$98,31,FALSE),"")</f>
        <v/>
      </c>
      <c r="Z37" s="263" t="str">
        <f>IFERROR(HLOOKUP(Z$7,'PCO Log'!$E$11:$SJ$98,31,FALSE),"")</f>
        <v/>
      </c>
      <c r="AA37" s="263" t="str">
        <f>IFERROR(HLOOKUP(AA$7,'PCO Log'!$E$11:$SJ$98,31,FALSE),"")</f>
        <v/>
      </c>
      <c r="AB37" s="263" t="str">
        <f>IFERROR(HLOOKUP(AB$7,'PCO Log'!$E$11:$SJ$98,31,FALSE),"")</f>
        <v/>
      </c>
      <c r="AC37" s="263" t="str">
        <f>IFERROR(HLOOKUP(AC$7,'PCO Log'!$E$11:$SJ$98,31,FALSE),"")</f>
        <v/>
      </c>
      <c r="AD37" s="263" t="str">
        <f>IFERROR(HLOOKUP(AD$7,'PCO Log'!$E$11:$SJ$98,31,FALSE),"")</f>
        <v/>
      </c>
      <c r="AE37" s="263" t="str">
        <f>IFERROR(HLOOKUP(AE$7,'PCO Log'!$E$11:$SJ$98,31,FALSE),"")</f>
        <v/>
      </c>
      <c r="AF37" s="263" t="str">
        <f>IFERROR(HLOOKUP(AF$7,'PCO Log'!$E$11:$SJ$98,31,FALSE),"")</f>
        <v/>
      </c>
      <c r="AG37" s="263" t="str">
        <f>IFERROR(HLOOKUP(AG$7,'PCO Log'!$E$11:$SJ$98,31,FALSE),"")</f>
        <v/>
      </c>
      <c r="AH37" s="263" t="str">
        <f>IFERROR(HLOOKUP(AH$7,'PCO Log'!$E$11:$SJ$98,31,FALSE),"")</f>
        <v/>
      </c>
      <c r="AI37" s="263" t="str">
        <f>IFERROR(HLOOKUP(AI$7,'PCO Log'!$E$11:$SJ$98,31,FALSE),"")</f>
        <v/>
      </c>
      <c r="AJ37" s="263" t="str">
        <f>IFERROR(HLOOKUP(AJ$7,'PCO Log'!$E$11:$SJ$98,31,FALSE),"")</f>
        <v/>
      </c>
      <c r="AK37" s="263" t="str">
        <f>IFERROR(HLOOKUP(AK$7,'PCO Log'!$E$11:$SJ$98,31,FALSE),"")</f>
        <v/>
      </c>
      <c r="AL37" s="263" t="str">
        <f>IFERROR(HLOOKUP(AL$7,'PCO Log'!$E$11:$SJ$98,31,FALSE),"")</f>
        <v/>
      </c>
      <c r="AM37" s="263" t="str">
        <f>IFERROR(HLOOKUP(AM$7,'PCO Log'!$E$11:$SJ$98,31,FALSE),"")</f>
        <v/>
      </c>
      <c r="AN37" s="263" t="str">
        <f>IFERROR(HLOOKUP(AN$7,'PCO Log'!$E$11:$SJ$98,31,FALSE),"")</f>
        <v/>
      </c>
      <c r="AO37" s="263" t="str">
        <f>IFERROR(HLOOKUP(AO$7,'PCO Log'!$E$11:$SJ$98,31,FALSE),"")</f>
        <v/>
      </c>
      <c r="AP37" s="263" t="str">
        <f>IFERROR(HLOOKUP(AP$7,'PCO Log'!$E$11:$SJ$98,31,FALSE),"")</f>
        <v/>
      </c>
      <c r="AQ37" s="263" t="str">
        <f>IFERROR(HLOOKUP(AQ$7,'PCO Log'!$E$11:$SJ$98,31,FALSE),"")</f>
        <v/>
      </c>
      <c r="AR37" s="263" t="str">
        <f>IFERROR(HLOOKUP(AR$7,'PCO Log'!$E$11:$SJ$98,31,FALSE),"")</f>
        <v/>
      </c>
      <c r="AS37" s="263" t="str">
        <f>IFERROR(HLOOKUP(AS$7,'PCO Log'!$E$11:$SJ$98,31,FALSE),"")</f>
        <v/>
      </c>
      <c r="AT37" s="263" t="str">
        <f>IFERROR(HLOOKUP(AT$7,'PCO Log'!$E$11:$SJ$98,31,FALSE),"")</f>
        <v/>
      </c>
      <c r="AU37" s="263" t="str">
        <f>IFERROR(HLOOKUP(AU$7,'PCO Log'!$E$11:$SJ$98,31,FALSE),"")</f>
        <v/>
      </c>
      <c r="AV37" s="263" t="str">
        <f>IFERROR(HLOOKUP(AV$7,'PCO Log'!$E$11:$SJ$98,31,FALSE),"")</f>
        <v/>
      </c>
      <c r="AW37" s="263" t="str">
        <f>IFERROR(HLOOKUP(AW$7,'PCO Log'!$E$11:$SJ$98,31,FALSE),"")</f>
        <v/>
      </c>
      <c r="AX37" s="263" t="str">
        <f>IFERROR(HLOOKUP(AX$7,'PCO Log'!$E$11:$SJ$98,31,FALSE),"")</f>
        <v/>
      </c>
      <c r="AY37" s="263" t="str">
        <f>IFERROR(HLOOKUP(AY$7,'PCO Log'!$E$11:$SJ$98,31,FALSE),"")</f>
        <v/>
      </c>
      <c r="AZ37" s="263" t="str">
        <f>IFERROR(HLOOKUP(AZ$7,'PCO Log'!$E$11:$SJ$98,31,FALSE),"")</f>
        <v/>
      </c>
      <c r="BA37" s="263" t="str">
        <f>IFERROR(HLOOKUP(BA$7,'PCO Log'!$E$11:$SJ$98,31,FALSE),"")</f>
        <v/>
      </c>
      <c r="BB37" s="263" t="str">
        <f>IFERROR(HLOOKUP(BB$7,'PCO Log'!$E$11:$SJ$98,31,FALSE),"")</f>
        <v/>
      </c>
      <c r="BC37" s="263" t="str">
        <f>IFERROR(HLOOKUP(BC$7,'PCO Log'!$E$11:$SJ$98,31,FALSE),"")</f>
        <v/>
      </c>
    </row>
    <row r="38" spans="2:55" s="334" customFormat="1" x14ac:dyDescent="0.25">
      <c r="B38" s="49" t="str">
        <f>'Pay App 1'!B87</f>
        <v>07 26 00</v>
      </c>
      <c r="C38" s="25" t="str">
        <f>'Pay App 1'!C87</f>
        <v>Vapor Retarders</v>
      </c>
      <c r="D38" s="263">
        <f t="shared" si="1"/>
        <v>0</v>
      </c>
      <c r="E38" s="264">
        <f>'Pay App 1'!D87</f>
        <v>0</v>
      </c>
      <c r="F38" s="263" t="str">
        <f>IFERROR(HLOOKUP(F$7,'PCO Log'!$E$11:$SJ$98,32,FALSE),"")</f>
        <v/>
      </c>
      <c r="G38" s="263" t="str">
        <f>IFERROR(HLOOKUP(G$7,'PCO Log'!$E$11:$SJ$98,32,FALSE),"")</f>
        <v/>
      </c>
      <c r="H38" s="263" t="str">
        <f>IFERROR(HLOOKUP(H$7,'PCO Log'!$E$11:$SJ$98,32,FALSE),"")</f>
        <v/>
      </c>
      <c r="I38" s="263" t="str">
        <f>IFERROR(HLOOKUP(I$7,'PCO Log'!$E$11:$SJ$98,32,FALSE),"")</f>
        <v/>
      </c>
      <c r="J38" s="263" t="str">
        <f>IFERROR(HLOOKUP(J$7,'PCO Log'!$E$11:$SJ$98,32,FALSE),"")</f>
        <v/>
      </c>
      <c r="K38" s="263" t="str">
        <f>IFERROR(HLOOKUP(K$7,'PCO Log'!$E$11:$SJ$98,32,FALSE),"")</f>
        <v/>
      </c>
      <c r="L38" s="263" t="str">
        <f>IFERROR(HLOOKUP(L$7,'PCO Log'!$E$11:$SJ$98,32,FALSE),"")</f>
        <v/>
      </c>
      <c r="M38" s="263" t="str">
        <f>IFERROR(HLOOKUP(M$7,'PCO Log'!$E$11:$SJ$98,32,FALSE),"")</f>
        <v/>
      </c>
      <c r="N38" s="263" t="str">
        <f>IFERROR(HLOOKUP(N$7,'PCO Log'!$E$11:$SJ$98,32,FALSE),"")</f>
        <v/>
      </c>
      <c r="O38" s="263" t="str">
        <f>IFERROR(HLOOKUP(O$7,'PCO Log'!$E$11:$SJ$98,32,FALSE),"")</f>
        <v/>
      </c>
      <c r="P38" s="263" t="str">
        <f>IFERROR(HLOOKUP(P$7,'PCO Log'!$E$11:$SJ$98,32,FALSE),"")</f>
        <v/>
      </c>
      <c r="Q38" s="263" t="str">
        <f>IFERROR(HLOOKUP(Q$7,'PCO Log'!$E$11:$SJ$98,32,FALSE),"")</f>
        <v/>
      </c>
      <c r="R38" s="263" t="str">
        <f>IFERROR(HLOOKUP(R$7,'PCO Log'!$E$11:$SJ$98,32,FALSE),"")</f>
        <v/>
      </c>
      <c r="S38" s="263" t="str">
        <f>IFERROR(HLOOKUP(S$7,'PCO Log'!$E$11:$SJ$98,32,FALSE),"")</f>
        <v/>
      </c>
      <c r="T38" s="263" t="str">
        <f>IFERROR(HLOOKUP(T$7,'PCO Log'!$E$11:$SJ$98,32,FALSE),"")</f>
        <v/>
      </c>
      <c r="U38" s="263" t="str">
        <f>IFERROR(HLOOKUP(U$7,'PCO Log'!$E$11:$SJ$98,32,FALSE),"")</f>
        <v/>
      </c>
      <c r="V38" s="263" t="str">
        <f>IFERROR(HLOOKUP(V$7,'PCO Log'!$E$11:$SJ$98,32,FALSE),"")</f>
        <v/>
      </c>
      <c r="W38" s="263" t="str">
        <f>IFERROR(HLOOKUP(W$7,'PCO Log'!$E$11:$SJ$98,32,FALSE),"")</f>
        <v/>
      </c>
      <c r="X38" s="263" t="str">
        <f>IFERROR(HLOOKUP(X$7,'PCO Log'!$E$11:$SJ$98,32,FALSE),"")</f>
        <v/>
      </c>
      <c r="Y38" s="263" t="str">
        <f>IFERROR(HLOOKUP(Y$7,'PCO Log'!$E$11:$SJ$98,32,FALSE),"")</f>
        <v/>
      </c>
      <c r="Z38" s="263" t="str">
        <f>IFERROR(HLOOKUP(Z$7,'PCO Log'!$E$11:$SJ$98,32,FALSE),"")</f>
        <v/>
      </c>
      <c r="AA38" s="263" t="str">
        <f>IFERROR(HLOOKUP(AA$7,'PCO Log'!$E$11:$SJ$98,32,FALSE),"")</f>
        <v/>
      </c>
      <c r="AB38" s="263" t="str">
        <f>IFERROR(HLOOKUP(AB$7,'PCO Log'!$E$11:$SJ$98,32,FALSE),"")</f>
        <v/>
      </c>
      <c r="AC38" s="263" t="str">
        <f>IFERROR(HLOOKUP(AC$7,'PCO Log'!$E$11:$SJ$98,32,FALSE),"")</f>
        <v/>
      </c>
      <c r="AD38" s="263" t="str">
        <f>IFERROR(HLOOKUP(AD$7,'PCO Log'!$E$11:$SJ$98,32,FALSE),"")</f>
        <v/>
      </c>
      <c r="AE38" s="263" t="str">
        <f>IFERROR(HLOOKUP(AE$7,'PCO Log'!$E$11:$SJ$98,32,FALSE),"")</f>
        <v/>
      </c>
      <c r="AF38" s="263" t="str">
        <f>IFERROR(HLOOKUP(AF$7,'PCO Log'!$E$11:$SJ$98,32,FALSE),"")</f>
        <v/>
      </c>
      <c r="AG38" s="263" t="str">
        <f>IFERROR(HLOOKUP(AG$7,'PCO Log'!$E$11:$SJ$98,32,FALSE),"")</f>
        <v/>
      </c>
      <c r="AH38" s="263" t="str">
        <f>IFERROR(HLOOKUP(AH$7,'PCO Log'!$E$11:$SJ$98,32,FALSE),"")</f>
        <v/>
      </c>
      <c r="AI38" s="263" t="str">
        <f>IFERROR(HLOOKUP(AI$7,'PCO Log'!$E$11:$SJ$98,32,FALSE),"")</f>
        <v/>
      </c>
      <c r="AJ38" s="263" t="str">
        <f>IFERROR(HLOOKUP(AJ$7,'PCO Log'!$E$11:$SJ$98,32,FALSE),"")</f>
        <v/>
      </c>
      <c r="AK38" s="263" t="str">
        <f>IFERROR(HLOOKUP(AK$7,'PCO Log'!$E$11:$SJ$98,32,FALSE),"")</f>
        <v/>
      </c>
      <c r="AL38" s="263" t="str">
        <f>IFERROR(HLOOKUP(AL$7,'PCO Log'!$E$11:$SJ$98,32,FALSE),"")</f>
        <v/>
      </c>
      <c r="AM38" s="263" t="str">
        <f>IFERROR(HLOOKUP(AM$7,'PCO Log'!$E$11:$SJ$98,32,FALSE),"")</f>
        <v/>
      </c>
      <c r="AN38" s="263" t="str">
        <f>IFERROR(HLOOKUP(AN$7,'PCO Log'!$E$11:$SJ$98,32,FALSE),"")</f>
        <v/>
      </c>
      <c r="AO38" s="263" t="str">
        <f>IFERROR(HLOOKUP(AO$7,'PCO Log'!$E$11:$SJ$98,32,FALSE),"")</f>
        <v/>
      </c>
      <c r="AP38" s="263" t="str">
        <f>IFERROR(HLOOKUP(AP$7,'PCO Log'!$E$11:$SJ$98,32,FALSE),"")</f>
        <v/>
      </c>
      <c r="AQ38" s="263" t="str">
        <f>IFERROR(HLOOKUP(AQ$7,'PCO Log'!$E$11:$SJ$98,32,FALSE),"")</f>
        <v/>
      </c>
      <c r="AR38" s="263" t="str">
        <f>IFERROR(HLOOKUP(AR$7,'PCO Log'!$E$11:$SJ$98,32,FALSE),"")</f>
        <v/>
      </c>
      <c r="AS38" s="263" t="str">
        <f>IFERROR(HLOOKUP(AS$7,'PCO Log'!$E$11:$SJ$98,32,FALSE),"")</f>
        <v/>
      </c>
      <c r="AT38" s="263" t="str">
        <f>IFERROR(HLOOKUP(AT$7,'PCO Log'!$E$11:$SJ$98,32,FALSE),"")</f>
        <v/>
      </c>
      <c r="AU38" s="263" t="str">
        <f>IFERROR(HLOOKUP(AU$7,'PCO Log'!$E$11:$SJ$98,32,FALSE),"")</f>
        <v/>
      </c>
      <c r="AV38" s="263" t="str">
        <f>IFERROR(HLOOKUP(AV$7,'PCO Log'!$E$11:$SJ$98,32,FALSE),"")</f>
        <v/>
      </c>
      <c r="AW38" s="263" t="str">
        <f>IFERROR(HLOOKUP(AW$7,'PCO Log'!$E$11:$SJ$98,32,FALSE),"")</f>
        <v/>
      </c>
      <c r="AX38" s="263" t="str">
        <f>IFERROR(HLOOKUP(AX$7,'PCO Log'!$E$11:$SJ$98,32,FALSE),"")</f>
        <v/>
      </c>
      <c r="AY38" s="263" t="str">
        <f>IFERROR(HLOOKUP(AY$7,'PCO Log'!$E$11:$SJ$98,32,FALSE),"")</f>
        <v/>
      </c>
      <c r="AZ38" s="263" t="str">
        <f>IFERROR(HLOOKUP(AZ$7,'PCO Log'!$E$11:$SJ$98,32,FALSE),"")</f>
        <v/>
      </c>
      <c r="BA38" s="263" t="str">
        <f>IFERROR(HLOOKUP(BA$7,'PCO Log'!$E$11:$SJ$98,32,FALSE),"")</f>
        <v/>
      </c>
      <c r="BB38" s="263" t="str">
        <f>IFERROR(HLOOKUP(BB$7,'PCO Log'!$E$11:$SJ$98,32,FALSE),"")</f>
        <v/>
      </c>
      <c r="BC38" s="263" t="str">
        <f>IFERROR(HLOOKUP(BC$7,'PCO Log'!$E$11:$SJ$98,32,FALSE),"")</f>
        <v/>
      </c>
    </row>
    <row r="39" spans="2:55" s="334" customFormat="1" x14ac:dyDescent="0.25">
      <c r="B39" s="49" t="str">
        <f>'Pay App 1'!B88</f>
        <v>07 41 00</v>
      </c>
      <c r="C39" s="25" t="str">
        <f>'Pay App 1'!C88</f>
        <v>Roofing</v>
      </c>
      <c r="D39" s="263">
        <f t="shared" si="1"/>
        <v>0</v>
      </c>
      <c r="E39" s="264">
        <f>'Pay App 1'!D88</f>
        <v>0</v>
      </c>
      <c r="F39" s="263" t="str">
        <f>IFERROR(HLOOKUP(F$7,'PCO Log'!$E$11:$SJ$98,33,FALSE),"")</f>
        <v/>
      </c>
      <c r="G39" s="263" t="str">
        <f>IFERROR(HLOOKUP(G$7,'PCO Log'!$E$11:$SJ$98,33,FALSE),"")</f>
        <v/>
      </c>
      <c r="H39" s="263" t="str">
        <f>IFERROR(HLOOKUP(H$7,'PCO Log'!$E$11:$SJ$98,33,FALSE),"")</f>
        <v/>
      </c>
      <c r="I39" s="263" t="str">
        <f>IFERROR(HLOOKUP(I$7,'PCO Log'!$E$11:$SJ$98,33,FALSE),"")</f>
        <v/>
      </c>
      <c r="J39" s="263" t="str">
        <f>IFERROR(HLOOKUP(J$7,'PCO Log'!$E$11:$SJ$98,33,FALSE),"")</f>
        <v/>
      </c>
      <c r="K39" s="263" t="str">
        <f>IFERROR(HLOOKUP(K$7,'PCO Log'!$E$11:$SJ$98,33,FALSE),"")</f>
        <v/>
      </c>
      <c r="L39" s="263" t="str">
        <f>IFERROR(HLOOKUP(L$7,'PCO Log'!$E$11:$SJ$98,33,FALSE),"")</f>
        <v/>
      </c>
      <c r="M39" s="263" t="str">
        <f>IFERROR(HLOOKUP(M$7,'PCO Log'!$E$11:$SJ$98,33,FALSE),"")</f>
        <v/>
      </c>
      <c r="N39" s="263" t="str">
        <f>IFERROR(HLOOKUP(N$7,'PCO Log'!$E$11:$SJ$98,33,FALSE),"")</f>
        <v/>
      </c>
      <c r="O39" s="263" t="str">
        <f>IFERROR(HLOOKUP(O$7,'PCO Log'!$E$11:$SJ$98,33,FALSE),"")</f>
        <v/>
      </c>
      <c r="P39" s="263" t="str">
        <f>IFERROR(HLOOKUP(P$7,'PCO Log'!$E$11:$SJ$98,33,FALSE),"")</f>
        <v/>
      </c>
      <c r="Q39" s="263" t="str">
        <f>IFERROR(HLOOKUP(Q$7,'PCO Log'!$E$11:$SJ$98,33,FALSE),"")</f>
        <v/>
      </c>
      <c r="R39" s="263" t="str">
        <f>IFERROR(HLOOKUP(R$7,'PCO Log'!$E$11:$SJ$98,33,FALSE),"")</f>
        <v/>
      </c>
      <c r="S39" s="263" t="str">
        <f>IFERROR(HLOOKUP(S$7,'PCO Log'!$E$11:$SJ$98,33,FALSE),"")</f>
        <v/>
      </c>
      <c r="T39" s="263" t="str">
        <f>IFERROR(HLOOKUP(T$7,'PCO Log'!$E$11:$SJ$98,33,FALSE),"")</f>
        <v/>
      </c>
      <c r="U39" s="263" t="str">
        <f>IFERROR(HLOOKUP(U$7,'PCO Log'!$E$11:$SJ$98,33,FALSE),"")</f>
        <v/>
      </c>
      <c r="V39" s="263" t="str">
        <f>IFERROR(HLOOKUP(V$7,'PCO Log'!$E$11:$SJ$98,33,FALSE),"")</f>
        <v/>
      </c>
      <c r="W39" s="263" t="str">
        <f>IFERROR(HLOOKUP(W$7,'PCO Log'!$E$11:$SJ$98,33,FALSE),"")</f>
        <v/>
      </c>
      <c r="X39" s="263" t="str">
        <f>IFERROR(HLOOKUP(X$7,'PCO Log'!$E$11:$SJ$98,33,FALSE),"")</f>
        <v/>
      </c>
      <c r="Y39" s="263" t="str">
        <f>IFERROR(HLOOKUP(Y$7,'PCO Log'!$E$11:$SJ$98,33,FALSE),"")</f>
        <v/>
      </c>
      <c r="Z39" s="263" t="str">
        <f>IFERROR(HLOOKUP(Z$7,'PCO Log'!$E$11:$SJ$98,33,FALSE),"")</f>
        <v/>
      </c>
      <c r="AA39" s="263" t="str">
        <f>IFERROR(HLOOKUP(AA$7,'PCO Log'!$E$11:$SJ$98,33,FALSE),"")</f>
        <v/>
      </c>
      <c r="AB39" s="263" t="str">
        <f>IFERROR(HLOOKUP(AB$7,'PCO Log'!$E$11:$SJ$98,33,FALSE),"")</f>
        <v/>
      </c>
      <c r="AC39" s="263" t="str">
        <f>IFERROR(HLOOKUP(AC$7,'PCO Log'!$E$11:$SJ$98,33,FALSE),"")</f>
        <v/>
      </c>
      <c r="AD39" s="263" t="str">
        <f>IFERROR(HLOOKUP(AD$7,'PCO Log'!$E$11:$SJ$98,33,FALSE),"")</f>
        <v/>
      </c>
      <c r="AE39" s="263" t="str">
        <f>IFERROR(HLOOKUP(AE$7,'PCO Log'!$E$11:$SJ$98,33,FALSE),"")</f>
        <v/>
      </c>
      <c r="AF39" s="263" t="str">
        <f>IFERROR(HLOOKUP(AF$7,'PCO Log'!$E$11:$SJ$98,33,FALSE),"")</f>
        <v/>
      </c>
      <c r="AG39" s="263" t="str">
        <f>IFERROR(HLOOKUP(AG$7,'PCO Log'!$E$11:$SJ$98,33,FALSE),"")</f>
        <v/>
      </c>
      <c r="AH39" s="263" t="str">
        <f>IFERROR(HLOOKUP(AH$7,'PCO Log'!$E$11:$SJ$98,33,FALSE),"")</f>
        <v/>
      </c>
      <c r="AI39" s="263" t="str">
        <f>IFERROR(HLOOKUP(AI$7,'PCO Log'!$E$11:$SJ$98,33,FALSE),"")</f>
        <v/>
      </c>
      <c r="AJ39" s="263" t="str">
        <f>IFERROR(HLOOKUP(AJ$7,'PCO Log'!$E$11:$SJ$98,33,FALSE),"")</f>
        <v/>
      </c>
      <c r="AK39" s="263" t="str">
        <f>IFERROR(HLOOKUP(AK$7,'PCO Log'!$E$11:$SJ$98,33,FALSE),"")</f>
        <v/>
      </c>
      <c r="AL39" s="263" t="str">
        <f>IFERROR(HLOOKUP(AL$7,'PCO Log'!$E$11:$SJ$98,33,FALSE),"")</f>
        <v/>
      </c>
      <c r="AM39" s="263" t="str">
        <f>IFERROR(HLOOKUP(AM$7,'PCO Log'!$E$11:$SJ$98,33,FALSE),"")</f>
        <v/>
      </c>
      <c r="AN39" s="263" t="str">
        <f>IFERROR(HLOOKUP(AN$7,'PCO Log'!$E$11:$SJ$98,33,FALSE),"")</f>
        <v/>
      </c>
      <c r="AO39" s="263" t="str">
        <f>IFERROR(HLOOKUP(AO$7,'PCO Log'!$E$11:$SJ$98,33,FALSE),"")</f>
        <v/>
      </c>
      <c r="AP39" s="263" t="str">
        <f>IFERROR(HLOOKUP(AP$7,'PCO Log'!$E$11:$SJ$98,33,FALSE),"")</f>
        <v/>
      </c>
      <c r="AQ39" s="263" t="str">
        <f>IFERROR(HLOOKUP(AQ$7,'PCO Log'!$E$11:$SJ$98,33,FALSE),"")</f>
        <v/>
      </c>
      <c r="AR39" s="263" t="str">
        <f>IFERROR(HLOOKUP(AR$7,'PCO Log'!$E$11:$SJ$98,33,FALSE),"")</f>
        <v/>
      </c>
      <c r="AS39" s="263" t="str">
        <f>IFERROR(HLOOKUP(AS$7,'PCO Log'!$E$11:$SJ$98,33,FALSE),"")</f>
        <v/>
      </c>
      <c r="AT39" s="263" t="str">
        <f>IFERROR(HLOOKUP(AT$7,'PCO Log'!$E$11:$SJ$98,33,FALSE),"")</f>
        <v/>
      </c>
      <c r="AU39" s="263" t="str">
        <f>IFERROR(HLOOKUP(AU$7,'PCO Log'!$E$11:$SJ$98,33,FALSE),"")</f>
        <v/>
      </c>
      <c r="AV39" s="263" t="str">
        <f>IFERROR(HLOOKUP(AV$7,'PCO Log'!$E$11:$SJ$98,33,FALSE),"")</f>
        <v/>
      </c>
      <c r="AW39" s="263" t="str">
        <f>IFERROR(HLOOKUP(AW$7,'PCO Log'!$E$11:$SJ$98,33,FALSE),"")</f>
        <v/>
      </c>
      <c r="AX39" s="263" t="str">
        <f>IFERROR(HLOOKUP(AX$7,'PCO Log'!$E$11:$SJ$98,33,FALSE),"")</f>
        <v/>
      </c>
      <c r="AY39" s="263" t="str">
        <f>IFERROR(HLOOKUP(AY$7,'PCO Log'!$E$11:$SJ$98,33,FALSE),"")</f>
        <v/>
      </c>
      <c r="AZ39" s="263" t="str">
        <f>IFERROR(HLOOKUP(AZ$7,'PCO Log'!$E$11:$SJ$98,33,FALSE),"")</f>
        <v/>
      </c>
      <c r="BA39" s="263" t="str">
        <f>IFERROR(HLOOKUP(BA$7,'PCO Log'!$E$11:$SJ$98,33,FALSE),"")</f>
        <v/>
      </c>
      <c r="BB39" s="263" t="str">
        <f>IFERROR(HLOOKUP(BB$7,'PCO Log'!$E$11:$SJ$98,33,FALSE),"")</f>
        <v/>
      </c>
      <c r="BC39" s="263" t="str">
        <f>IFERROR(HLOOKUP(BC$7,'PCO Log'!$E$11:$SJ$98,33,FALSE),"")</f>
        <v/>
      </c>
    </row>
    <row r="40" spans="2:55" s="334" customFormat="1" x14ac:dyDescent="0.25">
      <c r="B40" s="49" t="str">
        <f>'Pay App 1'!B89</f>
        <v>07 42 00</v>
      </c>
      <c r="C40" s="25" t="str">
        <f>'Pay App 1'!C89</f>
        <v>Metal Panels</v>
      </c>
      <c r="D40" s="263">
        <f t="shared" si="1"/>
        <v>0</v>
      </c>
      <c r="E40" s="264">
        <f>'Pay App 1'!D89</f>
        <v>0</v>
      </c>
      <c r="F40" s="263" t="str">
        <f>IFERROR(HLOOKUP(F$7,'PCO Log'!$E$11:$SJ$98,34,FALSE),"")</f>
        <v/>
      </c>
      <c r="G40" s="263" t="str">
        <f>IFERROR(HLOOKUP(G$7,'PCO Log'!$E$11:$SJ$98,34,FALSE),"")</f>
        <v/>
      </c>
      <c r="H40" s="263" t="str">
        <f>IFERROR(HLOOKUP(H$7,'PCO Log'!$E$11:$SJ$98,34,FALSE),"")</f>
        <v/>
      </c>
      <c r="I40" s="263" t="str">
        <f>IFERROR(HLOOKUP(I$7,'PCO Log'!$E$11:$SJ$98,34,FALSE),"")</f>
        <v/>
      </c>
      <c r="J40" s="263" t="str">
        <f>IFERROR(HLOOKUP(J$7,'PCO Log'!$E$11:$SJ$98,34,FALSE),"")</f>
        <v/>
      </c>
      <c r="K40" s="263" t="str">
        <f>IFERROR(HLOOKUP(K$7,'PCO Log'!$E$11:$SJ$98,34,FALSE),"")</f>
        <v/>
      </c>
      <c r="L40" s="263" t="str">
        <f>IFERROR(HLOOKUP(L$7,'PCO Log'!$E$11:$SJ$98,34,FALSE),"")</f>
        <v/>
      </c>
      <c r="M40" s="263" t="str">
        <f>IFERROR(HLOOKUP(M$7,'PCO Log'!$E$11:$SJ$98,34,FALSE),"")</f>
        <v/>
      </c>
      <c r="N40" s="263" t="str">
        <f>IFERROR(HLOOKUP(N$7,'PCO Log'!$E$11:$SJ$98,34,FALSE),"")</f>
        <v/>
      </c>
      <c r="O40" s="263" t="str">
        <f>IFERROR(HLOOKUP(O$7,'PCO Log'!$E$11:$SJ$98,34,FALSE),"")</f>
        <v/>
      </c>
      <c r="P40" s="263" t="str">
        <f>IFERROR(HLOOKUP(P$7,'PCO Log'!$E$11:$SJ$98,34,FALSE),"")</f>
        <v/>
      </c>
      <c r="Q40" s="263" t="str">
        <f>IFERROR(HLOOKUP(Q$7,'PCO Log'!$E$11:$SJ$98,34,FALSE),"")</f>
        <v/>
      </c>
      <c r="R40" s="263" t="str">
        <f>IFERROR(HLOOKUP(R$7,'PCO Log'!$E$11:$SJ$98,34,FALSE),"")</f>
        <v/>
      </c>
      <c r="S40" s="263" t="str">
        <f>IFERROR(HLOOKUP(S$7,'PCO Log'!$E$11:$SJ$98,34,FALSE),"")</f>
        <v/>
      </c>
      <c r="T40" s="263" t="str">
        <f>IFERROR(HLOOKUP(T$7,'PCO Log'!$E$11:$SJ$98,34,FALSE),"")</f>
        <v/>
      </c>
      <c r="U40" s="263" t="str">
        <f>IFERROR(HLOOKUP(U$7,'PCO Log'!$E$11:$SJ$98,34,FALSE),"")</f>
        <v/>
      </c>
      <c r="V40" s="263" t="str">
        <f>IFERROR(HLOOKUP(V$7,'PCO Log'!$E$11:$SJ$98,34,FALSE),"")</f>
        <v/>
      </c>
      <c r="W40" s="263" t="str">
        <f>IFERROR(HLOOKUP(W$7,'PCO Log'!$E$11:$SJ$98,34,FALSE),"")</f>
        <v/>
      </c>
      <c r="X40" s="263" t="str">
        <f>IFERROR(HLOOKUP(X$7,'PCO Log'!$E$11:$SJ$98,34,FALSE),"")</f>
        <v/>
      </c>
      <c r="Y40" s="263" t="str">
        <f>IFERROR(HLOOKUP(Y$7,'PCO Log'!$E$11:$SJ$98,34,FALSE),"")</f>
        <v/>
      </c>
      <c r="Z40" s="263" t="str">
        <f>IFERROR(HLOOKUP(Z$7,'PCO Log'!$E$11:$SJ$98,34,FALSE),"")</f>
        <v/>
      </c>
      <c r="AA40" s="263" t="str">
        <f>IFERROR(HLOOKUP(AA$7,'PCO Log'!$E$11:$SJ$98,34,FALSE),"")</f>
        <v/>
      </c>
      <c r="AB40" s="263" t="str">
        <f>IFERROR(HLOOKUP(AB$7,'PCO Log'!$E$11:$SJ$98,34,FALSE),"")</f>
        <v/>
      </c>
      <c r="AC40" s="263" t="str">
        <f>IFERROR(HLOOKUP(AC$7,'PCO Log'!$E$11:$SJ$98,34,FALSE),"")</f>
        <v/>
      </c>
      <c r="AD40" s="263" t="str">
        <f>IFERROR(HLOOKUP(AD$7,'PCO Log'!$E$11:$SJ$98,34,FALSE),"")</f>
        <v/>
      </c>
      <c r="AE40" s="263" t="str">
        <f>IFERROR(HLOOKUP(AE$7,'PCO Log'!$E$11:$SJ$98,34,FALSE),"")</f>
        <v/>
      </c>
      <c r="AF40" s="263" t="str">
        <f>IFERROR(HLOOKUP(AF$7,'PCO Log'!$E$11:$SJ$98,34,FALSE),"")</f>
        <v/>
      </c>
      <c r="AG40" s="263" t="str">
        <f>IFERROR(HLOOKUP(AG$7,'PCO Log'!$E$11:$SJ$98,34,FALSE),"")</f>
        <v/>
      </c>
      <c r="AH40" s="263" t="str">
        <f>IFERROR(HLOOKUP(AH$7,'PCO Log'!$E$11:$SJ$98,34,FALSE),"")</f>
        <v/>
      </c>
      <c r="AI40" s="263" t="str">
        <f>IFERROR(HLOOKUP(AI$7,'PCO Log'!$E$11:$SJ$98,34,FALSE),"")</f>
        <v/>
      </c>
      <c r="AJ40" s="263" t="str">
        <f>IFERROR(HLOOKUP(AJ$7,'PCO Log'!$E$11:$SJ$98,34,FALSE),"")</f>
        <v/>
      </c>
      <c r="AK40" s="263" t="str">
        <f>IFERROR(HLOOKUP(AK$7,'PCO Log'!$E$11:$SJ$98,34,FALSE),"")</f>
        <v/>
      </c>
      <c r="AL40" s="263" t="str">
        <f>IFERROR(HLOOKUP(AL$7,'PCO Log'!$E$11:$SJ$98,34,FALSE),"")</f>
        <v/>
      </c>
      <c r="AM40" s="263" t="str">
        <f>IFERROR(HLOOKUP(AM$7,'PCO Log'!$E$11:$SJ$98,34,FALSE),"")</f>
        <v/>
      </c>
      <c r="AN40" s="263" t="str">
        <f>IFERROR(HLOOKUP(AN$7,'PCO Log'!$E$11:$SJ$98,34,FALSE),"")</f>
        <v/>
      </c>
      <c r="AO40" s="263" t="str">
        <f>IFERROR(HLOOKUP(AO$7,'PCO Log'!$E$11:$SJ$98,34,FALSE),"")</f>
        <v/>
      </c>
      <c r="AP40" s="263" t="str">
        <f>IFERROR(HLOOKUP(AP$7,'PCO Log'!$E$11:$SJ$98,34,FALSE),"")</f>
        <v/>
      </c>
      <c r="AQ40" s="263" t="str">
        <f>IFERROR(HLOOKUP(AQ$7,'PCO Log'!$E$11:$SJ$98,34,FALSE),"")</f>
        <v/>
      </c>
      <c r="AR40" s="263" t="str">
        <f>IFERROR(HLOOKUP(AR$7,'PCO Log'!$E$11:$SJ$98,34,FALSE),"")</f>
        <v/>
      </c>
      <c r="AS40" s="263" t="str">
        <f>IFERROR(HLOOKUP(AS$7,'PCO Log'!$E$11:$SJ$98,34,FALSE),"")</f>
        <v/>
      </c>
      <c r="AT40" s="263" t="str">
        <f>IFERROR(HLOOKUP(AT$7,'PCO Log'!$E$11:$SJ$98,34,FALSE),"")</f>
        <v/>
      </c>
      <c r="AU40" s="263" t="str">
        <f>IFERROR(HLOOKUP(AU$7,'PCO Log'!$E$11:$SJ$98,34,FALSE),"")</f>
        <v/>
      </c>
      <c r="AV40" s="263" t="str">
        <f>IFERROR(HLOOKUP(AV$7,'PCO Log'!$E$11:$SJ$98,34,FALSE),"")</f>
        <v/>
      </c>
      <c r="AW40" s="263" t="str">
        <f>IFERROR(HLOOKUP(AW$7,'PCO Log'!$E$11:$SJ$98,34,FALSE),"")</f>
        <v/>
      </c>
      <c r="AX40" s="263" t="str">
        <f>IFERROR(HLOOKUP(AX$7,'PCO Log'!$E$11:$SJ$98,34,FALSE),"")</f>
        <v/>
      </c>
      <c r="AY40" s="263" t="str">
        <f>IFERROR(HLOOKUP(AY$7,'PCO Log'!$E$11:$SJ$98,34,FALSE),"")</f>
        <v/>
      </c>
      <c r="AZ40" s="263" t="str">
        <f>IFERROR(HLOOKUP(AZ$7,'PCO Log'!$E$11:$SJ$98,34,FALSE),"")</f>
        <v/>
      </c>
      <c r="BA40" s="263" t="str">
        <f>IFERROR(HLOOKUP(BA$7,'PCO Log'!$E$11:$SJ$98,34,FALSE),"")</f>
        <v/>
      </c>
      <c r="BB40" s="263" t="str">
        <f>IFERROR(HLOOKUP(BB$7,'PCO Log'!$E$11:$SJ$98,34,FALSE),"")</f>
        <v/>
      </c>
      <c r="BC40" s="263" t="str">
        <f>IFERROR(HLOOKUP(BC$7,'PCO Log'!$E$11:$SJ$98,34,FALSE),"")</f>
        <v/>
      </c>
    </row>
    <row r="41" spans="2:55" s="334" customFormat="1" x14ac:dyDescent="0.25">
      <c r="B41" s="49" t="str">
        <f>'Pay App 1'!B90</f>
        <v>07 60 00</v>
      </c>
      <c r="C41" s="25" t="str">
        <f>'Pay App 1'!C90</f>
        <v>Sheet Metal Flashing &amp; Trim</v>
      </c>
      <c r="D41" s="263">
        <f t="shared" si="1"/>
        <v>0</v>
      </c>
      <c r="E41" s="264">
        <f>'Pay App 1'!D90</f>
        <v>0</v>
      </c>
      <c r="F41" s="263" t="str">
        <f>IFERROR(HLOOKUP(F$7,'PCO Log'!$E$11:$SJ$98,35,FALSE),"")</f>
        <v/>
      </c>
      <c r="G41" s="263" t="str">
        <f>IFERROR(HLOOKUP(G$7,'PCO Log'!$E$11:$SJ$98,35,FALSE),"")</f>
        <v/>
      </c>
      <c r="H41" s="263" t="str">
        <f>IFERROR(HLOOKUP(H$7,'PCO Log'!$E$11:$SJ$98,35,FALSE),"")</f>
        <v/>
      </c>
      <c r="I41" s="263" t="str">
        <f>IFERROR(HLOOKUP(I$7,'PCO Log'!$E$11:$SJ$98,35,FALSE),"")</f>
        <v/>
      </c>
      <c r="J41" s="263" t="str">
        <f>IFERROR(HLOOKUP(J$7,'PCO Log'!$E$11:$SJ$98,35,FALSE),"")</f>
        <v/>
      </c>
      <c r="K41" s="263" t="str">
        <f>IFERROR(HLOOKUP(K$7,'PCO Log'!$E$11:$SJ$98,35,FALSE),"")</f>
        <v/>
      </c>
      <c r="L41" s="263" t="str">
        <f>IFERROR(HLOOKUP(L$7,'PCO Log'!$E$11:$SJ$98,35,FALSE),"")</f>
        <v/>
      </c>
      <c r="M41" s="263" t="str">
        <f>IFERROR(HLOOKUP(M$7,'PCO Log'!$E$11:$SJ$98,35,FALSE),"")</f>
        <v/>
      </c>
      <c r="N41" s="263" t="str">
        <f>IFERROR(HLOOKUP(N$7,'PCO Log'!$E$11:$SJ$98,35,FALSE),"")</f>
        <v/>
      </c>
      <c r="O41" s="263" t="str">
        <f>IFERROR(HLOOKUP(O$7,'PCO Log'!$E$11:$SJ$98,35,FALSE),"")</f>
        <v/>
      </c>
      <c r="P41" s="263" t="str">
        <f>IFERROR(HLOOKUP(P$7,'PCO Log'!$E$11:$SJ$98,35,FALSE),"")</f>
        <v/>
      </c>
      <c r="Q41" s="263" t="str">
        <f>IFERROR(HLOOKUP(Q$7,'PCO Log'!$E$11:$SJ$98,35,FALSE),"")</f>
        <v/>
      </c>
      <c r="R41" s="263" t="str">
        <f>IFERROR(HLOOKUP(R$7,'PCO Log'!$E$11:$SJ$98,35,FALSE),"")</f>
        <v/>
      </c>
      <c r="S41" s="263" t="str">
        <f>IFERROR(HLOOKUP(S$7,'PCO Log'!$E$11:$SJ$98,35,FALSE),"")</f>
        <v/>
      </c>
      <c r="T41" s="263" t="str">
        <f>IFERROR(HLOOKUP(T$7,'PCO Log'!$E$11:$SJ$98,35,FALSE),"")</f>
        <v/>
      </c>
      <c r="U41" s="263" t="str">
        <f>IFERROR(HLOOKUP(U$7,'PCO Log'!$E$11:$SJ$98,35,FALSE),"")</f>
        <v/>
      </c>
      <c r="V41" s="263" t="str">
        <f>IFERROR(HLOOKUP(V$7,'PCO Log'!$E$11:$SJ$98,35,FALSE),"")</f>
        <v/>
      </c>
      <c r="W41" s="263" t="str">
        <f>IFERROR(HLOOKUP(W$7,'PCO Log'!$E$11:$SJ$98,35,FALSE),"")</f>
        <v/>
      </c>
      <c r="X41" s="263" t="str">
        <f>IFERROR(HLOOKUP(X$7,'PCO Log'!$E$11:$SJ$98,35,FALSE),"")</f>
        <v/>
      </c>
      <c r="Y41" s="263" t="str">
        <f>IFERROR(HLOOKUP(Y$7,'PCO Log'!$E$11:$SJ$98,35,FALSE),"")</f>
        <v/>
      </c>
      <c r="Z41" s="263" t="str">
        <f>IFERROR(HLOOKUP(Z$7,'PCO Log'!$E$11:$SJ$98,35,FALSE),"")</f>
        <v/>
      </c>
      <c r="AA41" s="263" t="str">
        <f>IFERROR(HLOOKUP(AA$7,'PCO Log'!$E$11:$SJ$98,35,FALSE),"")</f>
        <v/>
      </c>
      <c r="AB41" s="263" t="str">
        <f>IFERROR(HLOOKUP(AB$7,'PCO Log'!$E$11:$SJ$98,35,FALSE),"")</f>
        <v/>
      </c>
      <c r="AC41" s="263" t="str">
        <f>IFERROR(HLOOKUP(AC$7,'PCO Log'!$E$11:$SJ$98,35,FALSE),"")</f>
        <v/>
      </c>
      <c r="AD41" s="263" t="str">
        <f>IFERROR(HLOOKUP(AD$7,'PCO Log'!$E$11:$SJ$98,35,FALSE),"")</f>
        <v/>
      </c>
      <c r="AE41" s="263" t="str">
        <f>IFERROR(HLOOKUP(AE$7,'PCO Log'!$E$11:$SJ$98,35,FALSE),"")</f>
        <v/>
      </c>
      <c r="AF41" s="263" t="str">
        <f>IFERROR(HLOOKUP(AF$7,'PCO Log'!$E$11:$SJ$98,35,FALSE),"")</f>
        <v/>
      </c>
      <c r="AG41" s="263" t="str">
        <f>IFERROR(HLOOKUP(AG$7,'PCO Log'!$E$11:$SJ$98,35,FALSE),"")</f>
        <v/>
      </c>
      <c r="AH41" s="263" t="str">
        <f>IFERROR(HLOOKUP(AH$7,'PCO Log'!$E$11:$SJ$98,35,FALSE),"")</f>
        <v/>
      </c>
      <c r="AI41" s="263" t="str">
        <f>IFERROR(HLOOKUP(AI$7,'PCO Log'!$E$11:$SJ$98,35,FALSE),"")</f>
        <v/>
      </c>
      <c r="AJ41" s="263" t="str">
        <f>IFERROR(HLOOKUP(AJ$7,'PCO Log'!$E$11:$SJ$98,35,FALSE),"")</f>
        <v/>
      </c>
      <c r="AK41" s="263" t="str">
        <f>IFERROR(HLOOKUP(AK$7,'PCO Log'!$E$11:$SJ$98,35,FALSE),"")</f>
        <v/>
      </c>
      <c r="AL41" s="263" t="str">
        <f>IFERROR(HLOOKUP(AL$7,'PCO Log'!$E$11:$SJ$98,35,FALSE),"")</f>
        <v/>
      </c>
      <c r="AM41" s="263" t="str">
        <f>IFERROR(HLOOKUP(AM$7,'PCO Log'!$E$11:$SJ$98,35,FALSE),"")</f>
        <v/>
      </c>
      <c r="AN41" s="263" t="str">
        <f>IFERROR(HLOOKUP(AN$7,'PCO Log'!$E$11:$SJ$98,35,FALSE),"")</f>
        <v/>
      </c>
      <c r="AO41" s="263" t="str">
        <f>IFERROR(HLOOKUP(AO$7,'PCO Log'!$E$11:$SJ$98,35,FALSE),"")</f>
        <v/>
      </c>
      <c r="AP41" s="263" t="str">
        <f>IFERROR(HLOOKUP(AP$7,'PCO Log'!$E$11:$SJ$98,35,FALSE),"")</f>
        <v/>
      </c>
      <c r="AQ41" s="263" t="str">
        <f>IFERROR(HLOOKUP(AQ$7,'PCO Log'!$E$11:$SJ$98,35,FALSE),"")</f>
        <v/>
      </c>
      <c r="AR41" s="263" t="str">
        <f>IFERROR(HLOOKUP(AR$7,'PCO Log'!$E$11:$SJ$98,35,FALSE),"")</f>
        <v/>
      </c>
      <c r="AS41" s="263" t="str">
        <f>IFERROR(HLOOKUP(AS$7,'PCO Log'!$E$11:$SJ$98,35,FALSE),"")</f>
        <v/>
      </c>
      <c r="AT41" s="263" t="str">
        <f>IFERROR(HLOOKUP(AT$7,'PCO Log'!$E$11:$SJ$98,35,FALSE),"")</f>
        <v/>
      </c>
      <c r="AU41" s="263" t="str">
        <f>IFERROR(HLOOKUP(AU$7,'PCO Log'!$E$11:$SJ$98,35,FALSE),"")</f>
        <v/>
      </c>
      <c r="AV41" s="263" t="str">
        <f>IFERROR(HLOOKUP(AV$7,'PCO Log'!$E$11:$SJ$98,35,FALSE),"")</f>
        <v/>
      </c>
      <c r="AW41" s="263" t="str">
        <f>IFERROR(HLOOKUP(AW$7,'PCO Log'!$E$11:$SJ$98,35,FALSE),"")</f>
        <v/>
      </c>
      <c r="AX41" s="263" t="str">
        <f>IFERROR(HLOOKUP(AX$7,'PCO Log'!$E$11:$SJ$98,35,FALSE),"")</f>
        <v/>
      </c>
      <c r="AY41" s="263" t="str">
        <f>IFERROR(HLOOKUP(AY$7,'PCO Log'!$E$11:$SJ$98,35,FALSE),"")</f>
        <v/>
      </c>
      <c r="AZ41" s="263" t="str">
        <f>IFERROR(HLOOKUP(AZ$7,'PCO Log'!$E$11:$SJ$98,35,FALSE),"")</f>
        <v/>
      </c>
      <c r="BA41" s="263" t="str">
        <f>IFERROR(HLOOKUP(BA$7,'PCO Log'!$E$11:$SJ$98,35,FALSE),"")</f>
        <v/>
      </c>
      <c r="BB41" s="263" t="str">
        <f>IFERROR(HLOOKUP(BB$7,'PCO Log'!$E$11:$SJ$98,35,FALSE),"")</f>
        <v/>
      </c>
      <c r="BC41" s="263" t="str">
        <f>IFERROR(HLOOKUP(BC$7,'PCO Log'!$E$11:$SJ$98,35,FALSE),"")</f>
        <v/>
      </c>
    </row>
    <row r="42" spans="2:55" s="334" customFormat="1" x14ac:dyDescent="0.25">
      <c r="B42" s="49" t="str">
        <f>'Pay App 1'!B91</f>
        <v>07 80 00</v>
      </c>
      <c r="C42" s="25" t="str">
        <f>'Pay App 1'!C91</f>
        <v>Fireproofing</v>
      </c>
      <c r="D42" s="263">
        <f t="shared" si="1"/>
        <v>0</v>
      </c>
      <c r="E42" s="264">
        <f>'Pay App 1'!D91</f>
        <v>0</v>
      </c>
      <c r="F42" s="263" t="str">
        <f>IFERROR(HLOOKUP(F$7,'PCO Log'!$E$11:$SJ$98,36,FALSE),"")</f>
        <v/>
      </c>
      <c r="G42" s="263" t="str">
        <f>IFERROR(HLOOKUP(G$7,'PCO Log'!$E$11:$SJ$98,36,FALSE),"")</f>
        <v/>
      </c>
      <c r="H42" s="263" t="str">
        <f>IFERROR(HLOOKUP(H$7,'PCO Log'!$E$11:$SJ$98,36,FALSE),"")</f>
        <v/>
      </c>
      <c r="I42" s="263" t="str">
        <f>IFERROR(HLOOKUP(I$7,'PCO Log'!$E$11:$SJ$98,36,FALSE),"")</f>
        <v/>
      </c>
      <c r="J42" s="263" t="str">
        <f>IFERROR(HLOOKUP(J$7,'PCO Log'!$E$11:$SJ$98,36,FALSE),"")</f>
        <v/>
      </c>
      <c r="K42" s="263" t="str">
        <f>IFERROR(HLOOKUP(K$7,'PCO Log'!$E$11:$SJ$98,36,FALSE),"")</f>
        <v/>
      </c>
      <c r="L42" s="263" t="str">
        <f>IFERROR(HLOOKUP(L$7,'PCO Log'!$E$11:$SJ$98,36,FALSE),"")</f>
        <v/>
      </c>
      <c r="M42" s="263" t="str">
        <f>IFERROR(HLOOKUP(M$7,'PCO Log'!$E$11:$SJ$98,36,FALSE),"")</f>
        <v/>
      </c>
      <c r="N42" s="263" t="str">
        <f>IFERROR(HLOOKUP(N$7,'PCO Log'!$E$11:$SJ$98,36,FALSE),"")</f>
        <v/>
      </c>
      <c r="O42" s="263" t="str">
        <f>IFERROR(HLOOKUP(O$7,'PCO Log'!$E$11:$SJ$98,36,FALSE),"")</f>
        <v/>
      </c>
      <c r="P42" s="263" t="str">
        <f>IFERROR(HLOOKUP(P$7,'PCO Log'!$E$11:$SJ$98,36,FALSE),"")</f>
        <v/>
      </c>
      <c r="Q42" s="263" t="str">
        <f>IFERROR(HLOOKUP(Q$7,'PCO Log'!$E$11:$SJ$98,36,FALSE),"")</f>
        <v/>
      </c>
      <c r="R42" s="263" t="str">
        <f>IFERROR(HLOOKUP(R$7,'PCO Log'!$E$11:$SJ$98,36,FALSE),"")</f>
        <v/>
      </c>
      <c r="S42" s="263" t="str">
        <f>IFERROR(HLOOKUP(S$7,'PCO Log'!$E$11:$SJ$98,36,FALSE),"")</f>
        <v/>
      </c>
      <c r="T42" s="263" t="str">
        <f>IFERROR(HLOOKUP(T$7,'PCO Log'!$E$11:$SJ$98,36,FALSE),"")</f>
        <v/>
      </c>
      <c r="U42" s="263" t="str">
        <f>IFERROR(HLOOKUP(U$7,'PCO Log'!$E$11:$SJ$98,36,FALSE),"")</f>
        <v/>
      </c>
      <c r="V42" s="263" t="str">
        <f>IFERROR(HLOOKUP(V$7,'PCO Log'!$E$11:$SJ$98,36,FALSE),"")</f>
        <v/>
      </c>
      <c r="W42" s="263" t="str">
        <f>IFERROR(HLOOKUP(W$7,'PCO Log'!$E$11:$SJ$98,36,FALSE),"")</f>
        <v/>
      </c>
      <c r="X42" s="263" t="str">
        <f>IFERROR(HLOOKUP(X$7,'PCO Log'!$E$11:$SJ$98,36,FALSE),"")</f>
        <v/>
      </c>
      <c r="Y42" s="263" t="str">
        <f>IFERROR(HLOOKUP(Y$7,'PCO Log'!$E$11:$SJ$98,36,FALSE),"")</f>
        <v/>
      </c>
      <c r="Z42" s="263" t="str">
        <f>IFERROR(HLOOKUP(Z$7,'PCO Log'!$E$11:$SJ$98,36,FALSE),"")</f>
        <v/>
      </c>
      <c r="AA42" s="263" t="str">
        <f>IFERROR(HLOOKUP(AA$7,'PCO Log'!$E$11:$SJ$98,36,FALSE),"")</f>
        <v/>
      </c>
      <c r="AB42" s="263" t="str">
        <f>IFERROR(HLOOKUP(AB$7,'PCO Log'!$E$11:$SJ$98,36,FALSE),"")</f>
        <v/>
      </c>
      <c r="AC42" s="263" t="str">
        <f>IFERROR(HLOOKUP(AC$7,'PCO Log'!$E$11:$SJ$98,36,FALSE),"")</f>
        <v/>
      </c>
      <c r="AD42" s="263" t="str">
        <f>IFERROR(HLOOKUP(AD$7,'PCO Log'!$E$11:$SJ$98,36,FALSE),"")</f>
        <v/>
      </c>
      <c r="AE42" s="263" t="str">
        <f>IFERROR(HLOOKUP(AE$7,'PCO Log'!$E$11:$SJ$98,36,FALSE),"")</f>
        <v/>
      </c>
      <c r="AF42" s="263" t="str">
        <f>IFERROR(HLOOKUP(AF$7,'PCO Log'!$E$11:$SJ$98,36,FALSE),"")</f>
        <v/>
      </c>
      <c r="AG42" s="263" t="str">
        <f>IFERROR(HLOOKUP(AG$7,'PCO Log'!$E$11:$SJ$98,36,FALSE),"")</f>
        <v/>
      </c>
      <c r="AH42" s="263" t="str">
        <f>IFERROR(HLOOKUP(AH$7,'PCO Log'!$E$11:$SJ$98,36,FALSE),"")</f>
        <v/>
      </c>
      <c r="AI42" s="263" t="str">
        <f>IFERROR(HLOOKUP(AI$7,'PCO Log'!$E$11:$SJ$98,36,FALSE),"")</f>
        <v/>
      </c>
      <c r="AJ42" s="263" t="str">
        <f>IFERROR(HLOOKUP(AJ$7,'PCO Log'!$E$11:$SJ$98,36,FALSE),"")</f>
        <v/>
      </c>
      <c r="AK42" s="263" t="str">
        <f>IFERROR(HLOOKUP(AK$7,'PCO Log'!$E$11:$SJ$98,36,FALSE),"")</f>
        <v/>
      </c>
      <c r="AL42" s="263" t="str">
        <f>IFERROR(HLOOKUP(AL$7,'PCO Log'!$E$11:$SJ$98,36,FALSE),"")</f>
        <v/>
      </c>
      <c r="AM42" s="263" t="str">
        <f>IFERROR(HLOOKUP(AM$7,'PCO Log'!$E$11:$SJ$98,36,FALSE),"")</f>
        <v/>
      </c>
      <c r="AN42" s="263" t="str">
        <f>IFERROR(HLOOKUP(AN$7,'PCO Log'!$E$11:$SJ$98,36,FALSE),"")</f>
        <v/>
      </c>
      <c r="AO42" s="263" t="str">
        <f>IFERROR(HLOOKUP(AO$7,'PCO Log'!$E$11:$SJ$98,36,FALSE),"")</f>
        <v/>
      </c>
      <c r="AP42" s="263" t="str">
        <f>IFERROR(HLOOKUP(AP$7,'PCO Log'!$E$11:$SJ$98,36,FALSE),"")</f>
        <v/>
      </c>
      <c r="AQ42" s="263" t="str">
        <f>IFERROR(HLOOKUP(AQ$7,'PCO Log'!$E$11:$SJ$98,36,FALSE),"")</f>
        <v/>
      </c>
      <c r="AR42" s="263" t="str">
        <f>IFERROR(HLOOKUP(AR$7,'PCO Log'!$E$11:$SJ$98,36,FALSE),"")</f>
        <v/>
      </c>
      <c r="AS42" s="263" t="str">
        <f>IFERROR(HLOOKUP(AS$7,'PCO Log'!$E$11:$SJ$98,36,FALSE),"")</f>
        <v/>
      </c>
      <c r="AT42" s="263" t="str">
        <f>IFERROR(HLOOKUP(AT$7,'PCO Log'!$E$11:$SJ$98,36,FALSE),"")</f>
        <v/>
      </c>
      <c r="AU42" s="263" t="str">
        <f>IFERROR(HLOOKUP(AU$7,'PCO Log'!$E$11:$SJ$98,36,FALSE),"")</f>
        <v/>
      </c>
      <c r="AV42" s="263" t="str">
        <f>IFERROR(HLOOKUP(AV$7,'PCO Log'!$E$11:$SJ$98,36,FALSE),"")</f>
        <v/>
      </c>
      <c r="AW42" s="263" t="str">
        <f>IFERROR(HLOOKUP(AW$7,'PCO Log'!$E$11:$SJ$98,36,FALSE),"")</f>
        <v/>
      </c>
      <c r="AX42" s="263" t="str">
        <f>IFERROR(HLOOKUP(AX$7,'PCO Log'!$E$11:$SJ$98,36,FALSE),"")</f>
        <v/>
      </c>
      <c r="AY42" s="263" t="str">
        <f>IFERROR(HLOOKUP(AY$7,'PCO Log'!$E$11:$SJ$98,36,FALSE),"")</f>
        <v/>
      </c>
      <c r="AZ42" s="263" t="str">
        <f>IFERROR(HLOOKUP(AZ$7,'PCO Log'!$E$11:$SJ$98,36,FALSE),"")</f>
        <v/>
      </c>
      <c r="BA42" s="263" t="str">
        <f>IFERROR(HLOOKUP(BA$7,'PCO Log'!$E$11:$SJ$98,36,FALSE),"")</f>
        <v/>
      </c>
      <c r="BB42" s="263" t="str">
        <f>IFERROR(HLOOKUP(BB$7,'PCO Log'!$E$11:$SJ$98,36,FALSE),"")</f>
        <v/>
      </c>
      <c r="BC42" s="263" t="str">
        <f>IFERROR(HLOOKUP(BC$7,'PCO Log'!$E$11:$SJ$98,36,FALSE),"")</f>
        <v/>
      </c>
    </row>
    <row r="43" spans="2:55" s="334" customFormat="1" x14ac:dyDescent="0.25">
      <c r="B43" s="49" t="str">
        <f>'Pay App 1'!B92</f>
        <v>07 90 00</v>
      </c>
      <c r="C43" s="25" t="str">
        <f>'Pay App 1'!C92</f>
        <v>Joint Sealants</v>
      </c>
      <c r="D43" s="263">
        <f t="shared" si="1"/>
        <v>0</v>
      </c>
      <c r="E43" s="264">
        <f>'Pay App 1'!D92</f>
        <v>0</v>
      </c>
      <c r="F43" s="263" t="str">
        <f>IFERROR(HLOOKUP(F$7,'PCO Log'!$E$11:$SJ$98,37,FALSE),"")</f>
        <v/>
      </c>
      <c r="G43" s="263" t="str">
        <f>IFERROR(HLOOKUP(G$7,'PCO Log'!$E$11:$SJ$98,37,FALSE),"")</f>
        <v/>
      </c>
      <c r="H43" s="263" t="str">
        <f>IFERROR(HLOOKUP(H$7,'PCO Log'!$E$11:$SJ$98,37,FALSE),"")</f>
        <v/>
      </c>
      <c r="I43" s="263" t="str">
        <f>IFERROR(HLOOKUP(I$7,'PCO Log'!$E$11:$SJ$98,37,FALSE),"")</f>
        <v/>
      </c>
      <c r="J43" s="263" t="str">
        <f>IFERROR(HLOOKUP(J$7,'PCO Log'!$E$11:$SJ$98,37,FALSE),"")</f>
        <v/>
      </c>
      <c r="K43" s="263" t="str">
        <f>IFERROR(HLOOKUP(K$7,'PCO Log'!$E$11:$SJ$98,37,FALSE),"")</f>
        <v/>
      </c>
      <c r="L43" s="263" t="str">
        <f>IFERROR(HLOOKUP(L$7,'PCO Log'!$E$11:$SJ$98,37,FALSE),"")</f>
        <v/>
      </c>
      <c r="M43" s="263" t="str">
        <f>IFERROR(HLOOKUP(M$7,'PCO Log'!$E$11:$SJ$98,37,FALSE),"")</f>
        <v/>
      </c>
      <c r="N43" s="263" t="str">
        <f>IFERROR(HLOOKUP(N$7,'PCO Log'!$E$11:$SJ$98,37,FALSE),"")</f>
        <v/>
      </c>
      <c r="O43" s="263" t="str">
        <f>IFERROR(HLOOKUP(O$7,'PCO Log'!$E$11:$SJ$98,37,FALSE),"")</f>
        <v/>
      </c>
      <c r="P43" s="263" t="str">
        <f>IFERROR(HLOOKUP(P$7,'PCO Log'!$E$11:$SJ$98,37,FALSE),"")</f>
        <v/>
      </c>
      <c r="Q43" s="263" t="str">
        <f>IFERROR(HLOOKUP(Q$7,'PCO Log'!$E$11:$SJ$98,37,FALSE),"")</f>
        <v/>
      </c>
      <c r="R43" s="263" t="str">
        <f>IFERROR(HLOOKUP(R$7,'PCO Log'!$E$11:$SJ$98,37,FALSE),"")</f>
        <v/>
      </c>
      <c r="S43" s="263" t="str">
        <f>IFERROR(HLOOKUP(S$7,'PCO Log'!$E$11:$SJ$98,37,FALSE),"")</f>
        <v/>
      </c>
      <c r="T43" s="263" t="str">
        <f>IFERROR(HLOOKUP(T$7,'PCO Log'!$E$11:$SJ$98,37,FALSE),"")</f>
        <v/>
      </c>
      <c r="U43" s="263" t="str">
        <f>IFERROR(HLOOKUP(U$7,'PCO Log'!$E$11:$SJ$98,37,FALSE),"")</f>
        <v/>
      </c>
      <c r="V43" s="263" t="str">
        <f>IFERROR(HLOOKUP(V$7,'PCO Log'!$E$11:$SJ$98,37,FALSE),"")</f>
        <v/>
      </c>
      <c r="W43" s="263" t="str">
        <f>IFERROR(HLOOKUP(W$7,'PCO Log'!$E$11:$SJ$98,37,FALSE),"")</f>
        <v/>
      </c>
      <c r="X43" s="263" t="str">
        <f>IFERROR(HLOOKUP(X$7,'PCO Log'!$E$11:$SJ$98,37,FALSE),"")</f>
        <v/>
      </c>
      <c r="Y43" s="263" t="str">
        <f>IFERROR(HLOOKUP(Y$7,'PCO Log'!$E$11:$SJ$98,37,FALSE),"")</f>
        <v/>
      </c>
      <c r="Z43" s="263" t="str">
        <f>IFERROR(HLOOKUP(Z$7,'PCO Log'!$E$11:$SJ$98,37,FALSE),"")</f>
        <v/>
      </c>
      <c r="AA43" s="263" t="str">
        <f>IFERROR(HLOOKUP(AA$7,'PCO Log'!$E$11:$SJ$98,37,FALSE),"")</f>
        <v/>
      </c>
      <c r="AB43" s="263" t="str">
        <f>IFERROR(HLOOKUP(AB$7,'PCO Log'!$E$11:$SJ$98,37,FALSE),"")</f>
        <v/>
      </c>
      <c r="AC43" s="263" t="str">
        <f>IFERROR(HLOOKUP(AC$7,'PCO Log'!$E$11:$SJ$98,37,FALSE),"")</f>
        <v/>
      </c>
      <c r="AD43" s="263" t="str">
        <f>IFERROR(HLOOKUP(AD$7,'PCO Log'!$E$11:$SJ$98,37,FALSE),"")</f>
        <v/>
      </c>
      <c r="AE43" s="263" t="str">
        <f>IFERROR(HLOOKUP(AE$7,'PCO Log'!$E$11:$SJ$98,37,FALSE),"")</f>
        <v/>
      </c>
      <c r="AF43" s="263" t="str">
        <f>IFERROR(HLOOKUP(AF$7,'PCO Log'!$E$11:$SJ$98,37,FALSE),"")</f>
        <v/>
      </c>
      <c r="AG43" s="263" t="str">
        <f>IFERROR(HLOOKUP(AG$7,'PCO Log'!$E$11:$SJ$98,37,FALSE),"")</f>
        <v/>
      </c>
      <c r="AH43" s="263" t="str">
        <f>IFERROR(HLOOKUP(AH$7,'PCO Log'!$E$11:$SJ$98,37,FALSE),"")</f>
        <v/>
      </c>
      <c r="AI43" s="263" t="str">
        <f>IFERROR(HLOOKUP(AI$7,'PCO Log'!$E$11:$SJ$98,37,FALSE),"")</f>
        <v/>
      </c>
      <c r="AJ43" s="263" t="str">
        <f>IFERROR(HLOOKUP(AJ$7,'PCO Log'!$E$11:$SJ$98,37,FALSE),"")</f>
        <v/>
      </c>
      <c r="AK43" s="263" t="str">
        <f>IFERROR(HLOOKUP(AK$7,'PCO Log'!$E$11:$SJ$98,37,FALSE),"")</f>
        <v/>
      </c>
      <c r="AL43" s="263" t="str">
        <f>IFERROR(HLOOKUP(AL$7,'PCO Log'!$E$11:$SJ$98,37,FALSE),"")</f>
        <v/>
      </c>
      <c r="AM43" s="263" t="str">
        <f>IFERROR(HLOOKUP(AM$7,'PCO Log'!$E$11:$SJ$98,37,FALSE),"")</f>
        <v/>
      </c>
      <c r="AN43" s="263" t="str">
        <f>IFERROR(HLOOKUP(AN$7,'PCO Log'!$E$11:$SJ$98,37,FALSE),"")</f>
        <v/>
      </c>
      <c r="AO43" s="263" t="str">
        <f>IFERROR(HLOOKUP(AO$7,'PCO Log'!$E$11:$SJ$98,37,FALSE),"")</f>
        <v/>
      </c>
      <c r="AP43" s="263" t="str">
        <f>IFERROR(HLOOKUP(AP$7,'PCO Log'!$E$11:$SJ$98,37,FALSE),"")</f>
        <v/>
      </c>
      <c r="AQ43" s="263" t="str">
        <f>IFERROR(HLOOKUP(AQ$7,'PCO Log'!$E$11:$SJ$98,37,FALSE),"")</f>
        <v/>
      </c>
      <c r="AR43" s="263" t="str">
        <f>IFERROR(HLOOKUP(AR$7,'PCO Log'!$E$11:$SJ$98,37,FALSE),"")</f>
        <v/>
      </c>
      <c r="AS43" s="263" t="str">
        <f>IFERROR(HLOOKUP(AS$7,'PCO Log'!$E$11:$SJ$98,37,FALSE),"")</f>
        <v/>
      </c>
      <c r="AT43" s="263" t="str">
        <f>IFERROR(HLOOKUP(AT$7,'PCO Log'!$E$11:$SJ$98,37,FALSE),"")</f>
        <v/>
      </c>
      <c r="AU43" s="263" t="str">
        <f>IFERROR(HLOOKUP(AU$7,'PCO Log'!$E$11:$SJ$98,37,FALSE),"")</f>
        <v/>
      </c>
      <c r="AV43" s="263" t="str">
        <f>IFERROR(HLOOKUP(AV$7,'PCO Log'!$E$11:$SJ$98,37,FALSE),"")</f>
        <v/>
      </c>
      <c r="AW43" s="263" t="str">
        <f>IFERROR(HLOOKUP(AW$7,'PCO Log'!$E$11:$SJ$98,37,FALSE),"")</f>
        <v/>
      </c>
      <c r="AX43" s="263" t="str">
        <f>IFERROR(HLOOKUP(AX$7,'PCO Log'!$E$11:$SJ$98,37,FALSE),"")</f>
        <v/>
      </c>
      <c r="AY43" s="263" t="str">
        <f>IFERROR(HLOOKUP(AY$7,'PCO Log'!$E$11:$SJ$98,37,FALSE),"")</f>
        <v/>
      </c>
      <c r="AZ43" s="263" t="str">
        <f>IFERROR(HLOOKUP(AZ$7,'PCO Log'!$E$11:$SJ$98,37,FALSE),"")</f>
        <v/>
      </c>
      <c r="BA43" s="263" t="str">
        <f>IFERROR(HLOOKUP(BA$7,'PCO Log'!$E$11:$SJ$98,37,FALSE),"")</f>
        <v/>
      </c>
      <c r="BB43" s="263" t="str">
        <f>IFERROR(HLOOKUP(BB$7,'PCO Log'!$E$11:$SJ$98,37,FALSE),"")</f>
        <v/>
      </c>
      <c r="BC43" s="263" t="str">
        <f>IFERROR(HLOOKUP(BC$7,'PCO Log'!$E$11:$SJ$98,37,FALSE),"")</f>
        <v/>
      </c>
    </row>
    <row r="44" spans="2:55" s="334" customFormat="1" x14ac:dyDescent="0.25">
      <c r="B44" s="49" t="str">
        <f>'Pay App 1'!B93</f>
        <v>07 95 00</v>
      </c>
      <c r="C44" s="25" t="str">
        <f>'Pay App 1'!C93</f>
        <v>Expansion Joints</v>
      </c>
      <c r="D44" s="263">
        <f t="shared" si="1"/>
        <v>0</v>
      </c>
      <c r="E44" s="264">
        <f>'Pay App 1'!D93</f>
        <v>0</v>
      </c>
      <c r="F44" s="263" t="str">
        <f>IFERROR(HLOOKUP(F$7,'PCO Log'!$E$11:$SJ$98,38,FALSE),"")</f>
        <v/>
      </c>
      <c r="G44" s="263" t="str">
        <f>IFERROR(HLOOKUP(G$7,'PCO Log'!$E$11:$SJ$98,38,FALSE),"")</f>
        <v/>
      </c>
      <c r="H44" s="263" t="str">
        <f>IFERROR(HLOOKUP(H$7,'PCO Log'!$E$11:$SJ$98,38,FALSE),"")</f>
        <v/>
      </c>
      <c r="I44" s="263" t="str">
        <f>IFERROR(HLOOKUP(I$7,'PCO Log'!$E$11:$SJ$98,38,FALSE),"")</f>
        <v/>
      </c>
      <c r="J44" s="263" t="str">
        <f>IFERROR(HLOOKUP(J$7,'PCO Log'!$E$11:$SJ$98,38,FALSE),"")</f>
        <v/>
      </c>
      <c r="K44" s="263" t="str">
        <f>IFERROR(HLOOKUP(K$7,'PCO Log'!$E$11:$SJ$98,38,FALSE),"")</f>
        <v/>
      </c>
      <c r="L44" s="263" t="str">
        <f>IFERROR(HLOOKUP(L$7,'PCO Log'!$E$11:$SJ$98,38,FALSE),"")</f>
        <v/>
      </c>
      <c r="M44" s="263" t="str">
        <f>IFERROR(HLOOKUP(M$7,'PCO Log'!$E$11:$SJ$98,38,FALSE),"")</f>
        <v/>
      </c>
      <c r="N44" s="263" t="str">
        <f>IFERROR(HLOOKUP(N$7,'PCO Log'!$E$11:$SJ$98,38,FALSE),"")</f>
        <v/>
      </c>
      <c r="O44" s="263" t="str">
        <f>IFERROR(HLOOKUP(O$7,'PCO Log'!$E$11:$SJ$98,38,FALSE),"")</f>
        <v/>
      </c>
      <c r="P44" s="263" t="str">
        <f>IFERROR(HLOOKUP(P$7,'PCO Log'!$E$11:$SJ$98,38,FALSE),"")</f>
        <v/>
      </c>
      <c r="Q44" s="263" t="str">
        <f>IFERROR(HLOOKUP(Q$7,'PCO Log'!$E$11:$SJ$98,38,FALSE),"")</f>
        <v/>
      </c>
      <c r="R44" s="263" t="str">
        <f>IFERROR(HLOOKUP(R$7,'PCO Log'!$E$11:$SJ$98,38,FALSE),"")</f>
        <v/>
      </c>
      <c r="S44" s="263" t="str">
        <f>IFERROR(HLOOKUP(S$7,'PCO Log'!$E$11:$SJ$98,38,FALSE),"")</f>
        <v/>
      </c>
      <c r="T44" s="263" t="str">
        <f>IFERROR(HLOOKUP(T$7,'PCO Log'!$E$11:$SJ$98,38,FALSE),"")</f>
        <v/>
      </c>
      <c r="U44" s="263" t="str">
        <f>IFERROR(HLOOKUP(U$7,'PCO Log'!$E$11:$SJ$98,38,FALSE),"")</f>
        <v/>
      </c>
      <c r="V44" s="263" t="str">
        <f>IFERROR(HLOOKUP(V$7,'PCO Log'!$E$11:$SJ$98,38,FALSE),"")</f>
        <v/>
      </c>
      <c r="W44" s="263" t="str">
        <f>IFERROR(HLOOKUP(W$7,'PCO Log'!$E$11:$SJ$98,38,FALSE),"")</f>
        <v/>
      </c>
      <c r="X44" s="263" t="str">
        <f>IFERROR(HLOOKUP(X$7,'PCO Log'!$E$11:$SJ$98,38,FALSE),"")</f>
        <v/>
      </c>
      <c r="Y44" s="263" t="str">
        <f>IFERROR(HLOOKUP(Y$7,'PCO Log'!$E$11:$SJ$98,38,FALSE),"")</f>
        <v/>
      </c>
      <c r="Z44" s="263" t="str">
        <f>IFERROR(HLOOKUP(Z$7,'PCO Log'!$E$11:$SJ$98,38,FALSE),"")</f>
        <v/>
      </c>
      <c r="AA44" s="263" t="str">
        <f>IFERROR(HLOOKUP(AA$7,'PCO Log'!$E$11:$SJ$98,38,FALSE),"")</f>
        <v/>
      </c>
      <c r="AB44" s="263" t="str">
        <f>IFERROR(HLOOKUP(AB$7,'PCO Log'!$E$11:$SJ$98,38,FALSE),"")</f>
        <v/>
      </c>
      <c r="AC44" s="263" t="str">
        <f>IFERROR(HLOOKUP(AC$7,'PCO Log'!$E$11:$SJ$98,38,FALSE),"")</f>
        <v/>
      </c>
      <c r="AD44" s="263" t="str">
        <f>IFERROR(HLOOKUP(AD$7,'PCO Log'!$E$11:$SJ$98,38,FALSE),"")</f>
        <v/>
      </c>
      <c r="AE44" s="263" t="str">
        <f>IFERROR(HLOOKUP(AE$7,'PCO Log'!$E$11:$SJ$98,38,FALSE),"")</f>
        <v/>
      </c>
      <c r="AF44" s="263" t="str">
        <f>IFERROR(HLOOKUP(AF$7,'PCO Log'!$E$11:$SJ$98,38,FALSE),"")</f>
        <v/>
      </c>
      <c r="AG44" s="263" t="str">
        <f>IFERROR(HLOOKUP(AG$7,'PCO Log'!$E$11:$SJ$98,38,FALSE),"")</f>
        <v/>
      </c>
      <c r="AH44" s="263" t="str">
        <f>IFERROR(HLOOKUP(AH$7,'PCO Log'!$E$11:$SJ$98,38,FALSE),"")</f>
        <v/>
      </c>
      <c r="AI44" s="263" t="str">
        <f>IFERROR(HLOOKUP(AI$7,'PCO Log'!$E$11:$SJ$98,38,FALSE),"")</f>
        <v/>
      </c>
      <c r="AJ44" s="263" t="str">
        <f>IFERROR(HLOOKUP(AJ$7,'PCO Log'!$E$11:$SJ$98,38,FALSE),"")</f>
        <v/>
      </c>
      <c r="AK44" s="263" t="str">
        <f>IFERROR(HLOOKUP(AK$7,'PCO Log'!$E$11:$SJ$98,38,FALSE),"")</f>
        <v/>
      </c>
      <c r="AL44" s="263" t="str">
        <f>IFERROR(HLOOKUP(AL$7,'PCO Log'!$E$11:$SJ$98,38,FALSE),"")</f>
        <v/>
      </c>
      <c r="AM44" s="263" t="str">
        <f>IFERROR(HLOOKUP(AM$7,'PCO Log'!$E$11:$SJ$98,38,FALSE),"")</f>
        <v/>
      </c>
      <c r="AN44" s="263" t="str">
        <f>IFERROR(HLOOKUP(AN$7,'PCO Log'!$E$11:$SJ$98,38,FALSE),"")</f>
        <v/>
      </c>
      <c r="AO44" s="263" t="str">
        <f>IFERROR(HLOOKUP(AO$7,'PCO Log'!$E$11:$SJ$98,38,FALSE),"")</f>
        <v/>
      </c>
      <c r="AP44" s="263" t="str">
        <f>IFERROR(HLOOKUP(AP$7,'PCO Log'!$E$11:$SJ$98,38,FALSE),"")</f>
        <v/>
      </c>
      <c r="AQ44" s="263" t="str">
        <f>IFERROR(HLOOKUP(AQ$7,'PCO Log'!$E$11:$SJ$98,38,FALSE),"")</f>
        <v/>
      </c>
      <c r="AR44" s="263" t="str">
        <f>IFERROR(HLOOKUP(AR$7,'PCO Log'!$E$11:$SJ$98,38,FALSE),"")</f>
        <v/>
      </c>
      <c r="AS44" s="263" t="str">
        <f>IFERROR(HLOOKUP(AS$7,'PCO Log'!$E$11:$SJ$98,38,FALSE),"")</f>
        <v/>
      </c>
      <c r="AT44" s="263" t="str">
        <f>IFERROR(HLOOKUP(AT$7,'PCO Log'!$E$11:$SJ$98,38,FALSE),"")</f>
        <v/>
      </c>
      <c r="AU44" s="263" t="str">
        <f>IFERROR(HLOOKUP(AU$7,'PCO Log'!$E$11:$SJ$98,38,FALSE),"")</f>
        <v/>
      </c>
      <c r="AV44" s="263" t="str">
        <f>IFERROR(HLOOKUP(AV$7,'PCO Log'!$E$11:$SJ$98,38,FALSE),"")</f>
        <v/>
      </c>
      <c r="AW44" s="263" t="str">
        <f>IFERROR(HLOOKUP(AW$7,'PCO Log'!$E$11:$SJ$98,38,FALSE),"")</f>
        <v/>
      </c>
      <c r="AX44" s="263" t="str">
        <f>IFERROR(HLOOKUP(AX$7,'PCO Log'!$E$11:$SJ$98,38,FALSE),"")</f>
        <v/>
      </c>
      <c r="AY44" s="263" t="str">
        <f>IFERROR(HLOOKUP(AY$7,'PCO Log'!$E$11:$SJ$98,38,FALSE),"")</f>
        <v/>
      </c>
      <c r="AZ44" s="263" t="str">
        <f>IFERROR(HLOOKUP(AZ$7,'PCO Log'!$E$11:$SJ$98,38,FALSE),"")</f>
        <v/>
      </c>
      <c r="BA44" s="263" t="str">
        <f>IFERROR(HLOOKUP(BA$7,'PCO Log'!$E$11:$SJ$98,38,FALSE),"")</f>
        <v/>
      </c>
      <c r="BB44" s="263" t="str">
        <f>IFERROR(HLOOKUP(BB$7,'PCO Log'!$E$11:$SJ$98,38,FALSE),"")</f>
        <v/>
      </c>
      <c r="BC44" s="263" t="str">
        <f>IFERROR(HLOOKUP(BC$7,'PCO Log'!$E$11:$SJ$98,38,FALSE),"")</f>
        <v/>
      </c>
    </row>
    <row r="45" spans="2:55" s="334" customFormat="1" x14ac:dyDescent="0.25">
      <c r="B45" s="35" t="str">
        <f>'Pay App 1'!B94</f>
        <v>08 10 00</v>
      </c>
      <c r="C45" s="27" t="str">
        <f>'Pay App 1'!C94</f>
        <v>Doors, Frames &amp; Hardware</v>
      </c>
      <c r="D45" s="263">
        <f t="shared" si="1"/>
        <v>0</v>
      </c>
      <c r="E45" s="264">
        <f>'Pay App 1'!D94</f>
        <v>0</v>
      </c>
      <c r="F45" s="263" t="str">
        <f>IFERROR(HLOOKUP(F$7,'PCO Log'!$E$11:$SJ$98,39,FALSE),"")</f>
        <v/>
      </c>
      <c r="G45" s="263" t="str">
        <f>IFERROR(HLOOKUP(G$7,'PCO Log'!$E$11:$SJ$98,39,FALSE),"")</f>
        <v/>
      </c>
      <c r="H45" s="263" t="str">
        <f>IFERROR(HLOOKUP(H$7,'PCO Log'!$E$11:$SJ$98,39,FALSE),"")</f>
        <v/>
      </c>
      <c r="I45" s="263" t="str">
        <f>IFERROR(HLOOKUP(I$7,'PCO Log'!$E$11:$SJ$98,39,FALSE),"")</f>
        <v/>
      </c>
      <c r="J45" s="263" t="str">
        <f>IFERROR(HLOOKUP(J$7,'PCO Log'!$E$11:$SJ$98,39,FALSE),"")</f>
        <v/>
      </c>
      <c r="K45" s="263" t="str">
        <f>IFERROR(HLOOKUP(K$7,'PCO Log'!$E$11:$SJ$98,39,FALSE),"")</f>
        <v/>
      </c>
      <c r="L45" s="263" t="str">
        <f>IFERROR(HLOOKUP(L$7,'PCO Log'!$E$11:$SJ$98,39,FALSE),"")</f>
        <v/>
      </c>
      <c r="M45" s="263" t="str">
        <f>IFERROR(HLOOKUP(M$7,'PCO Log'!$E$11:$SJ$98,39,FALSE),"")</f>
        <v/>
      </c>
      <c r="N45" s="263" t="str">
        <f>IFERROR(HLOOKUP(N$7,'PCO Log'!$E$11:$SJ$98,39,FALSE),"")</f>
        <v/>
      </c>
      <c r="O45" s="263" t="str">
        <f>IFERROR(HLOOKUP(O$7,'PCO Log'!$E$11:$SJ$98,39,FALSE),"")</f>
        <v/>
      </c>
      <c r="P45" s="263" t="str">
        <f>IFERROR(HLOOKUP(P$7,'PCO Log'!$E$11:$SJ$98,39,FALSE),"")</f>
        <v/>
      </c>
      <c r="Q45" s="263" t="str">
        <f>IFERROR(HLOOKUP(Q$7,'PCO Log'!$E$11:$SJ$98,39,FALSE),"")</f>
        <v/>
      </c>
      <c r="R45" s="263" t="str">
        <f>IFERROR(HLOOKUP(R$7,'PCO Log'!$E$11:$SJ$98,39,FALSE),"")</f>
        <v/>
      </c>
      <c r="S45" s="263" t="str">
        <f>IFERROR(HLOOKUP(S$7,'PCO Log'!$E$11:$SJ$98,39,FALSE),"")</f>
        <v/>
      </c>
      <c r="T45" s="263" t="str">
        <f>IFERROR(HLOOKUP(T$7,'PCO Log'!$E$11:$SJ$98,39,FALSE),"")</f>
        <v/>
      </c>
      <c r="U45" s="263" t="str">
        <f>IFERROR(HLOOKUP(U$7,'PCO Log'!$E$11:$SJ$98,39,FALSE),"")</f>
        <v/>
      </c>
      <c r="V45" s="263" t="str">
        <f>IFERROR(HLOOKUP(V$7,'PCO Log'!$E$11:$SJ$98,39,FALSE),"")</f>
        <v/>
      </c>
      <c r="W45" s="263" t="str">
        <f>IFERROR(HLOOKUP(W$7,'PCO Log'!$E$11:$SJ$98,39,FALSE),"")</f>
        <v/>
      </c>
      <c r="X45" s="263" t="str">
        <f>IFERROR(HLOOKUP(X$7,'PCO Log'!$E$11:$SJ$98,39,FALSE),"")</f>
        <v/>
      </c>
      <c r="Y45" s="263" t="str">
        <f>IFERROR(HLOOKUP(Y$7,'PCO Log'!$E$11:$SJ$98,39,FALSE),"")</f>
        <v/>
      </c>
      <c r="Z45" s="263" t="str">
        <f>IFERROR(HLOOKUP(Z$7,'PCO Log'!$E$11:$SJ$98,39,FALSE),"")</f>
        <v/>
      </c>
      <c r="AA45" s="263" t="str">
        <f>IFERROR(HLOOKUP(AA$7,'PCO Log'!$E$11:$SJ$98,39,FALSE),"")</f>
        <v/>
      </c>
      <c r="AB45" s="263" t="str">
        <f>IFERROR(HLOOKUP(AB$7,'PCO Log'!$E$11:$SJ$98,39,FALSE),"")</f>
        <v/>
      </c>
      <c r="AC45" s="263" t="str">
        <f>IFERROR(HLOOKUP(AC$7,'PCO Log'!$E$11:$SJ$98,39,FALSE),"")</f>
        <v/>
      </c>
      <c r="AD45" s="263" t="str">
        <f>IFERROR(HLOOKUP(AD$7,'PCO Log'!$E$11:$SJ$98,39,FALSE),"")</f>
        <v/>
      </c>
      <c r="AE45" s="263" t="str">
        <f>IFERROR(HLOOKUP(AE$7,'PCO Log'!$E$11:$SJ$98,39,FALSE),"")</f>
        <v/>
      </c>
      <c r="AF45" s="263" t="str">
        <f>IFERROR(HLOOKUP(AF$7,'PCO Log'!$E$11:$SJ$98,39,FALSE),"")</f>
        <v/>
      </c>
      <c r="AG45" s="263" t="str">
        <f>IFERROR(HLOOKUP(AG$7,'PCO Log'!$E$11:$SJ$98,39,FALSE),"")</f>
        <v/>
      </c>
      <c r="AH45" s="263" t="str">
        <f>IFERROR(HLOOKUP(AH$7,'PCO Log'!$E$11:$SJ$98,39,FALSE),"")</f>
        <v/>
      </c>
      <c r="AI45" s="263" t="str">
        <f>IFERROR(HLOOKUP(AI$7,'PCO Log'!$E$11:$SJ$98,39,FALSE),"")</f>
        <v/>
      </c>
      <c r="AJ45" s="263" t="str">
        <f>IFERROR(HLOOKUP(AJ$7,'PCO Log'!$E$11:$SJ$98,39,FALSE),"")</f>
        <v/>
      </c>
      <c r="AK45" s="263" t="str">
        <f>IFERROR(HLOOKUP(AK$7,'PCO Log'!$E$11:$SJ$98,39,FALSE),"")</f>
        <v/>
      </c>
      <c r="AL45" s="263" t="str">
        <f>IFERROR(HLOOKUP(AL$7,'PCO Log'!$E$11:$SJ$98,39,FALSE),"")</f>
        <v/>
      </c>
      <c r="AM45" s="263" t="str">
        <f>IFERROR(HLOOKUP(AM$7,'PCO Log'!$E$11:$SJ$98,39,FALSE),"")</f>
        <v/>
      </c>
      <c r="AN45" s="263" t="str">
        <f>IFERROR(HLOOKUP(AN$7,'PCO Log'!$E$11:$SJ$98,39,FALSE),"")</f>
        <v/>
      </c>
      <c r="AO45" s="263" t="str">
        <f>IFERROR(HLOOKUP(AO$7,'PCO Log'!$E$11:$SJ$98,39,FALSE),"")</f>
        <v/>
      </c>
      <c r="AP45" s="263" t="str">
        <f>IFERROR(HLOOKUP(AP$7,'PCO Log'!$E$11:$SJ$98,39,FALSE),"")</f>
        <v/>
      </c>
      <c r="AQ45" s="263" t="str">
        <f>IFERROR(HLOOKUP(AQ$7,'PCO Log'!$E$11:$SJ$98,39,FALSE),"")</f>
        <v/>
      </c>
      <c r="AR45" s="263" t="str">
        <f>IFERROR(HLOOKUP(AR$7,'PCO Log'!$E$11:$SJ$98,39,FALSE),"")</f>
        <v/>
      </c>
      <c r="AS45" s="263" t="str">
        <f>IFERROR(HLOOKUP(AS$7,'PCO Log'!$E$11:$SJ$98,39,FALSE),"")</f>
        <v/>
      </c>
      <c r="AT45" s="263" t="str">
        <f>IFERROR(HLOOKUP(AT$7,'PCO Log'!$E$11:$SJ$98,39,FALSE),"")</f>
        <v/>
      </c>
      <c r="AU45" s="263" t="str">
        <f>IFERROR(HLOOKUP(AU$7,'PCO Log'!$E$11:$SJ$98,39,FALSE),"")</f>
        <v/>
      </c>
      <c r="AV45" s="263" t="str">
        <f>IFERROR(HLOOKUP(AV$7,'PCO Log'!$E$11:$SJ$98,39,FALSE),"")</f>
        <v/>
      </c>
      <c r="AW45" s="263" t="str">
        <f>IFERROR(HLOOKUP(AW$7,'PCO Log'!$E$11:$SJ$98,39,FALSE),"")</f>
        <v/>
      </c>
      <c r="AX45" s="263" t="str">
        <f>IFERROR(HLOOKUP(AX$7,'PCO Log'!$E$11:$SJ$98,39,FALSE),"")</f>
        <v/>
      </c>
      <c r="AY45" s="263" t="str">
        <f>IFERROR(HLOOKUP(AY$7,'PCO Log'!$E$11:$SJ$98,39,FALSE),"")</f>
        <v/>
      </c>
      <c r="AZ45" s="263" t="str">
        <f>IFERROR(HLOOKUP(AZ$7,'PCO Log'!$E$11:$SJ$98,39,FALSE),"")</f>
        <v/>
      </c>
      <c r="BA45" s="263" t="str">
        <f>IFERROR(HLOOKUP(BA$7,'PCO Log'!$E$11:$SJ$98,39,FALSE),"")</f>
        <v/>
      </c>
      <c r="BB45" s="263" t="str">
        <f>IFERROR(HLOOKUP(BB$7,'PCO Log'!$E$11:$SJ$98,39,FALSE),"")</f>
        <v/>
      </c>
      <c r="BC45" s="263" t="str">
        <f>IFERROR(HLOOKUP(BC$7,'PCO Log'!$E$11:$SJ$98,39,FALSE),"")</f>
        <v/>
      </c>
    </row>
    <row r="46" spans="2:55" s="334" customFormat="1" x14ac:dyDescent="0.25">
      <c r="B46" s="35" t="str">
        <f>'Pay App 1'!B95</f>
        <v>08 30 00</v>
      </c>
      <c r="C46" s="27" t="str">
        <f>'Pay App 1'!C95</f>
        <v>Specialty Doors</v>
      </c>
      <c r="D46" s="263">
        <f t="shared" si="1"/>
        <v>0</v>
      </c>
      <c r="E46" s="264">
        <f>'Pay App 1'!D95</f>
        <v>0</v>
      </c>
      <c r="F46" s="263" t="str">
        <f>IFERROR(HLOOKUP(F$7,'PCO Log'!$E$11:$SJ$98,40,FALSE),"")</f>
        <v/>
      </c>
      <c r="G46" s="263" t="str">
        <f>IFERROR(HLOOKUP(G$7,'PCO Log'!$E$11:$SJ$98,40,FALSE),"")</f>
        <v/>
      </c>
      <c r="H46" s="263" t="str">
        <f>IFERROR(HLOOKUP(H$7,'PCO Log'!$E$11:$SJ$98,40,FALSE),"")</f>
        <v/>
      </c>
      <c r="I46" s="263" t="str">
        <f>IFERROR(HLOOKUP(I$7,'PCO Log'!$E$11:$SJ$98,40,FALSE),"")</f>
        <v/>
      </c>
      <c r="J46" s="263" t="str">
        <f>IFERROR(HLOOKUP(J$7,'PCO Log'!$E$11:$SJ$98,40,FALSE),"")</f>
        <v/>
      </c>
      <c r="K46" s="263" t="str">
        <f>IFERROR(HLOOKUP(K$7,'PCO Log'!$E$11:$SJ$98,40,FALSE),"")</f>
        <v/>
      </c>
      <c r="L46" s="263" t="str">
        <f>IFERROR(HLOOKUP(L$7,'PCO Log'!$E$11:$SJ$98,40,FALSE),"")</f>
        <v/>
      </c>
      <c r="M46" s="263" t="str">
        <f>IFERROR(HLOOKUP(M$7,'PCO Log'!$E$11:$SJ$98,40,FALSE),"")</f>
        <v/>
      </c>
      <c r="N46" s="263" t="str">
        <f>IFERROR(HLOOKUP(N$7,'PCO Log'!$E$11:$SJ$98,40,FALSE),"")</f>
        <v/>
      </c>
      <c r="O46" s="263" t="str">
        <f>IFERROR(HLOOKUP(O$7,'PCO Log'!$E$11:$SJ$98,40,FALSE),"")</f>
        <v/>
      </c>
      <c r="P46" s="263" t="str">
        <f>IFERROR(HLOOKUP(P$7,'PCO Log'!$E$11:$SJ$98,40,FALSE),"")</f>
        <v/>
      </c>
      <c r="Q46" s="263" t="str">
        <f>IFERROR(HLOOKUP(Q$7,'PCO Log'!$E$11:$SJ$98,40,FALSE),"")</f>
        <v/>
      </c>
      <c r="R46" s="263" t="str">
        <f>IFERROR(HLOOKUP(R$7,'PCO Log'!$E$11:$SJ$98,40,FALSE),"")</f>
        <v/>
      </c>
      <c r="S46" s="263" t="str">
        <f>IFERROR(HLOOKUP(S$7,'PCO Log'!$E$11:$SJ$98,40,FALSE),"")</f>
        <v/>
      </c>
      <c r="T46" s="263" t="str">
        <f>IFERROR(HLOOKUP(T$7,'PCO Log'!$E$11:$SJ$98,40,FALSE),"")</f>
        <v/>
      </c>
      <c r="U46" s="263" t="str">
        <f>IFERROR(HLOOKUP(U$7,'PCO Log'!$E$11:$SJ$98,40,FALSE),"")</f>
        <v/>
      </c>
      <c r="V46" s="263" t="str">
        <f>IFERROR(HLOOKUP(V$7,'PCO Log'!$E$11:$SJ$98,40,FALSE),"")</f>
        <v/>
      </c>
      <c r="W46" s="263" t="str">
        <f>IFERROR(HLOOKUP(W$7,'PCO Log'!$E$11:$SJ$98,40,FALSE),"")</f>
        <v/>
      </c>
      <c r="X46" s="263" t="str">
        <f>IFERROR(HLOOKUP(X$7,'PCO Log'!$E$11:$SJ$98,40,FALSE),"")</f>
        <v/>
      </c>
      <c r="Y46" s="263" t="str">
        <f>IFERROR(HLOOKUP(Y$7,'PCO Log'!$E$11:$SJ$98,40,FALSE),"")</f>
        <v/>
      </c>
      <c r="Z46" s="263" t="str">
        <f>IFERROR(HLOOKUP(Z$7,'PCO Log'!$E$11:$SJ$98,40,FALSE),"")</f>
        <v/>
      </c>
      <c r="AA46" s="263" t="str">
        <f>IFERROR(HLOOKUP(AA$7,'PCO Log'!$E$11:$SJ$98,40,FALSE),"")</f>
        <v/>
      </c>
      <c r="AB46" s="263" t="str">
        <f>IFERROR(HLOOKUP(AB$7,'PCO Log'!$E$11:$SJ$98,40,FALSE),"")</f>
        <v/>
      </c>
      <c r="AC46" s="263" t="str">
        <f>IFERROR(HLOOKUP(AC$7,'PCO Log'!$E$11:$SJ$98,40,FALSE),"")</f>
        <v/>
      </c>
      <c r="AD46" s="263" t="str">
        <f>IFERROR(HLOOKUP(AD$7,'PCO Log'!$E$11:$SJ$98,40,FALSE),"")</f>
        <v/>
      </c>
      <c r="AE46" s="263" t="str">
        <f>IFERROR(HLOOKUP(AE$7,'PCO Log'!$E$11:$SJ$98,40,FALSE),"")</f>
        <v/>
      </c>
      <c r="AF46" s="263" t="str">
        <f>IFERROR(HLOOKUP(AF$7,'PCO Log'!$E$11:$SJ$98,40,FALSE),"")</f>
        <v/>
      </c>
      <c r="AG46" s="263" t="str">
        <f>IFERROR(HLOOKUP(AG$7,'PCO Log'!$E$11:$SJ$98,40,FALSE),"")</f>
        <v/>
      </c>
      <c r="AH46" s="263" t="str">
        <f>IFERROR(HLOOKUP(AH$7,'PCO Log'!$E$11:$SJ$98,40,FALSE),"")</f>
        <v/>
      </c>
      <c r="AI46" s="263" t="str">
        <f>IFERROR(HLOOKUP(AI$7,'PCO Log'!$E$11:$SJ$98,40,FALSE),"")</f>
        <v/>
      </c>
      <c r="AJ46" s="263" t="str">
        <f>IFERROR(HLOOKUP(AJ$7,'PCO Log'!$E$11:$SJ$98,40,FALSE),"")</f>
        <v/>
      </c>
      <c r="AK46" s="263" t="str">
        <f>IFERROR(HLOOKUP(AK$7,'PCO Log'!$E$11:$SJ$98,40,FALSE),"")</f>
        <v/>
      </c>
      <c r="AL46" s="263" t="str">
        <f>IFERROR(HLOOKUP(AL$7,'PCO Log'!$E$11:$SJ$98,40,FALSE),"")</f>
        <v/>
      </c>
      <c r="AM46" s="263" t="str">
        <f>IFERROR(HLOOKUP(AM$7,'PCO Log'!$E$11:$SJ$98,40,FALSE),"")</f>
        <v/>
      </c>
      <c r="AN46" s="263" t="str">
        <f>IFERROR(HLOOKUP(AN$7,'PCO Log'!$E$11:$SJ$98,40,FALSE),"")</f>
        <v/>
      </c>
      <c r="AO46" s="263" t="str">
        <f>IFERROR(HLOOKUP(AO$7,'PCO Log'!$E$11:$SJ$98,40,FALSE),"")</f>
        <v/>
      </c>
      <c r="AP46" s="263" t="str">
        <f>IFERROR(HLOOKUP(AP$7,'PCO Log'!$E$11:$SJ$98,40,FALSE),"")</f>
        <v/>
      </c>
      <c r="AQ46" s="263" t="str">
        <f>IFERROR(HLOOKUP(AQ$7,'PCO Log'!$E$11:$SJ$98,40,FALSE),"")</f>
        <v/>
      </c>
      <c r="AR46" s="263" t="str">
        <f>IFERROR(HLOOKUP(AR$7,'PCO Log'!$E$11:$SJ$98,40,FALSE),"")</f>
        <v/>
      </c>
      <c r="AS46" s="263" t="str">
        <f>IFERROR(HLOOKUP(AS$7,'PCO Log'!$E$11:$SJ$98,40,FALSE),"")</f>
        <v/>
      </c>
      <c r="AT46" s="263" t="str">
        <f>IFERROR(HLOOKUP(AT$7,'PCO Log'!$E$11:$SJ$98,40,FALSE),"")</f>
        <v/>
      </c>
      <c r="AU46" s="263" t="str">
        <f>IFERROR(HLOOKUP(AU$7,'PCO Log'!$E$11:$SJ$98,40,FALSE),"")</f>
        <v/>
      </c>
      <c r="AV46" s="263" t="str">
        <f>IFERROR(HLOOKUP(AV$7,'PCO Log'!$E$11:$SJ$98,40,FALSE),"")</f>
        <v/>
      </c>
      <c r="AW46" s="263" t="str">
        <f>IFERROR(HLOOKUP(AW$7,'PCO Log'!$E$11:$SJ$98,40,FALSE),"")</f>
        <v/>
      </c>
      <c r="AX46" s="263" t="str">
        <f>IFERROR(HLOOKUP(AX$7,'PCO Log'!$E$11:$SJ$98,40,FALSE),"")</f>
        <v/>
      </c>
      <c r="AY46" s="263" t="str">
        <f>IFERROR(HLOOKUP(AY$7,'PCO Log'!$E$11:$SJ$98,40,FALSE),"")</f>
        <v/>
      </c>
      <c r="AZ46" s="263" t="str">
        <f>IFERROR(HLOOKUP(AZ$7,'PCO Log'!$E$11:$SJ$98,40,FALSE),"")</f>
        <v/>
      </c>
      <c r="BA46" s="263" t="str">
        <f>IFERROR(HLOOKUP(BA$7,'PCO Log'!$E$11:$SJ$98,40,FALSE),"")</f>
        <v/>
      </c>
      <c r="BB46" s="263" t="str">
        <f>IFERROR(HLOOKUP(BB$7,'PCO Log'!$E$11:$SJ$98,40,FALSE),"")</f>
        <v/>
      </c>
      <c r="BC46" s="263" t="str">
        <f>IFERROR(HLOOKUP(BC$7,'PCO Log'!$E$11:$SJ$98,40,FALSE),"")</f>
        <v/>
      </c>
    </row>
    <row r="47" spans="2:55" s="334" customFormat="1" x14ac:dyDescent="0.25">
      <c r="B47" s="35" t="str">
        <f>'Pay App 1'!B96</f>
        <v>08 33 00</v>
      </c>
      <c r="C47" s="27" t="str">
        <f>'Pay App 1'!C96</f>
        <v>Overhead Doors/Coiling Doors</v>
      </c>
      <c r="D47" s="263">
        <f t="shared" si="1"/>
        <v>0</v>
      </c>
      <c r="E47" s="264">
        <f>'Pay App 1'!D96</f>
        <v>0</v>
      </c>
      <c r="F47" s="263" t="str">
        <f>IFERROR(HLOOKUP(F$7,'PCO Log'!$E$11:$SJ$98,41,FALSE),"")</f>
        <v/>
      </c>
      <c r="G47" s="263" t="str">
        <f>IFERROR(HLOOKUP(G$7,'PCO Log'!$E$11:$SJ$98,41,FALSE),"")</f>
        <v/>
      </c>
      <c r="H47" s="263" t="str">
        <f>IFERROR(HLOOKUP(H$7,'PCO Log'!$E$11:$SJ$98,41,FALSE),"")</f>
        <v/>
      </c>
      <c r="I47" s="263" t="str">
        <f>IFERROR(HLOOKUP(I$7,'PCO Log'!$E$11:$SJ$98,41,FALSE),"")</f>
        <v/>
      </c>
      <c r="J47" s="263" t="str">
        <f>IFERROR(HLOOKUP(J$7,'PCO Log'!$E$11:$SJ$98,41,FALSE),"")</f>
        <v/>
      </c>
      <c r="K47" s="263" t="str">
        <f>IFERROR(HLOOKUP(K$7,'PCO Log'!$E$11:$SJ$98,41,FALSE),"")</f>
        <v/>
      </c>
      <c r="L47" s="263" t="str">
        <f>IFERROR(HLOOKUP(L$7,'PCO Log'!$E$11:$SJ$98,41,FALSE),"")</f>
        <v/>
      </c>
      <c r="M47" s="263" t="str">
        <f>IFERROR(HLOOKUP(M$7,'PCO Log'!$E$11:$SJ$98,41,FALSE),"")</f>
        <v/>
      </c>
      <c r="N47" s="263" t="str">
        <f>IFERROR(HLOOKUP(N$7,'PCO Log'!$E$11:$SJ$98,41,FALSE),"")</f>
        <v/>
      </c>
      <c r="O47" s="263" t="str">
        <f>IFERROR(HLOOKUP(O$7,'PCO Log'!$E$11:$SJ$98,41,FALSE),"")</f>
        <v/>
      </c>
      <c r="P47" s="263" t="str">
        <f>IFERROR(HLOOKUP(P$7,'PCO Log'!$E$11:$SJ$98,41,FALSE),"")</f>
        <v/>
      </c>
      <c r="Q47" s="263" t="str">
        <f>IFERROR(HLOOKUP(Q$7,'PCO Log'!$E$11:$SJ$98,41,FALSE),"")</f>
        <v/>
      </c>
      <c r="R47" s="263" t="str">
        <f>IFERROR(HLOOKUP(R$7,'PCO Log'!$E$11:$SJ$98,41,FALSE),"")</f>
        <v/>
      </c>
      <c r="S47" s="263" t="str">
        <f>IFERROR(HLOOKUP(S$7,'PCO Log'!$E$11:$SJ$98,41,FALSE),"")</f>
        <v/>
      </c>
      <c r="T47" s="263" t="str">
        <f>IFERROR(HLOOKUP(T$7,'PCO Log'!$E$11:$SJ$98,41,FALSE),"")</f>
        <v/>
      </c>
      <c r="U47" s="263" t="str">
        <f>IFERROR(HLOOKUP(U$7,'PCO Log'!$E$11:$SJ$98,41,FALSE),"")</f>
        <v/>
      </c>
      <c r="V47" s="263" t="str">
        <f>IFERROR(HLOOKUP(V$7,'PCO Log'!$E$11:$SJ$98,41,FALSE),"")</f>
        <v/>
      </c>
      <c r="W47" s="263" t="str">
        <f>IFERROR(HLOOKUP(W$7,'PCO Log'!$E$11:$SJ$98,41,FALSE),"")</f>
        <v/>
      </c>
      <c r="X47" s="263" t="str">
        <f>IFERROR(HLOOKUP(X$7,'PCO Log'!$E$11:$SJ$98,41,FALSE),"")</f>
        <v/>
      </c>
      <c r="Y47" s="263" t="str">
        <f>IFERROR(HLOOKUP(Y$7,'PCO Log'!$E$11:$SJ$98,41,FALSE),"")</f>
        <v/>
      </c>
      <c r="Z47" s="263" t="str">
        <f>IFERROR(HLOOKUP(Z$7,'PCO Log'!$E$11:$SJ$98,41,FALSE),"")</f>
        <v/>
      </c>
      <c r="AA47" s="263" t="str">
        <f>IFERROR(HLOOKUP(AA$7,'PCO Log'!$E$11:$SJ$98,41,FALSE),"")</f>
        <v/>
      </c>
      <c r="AB47" s="263" t="str">
        <f>IFERROR(HLOOKUP(AB$7,'PCO Log'!$E$11:$SJ$98,41,FALSE),"")</f>
        <v/>
      </c>
      <c r="AC47" s="263" t="str">
        <f>IFERROR(HLOOKUP(AC$7,'PCO Log'!$E$11:$SJ$98,41,FALSE),"")</f>
        <v/>
      </c>
      <c r="AD47" s="263" t="str">
        <f>IFERROR(HLOOKUP(AD$7,'PCO Log'!$E$11:$SJ$98,41,FALSE),"")</f>
        <v/>
      </c>
      <c r="AE47" s="263" t="str">
        <f>IFERROR(HLOOKUP(AE$7,'PCO Log'!$E$11:$SJ$98,41,FALSE),"")</f>
        <v/>
      </c>
      <c r="AF47" s="263" t="str">
        <f>IFERROR(HLOOKUP(AF$7,'PCO Log'!$E$11:$SJ$98,41,FALSE),"")</f>
        <v/>
      </c>
      <c r="AG47" s="263" t="str">
        <f>IFERROR(HLOOKUP(AG$7,'PCO Log'!$E$11:$SJ$98,41,FALSE),"")</f>
        <v/>
      </c>
      <c r="AH47" s="263" t="str">
        <f>IFERROR(HLOOKUP(AH$7,'PCO Log'!$E$11:$SJ$98,41,FALSE),"")</f>
        <v/>
      </c>
      <c r="AI47" s="263" t="str">
        <f>IFERROR(HLOOKUP(AI$7,'PCO Log'!$E$11:$SJ$98,41,FALSE),"")</f>
        <v/>
      </c>
      <c r="AJ47" s="263" t="str">
        <f>IFERROR(HLOOKUP(AJ$7,'PCO Log'!$E$11:$SJ$98,41,FALSE),"")</f>
        <v/>
      </c>
      <c r="AK47" s="263" t="str">
        <f>IFERROR(HLOOKUP(AK$7,'PCO Log'!$E$11:$SJ$98,41,FALSE),"")</f>
        <v/>
      </c>
      <c r="AL47" s="263" t="str">
        <f>IFERROR(HLOOKUP(AL$7,'PCO Log'!$E$11:$SJ$98,41,FALSE),"")</f>
        <v/>
      </c>
      <c r="AM47" s="263" t="str">
        <f>IFERROR(HLOOKUP(AM$7,'PCO Log'!$E$11:$SJ$98,41,FALSE),"")</f>
        <v/>
      </c>
      <c r="AN47" s="263" t="str">
        <f>IFERROR(HLOOKUP(AN$7,'PCO Log'!$E$11:$SJ$98,41,FALSE),"")</f>
        <v/>
      </c>
      <c r="AO47" s="263" t="str">
        <f>IFERROR(HLOOKUP(AO$7,'PCO Log'!$E$11:$SJ$98,41,FALSE),"")</f>
        <v/>
      </c>
      <c r="AP47" s="263" t="str">
        <f>IFERROR(HLOOKUP(AP$7,'PCO Log'!$E$11:$SJ$98,41,FALSE),"")</f>
        <v/>
      </c>
      <c r="AQ47" s="263" t="str">
        <f>IFERROR(HLOOKUP(AQ$7,'PCO Log'!$E$11:$SJ$98,41,FALSE),"")</f>
        <v/>
      </c>
      <c r="AR47" s="263" t="str">
        <f>IFERROR(HLOOKUP(AR$7,'PCO Log'!$E$11:$SJ$98,41,FALSE),"")</f>
        <v/>
      </c>
      <c r="AS47" s="263" t="str">
        <f>IFERROR(HLOOKUP(AS$7,'PCO Log'!$E$11:$SJ$98,41,FALSE),"")</f>
        <v/>
      </c>
      <c r="AT47" s="263" t="str">
        <f>IFERROR(HLOOKUP(AT$7,'PCO Log'!$E$11:$SJ$98,41,FALSE),"")</f>
        <v/>
      </c>
      <c r="AU47" s="263" t="str">
        <f>IFERROR(HLOOKUP(AU$7,'PCO Log'!$E$11:$SJ$98,41,FALSE),"")</f>
        <v/>
      </c>
      <c r="AV47" s="263" t="str">
        <f>IFERROR(HLOOKUP(AV$7,'PCO Log'!$E$11:$SJ$98,41,FALSE),"")</f>
        <v/>
      </c>
      <c r="AW47" s="263" t="str">
        <f>IFERROR(HLOOKUP(AW$7,'PCO Log'!$E$11:$SJ$98,41,FALSE),"")</f>
        <v/>
      </c>
      <c r="AX47" s="263" t="str">
        <f>IFERROR(HLOOKUP(AX$7,'PCO Log'!$E$11:$SJ$98,41,FALSE),"")</f>
        <v/>
      </c>
      <c r="AY47" s="263" t="str">
        <f>IFERROR(HLOOKUP(AY$7,'PCO Log'!$E$11:$SJ$98,41,FALSE),"")</f>
        <v/>
      </c>
      <c r="AZ47" s="263" t="str">
        <f>IFERROR(HLOOKUP(AZ$7,'PCO Log'!$E$11:$SJ$98,41,FALSE),"")</f>
        <v/>
      </c>
      <c r="BA47" s="263" t="str">
        <f>IFERROR(HLOOKUP(BA$7,'PCO Log'!$E$11:$SJ$98,41,FALSE),"")</f>
        <v/>
      </c>
      <c r="BB47" s="263" t="str">
        <f>IFERROR(HLOOKUP(BB$7,'PCO Log'!$E$11:$SJ$98,41,FALSE),"")</f>
        <v/>
      </c>
      <c r="BC47" s="263" t="str">
        <f>IFERROR(HLOOKUP(BC$7,'PCO Log'!$E$11:$SJ$98,41,FALSE),"")</f>
        <v/>
      </c>
    </row>
    <row r="48" spans="2:55" s="334" customFormat="1" x14ac:dyDescent="0.25">
      <c r="B48" s="35" t="str">
        <f>'Pay App 1'!B97</f>
        <v>08 40 00</v>
      </c>
      <c r="C48" s="27" t="str">
        <f>'Pay App 1'!C97</f>
        <v>Curtain Wall, Glass &amp; Glazing</v>
      </c>
      <c r="D48" s="263">
        <f t="shared" si="1"/>
        <v>0</v>
      </c>
      <c r="E48" s="264">
        <f>'Pay App 1'!D97</f>
        <v>0</v>
      </c>
      <c r="F48" s="263" t="str">
        <f>IFERROR(HLOOKUP(F$7,'PCO Log'!$E$11:$SJ$98,42,FALSE),"")</f>
        <v/>
      </c>
      <c r="G48" s="263" t="str">
        <f>IFERROR(HLOOKUP(G$7,'PCO Log'!$E$11:$SJ$98,42,FALSE),"")</f>
        <v/>
      </c>
      <c r="H48" s="263" t="str">
        <f>IFERROR(HLOOKUP(H$7,'PCO Log'!$E$11:$SJ$98,42,FALSE),"")</f>
        <v/>
      </c>
      <c r="I48" s="263" t="str">
        <f>IFERROR(HLOOKUP(I$7,'PCO Log'!$E$11:$SJ$98,42,FALSE),"")</f>
        <v/>
      </c>
      <c r="J48" s="263" t="str">
        <f>IFERROR(HLOOKUP(J$7,'PCO Log'!$E$11:$SJ$98,42,FALSE),"")</f>
        <v/>
      </c>
      <c r="K48" s="263" t="str">
        <f>IFERROR(HLOOKUP(K$7,'PCO Log'!$E$11:$SJ$98,42,FALSE),"")</f>
        <v/>
      </c>
      <c r="L48" s="263" t="str">
        <f>IFERROR(HLOOKUP(L$7,'PCO Log'!$E$11:$SJ$98,42,FALSE),"")</f>
        <v/>
      </c>
      <c r="M48" s="263" t="str">
        <f>IFERROR(HLOOKUP(M$7,'PCO Log'!$E$11:$SJ$98,42,FALSE),"")</f>
        <v/>
      </c>
      <c r="N48" s="263" t="str">
        <f>IFERROR(HLOOKUP(N$7,'PCO Log'!$E$11:$SJ$98,42,FALSE),"")</f>
        <v/>
      </c>
      <c r="O48" s="263" t="str">
        <f>IFERROR(HLOOKUP(O$7,'PCO Log'!$E$11:$SJ$98,42,FALSE),"")</f>
        <v/>
      </c>
      <c r="P48" s="263" t="str">
        <f>IFERROR(HLOOKUP(P$7,'PCO Log'!$E$11:$SJ$98,42,FALSE),"")</f>
        <v/>
      </c>
      <c r="Q48" s="263" t="str">
        <f>IFERROR(HLOOKUP(Q$7,'PCO Log'!$E$11:$SJ$98,42,FALSE),"")</f>
        <v/>
      </c>
      <c r="R48" s="263" t="str">
        <f>IFERROR(HLOOKUP(R$7,'PCO Log'!$E$11:$SJ$98,42,FALSE),"")</f>
        <v/>
      </c>
      <c r="S48" s="263" t="str">
        <f>IFERROR(HLOOKUP(S$7,'PCO Log'!$E$11:$SJ$98,42,FALSE),"")</f>
        <v/>
      </c>
      <c r="T48" s="263" t="str">
        <f>IFERROR(HLOOKUP(T$7,'PCO Log'!$E$11:$SJ$98,42,FALSE),"")</f>
        <v/>
      </c>
      <c r="U48" s="263" t="str">
        <f>IFERROR(HLOOKUP(U$7,'PCO Log'!$E$11:$SJ$98,42,FALSE),"")</f>
        <v/>
      </c>
      <c r="V48" s="263" t="str">
        <f>IFERROR(HLOOKUP(V$7,'PCO Log'!$E$11:$SJ$98,42,FALSE),"")</f>
        <v/>
      </c>
      <c r="W48" s="263" t="str">
        <f>IFERROR(HLOOKUP(W$7,'PCO Log'!$E$11:$SJ$98,42,FALSE),"")</f>
        <v/>
      </c>
      <c r="X48" s="263" t="str">
        <f>IFERROR(HLOOKUP(X$7,'PCO Log'!$E$11:$SJ$98,42,FALSE),"")</f>
        <v/>
      </c>
      <c r="Y48" s="263" t="str">
        <f>IFERROR(HLOOKUP(Y$7,'PCO Log'!$E$11:$SJ$98,42,FALSE),"")</f>
        <v/>
      </c>
      <c r="Z48" s="263" t="str">
        <f>IFERROR(HLOOKUP(Z$7,'PCO Log'!$E$11:$SJ$98,42,FALSE),"")</f>
        <v/>
      </c>
      <c r="AA48" s="263" t="str">
        <f>IFERROR(HLOOKUP(AA$7,'PCO Log'!$E$11:$SJ$98,42,FALSE),"")</f>
        <v/>
      </c>
      <c r="AB48" s="263" t="str">
        <f>IFERROR(HLOOKUP(AB$7,'PCO Log'!$E$11:$SJ$98,42,FALSE),"")</f>
        <v/>
      </c>
      <c r="AC48" s="263" t="str">
        <f>IFERROR(HLOOKUP(AC$7,'PCO Log'!$E$11:$SJ$98,42,FALSE),"")</f>
        <v/>
      </c>
      <c r="AD48" s="263" t="str">
        <f>IFERROR(HLOOKUP(AD$7,'PCO Log'!$E$11:$SJ$98,42,FALSE),"")</f>
        <v/>
      </c>
      <c r="AE48" s="263" t="str">
        <f>IFERROR(HLOOKUP(AE$7,'PCO Log'!$E$11:$SJ$98,42,FALSE),"")</f>
        <v/>
      </c>
      <c r="AF48" s="263" t="str">
        <f>IFERROR(HLOOKUP(AF$7,'PCO Log'!$E$11:$SJ$98,42,FALSE),"")</f>
        <v/>
      </c>
      <c r="AG48" s="263" t="str">
        <f>IFERROR(HLOOKUP(AG$7,'PCO Log'!$E$11:$SJ$98,42,FALSE),"")</f>
        <v/>
      </c>
      <c r="AH48" s="263" t="str">
        <f>IFERROR(HLOOKUP(AH$7,'PCO Log'!$E$11:$SJ$98,42,FALSE),"")</f>
        <v/>
      </c>
      <c r="AI48" s="263" t="str">
        <f>IFERROR(HLOOKUP(AI$7,'PCO Log'!$E$11:$SJ$98,42,FALSE),"")</f>
        <v/>
      </c>
      <c r="AJ48" s="263" t="str">
        <f>IFERROR(HLOOKUP(AJ$7,'PCO Log'!$E$11:$SJ$98,42,FALSE),"")</f>
        <v/>
      </c>
      <c r="AK48" s="263" t="str">
        <f>IFERROR(HLOOKUP(AK$7,'PCO Log'!$E$11:$SJ$98,42,FALSE),"")</f>
        <v/>
      </c>
      <c r="AL48" s="263" t="str">
        <f>IFERROR(HLOOKUP(AL$7,'PCO Log'!$E$11:$SJ$98,42,FALSE),"")</f>
        <v/>
      </c>
      <c r="AM48" s="263" t="str">
        <f>IFERROR(HLOOKUP(AM$7,'PCO Log'!$E$11:$SJ$98,42,FALSE),"")</f>
        <v/>
      </c>
      <c r="AN48" s="263" t="str">
        <f>IFERROR(HLOOKUP(AN$7,'PCO Log'!$E$11:$SJ$98,42,FALSE),"")</f>
        <v/>
      </c>
      <c r="AO48" s="263" t="str">
        <f>IFERROR(HLOOKUP(AO$7,'PCO Log'!$E$11:$SJ$98,42,FALSE),"")</f>
        <v/>
      </c>
      <c r="AP48" s="263" t="str">
        <f>IFERROR(HLOOKUP(AP$7,'PCO Log'!$E$11:$SJ$98,42,FALSE),"")</f>
        <v/>
      </c>
      <c r="AQ48" s="263" t="str">
        <f>IFERROR(HLOOKUP(AQ$7,'PCO Log'!$E$11:$SJ$98,42,FALSE),"")</f>
        <v/>
      </c>
      <c r="AR48" s="263" t="str">
        <f>IFERROR(HLOOKUP(AR$7,'PCO Log'!$E$11:$SJ$98,42,FALSE),"")</f>
        <v/>
      </c>
      <c r="AS48" s="263" t="str">
        <f>IFERROR(HLOOKUP(AS$7,'PCO Log'!$E$11:$SJ$98,42,FALSE),"")</f>
        <v/>
      </c>
      <c r="AT48" s="263" t="str">
        <f>IFERROR(HLOOKUP(AT$7,'PCO Log'!$E$11:$SJ$98,42,FALSE),"")</f>
        <v/>
      </c>
      <c r="AU48" s="263" t="str">
        <f>IFERROR(HLOOKUP(AU$7,'PCO Log'!$E$11:$SJ$98,42,FALSE),"")</f>
        <v/>
      </c>
      <c r="AV48" s="263" t="str">
        <f>IFERROR(HLOOKUP(AV$7,'PCO Log'!$E$11:$SJ$98,42,FALSE),"")</f>
        <v/>
      </c>
      <c r="AW48" s="263" t="str">
        <f>IFERROR(HLOOKUP(AW$7,'PCO Log'!$E$11:$SJ$98,42,FALSE),"")</f>
        <v/>
      </c>
      <c r="AX48" s="263" t="str">
        <f>IFERROR(HLOOKUP(AX$7,'PCO Log'!$E$11:$SJ$98,42,FALSE),"")</f>
        <v/>
      </c>
      <c r="AY48" s="263" t="str">
        <f>IFERROR(HLOOKUP(AY$7,'PCO Log'!$E$11:$SJ$98,42,FALSE),"")</f>
        <v/>
      </c>
      <c r="AZ48" s="263" t="str">
        <f>IFERROR(HLOOKUP(AZ$7,'PCO Log'!$E$11:$SJ$98,42,FALSE),"")</f>
        <v/>
      </c>
      <c r="BA48" s="263" t="str">
        <f>IFERROR(HLOOKUP(BA$7,'PCO Log'!$E$11:$SJ$98,42,FALSE),"")</f>
        <v/>
      </c>
      <c r="BB48" s="263" t="str">
        <f>IFERROR(HLOOKUP(BB$7,'PCO Log'!$E$11:$SJ$98,42,FALSE),"")</f>
        <v/>
      </c>
      <c r="BC48" s="263" t="str">
        <f>IFERROR(HLOOKUP(BC$7,'PCO Log'!$E$11:$SJ$98,42,FALSE),"")</f>
        <v/>
      </c>
    </row>
    <row r="49" spans="2:55" s="334" customFormat="1" x14ac:dyDescent="0.25">
      <c r="B49" s="35" t="str">
        <f>'Pay App 1'!B98</f>
        <v>08 60 00</v>
      </c>
      <c r="C49" s="27" t="str">
        <f>'Pay App 1'!C98</f>
        <v>Skylights</v>
      </c>
      <c r="D49" s="263">
        <f t="shared" si="1"/>
        <v>0</v>
      </c>
      <c r="E49" s="264">
        <f>'Pay App 1'!D98</f>
        <v>0</v>
      </c>
      <c r="F49" s="263" t="str">
        <f>IFERROR(HLOOKUP(F$7,'PCO Log'!$E$11:$SJ$98,43,FALSE),"")</f>
        <v/>
      </c>
      <c r="G49" s="263" t="str">
        <f>IFERROR(HLOOKUP(G$7,'PCO Log'!$E$11:$SJ$98,43,FALSE),"")</f>
        <v/>
      </c>
      <c r="H49" s="263" t="str">
        <f>IFERROR(HLOOKUP(H$7,'PCO Log'!$E$11:$SJ$98,43,FALSE),"")</f>
        <v/>
      </c>
      <c r="I49" s="263" t="str">
        <f>IFERROR(HLOOKUP(I$7,'PCO Log'!$E$11:$SJ$98,43,FALSE),"")</f>
        <v/>
      </c>
      <c r="J49" s="263" t="str">
        <f>IFERROR(HLOOKUP(J$7,'PCO Log'!$E$11:$SJ$98,43,FALSE),"")</f>
        <v/>
      </c>
      <c r="K49" s="263" t="str">
        <f>IFERROR(HLOOKUP(K$7,'PCO Log'!$E$11:$SJ$98,43,FALSE),"")</f>
        <v/>
      </c>
      <c r="L49" s="263" t="str">
        <f>IFERROR(HLOOKUP(L$7,'PCO Log'!$E$11:$SJ$98,43,FALSE),"")</f>
        <v/>
      </c>
      <c r="M49" s="263" t="str">
        <f>IFERROR(HLOOKUP(M$7,'PCO Log'!$E$11:$SJ$98,43,FALSE),"")</f>
        <v/>
      </c>
      <c r="N49" s="263" t="str">
        <f>IFERROR(HLOOKUP(N$7,'PCO Log'!$E$11:$SJ$98,43,FALSE),"")</f>
        <v/>
      </c>
      <c r="O49" s="263" t="str">
        <f>IFERROR(HLOOKUP(O$7,'PCO Log'!$E$11:$SJ$98,43,FALSE),"")</f>
        <v/>
      </c>
      <c r="P49" s="263" t="str">
        <f>IFERROR(HLOOKUP(P$7,'PCO Log'!$E$11:$SJ$98,43,FALSE),"")</f>
        <v/>
      </c>
      <c r="Q49" s="263" t="str">
        <f>IFERROR(HLOOKUP(Q$7,'PCO Log'!$E$11:$SJ$98,43,FALSE),"")</f>
        <v/>
      </c>
      <c r="R49" s="263" t="str">
        <f>IFERROR(HLOOKUP(R$7,'PCO Log'!$E$11:$SJ$98,43,FALSE),"")</f>
        <v/>
      </c>
      <c r="S49" s="263" t="str">
        <f>IFERROR(HLOOKUP(S$7,'PCO Log'!$E$11:$SJ$98,43,FALSE),"")</f>
        <v/>
      </c>
      <c r="T49" s="263" t="str">
        <f>IFERROR(HLOOKUP(T$7,'PCO Log'!$E$11:$SJ$98,43,FALSE),"")</f>
        <v/>
      </c>
      <c r="U49" s="263" t="str">
        <f>IFERROR(HLOOKUP(U$7,'PCO Log'!$E$11:$SJ$98,43,FALSE),"")</f>
        <v/>
      </c>
      <c r="V49" s="263" t="str">
        <f>IFERROR(HLOOKUP(V$7,'PCO Log'!$E$11:$SJ$98,43,FALSE),"")</f>
        <v/>
      </c>
      <c r="W49" s="263" t="str">
        <f>IFERROR(HLOOKUP(W$7,'PCO Log'!$E$11:$SJ$98,43,FALSE),"")</f>
        <v/>
      </c>
      <c r="X49" s="263" t="str">
        <f>IFERROR(HLOOKUP(X$7,'PCO Log'!$E$11:$SJ$98,43,FALSE),"")</f>
        <v/>
      </c>
      <c r="Y49" s="263" t="str">
        <f>IFERROR(HLOOKUP(Y$7,'PCO Log'!$E$11:$SJ$98,43,FALSE),"")</f>
        <v/>
      </c>
      <c r="Z49" s="263" t="str">
        <f>IFERROR(HLOOKUP(Z$7,'PCO Log'!$E$11:$SJ$98,43,FALSE),"")</f>
        <v/>
      </c>
      <c r="AA49" s="263" t="str">
        <f>IFERROR(HLOOKUP(AA$7,'PCO Log'!$E$11:$SJ$98,43,FALSE),"")</f>
        <v/>
      </c>
      <c r="AB49" s="263" t="str">
        <f>IFERROR(HLOOKUP(AB$7,'PCO Log'!$E$11:$SJ$98,43,FALSE),"")</f>
        <v/>
      </c>
      <c r="AC49" s="263" t="str">
        <f>IFERROR(HLOOKUP(AC$7,'PCO Log'!$E$11:$SJ$98,43,FALSE),"")</f>
        <v/>
      </c>
      <c r="AD49" s="263" t="str">
        <f>IFERROR(HLOOKUP(AD$7,'PCO Log'!$E$11:$SJ$98,43,FALSE),"")</f>
        <v/>
      </c>
      <c r="AE49" s="263" t="str">
        <f>IFERROR(HLOOKUP(AE$7,'PCO Log'!$E$11:$SJ$98,43,FALSE),"")</f>
        <v/>
      </c>
      <c r="AF49" s="263" t="str">
        <f>IFERROR(HLOOKUP(AF$7,'PCO Log'!$E$11:$SJ$98,43,FALSE),"")</f>
        <v/>
      </c>
      <c r="AG49" s="263" t="str">
        <f>IFERROR(HLOOKUP(AG$7,'PCO Log'!$E$11:$SJ$98,43,FALSE),"")</f>
        <v/>
      </c>
      <c r="AH49" s="263" t="str">
        <f>IFERROR(HLOOKUP(AH$7,'PCO Log'!$E$11:$SJ$98,43,FALSE),"")</f>
        <v/>
      </c>
      <c r="AI49" s="263" t="str">
        <f>IFERROR(HLOOKUP(AI$7,'PCO Log'!$E$11:$SJ$98,43,FALSE),"")</f>
        <v/>
      </c>
      <c r="AJ49" s="263" t="str">
        <f>IFERROR(HLOOKUP(AJ$7,'PCO Log'!$E$11:$SJ$98,43,FALSE),"")</f>
        <v/>
      </c>
      <c r="AK49" s="263" t="str">
        <f>IFERROR(HLOOKUP(AK$7,'PCO Log'!$E$11:$SJ$98,43,FALSE),"")</f>
        <v/>
      </c>
      <c r="AL49" s="263" t="str">
        <f>IFERROR(HLOOKUP(AL$7,'PCO Log'!$E$11:$SJ$98,43,FALSE),"")</f>
        <v/>
      </c>
      <c r="AM49" s="263" t="str">
        <f>IFERROR(HLOOKUP(AM$7,'PCO Log'!$E$11:$SJ$98,43,FALSE),"")</f>
        <v/>
      </c>
      <c r="AN49" s="263" t="str">
        <f>IFERROR(HLOOKUP(AN$7,'PCO Log'!$E$11:$SJ$98,43,FALSE),"")</f>
        <v/>
      </c>
      <c r="AO49" s="263" t="str">
        <f>IFERROR(HLOOKUP(AO$7,'PCO Log'!$E$11:$SJ$98,43,FALSE),"")</f>
        <v/>
      </c>
      <c r="AP49" s="263" t="str">
        <f>IFERROR(HLOOKUP(AP$7,'PCO Log'!$E$11:$SJ$98,43,FALSE),"")</f>
        <v/>
      </c>
      <c r="AQ49" s="263" t="str">
        <f>IFERROR(HLOOKUP(AQ$7,'PCO Log'!$E$11:$SJ$98,43,FALSE),"")</f>
        <v/>
      </c>
      <c r="AR49" s="263" t="str">
        <f>IFERROR(HLOOKUP(AR$7,'PCO Log'!$E$11:$SJ$98,43,FALSE),"")</f>
        <v/>
      </c>
      <c r="AS49" s="263" t="str">
        <f>IFERROR(HLOOKUP(AS$7,'PCO Log'!$E$11:$SJ$98,43,FALSE),"")</f>
        <v/>
      </c>
      <c r="AT49" s="263" t="str">
        <f>IFERROR(HLOOKUP(AT$7,'PCO Log'!$E$11:$SJ$98,43,FALSE),"")</f>
        <v/>
      </c>
      <c r="AU49" s="263" t="str">
        <f>IFERROR(HLOOKUP(AU$7,'PCO Log'!$E$11:$SJ$98,43,FALSE),"")</f>
        <v/>
      </c>
      <c r="AV49" s="263" t="str">
        <f>IFERROR(HLOOKUP(AV$7,'PCO Log'!$E$11:$SJ$98,43,FALSE),"")</f>
        <v/>
      </c>
      <c r="AW49" s="263" t="str">
        <f>IFERROR(HLOOKUP(AW$7,'PCO Log'!$E$11:$SJ$98,43,FALSE),"")</f>
        <v/>
      </c>
      <c r="AX49" s="263" t="str">
        <f>IFERROR(HLOOKUP(AX$7,'PCO Log'!$E$11:$SJ$98,43,FALSE),"")</f>
        <v/>
      </c>
      <c r="AY49" s="263" t="str">
        <f>IFERROR(HLOOKUP(AY$7,'PCO Log'!$E$11:$SJ$98,43,FALSE),"")</f>
        <v/>
      </c>
      <c r="AZ49" s="263" t="str">
        <f>IFERROR(HLOOKUP(AZ$7,'PCO Log'!$E$11:$SJ$98,43,FALSE),"")</f>
        <v/>
      </c>
      <c r="BA49" s="263" t="str">
        <f>IFERROR(HLOOKUP(BA$7,'PCO Log'!$E$11:$SJ$98,43,FALSE),"")</f>
        <v/>
      </c>
      <c r="BB49" s="263" t="str">
        <f>IFERROR(HLOOKUP(BB$7,'PCO Log'!$E$11:$SJ$98,43,FALSE),"")</f>
        <v/>
      </c>
      <c r="BC49" s="263" t="str">
        <f>IFERROR(HLOOKUP(BC$7,'PCO Log'!$E$11:$SJ$98,43,FALSE),"")</f>
        <v/>
      </c>
    </row>
    <row r="50" spans="2:55" s="334" customFormat="1" x14ac:dyDescent="0.25">
      <c r="B50" s="35" t="str">
        <f>'Pay App 1'!B99</f>
        <v>08 90 00</v>
      </c>
      <c r="C50" s="27" t="str">
        <f>'Pay App 1'!C99</f>
        <v>Louvers &amp; Vents</v>
      </c>
      <c r="D50" s="263">
        <f t="shared" si="1"/>
        <v>0</v>
      </c>
      <c r="E50" s="264">
        <f>'Pay App 1'!D99</f>
        <v>0</v>
      </c>
      <c r="F50" s="263" t="str">
        <f>IFERROR(HLOOKUP(F$7,'PCO Log'!$E$11:$SJ$98,44,FALSE),"")</f>
        <v/>
      </c>
      <c r="G50" s="263" t="str">
        <f>IFERROR(HLOOKUP(G$7,'PCO Log'!$E$11:$SJ$98,44,FALSE),"")</f>
        <v/>
      </c>
      <c r="H50" s="263" t="str">
        <f>IFERROR(HLOOKUP(H$7,'PCO Log'!$E$11:$SJ$98,44,FALSE),"")</f>
        <v/>
      </c>
      <c r="I50" s="263" t="str">
        <f>IFERROR(HLOOKUP(I$7,'PCO Log'!$E$11:$SJ$98,44,FALSE),"")</f>
        <v/>
      </c>
      <c r="J50" s="263" t="str">
        <f>IFERROR(HLOOKUP(J$7,'PCO Log'!$E$11:$SJ$98,44,FALSE),"")</f>
        <v/>
      </c>
      <c r="K50" s="263" t="str">
        <f>IFERROR(HLOOKUP(K$7,'PCO Log'!$E$11:$SJ$98,44,FALSE),"")</f>
        <v/>
      </c>
      <c r="L50" s="263" t="str">
        <f>IFERROR(HLOOKUP(L$7,'PCO Log'!$E$11:$SJ$98,44,FALSE),"")</f>
        <v/>
      </c>
      <c r="M50" s="263" t="str">
        <f>IFERROR(HLOOKUP(M$7,'PCO Log'!$E$11:$SJ$98,44,FALSE),"")</f>
        <v/>
      </c>
      <c r="N50" s="263" t="str">
        <f>IFERROR(HLOOKUP(N$7,'PCO Log'!$E$11:$SJ$98,44,FALSE),"")</f>
        <v/>
      </c>
      <c r="O50" s="263" t="str">
        <f>IFERROR(HLOOKUP(O$7,'PCO Log'!$E$11:$SJ$98,44,FALSE),"")</f>
        <v/>
      </c>
      <c r="P50" s="263" t="str">
        <f>IFERROR(HLOOKUP(P$7,'PCO Log'!$E$11:$SJ$98,44,FALSE),"")</f>
        <v/>
      </c>
      <c r="Q50" s="263" t="str">
        <f>IFERROR(HLOOKUP(Q$7,'PCO Log'!$E$11:$SJ$98,44,FALSE),"")</f>
        <v/>
      </c>
      <c r="R50" s="263" t="str">
        <f>IFERROR(HLOOKUP(R$7,'PCO Log'!$E$11:$SJ$98,44,FALSE),"")</f>
        <v/>
      </c>
      <c r="S50" s="263" t="str">
        <f>IFERROR(HLOOKUP(S$7,'PCO Log'!$E$11:$SJ$98,44,FALSE),"")</f>
        <v/>
      </c>
      <c r="T50" s="263" t="str">
        <f>IFERROR(HLOOKUP(T$7,'PCO Log'!$E$11:$SJ$98,44,FALSE),"")</f>
        <v/>
      </c>
      <c r="U50" s="263" t="str">
        <f>IFERROR(HLOOKUP(U$7,'PCO Log'!$E$11:$SJ$98,44,FALSE),"")</f>
        <v/>
      </c>
      <c r="V50" s="263" t="str">
        <f>IFERROR(HLOOKUP(V$7,'PCO Log'!$E$11:$SJ$98,44,FALSE),"")</f>
        <v/>
      </c>
      <c r="W50" s="263" t="str">
        <f>IFERROR(HLOOKUP(W$7,'PCO Log'!$E$11:$SJ$98,44,FALSE),"")</f>
        <v/>
      </c>
      <c r="X50" s="263" t="str">
        <f>IFERROR(HLOOKUP(X$7,'PCO Log'!$E$11:$SJ$98,44,FALSE),"")</f>
        <v/>
      </c>
      <c r="Y50" s="263" t="str">
        <f>IFERROR(HLOOKUP(Y$7,'PCO Log'!$E$11:$SJ$98,44,FALSE),"")</f>
        <v/>
      </c>
      <c r="Z50" s="263" t="str">
        <f>IFERROR(HLOOKUP(Z$7,'PCO Log'!$E$11:$SJ$98,44,FALSE),"")</f>
        <v/>
      </c>
      <c r="AA50" s="263" t="str">
        <f>IFERROR(HLOOKUP(AA$7,'PCO Log'!$E$11:$SJ$98,44,FALSE),"")</f>
        <v/>
      </c>
      <c r="AB50" s="263" t="str">
        <f>IFERROR(HLOOKUP(AB$7,'PCO Log'!$E$11:$SJ$98,44,FALSE),"")</f>
        <v/>
      </c>
      <c r="AC50" s="263" t="str">
        <f>IFERROR(HLOOKUP(AC$7,'PCO Log'!$E$11:$SJ$98,44,FALSE),"")</f>
        <v/>
      </c>
      <c r="AD50" s="263" t="str">
        <f>IFERROR(HLOOKUP(AD$7,'PCO Log'!$E$11:$SJ$98,44,FALSE),"")</f>
        <v/>
      </c>
      <c r="AE50" s="263" t="str">
        <f>IFERROR(HLOOKUP(AE$7,'PCO Log'!$E$11:$SJ$98,44,FALSE),"")</f>
        <v/>
      </c>
      <c r="AF50" s="263" t="str">
        <f>IFERROR(HLOOKUP(AF$7,'PCO Log'!$E$11:$SJ$98,44,FALSE),"")</f>
        <v/>
      </c>
      <c r="AG50" s="263" t="str">
        <f>IFERROR(HLOOKUP(AG$7,'PCO Log'!$E$11:$SJ$98,44,FALSE),"")</f>
        <v/>
      </c>
      <c r="AH50" s="263" t="str">
        <f>IFERROR(HLOOKUP(AH$7,'PCO Log'!$E$11:$SJ$98,44,FALSE),"")</f>
        <v/>
      </c>
      <c r="AI50" s="263" t="str">
        <f>IFERROR(HLOOKUP(AI$7,'PCO Log'!$E$11:$SJ$98,44,FALSE),"")</f>
        <v/>
      </c>
      <c r="AJ50" s="263" t="str">
        <f>IFERROR(HLOOKUP(AJ$7,'PCO Log'!$E$11:$SJ$98,44,FALSE),"")</f>
        <v/>
      </c>
      <c r="AK50" s="263" t="str">
        <f>IFERROR(HLOOKUP(AK$7,'PCO Log'!$E$11:$SJ$98,44,FALSE),"")</f>
        <v/>
      </c>
      <c r="AL50" s="263" t="str">
        <f>IFERROR(HLOOKUP(AL$7,'PCO Log'!$E$11:$SJ$98,44,FALSE),"")</f>
        <v/>
      </c>
      <c r="AM50" s="263" t="str">
        <f>IFERROR(HLOOKUP(AM$7,'PCO Log'!$E$11:$SJ$98,44,FALSE),"")</f>
        <v/>
      </c>
      <c r="AN50" s="263" t="str">
        <f>IFERROR(HLOOKUP(AN$7,'PCO Log'!$E$11:$SJ$98,44,FALSE),"")</f>
        <v/>
      </c>
      <c r="AO50" s="263" t="str">
        <f>IFERROR(HLOOKUP(AO$7,'PCO Log'!$E$11:$SJ$98,44,FALSE),"")</f>
        <v/>
      </c>
      <c r="AP50" s="263" t="str">
        <f>IFERROR(HLOOKUP(AP$7,'PCO Log'!$E$11:$SJ$98,44,FALSE),"")</f>
        <v/>
      </c>
      <c r="AQ50" s="263" t="str">
        <f>IFERROR(HLOOKUP(AQ$7,'PCO Log'!$E$11:$SJ$98,44,FALSE),"")</f>
        <v/>
      </c>
      <c r="AR50" s="263" t="str">
        <f>IFERROR(HLOOKUP(AR$7,'PCO Log'!$E$11:$SJ$98,44,FALSE),"")</f>
        <v/>
      </c>
      <c r="AS50" s="263" t="str">
        <f>IFERROR(HLOOKUP(AS$7,'PCO Log'!$E$11:$SJ$98,44,FALSE),"")</f>
        <v/>
      </c>
      <c r="AT50" s="263" t="str">
        <f>IFERROR(HLOOKUP(AT$7,'PCO Log'!$E$11:$SJ$98,44,FALSE),"")</f>
        <v/>
      </c>
      <c r="AU50" s="263" t="str">
        <f>IFERROR(HLOOKUP(AU$7,'PCO Log'!$E$11:$SJ$98,44,FALSE),"")</f>
        <v/>
      </c>
      <c r="AV50" s="263" t="str">
        <f>IFERROR(HLOOKUP(AV$7,'PCO Log'!$E$11:$SJ$98,44,FALSE),"")</f>
        <v/>
      </c>
      <c r="AW50" s="263" t="str">
        <f>IFERROR(HLOOKUP(AW$7,'PCO Log'!$E$11:$SJ$98,44,FALSE),"")</f>
        <v/>
      </c>
      <c r="AX50" s="263" t="str">
        <f>IFERROR(HLOOKUP(AX$7,'PCO Log'!$E$11:$SJ$98,44,FALSE),"")</f>
        <v/>
      </c>
      <c r="AY50" s="263" t="str">
        <f>IFERROR(HLOOKUP(AY$7,'PCO Log'!$E$11:$SJ$98,44,FALSE),"")</f>
        <v/>
      </c>
      <c r="AZ50" s="263" t="str">
        <f>IFERROR(HLOOKUP(AZ$7,'PCO Log'!$E$11:$SJ$98,44,FALSE),"")</f>
        <v/>
      </c>
      <c r="BA50" s="263" t="str">
        <f>IFERROR(HLOOKUP(BA$7,'PCO Log'!$E$11:$SJ$98,44,FALSE),"")</f>
        <v/>
      </c>
      <c r="BB50" s="263" t="str">
        <f>IFERROR(HLOOKUP(BB$7,'PCO Log'!$E$11:$SJ$98,44,FALSE),"")</f>
        <v/>
      </c>
      <c r="BC50" s="263" t="str">
        <f>IFERROR(HLOOKUP(BC$7,'PCO Log'!$E$11:$SJ$98,44,FALSE),"")</f>
        <v/>
      </c>
    </row>
    <row r="51" spans="2:55" s="334" customFormat="1" x14ac:dyDescent="0.25">
      <c r="B51" s="196" t="str">
        <f>'Pay App 1'!B100</f>
        <v>09 20 00</v>
      </c>
      <c r="C51" s="197" t="str">
        <f>'Pay App 1'!C100</f>
        <v>Gypsum Board Systems</v>
      </c>
      <c r="D51" s="263">
        <f t="shared" si="1"/>
        <v>0</v>
      </c>
      <c r="E51" s="264">
        <f>'Pay App 1'!D100</f>
        <v>0</v>
      </c>
      <c r="F51" s="263" t="str">
        <f>IFERROR(HLOOKUP(F$7,'PCO Log'!$E$11:$SJ$98,45,FALSE),"")</f>
        <v/>
      </c>
      <c r="G51" s="263" t="str">
        <f>IFERROR(HLOOKUP(G$7,'PCO Log'!$E$11:$SJ$98,45,FALSE),"")</f>
        <v/>
      </c>
      <c r="H51" s="263" t="str">
        <f>IFERROR(HLOOKUP(H$7,'PCO Log'!$E$11:$SJ$98,45,FALSE),"")</f>
        <v/>
      </c>
      <c r="I51" s="263" t="str">
        <f>IFERROR(HLOOKUP(I$7,'PCO Log'!$E$11:$SJ$98,45,FALSE),"")</f>
        <v/>
      </c>
      <c r="J51" s="263" t="str">
        <f>IFERROR(HLOOKUP(J$7,'PCO Log'!$E$11:$SJ$98,45,FALSE),"")</f>
        <v/>
      </c>
      <c r="K51" s="263" t="str">
        <f>IFERROR(HLOOKUP(K$7,'PCO Log'!$E$11:$SJ$98,45,FALSE),"")</f>
        <v/>
      </c>
      <c r="L51" s="263" t="str">
        <f>IFERROR(HLOOKUP(L$7,'PCO Log'!$E$11:$SJ$98,45,FALSE),"")</f>
        <v/>
      </c>
      <c r="M51" s="263" t="str">
        <f>IFERROR(HLOOKUP(M$7,'PCO Log'!$E$11:$SJ$98,45,FALSE),"")</f>
        <v/>
      </c>
      <c r="N51" s="263" t="str">
        <f>IFERROR(HLOOKUP(N$7,'PCO Log'!$E$11:$SJ$98,45,FALSE),"")</f>
        <v/>
      </c>
      <c r="O51" s="263" t="str">
        <f>IFERROR(HLOOKUP(O$7,'PCO Log'!$E$11:$SJ$98,45,FALSE),"")</f>
        <v/>
      </c>
      <c r="P51" s="263" t="str">
        <f>IFERROR(HLOOKUP(P$7,'PCO Log'!$E$11:$SJ$98,45,FALSE),"")</f>
        <v/>
      </c>
      <c r="Q51" s="263" t="str">
        <f>IFERROR(HLOOKUP(Q$7,'PCO Log'!$E$11:$SJ$98,45,FALSE),"")</f>
        <v/>
      </c>
      <c r="R51" s="263" t="str">
        <f>IFERROR(HLOOKUP(R$7,'PCO Log'!$E$11:$SJ$98,45,FALSE),"")</f>
        <v/>
      </c>
      <c r="S51" s="263" t="str">
        <f>IFERROR(HLOOKUP(S$7,'PCO Log'!$E$11:$SJ$98,45,FALSE),"")</f>
        <v/>
      </c>
      <c r="T51" s="263" t="str">
        <f>IFERROR(HLOOKUP(T$7,'PCO Log'!$E$11:$SJ$98,45,FALSE),"")</f>
        <v/>
      </c>
      <c r="U51" s="263" t="str">
        <f>IFERROR(HLOOKUP(U$7,'PCO Log'!$E$11:$SJ$98,45,FALSE),"")</f>
        <v/>
      </c>
      <c r="V51" s="263" t="str">
        <f>IFERROR(HLOOKUP(V$7,'PCO Log'!$E$11:$SJ$98,45,FALSE),"")</f>
        <v/>
      </c>
      <c r="W51" s="263" t="str">
        <f>IFERROR(HLOOKUP(W$7,'PCO Log'!$E$11:$SJ$98,45,FALSE),"")</f>
        <v/>
      </c>
      <c r="X51" s="263" t="str">
        <f>IFERROR(HLOOKUP(X$7,'PCO Log'!$E$11:$SJ$98,45,FALSE),"")</f>
        <v/>
      </c>
      <c r="Y51" s="263" t="str">
        <f>IFERROR(HLOOKUP(Y$7,'PCO Log'!$E$11:$SJ$98,45,FALSE),"")</f>
        <v/>
      </c>
      <c r="Z51" s="263" t="str">
        <f>IFERROR(HLOOKUP(Z$7,'PCO Log'!$E$11:$SJ$98,45,FALSE),"")</f>
        <v/>
      </c>
      <c r="AA51" s="263" t="str">
        <f>IFERROR(HLOOKUP(AA$7,'PCO Log'!$E$11:$SJ$98,45,FALSE),"")</f>
        <v/>
      </c>
      <c r="AB51" s="263" t="str">
        <f>IFERROR(HLOOKUP(AB$7,'PCO Log'!$E$11:$SJ$98,45,FALSE),"")</f>
        <v/>
      </c>
      <c r="AC51" s="263" t="str">
        <f>IFERROR(HLOOKUP(AC$7,'PCO Log'!$E$11:$SJ$98,45,FALSE),"")</f>
        <v/>
      </c>
      <c r="AD51" s="263" t="str">
        <f>IFERROR(HLOOKUP(AD$7,'PCO Log'!$E$11:$SJ$98,45,FALSE),"")</f>
        <v/>
      </c>
      <c r="AE51" s="263" t="str">
        <f>IFERROR(HLOOKUP(AE$7,'PCO Log'!$E$11:$SJ$98,45,FALSE),"")</f>
        <v/>
      </c>
      <c r="AF51" s="263" t="str">
        <f>IFERROR(HLOOKUP(AF$7,'PCO Log'!$E$11:$SJ$98,45,FALSE),"")</f>
        <v/>
      </c>
      <c r="AG51" s="263" t="str">
        <f>IFERROR(HLOOKUP(AG$7,'PCO Log'!$E$11:$SJ$98,45,FALSE),"")</f>
        <v/>
      </c>
      <c r="AH51" s="263" t="str">
        <f>IFERROR(HLOOKUP(AH$7,'PCO Log'!$E$11:$SJ$98,45,FALSE),"")</f>
        <v/>
      </c>
      <c r="AI51" s="263" t="str">
        <f>IFERROR(HLOOKUP(AI$7,'PCO Log'!$E$11:$SJ$98,45,FALSE),"")</f>
        <v/>
      </c>
      <c r="AJ51" s="263" t="str">
        <f>IFERROR(HLOOKUP(AJ$7,'PCO Log'!$E$11:$SJ$98,45,FALSE),"")</f>
        <v/>
      </c>
      <c r="AK51" s="263" t="str">
        <f>IFERROR(HLOOKUP(AK$7,'PCO Log'!$E$11:$SJ$98,45,FALSE),"")</f>
        <v/>
      </c>
      <c r="AL51" s="263" t="str">
        <f>IFERROR(HLOOKUP(AL$7,'PCO Log'!$E$11:$SJ$98,45,FALSE),"")</f>
        <v/>
      </c>
      <c r="AM51" s="263" t="str">
        <f>IFERROR(HLOOKUP(AM$7,'PCO Log'!$E$11:$SJ$98,45,FALSE),"")</f>
        <v/>
      </c>
      <c r="AN51" s="263" t="str">
        <f>IFERROR(HLOOKUP(AN$7,'PCO Log'!$E$11:$SJ$98,45,FALSE),"")</f>
        <v/>
      </c>
      <c r="AO51" s="263" t="str">
        <f>IFERROR(HLOOKUP(AO$7,'PCO Log'!$E$11:$SJ$98,45,FALSE),"")</f>
        <v/>
      </c>
      <c r="AP51" s="263" t="str">
        <f>IFERROR(HLOOKUP(AP$7,'PCO Log'!$E$11:$SJ$98,45,FALSE),"")</f>
        <v/>
      </c>
      <c r="AQ51" s="263" t="str">
        <f>IFERROR(HLOOKUP(AQ$7,'PCO Log'!$E$11:$SJ$98,45,FALSE),"")</f>
        <v/>
      </c>
      <c r="AR51" s="263" t="str">
        <f>IFERROR(HLOOKUP(AR$7,'PCO Log'!$E$11:$SJ$98,45,FALSE),"")</f>
        <v/>
      </c>
      <c r="AS51" s="263" t="str">
        <f>IFERROR(HLOOKUP(AS$7,'PCO Log'!$E$11:$SJ$98,45,FALSE),"")</f>
        <v/>
      </c>
      <c r="AT51" s="263" t="str">
        <f>IFERROR(HLOOKUP(AT$7,'PCO Log'!$E$11:$SJ$98,45,FALSE),"")</f>
        <v/>
      </c>
      <c r="AU51" s="263" t="str">
        <f>IFERROR(HLOOKUP(AU$7,'PCO Log'!$E$11:$SJ$98,45,FALSE),"")</f>
        <v/>
      </c>
      <c r="AV51" s="263" t="str">
        <f>IFERROR(HLOOKUP(AV$7,'PCO Log'!$E$11:$SJ$98,45,FALSE),"")</f>
        <v/>
      </c>
      <c r="AW51" s="263" t="str">
        <f>IFERROR(HLOOKUP(AW$7,'PCO Log'!$E$11:$SJ$98,45,FALSE),"")</f>
        <v/>
      </c>
      <c r="AX51" s="263" t="str">
        <f>IFERROR(HLOOKUP(AX$7,'PCO Log'!$E$11:$SJ$98,45,FALSE),"")</f>
        <v/>
      </c>
      <c r="AY51" s="263" t="str">
        <f>IFERROR(HLOOKUP(AY$7,'PCO Log'!$E$11:$SJ$98,45,FALSE),"")</f>
        <v/>
      </c>
      <c r="AZ51" s="263" t="str">
        <f>IFERROR(HLOOKUP(AZ$7,'PCO Log'!$E$11:$SJ$98,45,FALSE),"")</f>
        <v/>
      </c>
      <c r="BA51" s="263" t="str">
        <f>IFERROR(HLOOKUP(BA$7,'PCO Log'!$E$11:$SJ$98,45,FALSE),"")</f>
        <v/>
      </c>
      <c r="BB51" s="263" t="str">
        <f>IFERROR(HLOOKUP(BB$7,'PCO Log'!$E$11:$SJ$98,45,FALSE),"")</f>
        <v/>
      </c>
      <c r="BC51" s="263" t="str">
        <f>IFERROR(HLOOKUP(BC$7,'PCO Log'!$E$11:$SJ$98,45,FALSE),"")</f>
        <v/>
      </c>
    </row>
    <row r="52" spans="2:55" s="334" customFormat="1" x14ac:dyDescent="0.25">
      <c r="B52" s="36" t="str">
        <f>'Pay App 1'!B106</f>
        <v>09 30 00</v>
      </c>
      <c r="C52" s="37" t="str">
        <f>'Pay App 1'!C106</f>
        <v>Ceramic Tile</v>
      </c>
      <c r="D52" s="263">
        <f t="shared" si="1"/>
        <v>0</v>
      </c>
      <c r="E52" s="263">
        <f>'Pay App 1'!D106</f>
        <v>0</v>
      </c>
      <c r="F52" s="263" t="str">
        <f>IFERROR(HLOOKUP(F$7,'PCO Log'!$E$11:$SJ$98,46,FALSE),"")</f>
        <v/>
      </c>
      <c r="G52" s="263" t="str">
        <f>IFERROR(HLOOKUP(G$7,'PCO Log'!$E$11:$SJ$98,46,FALSE),"")</f>
        <v/>
      </c>
      <c r="H52" s="263" t="str">
        <f>IFERROR(HLOOKUP(H$7,'PCO Log'!$E$11:$SJ$98,46,FALSE),"")</f>
        <v/>
      </c>
      <c r="I52" s="263" t="str">
        <f>IFERROR(HLOOKUP(I$7,'PCO Log'!$E$11:$SJ$98,46,FALSE),"")</f>
        <v/>
      </c>
      <c r="J52" s="263" t="str">
        <f>IFERROR(HLOOKUP(J$7,'PCO Log'!$E$11:$SJ$98,46,FALSE),"")</f>
        <v/>
      </c>
      <c r="K52" s="263" t="str">
        <f>IFERROR(HLOOKUP(K$7,'PCO Log'!$E$11:$SJ$98,46,FALSE),"")</f>
        <v/>
      </c>
      <c r="L52" s="263" t="str">
        <f>IFERROR(HLOOKUP(L$7,'PCO Log'!$E$11:$SJ$98,46,FALSE),"")</f>
        <v/>
      </c>
      <c r="M52" s="263" t="str">
        <f>IFERROR(HLOOKUP(M$7,'PCO Log'!$E$11:$SJ$98,46,FALSE),"")</f>
        <v/>
      </c>
      <c r="N52" s="263" t="str">
        <f>IFERROR(HLOOKUP(N$7,'PCO Log'!$E$11:$SJ$98,46,FALSE),"")</f>
        <v/>
      </c>
      <c r="O52" s="263" t="str">
        <f>IFERROR(HLOOKUP(O$7,'PCO Log'!$E$11:$SJ$98,46,FALSE),"")</f>
        <v/>
      </c>
      <c r="P52" s="263" t="str">
        <f>IFERROR(HLOOKUP(P$7,'PCO Log'!$E$11:$SJ$98,46,FALSE),"")</f>
        <v/>
      </c>
      <c r="Q52" s="263" t="str">
        <f>IFERROR(HLOOKUP(Q$7,'PCO Log'!$E$11:$SJ$98,46,FALSE),"")</f>
        <v/>
      </c>
      <c r="R52" s="263" t="str">
        <f>IFERROR(HLOOKUP(R$7,'PCO Log'!$E$11:$SJ$98,46,FALSE),"")</f>
        <v/>
      </c>
      <c r="S52" s="263" t="str">
        <f>IFERROR(HLOOKUP(S$7,'PCO Log'!$E$11:$SJ$98,46,FALSE),"")</f>
        <v/>
      </c>
      <c r="T52" s="263" t="str">
        <f>IFERROR(HLOOKUP(T$7,'PCO Log'!$E$11:$SJ$98,46,FALSE),"")</f>
        <v/>
      </c>
      <c r="U52" s="263" t="str">
        <f>IFERROR(HLOOKUP(U$7,'PCO Log'!$E$11:$SJ$98,46,FALSE),"")</f>
        <v/>
      </c>
      <c r="V52" s="263" t="str">
        <f>IFERROR(HLOOKUP(V$7,'PCO Log'!$E$11:$SJ$98,46,FALSE),"")</f>
        <v/>
      </c>
      <c r="W52" s="263" t="str">
        <f>IFERROR(HLOOKUP(W$7,'PCO Log'!$E$11:$SJ$98,46,FALSE),"")</f>
        <v/>
      </c>
      <c r="X52" s="263" t="str">
        <f>IFERROR(HLOOKUP(X$7,'PCO Log'!$E$11:$SJ$98,46,FALSE),"")</f>
        <v/>
      </c>
      <c r="Y52" s="263" t="str">
        <f>IFERROR(HLOOKUP(Y$7,'PCO Log'!$E$11:$SJ$98,46,FALSE),"")</f>
        <v/>
      </c>
      <c r="Z52" s="263" t="str">
        <f>IFERROR(HLOOKUP(Z$7,'PCO Log'!$E$11:$SJ$98,46,FALSE),"")</f>
        <v/>
      </c>
      <c r="AA52" s="263" t="str">
        <f>IFERROR(HLOOKUP(AA$7,'PCO Log'!$E$11:$SJ$98,46,FALSE),"")</f>
        <v/>
      </c>
      <c r="AB52" s="263" t="str">
        <f>IFERROR(HLOOKUP(AB$7,'PCO Log'!$E$11:$SJ$98,46,FALSE),"")</f>
        <v/>
      </c>
      <c r="AC52" s="263" t="str">
        <f>IFERROR(HLOOKUP(AC$7,'PCO Log'!$E$11:$SJ$98,46,FALSE),"")</f>
        <v/>
      </c>
      <c r="AD52" s="263" t="str">
        <f>IFERROR(HLOOKUP(AD$7,'PCO Log'!$E$11:$SJ$98,46,FALSE),"")</f>
        <v/>
      </c>
      <c r="AE52" s="263" t="str">
        <f>IFERROR(HLOOKUP(AE$7,'PCO Log'!$E$11:$SJ$98,46,FALSE),"")</f>
        <v/>
      </c>
      <c r="AF52" s="263" t="str">
        <f>IFERROR(HLOOKUP(AF$7,'PCO Log'!$E$11:$SJ$98,46,FALSE),"")</f>
        <v/>
      </c>
      <c r="AG52" s="263" t="str">
        <f>IFERROR(HLOOKUP(AG$7,'PCO Log'!$E$11:$SJ$98,46,FALSE),"")</f>
        <v/>
      </c>
      <c r="AH52" s="263" t="str">
        <f>IFERROR(HLOOKUP(AH$7,'PCO Log'!$E$11:$SJ$98,46,FALSE),"")</f>
        <v/>
      </c>
      <c r="AI52" s="263" t="str">
        <f>IFERROR(HLOOKUP(AI$7,'PCO Log'!$E$11:$SJ$98,46,FALSE),"")</f>
        <v/>
      </c>
      <c r="AJ52" s="263" t="str">
        <f>IFERROR(HLOOKUP(AJ$7,'PCO Log'!$E$11:$SJ$98,46,FALSE),"")</f>
        <v/>
      </c>
      <c r="AK52" s="263" t="str">
        <f>IFERROR(HLOOKUP(AK$7,'PCO Log'!$E$11:$SJ$98,46,FALSE),"")</f>
        <v/>
      </c>
      <c r="AL52" s="263" t="str">
        <f>IFERROR(HLOOKUP(AL$7,'PCO Log'!$E$11:$SJ$98,46,FALSE),"")</f>
        <v/>
      </c>
      <c r="AM52" s="263" t="str">
        <f>IFERROR(HLOOKUP(AM$7,'PCO Log'!$E$11:$SJ$98,46,FALSE),"")</f>
        <v/>
      </c>
      <c r="AN52" s="263" t="str">
        <f>IFERROR(HLOOKUP(AN$7,'PCO Log'!$E$11:$SJ$98,46,FALSE),"")</f>
        <v/>
      </c>
      <c r="AO52" s="263" t="str">
        <f>IFERROR(HLOOKUP(AO$7,'PCO Log'!$E$11:$SJ$98,46,FALSE),"")</f>
        <v/>
      </c>
      <c r="AP52" s="263" t="str">
        <f>IFERROR(HLOOKUP(AP$7,'PCO Log'!$E$11:$SJ$98,46,FALSE),"")</f>
        <v/>
      </c>
      <c r="AQ52" s="263" t="str">
        <f>IFERROR(HLOOKUP(AQ$7,'PCO Log'!$E$11:$SJ$98,46,FALSE),"")</f>
        <v/>
      </c>
      <c r="AR52" s="263" t="str">
        <f>IFERROR(HLOOKUP(AR$7,'PCO Log'!$E$11:$SJ$98,46,FALSE),"")</f>
        <v/>
      </c>
      <c r="AS52" s="263" t="str">
        <f>IFERROR(HLOOKUP(AS$7,'PCO Log'!$E$11:$SJ$98,46,FALSE),"")</f>
        <v/>
      </c>
      <c r="AT52" s="263" t="str">
        <f>IFERROR(HLOOKUP(AT$7,'PCO Log'!$E$11:$SJ$98,46,FALSE),"")</f>
        <v/>
      </c>
      <c r="AU52" s="263" t="str">
        <f>IFERROR(HLOOKUP(AU$7,'PCO Log'!$E$11:$SJ$98,46,FALSE),"")</f>
        <v/>
      </c>
      <c r="AV52" s="263" t="str">
        <f>IFERROR(HLOOKUP(AV$7,'PCO Log'!$E$11:$SJ$98,46,FALSE),"")</f>
        <v/>
      </c>
      <c r="AW52" s="263" t="str">
        <f>IFERROR(HLOOKUP(AW$7,'PCO Log'!$E$11:$SJ$98,46,FALSE),"")</f>
        <v/>
      </c>
      <c r="AX52" s="263" t="str">
        <f>IFERROR(HLOOKUP(AX$7,'PCO Log'!$E$11:$SJ$98,46,FALSE),"")</f>
        <v/>
      </c>
      <c r="AY52" s="263" t="str">
        <f>IFERROR(HLOOKUP(AY$7,'PCO Log'!$E$11:$SJ$98,46,FALSE),"")</f>
        <v/>
      </c>
      <c r="AZ52" s="263" t="str">
        <f>IFERROR(HLOOKUP(AZ$7,'PCO Log'!$E$11:$SJ$98,46,FALSE),"")</f>
        <v/>
      </c>
      <c r="BA52" s="263" t="str">
        <f>IFERROR(HLOOKUP(BA$7,'PCO Log'!$E$11:$SJ$98,46,FALSE),"")</f>
        <v/>
      </c>
      <c r="BB52" s="263" t="str">
        <f>IFERROR(HLOOKUP(BB$7,'PCO Log'!$E$11:$SJ$98,46,FALSE),"")</f>
        <v/>
      </c>
      <c r="BC52" s="263" t="str">
        <f>IFERROR(HLOOKUP(BC$7,'PCO Log'!$E$11:$SJ$98,46,FALSE),"")</f>
        <v/>
      </c>
    </row>
    <row r="53" spans="2:55" s="334" customFormat="1" x14ac:dyDescent="0.25">
      <c r="B53" s="36" t="str">
        <f>'Pay App 1'!B107</f>
        <v>09 51 00</v>
      </c>
      <c r="C53" s="37" t="str">
        <f>'Pay App 1'!C107</f>
        <v>Acoustical Ceilings</v>
      </c>
      <c r="D53" s="263">
        <f t="shared" si="1"/>
        <v>0</v>
      </c>
      <c r="E53" s="264">
        <f>'Pay App 1'!D107</f>
        <v>0</v>
      </c>
      <c r="F53" s="263" t="str">
        <f>IFERROR(HLOOKUP(F$7,'PCO Log'!$E$11:$SJ$98,47,FALSE),"")</f>
        <v/>
      </c>
      <c r="G53" s="263" t="str">
        <f>IFERROR(HLOOKUP(G$7,'PCO Log'!$E$11:$SJ$98,47,FALSE),"")</f>
        <v/>
      </c>
      <c r="H53" s="263" t="str">
        <f>IFERROR(HLOOKUP(H$7,'PCO Log'!$E$11:$SJ$98,47,FALSE),"")</f>
        <v/>
      </c>
      <c r="I53" s="263" t="str">
        <f>IFERROR(HLOOKUP(I$7,'PCO Log'!$E$11:$SJ$98,47,FALSE),"")</f>
        <v/>
      </c>
      <c r="J53" s="263" t="str">
        <f>IFERROR(HLOOKUP(J$7,'PCO Log'!$E$11:$SJ$98,47,FALSE),"")</f>
        <v/>
      </c>
      <c r="K53" s="263" t="str">
        <f>IFERROR(HLOOKUP(K$7,'PCO Log'!$E$11:$SJ$98,47,FALSE),"")</f>
        <v/>
      </c>
      <c r="L53" s="263" t="str">
        <f>IFERROR(HLOOKUP(L$7,'PCO Log'!$E$11:$SJ$98,47,FALSE),"")</f>
        <v/>
      </c>
      <c r="M53" s="263" t="str">
        <f>IFERROR(HLOOKUP(M$7,'PCO Log'!$E$11:$SJ$98,47,FALSE),"")</f>
        <v/>
      </c>
      <c r="N53" s="263" t="str">
        <f>IFERROR(HLOOKUP(N$7,'PCO Log'!$E$11:$SJ$98,47,FALSE),"")</f>
        <v/>
      </c>
      <c r="O53" s="263" t="str">
        <f>IFERROR(HLOOKUP(O$7,'PCO Log'!$E$11:$SJ$98,47,FALSE),"")</f>
        <v/>
      </c>
      <c r="P53" s="263" t="str">
        <f>IFERROR(HLOOKUP(P$7,'PCO Log'!$E$11:$SJ$98,47,FALSE),"")</f>
        <v/>
      </c>
      <c r="Q53" s="263" t="str">
        <f>IFERROR(HLOOKUP(Q$7,'PCO Log'!$E$11:$SJ$98,47,FALSE),"")</f>
        <v/>
      </c>
      <c r="R53" s="263" t="str">
        <f>IFERROR(HLOOKUP(R$7,'PCO Log'!$E$11:$SJ$98,47,FALSE),"")</f>
        <v/>
      </c>
      <c r="S53" s="263" t="str">
        <f>IFERROR(HLOOKUP(S$7,'PCO Log'!$E$11:$SJ$98,47,FALSE),"")</f>
        <v/>
      </c>
      <c r="T53" s="263" t="str">
        <f>IFERROR(HLOOKUP(T$7,'PCO Log'!$E$11:$SJ$98,47,FALSE),"")</f>
        <v/>
      </c>
      <c r="U53" s="263" t="str">
        <f>IFERROR(HLOOKUP(U$7,'PCO Log'!$E$11:$SJ$98,47,FALSE),"")</f>
        <v/>
      </c>
      <c r="V53" s="263" t="str">
        <f>IFERROR(HLOOKUP(V$7,'PCO Log'!$E$11:$SJ$98,47,FALSE),"")</f>
        <v/>
      </c>
      <c r="W53" s="263" t="str">
        <f>IFERROR(HLOOKUP(W$7,'PCO Log'!$E$11:$SJ$98,47,FALSE),"")</f>
        <v/>
      </c>
      <c r="X53" s="263" t="str">
        <f>IFERROR(HLOOKUP(X$7,'PCO Log'!$E$11:$SJ$98,47,FALSE),"")</f>
        <v/>
      </c>
      <c r="Y53" s="263" t="str">
        <f>IFERROR(HLOOKUP(Y$7,'PCO Log'!$E$11:$SJ$98,47,FALSE),"")</f>
        <v/>
      </c>
      <c r="Z53" s="263" t="str">
        <f>IFERROR(HLOOKUP(Z$7,'PCO Log'!$E$11:$SJ$98,47,FALSE),"")</f>
        <v/>
      </c>
      <c r="AA53" s="263" t="str">
        <f>IFERROR(HLOOKUP(AA$7,'PCO Log'!$E$11:$SJ$98,47,FALSE),"")</f>
        <v/>
      </c>
      <c r="AB53" s="263" t="str">
        <f>IFERROR(HLOOKUP(AB$7,'PCO Log'!$E$11:$SJ$98,47,FALSE),"")</f>
        <v/>
      </c>
      <c r="AC53" s="263" t="str">
        <f>IFERROR(HLOOKUP(AC$7,'PCO Log'!$E$11:$SJ$98,47,FALSE),"")</f>
        <v/>
      </c>
      <c r="AD53" s="263" t="str">
        <f>IFERROR(HLOOKUP(AD$7,'PCO Log'!$E$11:$SJ$98,47,FALSE),"")</f>
        <v/>
      </c>
      <c r="AE53" s="263" t="str">
        <f>IFERROR(HLOOKUP(AE$7,'PCO Log'!$E$11:$SJ$98,47,FALSE),"")</f>
        <v/>
      </c>
      <c r="AF53" s="263" t="str">
        <f>IFERROR(HLOOKUP(AF$7,'PCO Log'!$E$11:$SJ$98,47,FALSE),"")</f>
        <v/>
      </c>
      <c r="AG53" s="263" t="str">
        <f>IFERROR(HLOOKUP(AG$7,'PCO Log'!$E$11:$SJ$98,47,FALSE),"")</f>
        <v/>
      </c>
      <c r="AH53" s="263" t="str">
        <f>IFERROR(HLOOKUP(AH$7,'PCO Log'!$E$11:$SJ$98,47,FALSE),"")</f>
        <v/>
      </c>
      <c r="AI53" s="263" t="str">
        <f>IFERROR(HLOOKUP(AI$7,'PCO Log'!$E$11:$SJ$98,47,FALSE),"")</f>
        <v/>
      </c>
      <c r="AJ53" s="263" t="str">
        <f>IFERROR(HLOOKUP(AJ$7,'PCO Log'!$E$11:$SJ$98,47,FALSE),"")</f>
        <v/>
      </c>
      <c r="AK53" s="263" t="str">
        <f>IFERROR(HLOOKUP(AK$7,'PCO Log'!$E$11:$SJ$98,47,FALSE),"")</f>
        <v/>
      </c>
      <c r="AL53" s="263" t="str">
        <f>IFERROR(HLOOKUP(AL$7,'PCO Log'!$E$11:$SJ$98,47,FALSE),"")</f>
        <v/>
      </c>
      <c r="AM53" s="263" t="str">
        <f>IFERROR(HLOOKUP(AM$7,'PCO Log'!$E$11:$SJ$98,47,FALSE),"")</f>
        <v/>
      </c>
      <c r="AN53" s="263" t="str">
        <f>IFERROR(HLOOKUP(AN$7,'PCO Log'!$E$11:$SJ$98,47,FALSE),"")</f>
        <v/>
      </c>
      <c r="AO53" s="263" t="str">
        <f>IFERROR(HLOOKUP(AO$7,'PCO Log'!$E$11:$SJ$98,47,FALSE),"")</f>
        <v/>
      </c>
      <c r="AP53" s="263" t="str">
        <f>IFERROR(HLOOKUP(AP$7,'PCO Log'!$E$11:$SJ$98,47,FALSE),"")</f>
        <v/>
      </c>
      <c r="AQ53" s="263" t="str">
        <f>IFERROR(HLOOKUP(AQ$7,'PCO Log'!$E$11:$SJ$98,47,FALSE),"")</f>
        <v/>
      </c>
      <c r="AR53" s="263" t="str">
        <f>IFERROR(HLOOKUP(AR$7,'PCO Log'!$E$11:$SJ$98,47,FALSE),"")</f>
        <v/>
      </c>
      <c r="AS53" s="263" t="str">
        <f>IFERROR(HLOOKUP(AS$7,'PCO Log'!$E$11:$SJ$98,47,FALSE),"")</f>
        <v/>
      </c>
      <c r="AT53" s="263" t="str">
        <f>IFERROR(HLOOKUP(AT$7,'PCO Log'!$E$11:$SJ$98,47,FALSE),"")</f>
        <v/>
      </c>
      <c r="AU53" s="263" t="str">
        <f>IFERROR(HLOOKUP(AU$7,'PCO Log'!$E$11:$SJ$98,47,FALSE),"")</f>
        <v/>
      </c>
      <c r="AV53" s="263" t="str">
        <f>IFERROR(HLOOKUP(AV$7,'PCO Log'!$E$11:$SJ$98,47,FALSE),"")</f>
        <v/>
      </c>
      <c r="AW53" s="263" t="str">
        <f>IFERROR(HLOOKUP(AW$7,'PCO Log'!$E$11:$SJ$98,47,FALSE),"")</f>
        <v/>
      </c>
      <c r="AX53" s="263" t="str">
        <f>IFERROR(HLOOKUP(AX$7,'PCO Log'!$E$11:$SJ$98,47,FALSE),"")</f>
        <v/>
      </c>
      <c r="AY53" s="263" t="str">
        <f>IFERROR(HLOOKUP(AY$7,'PCO Log'!$E$11:$SJ$98,47,FALSE),"")</f>
        <v/>
      </c>
      <c r="AZ53" s="263" t="str">
        <f>IFERROR(HLOOKUP(AZ$7,'PCO Log'!$E$11:$SJ$98,47,FALSE),"")</f>
        <v/>
      </c>
      <c r="BA53" s="263" t="str">
        <f>IFERROR(HLOOKUP(BA$7,'PCO Log'!$E$11:$SJ$98,47,FALSE),"")</f>
        <v/>
      </c>
      <c r="BB53" s="263" t="str">
        <f>IFERROR(HLOOKUP(BB$7,'PCO Log'!$E$11:$SJ$98,47,FALSE),"")</f>
        <v/>
      </c>
      <c r="BC53" s="263" t="str">
        <f>IFERROR(HLOOKUP(BC$7,'PCO Log'!$E$11:$SJ$98,47,FALSE),"")</f>
        <v/>
      </c>
    </row>
    <row r="54" spans="2:55" s="334" customFormat="1" x14ac:dyDescent="0.25">
      <c r="B54" s="36" t="str">
        <f>'Pay App 1'!B108</f>
        <v>09 54 00</v>
      </c>
      <c r="C54" s="37" t="str">
        <f>'Pay App 1'!C108</f>
        <v>Specialty Ceilings</v>
      </c>
      <c r="D54" s="263">
        <f t="shared" si="1"/>
        <v>0</v>
      </c>
      <c r="E54" s="264">
        <f>'Pay App 1'!D108</f>
        <v>0</v>
      </c>
      <c r="F54" s="263" t="str">
        <f>IFERROR(HLOOKUP(F$7,'PCO Log'!$E$11:$SJ$98,48,FALSE),"")</f>
        <v/>
      </c>
      <c r="G54" s="263" t="str">
        <f>IFERROR(HLOOKUP(G$7,'PCO Log'!$E$11:$SJ$98,48,FALSE),"")</f>
        <v/>
      </c>
      <c r="H54" s="263" t="str">
        <f>IFERROR(HLOOKUP(H$7,'PCO Log'!$E$11:$SJ$98,48,FALSE),"")</f>
        <v/>
      </c>
      <c r="I54" s="263" t="str">
        <f>IFERROR(HLOOKUP(I$7,'PCO Log'!$E$11:$SJ$98,48,FALSE),"")</f>
        <v/>
      </c>
      <c r="J54" s="263" t="str">
        <f>IFERROR(HLOOKUP(J$7,'PCO Log'!$E$11:$SJ$98,48,FALSE),"")</f>
        <v/>
      </c>
      <c r="K54" s="263" t="str">
        <f>IFERROR(HLOOKUP(K$7,'PCO Log'!$E$11:$SJ$98,48,FALSE),"")</f>
        <v/>
      </c>
      <c r="L54" s="263" t="str">
        <f>IFERROR(HLOOKUP(L$7,'PCO Log'!$E$11:$SJ$98,48,FALSE),"")</f>
        <v/>
      </c>
      <c r="M54" s="263" t="str">
        <f>IFERROR(HLOOKUP(M$7,'PCO Log'!$E$11:$SJ$98,48,FALSE),"")</f>
        <v/>
      </c>
      <c r="N54" s="263" t="str">
        <f>IFERROR(HLOOKUP(N$7,'PCO Log'!$E$11:$SJ$98,48,FALSE),"")</f>
        <v/>
      </c>
      <c r="O54" s="263" t="str">
        <f>IFERROR(HLOOKUP(O$7,'PCO Log'!$E$11:$SJ$98,48,FALSE),"")</f>
        <v/>
      </c>
      <c r="P54" s="263" t="str">
        <f>IFERROR(HLOOKUP(P$7,'PCO Log'!$E$11:$SJ$98,48,FALSE),"")</f>
        <v/>
      </c>
      <c r="Q54" s="263" t="str">
        <f>IFERROR(HLOOKUP(Q$7,'PCO Log'!$E$11:$SJ$98,48,FALSE),"")</f>
        <v/>
      </c>
      <c r="R54" s="263" t="str">
        <f>IFERROR(HLOOKUP(R$7,'PCO Log'!$E$11:$SJ$98,48,FALSE),"")</f>
        <v/>
      </c>
      <c r="S54" s="263" t="str">
        <f>IFERROR(HLOOKUP(S$7,'PCO Log'!$E$11:$SJ$98,48,FALSE),"")</f>
        <v/>
      </c>
      <c r="T54" s="263" t="str">
        <f>IFERROR(HLOOKUP(T$7,'PCO Log'!$E$11:$SJ$98,48,FALSE),"")</f>
        <v/>
      </c>
      <c r="U54" s="263" t="str">
        <f>IFERROR(HLOOKUP(U$7,'PCO Log'!$E$11:$SJ$98,48,FALSE),"")</f>
        <v/>
      </c>
      <c r="V54" s="263" t="str">
        <f>IFERROR(HLOOKUP(V$7,'PCO Log'!$E$11:$SJ$98,48,FALSE),"")</f>
        <v/>
      </c>
      <c r="W54" s="263" t="str">
        <f>IFERROR(HLOOKUP(W$7,'PCO Log'!$E$11:$SJ$98,48,FALSE),"")</f>
        <v/>
      </c>
      <c r="X54" s="263" t="str">
        <f>IFERROR(HLOOKUP(X$7,'PCO Log'!$E$11:$SJ$98,48,FALSE),"")</f>
        <v/>
      </c>
      <c r="Y54" s="263" t="str">
        <f>IFERROR(HLOOKUP(Y$7,'PCO Log'!$E$11:$SJ$98,48,FALSE),"")</f>
        <v/>
      </c>
      <c r="Z54" s="263" t="str">
        <f>IFERROR(HLOOKUP(Z$7,'PCO Log'!$E$11:$SJ$98,48,FALSE),"")</f>
        <v/>
      </c>
      <c r="AA54" s="263" t="str">
        <f>IFERROR(HLOOKUP(AA$7,'PCO Log'!$E$11:$SJ$98,48,FALSE),"")</f>
        <v/>
      </c>
      <c r="AB54" s="263" t="str">
        <f>IFERROR(HLOOKUP(AB$7,'PCO Log'!$E$11:$SJ$98,48,FALSE),"")</f>
        <v/>
      </c>
      <c r="AC54" s="263" t="str">
        <f>IFERROR(HLOOKUP(AC$7,'PCO Log'!$E$11:$SJ$98,48,FALSE),"")</f>
        <v/>
      </c>
      <c r="AD54" s="263" t="str">
        <f>IFERROR(HLOOKUP(AD$7,'PCO Log'!$E$11:$SJ$98,48,FALSE),"")</f>
        <v/>
      </c>
      <c r="AE54" s="263" t="str">
        <f>IFERROR(HLOOKUP(AE$7,'PCO Log'!$E$11:$SJ$98,48,FALSE),"")</f>
        <v/>
      </c>
      <c r="AF54" s="263" t="str">
        <f>IFERROR(HLOOKUP(AF$7,'PCO Log'!$E$11:$SJ$98,48,FALSE),"")</f>
        <v/>
      </c>
      <c r="AG54" s="263" t="str">
        <f>IFERROR(HLOOKUP(AG$7,'PCO Log'!$E$11:$SJ$98,48,FALSE),"")</f>
        <v/>
      </c>
      <c r="AH54" s="263" t="str">
        <f>IFERROR(HLOOKUP(AH$7,'PCO Log'!$E$11:$SJ$98,48,FALSE),"")</f>
        <v/>
      </c>
      <c r="AI54" s="263" t="str">
        <f>IFERROR(HLOOKUP(AI$7,'PCO Log'!$E$11:$SJ$98,48,FALSE),"")</f>
        <v/>
      </c>
      <c r="AJ54" s="263" t="str">
        <f>IFERROR(HLOOKUP(AJ$7,'PCO Log'!$E$11:$SJ$98,48,FALSE),"")</f>
        <v/>
      </c>
      <c r="AK54" s="263" t="str">
        <f>IFERROR(HLOOKUP(AK$7,'PCO Log'!$E$11:$SJ$98,48,FALSE),"")</f>
        <v/>
      </c>
      <c r="AL54" s="263" t="str">
        <f>IFERROR(HLOOKUP(AL$7,'PCO Log'!$E$11:$SJ$98,48,FALSE),"")</f>
        <v/>
      </c>
      <c r="AM54" s="263" t="str">
        <f>IFERROR(HLOOKUP(AM$7,'PCO Log'!$E$11:$SJ$98,48,FALSE),"")</f>
        <v/>
      </c>
      <c r="AN54" s="263" t="str">
        <f>IFERROR(HLOOKUP(AN$7,'PCO Log'!$E$11:$SJ$98,48,FALSE),"")</f>
        <v/>
      </c>
      <c r="AO54" s="263" t="str">
        <f>IFERROR(HLOOKUP(AO$7,'PCO Log'!$E$11:$SJ$98,48,FALSE),"")</f>
        <v/>
      </c>
      <c r="AP54" s="263" t="str">
        <f>IFERROR(HLOOKUP(AP$7,'PCO Log'!$E$11:$SJ$98,48,FALSE),"")</f>
        <v/>
      </c>
      <c r="AQ54" s="263" t="str">
        <f>IFERROR(HLOOKUP(AQ$7,'PCO Log'!$E$11:$SJ$98,48,FALSE),"")</f>
        <v/>
      </c>
      <c r="AR54" s="263" t="str">
        <f>IFERROR(HLOOKUP(AR$7,'PCO Log'!$E$11:$SJ$98,48,FALSE),"")</f>
        <v/>
      </c>
      <c r="AS54" s="263" t="str">
        <f>IFERROR(HLOOKUP(AS$7,'PCO Log'!$E$11:$SJ$98,48,FALSE),"")</f>
        <v/>
      </c>
      <c r="AT54" s="263" t="str">
        <f>IFERROR(HLOOKUP(AT$7,'PCO Log'!$E$11:$SJ$98,48,FALSE),"")</f>
        <v/>
      </c>
      <c r="AU54" s="263" t="str">
        <f>IFERROR(HLOOKUP(AU$7,'PCO Log'!$E$11:$SJ$98,48,FALSE),"")</f>
        <v/>
      </c>
      <c r="AV54" s="263" t="str">
        <f>IFERROR(HLOOKUP(AV$7,'PCO Log'!$E$11:$SJ$98,48,FALSE),"")</f>
        <v/>
      </c>
      <c r="AW54" s="263" t="str">
        <f>IFERROR(HLOOKUP(AW$7,'PCO Log'!$E$11:$SJ$98,48,FALSE),"")</f>
        <v/>
      </c>
      <c r="AX54" s="263" t="str">
        <f>IFERROR(HLOOKUP(AX$7,'PCO Log'!$E$11:$SJ$98,48,FALSE),"")</f>
        <v/>
      </c>
      <c r="AY54" s="263" t="str">
        <f>IFERROR(HLOOKUP(AY$7,'PCO Log'!$E$11:$SJ$98,48,FALSE),"")</f>
        <v/>
      </c>
      <c r="AZ54" s="263" t="str">
        <f>IFERROR(HLOOKUP(AZ$7,'PCO Log'!$E$11:$SJ$98,48,FALSE),"")</f>
        <v/>
      </c>
      <c r="BA54" s="263" t="str">
        <f>IFERROR(HLOOKUP(BA$7,'PCO Log'!$E$11:$SJ$98,48,FALSE),"")</f>
        <v/>
      </c>
      <c r="BB54" s="263" t="str">
        <f>IFERROR(HLOOKUP(BB$7,'PCO Log'!$E$11:$SJ$98,48,FALSE),"")</f>
        <v/>
      </c>
      <c r="BC54" s="263" t="str">
        <f>IFERROR(HLOOKUP(BC$7,'PCO Log'!$E$11:$SJ$98,48,FALSE),"")</f>
        <v/>
      </c>
    </row>
    <row r="55" spans="2:55" s="334" customFormat="1" x14ac:dyDescent="0.25">
      <c r="B55" s="36" t="str">
        <f>'Pay App 1'!B109</f>
        <v>09 60 00</v>
      </c>
      <c r="C55" s="37" t="str">
        <f>'Pay App 1'!C109</f>
        <v>Floor Coverings</v>
      </c>
      <c r="D55" s="263">
        <f t="shared" si="1"/>
        <v>0</v>
      </c>
      <c r="E55" s="264">
        <f>'Pay App 1'!D109</f>
        <v>0</v>
      </c>
      <c r="F55" s="263" t="str">
        <f>IFERROR(HLOOKUP(F$7,'PCO Log'!$E$11:$SJ$98,49,FALSE),"")</f>
        <v/>
      </c>
      <c r="G55" s="263" t="str">
        <f>IFERROR(HLOOKUP(G$7,'PCO Log'!$E$11:$SJ$98,49,FALSE),"")</f>
        <v/>
      </c>
      <c r="H55" s="263" t="str">
        <f>IFERROR(HLOOKUP(H$7,'PCO Log'!$E$11:$SJ$98,49,FALSE),"")</f>
        <v/>
      </c>
      <c r="I55" s="263" t="str">
        <f>IFERROR(HLOOKUP(I$7,'PCO Log'!$E$11:$SJ$98,49,FALSE),"")</f>
        <v/>
      </c>
      <c r="J55" s="263" t="str">
        <f>IFERROR(HLOOKUP(J$7,'PCO Log'!$E$11:$SJ$98,49,FALSE),"")</f>
        <v/>
      </c>
      <c r="K55" s="263" t="str">
        <f>IFERROR(HLOOKUP(K$7,'PCO Log'!$E$11:$SJ$98,49,FALSE),"")</f>
        <v/>
      </c>
      <c r="L55" s="263" t="str">
        <f>IFERROR(HLOOKUP(L$7,'PCO Log'!$E$11:$SJ$98,49,FALSE),"")</f>
        <v/>
      </c>
      <c r="M55" s="263" t="str">
        <f>IFERROR(HLOOKUP(M$7,'PCO Log'!$E$11:$SJ$98,49,FALSE),"")</f>
        <v/>
      </c>
      <c r="N55" s="263" t="str">
        <f>IFERROR(HLOOKUP(N$7,'PCO Log'!$E$11:$SJ$98,49,FALSE),"")</f>
        <v/>
      </c>
      <c r="O55" s="263" t="str">
        <f>IFERROR(HLOOKUP(O$7,'PCO Log'!$E$11:$SJ$98,49,FALSE),"")</f>
        <v/>
      </c>
      <c r="P55" s="263" t="str">
        <f>IFERROR(HLOOKUP(P$7,'PCO Log'!$E$11:$SJ$98,49,FALSE),"")</f>
        <v/>
      </c>
      <c r="Q55" s="263" t="str">
        <f>IFERROR(HLOOKUP(Q$7,'PCO Log'!$E$11:$SJ$98,49,FALSE),"")</f>
        <v/>
      </c>
      <c r="R55" s="263" t="str">
        <f>IFERROR(HLOOKUP(R$7,'PCO Log'!$E$11:$SJ$98,49,FALSE),"")</f>
        <v/>
      </c>
      <c r="S55" s="263" t="str">
        <f>IFERROR(HLOOKUP(S$7,'PCO Log'!$E$11:$SJ$98,49,FALSE),"")</f>
        <v/>
      </c>
      <c r="T55" s="263" t="str">
        <f>IFERROR(HLOOKUP(T$7,'PCO Log'!$E$11:$SJ$98,49,FALSE),"")</f>
        <v/>
      </c>
      <c r="U55" s="263" t="str">
        <f>IFERROR(HLOOKUP(U$7,'PCO Log'!$E$11:$SJ$98,49,FALSE),"")</f>
        <v/>
      </c>
      <c r="V55" s="263" t="str">
        <f>IFERROR(HLOOKUP(V$7,'PCO Log'!$E$11:$SJ$98,49,FALSE),"")</f>
        <v/>
      </c>
      <c r="W55" s="263" t="str">
        <f>IFERROR(HLOOKUP(W$7,'PCO Log'!$E$11:$SJ$98,49,FALSE),"")</f>
        <v/>
      </c>
      <c r="X55" s="263" t="str">
        <f>IFERROR(HLOOKUP(X$7,'PCO Log'!$E$11:$SJ$98,49,FALSE),"")</f>
        <v/>
      </c>
      <c r="Y55" s="263" t="str">
        <f>IFERROR(HLOOKUP(Y$7,'PCO Log'!$E$11:$SJ$98,49,FALSE),"")</f>
        <v/>
      </c>
      <c r="Z55" s="263" t="str">
        <f>IFERROR(HLOOKUP(Z$7,'PCO Log'!$E$11:$SJ$98,49,FALSE),"")</f>
        <v/>
      </c>
      <c r="AA55" s="263" t="str">
        <f>IFERROR(HLOOKUP(AA$7,'PCO Log'!$E$11:$SJ$98,49,FALSE),"")</f>
        <v/>
      </c>
      <c r="AB55" s="263" t="str">
        <f>IFERROR(HLOOKUP(AB$7,'PCO Log'!$E$11:$SJ$98,49,FALSE),"")</f>
        <v/>
      </c>
      <c r="AC55" s="263" t="str">
        <f>IFERROR(HLOOKUP(AC$7,'PCO Log'!$E$11:$SJ$98,49,FALSE),"")</f>
        <v/>
      </c>
      <c r="AD55" s="263" t="str">
        <f>IFERROR(HLOOKUP(AD$7,'PCO Log'!$E$11:$SJ$98,49,FALSE),"")</f>
        <v/>
      </c>
      <c r="AE55" s="263" t="str">
        <f>IFERROR(HLOOKUP(AE$7,'PCO Log'!$E$11:$SJ$98,49,FALSE),"")</f>
        <v/>
      </c>
      <c r="AF55" s="263" t="str">
        <f>IFERROR(HLOOKUP(AF$7,'PCO Log'!$E$11:$SJ$98,49,FALSE),"")</f>
        <v/>
      </c>
      <c r="AG55" s="263" t="str">
        <f>IFERROR(HLOOKUP(AG$7,'PCO Log'!$E$11:$SJ$98,49,FALSE),"")</f>
        <v/>
      </c>
      <c r="AH55" s="263" t="str">
        <f>IFERROR(HLOOKUP(AH$7,'PCO Log'!$E$11:$SJ$98,49,FALSE),"")</f>
        <v/>
      </c>
      <c r="AI55" s="263" t="str">
        <f>IFERROR(HLOOKUP(AI$7,'PCO Log'!$E$11:$SJ$98,49,FALSE),"")</f>
        <v/>
      </c>
      <c r="AJ55" s="263" t="str">
        <f>IFERROR(HLOOKUP(AJ$7,'PCO Log'!$E$11:$SJ$98,49,FALSE),"")</f>
        <v/>
      </c>
      <c r="AK55" s="263" t="str">
        <f>IFERROR(HLOOKUP(AK$7,'PCO Log'!$E$11:$SJ$98,49,FALSE),"")</f>
        <v/>
      </c>
      <c r="AL55" s="263" t="str">
        <f>IFERROR(HLOOKUP(AL$7,'PCO Log'!$E$11:$SJ$98,49,FALSE),"")</f>
        <v/>
      </c>
      <c r="AM55" s="263" t="str">
        <f>IFERROR(HLOOKUP(AM$7,'PCO Log'!$E$11:$SJ$98,49,FALSE),"")</f>
        <v/>
      </c>
      <c r="AN55" s="263" t="str">
        <f>IFERROR(HLOOKUP(AN$7,'PCO Log'!$E$11:$SJ$98,49,FALSE),"")</f>
        <v/>
      </c>
      <c r="AO55" s="263" t="str">
        <f>IFERROR(HLOOKUP(AO$7,'PCO Log'!$E$11:$SJ$98,49,FALSE),"")</f>
        <v/>
      </c>
      <c r="AP55" s="263" t="str">
        <f>IFERROR(HLOOKUP(AP$7,'PCO Log'!$E$11:$SJ$98,49,FALSE),"")</f>
        <v/>
      </c>
      <c r="AQ55" s="263" t="str">
        <f>IFERROR(HLOOKUP(AQ$7,'PCO Log'!$E$11:$SJ$98,49,FALSE),"")</f>
        <v/>
      </c>
      <c r="AR55" s="263" t="str">
        <f>IFERROR(HLOOKUP(AR$7,'PCO Log'!$E$11:$SJ$98,49,FALSE),"")</f>
        <v/>
      </c>
      <c r="AS55" s="263" t="str">
        <f>IFERROR(HLOOKUP(AS$7,'PCO Log'!$E$11:$SJ$98,49,FALSE),"")</f>
        <v/>
      </c>
      <c r="AT55" s="263" t="str">
        <f>IFERROR(HLOOKUP(AT$7,'PCO Log'!$E$11:$SJ$98,49,FALSE),"")</f>
        <v/>
      </c>
      <c r="AU55" s="263" t="str">
        <f>IFERROR(HLOOKUP(AU$7,'PCO Log'!$E$11:$SJ$98,49,FALSE),"")</f>
        <v/>
      </c>
      <c r="AV55" s="263" t="str">
        <f>IFERROR(HLOOKUP(AV$7,'PCO Log'!$E$11:$SJ$98,49,FALSE),"")</f>
        <v/>
      </c>
      <c r="AW55" s="263" t="str">
        <f>IFERROR(HLOOKUP(AW$7,'PCO Log'!$E$11:$SJ$98,49,FALSE),"")</f>
        <v/>
      </c>
      <c r="AX55" s="263" t="str">
        <f>IFERROR(HLOOKUP(AX$7,'PCO Log'!$E$11:$SJ$98,49,FALSE),"")</f>
        <v/>
      </c>
      <c r="AY55" s="263" t="str">
        <f>IFERROR(HLOOKUP(AY$7,'PCO Log'!$E$11:$SJ$98,49,FALSE),"")</f>
        <v/>
      </c>
      <c r="AZ55" s="263" t="str">
        <f>IFERROR(HLOOKUP(AZ$7,'PCO Log'!$E$11:$SJ$98,49,FALSE),"")</f>
        <v/>
      </c>
      <c r="BA55" s="263" t="str">
        <f>IFERROR(HLOOKUP(BA$7,'PCO Log'!$E$11:$SJ$98,49,FALSE),"")</f>
        <v/>
      </c>
      <c r="BB55" s="263" t="str">
        <f>IFERROR(HLOOKUP(BB$7,'PCO Log'!$E$11:$SJ$98,49,FALSE),"")</f>
        <v/>
      </c>
      <c r="BC55" s="263" t="str">
        <f>IFERROR(HLOOKUP(BC$7,'PCO Log'!$E$11:$SJ$98,49,FALSE),"")</f>
        <v/>
      </c>
    </row>
    <row r="56" spans="2:55" s="334" customFormat="1" x14ac:dyDescent="0.25">
      <c r="B56" s="36" t="str">
        <f>'Pay App 1'!B110</f>
        <v>09 62 00</v>
      </c>
      <c r="C56" s="37" t="str">
        <f>'Pay App 1'!C110</f>
        <v>Specialty Flooring</v>
      </c>
      <c r="D56" s="263">
        <f t="shared" si="1"/>
        <v>0</v>
      </c>
      <c r="E56" s="264">
        <f>'Pay App 1'!D110</f>
        <v>0</v>
      </c>
      <c r="F56" s="263" t="str">
        <f>IFERROR(HLOOKUP(F$7,'PCO Log'!$E$11:$SJ$98,50,FALSE),"")</f>
        <v/>
      </c>
      <c r="G56" s="263" t="str">
        <f>IFERROR(HLOOKUP(G$7,'PCO Log'!$E$11:$SJ$98,50,FALSE),"")</f>
        <v/>
      </c>
      <c r="H56" s="263" t="str">
        <f>IFERROR(HLOOKUP(H$7,'PCO Log'!$E$11:$SJ$98,50,FALSE),"")</f>
        <v/>
      </c>
      <c r="I56" s="263" t="str">
        <f>IFERROR(HLOOKUP(I$7,'PCO Log'!$E$11:$SJ$98,50,FALSE),"")</f>
        <v/>
      </c>
      <c r="J56" s="263" t="str">
        <f>IFERROR(HLOOKUP(J$7,'PCO Log'!$E$11:$SJ$98,50,FALSE),"")</f>
        <v/>
      </c>
      <c r="K56" s="263" t="str">
        <f>IFERROR(HLOOKUP(K$7,'PCO Log'!$E$11:$SJ$98,50,FALSE),"")</f>
        <v/>
      </c>
      <c r="L56" s="263" t="str">
        <f>IFERROR(HLOOKUP(L$7,'PCO Log'!$E$11:$SJ$98,50,FALSE),"")</f>
        <v/>
      </c>
      <c r="M56" s="263" t="str">
        <f>IFERROR(HLOOKUP(M$7,'PCO Log'!$E$11:$SJ$98,50,FALSE),"")</f>
        <v/>
      </c>
      <c r="N56" s="263" t="str">
        <f>IFERROR(HLOOKUP(N$7,'PCO Log'!$E$11:$SJ$98,50,FALSE),"")</f>
        <v/>
      </c>
      <c r="O56" s="263" t="str">
        <f>IFERROR(HLOOKUP(O$7,'PCO Log'!$E$11:$SJ$98,50,FALSE),"")</f>
        <v/>
      </c>
      <c r="P56" s="263" t="str">
        <f>IFERROR(HLOOKUP(P$7,'PCO Log'!$E$11:$SJ$98,50,FALSE),"")</f>
        <v/>
      </c>
      <c r="Q56" s="263" t="str">
        <f>IFERROR(HLOOKUP(Q$7,'PCO Log'!$E$11:$SJ$98,50,FALSE),"")</f>
        <v/>
      </c>
      <c r="R56" s="263" t="str">
        <f>IFERROR(HLOOKUP(R$7,'PCO Log'!$E$11:$SJ$98,50,FALSE),"")</f>
        <v/>
      </c>
      <c r="S56" s="263" t="str">
        <f>IFERROR(HLOOKUP(S$7,'PCO Log'!$E$11:$SJ$98,50,FALSE),"")</f>
        <v/>
      </c>
      <c r="T56" s="263" t="str">
        <f>IFERROR(HLOOKUP(T$7,'PCO Log'!$E$11:$SJ$98,50,FALSE),"")</f>
        <v/>
      </c>
      <c r="U56" s="263" t="str">
        <f>IFERROR(HLOOKUP(U$7,'PCO Log'!$E$11:$SJ$98,50,FALSE),"")</f>
        <v/>
      </c>
      <c r="V56" s="263" t="str">
        <f>IFERROR(HLOOKUP(V$7,'PCO Log'!$E$11:$SJ$98,50,FALSE),"")</f>
        <v/>
      </c>
      <c r="W56" s="263" t="str">
        <f>IFERROR(HLOOKUP(W$7,'PCO Log'!$E$11:$SJ$98,50,FALSE),"")</f>
        <v/>
      </c>
      <c r="X56" s="263" t="str">
        <f>IFERROR(HLOOKUP(X$7,'PCO Log'!$E$11:$SJ$98,50,FALSE),"")</f>
        <v/>
      </c>
      <c r="Y56" s="263" t="str">
        <f>IFERROR(HLOOKUP(Y$7,'PCO Log'!$E$11:$SJ$98,50,FALSE),"")</f>
        <v/>
      </c>
      <c r="Z56" s="263" t="str">
        <f>IFERROR(HLOOKUP(Z$7,'PCO Log'!$E$11:$SJ$98,50,FALSE),"")</f>
        <v/>
      </c>
      <c r="AA56" s="263" t="str">
        <f>IFERROR(HLOOKUP(AA$7,'PCO Log'!$E$11:$SJ$98,50,FALSE),"")</f>
        <v/>
      </c>
      <c r="AB56" s="263" t="str">
        <f>IFERROR(HLOOKUP(AB$7,'PCO Log'!$E$11:$SJ$98,50,FALSE),"")</f>
        <v/>
      </c>
      <c r="AC56" s="263" t="str">
        <f>IFERROR(HLOOKUP(AC$7,'PCO Log'!$E$11:$SJ$98,50,FALSE),"")</f>
        <v/>
      </c>
      <c r="AD56" s="263" t="str">
        <f>IFERROR(HLOOKUP(AD$7,'PCO Log'!$E$11:$SJ$98,50,FALSE),"")</f>
        <v/>
      </c>
      <c r="AE56" s="263" t="str">
        <f>IFERROR(HLOOKUP(AE$7,'PCO Log'!$E$11:$SJ$98,50,FALSE),"")</f>
        <v/>
      </c>
      <c r="AF56" s="263" t="str">
        <f>IFERROR(HLOOKUP(AF$7,'PCO Log'!$E$11:$SJ$98,50,FALSE),"")</f>
        <v/>
      </c>
      <c r="AG56" s="263" t="str">
        <f>IFERROR(HLOOKUP(AG$7,'PCO Log'!$E$11:$SJ$98,50,FALSE),"")</f>
        <v/>
      </c>
      <c r="AH56" s="263" t="str">
        <f>IFERROR(HLOOKUP(AH$7,'PCO Log'!$E$11:$SJ$98,50,FALSE),"")</f>
        <v/>
      </c>
      <c r="AI56" s="263" t="str">
        <f>IFERROR(HLOOKUP(AI$7,'PCO Log'!$E$11:$SJ$98,50,FALSE),"")</f>
        <v/>
      </c>
      <c r="AJ56" s="263" t="str">
        <f>IFERROR(HLOOKUP(AJ$7,'PCO Log'!$E$11:$SJ$98,50,FALSE),"")</f>
        <v/>
      </c>
      <c r="AK56" s="263" t="str">
        <f>IFERROR(HLOOKUP(AK$7,'PCO Log'!$E$11:$SJ$98,50,FALSE),"")</f>
        <v/>
      </c>
      <c r="AL56" s="263" t="str">
        <f>IFERROR(HLOOKUP(AL$7,'PCO Log'!$E$11:$SJ$98,50,FALSE),"")</f>
        <v/>
      </c>
      <c r="AM56" s="263" t="str">
        <f>IFERROR(HLOOKUP(AM$7,'PCO Log'!$E$11:$SJ$98,50,FALSE),"")</f>
        <v/>
      </c>
      <c r="AN56" s="263" t="str">
        <f>IFERROR(HLOOKUP(AN$7,'PCO Log'!$E$11:$SJ$98,50,FALSE),"")</f>
        <v/>
      </c>
      <c r="AO56" s="263" t="str">
        <f>IFERROR(HLOOKUP(AO$7,'PCO Log'!$E$11:$SJ$98,50,FALSE),"")</f>
        <v/>
      </c>
      <c r="AP56" s="263" t="str">
        <f>IFERROR(HLOOKUP(AP$7,'PCO Log'!$E$11:$SJ$98,50,FALSE),"")</f>
        <v/>
      </c>
      <c r="AQ56" s="263" t="str">
        <f>IFERROR(HLOOKUP(AQ$7,'PCO Log'!$E$11:$SJ$98,50,FALSE),"")</f>
        <v/>
      </c>
      <c r="AR56" s="263" t="str">
        <f>IFERROR(HLOOKUP(AR$7,'PCO Log'!$E$11:$SJ$98,50,FALSE),"")</f>
        <v/>
      </c>
      <c r="AS56" s="263" t="str">
        <f>IFERROR(HLOOKUP(AS$7,'PCO Log'!$E$11:$SJ$98,50,FALSE),"")</f>
        <v/>
      </c>
      <c r="AT56" s="263" t="str">
        <f>IFERROR(HLOOKUP(AT$7,'PCO Log'!$E$11:$SJ$98,50,FALSE),"")</f>
        <v/>
      </c>
      <c r="AU56" s="263" t="str">
        <f>IFERROR(HLOOKUP(AU$7,'PCO Log'!$E$11:$SJ$98,50,FALSE),"")</f>
        <v/>
      </c>
      <c r="AV56" s="263" t="str">
        <f>IFERROR(HLOOKUP(AV$7,'PCO Log'!$E$11:$SJ$98,50,FALSE),"")</f>
        <v/>
      </c>
      <c r="AW56" s="263" t="str">
        <f>IFERROR(HLOOKUP(AW$7,'PCO Log'!$E$11:$SJ$98,50,FALSE),"")</f>
        <v/>
      </c>
      <c r="AX56" s="263" t="str">
        <f>IFERROR(HLOOKUP(AX$7,'PCO Log'!$E$11:$SJ$98,50,FALSE),"")</f>
        <v/>
      </c>
      <c r="AY56" s="263" t="str">
        <f>IFERROR(HLOOKUP(AY$7,'PCO Log'!$E$11:$SJ$98,50,FALSE),"")</f>
        <v/>
      </c>
      <c r="AZ56" s="263" t="str">
        <f>IFERROR(HLOOKUP(AZ$7,'PCO Log'!$E$11:$SJ$98,50,FALSE),"")</f>
        <v/>
      </c>
      <c r="BA56" s="263" t="str">
        <f>IFERROR(HLOOKUP(BA$7,'PCO Log'!$E$11:$SJ$98,50,FALSE),"")</f>
        <v/>
      </c>
      <c r="BB56" s="263" t="str">
        <f>IFERROR(HLOOKUP(BB$7,'PCO Log'!$E$11:$SJ$98,50,FALSE),"")</f>
        <v/>
      </c>
      <c r="BC56" s="263" t="str">
        <f>IFERROR(HLOOKUP(BC$7,'PCO Log'!$E$11:$SJ$98,50,FALSE),"")</f>
        <v/>
      </c>
    </row>
    <row r="57" spans="2:55" s="334" customFormat="1" x14ac:dyDescent="0.25">
      <c r="B57" s="36" t="str">
        <f>'Pay App 1'!B111</f>
        <v>09 70 00</v>
      </c>
      <c r="C57" s="37" t="str">
        <f>'Pay App 1'!C111</f>
        <v>Wall Coverings</v>
      </c>
      <c r="D57" s="263">
        <f t="shared" si="1"/>
        <v>0</v>
      </c>
      <c r="E57" s="264">
        <f>'Pay App 1'!D111</f>
        <v>0</v>
      </c>
      <c r="F57" s="263" t="str">
        <f>IFERROR(HLOOKUP(F$7,'PCO Log'!$E$11:$SJ$98,51,FALSE),"")</f>
        <v/>
      </c>
      <c r="G57" s="263" t="str">
        <f>IFERROR(HLOOKUP(G$7,'PCO Log'!$E$11:$SJ$98,51,FALSE),"")</f>
        <v/>
      </c>
      <c r="H57" s="263" t="str">
        <f>IFERROR(HLOOKUP(H$7,'PCO Log'!$E$11:$SJ$98,51,FALSE),"")</f>
        <v/>
      </c>
      <c r="I57" s="263" t="str">
        <f>IFERROR(HLOOKUP(I$7,'PCO Log'!$E$11:$SJ$98,51,FALSE),"")</f>
        <v/>
      </c>
      <c r="J57" s="263" t="str">
        <f>IFERROR(HLOOKUP(J$7,'PCO Log'!$E$11:$SJ$98,51,FALSE),"")</f>
        <v/>
      </c>
      <c r="K57" s="263" t="str">
        <f>IFERROR(HLOOKUP(K$7,'PCO Log'!$E$11:$SJ$98,51,FALSE),"")</f>
        <v/>
      </c>
      <c r="L57" s="263" t="str">
        <f>IFERROR(HLOOKUP(L$7,'PCO Log'!$E$11:$SJ$98,51,FALSE),"")</f>
        <v/>
      </c>
      <c r="M57" s="263" t="str">
        <f>IFERROR(HLOOKUP(M$7,'PCO Log'!$E$11:$SJ$98,51,FALSE),"")</f>
        <v/>
      </c>
      <c r="N57" s="263" t="str">
        <f>IFERROR(HLOOKUP(N$7,'PCO Log'!$E$11:$SJ$98,51,FALSE),"")</f>
        <v/>
      </c>
      <c r="O57" s="263" t="str">
        <f>IFERROR(HLOOKUP(O$7,'PCO Log'!$E$11:$SJ$98,51,FALSE),"")</f>
        <v/>
      </c>
      <c r="P57" s="263" t="str">
        <f>IFERROR(HLOOKUP(P$7,'PCO Log'!$E$11:$SJ$98,51,FALSE),"")</f>
        <v/>
      </c>
      <c r="Q57" s="263" t="str">
        <f>IFERROR(HLOOKUP(Q$7,'PCO Log'!$E$11:$SJ$98,51,FALSE),"")</f>
        <v/>
      </c>
      <c r="R57" s="263" t="str">
        <f>IFERROR(HLOOKUP(R$7,'PCO Log'!$E$11:$SJ$98,51,FALSE),"")</f>
        <v/>
      </c>
      <c r="S57" s="263" t="str">
        <f>IFERROR(HLOOKUP(S$7,'PCO Log'!$E$11:$SJ$98,51,FALSE),"")</f>
        <v/>
      </c>
      <c r="T57" s="263" t="str">
        <f>IFERROR(HLOOKUP(T$7,'PCO Log'!$E$11:$SJ$98,51,FALSE),"")</f>
        <v/>
      </c>
      <c r="U57" s="263" t="str">
        <f>IFERROR(HLOOKUP(U$7,'PCO Log'!$E$11:$SJ$98,51,FALSE),"")</f>
        <v/>
      </c>
      <c r="V57" s="263" t="str">
        <f>IFERROR(HLOOKUP(V$7,'PCO Log'!$E$11:$SJ$98,51,FALSE),"")</f>
        <v/>
      </c>
      <c r="W57" s="263" t="str">
        <f>IFERROR(HLOOKUP(W$7,'PCO Log'!$E$11:$SJ$98,51,FALSE),"")</f>
        <v/>
      </c>
      <c r="X57" s="263" t="str">
        <f>IFERROR(HLOOKUP(X$7,'PCO Log'!$E$11:$SJ$98,51,FALSE),"")</f>
        <v/>
      </c>
      <c r="Y57" s="263" t="str">
        <f>IFERROR(HLOOKUP(Y$7,'PCO Log'!$E$11:$SJ$98,51,FALSE),"")</f>
        <v/>
      </c>
      <c r="Z57" s="263" t="str">
        <f>IFERROR(HLOOKUP(Z$7,'PCO Log'!$E$11:$SJ$98,51,FALSE),"")</f>
        <v/>
      </c>
      <c r="AA57" s="263" t="str">
        <f>IFERROR(HLOOKUP(AA$7,'PCO Log'!$E$11:$SJ$98,51,FALSE),"")</f>
        <v/>
      </c>
      <c r="AB57" s="263" t="str">
        <f>IFERROR(HLOOKUP(AB$7,'PCO Log'!$E$11:$SJ$98,51,FALSE),"")</f>
        <v/>
      </c>
      <c r="AC57" s="263" t="str">
        <f>IFERROR(HLOOKUP(AC$7,'PCO Log'!$E$11:$SJ$98,51,FALSE),"")</f>
        <v/>
      </c>
      <c r="AD57" s="263" t="str">
        <f>IFERROR(HLOOKUP(AD$7,'PCO Log'!$E$11:$SJ$98,51,FALSE),"")</f>
        <v/>
      </c>
      <c r="AE57" s="263" t="str">
        <f>IFERROR(HLOOKUP(AE$7,'PCO Log'!$E$11:$SJ$98,51,FALSE),"")</f>
        <v/>
      </c>
      <c r="AF57" s="263" t="str">
        <f>IFERROR(HLOOKUP(AF$7,'PCO Log'!$E$11:$SJ$98,51,FALSE),"")</f>
        <v/>
      </c>
      <c r="AG57" s="263" t="str">
        <f>IFERROR(HLOOKUP(AG$7,'PCO Log'!$E$11:$SJ$98,51,FALSE),"")</f>
        <v/>
      </c>
      <c r="AH57" s="263" t="str">
        <f>IFERROR(HLOOKUP(AH$7,'PCO Log'!$E$11:$SJ$98,51,FALSE),"")</f>
        <v/>
      </c>
      <c r="AI57" s="263" t="str">
        <f>IFERROR(HLOOKUP(AI$7,'PCO Log'!$E$11:$SJ$98,51,FALSE),"")</f>
        <v/>
      </c>
      <c r="AJ57" s="263" t="str">
        <f>IFERROR(HLOOKUP(AJ$7,'PCO Log'!$E$11:$SJ$98,51,FALSE),"")</f>
        <v/>
      </c>
      <c r="AK57" s="263" t="str">
        <f>IFERROR(HLOOKUP(AK$7,'PCO Log'!$E$11:$SJ$98,51,FALSE),"")</f>
        <v/>
      </c>
      <c r="AL57" s="263" t="str">
        <f>IFERROR(HLOOKUP(AL$7,'PCO Log'!$E$11:$SJ$98,51,FALSE),"")</f>
        <v/>
      </c>
      <c r="AM57" s="263" t="str">
        <f>IFERROR(HLOOKUP(AM$7,'PCO Log'!$E$11:$SJ$98,51,FALSE),"")</f>
        <v/>
      </c>
      <c r="AN57" s="263" t="str">
        <f>IFERROR(HLOOKUP(AN$7,'PCO Log'!$E$11:$SJ$98,51,FALSE),"")</f>
        <v/>
      </c>
      <c r="AO57" s="263" t="str">
        <f>IFERROR(HLOOKUP(AO$7,'PCO Log'!$E$11:$SJ$98,51,FALSE),"")</f>
        <v/>
      </c>
      <c r="AP57" s="263" t="str">
        <f>IFERROR(HLOOKUP(AP$7,'PCO Log'!$E$11:$SJ$98,51,FALSE),"")</f>
        <v/>
      </c>
      <c r="AQ57" s="263" t="str">
        <f>IFERROR(HLOOKUP(AQ$7,'PCO Log'!$E$11:$SJ$98,51,FALSE),"")</f>
        <v/>
      </c>
      <c r="AR57" s="263" t="str">
        <f>IFERROR(HLOOKUP(AR$7,'PCO Log'!$E$11:$SJ$98,51,FALSE),"")</f>
        <v/>
      </c>
      <c r="AS57" s="263" t="str">
        <f>IFERROR(HLOOKUP(AS$7,'PCO Log'!$E$11:$SJ$98,51,FALSE),"")</f>
        <v/>
      </c>
      <c r="AT57" s="263" t="str">
        <f>IFERROR(HLOOKUP(AT$7,'PCO Log'!$E$11:$SJ$98,51,FALSE),"")</f>
        <v/>
      </c>
      <c r="AU57" s="263" t="str">
        <f>IFERROR(HLOOKUP(AU$7,'PCO Log'!$E$11:$SJ$98,51,FALSE),"")</f>
        <v/>
      </c>
      <c r="AV57" s="263" t="str">
        <f>IFERROR(HLOOKUP(AV$7,'PCO Log'!$E$11:$SJ$98,51,FALSE),"")</f>
        <v/>
      </c>
      <c r="AW57" s="263" t="str">
        <f>IFERROR(HLOOKUP(AW$7,'PCO Log'!$E$11:$SJ$98,51,FALSE),"")</f>
        <v/>
      </c>
      <c r="AX57" s="263" t="str">
        <f>IFERROR(HLOOKUP(AX$7,'PCO Log'!$E$11:$SJ$98,51,FALSE),"")</f>
        <v/>
      </c>
      <c r="AY57" s="263" t="str">
        <f>IFERROR(HLOOKUP(AY$7,'PCO Log'!$E$11:$SJ$98,51,FALSE),"")</f>
        <v/>
      </c>
      <c r="AZ57" s="263" t="str">
        <f>IFERROR(HLOOKUP(AZ$7,'PCO Log'!$E$11:$SJ$98,51,FALSE),"")</f>
        <v/>
      </c>
      <c r="BA57" s="263" t="str">
        <f>IFERROR(HLOOKUP(BA$7,'PCO Log'!$E$11:$SJ$98,51,FALSE),"")</f>
        <v/>
      </c>
      <c r="BB57" s="263" t="str">
        <f>IFERROR(HLOOKUP(BB$7,'PCO Log'!$E$11:$SJ$98,51,FALSE),"")</f>
        <v/>
      </c>
      <c r="BC57" s="263" t="str">
        <f>IFERROR(HLOOKUP(BC$7,'PCO Log'!$E$11:$SJ$98,51,FALSE),"")</f>
        <v/>
      </c>
    </row>
    <row r="58" spans="2:55" s="334" customFormat="1" x14ac:dyDescent="0.25">
      <c r="B58" s="36" t="str">
        <f>'Pay App 1'!B112</f>
        <v>09 90 00</v>
      </c>
      <c r="C58" s="37" t="str">
        <f>'Pay App 1'!C112</f>
        <v>Painting</v>
      </c>
      <c r="D58" s="263">
        <f t="shared" si="1"/>
        <v>0</v>
      </c>
      <c r="E58" s="264">
        <f>'Pay App 1'!D112</f>
        <v>0</v>
      </c>
      <c r="F58" s="263" t="str">
        <f>IFERROR(HLOOKUP(F$7,'PCO Log'!$E$11:$SJ$98,52,FALSE),"")</f>
        <v/>
      </c>
      <c r="G58" s="263" t="str">
        <f>IFERROR(HLOOKUP(G$7,'PCO Log'!$E$11:$SJ$98,52,FALSE),"")</f>
        <v/>
      </c>
      <c r="H58" s="263" t="str">
        <f>IFERROR(HLOOKUP(H$7,'PCO Log'!$E$11:$SJ$98,52,FALSE),"")</f>
        <v/>
      </c>
      <c r="I58" s="263" t="str">
        <f>IFERROR(HLOOKUP(I$7,'PCO Log'!$E$11:$SJ$98,52,FALSE),"")</f>
        <v/>
      </c>
      <c r="J58" s="263" t="str">
        <f>IFERROR(HLOOKUP(J$7,'PCO Log'!$E$11:$SJ$98,52,FALSE),"")</f>
        <v/>
      </c>
      <c r="K58" s="263" t="str">
        <f>IFERROR(HLOOKUP(K$7,'PCO Log'!$E$11:$SJ$98,52,FALSE),"")</f>
        <v/>
      </c>
      <c r="L58" s="263" t="str">
        <f>IFERROR(HLOOKUP(L$7,'PCO Log'!$E$11:$SJ$98,52,FALSE),"")</f>
        <v/>
      </c>
      <c r="M58" s="263" t="str">
        <f>IFERROR(HLOOKUP(M$7,'PCO Log'!$E$11:$SJ$98,52,FALSE),"")</f>
        <v/>
      </c>
      <c r="N58" s="263" t="str">
        <f>IFERROR(HLOOKUP(N$7,'PCO Log'!$E$11:$SJ$98,52,FALSE),"")</f>
        <v/>
      </c>
      <c r="O58" s="263" t="str">
        <f>IFERROR(HLOOKUP(O$7,'PCO Log'!$E$11:$SJ$98,52,FALSE),"")</f>
        <v/>
      </c>
      <c r="P58" s="263" t="str">
        <f>IFERROR(HLOOKUP(P$7,'PCO Log'!$E$11:$SJ$98,52,FALSE),"")</f>
        <v/>
      </c>
      <c r="Q58" s="263" t="str">
        <f>IFERROR(HLOOKUP(Q$7,'PCO Log'!$E$11:$SJ$98,52,FALSE),"")</f>
        <v/>
      </c>
      <c r="R58" s="263" t="str">
        <f>IFERROR(HLOOKUP(R$7,'PCO Log'!$E$11:$SJ$98,52,FALSE),"")</f>
        <v/>
      </c>
      <c r="S58" s="263" t="str">
        <f>IFERROR(HLOOKUP(S$7,'PCO Log'!$E$11:$SJ$98,52,FALSE),"")</f>
        <v/>
      </c>
      <c r="T58" s="263" t="str">
        <f>IFERROR(HLOOKUP(T$7,'PCO Log'!$E$11:$SJ$98,52,FALSE),"")</f>
        <v/>
      </c>
      <c r="U58" s="263" t="str">
        <f>IFERROR(HLOOKUP(U$7,'PCO Log'!$E$11:$SJ$98,52,FALSE),"")</f>
        <v/>
      </c>
      <c r="V58" s="263" t="str">
        <f>IFERROR(HLOOKUP(V$7,'PCO Log'!$E$11:$SJ$98,52,FALSE),"")</f>
        <v/>
      </c>
      <c r="W58" s="263" t="str">
        <f>IFERROR(HLOOKUP(W$7,'PCO Log'!$E$11:$SJ$98,52,FALSE),"")</f>
        <v/>
      </c>
      <c r="X58" s="263" t="str">
        <f>IFERROR(HLOOKUP(X$7,'PCO Log'!$E$11:$SJ$98,52,FALSE),"")</f>
        <v/>
      </c>
      <c r="Y58" s="263" t="str">
        <f>IFERROR(HLOOKUP(Y$7,'PCO Log'!$E$11:$SJ$98,52,FALSE),"")</f>
        <v/>
      </c>
      <c r="Z58" s="263" t="str">
        <f>IFERROR(HLOOKUP(Z$7,'PCO Log'!$E$11:$SJ$98,52,FALSE),"")</f>
        <v/>
      </c>
      <c r="AA58" s="263" t="str">
        <f>IFERROR(HLOOKUP(AA$7,'PCO Log'!$E$11:$SJ$98,52,FALSE),"")</f>
        <v/>
      </c>
      <c r="AB58" s="263" t="str">
        <f>IFERROR(HLOOKUP(AB$7,'PCO Log'!$E$11:$SJ$98,52,FALSE),"")</f>
        <v/>
      </c>
      <c r="AC58" s="263" t="str">
        <f>IFERROR(HLOOKUP(AC$7,'PCO Log'!$E$11:$SJ$98,52,FALSE),"")</f>
        <v/>
      </c>
      <c r="AD58" s="263" t="str">
        <f>IFERROR(HLOOKUP(AD$7,'PCO Log'!$E$11:$SJ$98,52,FALSE),"")</f>
        <v/>
      </c>
      <c r="AE58" s="263" t="str">
        <f>IFERROR(HLOOKUP(AE$7,'PCO Log'!$E$11:$SJ$98,52,FALSE),"")</f>
        <v/>
      </c>
      <c r="AF58" s="263" t="str">
        <f>IFERROR(HLOOKUP(AF$7,'PCO Log'!$E$11:$SJ$98,52,FALSE),"")</f>
        <v/>
      </c>
      <c r="AG58" s="263" t="str">
        <f>IFERROR(HLOOKUP(AG$7,'PCO Log'!$E$11:$SJ$98,52,FALSE),"")</f>
        <v/>
      </c>
      <c r="AH58" s="263" t="str">
        <f>IFERROR(HLOOKUP(AH$7,'PCO Log'!$E$11:$SJ$98,52,FALSE),"")</f>
        <v/>
      </c>
      <c r="AI58" s="263" t="str">
        <f>IFERROR(HLOOKUP(AI$7,'PCO Log'!$E$11:$SJ$98,52,FALSE),"")</f>
        <v/>
      </c>
      <c r="AJ58" s="263" t="str">
        <f>IFERROR(HLOOKUP(AJ$7,'PCO Log'!$E$11:$SJ$98,52,FALSE),"")</f>
        <v/>
      </c>
      <c r="AK58" s="263" t="str">
        <f>IFERROR(HLOOKUP(AK$7,'PCO Log'!$E$11:$SJ$98,52,FALSE),"")</f>
        <v/>
      </c>
      <c r="AL58" s="263" t="str">
        <f>IFERROR(HLOOKUP(AL$7,'PCO Log'!$E$11:$SJ$98,52,FALSE),"")</f>
        <v/>
      </c>
      <c r="AM58" s="263" t="str">
        <f>IFERROR(HLOOKUP(AM$7,'PCO Log'!$E$11:$SJ$98,52,FALSE),"")</f>
        <v/>
      </c>
      <c r="AN58" s="263" t="str">
        <f>IFERROR(HLOOKUP(AN$7,'PCO Log'!$E$11:$SJ$98,52,FALSE),"")</f>
        <v/>
      </c>
      <c r="AO58" s="263" t="str">
        <f>IFERROR(HLOOKUP(AO$7,'PCO Log'!$E$11:$SJ$98,52,FALSE),"")</f>
        <v/>
      </c>
      <c r="AP58" s="263" t="str">
        <f>IFERROR(HLOOKUP(AP$7,'PCO Log'!$E$11:$SJ$98,52,FALSE),"")</f>
        <v/>
      </c>
      <c r="AQ58" s="263" t="str">
        <f>IFERROR(HLOOKUP(AQ$7,'PCO Log'!$E$11:$SJ$98,52,FALSE),"")</f>
        <v/>
      </c>
      <c r="AR58" s="263" t="str">
        <f>IFERROR(HLOOKUP(AR$7,'PCO Log'!$E$11:$SJ$98,52,FALSE),"")</f>
        <v/>
      </c>
      <c r="AS58" s="263" t="str">
        <f>IFERROR(HLOOKUP(AS$7,'PCO Log'!$E$11:$SJ$98,52,FALSE),"")</f>
        <v/>
      </c>
      <c r="AT58" s="263" t="str">
        <f>IFERROR(HLOOKUP(AT$7,'PCO Log'!$E$11:$SJ$98,52,FALSE),"")</f>
        <v/>
      </c>
      <c r="AU58" s="263" t="str">
        <f>IFERROR(HLOOKUP(AU$7,'PCO Log'!$E$11:$SJ$98,52,FALSE),"")</f>
        <v/>
      </c>
      <c r="AV58" s="263" t="str">
        <f>IFERROR(HLOOKUP(AV$7,'PCO Log'!$E$11:$SJ$98,52,FALSE),"")</f>
        <v/>
      </c>
      <c r="AW58" s="263" t="str">
        <f>IFERROR(HLOOKUP(AW$7,'PCO Log'!$E$11:$SJ$98,52,FALSE),"")</f>
        <v/>
      </c>
      <c r="AX58" s="263" t="str">
        <f>IFERROR(HLOOKUP(AX$7,'PCO Log'!$E$11:$SJ$98,52,FALSE),"")</f>
        <v/>
      </c>
      <c r="AY58" s="263" t="str">
        <f>IFERROR(HLOOKUP(AY$7,'PCO Log'!$E$11:$SJ$98,52,FALSE),"")</f>
        <v/>
      </c>
      <c r="AZ58" s="263" t="str">
        <f>IFERROR(HLOOKUP(AZ$7,'PCO Log'!$E$11:$SJ$98,52,FALSE),"")</f>
        <v/>
      </c>
      <c r="BA58" s="263" t="str">
        <f>IFERROR(HLOOKUP(BA$7,'PCO Log'!$E$11:$SJ$98,52,FALSE),"")</f>
        <v/>
      </c>
      <c r="BB58" s="263" t="str">
        <f>IFERROR(HLOOKUP(BB$7,'PCO Log'!$E$11:$SJ$98,52,FALSE),"")</f>
        <v/>
      </c>
      <c r="BC58" s="263" t="str">
        <f>IFERROR(HLOOKUP(BC$7,'PCO Log'!$E$11:$SJ$98,52,FALSE),"")</f>
        <v/>
      </c>
    </row>
    <row r="59" spans="2:55" s="334" customFormat="1" x14ac:dyDescent="0.25">
      <c r="B59" s="38" t="str">
        <f>'Pay App 1'!B113</f>
        <v>10 00 00</v>
      </c>
      <c r="C59" s="39" t="str">
        <f>'Pay App 1'!C113</f>
        <v>Specialties</v>
      </c>
      <c r="D59" s="263">
        <f t="shared" si="1"/>
        <v>0</v>
      </c>
      <c r="E59" s="264">
        <f>'Pay App 1'!D113</f>
        <v>0</v>
      </c>
      <c r="F59" s="263" t="str">
        <f>IFERROR(HLOOKUP(F$7,'PCO Log'!$E$11:$SJ$98,53,FALSE),"")</f>
        <v/>
      </c>
      <c r="G59" s="263" t="str">
        <f>IFERROR(HLOOKUP(G$7,'PCO Log'!$E$11:$SJ$98,53,FALSE),"")</f>
        <v/>
      </c>
      <c r="H59" s="263" t="str">
        <f>IFERROR(HLOOKUP(H$7,'PCO Log'!$E$11:$SJ$98,53,FALSE),"")</f>
        <v/>
      </c>
      <c r="I59" s="263" t="str">
        <f>IFERROR(HLOOKUP(I$7,'PCO Log'!$E$11:$SJ$98,53,FALSE),"")</f>
        <v/>
      </c>
      <c r="J59" s="263" t="str">
        <f>IFERROR(HLOOKUP(J$7,'PCO Log'!$E$11:$SJ$98,53,FALSE),"")</f>
        <v/>
      </c>
      <c r="K59" s="263" t="str">
        <f>IFERROR(HLOOKUP(K$7,'PCO Log'!$E$11:$SJ$98,53,FALSE),"")</f>
        <v/>
      </c>
      <c r="L59" s="263" t="str">
        <f>IFERROR(HLOOKUP(L$7,'PCO Log'!$E$11:$SJ$98,53,FALSE),"")</f>
        <v/>
      </c>
      <c r="M59" s="263" t="str">
        <f>IFERROR(HLOOKUP(M$7,'PCO Log'!$E$11:$SJ$98,53,FALSE),"")</f>
        <v/>
      </c>
      <c r="N59" s="263" t="str">
        <f>IFERROR(HLOOKUP(N$7,'PCO Log'!$E$11:$SJ$98,53,FALSE),"")</f>
        <v/>
      </c>
      <c r="O59" s="263" t="str">
        <f>IFERROR(HLOOKUP(O$7,'PCO Log'!$E$11:$SJ$98,53,FALSE),"")</f>
        <v/>
      </c>
      <c r="P59" s="263" t="str">
        <f>IFERROR(HLOOKUP(P$7,'PCO Log'!$E$11:$SJ$98,53,FALSE),"")</f>
        <v/>
      </c>
      <c r="Q59" s="263" t="str">
        <f>IFERROR(HLOOKUP(Q$7,'PCO Log'!$E$11:$SJ$98,53,FALSE),"")</f>
        <v/>
      </c>
      <c r="R59" s="263" t="str">
        <f>IFERROR(HLOOKUP(R$7,'PCO Log'!$E$11:$SJ$98,53,FALSE),"")</f>
        <v/>
      </c>
      <c r="S59" s="263" t="str">
        <f>IFERROR(HLOOKUP(S$7,'PCO Log'!$E$11:$SJ$98,53,FALSE),"")</f>
        <v/>
      </c>
      <c r="T59" s="263" t="str">
        <f>IFERROR(HLOOKUP(T$7,'PCO Log'!$E$11:$SJ$98,53,FALSE),"")</f>
        <v/>
      </c>
      <c r="U59" s="263" t="str">
        <f>IFERROR(HLOOKUP(U$7,'PCO Log'!$E$11:$SJ$98,53,FALSE),"")</f>
        <v/>
      </c>
      <c r="V59" s="263" t="str">
        <f>IFERROR(HLOOKUP(V$7,'PCO Log'!$E$11:$SJ$98,53,FALSE),"")</f>
        <v/>
      </c>
      <c r="W59" s="263" t="str">
        <f>IFERROR(HLOOKUP(W$7,'PCO Log'!$E$11:$SJ$98,53,FALSE),"")</f>
        <v/>
      </c>
      <c r="X59" s="263" t="str">
        <f>IFERROR(HLOOKUP(X$7,'PCO Log'!$E$11:$SJ$98,53,FALSE),"")</f>
        <v/>
      </c>
      <c r="Y59" s="263" t="str">
        <f>IFERROR(HLOOKUP(Y$7,'PCO Log'!$E$11:$SJ$98,53,FALSE),"")</f>
        <v/>
      </c>
      <c r="Z59" s="263" t="str">
        <f>IFERROR(HLOOKUP(Z$7,'PCO Log'!$E$11:$SJ$98,53,FALSE),"")</f>
        <v/>
      </c>
      <c r="AA59" s="263" t="str">
        <f>IFERROR(HLOOKUP(AA$7,'PCO Log'!$E$11:$SJ$98,53,FALSE),"")</f>
        <v/>
      </c>
      <c r="AB59" s="263" t="str">
        <f>IFERROR(HLOOKUP(AB$7,'PCO Log'!$E$11:$SJ$98,53,FALSE),"")</f>
        <v/>
      </c>
      <c r="AC59" s="263" t="str">
        <f>IFERROR(HLOOKUP(AC$7,'PCO Log'!$E$11:$SJ$98,53,FALSE),"")</f>
        <v/>
      </c>
      <c r="AD59" s="263" t="str">
        <f>IFERROR(HLOOKUP(AD$7,'PCO Log'!$E$11:$SJ$98,53,FALSE),"")</f>
        <v/>
      </c>
      <c r="AE59" s="263" t="str">
        <f>IFERROR(HLOOKUP(AE$7,'PCO Log'!$E$11:$SJ$98,53,FALSE),"")</f>
        <v/>
      </c>
      <c r="AF59" s="263" t="str">
        <f>IFERROR(HLOOKUP(AF$7,'PCO Log'!$E$11:$SJ$98,53,FALSE),"")</f>
        <v/>
      </c>
      <c r="AG59" s="263" t="str">
        <f>IFERROR(HLOOKUP(AG$7,'PCO Log'!$E$11:$SJ$98,53,FALSE),"")</f>
        <v/>
      </c>
      <c r="AH59" s="263" t="str">
        <f>IFERROR(HLOOKUP(AH$7,'PCO Log'!$E$11:$SJ$98,53,FALSE),"")</f>
        <v/>
      </c>
      <c r="AI59" s="263" t="str">
        <f>IFERROR(HLOOKUP(AI$7,'PCO Log'!$E$11:$SJ$98,53,FALSE),"")</f>
        <v/>
      </c>
      <c r="AJ59" s="263" t="str">
        <f>IFERROR(HLOOKUP(AJ$7,'PCO Log'!$E$11:$SJ$98,53,FALSE),"")</f>
        <v/>
      </c>
      <c r="AK59" s="263" t="str">
        <f>IFERROR(HLOOKUP(AK$7,'PCO Log'!$E$11:$SJ$98,53,FALSE),"")</f>
        <v/>
      </c>
      <c r="AL59" s="263" t="str">
        <f>IFERROR(HLOOKUP(AL$7,'PCO Log'!$E$11:$SJ$98,53,FALSE),"")</f>
        <v/>
      </c>
      <c r="AM59" s="263" t="str">
        <f>IFERROR(HLOOKUP(AM$7,'PCO Log'!$E$11:$SJ$98,53,FALSE),"")</f>
        <v/>
      </c>
      <c r="AN59" s="263" t="str">
        <f>IFERROR(HLOOKUP(AN$7,'PCO Log'!$E$11:$SJ$98,53,FALSE),"")</f>
        <v/>
      </c>
      <c r="AO59" s="263" t="str">
        <f>IFERROR(HLOOKUP(AO$7,'PCO Log'!$E$11:$SJ$98,53,FALSE),"")</f>
        <v/>
      </c>
      <c r="AP59" s="263" t="str">
        <f>IFERROR(HLOOKUP(AP$7,'PCO Log'!$E$11:$SJ$98,53,FALSE),"")</f>
        <v/>
      </c>
      <c r="AQ59" s="263" t="str">
        <f>IFERROR(HLOOKUP(AQ$7,'PCO Log'!$E$11:$SJ$98,53,FALSE),"")</f>
        <v/>
      </c>
      <c r="AR59" s="263" t="str">
        <f>IFERROR(HLOOKUP(AR$7,'PCO Log'!$E$11:$SJ$98,53,FALSE),"")</f>
        <v/>
      </c>
      <c r="AS59" s="263" t="str">
        <f>IFERROR(HLOOKUP(AS$7,'PCO Log'!$E$11:$SJ$98,53,FALSE),"")</f>
        <v/>
      </c>
      <c r="AT59" s="263" t="str">
        <f>IFERROR(HLOOKUP(AT$7,'PCO Log'!$E$11:$SJ$98,53,FALSE),"")</f>
        <v/>
      </c>
      <c r="AU59" s="263" t="str">
        <f>IFERROR(HLOOKUP(AU$7,'PCO Log'!$E$11:$SJ$98,53,FALSE),"")</f>
        <v/>
      </c>
      <c r="AV59" s="263" t="str">
        <f>IFERROR(HLOOKUP(AV$7,'PCO Log'!$E$11:$SJ$98,53,FALSE),"")</f>
        <v/>
      </c>
      <c r="AW59" s="263" t="str">
        <f>IFERROR(HLOOKUP(AW$7,'PCO Log'!$E$11:$SJ$98,53,FALSE),"")</f>
        <v/>
      </c>
      <c r="AX59" s="263" t="str">
        <f>IFERROR(HLOOKUP(AX$7,'PCO Log'!$E$11:$SJ$98,53,FALSE),"")</f>
        <v/>
      </c>
      <c r="AY59" s="263" t="str">
        <f>IFERROR(HLOOKUP(AY$7,'PCO Log'!$E$11:$SJ$98,53,FALSE),"")</f>
        <v/>
      </c>
      <c r="AZ59" s="263" t="str">
        <f>IFERROR(HLOOKUP(AZ$7,'PCO Log'!$E$11:$SJ$98,53,FALSE),"")</f>
        <v/>
      </c>
      <c r="BA59" s="263" t="str">
        <f>IFERROR(HLOOKUP(BA$7,'PCO Log'!$E$11:$SJ$98,53,FALSE),"")</f>
        <v/>
      </c>
      <c r="BB59" s="263" t="str">
        <f>IFERROR(HLOOKUP(BB$7,'PCO Log'!$E$11:$SJ$98,53,FALSE),"")</f>
        <v/>
      </c>
      <c r="BC59" s="263" t="str">
        <f>IFERROR(HLOOKUP(BC$7,'PCO Log'!$E$11:$SJ$98,53,FALSE),"")</f>
        <v/>
      </c>
    </row>
    <row r="60" spans="2:55" s="334" customFormat="1" x14ac:dyDescent="0.25">
      <c r="B60" s="38" t="str">
        <f>'Pay App 1'!B114</f>
        <v>10 14 14</v>
      </c>
      <c r="C60" s="39" t="str">
        <f>'Pay App 1'!C114</f>
        <v>Exterior Signage</v>
      </c>
      <c r="D60" s="263">
        <f t="shared" si="1"/>
        <v>0</v>
      </c>
      <c r="E60" s="264">
        <f>'Pay App 1'!D114</f>
        <v>0</v>
      </c>
      <c r="F60" s="263" t="str">
        <f>IFERROR(HLOOKUP(F$7,'PCO Log'!$E$11:$SJ$98,54,FALSE),"")</f>
        <v/>
      </c>
      <c r="G60" s="263" t="str">
        <f>IFERROR(HLOOKUP(G$7,'PCO Log'!$E$11:$SJ$98,54,FALSE),"")</f>
        <v/>
      </c>
      <c r="H60" s="263" t="str">
        <f>IFERROR(HLOOKUP(H$7,'PCO Log'!$E$11:$SJ$98,54,FALSE),"")</f>
        <v/>
      </c>
      <c r="I60" s="263" t="str">
        <f>IFERROR(HLOOKUP(I$7,'PCO Log'!$E$11:$SJ$98,54,FALSE),"")</f>
        <v/>
      </c>
      <c r="J60" s="263" t="str">
        <f>IFERROR(HLOOKUP(J$7,'PCO Log'!$E$11:$SJ$98,54,FALSE),"")</f>
        <v/>
      </c>
      <c r="K60" s="263" t="str">
        <f>IFERROR(HLOOKUP(K$7,'PCO Log'!$E$11:$SJ$98,54,FALSE),"")</f>
        <v/>
      </c>
      <c r="L60" s="263" t="str">
        <f>IFERROR(HLOOKUP(L$7,'PCO Log'!$E$11:$SJ$98,54,FALSE),"")</f>
        <v/>
      </c>
      <c r="M60" s="263" t="str">
        <f>IFERROR(HLOOKUP(M$7,'PCO Log'!$E$11:$SJ$98,54,FALSE),"")</f>
        <v/>
      </c>
      <c r="N60" s="263" t="str">
        <f>IFERROR(HLOOKUP(N$7,'PCO Log'!$E$11:$SJ$98,54,FALSE),"")</f>
        <v/>
      </c>
      <c r="O60" s="263" t="str">
        <f>IFERROR(HLOOKUP(O$7,'PCO Log'!$E$11:$SJ$98,54,FALSE),"")</f>
        <v/>
      </c>
      <c r="P60" s="263" t="str">
        <f>IFERROR(HLOOKUP(P$7,'PCO Log'!$E$11:$SJ$98,54,FALSE),"")</f>
        <v/>
      </c>
      <c r="Q60" s="263" t="str">
        <f>IFERROR(HLOOKUP(Q$7,'PCO Log'!$E$11:$SJ$98,54,FALSE),"")</f>
        <v/>
      </c>
      <c r="R60" s="263" t="str">
        <f>IFERROR(HLOOKUP(R$7,'PCO Log'!$E$11:$SJ$98,54,FALSE),"")</f>
        <v/>
      </c>
      <c r="S60" s="263" t="str">
        <f>IFERROR(HLOOKUP(S$7,'PCO Log'!$E$11:$SJ$98,54,FALSE),"")</f>
        <v/>
      </c>
      <c r="T60" s="263" t="str">
        <f>IFERROR(HLOOKUP(T$7,'PCO Log'!$E$11:$SJ$98,54,FALSE),"")</f>
        <v/>
      </c>
      <c r="U60" s="263" t="str">
        <f>IFERROR(HLOOKUP(U$7,'PCO Log'!$E$11:$SJ$98,54,FALSE),"")</f>
        <v/>
      </c>
      <c r="V60" s="263" t="str">
        <f>IFERROR(HLOOKUP(V$7,'PCO Log'!$E$11:$SJ$98,54,FALSE),"")</f>
        <v/>
      </c>
      <c r="W60" s="263" t="str">
        <f>IFERROR(HLOOKUP(W$7,'PCO Log'!$E$11:$SJ$98,54,FALSE),"")</f>
        <v/>
      </c>
      <c r="X60" s="263" t="str">
        <f>IFERROR(HLOOKUP(X$7,'PCO Log'!$E$11:$SJ$98,54,FALSE),"")</f>
        <v/>
      </c>
      <c r="Y60" s="263" t="str">
        <f>IFERROR(HLOOKUP(Y$7,'PCO Log'!$E$11:$SJ$98,54,FALSE),"")</f>
        <v/>
      </c>
      <c r="Z60" s="263" t="str">
        <f>IFERROR(HLOOKUP(Z$7,'PCO Log'!$E$11:$SJ$98,54,FALSE),"")</f>
        <v/>
      </c>
      <c r="AA60" s="263" t="str">
        <f>IFERROR(HLOOKUP(AA$7,'PCO Log'!$E$11:$SJ$98,54,FALSE),"")</f>
        <v/>
      </c>
      <c r="AB60" s="263" t="str">
        <f>IFERROR(HLOOKUP(AB$7,'PCO Log'!$E$11:$SJ$98,54,FALSE),"")</f>
        <v/>
      </c>
      <c r="AC60" s="263" t="str">
        <f>IFERROR(HLOOKUP(AC$7,'PCO Log'!$E$11:$SJ$98,54,FALSE),"")</f>
        <v/>
      </c>
      <c r="AD60" s="263" t="str">
        <f>IFERROR(HLOOKUP(AD$7,'PCO Log'!$E$11:$SJ$98,54,FALSE),"")</f>
        <v/>
      </c>
      <c r="AE60" s="263" t="str">
        <f>IFERROR(HLOOKUP(AE$7,'PCO Log'!$E$11:$SJ$98,54,FALSE),"")</f>
        <v/>
      </c>
      <c r="AF60" s="263" t="str">
        <f>IFERROR(HLOOKUP(AF$7,'PCO Log'!$E$11:$SJ$98,54,FALSE),"")</f>
        <v/>
      </c>
      <c r="AG60" s="263" t="str">
        <f>IFERROR(HLOOKUP(AG$7,'PCO Log'!$E$11:$SJ$98,54,FALSE),"")</f>
        <v/>
      </c>
      <c r="AH60" s="263" t="str">
        <f>IFERROR(HLOOKUP(AH$7,'PCO Log'!$E$11:$SJ$98,54,FALSE),"")</f>
        <v/>
      </c>
      <c r="AI60" s="263" t="str">
        <f>IFERROR(HLOOKUP(AI$7,'PCO Log'!$E$11:$SJ$98,54,FALSE),"")</f>
        <v/>
      </c>
      <c r="AJ60" s="263" t="str">
        <f>IFERROR(HLOOKUP(AJ$7,'PCO Log'!$E$11:$SJ$98,54,FALSE),"")</f>
        <v/>
      </c>
      <c r="AK60" s="263" t="str">
        <f>IFERROR(HLOOKUP(AK$7,'PCO Log'!$E$11:$SJ$98,54,FALSE),"")</f>
        <v/>
      </c>
      <c r="AL60" s="263" t="str">
        <f>IFERROR(HLOOKUP(AL$7,'PCO Log'!$E$11:$SJ$98,54,FALSE),"")</f>
        <v/>
      </c>
      <c r="AM60" s="263" t="str">
        <f>IFERROR(HLOOKUP(AM$7,'PCO Log'!$E$11:$SJ$98,54,FALSE),"")</f>
        <v/>
      </c>
      <c r="AN60" s="263" t="str">
        <f>IFERROR(HLOOKUP(AN$7,'PCO Log'!$E$11:$SJ$98,54,FALSE),"")</f>
        <v/>
      </c>
      <c r="AO60" s="263" t="str">
        <f>IFERROR(HLOOKUP(AO$7,'PCO Log'!$E$11:$SJ$98,54,FALSE),"")</f>
        <v/>
      </c>
      <c r="AP60" s="263" t="str">
        <f>IFERROR(HLOOKUP(AP$7,'PCO Log'!$E$11:$SJ$98,54,FALSE),"")</f>
        <v/>
      </c>
      <c r="AQ60" s="263" t="str">
        <f>IFERROR(HLOOKUP(AQ$7,'PCO Log'!$E$11:$SJ$98,54,FALSE),"")</f>
        <v/>
      </c>
      <c r="AR60" s="263" t="str">
        <f>IFERROR(HLOOKUP(AR$7,'PCO Log'!$E$11:$SJ$98,54,FALSE),"")</f>
        <v/>
      </c>
      <c r="AS60" s="263" t="str">
        <f>IFERROR(HLOOKUP(AS$7,'PCO Log'!$E$11:$SJ$98,54,FALSE),"")</f>
        <v/>
      </c>
      <c r="AT60" s="263" t="str">
        <f>IFERROR(HLOOKUP(AT$7,'PCO Log'!$E$11:$SJ$98,54,FALSE),"")</f>
        <v/>
      </c>
      <c r="AU60" s="263" t="str">
        <f>IFERROR(HLOOKUP(AU$7,'PCO Log'!$E$11:$SJ$98,54,FALSE),"")</f>
        <v/>
      </c>
      <c r="AV60" s="263" t="str">
        <f>IFERROR(HLOOKUP(AV$7,'PCO Log'!$E$11:$SJ$98,54,FALSE),"")</f>
        <v/>
      </c>
      <c r="AW60" s="263" t="str">
        <f>IFERROR(HLOOKUP(AW$7,'PCO Log'!$E$11:$SJ$98,54,FALSE),"")</f>
        <v/>
      </c>
      <c r="AX60" s="263" t="str">
        <f>IFERROR(HLOOKUP(AX$7,'PCO Log'!$E$11:$SJ$98,54,FALSE),"")</f>
        <v/>
      </c>
      <c r="AY60" s="263" t="str">
        <f>IFERROR(HLOOKUP(AY$7,'PCO Log'!$E$11:$SJ$98,54,FALSE),"")</f>
        <v/>
      </c>
      <c r="AZ60" s="263" t="str">
        <f>IFERROR(HLOOKUP(AZ$7,'PCO Log'!$E$11:$SJ$98,54,FALSE),"")</f>
        <v/>
      </c>
      <c r="BA60" s="263" t="str">
        <f>IFERROR(HLOOKUP(BA$7,'PCO Log'!$E$11:$SJ$98,54,FALSE),"")</f>
        <v/>
      </c>
      <c r="BB60" s="263" t="str">
        <f>IFERROR(HLOOKUP(BB$7,'PCO Log'!$E$11:$SJ$98,54,FALSE),"")</f>
        <v/>
      </c>
      <c r="BC60" s="263" t="str">
        <f>IFERROR(HLOOKUP(BC$7,'PCO Log'!$E$11:$SJ$98,54,FALSE),"")</f>
        <v/>
      </c>
    </row>
    <row r="61" spans="2:55" s="334" customFormat="1" x14ac:dyDescent="0.25">
      <c r="B61" s="38" t="str">
        <f>'Pay App 1'!B115</f>
        <v>10 14 15</v>
      </c>
      <c r="C61" s="39" t="str">
        <f>'Pay App 1'!C115</f>
        <v>Interior Signage</v>
      </c>
      <c r="D61" s="263">
        <f t="shared" si="1"/>
        <v>0</v>
      </c>
      <c r="E61" s="264">
        <f>'Pay App 1'!D115</f>
        <v>0</v>
      </c>
      <c r="F61" s="263" t="str">
        <f>IFERROR(HLOOKUP(F$7,'PCO Log'!$E$11:$SJ$98,55,FALSE),"")</f>
        <v/>
      </c>
      <c r="G61" s="263" t="str">
        <f>IFERROR(HLOOKUP(G$7,'PCO Log'!$E$11:$SJ$98,55,FALSE),"")</f>
        <v/>
      </c>
      <c r="H61" s="263" t="str">
        <f>IFERROR(HLOOKUP(H$7,'PCO Log'!$E$11:$SJ$98,55,FALSE),"")</f>
        <v/>
      </c>
      <c r="I61" s="263" t="str">
        <f>IFERROR(HLOOKUP(I$7,'PCO Log'!$E$11:$SJ$98,55,FALSE),"")</f>
        <v/>
      </c>
      <c r="J61" s="263" t="str">
        <f>IFERROR(HLOOKUP(J$7,'PCO Log'!$E$11:$SJ$98,55,FALSE),"")</f>
        <v/>
      </c>
      <c r="K61" s="263" t="str">
        <f>IFERROR(HLOOKUP(K$7,'PCO Log'!$E$11:$SJ$98,55,FALSE),"")</f>
        <v/>
      </c>
      <c r="L61" s="263" t="str">
        <f>IFERROR(HLOOKUP(L$7,'PCO Log'!$E$11:$SJ$98,55,FALSE),"")</f>
        <v/>
      </c>
      <c r="M61" s="263" t="str">
        <f>IFERROR(HLOOKUP(M$7,'PCO Log'!$E$11:$SJ$98,55,FALSE),"")</f>
        <v/>
      </c>
      <c r="N61" s="263" t="str">
        <f>IFERROR(HLOOKUP(N$7,'PCO Log'!$E$11:$SJ$98,55,FALSE),"")</f>
        <v/>
      </c>
      <c r="O61" s="263" t="str">
        <f>IFERROR(HLOOKUP(O$7,'PCO Log'!$E$11:$SJ$98,55,FALSE),"")</f>
        <v/>
      </c>
      <c r="P61" s="263" t="str">
        <f>IFERROR(HLOOKUP(P$7,'PCO Log'!$E$11:$SJ$98,55,FALSE),"")</f>
        <v/>
      </c>
      <c r="Q61" s="263" t="str">
        <f>IFERROR(HLOOKUP(Q$7,'PCO Log'!$E$11:$SJ$98,55,FALSE),"")</f>
        <v/>
      </c>
      <c r="R61" s="263" t="str">
        <f>IFERROR(HLOOKUP(R$7,'PCO Log'!$E$11:$SJ$98,55,FALSE),"")</f>
        <v/>
      </c>
      <c r="S61" s="263" t="str">
        <f>IFERROR(HLOOKUP(S$7,'PCO Log'!$E$11:$SJ$98,55,FALSE),"")</f>
        <v/>
      </c>
      <c r="T61" s="263" t="str">
        <f>IFERROR(HLOOKUP(T$7,'PCO Log'!$E$11:$SJ$98,55,FALSE),"")</f>
        <v/>
      </c>
      <c r="U61" s="263" t="str">
        <f>IFERROR(HLOOKUP(U$7,'PCO Log'!$E$11:$SJ$98,55,FALSE),"")</f>
        <v/>
      </c>
      <c r="V61" s="263" t="str">
        <f>IFERROR(HLOOKUP(V$7,'PCO Log'!$E$11:$SJ$98,55,FALSE),"")</f>
        <v/>
      </c>
      <c r="W61" s="263" t="str">
        <f>IFERROR(HLOOKUP(W$7,'PCO Log'!$E$11:$SJ$98,55,FALSE),"")</f>
        <v/>
      </c>
      <c r="X61" s="263" t="str">
        <f>IFERROR(HLOOKUP(X$7,'PCO Log'!$E$11:$SJ$98,55,FALSE),"")</f>
        <v/>
      </c>
      <c r="Y61" s="263" t="str">
        <f>IFERROR(HLOOKUP(Y$7,'PCO Log'!$E$11:$SJ$98,55,FALSE),"")</f>
        <v/>
      </c>
      <c r="Z61" s="263" t="str">
        <f>IFERROR(HLOOKUP(Z$7,'PCO Log'!$E$11:$SJ$98,55,FALSE),"")</f>
        <v/>
      </c>
      <c r="AA61" s="263" t="str">
        <f>IFERROR(HLOOKUP(AA$7,'PCO Log'!$E$11:$SJ$98,55,FALSE),"")</f>
        <v/>
      </c>
      <c r="AB61" s="263" t="str">
        <f>IFERROR(HLOOKUP(AB$7,'PCO Log'!$E$11:$SJ$98,55,FALSE),"")</f>
        <v/>
      </c>
      <c r="AC61" s="263" t="str">
        <f>IFERROR(HLOOKUP(AC$7,'PCO Log'!$E$11:$SJ$98,55,FALSE),"")</f>
        <v/>
      </c>
      <c r="AD61" s="263" t="str">
        <f>IFERROR(HLOOKUP(AD$7,'PCO Log'!$E$11:$SJ$98,55,FALSE),"")</f>
        <v/>
      </c>
      <c r="AE61" s="263" t="str">
        <f>IFERROR(HLOOKUP(AE$7,'PCO Log'!$E$11:$SJ$98,55,FALSE),"")</f>
        <v/>
      </c>
      <c r="AF61" s="263" t="str">
        <f>IFERROR(HLOOKUP(AF$7,'PCO Log'!$E$11:$SJ$98,55,FALSE),"")</f>
        <v/>
      </c>
      <c r="AG61" s="263" t="str">
        <f>IFERROR(HLOOKUP(AG$7,'PCO Log'!$E$11:$SJ$98,55,FALSE),"")</f>
        <v/>
      </c>
      <c r="AH61" s="263" t="str">
        <f>IFERROR(HLOOKUP(AH$7,'PCO Log'!$E$11:$SJ$98,55,FALSE),"")</f>
        <v/>
      </c>
      <c r="AI61" s="263" t="str">
        <f>IFERROR(HLOOKUP(AI$7,'PCO Log'!$E$11:$SJ$98,55,FALSE),"")</f>
        <v/>
      </c>
      <c r="AJ61" s="263" t="str">
        <f>IFERROR(HLOOKUP(AJ$7,'PCO Log'!$E$11:$SJ$98,55,FALSE),"")</f>
        <v/>
      </c>
      <c r="AK61" s="263" t="str">
        <f>IFERROR(HLOOKUP(AK$7,'PCO Log'!$E$11:$SJ$98,55,FALSE),"")</f>
        <v/>
      </c>
      <c r="AL61" s="263" t="str">
        <f>IFERROR(HLOOKUP(AL$7,'PCO Log'!$E$11:$SJ$98,55,FALSE),"")</f>
        <v/>
      </c>
      <c r="AM61" s="263" t="str">
        <f>IFERROR(HLOOKUP(AM$7,'PCO Log'!$E$11:$SJ$98,55,FALSE),"")</f>
        <v/>
      </c>
      <c r="AN61" s="263" t="str">
        <f>IFERROR(HLOOKUP(AN$7,'PCO Log'!$E$11:$SJ$98,55,FALSE),"")</f>
        <v/>
      </c>
      <c r="AO61" s="263" t="str">
        <f>IFERROR(HLOOKUP(AO$7,'PCO Log'!$E$11:$SJ$98,55,FALSE),"")</f>
        <v/>
      </c>
      <c r="AP61" s="263" t="str">
        <f>IFERROR(HLOOKUP(AP$7,'PCO Log'!$E$11:$SJ$98,55,FALSE),"")</f>
        <v/>
      </c>
      <c r="AQ61" s="263" t="str">
        <f>IFERROR(HLOOKUP(AQ$7,'PCO Log'!$E$11:$SJ$98,55,FALSE),"")</f>
        <v/>
      </c>
      <c r="AR61" s="263" t="str">
        <f>IFERROR(HLOOKUP(AR$7,'PCO Log'!$E$11:$SJ$98,55,FALSE),"")</f>
        <v/>
      </c>
      <c r="AS61" s="263" t="str">
        <f>IFERROR(HLOOKUP(AS$7,'PCO Log'!$E$11:$SJ$98,55,FALSE),"")</f>
        <v/>
      </c>
      <c r="AT61" s="263" t="str">
        <f>IFERROR(HLOOKUP(AT$7,'PCO Log'!$E$11:$SJ$98,55,FALSE),"")</f>
        <v/>
      </c>
      <c r="AU61" s="263" t="str">
        <f>IFERROR(HLOOKUP(AU$7,'PCO Log'!$E$11:$SJ$98,55,FALSE),"")</f>
        <v/>
      </c>
      <c r="AV61" s="263" t="str">
        <f>IFERROR(HLOOKUP(AV$7,'PCO Log'!$E$11:$SJ$98,55,FALSE),"")</f>
        <v/>
      </c>
      <c r="AW61" s="263" t="str">
        <f>IFERROR(HLOOKUP(AW$7,'PCO Log'!$E$11:$SJ$98,55,FALSE),"")</f>
        <v/>
      </c>
      <c r="AX61" s="263" t="str">
        <f>IFERROR(HLOOKUP(AX$7,'PCO Log'!$E$11:$SJ$98,55,FALSE),"")</f>
        <v/>
      </c>
      <c r="AY61" s="263" t="str">
        <f>IFERROR(HLOOKUP(AY$7,'PCO Log'!$E$11:$SJ$98,55,FALSE),"")</f>
        <v/>
      </c>
      <c r="AZ61" s="263" t="str">
        <f>IFERROR(HLOOKUP(AZ$7,'PCO Log'!$E$11:$SJ$98,55,FALSE),"")</f>
        <v/>
      </c>
      <c r="BA61" s="263" t="str">
        <f>IFERROR(HLOOKUP(BA$7,'PCO Log'!$E$11:$SJ$98,55,FALSE),"")</f>
        <v/>
      </c>
      <c r="BB61" s="263" t="str">
        <f>IFERROR(HLOOKUP(BB$7,'PCO Log'!$E$11:$SJ$98,55,FALSE),"")</f>
        <v/>
      </c>
      <c r="BC61" s="263" t="str">
        <f>IFERROR(HLOOKUP(BC$7,'PCO Log'!$E$11:$SJ$98,55,FALSE),"")</f>
        <v/>
      </c>
    </row>
    <row r="62" spans="2:55" s="334" customFormat="1" x14ac:dyDescent="0.25">
      <c r="B62" s="40" t="str">
        <f>'Pay App 1'!B116</f>
        <v>11 13 00</v>
      </c>
      <c r="C62" s="41" t="str">
        <f>'Pay App 1'!C116</f>
        <v>Dock Equipment</v>
      </c>
      <c r="D62" s="263">
        <f t="shared" si="1"/>
        <v>0</v>
      </c>
      <c r="E62" s="264">
        <f>'Pay App 1'!D116</f>
        <v>0</v>
      </c>
      <c r="F62" s="263" t="str">
        <f>IFERROR(HLOOKUP(F$7,'PCO Log'!$E$11:$SJ$98,56,FALSE),"")</f>
        <v/>
      </c>
      <c r="G62" s="263" t="str">
        <f>IFERROR(HLOOKUP(G$7,'PCO Log'!$E$11:$SJ$98,56,FALSE),"")</f>
        <v/>
      </c>
      <c r="H62" s="263" t="str">
        <f>IFERROR(HLOOKUP(H$7,'PCO Log'!$E$11:$SJ$98,56,FALSE),"")</f>
        <v/>
      </c>
      <c r="I62" s="263" t="str">
        <f>IFERROR(HLOOKUP(I$7,'PCO Log'!$E$11:$SJ$98,56,FALSE),"")</f>
        <v/>
      </c>
      <c r="J62" s="263" t="str">
        <f>IFERROR(HLOOKUP(J$7,'PCO Log'!$E$11:$SJ$98,56,FALSE),"")</f>
        <v/>
      </c>
      <c r="K62" s="263" t="str">
        <f>IFERROR(HLOOKUP(K$7,'PCO Log'!$E$11:$SJ$98,56,FALSE),"")</f>
        <v/>
      </c>
      <c r="L62" s="263" t="str">
        <f>IFERROR(HLOOKUP(L$7,'PCO Log'!$E$11:$SJ$98,56,FALSE),"")</f>
        <v/>
      </c>
      <c r="M62" s="263" t="str">
        <f>IFERROR(HLOOKUP(M$7,'PCO Log'!$E$11:$SJ$98,56,FALSE),"")</f>
        <v/>
      </c>
      <c r="N62" s="263" t="str">
        <f>IFERROR(HLOOKUP(N$7,'PCO Log'!$E$11:$SJ$98,56,FALSE),"")</f>
        <v/>
      </c>
      <c r="O62" s="263" t="str">
        <f>IFERROR(HLOOKUP(O$7,'PCO Log'!$E$11:$SJ$98,56,FALSE),"")</f>
        <v/>
      </c>
      <c r="P62" s="263" t="str">
        <f>IFERROR(HLOOKUP(P$7,'PCO Log'!$E$11:$SJ$98,56,FALSE),"")</f>
        <v/>
      </c>
      <c r="Q62" s="263" t="str">
        <f>IFERROR(HLOOKUP(Q$7,'PCO Log'!$E$11:$SJ$98,56,FALSE),"")</f>
        <v/>
      </c>
      <c r="R62" s="263" t="str">
        <f>IFERROR(HLOOKUP(R$7,'PCO Log'!$E$11:$SJ$98,56,FALSE),"")</f>
        <v/>
      </c>
      <c r="S62" s="263" t="str">
        <f>IFERROR(HLOOKUP(S$7,'PCO Log'!$E$11:$SJ$98,56,FALSE),"")</f>
        <v/>
      </c>
      <c r="T62" s="263" t="str">
        <f>IFERROR(HLOOKUP(T$7,'PCO Log'!$E$11:$SJ$98,56,FALSE),"")</f>
        <v/>
      </c>
      <c r="U62" s="263" t="str">
        <f>IFERROR(HLOOKUP(U$7,'PCO Log'!$E$11:$SJ$98,56,FALSE),"")</f>
        <v/>
      </c>
      <c r="V62" s="263" t="str">
        <f>IFERROR(HLOOKUP(V$7,'PCO Log'!$E$11:$SJ$98,56,FALSE),"")</f>
        <v/>
      </c>
      <c r="W62" s="263" t="str">
        <f>IFERROR(HLOOKUP(W$7,'PCO Log'!$E$11:$SJ$98,56,FALSE),"")</f>
        <v/>
      </c>
      <c r="X62" s="263" t="str">
        <f>IFERROR(HLOOKUP(X$7,'PCO Log'!$E$11:$SJ$98,56,FALSE),"")</f>
        <v/>
      </c>
      <c r="Y62" s="263" t="str">
        <f>IFERROR(HLOOKUP(Y$7,'PCO Log'!$E$11:$SJ$98,56,FALSE),"")</f>
        <v/>
      </c>
      <c r="Z62" s="263" t="str">
        <f>IFERROR(HLOOKUP(Z$7,'PCO Log'!$E$11:$SJ$98,56,FALSE),"")</f>
        <v/>
      </c>
      <c r="AA62" s="263" t="str">
        <f>IFERROR(HLOOKUP(AA$7,'PCO Log'!$E$11:$SJ$98,56,FALSE),"")</f>
        <v/>
      </c>
      <c r="AB62" s="263" t="str">
        <f>IFERROR(HLOOKUP(AB$7,'PCO Log'!$E$11:$SJ$98,56,FALSE),"")</f>
        <v/>
      </c>
      <c r="AC62" s="263" t="str">
        <f>IFERROR(HLOOKUP(AC$7,'PCO Log'!$E$11:$SJ$98,56,FALSE),"")</f>
        <v/>
      </c>
      <c r="AD62" s="263" t="str">
        <f>IFERROR(HLOOKUP(AD$7,'PCO Log'!$E$11:$SJ$98,56,FALSE),"")</f>
        <v/>
      </c>
      <c r="AE62" s="263" t="str">
        <f>IFERROR(HLOOKUP(AE$7,'PCO Log'!$E$11:$SJ$98,56,FALSE),"")</f>
        <v/>
      </c>
      <c r="AF62" s="263" t="str">
        <f>IFERROR(HLOOKUP(AF$7,'PCO Log'!$E$11:$SJ$98,56,FALSE),"")</f>
        <v/>
      </c>
      <c r="AG62" s="263" t="str">
        <f>IFERROR(HLOOKUP(AG$7,'PCO Log'!$E$11:$SJ$98,56,FALSE),"")</f>
        <v/>
      </c>
      <c r="AH62" s="263" t="str">
        <f>IFERROR(HLOOKUP(AH$7,'PCO Log'!$E$11:$SJ$98,56,FALSE),"")</f>
        <v/>
      </c>
      <c r="AI62" s="263" t="str">
        <f>IFERROR(HLOOKUP(AI$7,'PCO Log'!$E$11:$SJ$98,56,FALSE),"")</f>
        <v/>
      </c>
      <c r="AJ62" s="263" t="str">
        <f>IFERROR(HLOOKUP(AJ$7,'PCO Log'!$E$11:$SJ$98,56,FALSE),"")</f>
        <v/>
      </c>
      <c r="AK62" s="263" t="str">
        <f>IFERROR(HLOOKUP(AK$7,'PCO Log'!$E$11:$SJ$98,56,FALSE),"")</f>
        <v/>
      </c>
      <c r="AL62" s="263" t="str">
        <f>IFERROR(HLOOKUP(AL$7,'PCO Log'!$E$11:$SJ$98,56,FALSE),"")</f>
        <v/>
      </c>
      <c r="AM62" s="263" t="str">
        <f>IFERROR(HLOOKUP(AM$7,'PCO Log'!$E$11:$SJ$98,56,FALSE),"")</f>
        <v/>
      </c>
      <c r="AN62" s="263" t="str">
        <f>IFERROR(HLOOKUP(AN$7,'PCO Log'!$E$11:$SJ$98,56,FALSE),"")</f>
        <v/>
      </c>
      <c r="AO62" s="263" t="str">
        <f>IFERROR(HLOOKUP(AO$7,'PCO Log'!$E$11:$SJ$98,56,FALSE),"")</f>
        <v/>
      </c>
      <c r="AP62" s="263" t="str">
        <f>IFERROR(HLOOKUP(AP$7,'PCO Log'!$E$11:$SJ$98,56,FALSE),"")</f>
        <v/>
      </c>
      <c r="AQ62" s="263" t="str">
        <f>IFERROR(HLOOKUP(AQ$7,'PCO Log'!$E$11:$SJ$98,56,FALSE),"")</f>
        <v/>
      </c>
      <c r="AR62" s="263" t="str">
        <f>IFERROR(HLOOKUP(AR$7,'PCO Log'!$E$11:$SJ$98,56,FALSE),"")</f>
        <v/>
      </c>
      <c r="AS62" s="263" t="str">
        <f>IFERROR(HLOOKUP(AS$7,'PCO Log'!$E$11:$SJ$98,56,FALSE),"")</f>
        <v/>
      </c>
      <c r="AT62" s="263" t="str">
        <f>IFERROR(HLOOKUP(AT$7,'PCO Log'!$E$11:$SJ$98,56,FALSE),"")</f>
        <v/>
      </c>
      <c r="AU62" s="263" t="str">
        <f>IFERROR(HLOOKUP(AU$7,'PCO Log'!$E$11:$SJ$98,56,FALSE),"")</f>
        <v/>
      </c>
      <c r="AV62" s="263" t="str">
        <f>IFERROR(HLOOKUP(AV$7,'PCO Log'!$E$11:$SJ$98,56,FALSE),"")</f>
        <v/>
      </c>
      <c r="AW62" s="263" t="str">
        <f>IFERROR(HLOOKUP(AW$7,'PCO Log'!$E$11:$SJ$98,56,FALSE),"")</f>
        <v/>
      </c>
      <c r="AX62" s="263" t="str">
        <f>IFERROR(HLOOKUP(AX$7,'PCO Log'!$E$11:$SJ$98,56,FALSE),"")</f>
        <v/>
      </c>
      <c r="AY62" s="263" t="str">
        <f>IFERROR(HLOOKUP(AY$7,'PCO Log'!$E$11:$SJ$98,56,FALSE),"")</f>
        <v/>
      </c>
      <c r="AZ62" s="263" t="str">
        <f>IFERROR(HLOOKUP(AZ$7,'PCO Log'!$E$11:$SJ$98,56,FALSE),"")</f>
        <v/>
      </c>
      <c r="BA62" s="263" t="str">
        <f>IFERROR(HLOOKUP(BA$7,'PCO Log'!$E$11:$SJ$98,56,FALSE),"")</f>
        <v/>
      </c>
      <c r="BB62" s="263" t="str">
        <f>IFERROR(HLOOKUP(BB$7,'PCO Log'!$E$11:$SJ$98,56,FALSE),"")</f>
        <v/>
      </c>
      <c r="BC62" s="263" t="str">
        <f>IFERROR(HLOOKUP(BC$7,'PCO Log'!$E$11:$SJ$98,56,FALSE),"")</f>
        <v/>
      </c>
    </row>
    <row r="63" spans="2:55" s="334" customFormat="1" x14ac:dyDescent="0.25">
      <c r="B63" s="40" t="str">
        <f>'Pay App 1'!B117</f>
        <v>11 40 00</v>
      </c>
      <c r="C63" s="41" t="str">
        <f>'Pay App 1'!C117</f>
        <v>Food Service Equipment</v>
      </c>
      <c r="D63" s="263">
        <f t="shared" si="1"/>
        <v>0</v>
      </c>
      <c r="E63" s="264">
        <f>'Pay App 1'!D117</f>
        <v>0</v>
      </c>
      <c r="F63" s="263" t="str">
        <f>IFERROR(HLOOKUP(F$7,'PCO Log'!$E$11:$SJ$98,57,FALSE),"")</f>
        <v/>
      </c>
      <c r="G63" s="263" t="str">
        <f>IFERROR(HLOOKUP(G$7,'PCO Log'!$E$11:$SJ$98,57,FALSE),"")</f>
        <v/>
      </c>
      <c r="H63" s="263" t="str">
        <f>IFERROR(HLOOKUP(H$7,'PCO Log'!$E$11:$SJ$98,57,FALSE),"")</f>
        <v/>
      </c>
      <c r="I63" s="263" t="str">
        <f>IFERROR(HLOOKUP(I$7,'PCO Log'!$E$11:$SJ$98,57,FALSE),"")</f>
        <v/>
      </c>
      <c r="J63" s="263" t="str">
        <f>IFERROR(HLOOKUP(J$7,'PCO Log'!$E$11:$SJ$98,57,FALSE),"")</f>
        <v/>
      </c>
      <c r="K63" s="263" t="str">
        <f>IFERROR(HLOOKUP(K$7,'PCO Log'!$E$11:$SJ$98,57,FALSE),"")</f>
        <v/>
      </c>
      <c r="L63" s="263" t="str">
        <f>IFERROR(HLOOKUP(L$7,'PCO Log'!$E$11:$SJ$98,57,FALSE),"")</f>
        <v/>
      </c>
      <c r="M63" s="263" t="str">
        <f>IFERROR(HLOOKUP(M$7,'PCO Log'!$E$11:$SJ$98,57,FALSE),"")</f>
        <v/>
      </c>
      <c r="N63" s="263" t="str">
        <f>IFERROR(HLOOKUP(N$7,'PCO Log'!$E$11:$SJ$98,57,FALSE),"")</f>
        <v/>
      </c>
      <c r="O63" s="263" t="str">
        <f>IFERROR(HLOOKUP(O$7,'PCO Log'!$E$11:$SJ$98,57,FALSE),"")</f>
        <v/>
      </c>
      <c r="P63" s="263" t="str">
        <f>IFERROR(HLOOKUP(P$7,'PCO Log'!$E$11:$SJ$98,57,FALSE),"")</f>
        <v/>
      </c>
      <c r="Q63" s="263" t="str">
        <f>IFERROR(HLOOKUP(Q$7,'PCO Log'!$E$11:$SJ$98,57,FALSE),"")</f>
        <v/>
      </c>
      <c r="R63" s="263" t="str">
        <f>IFERROR(HLOOKUP(R$7,'PCO Log'!$E$11:$SJ$98,57,FALSE),"")</f>
        <v/>
      </c>
      <c r="S63" s="263" t="str">
        <f>IFERROR(HLOOKUP(S$7,'PCO Log'!$E$11:$SJ$98,57,FALSE),"")</f>
        <v/>
      </c>
      <c r="T63" s="263" t="str">
        <f>IFERROR(HLOOKUP(T$7,'PCO Log'!$E$11:$SJ$98,57,FALSE),"")</f>
        <v/>
      </c>
      <c r="U63" s="263" t="str">
        <f>IFERROR(HLOOKUP(U$7,'PCO Log'!$E$11:$SJ$98,57,FALSE),"")</f>
        <v/>
      </c>
      <c r="V63" s="263" t="str">
        <f>IFERROR(HLOOKUP(V$7,'PCO Log'!$E$11:$SJ$98,57,FALSE),"")</f>
        <v/>
      </c>
      <c r="W63" s="263" t="str">
        <f>IFERROR(HLOOKUP(W$7,'PCO Log'!$E$11:$SJ$98,57,FALSE),"")</f>
        <v/>
      </c>
      <c r="X63" s="263" t="str">
        <f>IFERROR(HLOOKUP(X$7,'PCO Log'!$E$11:$SJ$98,57,FALSE),"")</f>
        <v/>
      </c>
      <c r="Y63" s="263" t="str">
        <f>IFERROR(HLOOKUP(Y$7,'PCO Log'!$E$11:$SJ$98,57,FALSE),"")</f>
        <v/>
      </c>
      <c r="Z63" s="263" t="str">
        <f>IFERROR(HLOOKUP(Z$7,'PCO Log'!$E$11:$SJ$98,57,FALSE),"")</f>
        <v/>
      </c>
      <c r="AA63" s="263" t="str">
        <f>IFERROR(HLOOKUP(AA$7,'PCO Log'!$E$11:$SJ$98,57,FALSE),"")</f>
        <v/>
      </c>
      <c r="AB63" s="263" t="str">
        <f>IFERROR(HLOOKUP(AB$7,'PCO Log'!$E$11:$SJ$98,57,FALSE),"")</f>
        <v/>
      </c>
      <c r="AC63" s="263" t="str">
        <f>IFERROR(HLOOKUP(AC$7,'PCO Log'!$E$11:$SJ$98,57,FALSE),"")</f>
        <v/>
      </c>
      <c r="AD63" s="263" t="str">
        <f>IFERROR(HLOOKUP(AD$7,'PCO Log'!$E$11:$SJ$98,57,FALSE),"")</f>
        <v/>
      </c>
      <c r="AE63" s="263" t="str">
        <f>IFERROR(HLOOKUP(AE$7,'PCO Log'!$E$11:$SJ$98,57,FALSE),"")</f>
        <v/>
      </c>
      <c r="AF63" s="263" t="str">
        <f>IFERROR(HLOOKUP(AF$7,'PCO Log'!$E$11:$SJ$98,57,FALSE),"")</f>
        <v/>
      </c>
      <c r="AG63" s="263" t="str">
        <f>IFERROR(HLOOKUP(AG$7,'PCO Log'!$E$11:$SJ$98,57,FALSE),"")</f>
        <v/>
      </c>
      <c r="AH63" s="263" t="str">
        <f>IFERROR(HLOOKUP(AH$7,'PCO Log'!$E$11:$SJ$98,57,FALSE),"")</f>
        <v/>
      </c>
      <c r="AI63" s="263" t="str">
        <f>IFERROR(HLOOKUP(AI$7,'PCO Log'!$E$11:$SJ$98,57,FALSE),"")</f>
        <v/>
      </c>
      <c r="AJ63" s="263" t="str">
        <f>IFERROR(HLOOKUP(AJ$7,'PCO Log'!$E$11:$SJ$98,57,FALSE),"")</f>
        <v/>
      </c>
      <c r="AK63" s="263" t="str">
        <f>IFERROR(HLOOKUP(AK$7,'PCO Log'!$E$11:$SJ$98,57,FALSE),"")</f>
        <v/>
      </c>
      <c r="AL63" s="263" t="str">
        <f>IFERROR(HLOOKUP(AL$7,'PCO Log'!$E$11:$SJ$98,57,FALSE),"")</f>
        <v/>
      </c>
      <c r="AM63" s="263" t="str">
        <f>IFERROR(HLOOKUP(AM$7,'PCO Log'!$E$11:$SJ$98,57,FALSE),"")</f>
        <v/>
      </c>
      <c r="AN63" s="263" t="str">
        <f>IFERROR(HLOOKUP(AN$7,'PCO Log'!$E$11:$SJ$98,57,FALSE),"")</f>
        <v/>
      </c>
      <c r="AO63" s="263" t="str">
        <f>IFERROR(HLOOKUP(AO$7,'PCO Log'!$E$11:$SJ$98,57,FALSE),"")</f>
        <v/>
      </c>
      <c r="AP63" s="263" t="str">
        <f>IFERROR(HLOOKUP(AP$7,'PCO Log'!$E$11:$SJ$98,57,FALSE),"")</f>
        <v/>
      </c>
      <c r="AQ63" s="263" t="str">
        <f>IFERROR(HLOOKUP(AQ$7,'PCO Log'!$E$11:$SJ$98,57,FALSE),"")</f>
        <v/>
      </c>
      <c r="AR63" s="263" t="str">
        <f>IFERROR(HLOOKUP(AR$7,'PCO Log'!$E$11:$SJ$98,57,FALSE),"")</f>
        <v/>
      </c>
      <c r="AS63" s="263" t="str">
        <f>IFERROR(HLOOKUP(AS$7,'PCO Log'!$E$11:$SJ$98,57,FALSE),"")</f>
        <v/>
      </c>
      <c r="AT63" s="263" t="str">
        <f>IFERROR(HLOOKUP(AT$7,'PCO Log'!$E$11:$SJ$98,57,FALSE),"")</f>
        <v/>
      </c>
      <c r="AU63" s="263" t="str">
        <f>IFERROR(HLOOKUP(AU$7,'PCO Log'!$E$11:$SJ$98,57,FALSE),"")</f>
        <v/>
      </c>
      <c r="AV63" s="263" t="str">
        <f>IFERROR(HLOOKUP(AV$7,'PCO Log'!$E$11:$SJ$98,57,FALSE),"")</f>
        <v/>
      </c>
      <c r="AW63" s="263" t="str">
        <f>IFERROR(HLOOKUP(AW$7,'PCO Log'!$E$11:$SJ$98,57,FALSE),"")</f>
        <v/>
      </c>
      <c r="AX63" s="263" t="str">
        <f>IFERROR(HLOOKUP(AX$7,'PCO Log'!$E$11:$SJ$98,57,FALSE),"")</f>
        <v/>
      </c>
      <c r="AY63" s="263" t="str">
        <f>IFERROR(HLOOKUP(AY$7,'PCO Log'!$E$11:$SJ$98,57,FALSE),"")</f>
        <v/>
      </c>
      <c r="AZ63" s="263" t="str">
        <f>IFERROR(HLOOKUP(AZ$7,'PCO Log'!$E$11:$SJ$98,57,FALSE),"")</f>
        <v/>
      </c>
      <c r="BA63" s="263" t="str">
        <f>IFERROR(HLOOKUP(BA$7,'PCO Log'!$E$11:$SJ$98,57,FALSE),"")</f>
        <v/>
      </c>
      <c r="BB63" s="263" t="str">
        <f>IFERROR(HLOOKUP(BB$7,'PCO Log'!$E$11:$SJ$98,57,FALSE),"")</f>
        <v/>
      </c>
      <c r="BC63" s="263" t="str">
        <f>IFERROR(HLOOKUP(BC$7,'PCO Log'!$E$11:$SJ$98,57,FALSE),"")</f>
        <v/>
      </c>
    </row>
    <row r="64" spans="2:55" s="334" customFormat="1" x14ac:dyDescent="0.25">
      <c r="B64" s="40" t="str">
        <f>'Pay App 1'!B118</f>
        <v>11 53 00</v>
      </c>
      <c r="C64" s="41" t="str">
        <f>'Pay App 1'!C118</f>
        <v>Lab/Mechanical Equipment</v>
      </c>
      <c r="D64" s="263">
        <f t="shared" si="1"/>
        <v>0</v>
      </c>
      <c r="E64" s="264">
        <f>'Pay App 1'!D118</f>
        <v>0</v>
      </c>
      <c r="F64" s="263" t="str">
        <f>IFERROR(HLOOKUP(F$7,'PCO Log'!$E$11:$SJ$98,58,FALSE),"")</f>
        <v/>
      </c>
      <c r="G64" s="263" t="str">
        <f>IFERROR(HLOOKUP(G$7,'PCO Log'!$E$11:$SJ$98,58,FALSE),"")</f>
        <v/>
      </c>
      <c r="H64" s="263" t="str">
        <f>IFERROR(HLOOKUP(H$7,'PCO Log'!$E$11:$SJ$98,58,FALSE),"")</f>
        <v/>
      </c>
      <c r="I64" s="263" t="str">
        <f>IFERROR(HLOOKUP(I$7,'PCO Log'!$E$11:$SJ$98,58,FALSE),"")</f>
        <v/>
      </c>
      <c r="J64" s="263" t="str">
        <f>IFERROR(HLOOKUP(J$7,'PCO Log'!$E$11:$SJ$98,58,FALSE),"")</f>
        <v/>
      </c>
      <c r="K64" s="263" t="str">
        <f>IFERROR(HLOOKUP(K$7,'PCO Log'!$E$11:$SJ$98,58,FALSE),"")</f>
        <v/>
      </c>
      <c r="L64" s="263" t="str">
        <f>IFERROR(HLOOKUP(L$7,'PCO Log'!$E$11:$SJ$98,58,FALSE),"")</f>
        <v/>
      </c>
      <c r="M64" s="263" t="str">
        <f>IFERROR(HLOOKUP(M$7,'PCO Log'!$E$11:$SJ$98,58,FALSE),"")</f>
        <v/>
      </c>
      <c r="N64" s="263" t="str">
        <f>IFERROR(HLOOKUP(N$7,'PCO Log'!$E$11:$SJ$98,58,FALSE),"")</f>
        <v/>
      </c>
      <c r="O64" s="263" t="str">
        <f>IFERROR(HLOOKUP(O$7,'PCO Log'!$E$11:$SJ$98,58,FALSE),"")</f>
        <v/>
      </c>
      <c r="P64" s="263" t="str">
        <f>IFERROR(HLOOKUP(P$7,'PCO Log'!$E$11:$SJ$98,58,FALSE),"")</f>
        <v/>
      </c>
      <c r="Q64" s="263" t="str">
        <f>IFERROR(HLOOKUP(Q$7,'PCO Log'!$E$11:$SJ$98,58,FALSE),"")</f>
        <v/>
      </c>
      <c r="R64" s="263" t="str">
        <f>IFERROR(HLOOKUP(R$7,'PCO Log'!$E$11:$SJ$98,58,FALSE),"")</f>
        <v/>
      </c>
      <c r="S64" s="263" t="str">
        <f>IFERROR(HLOOKUP(S$7,'PCO Log'!$E$11:$SJ$98,58,FALSE),"")</f>
        <v/>
      </c>
      <c r="T64" s="263" t="str">
        <f>IFERROR(HLOOKUP(T$7,'PCO Log'!$E$11:$SJ$98,58,FALSE),"")</f>
        <v/>
      </c>
      <c r="U64" s="263" t="str">
        <f>IFERROR(HLOOKUP(U$7,'PCO Log'!$E$11:$SJ$98,58,FALSE),"")</f>
        <v/>
      </c>
      <c r="V64" s="263" t="str">
        <f>IFERROR(HLOOKUP(V$7,'PCO Log'!$E$11:$SJ$98,58,FALSE),"")</f>
        <v/>
      </c>
      <c r="W64" s="263" t="str">
        <f>IFERROR(HLOOKUP(W$7,'PCO Log'!$E$11:$SJ$98,58,FALSE),"")</f>
        <v/>
      </c>
      <c r="X64" s="263" t="str">
        <f>IFERROR(HLOOKUP(X$7,'PCO Log'!$E$11:$SJ$98,58,FALSE),"")</f>
        <v/>
      </c>
      <c r="Y64" s="263" t="str">
        <f>IFERROR(HLOOKUP(Y$7,'PCO Log'!$E$11:$SJ$98,58,FALSE),"")</f>
        <v/>
      </c>
      <c r="Z64" s="263" t="str">
        <f>IFERROR(HLOOKUP(Z$7,'PCO Log'!$E$11:$SJ$98,58,FALSE),"")</f>
        <v/>
      </c>
      <c r="AA64" s="263" t="str">
        <f>IFERROR(HLOOKUP(AA$7,'PCO Log'!$E$11:$SJ$98,58,FALSE),"")</f>
        <v/>
      </c>
      <c r="AB64" s="263" t="str">
        <f>IFERROR(HLOOKUP(AB$7,'PCO Log'!$E$11:$SJ$98,58,FALSE),"")</f>
        <v/>
      </c>
      <c r="AC64" s="263" t="str">
        <f>IFERROR(HLOOKUP(AC$7,'PCO Log'!$E$11:$SJ$98,58,FALSE),"")</f>
        <v/>
      </c>
      <c r="AD64" s="263" t="str">
        <f>IFERROR(HLOOKUP(AD$7,'PCO Log'!$E$11:$SJ$98,58,FALSE),"")</f>
        <v/>
      </c>
      <c r="AE64" s="263" t="str">
        <f>IFERROR(HLOOKUP(AE$7,'PCO Log'!$E$11:$SJ$98,58,FALSE),"")</f>
        <v/>
      </c>
      <c r="AF64" s="263" t="str">
        <f>IFERROR(HLOOKUP(AF$7,'PCO Log'!$E$11:$SJ$98,58,FALSE),"")</f>
        <v/>
      </c>
      <c r="AG64" s="263" t="str">
        <f>IFERROR(HLOOKUP(AG$7,'PCO Log'!$E$11:$SJ$98,58,FALSE),"")</f>
        <v/>
      </c>
      <c r="AH64" s="263" t="str">
        <f>IFERROR(HLOOKUP(AH$7,'PCO Log'!$E$11:$SJ$98,58,FALSE),"")</f>
        <v/>
      </c>
      <c r="AI64" s="263" t="str">
        <f>IFERROR(HLOOKUP(AI$7,'PCO Log'!$E$11:$SJ$98,58,FALSE),"")</f>
        <v/>
      </c>
      <c r="AJ64" s="263" t="str">
        <f>IFERROR(HLOOKUP(AJ$7,'PCO Log'!$E$11:$SJ$98,58,FALSE),"")</f>
        <v/>
      </c>
      <c r="AK64" s="263" t="str">
        <f>IFERROR(HLOOKUP(AK$7,'PCO Log'!$E$11:$SJ$98,58,FALSE),"")</f>
        <v/>
      </c>
      <c r="AL64" s="263" t="str">
        <f>IFERROR(HLOOKUP(AL$7,'PCO Log'!$E$11:$SJ$98,58,FALSE),"")</f>
        <v/>
      </c>
      <c r="AM64" s="263" t="str">
        <f>IFERROR(HLOOKUP(AM$7,'PCO Log'!$E$11:$SJ$98,58,FALSE),"")</f>
        <v/>
      </c>
      <c r="AN64" s="263" t="str">
        <f>IFERROR(HLOOKUP(AN$7,'PCO Log'!$E$11:$SJ$98,58,FALSE),"")</f>
        <v/>
      </c>
      <c r="AO64" s="263" t="str">
        <f>IFERROR(HLOOKUP(AO$7,'PCO Log'!$E$11:$SJ$98,58,FALSE),"")</f>
        <v/>
      </c>
      <c r="AP64" s="263" t="str">
        <f>IFERROR(HLOOKUP(AP$7,'PCO Log'!$E$11:$SJ$98,58,FALSE),"")</f>
        <v/>
      </c>
      <c r="AQ64" s="263" t="str">
        <f>IFERROR(HLOOKUP(AQ$7,'PCO Log'!$E$11:$SJ$98,58,FALSE),"")</f>
        <v/>
      </c>
      <c r="AR64" s="263" t="str">
        <f>IFERROR(HLOOKUP(AR$7,'PCO Log'!$E$11:$SJ$98,58,FALSE),"")</f>
        <v/>
      </c>
      <c r="AS64" s="263" t="str">
        <f>IFERROR(HLOOKUP(AS$7,'PCO Log'!$E$11:$SJ$98,58,FALSE),"")</f>
        <v/>
      </c>
      <c r="AT64" s="263" t="str">
        <f>IFERROR(HLOOKUP(AT$7,'PCO Log'!$E$11:$SJ$98,58,FALSE),"")</f>
        <v/>
      </c>
      <c r="AU64" s="263" t="str">
        <f>IFERROR(HLOOKUP(AU$7,'PCO Log'!$E$11:$SJ$98,58,FALSE),"")</f>
        <v/>
      </c>
      <c r="AV64" s="263" t="str">
        <f>IFERROR(HLOOKUP(AV$7,'PCO Log'!$E$11:$SJ$98,58,FALSE),"")</f>
        <v/>
      </c>
      <c r="AW64" s="263" t="str">
        <f>IFERROR(HLOOKUP(AW$7,'PCO Log'!$E$11:$SJ$98,58,FALSE),"")</f>
        <v/>
      </c>
      <c r="AX64" s="263" t="str">
        <f>IFERROR(HLOOKUP(AX$7,'PCO Log'!$E$11:$SJ$98,58,FALSE),"")</f>
        <v/>
      </c>
      <c r="AY64" s="263" t="str">
        <f>IFERROR(HLOOKUP(AY$7,'PCO Log'!$E$11:$SJ$98,58,FALSE),"")</f>
        <v/>
      </c>
      <c r="AZ64" s="263" t="str">
        <f>IFERROR(HLOOKUP(AZ$7,'PCO Log'!$E$11:$SJ$98,58,FALSE),"")</f>
        <v/>
      </c>
      <c r="BA64" s="263" t="str">
        <f>IFERROR(HLOOKUP(BA$7,'PCO Log'!$E$11:$SJ$98,58,FALSE),"")</f>
        <v/>
      </c>
      <c r="BB64" s="263" t="str">
        <f>IFERROR(HLOOKUP(BB$7,'PCO Log'!$E$11:$SJ$98,58,FALSE),"")</f>
        <v/>
      </c>
      <c r="BC64" s="263" t="str">
        <f>IFERROR(HLOOKUP(BC$7,'PCO Log'!$E$11:$SJ$98,58,FALSE),"")</f>
        <v/>
      </c>
    </row>
    <row r="65" spans="2:55" s="334" customFormat="1" x14ac:dyDescent="0.25">
      <c r="B65" s="40" t="str">
        <f>'Pay App 1'!B119</f>
        <v>11 66 00</v>
      </c>
      <c r="C65" s="41" t="str">
        <f>'Pay App 1'!C119</f>
        <v>Athletic Equipment</v>
      </c>
      <c r="D65" s="263">
        <f t="shared" si="1"/>
        <v>0</v>
      </c>
      <c r="E65" s="264">
        <f>'Pay App 1'!D119</f>
        <v>0</v>
      </c>
      <c r="F65" s="263" t="str">
        <f>IFERROR(HLOOKUP(F$7,'PCO Log'!$E$11:$SJ$98,59,FALSE),"")</f>
        <v/>
      </c>
      <c r="G65" s="263" t="str">
        <f>IFERROR(HLOOKUP(G$7,'PCO Log'!$E$11:$SJ$98,59,FALSE),"")</f>
        <v/>
      </c>
      <c r="H65" s="263" t="str">
        <f>IFERROR(HLOOKUP(H$7,'PCO Log'!$E$11:$SJ$98,59,FALSE),"")</f>
        <v/>
      </c>
      <c r="I65" s="263" t="str">
        <f>IFERROR(HLOOKUP(I$7,'PCO Log'!$E$11:$SJ$98,59,FALSE),"")</f>
        <v/>
      </c>
      <c r="J65" s="263" t="str">
        <f>IFERROR(HLOOKUP(J$7,'PCO Log'!$E$11:$SJ$98,59,FALSE),"")</f>
        <v/>
      </c>
      <c r="K65" s="263" t="str">
        <f>IFERROR(HLOOKUP(K$7,'PCO Log'!$E$11:$SJ$98,59,FALSE),"")</f>
        <v/>
      </c>
      <c r="L65" s="263" t="str">
        <f>IFERROR(HLOOKUP(L$7,'PCO Log'!$E$11:$SJ$98,59,FALSE),"")</f>
        <v/>
      </c>
      <c r="M65" s="263" t="str">
        <f>IFERROR(HLOOKUP(M$7,'PCO Log'!$E$11:$SJ$98,59,FALSE),"")</f>
        <v/>
      </c>
      <c r="N65" s="263" t="str">
        <f>IFERROR(HLOOKUP(N$7,'PCO Log'!$E$11:$SJ$98,59,FALSE),"")</f>
        <v/>
      </c>
      <c r="O65" s="263" t="str">
        <f>IFERROR(HLOOKUP(O$7,'PCO Log'!$E$11:$SJ$98,59,FALSE),"")</f>
        <v/>
      </c>
      <c r="P65" s="263" t="str">
        <f>IFERROR(HLOOKUP(P$7,'PCO Log'!$E$11:$SJ$98,59,FALSE),"")</f>
        <v/>
      </c>
      <c r="Q65" s="263" t="str">
        <f>IFERROR(HLOOKUP(Q$7,'PCO Log'!$E$11:$SJ$98,59,FALSE),"")</f>
        <v/>
      </c>
      <c r="R65" s="263" t="str">
        <f>IFERROR(HLOOKUP(R$7,'PCO Log'!$E$11:$SJ$98,59,FALSE),"")</f>
        <v/>
      </c>
      <c r="S65" s="263" t="str">
        <f>IFERROR(HLOOKUP(S$7,'PCO Log'!$E$11:$SJ$98,59,FALSE),"")</f>
        <v/>
      </c>
      <c r="T65" s="263" t="str">
        <f>IFERROR(HLOOKUP(T$7,'PCO Log'!$E$11:$SJ$98,59,FALSE),"")</f>
        <v/>
      </c>
      <c r="U65" s="263" t="str">
        <f>IFERROR(HLOOKUP(U$7,'PCO Log'!$E$11:$SJ$98,59,FALSE),"")</f>
        <v/>
      </c>
      <c r="V65" s="263" t="str">
        <f>IFERROR(HLOOKUP(V$7,'PCO Log'!$E$11:$SJ$98,59,FALSE),"")</f>
        <v/>
      </c>
      <c r="W65" s="263" t="str">
        <f>IFERROR(HLOOKUP(W$7,'PCO Log'!$E$11:$SJ$98,59,FALSE),"")</f>
        <v/>
      </c>
      <c r="X65" s="263" t="str">
        <f>IFERROR(HLOOKUP(X$7,'PCO Log'!$E$11:$SJ$98,59,FALSE),"")</f>
        <v/>
      </c>
      <c r="Y65" s="263" t="str">
        <f>IFERROR(HLOOKUP(Y$7,'PCO Log'!$E$11:$SJ$98,59,FALSE),"")</f>
        <v/>
      </c>
      <c r="Z65" s="263" t="str">
        <f>IFERROR(HLOOKUP(Z$7,'PCO Log'!$E$11:$SJ$98,59,FALSE),"")</f>
        <v/>
      </c>
      <c r="AA65" s="263" t="str">
        <f>IFERROR(HLOOKUP(AA$7,'PCO Log'!$E$11:$SJ$98,59,FALSE),"")</f>
        <v/>
      </c>
      <c r="AB65" s="263" t="str">
        <f>IFERROR(HLOOKUP(AB$7,'PCO Log'!$E$11:$SJ$98,59,FALSE),"")</f>
        <v/>
      </c>
      <c r="AC65" s="263" t="str">
        <f>IFERROR(HLOOKUP(AC$7,'PCO Log'!$E$11:$SJ$98,59,FALSE),"")</f>
        <v/>
      </c>
      <c r="AD65" s="263" t="str">
        <f>IFERROR(HLOOKUP(AD$7,'PCO Log'!$E$11:$SJ$98,59,FALSE),"")</f>
        <v/>
      </c>
      <c r="AE65" s="263" t="str">
        <f>IFERROR(HLOOKUP(AE$7,'PCO Log'!$E$11:$SJ$98,59,FALSE),"")</f>
        <v/>
      </c>
      <c r="AF65" s="263" t="str">
        <f>IFERROR(HLOOKUP(AF$7,'PCO Log'!$E$11:$SJ$98,59,FALSE),"")</f>
        <v/>
      </c>
      <c r="AG65" s="263" t="str">
        <f>IFERROR(HLOOKUP(AG$7,'PCO Log'!$E$11:$SJ$98,59,FALSE),"")</f>
        <v/>
      </c>
      <c r="AH65" s="263" t="str">
        <f>IFERROR(HLOOKUP(AH$7,'PCO Log'!$E$11:$SJ$98,59,FALSE),"")</f>
        <v/>
      </c>
      <c r="AI65" s="263" t="str">
        <f>IFERROR(HLOOKUP(AI$7,'PCO Log'!$E$11:$SJ$98,59,FALSE),"")</f>
        <v/>
      </c>
      <c r="AJ65" s="263" t="str">
        <f>IFERROR(HLOOKUP(AJ$7,'PCO Log'!$E$11:$SJ$98,59,FALSE),"")</f>
        <v/>
      </c>
      <c r="AK65" s="263" t="str">
        <f>IFERROR(HLOOKUP(AK$7,'PCO Log'!$E$11:$SJ$98,59,FALSE),"")</f>
        <v/>
      </c>
      <c r="AL65" s="263" t="str">
        <f>IFERROR(HLOOKUP(AL$7,'PCO Log'!$E$11:$SJ$98,59,FALSE),"")</f>
        <v/>
      </c>
      <c r="AM65" s="263" t="str">
        <f>IFERROR(HLOOKUP(AM$7,'PCO Log'!$E$11:$SJ$98,59,FALSE),"")</f>
        <v/>
      </c>
      <c r="AN65" s="263" t="str">
        <f>IFERROR(HLOOKUP(AN$7,'PCO Log'!$E$11:$SJ$98,59,FALSE),"")</f>
        <v/>
      </c>
      <c r="AO65" s="263" t="str">
        <f>IFERROR(HLOOKUP(AO$7,'PCO Log'!$E$11:$SJ$98,59,FALSE),"")</f>
        <v/>
      </c>
      <c r="AP65" s="263" t="str">
        <f>IFERROR(HLOOKUP(AP$7,'PCO Log'!$E$11:$SJ$98,59,FALSE),"")</f>
        <v/>
      </c>
      <c r="AQ65" s="263" t="str">
        <f>IFERROR(HLOOKUP(AQ$7,'PCO Log'!$E$11:$SJ$98,59,FALSE),"")</f>
        <v/>
      </c>
      <c r="AR65" s="263" t="str">
        <f>IFERROR(HLOOKUP(AR$7,'PCO Log'!$E$11:$SJ$98,59,FALSE),"")</f>
        <v/>
      </c>
      <c r="AS65" s="263" t="str">
        <f>IFERROR(HLOOKUP(AS$7,'PCO Log'!$E$11:$SJ$98,59,FALSE),"")</f>
        <v/>
      </c>
      <c r="AT65" s="263" t="str">
        <f>IFERROR(HLOOKUP(AT$7,'PCO Log'!$E$11:$SJ$98,59,FALSE),"")</f>
        <v/>
      </c>
      <c r="AU65" s="263" t="str">
        <f>IFERROR(HLOOKUP(AU$7,'PCO Log'!$E$11:$SJ$98,59,FALSE),"")</f>
        <v/>
      </c>
      <c r="AV65" s="263" t="str">
        <f>IFERROR(HLOOKUP(AV$7,'PCO Log'!$E$11:$SJ$98,59,FALSE),"")</f>
        <v/>
      </c>
      <c r="AW65" s="263" t="str">
        <f>IFERROR(HLOOKUP(AW$7,'PCO Log'!$E$11:$SJ$98,59,FALSE),"")</f>
        <v/>
      </c>
      <c r="AX65" s="263" t="str">
        <f>IFERROR(HLOOKUP(AX$7,'PCO Log'!$E$11:$SJ$98,59,FALSE),"")</f>
        <v/>
      </c>
      <c r="AY65" s="263" t="str">
        <f>IFERROR(HLOOKUP(AY$7,'PCO Log'!$E$11:$SJ$98,59,FALSE),"")</f>
        <v/>
      </c>
      <c r="AZ65" s="263" t="str">
        <f>IFERROR(HLOOKUP(AZ$7,'PCO Log'!$E$11:$SJ$98,59,FALSE),"")</f>
        <v/>
      </c>
      <c r="BA65" s="263" t="str">
        <f>IFERROR(HLOOKUP(BA$7,'PCO Log'!$E$11:$SJ$98,59,FALSE),"")</f>
        <v/>
      </c>
      <c r="BB65" s="263" t="str">
        <f>IFERROR(HLOOKUP(BB$7,'PCO Log'!$E$11:$SJ$98,59,FALSE),"")</f>
        <v/>
      </c>
      <c r="BC65" s="263" t="str">
        <f>IFERROR(HLOOKUP(BC$7,'PCO Log'!$E$11:$SJ$98,59,FALSE),"")</f>
        <v/>
      </c>
    </row>
    <row r="66" spans="2:55" s="334" customFormat="1" x14ac:dyDescent="0.25">
      <c r="B66" s="40" t="str">
        <f>'Pay App 1'!B120</f>
        <v>11 90 00</v>
      </c>
      <c r="C66" s="41" t="str">
        <f>'Pay App 1'!C120</f>
        <v>Equipment (other)</v>
      </c>
      <c r="D66" s="263">
        <f t="shared" si="1"/>
        <v>0</v>
      </c>
      <c r="E66" s="264">
        <f>'Pay App 1'!D120</f>
        <v>0</v>
      </c>
      <c r="F66" s="263" t="str">
        <f>IFERROR(HLOOKUP(F$7,'PCO Log'!$E$11:$SJ$98,60,FALSE),"")</f>
        <v/>
      </c>
      <c r="G66" s="263" t="str">
        <f>IFERROR(HLOOKUP(G$7,'PCO Log'!$E$11:$SJ$98,60,FALSE),"")</f>
        <v/>
      </c>
      <c r="H66" s="263" t="str">
        <f>IFERROR(HLOOKUP(H$7,'PCO Log'!$E$11:$SJ$98,60,FALSE),"")</f>
        <v/>
      </c>
      <c r="I66" s="263" t="str">
        <f>IFERROR(HLOOKUP(I$7,'PCO Log'!$E$11:$SJ$98,60,FALSE),"")</f>
        <v/>
      </c>
      <c r="J66" s="263" t="str">
        <f>IFERROR(HLOOKUP(J$7,'PCO Log'!$E$11:$SJ$98,60,FALSE),"")</f>
        <v/>
      </c>
      <c r="K66" s="263" t="str">
        <f>IFERROR(HLOOKUP(K$7,'PCO Log'!$E$11:$SJ$98,60,FALSE),"")</f>
        <v/>
      </c>
      <c r="L66" s="263" t="str">
        <f>IFERROR(HLOOKUP(L$7,'PCO Log'!$E$11:$SJ$98,60,FALSE),"")</f>
        <v/>
      </c>
      <c r="M66" s="263" t="str">
        <f>IFERROR(HLOOKUP(M$7,'PCO Log'!$E$11:$SJ$98,60,FALSE),"")</f>
        <v/>
      </c>
      <c r="N66" s="263" t="str">
        <f>IFERROR(HLOOKUP(N$7,'PCO Log'!$E$11:$SJ$98,60,FALSE),"")</f>
        <v/>
      </c>
      <c r="O66" s="263" t="str">
        <f>IFERROR(HLOOKUP(O$7,'PCO Log'!$E$11:$SJ$98,60,FALSE),"")</f>
        <v/>
      </c>
      <c r="P66" s="263" t="str">
        <f>IFERROR(HLOOKUP(P$7,'PCO Log'!$E$11:$SJ$98,60,FALSE),"")</f>
        <v/>
      </c>
      <c r="Q66" s="263" t="str">
        <f>IFERROR(HLOOKUP(Q$7,'PCO Log'!$E$11:$SJ$98,60,FALSE),"")</f>
        <v/>
      </c>
      <c r="R66" s="263" t="str">
        <f>IFERROR(HLOOKUP(R$7,'PCO Log'!$E$11:$SJ$98,60,FALSE),"")</f>
        <v/>
      </c>
      <c r="S66" s="263" t="str">
        <f>IFERROR(HLOOKUP(S$7,'PCO Log'!$E$11:$SJ$98,60,FALSE),"")</f>
        <v/>
      </c>
      <c r="T66" s="263" t="str">
        <f>IFERROR(HLOOKUP(T$7,'PCO Log'!$E$11:$SJ$98,60,FALSE),"")</f>
        <v/>
      </c>
      <c r="U66" s="263" t="str">
        <f>IFERROR(HLOOKUP(U$7,'PCO Log'!$E$11:$SJ$98,60,FALSE),"")</f>
        <v/>
      </c>
      <c r="V66" s="263" t="str">
        <f>IFERROR(HLOOKUP(V$7,'PCO Log'!$E$11:$SJ$98,60,FALSE),"")</f>
        <v/>
      </c>
      <c r="W66" s="263" t="str">
        <f>IFERROR(HLOOKUP(W$7,'PCO Log'!$E$11:$SJ$98,60,FALSE),"")</f>
        <v/>
      </c>
      <c r="X66" s="263" t="str">
        <f>IFERROR(HLOOKUP(X$7,'PCO Log'!$E$11:$SJ$98,60,FALSE),"")</f>
        <v/>
      </c>
      <c r="Y66" s="263" t="str">
        <f>IFERROR(HLOOKUP(Y$7,'PCO Log'!$E$11:$SJ$98,60,FALSE),"")</f>
        <v/>
      </c>
      <c r="Z66" s="263" t="str">
        <f>IFERROR(HLOOKUP(Z$7,'PCO Log'!$E$11:$SJ$98,60,FALSE),"")</f>
        <v/>
      </c>
      <c r="AA66" s="263" t="str">
        <f>IFERROR(HLOOKUP(AA$7,'PCO Log'!$E$11:$SJ$98,60,FALSE),"")</f>
        <v/>
      </c>
      <c r="AB66" s="263" t="str">
        <f>IFERROR(HLOOKUP(AB$7,'PCO Log'!$E$11:$SJ$98,60,FALSE),"")</f>
        <v/>
      </c>
      <c r="AC66" s="263" t="str">
        <f>IFERROR(HLOOKUP(AC$7,'PCO Log'!$E$11:$SJ$98,60,FALSE),"")</f>
        <v/>
      </c>
      <c r="AD66" s="263" t="str">
        <f>IFERROR(HLOOKUP(AD$7,'PCO Log'!$E$11:$SJ$98,60,FALSE),"")</f>
        <v/>
      </c>
      <c r="AE66" s="263" t="str">
        <f>IFERROR(HLOOKUP(AE$7,'PCO Log'!$E$11:$SJ$98,60,FALSE),"")</f>
        <v/>
      </c>
      <c r="AF66" s="263" t="str">
        <f>IFERROR(HLOOKUP(AF$7,'PCO Log'!$E$11:$SJ$98,60,FALSE),"")</f>
        <v/>
      </c>
      <c r="AG66" s="263" t="str">
        <f>IFERROR(HLOOKUP(AG$7,'PCO Log'!$E$11:$SJ$98,60,FALSE),"")</f>
        <v/>
      </c>
      <c r="AH66" s="263" t="str">
        <f>IFERROR(HLOOKUP(AH$7,'PCO Log'!$E$11:$SJ$98,60,FALSE),"")</f>
        <v/>
      </c>
      <c r="AI66" s="263" t="str">
        <f>IFERROR(HLOOKUP(AI$7,'PCO Log'!$E$11:$SJ$98,60,FALSE),"")</f>
        <v/>
      </c>
      <c r="AJ66" s="263" t="str">
        <f>IFERROR(HLOOKUP(AJ$7,'PCO Log'!$E$11:$SJ$98,60,FALSE),"")</f>
        <v/>
      </c>
      <c r="AK66" s="263" t="str">
        <f>IFERROR(HLOOKUP(AK$7,'PCO Log'!$E$11:$SJ$98,60,FALSE),"")</f>
        <v/>
      </c>
      <c r="AL66" s="263" t="str">
        <f>IFERROR(HLOOKUP(AL$7,'PCO Log'!$E$11:$SJ$98,60,FALSE),"")</f>
        <v/>
      </c>
      <c r="AM66" s="263" t="str">
        <f>IFERROR(HLOOKUP(AM$7,'PCO Log'!$E$11:$SJ$98,60,FALSE),"")</f>
        <v/>
      </c>
      <c r="AN66" s="263" t="str">
        <f>IFERROR(HLOOKUP(AN$7,'PCO Log'!$E$11:$SJ$98,60,FALSE),"")</f>
        <v/>
      </c>
      <c r="AO66" s="263" t="str">
        <f>IFERROR(HLOOKUP(AO$7,'PCO Log'!$E$11:$SJ$98,60,FALSE),"")</f>
        <v/>
      </c>
      <c r="AP66" s="263" t="str">
        <f>IFERROR(HLOOKUP(AP$7,'PCO Log'!$E$11:$SJ$98,60,FALSE),"")</f>
        <v/>
      </c>
      <c r="AQ66" s="263" t="str">
        <f>IFERROR(HLOOKUP(AQ$7,'PCO Log'!$E$11:$SJ$98,60,FALSE),"")</f>
        <v/>
      </c>
      <c r="AR66" s="263" t="str">
        <f>IFERROR(HLOOKUP(AR$7,'PCO Log'!$E$11:$SJ$98,60,FALSE),"")</f>
        <v/>
      </c>
      <c r="AS66" s="263" t="str">
        <f>IFERROR(HLOOKUP(AS$7,'PCO Log'!$E$11:$SJ$98,60,FALSE),"")</f>
        <v/>
      </c>
      <c r="AT66" s="263" t="str">
        <f>IFERROR(HLOOKUP(AT$7,'PCO Log'!$E$11:$SJ$98,60,FALSE),"")</f>
        <v/>
      </c>
      <c r="AU66" s="263" t="str">
        <f>IFERROR(HLOOKUP(AU$7,'PCO Log'!$E$11:$SJ$98,60,FALSE),"")</f>
        <v/>
      </c>
      <c r="AV66" s="263" t="str">
        <f>IFERROR(HLOOKUP(AV$7,'PCO Log'!$E$11:$SJ$98,60,FALSE),"")</f>
        <v/>
      </c>
      <c r="AW66" s="263" t="str">
        <f>IFERROR(HLOOKUP(AW$7,'PCO Log'!$E$11:$SJ$98,60,FALSE),"")</f>
        <v/>
      </c>
      <c r="AX66" s="263" t="str">
        <f>IFERROR(HLOOKUP(AX$7,'PCO Log'!$E$11:$SJ$98,60,FALSE),"")</f>
        <v/>
      </c>
      <c r="AY66" s="263" t="str">
        <f>IFERROR(HLOOKUP(AY$7,'PCO Log'!$E$11:$SJ$98,60,FALSE),"")</f>
        <v/>
      </c>
      <c r="AZ66" s="263" t="str">
        <f>IFERROR(HLOOKUP(AZ$7,'PCO Log'!$E$11:$SJ$98,60,FALSE),"")</f>
        <v/>
      </c>
      <c r="BA66" s="263" t="str">
        <f>IFERROR(HLOOKUP(BA$7,'PCO Log'!$E$11:$SJ$98,60,FALSE),"")</f>
        <v/>
      </c>
      <c r="BB66" s="263" t="str">
        <f>IFERROR(HLOOKUP(BB$7,'PCO Log'!$E$11:$SJ$98,60,FALSE),"")</f>
        <v/>
      </c>
      <c r="BC66" s="263" t="str">
        <f>IFERROR(HLOOKUP(BC$7,'PCO Log'!$E$11:$SJ$98,60,FALSE),"")</f>
        <v/>
      </c>
    </row>
    <row r="67" spans="2:55" s="334" customFormat="1" x14ac:dyDescent="0.25">
      <c r="B67" s="42" t="str">
        <f>'Pay App 1'!B121</f>
        <v>12 00 00</v>
      </c>
      <c r="C67" s="43" t="str">
        <f>'Pay App 1'!C121</f>
        <v xml:space="preserve">Furnishings </v>
      </c>
      <c r="D67" s="263">
        <f t="shared" si="1"/>
        <v>0</v>
      </c>
      <c r="E67" s="264">
        <f>'Pay App 1'!D121</f>
        <v>0</v>
      </c>
      <c r="F67" s="263" t="str">
        <f>IFERROR(HLOOKUP(F$7,'PCO Log'!$E$11:$SJ$98,61,FALSE),"")</f>
        <v/>
      </c>
      <c r="G67" s="263" t="str">
        <f>IFERROR(HLOOKUP(G$7,'PCO Log'!$E$11:$SJ$98,61,FALSE),"")</f>
        <v/>
      </c>
      <c r="H67" s="263" t="str">
        <f>IFERROR(HLOOKUP(H$7,'PCO Log'!$E$11:$SJ$98,61,FALSE),"")</f>
        <v/>
      </c>
      <c r="I67" s="263" t="str">
        <f>IFERROR(HLOOKUP(I$7,'PCO Log'!$E$11:$SJ$98,61,FALSE),"")</f>
        <v/>
      </c>
      <c r="J67" s="263" t="str">
        <f>IFERROR(HLOOKUP(J$7,'PCO Log'!$E$11:$SJ$98,61,FALSE),"")</f>
        <v/>
      </c>
      <c r="K67" s="263" t="str">
        <f>IFERROR(HLOOKUP(K$7,'PCO Log'!$E$11:$SJ$98,61,FALSE),"")</f>
        <v/>
      </c>
      <c r="L67" s="263" t="str">
        <f>IFERROR(HLOOKUP(L$7,'PCO Log'!$E$11:$SJ$98,61,FALSE),"")</f>
        <v/>
      </c>
      <c r="M67" s="263" t="str">
        <f>IFERROR(HLOOKUP(M$7,'PCO Log'!$E$11:$SJ$98,61,FALSE),"")</f>
        <v/>
      </c>
      <c r="N67" s="263" t="str">
        <f>IFERROR(HLOOKUP(N$7,'PCO Log'!$E$11:$SJ$98,61,FALSE),"")</f>
        <v/>
      </c>
      <c r="O67" s="263" t="str">
        <f>IFERROR(HLOOKUP(O$7,'PCO Log'!$E$11:$SJ$98,61,FALSE),"")</f>
        <v/>
      </c>
      <c r="P67" s="263" t="str">
        <f>IFERROR(HLOOKUP(P$7,'PCO Log'!$E$11:$SJ$98,61,FALSE),"")</f>
        <v/>
      </c>
      <c r="Q67" s="263" t="str">
        <f>IFERROR(HLOOKUP(Q$7,'PCO Log'!$E$11:$SJ$98,61,FALSE),"")</f>
        <v/>
      </c>
      <c r="R67" s="263" t="str">
        <f>IFERROR(HLOOKUP(R$7,'PCO Log'!$E$11:$SJ$98,61,FALSE),"")</f>
        <v/>
      </c>
      <c r="S67" s="263" t="str">
        <f>IFERROR(HLOOKUP(S$7,'PCO Log'!$E$11:$SJ$98,61,FALSE),"")</f>
        <v/>
      </c>
      <c r="T67" s="263" t="str">
        <f>IFERROR(HLOOKUP(T$7,'PCO Log'!$E$11:$SJ$98,61,FALSE),"")</f>
        <v/>
      </c>
      <c r="U67" s="263" t="str">
        <f>IFERROR(HLOOKUP(U$7,'PCO Log'!$E$11:$SJ$98,61,FALSE),"")</f>
        <v/>
      </c>
      <c r="V67" s="263" t="str">
        <f>IFERROR(HLOOKUP(V$7,'PCO Log'!$E$11:$SJ$98,61,FALSE),"")</f>
        <v/>
      </c>
      <c r="W67" s="263" t="str">
        <f>IFERROR(HLOOKUP(W$7,'PCO Log'!$E$11:$SJ$98,61,FALSE),"")</f>
        <v/>
      </c>
      <c r="X67" s="263" t="str">
        <f>IFERROR(HLOOKUP(X$7,'PCO Log'!$E$11:$SJ$98,61,FALSE),"")</f>
        <v/>
      </c>
      <c r="Y67" s="263" t="str">
        <f>IFERROR(HLOOKUP(Y$7,'PCO Log'!$E$11:$SJ$98,61,FALSE),"")</f>
        <v/>
      </c>
      <c r="Z67" s="263" t="str">
        <f>IFERROR(HLOOKUP(Z$7,'PCO Log'!$E$11:$SJ$98,61,FALSE),"")</f>
        <v/>
      </c>
      <c r="AA67" s="263" t="str">
        <f>IFERROR(HLOOKUP(AA$7,'PCO Log'!$E$11:$SJ$98,61,FALSE),"")</f>
        <v/>
      </c>
      <c r="AB67" s="263" t="str">
        <f>IFERROR(HLOOKUP(AB$7,'PCO Log'!$E$11:$SJ$98,61,FALSE),"")</f>
        <v/>
      </c>
      <c r="AC67" s="263" t="str">
        <f>IFERROR(HLOOKUP(AC$7,'PCO Log'!$E$11:$SJ$98,61,FALSE),"")</f>
        <v/>
      </c>
      <c r="AD67" s="263" t="str">
        <f>IFERROR(HLOOKUP(AD$7,'PCO Log'!$E$11:$SJ$98,61,FALSE),"")</f>
        <v/>
      </c>
      <c r="AE67" s="263" t="str">
        <f>IFERROR(HLOOKUP(AE$7,'PCO Log'!$E$11:$SJ$98,61,FALSE),"")</f>
        <v/>
      </c>
      <c r="AF67" s="263" t="str">
        <f>IFERROR(HLOOKUP(AF$7,'PCO Log'!$E$11:$SJ$98,61,FALSE),"")</f>
        <v/>
      </c>
      <c r="AG67" s="263" t="str">
        <f>IFERROR(HLOOKUP(AG$7,'PCO Log'!$E$11:$SJ$98,61,FALSE),"")</f>
        <v/>
      </c>
      <c r="AH67" s="263" t="str">
        <f>IFERROR(HLOOKUP(AH$7,'PCO Log'!$E$11:$SJ$98,61,FALSE),"")</f>
        <v/>
      </c>
      <c r="AI67" s="263" t="str">
        <f>IFERROR(HLOOKUP(AI$7,'PCO Log'!$E$11:$SJ$98,61,FALSE),"")</f>
        <v/>
      </c>
      <c r="AJ67" s="263" t="str">
        <f>IFERROR(HLOOKUP(AJ$7,'PCO Log'!$E$11:$SJ$98,61,FALSE),"")</f>
        <v/>
      </c>
      <c r="AK67" s="263" t="str">
        <f>IFERROR(HLOOKUP(AK$7,'PCO Log'!$E$11:$SJ$98,61,FALSE),"")</f>
        <v/>
      </c>
      <c r="AL67" s="263" t="str">
        <f>IFERROR(HLOOKUP(AL$7,'PCO Log'!$E$11:$SJ$98,61,FALSE),"")</f>
        <v/>
      </c>
      <c r="AM67" s="263" t="str">
        <f>IFERROR(HLOOKUP(AM$7,'PCO Log'!$E$11:$SJ$98,61,FALSE),"")</f>
        <v/>
      </c>
      <c r="AN67" s="263" t="str">
        <f>IFERROR(HLOOKUP(AN$7,'PCO Log'!$E$11:$SJ$98,61,FALSE),"")</f>
        <v/>
      </c>
      <c r="AO67" s="263" t="str">
        <f>IFERROR(HLOOKUP(AO$7,'PCO Log'!$E$11:$SJ$98,61,FALSE),"")</f>
        <v/>
      </c>
      <c r="AP67" s="263" t="str">
        <f>IFERROR(HLOOKUP(AP$7,'PCO Log'!$E$11:$SJ$98,61,FALSE),"")</f>
        <v/>
      </c>
      <c r="AQ67" s="263" t="str">
        <f>IFERROR(HLOOKUP(AQ$7,'PCO Log'!$E$11:$SJ$98,61,FALSE),"")</f>
        <v/>
      </c>
      <c r="AR67" s="263" t="str">
        <f>IFERROR(HLOOKUP(AR$7,'PCO Log'!$E$11:$SJ$98,61,FALSE),"")</f>
        <v/>
      </c>
      <c r="AS67" s="263" t="str">
        <f>IFERROR(HLOOKUP(AS$7,'PCO Log'!$E$11:$SJ$98,61,FALSE),"")</f>
        <v/>
      </c>
      <c r="AT67" s="263" t="str">
        <f>IFERROR(HLOOKUP(AT$7,'PCO Log'!$E$11:$SJ$98,61,FALSE),"")</f>
        <v/>
      </c>
      <c r="AU67" s="263" t="str">
        <f>IFERROR(HLOOKUP(AU$7,'PCO Log'!$E$11:$SJ$98,61,FALSE),"")</f>
        <v/>
      </c>
      <c r="AV67" s="263" t="str">
        <f>IFERROR(HLOOKUP(AV$7,'PCO Log'!$E$11:$SJ$98,61,FALSE),"")</f>
        <v/>
      </c>
      <c r="AW67" s="263" t="str">
        <f>IFERROR(HLOOKUP(AW$7,'PCO Log'!$E$11:$SJ$98,61,FALSE),"")</f>
        <v/>
      </c>
      <c r="AX67" s="263" t="str">
        <f>IFERROR(HLOOKUP(AX$7,'PCO Log'!$E$11:$SJ$98,61,FALSE),"")</f>
        <v/>
      </c>
      <c r="AY67" s="263" t="str">
        <f>IFERROR(HLOOKUP(AY$7,'PCO Log'!$E$11:$SJ$98,61,FALSE),"")</f>
        <v/>
      </c>
      <c r="AZ67" s="263" t="str">
        <f>IFERROR(HLOOKUP(AZ$7,'PCO Log'!$E$11:$SJ$98,61,FALSE),"")</f>
        <v/>
      </c>
      <c r="BA67" s="263" t="str">
        <f>IFERROR(HLOOKUP(BA$7,'PCO Log'!$E$11:$SJ$98,61,FALSE),"")</f>
        <v/>
      </c>
      <c r="BB67" s="263" t="str">
        <f>IFERROR(HLOOKUP(BB$7,'PCO Log'!$E$11:$SJ$98,61,FALSE),"")</f>
        <v/>
      </c>
      <c r="BC67" s="263" t="str">
        <f>IFERROR(HLOOKUP(BC$7,'PCO Log'!$E$11:$SJ$98,61,FALSE),"")</f>
        <v/>
      </c>
    </row>
    <row r="68" spans="2:55" s="334" customFormat="1" x14ac:dyDescent="0.25">
      <c r="B68" s="42" t="str">
        <f>'Pay App 1'!B122</f>
        <v>12 20 00</v>
      </c>
      <c r="C68" s="43" t="str">
        <f>'Pay App 1'!C122</f>
        <v>Window Coverings</v>
      </c>
      <c r="D68" s="263">
        <f t="shared" si="1"/>
        <v>0</v>
      </c>
      <c r="E68" s="264">
        <f>'Pay App 1'!D122</f>
        <v>0</v>
      </c>
      <c r="F68" s="263" t="str">
        <f>IFERROR(HLOOKUP(F$7,'PCO Log'!$E$11:$SJ$98,62,FALSE),"")</f>
        <v/>
      </c>
      <c r="G68" s="263" t="str">
        <f>IFERROR(HLOOKUP(G$7,'PCO Log'!$E$11:$SJ$98,62,FALSE),"")</f>
        <v/>
      </c>
      <c r="H68" s="263" t="str">
        <f>IFERROR(HLOOKUP(H$7,'PCO Log'!$E$11:$SJ$98,62,FALSE),"")</f>
        <v/>
      </c>
      <c r="I68" s="263" t="str">
        <f>IFERROR(HLOOKUP(I$7,'PCO Log'!$E$11:$SJ$98,62,FALSE),"")</f>
        <v/>
      </c>
      <c r="J68" s="263" t="str">
        <f>IFERROR(HLOOKUP(J$7,'PCO Log'!$E$11:$SJ$98,62,FALSE),"")</f>
        <v/>
      </c>
      <c r="K68" s="263" t="str">
        <f>IFERROR(HLOOKUP(K$7,'PCO Log'!$E$11:$SJ$98,62,FALSE),"")</f>
        <v/>
      </c>
      <c r="L68" s="263" t="str">
        <f>IFERROR(HLOOKUP(L$7,'PCO Log'!$E$11:$SJ$98,62,FALSE),"")</f>
        <v/>
      </c>
      <c r="M68" s="263" t="str">
        <f>IFERROR(HLOOKUP(M$7,'PCO Log'!$E$11:$SJ$98,62,FALSE),"")</f>
        <v/>
      </c>
      <c r="N68" s="263" t="str">
        <f>IFERROR(HLOOKUP(N$7,'PCO Log'!$E$11:$SJ$98,62,FALSE),"")</f>
        <v/>
      </c>
      <c r="O68" s="263" t="str">
        <f>IFERROR(HLOOKUP(O$7,'PCO Log'!$E$11:$SJ$98,62,FALSE),"")</f>
        <v/>
      </c>
      <c r="P68" s="263" t="str">
        <f>IFERROR(HLOOKUP(P$7,'PCO Log'!$E$11:$SJ$98,62,FALSE),"")</f>
        <v/>
      </c>
      <c r="Q68" s="263" t="str">
        <f>IFERROR(HLOOKUP(Q$7,'PCO Log'!$E$11:$SJ$98,62,FALSE),"")</f>
        <v/>
      </c>
      <c r="R68" s="263" t="str">
        <f>IFERROR(HLOOKUP(R$7,'PCO Log'!$E$11:$SJ$98,62,FALSE),"")</f>
        <v/>
      </c>
      <c r="S68" s="263" t="str">
        <f>IFERROR(HLOOKUP(S$7,'PCO Log'!$E$11:$SJ$98,62,FALSE),"")</f>
        <v/>
      </c>
      <c r="T68" s="263" t="str">
        <f>IFERROR(HLOOKUP(T$7,'PCO Log'!$E$11:$SJ$98,62,FALSE),"")</f>
        <v/>
      </c>
      <c r="U68" s="263" t="str">
        <f>IFERROR(HLOOKUP(U$7,'PCO Log'!$E$11:$SJ$98,62,FALSE),"")</f>
        <v/>
      </c>
      <c r="V68" s="263" t="str">
        <f>IFERROR(HLOOKUP(V$7,'PCO Log'!$E$11:$SJ$98,62,FALSE),"")</f>
        <v/>
      </c>
      <c r="W68" s="263" t="str">
        <f>IFERROR(HLOOKUP(W$7,'PCO Log'!$E$11:$SJ$98,62,FALSE),"")</f>
        <v/>
      </c>
      <c r="X68" s="263" t="str">
        <f>IFERROR(HLOOKUP(X$7,'PCO Log'!$E$11:$SJ$98,62,FALSE),"")</f>
        <v/>
      </c>
      <c r="Y68" s="263" t="str">
        <f>IFERROR(HLOOKUP(Y$7,'PCO Log'!$E$11:$SJ$98,62,FALSE),"")</f>
        <v/>
      </c>
      <c r="Z68" s="263" t="str">
        <f>IFERROR(HLOOKUP(Z$7,'PCO Log'!$E$11:$SJ$98,62,FALSE),"")</f>
        <v/>
      </c>
      <c r="AA68" s="263" t="str">
        <f>IFERROR(HLOOKUP(AA$7,'PCO Log'!$E$11:$SJ$98,62,FALSE),"")</f>
        <v/>
      </c>
      <c r="AB68" s="263" t="str">
        <f>IFERROR(HLOOKUP(AB$7,'PCO Log'!$E$11:$SJ$98,62,FALSE),"")</f>
        <v/>
      </c>
      <c r="AC68" s="263" t="str">
        <f>IFERROR(HLOOKUP(AC$7,'PCO Log'!$E$11:$SJ$98,62,FALSE),"")</f>
        <v/>
      </c>
      <c r="AD68" s="263" t="str">
        <f>IFERROR(HLOOKUP(AD$7,'PCO Log'!$E$11:$SJ$98,62,FALSE),"")</f>
        <v/>
      </c>
      <c r="AE68" s="263" t="str">
        <f>IFERROR(HLOOKUP(AE$7,'PCO Log'!$E$11:$SJ$98,62,FALSE),"")</f>
        <v/>
      </c>
      <c r="AF68" s="263" t="str">
        <f>IFERROR(HLOOKUP(AF$7,'PCO Log'!$E$11:$SJ$98,62,FALSE),"")</f>
        <v/>
      </c>
      <c r="AG68" s="263" t="str">
        <f>IFERROR(HLOOKUP(AG$7,'PCO Log'!$E$11:$SJ$98,62,FALSE),"")</f>
        <v/>
      </c>
      <c r="AH68" s="263" t="str">
        <f>IFERROR(HLOOKUP(AH$7,'PCO Log'!$E$11:$SJ$98,62,FALSE),"")</f>
        <v/>
      </c>
      <c r="AI68" s="263" t="str">
        <f>IFERROR(HLOOKUP(AI$7,'PCO Log'!$E$11:$SJ$98,62,FALSE),"")</f>
        <v/>
      </c>
      <c r="AJ68" s="263" t="str">
        <f>IFERROR(HLOOKUP(AJ$7,'PCO Log'!$E$11:$SJ$98,62,FALSE),"")</f>
        <v/>
      </c>
      <c r="AK68" s="263" t="str">
        <f>IFERROR(HLOOKUP(AK$7,'PCO Log'!$E$11:$SJ$98,62,FALSE),"")</f>
        <v/>
      </c>
      <c r="AL68" s="263" t="str">
        <f>IFERROR(HLOOKUP(AL$7,'PCO Log'!$E$11:$SJ$98,62,FALSE),"")</f>
        <v/>
      </c>
      <c r="AM68" s="263" t="str">
        <f>IFERROR(HLOOKUP(AM$7,'PCO Log'!$E$11:$SJ$98,62,FALSE),"")</f>
        <v/>
      </c>
      <c r="AN68" s="263" t="str">
        <f>IFERROR(HLOOKUP(AN$7,'PCO Log'!$E$11:$SJ$98,62,FALSE),"")</f>
        <v/>
      </c>
      <c r="AO68" s="263" t="str">
        <f>IFERROR(HLOOKUP(AO$7,'PCO Log'!$E$11:$SJ$98,62,FALSE),"")</f>
        <v/>
      </c>
      <c r="AP68" s="263" t="str">
        <f>IFERROR(HLOOKUP(AP$7,'PCO Log'!$E$11:$SJ$98,62,FALSE),"")</f>
        <v/>
      </c>
      <c r="AQ68" s="263" t="str">
        <f>IFERROR(HLOOKUP(AQ$7,'PCO Log'!$E$11:$SJ$98,62,FALSE),"")</f>
        <v/>
      </c>
      <c r="AR68" s="263" t="str">
        <f>IFERROR(HLOOKUP(AR$7,'PCO Log'!$E$11:$SJ$98,62,FALSE),"")</f>
        <v/>
      </c>
      <c r="AS68" s="263" t="str">
        <f>IFERROR(HLOOKUP(AS$7,'PCO Log'!$E$11:$SJ$98,62,FALSE),"")</f>
        <v/>
      </c>
      <c r="AT68" s="263" t="str">
        <f>IFERROR(HLOOKUP(AT$7,'PCO Log'!$E$11:$SJ$98,62,FALSE),"")</f>
        <v/>
      </c>
      <c r="AU68" s="263" t="str">
        <f>IFERROR(HLOOKUP(AU$7,'PCO Log'!$E$11:$SJ$98,62,FALSE),"")</f>
        <v/>
      </c>
      <c r="AV68" s="263" t="str">
        <f>IFERROR(HLOOKUP(AV$7,'PCO Log'!$E$11:$SJ$98,62,FALSE),"")</f>
        <v/>
      </c>
      <c r="AW68" s="263" t="str">
        <f>IFERROR(HLOOKUP(AW$7,'PCO Log'!$E$11:$SJ$98,62,FALSE),"")</f>
        <v/>
      </c>
      <c r="AX68" s="263" t="str">
        <f>IFERROR(HLOOKUP(AX$7,'PCO Log'!$E$11:$SJ$98,62,FALSE),"")</f>
        <v/>
      </c>
      <c r="AY68" s="263" t="str">
        <f>IFERROR(HLOOKUP(AY$7,'PCO Log'!$E$11:$SJ$98,62,FALSE),"")</f>
        <v/>
      </c>
      <c r="AZ68" s="263" t="str">
        <f>IFERROR(HLOOKUP(AZ$7,'PCO Log'!$E$11:$SJ$98,62,FALSE),"")</f>
        <v/>
      </c>
      <c r="BA68" s="263" t="str">
        <f>IFERROR(HLOOKUP(BA$7,'PCO Log'!$E$11:$SJ$98,62,FALSE),"")</f>
        <v/>
      </c>
      <c r="BB68" s="263" t="str">
        <f>IFERROR(HLOOKUP(BB$7,'PCO Log'!$E$11:$SJ$98,62,FALSE),"")</f>
        <v/>
      </c>
      <c r="BC68" s="263" t="str">
        <f>IFERROR(HLOOKUP(BC$7,'PCO Log'!$E$11:$SJ$98,62,FALSE),"")</f>
        <v/>
      </c>
    </row>
    <row r="69" spans="2:55" s="334" customFormat="1" x14ac:dyDescent="0.25">
      <c r="B69" s="42" t="str">
        <f>'Pay App 1'!B123</f>
        <v>12 61 00</v>
      </c>
      <c r="C69" s="43" t="str">
        <f>'Pay App 1'!C123</f>
        <v>Fixed Seating</v>
      </c>
      <c r="D69" s="263">
        <f t="shared" si="1"/>
        <v>0</v>
      </c>
      <c r="E69" s="264">
        <f>'Pay App 1'!D123</f>
        <v>0</v>
      </c>
      <c r="F69" s="263" t="str">
        <f>IFERROR(HLOOKUP(F$7,'PCO Log'!$E$11:$SJ$98,63,FALSE),"")</f>
        <v/>
      </c>
      <c r="G69" s="263" t="str">
        <f>IFERROR(HLOOKUP(G$7,'PCO Log'!$E$11:$SJ$98,63,FALSE),"")</f>
        <v/>
      </c>
      <c r="H69" s="263" t="str">
        <f>IFERROR(HLOOKUP(H$7,'PCO Log'!$E$11:$SJ$98,63,FALSE),"")</f>
        <v/>
      </c>
      <c r="I69" s="263" t="str">
        <f>IFERROR(HLOOKUP(I$7,'PCO Log'!$E$11:$SJ$98,63,FALSE),"")</f>
        <v/>
      </c>
      <c r="J69" s="263" t="str">
        <f>IFERROR(HLOOKUP(J$7,'PCO Log'!$E$11:$SJ$98,63,FALSE),"")</f>
        <v/>
      </c>
      <c r="K69" s="263" t="str">
        <f>IFERROR(HLOOKUP(K$7,'PCO Log'!$E$11:$SJ$98,63,FALSE),"")</f>
        <v/>
      </c>
      <c r="L69" s="263" t="str">
        <f>IFERROR(HLOOKUP(L$7,'PCO Log'!$E$11:$SJ$98,63,FALSE),"")</f>
        <v/>
      </c>
      <c r="M69" s="263" t="str">
        <f>IFERROR(HLOOKUP(M$7,'PCO Log'!$E$11:$SJ$98,63,FALSE),"")</f>
        <v/>
      </c>
      <c r="N69" s="263" t="str">
        <f>IFERROR(HLOOKUP(N$7,'PCO Log'!$E$11:$SJ$98,63,FALSE),"")</f>
        <v/>
      </c>
      <c r="O69" s="263" t="str">
        <f>IFERROR(HLOOKUP(O$7,'PCO Log'!$E$11:$SJ$98,63,FALSE),"")</f>
        <v/>
      </c>
      <c r="P69" s="263" t="str">
        <f>IFERROR(HLOOKUP(P$7,'PCO Log'!$E$11:$SJ$98,63,FALSE),"")</f>
        <v/>
      </c>
      <c r="Q69" s="263" t="str">
        <f>IFERROR(HLOOKUP(Q$7,'PCO Log'!$E$11:$SJ$98,63,FALSE),"")</f>
        <v/>
      </c>
      <c r="R69" s="263" t="str">
        <f>IFERROR(HLOOKUP(R$7,'PCO Log'!$E$11:$SJ$98,63,FALSE),"")</f>
        <v/>
      </c>
      <c r="S69" s="263" t="str">
        <f>IFERROR(HLOOKUP(S$7,'PCO Log'!$E$11:$SJ$98,63,FALSE),"")</f>
        <v/>
      </c>
      <c r="T69" s="263" t="str">
        <f>IFERROR(HLOOKUP(T$7,'PCO Log'!$E$11:$SJ$98,63,FALSE),"")</f>
        <v/>
      </c>
      <c r="U69" s="263" t="str">
        <f>IFERROR(HLOOKUP(U$7,'PCO Log'!$E$11:$SJ$98,63,FALSE),"")</f>
        <v/>
      </c>
      <c r="V69" s="263" t="str">
        <f>IFERROR(HLOOKUP(V$7,'PCO Log'!$E$11:$SJ$98,63,FALSE),"")</f>
        <v/>
      </c>
      <c r="W69" s="263" t="str">
        <f>IFERROR(HLOOKUP(W$7,'PCO Log'!$E$11:$SJ$98,63,FALSE),"")</f>
        <v/>
      </c>
      <c r="X69" s="263" t="str">
        <f>IFERROR(HLOOKUP(X$7,'PCO Log'!$E$11:$SJ$98,63,FALSE),"")</f>
        <v/>
      </c>
      <c r="Y69" s="263" t="str">
        <f>IFERROR(HLOOKUP(Y$7,'PCO Log'!$E$11:$SJ$98,63,FALSE),"")</f>
        <v/>
      </c>
      <c r="Z69" s="263" t="str">
        <f>IFERROR(HLOOKUP(Z$7,'PCO Log'!$E$11:$SJ$98,63,FALSE),"")</f>
        <v/>
      </c>
      <c r="AA69" s="263" t="str">
        <f>IFERROR(HLOOKUP(AA$7,'PCO Log'!$E$11:$SJ$98,63,FALSE),"")</f>
        <v/>
      </c>
      <c r="AB69" s="263" t="str">
        <f>IFERROR(HLOOKUP(AB$7,'PCO Log'!$E$11:$SJ$98,63,FALSE),"")</f>
        <v/>
      </c>
      <c r="AC69" s="263" t="str">
        <f>IFERROR(HLOOKUP(AC$7,'PCO Log'!$E$11:$SJ$98,63,FALSE),"")</f>
        <v/>
      </c>
      <c r="AD69" s="263" t="str">
        <f>IFERROR(HLOOKUP(AD$7,'PCO Log'!$E$11:$SJ$98,63,FALSE),"")</f>
        <v/>
      </c>
      <c r="AE69" s="263" t="str">
        <f>IFERROR(HLOOKUP(AE$7,'PCO Log'!$E$11:$SJ$98,63,FALSE),"")</f>
        <v/>
      </c>
      <c r="AF69" s="263" t="str">
        <f>IFERROR(HLOOKUP(AF$7,'PCO Log'!$E$11:$SJ$98,63,FALSE),"")</f>
        <v/>
      </c>
      <c r="AG69" s="263" t="str">
        <f>IFERROR(HLOOKUP(AG$7,'PCO Log'!$E$11:$SJ$98,63,FALSE),"")</f>
        <v/>
      </c>
      <c r="AH69" s="263" t="str">
        <f>IFERROR(HLOOKUP(AH$7,'PCO Log'!$E$11:$SJ$98,63,FALSE),"")</f>
        <v/>
      </c>
      <c r="AI69" s="263" t="str">
        <f>IFERROR(HLOOKUP(AI$7,'PCO Log'!$E$11:$SJ$98,63,FALSE),"")</f>
        <v/>
      </c>
      <c r="AJ69" s="263" t="str">
        <f>IFERROR(HLOOKUP(AJ$7,'PCO Log'!$E$11:$SJ$98,63,FALSE),"")</f>
        <v/>
      </c>
      <c r="AK69" s="263" t="str">
        <f>IFERROR(HLOOKUP(AK$7,'PCO Log'!$E$11:$SJ$98,63,FALSE),"")</f>
        <v/>
      </c>
      <c r="AL69" s="263" t="str">
        <f>IFERROR(HLOOKUP(AL$7,'PCO Log'!$E$11:$SJ$98,63,FALSE),"")</f>
        <v/>
      </c>
      <c r="AM69" s="263" t="str">
        <f>IFERROR(HLOOKUP(AM$7,'PCO Log'!$E$11:$SJ$98,63,FALSE),"")</f>
        <v/>
      </c>
      <c r="AN69" s="263" t="str">
        <f>IFERROR(HLOOKUP(AN$7,'PCO Log'!$E$11:$SJ$98,63,FALSE),"")</f>
        <v/>
      </c>
      <c r="AO69" s="263" t="str">
        <f>IFERROR(HLOOKUP(AO$7,'PCO Log'!$E$11:$SJ$98,63,FALSE),"")</f>
        <v/>
      </c>
      <c r="AP69" s="263" t="str">
        <f>IFERROR(HLOOKUP(AP$7,'PCO Log'!$E$11:$SJ$98,63,FALSE),"")</f>
        <v/>
      </c>
      <c r="AQ69" s="263" t="str">
        <f>IFERROR(HLOOKUP(AQ$7,'PCO Log'!$E$11:$SJ$98,63,FALSE),"")</f>
        <v/>
      </c>
      <c r="AR69" s="263" t="str">
        <f>IFERROR(HLOOKUP(AR$7,'PCO Log'!$E$11:$SJ$98,63,FALSE),"")</f>
        <v/>
      </c>
      <c r="AS69" s="263" t="str">
        <f>IFERROR(HLOOKUP(AS$7,'PCO Log'!$E$11:$SJ$98,63,FALSE),"")</f>
        <v/>
      </c>
      <c r="AT69" s="263" t="str">
        <f>IFERROR(HLOOKUP(AT$7,'PCO Log'!$E$11:$SJ$98,63,FALSE),"")</f>
        <v/>
      </c>
      <c r="AU69" s="263" t="str">
        <f>IFERROR(HLOOKUP(AU$7,'PCO Log'!$E$11:$SJ$98,63,FALSE),"")</f>
        <v/>
      </c>
      <c r="AV69" s="263" t="str">
        <f>IFERROR(HLOOKUP(AV$7,'PCO Log'!$E$11:$SJ$98,63,FALSE),"")</f>
        <v/>
      </c>
      <c r="AW69" s="263" t="str">
        <f>IFERROR(HLOOKUP(AW$7,'PCO Log'!$E$11:$SJ$98,63,FALSE),"")</f>
        <v/>
      </c>
      <c r="AX69" s="263" t="str">
        <f>IFERROR(HLOOKUP(AX$7,'PCO Log'!$E$11:$SJ$98,63,FALSE),"")</f>
        <v/>
      </c>
      <c r="AY69" s="263" t="str">
        <f>IFERROR(HLOOKUP(AY$7,'PCO Log'!$E$11:$SJ$98,63,FALSE),"")</f>
        <v/>
      </c>
      <c r="AZ69" s="263" t="str">
        <f>IFERROR(HLOOKUP(AZ$7,'PCO Log'!$E$11:$SJ$98,63,FALSE),"")</f>
        <v/>
      </c>
      <c r="BA69" s="263" t="str">
        <f>IFERROR(HLOOKUP(BA$7,'PCO Log'!$E$11:$SJ$98,63,FALSE),"")</f>
        <v/>
      </c>
      <c r="BB69" s="263" t="str">
        <f>IFERROR(HLOOKUP(BB$7,'PCO Log'!$E$11:$SJ$98,63,FALSE),"")</f>
        <v/>
      </c>
      <c r="BC69" s="263" t="str">
        <f>IFERROR(HLOOKUP(BC$7,'PCO Log'!$E$11:$SJ$98,63,FALSE),"")</f>
        <v/>
      </c>
    </row>
    <row r="70" spans="2:55" s="334" customFormat="1" x14ac:dyDescent="0.25">
      <c r="B70" s="44" t="str">
        <f>'Pay App 1'!B124</f>
        <v>13 00 00</v>
      </c>
      <c r="C70" s="45" t="str">
        <f>'Pay App 1'!C124</f>
        <v>Special Construction (Other)</v>
      </c>
      <c r="D70" s="263">
        <f t="shared" si="1"/>
        <v>0</v>
      </c>
      <c r="E70" s="264">
        <f>'Pay App 1'!D124</f>
        <v>0</v>
      </c>
      <c r="F70" s="263" t="str">
        <f>IFERROR(HLOOKUP(F$7,'PCO Log'!$E$11:$SJ$98,64,FALSE),"")</f>
        <v/>
      </c>
      <c r="G70" s="263" t="str">
        <f>IFERROR(HLOOKUP(G$7,'PCO Log'!$E$11:$SJ$98,64,FALSE),"")</f>
        <v/>
      </c>
      <c r="H70" s="263" t="str">
        <f>IFERROR(HLOOKUP(H$7,'PCO Log'!$E$11:$SJ$98,64,FALSE),"")</f>
        <v/>
      </c>
      <c r="I70" s="263" t="str">
        <f>IFERROR(HLOOKUP(I$7,'PCO Log'!$E$11:$SJ$98,64,FALSE),"")</f>
        <v/>
      </c>
      <c r="J70" s="263" t="str">
        <f>IFERROR(HLOOKUP(J$7,'PCO Log'!$E$11:$SJ$98,64,FALSE),"")</f>
        <v/>
      </c>
      <c r="K70" s="263" t="str">
        <f>IFERROR(HLOOKUP(K$7,'PCO Log'!$E$11:$SJ$98,64,FALSE),"")</f>
        <v/>
      </c>
      <c r="L70" s="263" t="str">
        <f>IFERROR(HLOOKUP(L$7,'PCO Log'!$E$11:$SJ$98,64,FALSE),"")</f>
        <v/>
      </c>
      <c r="M70" s="263" t="str">
        <f>IFERROR(HLOOKUP(M$7,'PCO Log'!$E$11:$SJ$98,64,FALSE),"")</f>
        <v/>
      </c>
      <c r="N70" s="263" t="str">
        <f>IFERROR(HLOOKUP(N$7,'PCO Log'!$E$11:$SJ$98,64,FALSE),"")</f>
        <v/>
      </c>
      <c r="O70" s="263" t="str">
        <f>IFERROR(HLOOKUP(O$7,'PCO Log'!$E$11:$SJ$98,64,FALSE),"")</f>
        <v/>
      </c>
      <c r="P70" s="263" t="str">
        <f>IFERROR(HLOOKUP(P$7,'PCO Log'!$E$11:$SJ$98,64,FALSE),"")</f>
        <v/>
      </c>
      <c r="Q70" s="263" t="str">
        <f>IFERROR(HLOOKUP(Q$7,'PCO Log'!$E$11:$SJ$98,64,FALSE),"")</f>
        <v/>
      </c>
      <c r="R70" s="263" t="str">
        <f>IFERROR(HLOOKUP(R$7,'PCO Log'!$E$11:$SJ$98,64,FALSE),"")</f>
        <v/>
      </c>
      <c r="S70" s="263" t="str">
        <f>IFERROR(HLOOKUP(S$7,'PCO Log'!$E$11:$SJ$98,64,FALSE),"")</f>
        <v/>
      </c>
      <c r="T70" s="263" t="str">
        <f>IFERROR(HLOOKUP(T$7,'PCO Log'!$E$11:$SJ$98,64,FALSE),"")</f>
        <v/>
      </c>
      <c r="U70" s="263" t="str">
        <f>IFERROR(HLOOKUP(U$7,'PCO Log'!$E$11:$SJ$98,64,FALSE),"")</f>
        <v/>
      </c>
      <c r="V70" s="263" t="str">
        <f>IFERROR(HLOOKUP(V$7,'PCO Log'!$E$11:$SJ$98,64,FALSE),"")</f>
        <v/>
      </c>
      <c r="W70" s="263" t="str">
        <f>IFERROR(HLOOKUP(W$7,'PCO Log'!$E$11:$SJ$98,64,FALSE),"")</f>
        <v/>
      </c>
      <c r="X70" s="263" t="str">
        <f>IFERROR(HLOOKUP(X$7,'PCO Log'!$E$11:$SJ$98,64,FALSE),"")</f>
        <v/>
      </c>
      <c r="Y70" s="263" t="str">
        <f>IFERROR(HLOOKUP(Y$7,'PCO Log'!$E$11:$SJ$98,64,FALSE),"")</f>
        <v/>
      </c>
      <c r="Z70" s="263" t="str">
        <f>IFERROR(HLOOKUP(Z$7,'PCO Log'!$E$11:$SJ$98,64,FALSE),"")</f>
        <v/>
      </c>
      <c r="AA70" s="263" t="str">
        <f>IFERROR(HLOOKUP(AA$7,'PCO Log'!$E$11:$SJ$98,64,FALSE),"")</f>
        <v/>
      </c>
      <c r="AB70" s="263" t="str">
        <f>IFERROR(HLOOKUP(AB$7,'PCO Log'!$E$11:$SJ$98,64,FALSE),"")</f>
        <v/>
      </c>
      <c r="AC70" s="263" t="str">
        <f>IFERROR(HLOOKUP(AC$7,'PCO Log'!$E$11:$SJ$98,64,FALSE),"")</f>
        <v/>
      </c>
      <c r="AD70" s="263" t="str">
        <f>IFERROR(HLOOKUP(AD$7,'PCO Log'!$E$11:$SJ$98,64,FALSE),"")</f>
        <v/>
      </c>
      <c r="AE70" s="263" t="str">
        <f>IFERROR(HLOOKUP(AE$7,'PCO Log'!$E$11:$SJ$98,64,FALSE),"")</f>
        <v/>
      </c>
      <c r="AF70" s="263" t="str">
        <f>IFERROR(HLOOKUP(AF$7,'PCO Log'!$E$11:$SJ$98,64,FALSE),"")</f>
        <v/>
      </c>
      <c r="AG70" s="263" t="str">
        <f>IFERROR(HLOOKUP(AG$7,'PCO Log'!$E$11:$SJ$98,64,FALSE),"")</f>
        <v/>
      </c>
      <c r="AH70" s="263" t="str">
        <f>IFERROR(HLOOKUP(AH$7,'PCO Log'!$E$11:$SJ$98,64,FALSE),"")</f>
        <v/>
      </c>
      <c r="AI70" s="263" t="str">
        <f>IFERROR(HLOOKUP(AI$7,'PCO Log'!$E$11:$SJ$98,64,FALSE),"")</f>
        <v/>
      </c>
      <c r="AJ70" s="263" t="str">
        <f>IFERROR(HLOOKUP(AJ$7,'PCO Log'!$E$11:$SJ$98,64,FALSE),"")</f>
        <v/>
      </c>
      <c r="AK70" s="263" t="str">
        <f>IFERROR(HLOOKUP(AK$7,'PCO Log'!$E$11:$SJ$98,64,FALSE),"")</f>
        <v/>
      </c>
      <c r="AL70" s="263" t="str">
        <f>IFERROR(HLOOKUP(AL$7,'PCO Log'!$E$11:$SJ$98,64,FALSE),"")</f>
        <v/>
      </c>
      <c r="AM70" s="263" t="str">
        <f>IFERROR(HLOOKUP(AM$7,'PCO Log'!$E$11:$SJ$98,64,FALSE),"")</f>
        <v/>
      </c>
      <c r="AN70" s="263" t="str">
        <f>IFERROR(HLOOKUP(AN$7,'PCO Log'!$E$11:$SJ$98,64,FALSE),"")</f>
        <v/>
      </c>
      <c r="AO70" s="263" t="str">
        <f>IFERROR(HLOOKUP(AO$7,'PCO Log'!$E$11:$SJ$98,64,FALSE),"")</f>
        <v/>
      </c>
      <c r="AP70" s="263" t="str">
        <f>IFERROR(HLOOKUP(AP$7,'PCO Log'!$E$11:$SJ$98,64,FALSE),"")</f>
        <v/>
      </c>
      <c r="AQ70" s="263" t="str">
        <f>IFERROR(HLOOKUP(AQ$7,'PCO Log'!$E$11:$SJ$98,64,FALSE),"")</f>
        <v/>
      </c>
      <c r="AR70" s="263" t="str">
        <f>IFERROR(HLOOKUP(AR$7,'PCO Log'!$E$11:$SJ$98,64,FALSE),"")</f>
        <v/>
      </c>
      <c r="AS70" s="263" t="str">
        <f>IFERROR(HLOOKUP(AS$7,'PCO Log'!$E$11:$SJ$98,64,FALSE),"")</f>
        <v/>
      </c>
      <c r="AT70" s="263" t="str">
        <f>IFERROR(HLOOKUP(AT$7,'PCO Log'!$E$11:$SJ$98,64,FALSE),"")</f>
        <v/>
      </c>
      <c r="AU70" s="263" t="str">
        <f>IFERROR(HLOOKUP(AU$7,'PCO Log'!$E$11:$SJ$98,64,FALSE),"")</f>
        <v/>
      </c>
      <c r="AV70" s="263" t="str">
        <f>IFERROR(HLOOKUP(AV$7,'PCO Log'!$E$11:$SJ$98,64,FALSE),"")</f>
        <v/>
      </c>
      <c r="AW70" s="263" t="str">
        <f>IFERROR(HLOOKUP(AW$7,'PCO Log'!$E$11:$SJ$98,64,FALSE),"")</f>
        <v/>
      </c>
      <c r="AX70" s="263" t="str">
        <f>IFERROR(HLOOKUP(AX$7,'PCO Log'!$E$11:$SJ$98,64,FALSE),"")</f>
        <v/>
      </c>
      <c r="AY70" s="263" t="str">
        <f>IFERROR(HLOOKUP(AY$7,'PCO Log'!$E$11:$SJ$98,64,FALSE),"")</f>
        <v/>
      </c>
      <c r="AZ70" s="263" t="str">
        <f>IFERROR(HLOOKUP(AZ$7,'PCO Log'!$E$11:$SJ$98,64,FALSE),"")</f>
        <v/>
      </c>
      <c r="BA70" s="263" t="str">
        <f>IFERROR(HLOOKUP(BA$7,'PCO Log'!$E$11:$SJ$98,64,FALSE),"")</f>
        <v/>
      </c>
      <c r="BB70" s="263" t="str">
        <f>IFERROR(HLOOKUP(BB$7,'PCO Log'!$E$11:$SJ$98,64,FALSE),"")</f>
        <v/>
      </c>
      <c r="BC70" s="263" t="str">
        <f>IFERROR(HLOOKUP(BC$7,'PCO Log'!$E$11:$SJ$98,64,FALSE),"")</f>
        <v/>
      </c>
    </row>
    <row r="71" spans="2:55" s="334" customFormat="1" x14ac:dyDescent="0.25">
      <c r="B71" s="44" t="str">
        <f>'Pay App 1'!B125</f>
        <v>13 48 00</v>
      </c>
      <c r="C71" s="45" t="str">
        <f>'Pay App 1'!C125</f>
        <v>Sound &amp; Vibration Control</v>
      </c>
      <c r="D71" s="263">
        <f t="shared" si="1"/>
        <v>0</v>
      </c>
      <c r="E71" s="264">
        <f>'Pay App 1'!D125</f>
        <v>0</v>
      </c>
      <c r="F71" s="263" t="str">
        <f>IFERROR(HLOOKUP(F$7,'PCO Log'!$E$11:$SJ$98,65,FALSE),"")</f>
        <v/>
      </c>
      <c r="G71" s="263" t="str">
        <f>IFERROR(HLOOKUP(G$7,'PCO Log'!$E$11:$SJ$98,65,FALSE),"")</f>
        <v/>
      </c>
      <c r="H71" s="263" t="str">
        <f>IFERROR(HLOOKUP(H$7,'PCO Log'!$E$11:$SJ$98,65,FALSE),"")</f>
        <v/>
      </c>
      <c r="I71" s="263" t="str">
        <f>IFERROR(HLOOKUP(I$7,'PCO Log'!$E$11:$SJ$98,65,FALSE),"")</f>
        <v/>
      </c>
      <c r="J71" s="263" t="str">
        <f>IFERROR(HLOOKUP(J$7,'PCO Log'!$E$11:$SJ$98,65,FALSE),"")</f>
        <v/>
      </c>
      <c r="K71" s="263" t="str">
        <f>IFERROR(HLOOKUP(K$7,'PCO Log'!$E$11:$SJ$98,65,FALSE),"")</f>
        <v/>
      </c>
      <c r="L71" s="263" t="str">
        <f>IFERROR(HLOOKUP(L$7,'PCO Log'!$E$11:$SJ$98,65,FALSE),"")</f>
        <v/>
      </c>
      <c r="M71" s="263" t="str">
        <f>IFERROR(HLOOKUP(M$7,'PCO Log'!$E$11:$SJ$98,65,FALSE),"")</f>
        <v/>
      </c>
      <c r="N71" s="263" t="str">
        <f>IFERROR(HLOOKUP(N$7,'PCO Log'!$E$11:$SJ$98,65,FALSE),"")</f>
        <v/>
      </c>
      <c r="O71" s="263" t="str">
        <f>IFERROR(HLOOKUP(O$7,'PCO Log'!$E$11:$SJ$98,65,FALSE),"")</f>
        <v/>
      </c>
      <c r="P71" s="263" t="str">
        <f>IFERROR(HLOOKUP(P$7,'PCO Log'!$E$11:$SJ$98,65,FALSE),"")</f>
        <v/>
      </c>
      <c r="Q71" s="263" t="str">
        <f>IFERROR(HLOOKUP(Q$7,'PCO Log'!$E$11:$SJ$98,65,FALSE),"")</f>
        <v/>
      </c>
      <c r="R71" s="263" t="str">
        <f>IFERROR(HLOOKUP(R$7,'PCO Log'!$E$11:$SJ$98,65,FALSE),"")</f>
        <v/>
      </c>
      <c r="S71" s="263" t="str">
        <f>IFERROR(HLOOKUP(S$7,'PCO Log'!$E$11:$SJ$98,65,FALSE),"")</f>
        <v/>
      </c>
      <c r="T71" s="263" t="str">
        <f>IFERROR(HLOOKUP(T$7,'PCO Log'!$E$11:$SJ$98,65,FALSE),"")</f>
        <v/>
      </c>
      <c r="U71" s="263" t="str">
        <f>IFERROR(HLOOKUP(U$7,'PCO Log'!$E$11:$SJ$98,65,FALSE),"")</f>
        <v/>
      </c>
      <c r="V71" s="263" t="str">
        <f>IFERROR(HLOOKUP(V$7,'PCO Log'!$E$11:$SJ$98,65,FALSE),"")</f>
        <v/>
      </c>
      <c r="W71" s="263" t="str">
        <f>IFERROR(HLOOKUP(W$7,'PCO Log'!$E$11:$SJ$98,65,FALSE),"")</f>
        <v/>
      </c>
      <c r="X71" s="263" t="str">
        <f>IFERROR(HLOOKUP(X$7,'PCO Log'!$E$11:$SJ$98,65,FALSE),"")</f>
        <v/>
      </c>
      <c r="Y71" s="263" t="str">
        <f>IFERROR(HLOOKUP(Y$7,'PCO Log'!$E$11:$SJ$98,65,FALSE),"")</f>
        <v/>
      </c>
      <c r="Z71" s="263" t="str">
        <f>IFERROR(HLOOKUP(Z$7,'PCO Log'!$E$11:$SJ$98,65,FALSE),"")</f>
        <v/>
      </c>
      <c r="AA71" s="263" t="str">
        <f>IFERROR(HLOOKUP(AA$7,'PCO Log'!$E$11:$SJ$98,65,FALSE),"")</f>
        <v/>
      </c>
      <c r="AB71" s="263" t="str">
        <f>IFERROR(HLOOKUP(AB$7,'PCO Log'!$E$11:$SJ$98,65,FALSE),"")</f>
        <v/>
      </c>
      <c r="AC71" s="263" t="str">
        <f>IFERROR(HLOOKUP(AC$7,'PCO Log'!$E$11:$SJ$98,65,FALSE),"")</f>
        <v/>
      </c>
      <c r="AD71" s="263" t="str">
        <f>IFERROR(HLOOKUP(AD$7,'PCO Log'!$E$11:$SJ$98,65,FALSE),"")</f>
        <v/>
      </c>
      <c r="AE71" s="263" t="str">
        <f>IFERROR(HLOOKUP(AE$7,'PCO Log'!$E$11:$SJ$98,65,FALSE),"")</f>
        <v/>
      </c>
      <c r="AF71" s="263" t="str">
        <f>IFERROR(HLOOKUP(AF$7,'PCO Log'!$E$11:$SJ$98,65,FALSE),"")</f>
        <v/>
      </c>
      <c r="AG71" s="263" t="str">
        <f>IFERROR(HLOOKUP(AG$7,'PCO Log'!$E$11:$SJ$98,65,FALSE),"")</f>
        <v/>
      </c>
      <c r="AH71" s="263" t="str">
        <f>IFERROR(HLOOKUP(AH$7,'PCO Log'!$E$11:$SJ$98,65,FALSE),"")</f>
        <v/>
      </c>
      <c r="AI71" s="263" t="str">
        <f>IFERROR(HLOOKUP(AI$7,'PCO Log'!$E$11:$SJ$98,65,FALSE),"")</f>
        <v/>
      </c>
      <c r="AJ71" s="263" t="str">
        <f>IFERROR(HLOOKUP(AJ$7,'PCO Log'!$E$11:$SJ$98,65,FALSE),"")</f>
        <v/>
      </c>
      <c r="AK71" s="263" t="str">
        <f>IFERROR(HLOOKUP(AK$7,'PCO Log'!$E$11:$SJ$98,65,FALSE),"")</f>
        <v/>
      </c>
      <c r="AL71" s="263" t="str">
        <f>IFERROR(HLOOKUP(AL$7,'PCO Log'!$E$11:$SJ$98,65,FALSE),"")</f>
        <v/>
      </c>
      <c r="AM71" s="263" t="str">
        <f>IFERROR(HLOOKUP(AM$7,'PCO Log'!$E$11:$SJ$98,65,FALSE),"")</f>
        <v/>
      </c>
      <c r="AN71" s="263" t="str">
        <f>IFERROR(HLOOKUP(AN$7,'PCO Log'!$E$11:$SJ$98,65,FALSE),"")</f>
        <v/>
      </c>
      <c r="AO71" s="263" t="str">
        <f>IFERROR(HLOOKUP(AO$7,'PCO Log'!$E$11:$SJ$98,65,FALSE),"")</f>
        <v/>
      </c>
      <c r="AP71" s="263" t="str">
        <f>IFERROR(HLOOKUP(AP$7,'PCO Log'!$E$11:$SJ$98,65,FALSE),"")</f>
        <v/>
      </c>
      <c r="AQ71" s="263" t="str">
        <f>IFERROR(HLOOKUP(AQ$7,'PCO Log'!$E$11:$SJ$98,65,FALSE),"")</f>
        <v/>
      </c>
      <c r="AR71" s="263" t="str">
        <f>IFERROR(HLOOKUP(AR$7,'PCO Log'!$E$11:$SJ$98,65,FALSE),"")</f>
        <v/>
      </c>
      <c r="AS71" s="263" t="str">
        <f>IFERROR(HLOOKUP(AS$7,'PCO Log'!$E$11:$SJ$98,65,FALSE),"")</f>
        <v/>
      </c>
      <c r="AT71" s="263" t="str">
        <f>IFERROR(HLOOKUP(AT$7,'PCO Log'!$E$11:$SJ$98,65,FALSE),"")</f>
        <v/>
      </c>
      <c r="AU71" s="263" t="str">
        <f>IFERROR(HLOOKUP(AU$7,'PCO Log'!$E$11:$SJ$98,65,FALSE),"")</f>
        <v/>
      </c>
      <c r="AV71" s="263" t="str">
        <f>IFERROR(HLOOKUP(AV$7,'PCO Log'!$E$11:$SJ$98,65,FALSE),"")</f>
        <v/>
      </c>
      <c r="AW71" s="263" t="str">
        <f>IFERROR(HLOOKUP(AW$7,'PCO Log'!$E$11:$SJ$98,65,FALSE),"")</f>
        <v/>
      </c>
      <c r="AX71" s="263" t="str">
        <f>IFERROR(HLOOKUP(AX$7,'PCO Log'!$E$11:$SJ$98,65,FALSE),"")</f>
        <v/>
      </c>
      <c r="AY71" s="263" t="str">
        <f>IFERROR(HLOOKUP(AY$7,'PCO Log'!$E$11:$SJ$98,65,FALSE),"")</f>
        <v/>
      </c>
      <c r="AZ71" s="263" t="str">
        <f>IFERROR(HLOOKUP(AZ$7,'PCO Log'!$E$11:$SJ$98,65,FALSE),"")</f>
        <v/>
      </c>
      <c r="BA71" s="263" t="str">
        <f>IFERROR(HLOOKUP(BA$7,'PCO Log'!$E$11:$SJ$98,65,FALSE),"")</f>
        <v/>
      </c>
      <c r="BB71" s="263" t="str">
        <f>IFERROR(HLOOKUP(BB$7,'PCO Log'!$E$11:$SJ$98,65,FALSE),"")</f>
        <v/>
      </c>
      <c r="BC71" s="263" t="str">
        <f>IFERROR(HLOOKUP(BC$7,'PCO Log'!$E$11:$SJ$98,65,FALSE),"")</f>
        <v/>
      </c>
    </row>
    <row r="72" spans="2:55" s="334" customFormat="1" x14ac:dyDescent="0.25">
      <c r="B72" s="35" t="str">
        <f>'Pay App 1'!B126</f>
        <v>14 20 00</v>
      </c>
      <c r="C72" s="27" t="str">
        <f>'Pay App 1'!C126</f>
        <v>Elevator</v>
      </c>
      <c r="D72" s="263">
        <f t="shared" si="1"/>
        <v>0</v>
      </c>
      <c r="E72" s="264">
        <f>'Pay App 1'!D126</f>
        <v>0</v>
      </c>
      <c r="F72" s="263" t="str">
        <f>IFERROR(HLOOKUP(F$7,'PCO Log'!$E$11:$SJ$98,66,FALSE),"")</f>
        <v/>
      </c>
      <c r="G72" s="263" t="str">
        <f>IFERROR(HLOOKUP(G$7,'PCO Log'!$E$11:$SJ$98,66,FALSE),"")</f>
        <v/>
      </c>
      <c r="H72" s="263" t="str">
        <f>IFERROR(HLOOKUP(H$7,'PCO Log'!$E$11:$SJ$98,66,FALSE),"")</f>
        <v/>
      </c>
      <c r="I72" s="263" t="str">
        <f>IFERROR(HLOOKUP(I$7,'PCO Log'!$E$11:$SJ$98,66,FALSE),"")</f>
        <v/>
      </c>
      <c r="J72" s="263" t="str">
        <f>IFERROR(HLOOKUP(J$7,'PCO Log'!$E$11:$SJ$98,66,FALSE),"")</f>
        <v/>
      </c>
      <c r="K72" s="263" t="str">
        <f>IFERROR(HLOOKUP(K$7,'PCO Log'!$E$11:$SJ$98,66,FALSE),"")</f>
        <v/>
      </c>
      <c r="L72" s="263" t="str">
        <f>IFERROR(HLOOKUP(L$7,'PCO Log'!$E$11:$SJ$98,66,FALSE),"")</f>
        <v/>
      </c>
      <c r="M72" s="263" t="str">
        <f>IFERROR(HLOOKUP(M$7,'PCO Log'!$E$11:$SJ$98,66,FALSE),"")</f>
        <v/>
      </c>
      <c r="N72" s="263" t="str">
        <f>IFERROR(HLOOKUP(N$7,'PCO Log'!$E$11:$SJ$98,66,FALSE),"")</f>
        <v/>
      </c>
      <c r="O72" s="263" t="str">
        <f>IFERROR(HLOOKUP(O$7,'PCO Log'!$E$11:$SJ$98,66,FALSE),"")</f>
        <v/>
      </c>
      <c r="P72" s="263" t="str">
        <f>IFERROR(HLOOKUP(P$7,'PCO Log'!$E$11:$SJ$98,66,FALSE),"")</f>
        <v/>
      </c>
      <c r="Q72" s="263" t="str">
        <f>IFERROR(HLOOKUP(Q$7,'PCO Log'!$E$11:$SJ$98,66,FALSE),"")</f>
        <v/>
      </c>
      <c r="R72" s="263" t="str">
        <f>IFERROR(HLOOKUP(R$7,'PCO Log'!$E$11:$SJ$98,66,FALSE),"")</f>
        <v/>
      </c>
      <c r="S72" s="263" t="str">
        <f>IFERROR(HLOOKUP(S$7,'PCO Log'!$E$11:$SJ$98,66,FALSE),"")</f>
        <v/>
      </c>
      <c r="T72" s="263" t="str">
        <f>IFERROR(HLOOKUP(T$7,'PCO Log'!$E$11:$SJ$98,66,FALSE),"")</f>
        <v/>
      </c>
      <c r="U72" s="263" t="str">
        <f>IFERROR(HLOOKUP(U$7,'PCO Log'!$E$11:$SJ$98,66,FALSE),"")</f>
        <v/>
      </c>
      <c r="V72" s="263" t="str">
        <f>IFERROR(HLOOKUP(V$7,'PCO Log'!$E$11:$SJ$98,66,FALSE),"")</f>
        <v/>
      </c>
      <c r="W72" s="263" t="str">
        <f>IFERROR(HLOOKUP(W$7,'PCO Log'!$E$11:$SJ$98,66,FALSE),"")</f>
        <v/>
      </c>
      <c r="X72" s="263" t="str">
        <f>IFERROR(HLOOKUP(X$7,'PCO Log'!$E$11:$SJ$98,66,FALSE),"")</f>
        <v/>
      </c>
      <c r="Y72" s="263" t="str">
        <f>IFERROR(HLOOKUP(Y$7,'PCO Log'!$E$11:$SJ$98,66,FALSE),"")</f>
        <v/>
      </c>
      <c r="Z72" s="263" t="str">
        <f>IFERROR(HLOOKUP(Z$7,'PCO Log'!$E$11:$SJ$98,66,FALSE),"")</f>
        <v/>
      </c>
      <c r="AA72" s="263" t="str">
        <f>IFERROR(HLOOKUP(AA$7,'PCO Log'!$E$11:$SJ$98,66,FALSE),"")</f>
        <v/>
      </c>
      <c r="AB72" s="263" t="str">
        <f>IFERROR(HLOOKUP(AB$7,'PCO Log'!$E$11:$SJ$98,66,FALSE),"")</f>
        <v/>
      </c>
      <c r="AC72" s="263" t="str">
        <f>IFERROR(HLOOKUP(AC$7,'PCO Log'!$E$11:$SJ$98,66,FALSE),"")</f>
        <v/>
      </c>
      <c r="AD72" s="263" t="str">
        <f>IFERROR(HLOOKUP(AD$7,'PCO Log'!$E$11:$SJ$98,66,FALSE),"")</f>
        <v/>
      </c>
      <c r="AE72" s="263" t="str">
        <f>IFERROR(HLOOKUP(AE$7,'PCO Log'!$E$11:$SJ$98,66,FALSE),"")</f>
        <v/>
      </c>
      <c r="AF72" s="263" t="str">
        <f>IFERROR(HLOOKUP(AF$7,'PCO Log'!$E$11:$SJ$98,66,FALSE),"")</f>
        <v/>
      </c>
      <c r="AG72" s="263" t="str">
        <f>IFERROR(HLOOKUP(AG$7,'PCO Log'!$E$11:$SJ$98,66,FALSE),"")</f>
        <v/>
      </c>
      <c r="AH72" s="263" t="str">
        <f>IFERROR(HLOOKUP(AH$7,'PCO Log'!$E$11:$SJ$98,66,FALSE),"")</f>
        <v/>
      </c>
      <c r="AI72" s="263" t="str">
        <f>IFERROR(HLOOKUP(AI$7,'PCO Log'!$E$11:$SJ$98,66,FALSE),"")</f>
        <v/>
      </c>
      <c r="AJ72" s="263" t="str">
        <f>IFERROR(HLOOKUP(AJ$7,'PCO Log'!$E$11:$SJ$98,66,FALSE),"")</f>
        <v/>
      </c>
      <c r="AK72" s="263" t="str">
        <f>IFERROR(HLOOKUP(AK$7,'PCO Log'!$E$11:$SJ$98,66,FALSE),"")</f>
        <v/>
      </c>
      <c r="AL72" s="263" t="str">
        <f>IFERROR(HLOOKUP(AL$7,'PCO Log'!$E$11:$SJ$98,66,FALSE),"")</f>
        <v/>
      </c>
      <c r="AM72" s="263" t="str">
        <f>IFERROR(HLOOKUP(AM$7,'PCO Log'!$E$11:$SJ$98,66,FALSE),"")</f>
        <v/>
      </c>
      <c r="AN72" s="263" t="str">
        <f>IFERROR(HLOOKUP(AN$7,'PCO Log'!$E$11:$SJ$98,66,FALSE),"")</f>
        <v/>
      </c>
      <c r="AO72" s="263" t="str">
        <f>IFERROR(HLOOKUP(AO$7,'PCO Log'!$E$11:$SJ$98,66,FALSE),"")</f>
        <v/>
      </c>
      <c r="AP72" s="263" t="str">
        <f>IFERROR(HLOOKUP(AP$7,'PCO Log'!$E$11:$SJ$98,66,FALSE),"")</f>
        <v/>
      </c>
      <c r="AQ72" s="263" t="str">
        <f>IFERROR(HLOOKUP(AQ$7,'PCO Log'!$E$11:$SJ$98,66,FALSE),"")</f>
        <v/>
      </c>
      <c r="AR72" s="263" t="str">
        <f>IFERROR(HLOOKUP(AR$7,'PCO Log'!$E$11:$SJ$98,66,FALSE),"")</f>
        <v/>
      </c>
      <c r="AS72" s="263" t="str">
        <f>IFERROR(HLOOKUP(AS$7,'PCO Log'!$E$11:$SJ$98,66,FALSE),"")</f>
        <v/>
      </c>
      <c r="AT72" s="263" t="str">
        <f>IFERROR(HLOOKUP(AT$7,'PCO Log'!$E$11:$SJ$98,66,FALSE),"")</f>
        <v/>
      </c>
      <c r="AU72" s="263" t="str">
        <f>IFERROR(HLOOKUP(AU$7,'PCO Log'!$E$11:$SJ$98,66,FALSE),"")</f>
        <v/>
      </c>
      <c r="AV72" s="263" t="str">
        <f>IFERROR(HLOOKUP(AV$7,'PCO Log'!$E$11:$SJ$98,66,FALSE),"")</f>
        <v/>
      </c>
      <c r="AW72" s="263" t="str">
        <f>IFERROR(HLOOKUP(AW$7,'PCO Log'!$E$11:$SJ$98,66,FALSE),"")</f>
        <v/>
      </c>
      <c r="AX72" s="263" t="str">
        <f>IFERROR(HLOOKUP(AX$7,'PCO Log'!$E$11:$SJ$98,66,FALSE),"")</f>
        <v/>
      </c>
      <c r="AY72" s="263" t="str">
        <f>IFERROR(HLOOKUP(AY$7,'PCO Log'!$E$11:$SJ$98,66,FALSE),"")</f>
        <v/>
      </c>
      <c r="AZ72" s="263" t="str">
        <f>IFERROR(HLOOKUP(AZ$7,'PCO Log'!$E$11:$SJ$98,66,FALSE),"")</f>
        <v/>
      </c>
      <c r="BA72" s="263" t="str">
        <f>IFERROR(HLOOKUP(BA$7,'PCO Log'!$E$11:$SJ$98,66,FALSE),"")</f>
        <v/>
      </c>
      <c r="BB72" s="263" t="str">
        <f>IFERROR(HLOOKUP(BB$7,'PCO Log'!$E$11:$SJ$98,66,FALSE),"")</f>
        <v/>
      </c>
      <c r="BC72" s="263" t="str">
        <f>IFERROR(HLOOKUP(BC$7,'PCO Log'!$E$11:$SJ$98,66,FALSE),"")</f>
        <v/>
      </c>
    </row>
    <row r="73" spans="2:55" s="334" customFormat="1" x14ac:dyDescent="0.25">
      <c r="B73" s="35" t="str">
        <f>'Pay App 1'!B127</f>
        <v>14 40 00</v>
      </c>
      <c r="C73" s="27" t="str">
        <f>'Pay App 1'!C127</f>
        <v>Lifts</v>
      </c>
      <c r="D73" s="263">
        <f t="shared" ref="D73:D94" si="2">SUM(E73:BC73)</f>
        <v>0</v>
      </c>
      <c r="E73" s="264">
        <f>'Pay App 1'!D127</f>
        <v>0</v>
      </c>
      <c r="F73" s="263" t="str">
        <f>IFERROR(HLOOKUP(F$7,'PCO Log'!$E$11:$SJ$98,67,FALSE),"")</f>
        <v/>
      </c>
      <c r="G73" s="263" t="str">
        <f>IFERROR(HLOOKUP(G$7,'PCO Log'!$E$11:$SJ$98,67,FALSE),"")</f>
        <v/>
      </c>
      <c r="H73" s="263" t="str">
        <f>IFERROR(HLOOKUP(H$7,'PCO Log'!$E$11:$SJ$98,67,FALSE),"")</f>
        <v/>
      </c>
      <c r="I73" s="263" t="str">
        <f>IFERROR(HLOOKUP(I$7,'PCO Log'!$E$11:$SJ$98,67,FALSE),"")</f>
        <v/>
      </c>
      <c r="J73" s="263" t="str">
        <f>IFERROR(HLOOKUP(J$7,'PCO Log'!$E$11:$SJ$98,67,FALSE),"")</f>
        <v/>
      </c>
      <c r="K73" s="263" t="str">
        <f>IFERROR(HLOOKUP(K$7,'PCO Log'!$E$11:$SJ$98,67,FALSE),"")</f>
        <v/>
      </c>
      <c r="L73" s="263" t="str">
        <f>IFERROR(HLOOKUP(L$7,'PCO Log'!$E$11:$SJ$98,67,FALSE),"")</f>
        <v/>
      </c>
      <c r="M73" s="263" t="str">
        <f>IFERROR(HLOOKUP(M$7,'PCO Log'!$E$11:$SJ$98,67,FALSE),"")</f>
        <v/>
      </c>
      <c r="N73" s="263" t="str">
        <f>IFERROR(HLOOKUP(N$7,'PCO Log'!$E$11:$SJ$98,67,FALSE),"")</f>
        <v/>
      </c>
      <c r="O73" s="263" t="str">
        <f>IFERROR(HLOOKUP(O$7,'PCO Log'!$E$11:$SJ$98,67,FALSE),"")</f>
        <v/>
      </c>
      <c r="P73" s="263" t="str">
        <f>IFERROR(HLOOKUP(P$7,'PCO Log'!$E$11:$SJ$98,67,FALSE),"")</f>
        <v/>
      </c>
      <c r="Q73" s="263" t="str">
        <f>IFERROR(HLOOKUP(Q$7,'PCO Log'!$E$11:$SJ$98,67,FALSE),"")</f>
        <v/>
      </c>
      <c r="R73" s="263" t="str">
        <f>IFERROR(HLOOKUP(R$7,'PCO Log'!$E$11:$SJ$98,67,FALSE),"")</f>
        <v/>
      </c>
      <c r="S73" s="263" t="str">
        <f>IFERROR(HLOOKUP(S$7,'PCO Log'!$E$11:$SJ$98,67,FALSE),"")</f>
        <v/>
      </c>
      <c r="T73" s="263" t="str">
        <f>IFERROR(HLOOKUP(T$7,'PCO Log'!$E$11:$SJ$98,67,FALSE),"")</f>
        <v/>
      </c>
      <c r="U73" s="263" t="str">
        <f>IFERROR(HLOOKUP(U$7,'PCO Log'!$E$11:$SJ$98,67,FALSE),"")</f>
        <v/>
      </c>
      <c r="V73" s="263" t="str">
        <f>IFERROR(HLOOKUP(V$7,'PCO Log'!$E$11:$SJ$98,67,FALSE),"")</f>
        <v/>
      </c>
      <c r="W73" s="263" t="str">
        <f>IFERROR(HLOOKUP(W$7,'PCO Log'!$E$11:$SJ$98,67,FALSE),"")</f>
        <v/>
      </c>
      <c r="X73" s="263" t="str">
        <f>IFERROR(HLOOKUP(X$7,'PCO Log'!$E$11:$SJ$98,67,FALSE),"")</f>
        <v/>
      </c>
      <c r="Y73" s="263" t="str">
        <f>IFERROR(HLOOKUP(Y$7,'PCO Log'!$E$11:$SJ$98,67,FALSE),"")</f>
        <v/>
      </c>
      <c r="Z73" s="263" t="str">
        <f>IFERROR(HLOOKUP(Z$7,'PCO Log'!$E$11:$SJ$98,67,FALSE),"")</f>
        <v/>
      </c>
      <c r="AA73" s="263" t="str">
        <f>IFERROR(HLOOKUP(AA$7,'PCO Log'!$E$11:$SJ$98,67,FALSE),"")</f>
        <v/>
      </c>
      <c r="AB73" s="263" t="str">
        <f>IFERROR(HLOOKUP(AB$7,'PCO Log'!$E$11:$SJ$98,67,FALSE),"")</f>
        <v/>
      </c>
      <c r="AC73" s="263" t="str">
        <f>IFERROR(HLOOKUP(AC$7,'PCO Log'!$E$11:$SJ$98,67,FALSE),"")</f>
        <v/>
      </c>
      <c r="AD73" s="263" t="str">
        <f>IFERROR(HLOOKUP(AD$7,'PCO Log'!$E$11:$SJ$98,67,FALSE),"")</f>
        <v/>
      </c>
      <c r="AE73" s="263" t="str">
        <f>IFERROR(HLOOKUP(AE$7,'PCO Log'!$E$11:$SJ$98,67,FALSE),"")</f>
        <v/>
      </c>
      <c r="AF73" s="263" t="str">
        <f>IFERROR(HLOOKUP(AF$7,'PCO Log'!$E$11:$SJ$98,67,FALSE),"")</f>
        <v/>
      </c>
      <c r="AG73" s="263" t="str">
        <f>IFERROR(HLOOKUP(AG$7,'PCO Log'!$E$11:$SJ$98,67,FALSE),"")</f>
        <v/>
      </c>
      <c r="AH73" s="263" t="str">
        <f>IFERROR(HLOOKUP(AH$7,'PCO Log'!$E$11:$SJ$98,67,FALSE),"")</f>
        <v/>
      </c>
      <c r="AI73" s="263" t="str">
        <f>IFERROR(HLOOKUP(AI$7,'PCO Log'!$E$11:$SJ$98,67,FALSE),"")</f>
        <v/>
      </c>
      <c r="AJ73" s="263" t="str">
        <f>IFERROR(HLOOKUP(AJ$7,'PCO Log'!$E$11:$SJ$98,67,FALSE),"")</f>
        <v/>
      </c>
      <c r="AK73" s="263" t="str">
        <f>IFERROR(HLOOKUP(AK$7,'PCO Log'!$E$11:$SJ$98,67,FALSE),"")</f>
        <v/>
      </c>
      <c r="AL73" s="263" t="str">
        <f>IFERROR(HLOOKUP(AL$7,'PCO Log'!$E$11:$SJ$98,67,FALSE),"")</f>
        <v/>
      </c>
      <c r="AM73" s="263" t="str">
        <f>IFERROR(HLOOKUP(AM$7,'PCO Log'!$E$11:$SJ$98,67,FALSE),"")</f>
        <v/>
      </c>
      <c r="AN73" s="263" t="str">
        <f>IFERROR(HLOOKUP(AN$7,'PCO Log'!$E$11:$SJ$98,67,FALSE),"")</f>
        <v/>
      </c>
      <c r="AO73" s="263" t="str">
        <f>IFERROR(HLOOKUP(AO$7,'PCO Log'!$E$11:$SJ$98,67,FALSE),"")</f>
        <v/>
      </c>
      <c r="AP73" s="263" t="str">
        <f>IFERROR(HLOOKUP(AP$7,'PCO Log'!$E$11:$SJ$98,67,FALSE),"")</f>
        <v/>
      </c>
      <c r="AQ73" s="263" t="str">
        <f>IFERROR(HLOOKUP(AQ$7,'PCO Log'!$E$11:$SJ$98,67,FALSE),"")</f>
        <v/>
      </c>
      <c r="AR73" s="263" t="str">
        <f>IFERROR(HLOOKUP(AR$7,'PCO Log'!$E$11:$SJ$98,67,FALSE),"")</f>
        <v/>
      </c>
      <c r="AS73" s="263" t="str">
        <f>IFERROR(HLOOKUP(AS$7,'PCO Log'!$E$11:$SJ$98,67,FALSE),"")</f>
        <v/>
      </c>
      <c r="AT73" s="263" t="str">
        <f>IFERROR(HLOOKUP(AT$7,'PCO Log'!$E$11:$SJ$98,67,FALSE),"")</f>
        <v/>
      </c>
      <c r="AU73" s="263" t="str">
        <f>IFERROR(HLOOKUP(AU$7,'PCO Log'!$E$11:$SJ$98,67,FALSE),"")</f>
        <v/>
      </c>
      <c r="AV73" s="263" t="str">
        <f>IFERROR(HLOOKUP(AV$7,'PCO Log'!$E$11:$SJ$98,67,FALSE),"")</f>
        <v/>
      </c>
      <c r="AW73" s="263" t="str">
        <f>IFERROR(HLOOKUP(AW$7,'PCO Log'!$E$11:$SJ$98,67,FALSE),"")</f>
        <v/>
      </c>
      <c r="AX73" s="263" t="str">
        <f>IFERROR(HLOOKUP(AX$7,'PCO Log'!$E$11:$SJ$98,67,FALSE),"")</f>
        <v/>
      </c>
      <c r="AY73" s="263" t="str">
        <f>IFERROR(HLOOKUP(AY$7,'PCO Log'!$E$11:$SJ$98,67,FALSE),"")</f>
        <v/>
      </c>
      <c r="AZ73" s="263" t="str">
        <f>IFERROR(HLOOKUP(AZ$7,'PCO Log'!$E$11:$SJ$98,67,FALSE),"")</f>
        <v/>
      </c>
      <c r="BA73" s="263" t="str">
        <f>IFERROR(HLOOKUP(BA$7,'PCO Log'!$E$11:$SJ$98,67,FALSE),"")</f>
        <v/>
      </c>
      <c r="BB73" s="263" t="str">
        <f>IFERROR(HLOOKUP(BB$7,'PCO Log'!$E$11:$SJ$98,67,FALSE),"")</f>
        <v/>
      </c>
      <c r="BC73" s="263" t="str">
        <f>IFERROR(HLOOKUP(BC$7,'PCO Log'!$E$11:$SJ$98,67,FALSE),"")</f>
        <v/>
      </c>
    </row>
    <row r="74" spans="2:55" s="334" customFormat="1" x14ac:dyDescent="0.25">
      <c r="B74" s="36" t="str">
        <f>'Pay App 1'!B128</f>
        <v>20 00 00</v>
      </c>
      <c r="C74" s="37" t="str">
        <f>'Pay App 1'!C128</f>
        <v>Mechanical/Plumbing</v>
      </c>
      <c r="D74" s="263">
        <f t="shared" si="2"/>
        <v>0</v>
      </c>
      <c r="E74" s="263">
        <f>'Pay App 1'!D128</f>
        <v>0</v>
      </c>
      <c r="F74" s="263" t="str">
        <f>IFERROR(HLOOKUP(F$7,'PCO Log'!$E$11:$SJ$98,68,FALSE),"")</f>
        <v/>
      </c>
      <c r="G74" s="263" t="str">
        <f>IFERROR(HLOOKUP(G$7,'PCO Log'!$E$11:$SJ$98,68,FALSE),"")</f>
        <v/>
      </c>
      <c r="H74" s="263" t="str">
        <f>IFERROR(HLOOKUP(H$7,'PCO Log'!$E$11:$SJ$98,68,FALSE),"")</f>
        <v/>
      </c>
      <c r="I74" s="263" t="str">
        <f>IFERROR(HLOOKUP(I$7,'PCO Log'!$E$11:$SJ$98,68,FALSE),"")</f>
        <v/>
      </c>
      <c r="J74" s="263" t="str">
        <f>IFERROR(HLOOKUP(J$7,'PCO Log'!$E$11:$SJ$98,68,FALSE),"")</f>
        <v/>
      </c>
      <c r="K74" s="263" t="str">
        <f>IFERROR(HLOOKUP(K$7,'PCO Log'!$E$11:$SJ$98,68,FALSE),"")</f>
        <v/>
      </c>
      <c r="L74" s="263" t="str">
        <f>IFERROR(HLOOKUP(L$7,'PCO Log'!$E$11:$SJ$98,68,FALSE),"")</f>
        <v/>
      </c>
      <c r="M74" s="263" t="str">
        <f>IFERROR(HLOOKUP(M$7,'PCO Log'!$E$11:$SJ$98,68,FALSE),"")</f>
        <v/>
      </c>
      <c r="N74" s="263" t="str">
        <f>IFERROR(HLOOKUP(N$7,'PCO Log'!$E$11:$SJ$98,68,FALSE),"")</f>
        <v/>
      </c>
      <c r="O74" s="263" t="str">
        <f>IFERROR(HLOOKUP(O$7,'PCO Log'!$E$11:$SJ$98,68,FALSE),"")</f>
        <v/>
      </c>
      <c r="P74" s="263" t="str">
        <f>IFERROR(HLOOKUP(P$7,'PCO Log'!$E$11:$SJ$98,68,FALSE),"")</f>
        <v/>
      </c>
      <c r="Q74" s="263" t="str">
        <f>IFERROR(HLOOKUP(Q$7,'PCO Log'!$E$11:$SJ$98,68,FALSE),"")</f>
        <v/>
      </c>
      <c r="R74" s="263" t="str">
        <f>IFERROR(HLOOKUP(R$7,'PCO Log'!$E$11:$SJ$98,68,FALSE),"")</f>
        <v/>
      </c>
      <c r="S74" s="263" t="str">
        <f>IFERROR(HLOOKUP(S$7,'PCO Log'!$E$11:$SJ$98,68,FALSE),"")</f>
        <v/>
      </c>
      <c r="T74" s="263" t="str">
        <f>IFERROR(HLOOKUP(T$7,'PCO Log'!$E$11:$SJ$98,68,FALSE),"")</f>
        <v/>
      </c>
      <c r="U74" s="263" t="str">
        <f>IFERROR(HLOOKUP(U$7,'PCO Log'!$E$11:$SJ$98,68,FALSE),"")</f>
        <v/>
      </c>
      <c r="V74" s="263" t="str">
        <f>IFERROR(HLOOKUP(V$7,'PCO Log'!$E$11:$SJ$98,68,FALSE),"")</f>
        <v/>
      </c>
      <c r="W74" s="263" t="str">
        <f>IFERROR(HLOOKUP(W$7,'PCO Log'!$E$11:$SJ$98,68,FALSE),"")</f>
        <v/>
      </c>
      <c r="X74" s="263" t="str">
        <f>IFERROR(HLOOKUP(X$7,'PCO Log'!$E$11:$SJ$98,68,FALSE),"")</f>
        <v/>
      </c>
      <c r="Y74" s="263" t="str">
        <f>IFERROR(HLOOKUP(Y$7,'PCO Log'!$E$11:$SJ$98,68,FALSE),"")</f>
        <v/>
      </c>
      <c r="Z74" s="263" t="str">
        <f>IFERROR(HLOOKUP(Z$7,'PCO Log'!$E$11:$SJ$98,68,FALSE),"")</f>
        <v/>
      </c>
      <c r="AA74" s="263" t="str">
        <f>IFERROR(HLOOKUP(AA$7,'PCO Log'!$E$11:$SJ$98,68,FALSE),"")</f>
        <v/>
      </c>
      <c r="AB74" s="263" t="str">
        <f>IFERROR(HLOOKUP(AB$7,'PCO Log'!$E$11:$SJ$98,68,FALSE),"")</f>
        <v/>
      </c>
      <c r="AC74" s="263" t="str">
        <f>IFERROR(HLOOKUP(AC$7,'PCO Log'!$E$11:$SJ$98,68,FALSE),"")</f>
        <v/>
      </c>
      <c r="AD74" s="263" t="str">
        <f>IFERROR(HLOOKUP(AD$7,'PCO Log'!$E$11:$SJ$98,68,FALSE),"")</f>
        <v/>
      </c>
      <c r="AE74" s="263" t="str">
        <f>IFERROR(HLOOKUP(AE$7,'PCO Log'!$E$11:$SJ$98,68,FALSE),"")</f>
        <v/>
      </c>
      <c r="AF74" s="263" t="str">
        <f>IFERROR(HLOOKUP(AF$7,'PCO Log'!$E$11:$SJ$98,68,FALSE),"")</f>
        <v/>
      </c>
      <c r="AG74" s="263" t="str">
        <f>IFERROR(HLOOKUP(AG$7,'PCO Log'!$E$11:$SJ$98,68,FALSE),"")</f>
        <v/>
      </c>
      <c r="AH74" s="263" t="str">
        <f>IFERROR(HLOOKUP(AH$7,'PCO Log'!$E$11:$SJ$98,68,FALSE),"")</f>
        <v/>
      </c>
      <c r="AI74" s="263" t="str">
        <f>IFERROR(HLOOKUP(AI$7,'PCO Log'!$E$11:$SJ$98,68,FALSE),"")</f>
        <v/>
      </c>
      <c r="AJ74" s="263" t="str">
        <f>IFERROR(HLOOKUP(AJ$7,'PCO Log'!$E$11:$SJ$98,68,FALSE),"")</f>
        <v/>
      </c>
      <c r="AK74" s="263" t="str">
        <f>IFERROR(HLOOKUP(AK$7,'PCO Log'!$E$11:$SJ$98,68,FALSE),"")</f>
        <v/>
      </c>
      <c r="AL74" s="263" t="str">
        <f>IFERROR(HLOOKUP(AL$7,'PCO Log'!$E$11:$SJ$98,68,FALSE),"")</f>
        <v/>
      </c>
      <c r="AM74" s="263" t="str">
        <f>IFERROR(HLOOKUP(AM$7,'PCO Log'!$E$11:$SJ$98,68,FALSE),"")</f>
        <v/>
      </c>
      <c r="AN74" s="263" t="str">
        <f>IFERROR(HLOOKUP(AN$7,'PCO Log'!$E$11:$SJ$98,68,FALSE),"")</f>
        <v/>
      </c>
      <c r="AO74" s="263" t="str">
        <f>IFERROR(HLOOKUP(AO$7,'PCO Log'!$E$11:$SJ$98,68,FALSE),"")</f>
        <v/>
      </c>
      <c r="AP74" s="263" t="str">
        <f>IFERROR(HLOOKUP(AP$7,'PCO Log'!$E$11:$SJ$98,68,FALSE),"")</f>
        <v/>
      </c>
      <c r="AQ74" s="263" t="str">
        <f>IFERROR(HLOOKUP(AQ$7,'PCO Log'!$E$11:$SJ$98,68,FALSE),"")</f>
        <v/>
      </c>
      <c r="AR74" s="263" t="str">
        <f>IFERROR(HLOOKUP(AR$7,'PCO Log'!$E$11:$SJ$98,68,FALSE),"")</f>
        <v/>
      </c>
      <c r="AS74" s="263" t="str">
        <f>IFERROR(HLOOKUP(AS$7,'PCO Log'!$E$11:$SJ$98,68,FALSE),"")</f>
        <v/>
      </c>
      <c r="AT74" s="263" t="str">
        <f>IFERROR(HLOOKUP(AT$7,'PCO Log'!$E$11:$SJ$98,68,FALSE),"")</f>
        <v/>
      </c>
      <c r="AU74" s="263" t="str">
        <f>IFERROR(HLOOKUP(AU$7,'PCO Log'!$E$11:$SJ$98,68,FALSE),"")</f>
        <v/>
      </c>
      <c r="AV74" s="263" t="str">
        <f>IFERROR(HLOOKUP(AV$7,'PCO Log'!$E$11:$SJ$98,68,FALSE),"")</f>
        <v/>
      </c>
      <c r="AW74" s="263" t="str">
        <f>IFERROR(HLOOKUP(AW$7,'PCO Log'!$E$11:$SJ$98,68,FALSE),"")</f>
        <v/>
      </c>
      <c r="AX74" s="263" t="str">
        <f>IFERROR(HLOOKUP(AX$7,'PCO Log'!$E$11:$SJ$98,68,FALSE),"")</f>
        <v/>
      </c>
      <c r="AY74" s="263" t="str">
        <f>IFERROR(HLOOKUP(AY$7,'PCO Log'!$E$11:$SJ$98,68,FALSE),"")</f>
        <v/>
      </c>
      <c r="AZ74" s="263" t="str">
        <f>IFERROR(HLOOKUP(AZ$7,'PCO Log'!$E$11:$SJ$98,68,FALSE),"")</f>
        <v/>
      </c>
      <c r="BA74" s="263" t="str">
        <f>IFERROR(HLOOKUP(BA$7,'PCO Log'!$E$11:$SJ$98,68,FALSE),"")</f>
        <v/>
      </c>
      <c r="BB74" s="263" t="str">
        <f>IFERROR(HLOOKUP(BB$7,'PCO Log'!$E$11:$SJ$98,68,FALSE),"")</f>
        <v/>
      </c>
      <c r="BC74" s="263" t="str">
        <f>IFERROR(HLOOKUP(BC$7,'PCO Log'!$E$11:$SJ$98,68,FALSE),"")</f>
        <v/>
      </c>
    </row>
    <row r="75" spans="2:55" s="334" customFormat="1" x14ac:dyDescent="0.25">
      <c r="B75" s="46" t="str">
        <f>'Pay App 1'!B129</f>
        <v>21 00 00</v>
      </c>
      <c r="C75" s="47" t="str">
        <f>'Pay App 1'!C129</f>
        <v>Fire Sprinklers/Pumps</v>
      </c>
      <c r="D75" s="263">
        <f t="shared" si="2"/>
        <v>0</v>
      </c>
      <c r="E75" s="264">
        <f>'Pay App 1'!D129</f>
        <v>0</v>
      </c>
      <c r="F75" s="263" t="str">
        <f>IFERROR(HLOOKUP(F$7,'PCO Log'!$E$11:$SJ$98,69,FALSE),"")</f>
        <v/>
      </c>
      <c r="G75" s="263" t="str">
        <f>IFERROR(HLOOKUP(G$7,'PCO Log'!$E$11:$SJ$98,69,FALSE),"")</f>
        <v/>
      </c>
      <c r="H75" s="263" t="str">
        <f>IFERROR(HLOOKUP(H$7,'PCO Log'!$E$11:$SJ$98,69,FALSE),"")</f>
        <v/>
      </c>
      <c r="I75" s="263" t="str">
        <f>IFERROR(HLOOKUP(I$7,'PCO Log'!$E$11:$SJ$98,69,FALSE),"")</f>
        <v/>
      </c>
      <c r="J75" s="263" t="str">
        <f>IFERROR(HLOOKUP(J$7,'PCO Log'!$E$11:$SJ$98,69,FALSE),"")</f>
        <v/>
      </c>
      <c r="K75" s="263" t="str">
        <f>IFERROR(HLOOKUP(K$7,'PCO Log'!$E$11:$SJ$98,69,FALSE),"")</f>
        <v/>
      </c>
      <c r="L75" s="263" t="str">
        <f>IFERROR(HLOOKUP(L$7,'PCO Log'!$E$11:$SJ$98,69,FALSE),"")</f>
        <v/>
      </c>
      <c r="M75" s="263" t="str">
        <f>IFERROR(HLOOKUP(M$7,'PCO Log'!$E$11:$SJ$98,69,FALSE),"")</f>
        <v/>
      </c>
      <c r="N75" s="263" t="str">
        <f>IFERROR(HLOOKUP(N$7,'PCO Log'!$E$11:$SJ$98,69,FALSE),"")</f>
        <v/>
      </c>
      <c r="O75" s="263" t="str">
        <f>IFERROR(HLOOKUP(O$7,'PCO Log'!$E$11:$SJ$98,69,FALSE),"")</f>
        <v/>
      </c>
      <c r="P75" s="263" t="str">
        <f>IFERROR(HLOOKUP(P$7,'PCO Log'!$E$11:$SJ$98,69,FALSE),"")</f>
        <v/>
      </c>
      <c r="Q75" s="263" t="str">
        <f>IFERROR(HLOOKUP(Q$7,'PCO Log'!$E$11:$SJ$98,69,FALSE),"")</f>
        <v/>
      </c>
      <c r="R75" s="263" t="str">
        <f>IFERROR(HLOOKUP(R$7,'PCO Log'!$E$11:$SJ$98,69,FALSE),"")</f>
        <v/>
      </c>
      <c r="S75" s="263" t="str">
        <f>IFERROR(HLOOKUP(S$7,'PCO Log'!$E$11:$SJ$98,69,FALSE),"")</f>
        <v/>
      </c>
      <c r="T75" s="263" t="str">
        <f>IFERROR(HLOOKUP(T$7,'PCO Log'!$E$11:$SJ$98,69,FALSE),"")</f>
        <v/>
      </c>
      <c r="U75" s="263" t="str">
        <f>IFERROR(HLOOKUP(U$7,'PCO Log'!$E$11:$SJ$98,69,FALSE),"")</f>
        <v/>
      </c>
      <c r="V75" s="263" t="str">
        <f>IFERROR(HLOOKUP(V$7,'PCO Log'!$E$11:$SJ$98,69,FALSE),"")</f>
        <v/>
      </c>
      <c r="W75" s="263" t="str">
        <f>IFERROR(HLOOKUP(W$7,'PCO Log'!$E$11:$SJ$98,69,FALSE),"")</f>
        <v/>
      </c>
      <c r="X75" s="263" t="str">
        <f>IFERROR(HLOOKUP(X$7,'PCO Log'!$E$11:$SJ$98,69,FALSE),"")</f>
        <v/>
      </c>
      <c r="Y75" s="263" t="str">
        <f>IFERROR(HLOOKUP(Y$7,'PCO Log'!$E$11:$SJ$98,69,FALSE),"")</f>
        <v/>
      </c>
      <c r="Z75" s="263" t="str">
        <f>IFERROR(HLOOKUP(Z$7,'PCO Log'!$E$11:$SJ$98,69,FALSE),"")</f>
        <v/>
      </c>
      <c r="AA75" s="263" t="str">
        <f>IFERROR(HLOOKUP(AA$7,'PCO Log'!$E$11:$SJ$98,69,FALSE),"")</f>
        <v/>
      </c>
      <c r="AB75" s="263" t="str">
        <f>IFERROR(HLOOKUP(AB$7,'PCO Log'!$E$11:$SJ$98,69,FALSE),"")</f>
        <v/>
      </c>
      <c r="AC75" s="263" t="str">
        <f>IFERROR(HLOOKUP(AC$7,'PCO Log'!$E$11:$SJ$98,69,FALSE),"")</f>
        <v/>
      </c>
      <c r="AD75" s="263" t="str">
        <f>IFERROR(HLOOKUP(AD$7,'PCO Log'!$E$11:$SJ$98,69,FALSE),"")</f>
        <v/>
      </c>
      <c r="AE75" s="263" t="str">
        <f>IFERROR(HLOOKUP(AE$7,'PCO Log'!$E$11:$SJ$98,69,FALSE),"")</f>
        <v/>
      </c>
      <c r="AF75" s="263" t="str">
        <f>IFERROR(HLOOKUP(AF$7,'PCO Log'!$E$11:$SJ$98,69,FALSE),"")</f>
        <v/>
      </c>
      <c r="AG75" s="263" t="str">
        <f>IFERROR(HLOOKUP(AG$7,'PCO Log'!$E$11:$SJ$98,69,FALSE),"")</f>
        <v/>
      </c>
      <c r="AH75" s="263" t="str">
        <f>IFERROR(HLOOKUP(AH$7,'PCO Log'!$E$11:$SJ$98,69,FALSE),"")</f>
        <v/>
      </c>
      <c r="AI75" s="263" t="str">
        <f>IFERROR(HLOOKUP(AI$7,'PCO Log'!$E$11:$SJ$98,69,FALSE),"")</f>
        <v/>
      </c>
      <c r="AJ75" s="263" t="str">
        <f>IFERROR(HLOOKUP(AJ$7,'PCO Log'!$E$11:$SJ$98,69,FALSE),"")</f>
        <v/>
      </c>
      <c r="AK75" s="263" t="str">
        <f>IFERROR(HLOOKUP(AK$7,'PCO Log'!$E$11:$SJ$98,69,FALSE),"")</f>
        <v/>
      </c>
      <c r="AL75" s="263" t="str">
        <f>IFERROR(HLOOKUP(AL$7,'PCO Log'!$E$11:$SJ$98,69,FALSE),"")</f>
        <v/>
      </c>
      <c r="AM75" s="263" t="str">
        <f>IFERROR(HLOOKUP(AM$7,'PCO Log'!$E$11:$SJ$98,69,FALSE),"")</f>
        <v/>
      </c>
      <c r="AN75" s="263" t="str">
        <f>IFERROR(HLOOKUP(AN$7,'PCO Log'!$E$11:$SJ$98,69,FALSE),"")</f>
        <v/>
      </c>
      <c r="AO75" s="263" t="str">
        <f>IFERROR(HLOOKUP(AO$7,'PCO Log'!$E$11:$SJ$98,69,FALSE),"")</f>
        <v/>
      </c>
      <c r="AP75" s="263" t="str">
        <f>IFERROR(HLOOKUP(AP$7,'PCO Log'!$E$11:$SJ$98,69,FALSE),"")</f>
        <v/>
      </c>
      <c r="AQ75" s="263" t="str">
        <f>IFERROR(HLOOKUP(AQ$7,'PCO Log'!$E$11:$SJ$98,69,FALSE),"")</f>
        <v/>
      </c>
      <c r="AR75" s="263" t="str">
        <f>IFERROR(HLOOKUP(AR$7,'PCO Log'!$E$11:$SJ$98,69,FALSE),"")</f>
        <v/>
      </c>
      <c r="AS75" s="263" t="str">
        <f>IFERROR(HLOOKUP(AS$7,'PCO Log'!$E$11:$SJ$98,69,FALSE),"")</f>
        <v/>
      </c>
      <c r="AT75" s="263" t="str">
        <f>IFERROR(HLOOKUP(AT$7,'PCO Log'!$E$11:$SJ$98,69,FALSE),"")</f>
        <v/>
      </c>
      <c r="AU75" s="263" t="str">
        <f>IFERROR(HLOOKUP(AU$7,'PCO Log'!$E$11:$SJ$98,69,FALSE),"")</f>
        <v/>
      </c>
      <c r="AV75" s="263" t="str">
        <f>IFERROR(HLOOKUP(AV$7,'PCO Log'!$E$11:$SJ$98,69,FALSE),"")</f>
        <v/>
      </c>
      <c r="AW75" s="263" t="str">
        <f>IFERROR(HLOOKUP(AW$7,'PCO Log'!$E$11:$SJ$98,69,FALSE),"")</f>
        <v/>
      </c>
      <c r="AX75" s="263" t="str">
        <f>IFERROR(HLOOKUP(AX$7,'PCO Log'!$E$11:$SJ$98,69,FALSE),"")</f>
        <v/>
      </c>
      <c r="AY75" s="263" t="str">
        <f>IFERROR(HLOOKUP(AY$7,'PCO Log'!$E$11:$SJ$98,69,FALSE),"")</f>
        <v/>
      </c>
      <c r="AZ75" s="263" t="str">
        <f>IFERROR(HLOOKUP(AZ$7,'PCO Log'!$E$11:$SJ$98,69,FALSE),"")</f>
        <v/>
      </c>
      <c r="BA75" s="263" t="str">
        <f>IFERROR(HLOOKUP(BA$7,'PCO Log'!$E$11:$SJ$98,69,FALSE),"")</f>
        <v/>
      </c>
      <c r="BB75" s="263" t="str">
        <f>IFERROR(HLOOKUP(BB$7,'PCO Log'!$E$11:$SJ$98,69,FALSE),"")</f>
        <v/>
      </c>
      <c r="BC75" s="263" t="str">
        <f>IFERROR(HLOOKUP(BC$7,'PCO Log'!$E$11:$SJ$98,69,FALSE),"")</f>
        <v/>
      </c>
    </row>
    <row r="76" spans="2:55" s="334" customFormat="1" x14ac:dyDescent="0.25">
      <c r="B76" s="40" t="str">
        <f>'Pay App 1'!B130</f>
        <v>22 00 00</v>
      </c>
      <c r="C76" s="41" t="str">
        <f>'Pay App 1'!C130</f>
        <v>Plumbing</v>
      </c>
      <c r="D76" s="263">
        <f t="shared" si="2"/>
        <v>0</v>
      </c>
      <c r="E76" s="264">
        <f>'Pay App 1'!D130</f>
        <v>0</v>
      </c>
      <c r="F76" s="263" t="str">
        <f>IFERROR(HLOOKUP(F$7,'PCO Log'!$E$11:$SJ$98,70,FALSE),"")</f>
        <v/>
      </c>
      <c r="G76" s="263" t="str">
        <f>IFERROR(HLOOKUP(G$7,'PCO Log'!$E$11:$SJ$98,70,FALSE),"")</f>
        <v/>
      </c>
      <c r="H76" s="263" t="str">
        <f>IFERROR(HLOOKUP(H$7,'PCO Log'!$E$11:$SJ$98,70,FALSE),"")</f>
        <v/>
      </c>
      <c r="I76" s="263" t="str">
        <f>IFERROR(HLOOKUP(I$7,'PCO Log'!$E$11:$SJ$98,70,FALSE),"")</f>
        <v/>
      </c>
      <c r="J76" s="263" t="str">
        <f>IFERROR(HLOOKUP(J$7,'PCO Log'!$E$11:$SJ$98,70,FALSE),"")</f>
        <v/>
      </c>
      <c r="K76" s="263" t="str">
        <f>IFERROR(HLOOKUP(K$7,'PCO Log'!$E$11:$SJ$98,70,FALSE),"")</f>
        <v/>
      </c>
      <c r="L76" s="263" t="str">
        <f>IFERROR(HLOOKUP(L$7,'PCO Log'!$E$11:$SJ$98,70,FALSE),"")</f>
        <v/>
      </c>
      <c r="M76" s="263" t="str">
        <f>IFERROR(HLOOKUP(M$7,'PCO Log'!$E$11:$SJ$98,70,FALSE),"")</f>
        <v/>
      </c>
      <c r="N76" s="263" t="str">
        <f>IFERROR(HLOOKUP(N$7,'PCO Log'!$E$11:$SJ$98,70,FALSE),"")</f>
        <v/>
      </c>
      <c r="O76" s="263" t="str">
        <f>IFERROR(HLOOKUP(O$7,'PCO Log'!$E$11:$SJ$98,70,FALSE),"")</f>
        <v/>
      </c>
      <c r="P76" s="263" t="str">
        <f>IFERROR(HLOOKUP(P$7,'PCO Log'!$E$11:$SJ$98,70,FALSE),"")</f>
        <v/>
      </c>
      <c r="Q76" s="263" t="str">
        <f>IFERROR(HLOOKUP(Q$7,'PCO Log'!$E$11:$SJ$98,70,FALSE),"")</f>
        <v/>
      </c>
      <c r="R76" s="263" t="str">
        <f>IFERROR(HLOOKUP(R$7,'PCO Log'!$E$11:$SJ$98,70,FALSE),"")</f>
        <v/>
      </c>
      <c r="S76" s="263" t="str">
        <f>IFERROR(HLOOKUP(S$7,'PCO Log'!$E$11:$SJ$98,70,FALSE),"")</f>
        <v/>
      </c>
      <c r="T76" s="263" t="str">
        <f>IFERROR(HLOOKUP(T$7,'PCO Log'!$E$11:$SJ$98,70,FALSE),"")</f>
        <v/>
      </c>
      <c r="U76" s="263" t="str">
        <f>IFERROR(HLOOKUP(U$7,'PCO Log'!$E$11:$SJ$98,70,FALSE),"")</f>
        <v/>
      </c>
      <c r="V76" s="263" t="str">
        <f>IFERROR(HLOOKUP(V$7,'PCO Log'!$E$11:$SJ$98,70,FALSE),"")</f>
        <v/>
      </c>
      <c r="W76" s="263" t="str">
        <f>IFERROR(HLOOKUP(W$7,'PCO Log'!$E$11:$SJ$98,70,FALSE),"")</f>
        <v/>
      </c>
      <c r="X76" s="263" t="str">
        <f>IFERROR(HLOOKUP(X$7,'PCO Log'!$E$11:$SJ$98,70,FALSE),"")</f>
        <v/>
      </c>
      <c r="Y76" s="263" t="str">
        <f>IFERROR(HLOOKUP(Y$7,'PCO Log'!$E$11:$SJ$98,70,FALSE),"")</f>
        <v/>
      </c>
      <c r="Z76" s="263" t="str">
        <f>IFERROR(HLOOKUP(Z$7,'PCO Log'!$E$11:$SJ$98,70,FALSE),"")</f>
        <v/>
      </c>
      <c r="AA76" s="263" t="str">
        <f>IFERROR(HLOOKUP(AA$7,'PCO Log'!$E$11:$SJ$98,70,FALSE),"")</f>
        <v/>
      </c>
      <c r="AB76" s="263" t="str">
        <f>IFERROR(HLOOKUP(AB$7,'PCO Log'!$E$11:$SJ$98,70,FALSE),"")</f>
        <v/>
      </c>
      <c r="AC76" s="263" t="str">
        <f>IFERROR(HLOOKUP(AC$7,'PCO Log'!$E$11:$SJ$98,70,FALSE),"")</f>
        <v/>
      </c>
      <c r="AD76" s="263" t="str">
        <f>IFERROR(HLOOKUP(AD$7,'PCO Log'!$E$11:$SJ$98,70,FALSE),"")</f>
        <v/>
      </c>
      <c r="AE76" s="263" t="str">
        <f>IFERROR(HLOOKUP(AE$7,'PCO Log'!$E$11:$SJ$98,70,FALSE),"")</f>
        <v/>
      </c>
      <c r="AF76" s="263" t="str">
        <f>IFERROR(HLOOKUP(AF$7,'PCO Log'!$E$11:$SJ$98,70,FALSE),"")</f>
        <v/>
      </c>
      <c r="AG76" s="263" t="str">
        <f>IFERROR(HLOOKUP(AG$7,'PCO Log'!$E$11:$SJ$98,70,FALSE),"")</f>
        <v/>
      </c>
      <c r="AH76" s="263" t="str">
        <f>IFERROR(HLOOKUP(AH$7,'PCO Log'!$E$11:$SJ$98,70,FALSE),"")</f>
        <v/>
      </c>
      <c r="AI76" s="263" t="str">
        <f>IFERROR(HLOOKUP(AI$7,'PCO Log'!$E$11:$SJ$98,70,FALSE),"")</f>
        <v/>
      </c>
      <c r="AJ76" s="263" t="str">
        <f>IFERROR(HLOOKUP(AJ$7,'PCO Log'!$E$11:$SJ$98,70,FALSE),"")</f>
        <v/>
      </c>
      <c r="AK76" s="263" t="str">
        <f>IFERROR(HLOOKUP(AK$7,'PCO Log'!$E$11:$SJ$98,70,FALSE),"")</f>
        <v/>
      </c>
      <c r="AL76" s="263" t="str">
        <f>IFERROR(HLOOKUP(AL$7,'PCO Log'!$E$11:$SJ$98,70,FALSE),"")</f>
        <v/>
      </c>
      <c r="AM76" s="263" t="str">
        <f>IFERROR(HLOOKUP(AM$7,'PCO Log'!$E$11:$SJ$98,70,FALSE),"")</f>
        <v/>
      </c>
      <c r="AN76" s="263" t="str">
        <f>IFERROR(HLOOKUP(AN$7,'PCO Log'!$E$11:$SJ$98,70,FALSE),"")</f>
        <v/>
      </c>
      <c r="AO76" s="263" t="str">
        <f>IFERROR(HLOOKUP(AO$7,'PCO Log'!$E$11:$SJ$98,70,FALSE),"")</f>
        <v/>
      </c>
      <c r="AP76" s="263" t="str">
        <f>IFERROR(HLOOKUP(AP$7,'PCO Log'!$E$11:$SJ$98,70,FALSE),"")</f>
        <v/>
      </c>
      <c r="AQ76" s="263" t="str">
        <f>IFERROR(HLOOKUP(AQ$7,'PCO Log'!$E$11:$SJ$98,70,FALSE),"")</f>
        <v/>
      </c>
      <c r="AR76" s="263" t="str">
        <f>IFERROR(HLOOKUP(AR$7,'PCO Log'!$E$11:$SJ$98,70,FALSE),"")</f>
        <v/>
      </c>
      <c r="AS76" s="263" t="str">
        <f>IFERROR(HLOOKUP(AS$7,'PCO Log'!$E$11:$SJ$98,70,FALSE),"")</f>
        <v/>
      </c>
      <c r="AT76" s="263" t="str">
        <f>IFERROR(HLOOKUP(AT$7,'PCO Log'!$E$11:$SJ$98,70,FALSE),"")</f>
        <v/>
      </c>
      <c r="AU76" s="263" t="str">
        <f>IFERROR(HLOOKUP(AU$7,'PCO Log'!$E$11:$SJ$98,70,FALSE),"")</f>
        <v/>
      </c>
      <c r="AV76" s="263" t="str">
        <f>IFERROR(HLOOKUP(AV$7,'PCO Log'!$E$11:$SJ$98,70,FALSE),"")</f>
        <v/>
      </c>
      <c r="AW76" s="263" t="str">
        <f>IFERROR(HLOOKUP(AW$7,'PCO Log'!$E$11:$SJ$98,70,FALSE),"")</f>
        <v/>
      </c>
      <c r="AX76" s="263" t="str">
        <f>IFERROR(HLOOKUP(AX$7,'PCO Log'!$E$11:$SJ$98,70,FALSE),"")</f>
        <v/>
      </c>
      <c r="AY76" s="263" t="str">
        <f>IFERROR(HLOOKUP(AY$7,'PCO Log'!$E$11:$SJ$98,70,FALSE),"")</f>
        <v/>
      </c>
      <c r="AZ76" s="263" t="str">
        <f>IFERROR(HLOOKUP(AZ$7,'PCO Log'!$E$11:$SJ$98,70,FALSE),"")</f>
        <v/>
      </c>
      <c r="BA76" s="263" t="str">
        <f>IFERROR(HLOOKUP(BA$7,'PCO Log'!$E$11:$SJ$98,70,FALSE),"")</f>
        <v/>
      </c>
      <c r="BB76" s="263" t="str">
        <f>IFERROR(HLOOKUP(BB$7,'PCO Log'!$E$11:$SJ$98,70,FALSE),"")</f>
        <v/>
      </c>
      <c r="BC76" s="263" t="str">
        <f>IFERROR(HLOOKUP(BC$7,'PCO Log'!$E$11:$SJ$98,70,FALSE),"")</f>
        <v/>
      </c>
    </row>
    <row r="77" spans="2:55" s="334" customFormat="1" x14ac:dyDescent="0.25">
      <c r="B77" s="48" t="str">
        <f>'Pay App 1'!B131</f>
        <v>23 00 00</v>
      </c>
      <c r="C77" s="24" t="str">
        <f>'Pay App 1'!C131</f>
        <v>HVAC</v>
      </c>
      <c r="D77" s="263">
        <f t="shared" si="2"/>
        <v>0</v>
      </c>
      <c r="E77" s="264">
        <f>'Pay App 1'!D131</f>
        <v>0</v>
      </c>
      <c r="F77" s="263" t="str">
        <f>IFERROR(HLOOKUP(F$7,'PCO Log'!$E$11:$SJ$98,71,FALSE),"")</f>
        <v/>
      </c>
      <c r="G77" s="263" t="str">
        <f>IFERROR(HLOOKUP(G$7,'PCO Log'!$E$11:$SJ$98,71,FALSE),"")</f>
        <v/>
      </c>
      <c r="H77" s="263" t="str">
        <f>IFERROR(HLOOKUP(H$7,'PCO Log'!$E$11:$SJ$98,71,FALSE),"")</f>
        <v/>
      </c>
      <c r="I77" s="263" t="str">
        <f>IFERROR(HLOOKUP(I$7,'PCO Log'!$E$11:$SJ$98,71,FALSE),"")</f>
        <v/>
      </c>
      <c r="J77" s="263" t="str">
        <f>IFERROR(HLOOKUP(J$7,'PCO Log'!$E$11:$SJ$98,71,FALSE),"")</f>
        <v/>
      </c>
      <c r="K77" s="263" t="str">
        <f>IFERROR(HLOOKUP(K$7,'PCO Log'!$E$11:$SJ$98,71,FALSE),"")</f>
        <v/>
      </c>
      <c r="L77" s="263" t="str">
        <f>IFERROR(HLOOKUP(L$7,'PCO Log'!$E$11:$SJ$98,71,FALSE),"")</f>
        <v/>
      </c>
      <c r="M77" s="263" t="str">
        <f>IFERROR(HLOOKUP(M$7,'PCO Log'!$E$11:$SJ$98,71,FALSE),"")</f>
        <v/>
      </c>
      <c r="N77" s="263" t="str">
        <f>IFERROR(HLOOKUP(N$7,'PCO Log'!$E$11:$SJ$98,71,FALSE),"")</f>
        <v/>
      </c>
      <c r="O77" s="263" t="str">
        <f>IFERROR(HLOOKUP(O$7,'PCO Log'!$E$11:$SJ$98,71,FALSE),"")</f>
        <v/>
      </c>
      <c r="P77" s="263" t="str">
        <f>IFERROR(HLOOKUP(P$7,'PCO Log'!$E$11:$SJ$98,71,FALSE),"")</f>
        <v/>
      </c>
      <c r="Q77" s="263" t="str">
        <f>IFERROR(HLOOKUP(Q$7,'PCO Log'!$E$11:$SJ$98,71,FALSE),"")</f>
        <v/>
      </c>
      <c r="R77" s="263" t="str">
        <f>IFERROR(HLOOKUP(R$7,'PCO Log'!$E$11:$SJ$98,71,FALSE),"")</f>
        <v/>
      </c>
      <c r="S77" s="263" t="str">
        <f>IFERROR(HLOOKUP(S$7,'PCO Log'!$E$11:$SJ$98,71,FALSE),"")</f>
        <v/>
      </c>
      <c r="T77" s="263" t="str">
        <f>IFERROR(HLOOKUP(T$7,'PCO Log'!$E$11:$SJ$98,71,FALSE),"")</f>
        <v/>
      </c>
      <c r="U77" s="263" t="str">
        <f>IFERROR(HLOOKUP(U$7,'PCO Log'!$E$11:$SJ$98,71,FALSE),"")</f>
        <v/>
      </c>
      <c r="V77" s="263" t="str">
        <f>IFERROR(HLOOKUP(V$7,'PCO Log'!$E$11:$SJ$98,71,FALSE),"")</f>
        <v/>
      </c>
      <c r="W77" s="263" t="str">
        <f>IFERROR(HLOOKUP(W$7,'PCO Log'!$E$11:$SJ$98,71,FALSE),"")</f>
        <v/>
      </c>
      <c r="X77" s="263" t="str">
        <f>IFERROR(HLOOKUP(X$7,'PCO Log'!$E$11:$SJ$98,71,FALSE),"")</f>
        <v/>
      </c>
      <c r="Y77" s="263" t="str">
        <f>IFERROR(HLOOKUP(Y$7,'PCO Log'!$E$11:$SJ$98,71,FALSE),"")</f>
        <v/>
      </c>
      <c r="Z77" s="263" t="str">
        <f>IFERROR(HLOOKUP(Z$7,'PCO Log'!$E$11:$SJ$98,71,FALSE),"")</f>
        <v/>
      </c>
      <c r="AA77" s="263" t="str">
        <f>IFERROR(HLOOKUP(AA$7,'PCO Log'!$E$11:$SJ$98,71,FALSE),"")</f>
        <v/>
      </c>
      <c r="AB77" s="263" t="str">
        <f>IFERROR(HLOOKUP(AB$7,'PCO Log'!$E$11:$SJ$98,71,FALSE),"")</f>
        <v/>
      </c>
      <c r="AC77" s="263" t="str">
        <f>IFERROR(HLOOKUP(AC$7,'PCO Log'!$E$11:$SJ$98,71,FALSE),"")</f>
        <v/>
      </c>
      <c r="AD77" s="263" t="str">
        <f>IFERROR(HLOOKUP(AD$7,'PCO Log'!$E$11:$SJ$98,71,FALSE),"")</f>
        <v/>
      </c>
      <c r="AE77" s="263" t="str">
        <f>IFERROR(HLOOKUP(AE$7,'PCO Log'!$E$11:$SJ$98,71,FALSE),"")</f>
        <v/>
      </c>
      <c r="AF77" s="263" t="str">
        <f>IFERROR(HLOOKUP(AF$7,'PCO Log'!$E$11:$SJ$98,71,FALSE),"")</f>
        <v/>
      </c>
      <c r="AG77" s="263" t="str">
        <f>IFERROR(HLOOKUP(AG$7,'PCO Log'!$E$11:$SJ$98,71,FALSE),"")</f>
        <v/>
      </c>
      <c r="AH77" s="263" t="str">
        <f>IFERROR(HLOOKUP(AH$7,'PCO Log'!$E$11:$SJ$98,71,FALSE),"")</f>
        <v/>
      </c>
      <c r="AI77" s="263" t="str">
        <f>IFERROR(HLOOKUP(AI$7,'PCO Log'!$E$11:$SJ$98,71,FALSE),"")</f>
        <v/>
      </c>
      <c r="AJ77" s="263" t="str">
        <f>IFERROR(HLOOKUP(AJ$7,'PCO Log'!$E$11:$SJ$98,71,FALSE),"")</f>
        <v/>
      </c>
      <c r="AK77" s="263" t="str">
        <f>IFERROR(HLOOKUP(AK$7,'PCO Log'!$E$11:$SJ$98,71,FALSE),"")</f>
        <v/>
      </c>
      <c r="AL77" s="263" t="str">
        <f>IFERROR(HLOOKUP(AL$7,'PCO Log'!$E$11:$SJ$98,71,FALSE),"")</f>
        <v/>
      </c>
      <c r="AM77" s="263" t="str">
        <f>IFERROR(HLOOKUP(AM$7,'PCO Log'!$E$11:$SJ$98,71,FALSE),"")</f>
        <v/>
      </c>
      <c r="AN77" s="263" t="str">
        <f>IFERROR(HLOOKUP(AN$7,'PCO Log'!$E$11:$SJ$98,71,FALSE),"")</f>
        <v/>
      </c>
      <c r="AO77" s="263" t="str">
        <f>IFERROR(HLOOKUP(AO$7,'PCO Log'!$E$11:$SJ$98,71,FALSE),"")</f>
        <v/>
      </c>
      <c r="AP77" s="263" t="str">
        <f>IFERROR(HLOOKUP(AP$7,'PCO Log'!$E$11:$SJ$98,71,FALSE),"")</f>
        <v/>
      </c>
      <c r="AQ77" s="263" t="str">
        <f>IFERROR(HLOOKUP(AQ$7,'PCO Log'!$E$11:$SJ$98,71,FALSE),"")</f>
        <v/>
      </c>
      <c r="AR77" s="263" t="str">
        <f>IFERROR(HLOOKUP(AR$7,'PCO Log'!$E$11:$SJ$98,71,FALSE),"")</f>
        <v/>
      </c>
      <c r="AS77" s="263" t="str">
        <f>IFERROR(HLOOKUP(AS$7,'PCO Log'!$E$11:$SJ$98,71,FALSE),"")</f>
        <v/>
      </c>
      <c r="AT77" s="263" t="str">
        <f>IFERROR(HLOOKUP(AT$7,'PCO Log'!$E$11:$SJ$98,71,FALSE),"")</f>
        <v/>
      </c>
      <c r="AU77" s="263" t="str">
        <f>IFERROR(HLOOKUP(AU$7,'PCO Log'!$E$11:$SJ$98,71,FALSE),"")</f>
        <v/>
      </c>
      <c r="AV77" s="263" t="str">
        <f>IFERROR(HLOOKUP(AV$7,'PCO Log'!$E$11:$SJ$98,71,FALSE),"")</f>
        <v/>
      </c>
      <c r="AW77" s="263" t="str">
        <f>IFERROR(HLOOKUP(AW$7,'PCO Log'!$E$11:$SJ$98,71,FALSE),"")</f>
        <v/>
      </c>
      <c r="AX77" s="263" t="str">
        <f>IFERROR(HLOOKUP(AX$7,'PCO Log'!$E$11:$SJ$98,71,FALSE),"")</f>
        <v/>
      </c>
      <c r="AY77" s="263" t="str">
        <f>IFERROR(HLOOKUP(AY$7,'PCO Log'!$E$11:$SJ$98,71,FALSE),"")</f>
        <v/>
      </c>
      <c r="AZ77" s="263" t="str">
        <f>IFERROR(HLOOKUP(AZ$7,'PCO Log'!$E$11:$SJ$98,71,FALSE),"")</f>
        <v/>
      </c>
      <c r="BA77" s="263" t="str">
        <f>IFERROR(HLOOKUP(BA$7,'PCO Log'!$E$11:$SJ$98,71,FALSE),"")</f>
        <v/>
      </c>
      <c r="BB77" s="263" t="str">
        <f>IFERROR(HLOOKUP(BB$7,'PCO Log'!$E$11:$SJ$98,71,FALSE),"")</f>
        <v/>
      </c>
      <c r="BC77" s="263" t="str">
        <f>IFERROR(HLOOKUP(BC$7,'PCO Log'!$E$11:$SJ$98,71,FALSE),"")</f>
        <v/>
      </c>
    </row>
    <row r="78" spans="2:55" s="334" customFormat="1" x14ac:dyDescent="0.25">
      <c r="B78" s="49" t="str">
        <f>'Pay App 1'!B132</f>
        <v>26 00 00</v>
      </c>
      <c r="C78" s="25" t="str">
        <f>'Pay App 1'!C132</f>
        <v>Electrical</v>
      </c>
      <c r="D78" s="263">
        <f t="shared" si="2"/>
        <v>0</v>
      </c>
      <c r="E78" s="264">
        <f>'Pay App 1'!D132</f>
        <v>0</v>
      </c>
      <c r="F78" s="263" t="str">
        <f>IFERROR(HLOOKUP(F$7,'PCO Log'!$E$11:$SJ$98,72,FALSE),"")</f>
        <v/>
      </c>
      <c r="G78" s="263" t="str">
        <f>IFERROR(HLOOKUP(G$7,'PCO Log'!$E$11:$SJ$98,72,FALSE),"")</f>
        <v/>
      </c>
      <c r="H78" s="263" t="str">
        <f>IFERROR(HLOOKUP(H$7,'PCO Log'!$E$11:$SJ$98,72,FALSE),"")</f>
        <v/>
      </c>
      <c r="I78" s="263" t="str">
        <f>IFERROR(HLOOKUP(I$7,'PCO Log'!$E$11:$SJ$98,72,FALSE),"")</f>
        <v/>
      </c>
      <c r="J78" s="263" t="str">
        <f>IFERROR(HLOOKUP(J$7,'PCO Log'!$E$11:$SJ$98,72,FALSE),"")</f>
        <v/>
      </c>
      <c r="K78" s="263" t="str">
        <f>IFERROR(HLOOKUP(K$7,'PCO Log'!$E$11:$SJ$98,72,FALSE),"")</f>
        <v/>
      </c>
      <c r="L78" s="263" t="str">
        <f>IFERROR(HLOOKUP(L$7,'PCO Log'!$E$11:$SJ$98,72,FALSE),"")</f>
        <v/>
      </c>
      <c r="M78" s="263" t="str">
        <f>IFERROR(HLOOKUP(M$7,'PCO Log'!$E$11:$SJ$98,72,FALSE),"")</f>
        <v/>
      </c>
      <c r="N78" s="263" t="str">
        <f>IFERROR(HLOOKUP(N$7,'PCO Log'!$E$11:$SJ$98,72,FALSE),"")</f>
        <v/>
      </c>
      <c r="O78" s="263" t="str">
        <f>IFERROR(HLOOKUP(O$7,'PCO Log'!$E$11:$SJ$98,72,FALSE),"")</f>
        <v/>
      </c>
      <c r="P78" s="263" t="str">
        <f>IFERROR(HLOOKUP(P$7,'PCO Log'!$E$11:$SJ$98,72,FALSE),"")</f>
        <v/>
      </c>
      <c r="Q78" s="263" t="str">
        <f>IFERROR(HLOOKUP(Q$7,'PCO Log'!$E$11:$SJ$98,72,FALSE),"")</f>
        <v/>
      </c>
      <c r="R78" s="263" t="str">
        <f>IFERROR(HLOOKUP(R$7,'PCO Log'!$E$11:$SJ$98,72,FALSE),"")</f>
        <v/>
      </c>
      <c r="S78" s="263" t="str">
        <f>IFERROR(HLOOKUP(S$7,'PCO Log'!$E$11:$SJ$98,72,FALSE),"")</f>
        <v/>
      </c>
      <c r="T78" s="263" t="str">
        <f>IFERROR(HLOOKUP(T$7,'PCO Log'!$E$11:$SJ$98,72,FALSE),"")</f>
        <v/>
      </c>
      <c r="U78" s="263" t="str">
        <f>IFERROR(HLOOKUP(U$7,'PCO Log'!$E$11:$SJ$98,72,FALSE),"")</f>
        <v/>
      </c>
      <c r="V78" s="263" t="str">
        <f>IFERROR(HLOOKUP(V$7,'PCO Log'!$E$11:$SJ$98,72,FALSE),"")</f>
        <v/>
      </c>
      <c r="W78" s="263" t="str">
        <f>IFERROR(HLOOKUP(W$7,'PCO Log'!$E$11:$SJ$98,72,FALSE),"")</f>
        <v/>
      </c>
      <c r="X78" s="263" t="str">
        <f>IFERROR(HLOOKUP(X$7,'PCO Log'!$E$11:$SJ$98,72,FALSE),"")</f>
        <v/>
      </c>
      <c r="Y78" s="263" t="str">
        <f>IFERROR(HLOOKUP(Y$7,'PCO Log'!$E$11:$SJ$98,72,FALSE),"")</f>
        <v/>
      </c>
      <c r="Z78" s="263" t="str">
        <f>IFERROR(HLOOKUP(Z$7,'PCO Log'!$E$11:$SJ$98,72,FALSE),"")</f>
        <v/>
      </c>
      <c r="AA78" s="263" t="str">
        <f>IFERROR(HLOOKUP(AA$7,'PCO Log'!$E$11:$SJ$98,72,FALSE),"")</f>
        <v/>
      </c>
      <c r="AB78" s="263" t="str">
        <f>IFERROR(HLOOKUP(AB$7,'PCO Log'!$E$11:$SJ$98,72,FALSE),"")</f>
        <v/>
      </c>
      <c r="AC78" s="263" t="str">
        <f>IFERROR(HLOOKUP(AC$7,'PCO Log'!$E$11:$SJ$98,72,FALSE),"")</f>
        <v/>
      </c>
      <c r="AD78" s="263" t="str">
        <f>IFERROR(HLOOKUP(AD$7,'PCO Log'!$E$11:$SJ$98,72,FALSE),"")</f>
        <v/>
      </c>
      <c r="AE78" s="263" t="str">
        <f>IFERROR(HLOOKUP(AE$7,'PCO Log'!$E$11:$SJ$98,72,FALSE),"")</f>
        <v/>
      </c>
      <c r="AF78" s="263" t="str">
        <f>IFERROR(HLOOKUP(AF$7,'PCO Log'!$E$11:$SJ$98,72,FALSE),"")</f>
        <v/>
      </c>
      <c r="AG78" s="263" t="str">
        <f>IFERROR(HLOOKUP(AG$7,'PCO Log'!$E$11:$SJ$98,72,FALSE),"")</f>
        <v/>
      </c>
      <c r="AH78" s="263" t="str">
        <f>IFERROR(HLOOKUP(AH$7,'PCO Log'!$E$11:$SJ$98,72,FALSE),"")</f>
        <v/>
      </c>
      <c r="AI78" s="263" t="str">
        <f>IFERROR(HLOOKUP(AI$7,'PCO Log'!$E$11:$SJ$98,72,FALSE),"")</f>
        <v/>
      </c>
      <c r="AJ78" s="263" t="str">
        <f>IFERROR(HLOOKUP(AJ$7,'PCO Log'!$E$11:$SJ$98,72,FALSE),"")</f>
        <v/>
      </c>
      <c r="AK78" s="263" t="str">
        <f>IFERROR(HLOOKUP(AK$7,'PCO Log'!$E$11:$SJ$98,72,FALSE),"")</f>
        <v/>
      </c>
      <c r="AL78" s="263" t="str">
        <f>IFERROR(HLOOKUP(AL$7,'PCO Log'!$E$11:$SJ$98,72,FALSE),"")</f>
        <v/>
      </c>
      <c r="AM78" s="263" t="str">
        <f>IFERROR(HLOOKUP(AM$7,'PCO Log'!$E$11:$SJ$98,72,FALSE),"")</f>
        <v/>
      </c>
      <c r="AN78" s="263" t="str">
        <f>IFERROR(HLOOKUP(AN$7,'PCO Log'!$E$11:$SJ$98,72,FALSE),"")</f>
        <v/>
      </c>
      <c r="AO78" s="263" t="str">
        <f>IFERROR(HLOOKUP(AO$7,'PCO Log'!$E$11:$SJ$98,72,FALSE),"")</f>
        <v/>
      </c>
      <c r="AP78" s="263" t="str">
        <f>IFERROR(HLOOKUP(AP$7,'PCO Log'!$E$11:$SJ$98,72,FALSE),"")</f>
        <v/>
      </c>
      <c r="AQ78" s="263" t="str">
        <f>IFERROR(HLOOKUP(AQ$7,'PCO Log'!$E$11:$SJ$98,72,FALSE),"")</f>
        <v/>
      </c>
      <c r="AR78" s="263" t="str">
        <f>IFERROR(HLOOKUP(AR$7,'PCO Log'!$E$11:$SJ$98,72,FALSE),"")</f>
        <v/>
      </c>
      <c r="AS78" s="263" t="str">
        <f>IFERROR(HLOOKUP(AS$7,'PCO Log'!$E$11:$SJ$98,72,FALSE),"")</f>
        <v/>
      </c>
      <c r="AT78" s="263" t="str">
        <f>IFERROR(HLOOKUP(AT$7,'PCO Log'!$E$11:$SJ$98,72,FALSE),"")</f>
        <v/>
      </c>
      <c r="AU78" s="263" t="str">
        <f>IFERROR(HLOOKUP(AU$7,'PCO Log'!$E$11:$SJ$98,72,FALSE),"")</f>
        <v/>
      </c>
      <c r="AV78" s="263" t="str">
        <f>IFERROR(HLOOKUP(AV$7,'PCO Log'!$E$11:$SJ$98,72,FALSE),"")</f>
        <v/>
      </c>
      <c r="AW78" s="263" t="str">
        <f>IFERROR(HLOOKUP(AW$7,'PCO Log'!$E$11:$SJ$98,72,FALSE),"")</f>
        <v/>
      </c>
      <c r="AX78" s="263" t="str">
        <f>IFERROR(HLOOKUP(AX$7,'PCO Log'!$E$11:$SJ$98,72,FALSE),"")</f>
        <v/>
      </c>
      <c r="AY78" s="263" t="str">
        <f>IFERROR(HLOOKUP(AY$7,'PCO Log'!$E$11:$SJ$98,72,FALSE),"")</f>
        <v/>
      </c>
      <c r="AZ78" s="263" t="str">
        <f>IFERROR(HLOOKUP(AZ$7,'PCO Log'!$E$11:$SJ$98,72,FALSE),"")</f>
        <v/>
      </c>
      <c r="BA78" s="263" t="str">
        <f>IFERROR(HLOOKUP(BA$7,'PCO Log'!$E$11:$SJ$98,72,FALSE),"")</f>
        <v/>
      </c>
      <c r="BB78" s="263" t="str">
        <f>IFERROR(HLOOKUP(BB$7,'PCO Log'!$E$11:$SJ$98,72,FALSE),"")</f>
        <v/>
      </c>
      <c r="BC78" s="263" t="str">
        <f>IFERROR(HLOOKUP(BC$7,'PCO Log'!$E$11:$SJ$98,72,FALSE),"")</f>
        <v/>
      </c>
    </row>
    <row r="79" spans="2:55" s="334" customFormat="1" x14ac:dyDescent="0.25">
      <c r="B79" s="35" t="str">
        <f>'Pay App 1'!B133</f>
        <v>27 00 00</v>
      </c>
      <c r="C79" s="27" t="str">
        <f>'Pay App 1'!C133</f>
        <v>AV/IT/Cabling</v>
      </c>
      <c r="D79" s="263">
        <f t="shared" si="2"/>
        <v>0</v>
      </c>
      <c r="E79" s="264">
        <f>'Pay App 1'!D133</f>
        <v>0</v>
      </c>
      <c r="F79" s="263" t="str">
        <f>IFERROR(HLOOKUP(F$7,'PCO Log'!$E$11:$SJ$98,73,FALSE),"")</f>
        <v/>
      </c>
      <c r="G79" s="263" t="str">
        <f>IFERROR(HLOOKUP(G$7,'PCO Log'!$E$11:$SJ$98,73,FALSE),"")</f>
        <v/>
      </c>
      <c r="H79" s="263" t="str">
        <f>IFERROR(HLOOKUP(H$7,'PCO Log'!$E$11:$SJ$98,73,FALSE),"")</f>
        <v/>
      </c>
      <c r="I79" s="263" t="str">
        <f>IFERROR(HLOOKUP(I$7,'PCO Log'!$E$11:$SJ$98,73,FALSE),"")</f>
        <v/>
      </c>
      <c r="J79" s="263" t="str">
        <f>IFERROR(HLOOKUP(J$7,'PCO Log'!$E$11:$SJ$98,73,FALSE),"")</f>
        <v/>
      </c>
      <c r="K79" s="263" t="str">
        <f>IFERROR(HLOOKUP(K$7,'PCO Log'!$E$11:$SJ$98,73,FALSE),"")</f>
        <v/>
      </c>
      <c r="L79" s="263" t="str">
        <f>IFERROR(HLOOKUP(L$7,'PCO Log'!$E$11:$SJ$98,73,FALSE),"")</f>
        <v/>
      </c>
      <c r="M79" s="263" t="str">
        <f>IFERROR(HLOOKUP(M$7,'PCO Log'!$E$11:$SJ$98,73,FALSE),"")</f>
        <v/>
      </c>
      <c r="N79" s="263" t="str">
        <f>IFERROR(HLOOKUP(N$7,'PCO Log'!$E$11:$SJ$98,73,FALSE),"")</f>
        <v/>
      </c>
      <c r="O79" s="263" t="str">
        <f>IFERROR(HLOOKUP(O$7,'PCO Log'!$E$11:$SJ$98,73,FALSE),"")</f>
        <v/>
      </c>
      <c r="P79" s="263" t="str">
        <f>IFERROR(HLOOKUP(P$7,'PCO Log'!$E$11:$SJ$98,73,FALSE),"")</f>
        <v/>
      </c>
      <c r="Q79" s="263" t="str">
        <f>IFERROR(HLOOKUP(Q$7,'PCO Log'!$E$11:$SJ$98,73,FALSE),"")</f>
        <v/>
      </c>
      <c r="R79" s="263" t="str">
        <f>IFERROR(HLOOKUP(R$7,'PCO Log'!$E$11:$SJ$98,73,FALSE),"")</f>
        <v/>
      </c>
      <c r="S79" s="263" t="str">
        <f>IFERROR(HLOOKUP(S$7,'PCO Log'!$E$11:$SJ$98,73,FALSE),"")</f>
        <v/>
      </c>
      <c r="T79" s="263" t="str">
        <f>IFERROR(HLOOKUP(T$7,'PCO Log'!$E$11:$SJ$98,73,FALSE),"")</f>
        <v/>
      </c>
      <c r="U79" s="263" t="str">
        <f>IFERROR(HLOOKUP(U$7,'PCO Log'!$E$11:$SJ$98,73,FALSE),"")</f>
        <v/>
      </c>
      <c r="V79" s="263" t="str">
        <f>IFERROR(HLOOKUP(V$7,'PCO Log'!$E$11:$SJ$98,73,FALSE),"")</f>
        <v/>
      </c>
      <c r="W79" s="263" t="str">
        <f>IFERROR(HLOOKUP(W$7,'PCO Log'!$E$11:$SJ$98,73,FALSE),"")</f>
        <v/>
      </c>
      <c r="X79" s="263" t="str">
        <f>IFERROR(HLOOKUP(X$7,'PCO Log'!$E$11:$SJ$98,73,FALSE),"")</f>
        <v/>
      </c>
      <c r="Y79" s="263" t="str">
        <f>IFERROR(HLOOKUP(Y$7,'PCO Log'!$E$11:$SJ$98,73,FALSE),"")</f>
        <v/>
      </c>
      <c r="Z79" s="263" t="str">
        <f>IFERROR(HLOOKUP(Z$7,'PCO Log'!$E$11:$SJ$98,73,FALSE),"")</f>
        <v/>
      </c>
      <c r="AA79" s="263" t="str">
        <f>IFERROR(HLOOKUP(AA$7,'PCO Log'!$E$11:$SJ$98,73,FALSE),"")</f>
        <v/>
      </c>
      <c r="AB79" s="263" t="str">
        <f>IFERROR(HLOOKUP(AB$7,'PCO Log'!$E$11:$SJ$98,73,FALSE),"")</f>
        <v/>
      </c>
      <c r="AC79" s="263" t="str">
        <f>IFERROR(HLOOKUP(AC$7,'PCO Log'!$E$11:$SJ$98,73,FALSE),"")</f>
        <v/>
      </c>
      <c r="AD79" s="263" t="str">
        <f>IFERROR(HLOOKUP(AD$7,'PCO Log'!$E$11:$SJ$98,73,FALSE),"")</f>
        <v/>
      </c>
      <c r="AE79" s="263" t="str">
        <f>IFERROR(HLOOKUP(AE$7,'PCO Log'!$E$11:$SJ$98,73,FALSE),"")</f>
        <v/>
      </c>
      <c r="AF79" s="263" t="str">
        <f>IFERROR(HLOOKUP(AF$7,'PCO Log'!$E$11:$SJ$98,73,FALSE),"")</f>
        <v/>
      </c>
      <c r="AG79" s="263" t="str">
        <f>IFERROR(HLOOKUP(AG$7,'PCO Log'!$E$11:$SJ$98,73,FALSE),"")</f>
        <v/>
      </c>
      <c r="AH79" s="263" t="str">
        <f>IFERROR(HLOOKUP(AH$7,'PCO Log'!$E$11:$SJ$98,73,FALSE),"")</f>
        <v/>
      </c>
      <c r="AI79" s="263" t="str">
        <f>IFERROR(HLOOKUP(AI$7,'PCO Log'!$E$11:$SJ$98,73,FALSE),"")</f>
        <v/>
      </c>
      <c r="AJ79" s="263" t="str">
        <f>IFERROR(HLOOKUP(AJ$7,'PCO Log'!$E$11:$SJ$98,73,FALSE),"")</f>
        <v/>
      </c>
      <c r="AK79" s="263" t="str">
        <f>IFERROR(HLOOKUP(AK$7,'PCO Log'!$E$11:$SJ$98,73,FALSE),"")</f>
        <v/>
      </c>
      <c r="AL79" s="263" t="str">
        <f>IFERROR(HLOOKUP(AL$7,'PCO Log'!$E$11:$SJ$98,73,FALSE),"")</f>
        <v/>
      </c>
      <c r="AM79" s="263" t="str">
        <f>IFERROR(HLOOKUP(AM$7,'PCO Log'!$E$11:$SJ$98,73,FALSE),"")</f>
        <v/>
      </c>
      <c r="AN79" s="263" t="str">
        <f>IFERROR(HLOOKUP(AN$7,'PCO Log'!$E$11:$SJ$98,73,FALSE),"")</f>
        <v/>
      </c>
      <c r="AO79" s="263" t="str">
        <f>IFERROR(HLOOKUP(AO$7,'PCO Log'!$E$11:$SJ$98,73,FALSE),"")</f>
        <v/>
      </c>
      <c r="AP79" s="263" t="str">
        <f>IFERROR(HLOOKUP(AP$7,'PCO Log'!$E$11:$SJ$98,73,FALSE),"")</f>
        <v/>
      </c>
      <c r="AQ79" s="263" t="str">
        <f>IFERROR(HLOOKUP(AQ$7,'PCO Log'!$E$11:$SJ$98,73,FALSE),"")</f>
        <v/>
      </c>
      <c r="AR79" s="263" t="str">
        <f>IFERROR(HLOOKUP(AR$7,'PCO Log'!$E$11:$SJ$98,73,FALSE),"")</f>
        <v/>
      </c>
      <c r="AS79" s="263" t="str">
        <f>IFERROR(HLOOKUP(AS$7,'PCO Log'!$E$11:$SJ$98,73,FALSE),"")</f>
        <v/>
      </c>
      <c r="AT79" s="263" t="str">
        <f>IFERROR(HLOOKUP(AT$7,'PCO Log'!$E$11:$SJ$98,73,FALSE),"")</f>
        <v/>
      </c>
      <c r="AU79" s="263" t="str">
        <f>IFERROR(HLOOKUP(AU$7,'PCO Log'!$E$11:$SJ$98,73,FALSE),"")</f>
        <v/>
      </c>
      <c r="AV79" s="263" t="str">
        <f>IFERROR(HLOOKUP(AV$7,'PCO Log'!$E$11:$SJ$98,73,FALSE),"")</f>
        <v/>
      </c>
      <c r="AW79" s="263" t="str">
        <f>IFERROR(HLOOKUP(AW$7,'PCO Log'!$E$11:$SJ$98,73,FALSE),"")</f>
        <v/>
      </c>
      <c r="AX79" s="263" t="str">
        <f>IFERROR(HLOOKUP(AX$7,'PCO Log'!$E$11:$SJ$98,73,FALSE),"")</f>
        <v/>
      </c>
      <c r="AY79" s="263" t="str">
        <f>IFERROR(HLOOKUP(AY$7,'PCO Log'!$E$11:$SJ$98,73,FALSE),"")</f>
        <v/>
      </c>
      <c r="AZ79" s="263" t="str">
        <f>IFERROR(HLOOKUP(AZ$7,'PCO Log'!$E$11:$SJ$98,73,FALSE),"")</f>
        <v/>
      </c>
      <c r="BA79" s="263" t="str">
        <f>IFERROR(HLOOKUP(BA$7,'PCO Log'!$E$11:$SJ$98,73,FALSE),"")</f>
        <v/>
      </c>
      <c r="BB79" s="263" t="str">
        <f>IFERROR(HLOOKUP(BB$7,'PCO Log'!$E$11:$SJ$98,73,FALSE),"")</f>
        <v/>
      </c>
      <c r="BC79" s="263" t="str">
        <f>IFERROR(HLOOKUP(BC$7,'PCO Log'!$E$11:$SJ$98,73,FALSE),"")</f>
        <v/>
      </c>
    </row>
    <row r="80" spans="2:55" s="334" customFormat="1" x14ac:dyDescent="0.25">
      <c r="B80" s="36" t="str">
        <f>'Pay App 1'!B134</f>
        <v>28 80 00</v>
      </c>
      <c r="C80" s="37" t="str">
        <f>'Pay App 1'!C134</f>
        <v>Security/Access Control</v>
      </c>
      <c r="D80" s="263">
        <f t="shared" si="2"/>
        <v>0</v>
      </c>
      <c r="E80" s="264">
        <f>'Pay App 1'!D134</f>
        <v>0</v>
      </c>
      <c r="F80" s="263" t="str">
        <f>IFERROR(HLOOKUP(F$7,'PCO Log'!$E$11:$SJ$98,74,FALSE),"")</f>
        <v/>
      </c>
      <c r="G80" s="263" t="str">
        <f>IFERROR(HLOOKUP(G$7,'PCO Log'!$E$11:$SJ$98,74,FALSE),"")</f>
        <v/>
      </c>
      <c r="H80" s="263" t="str">
        <f>IFERROR(HLOOKUP(H$7,'PCO Log'!$E$11:$SJ$98,74,FALSE),"")</f>
        <v/>
      </c>
      <c r="I80" s="263" t="str">
        <f>IFERROR(HLOOKUP(I$7,'PCO Log'!$E$11:$SJ$98,74,FALSE),"")</f>
        <v/>
      </c>
      <c r="J80" s="263" t="str">
        <f>IFERROR(HLOOKUP(J$7,'PCO Log'!$E$11:$SJ$98,74,FALSE),"")</f>
        <v/>
      </c>
      <c r="K80" s="263" t="str">
        <f>IFERROR(HLOOKUP(K$7,'PCO Log'!$E$11:$SJ$98,74,FALSE),"")</f>
        <v/>
      </c>
      <c r="L80" s="263" t="str">
        <f>IFERROR(HLOOKUP(L$7,'PCO Log'!$E$11:$SJ$98,74,FALSE),"")</f>
        <v/>
      </c>
      <c r="M80" s="263" t="str">
        <f>IFERROR(HLOOKUP(M$7,'PCO Log'!$E$11:$SJ$98,74,FALSE),"")</f>
        <v/>
      </c>
      <c r="N80" s="263" t="str">
        <f>IFERROR(HLOOKUP(N$7,'PCO Log'!$E$11:$SJ$98,74,FALSE),"")</f>
        <v/>
      </c>
      <c r="O80" s="263" t="str">
        <f>IFERROR(HLOOKUP(O$7,'PCO Log'!$E$11:$SJ$98,74,FALSE),"")</f>
        <v/>
      </c>
      <c r="P80" s="263" t="str">
        <f>IFERROR(HLOOKUP(P$7,'PCO Log'!$E$11:$SJ$98,74,FALSE),"")</f>
        <v/>
      </c>
      <c r="Q80" s="263" t="str">
        <f>IFERROR(HLOOKUP(Q$7,'PCO Log'!$E$11:$SJ$98,74,FALSE),"")</f>
        <v/>
      </c>
      <c r="R80" s="263" t="str">
        <f>IFERROR(HLOOKUP(R$7,'PCO Log'!$E$11:$SJ$98,74,FALSE),"")</f>
        <v/>
      </c>
      <c r="S80" s="263" t="str">
        <f>IFERROR(HLOOKUP(S$7,'PCO Log'!$E$11:$SJ$98,74,FALSE),"")</f>
        <v/>
      </c>
      <c r="T80" s="263" t="str">
        <f>IFERROR(HLOOKUP(T$7,'PCO Log'!$E$11:$SJ$98,74,FALSE),"")</f>
        <v/>
      </c>
      <c r="U80" s="263" t="str">
        <f>IFERROR(HLOOKUP(U$7,'PCO Log'!$E$11:$SJ$98,74,FALSE),"")</f>
        <v/>
      </c>
      <c r="V80" s="263" t="str">
        <f>IFERROR(HLOOKUP(V$7,'PCO Log'!$E$11:$SJ$98,74,FALSE),"")</f>
        <v/>
      </c>
      <c r="W80" s="263" t="str">
        <f>IFERROR(HLOOKUP(W$7,'PCO Log'!$E$11:$SJ$98,74,FALSE),"")</f>
        <v/>
      </c>
      <c r="X80" s="263" t="str">
        <f>IFERROR(HLOOKUP(X$7,'PCO Log'!$E$11:$SJ$98,74,FALSE),"")</f>
        <v/>
      </c>
      <c r="Y80" s="263" t="str">
        <f>IFERROR(HLOOKUP(Y$7,'PCO Log'!$E$11:$SJ$98,74,FALSE),"")</f>
        <v/>
      </c>
      <c r="Z80" s="263" t="str">
        <f>IFERROR(HLOOKUP(Z$7,'PCO Log'!$E$11:$SJ$98,74,FALSE),"")</f>
        <v/>
      </c>
      <c r="AA80" s="263" t="str">
        <f>IFERROR(HLOOKUP(AA$7,'PCO Log'!$E$11:$SJ$98,74,FALSE),"")</f>
        <v/>
      </c>
      <c r="AB80" s="263" t="str">
        <f>IFERROR(HLOOKUP(AB$7,'PCO Log'!$E$11:$SJ$98,74,FALSE),"")</f>
        <v/>
      </c>
      <c r="AC80" s="263" t="str">
        <f>IFERROR(HLOOKUP(AC$7,'PCO Log'!$E$11:$SJ$98,74,FALSE),"")</f>
        <v/>
      </c>
      <c r="AD80" s="263" t="str">
        <f>IFERROR(HLOOKUP(AD$7,'PCO Log'!$E$11:$SJ$98,74,FALSE),"")</f>
        <v/>
      </c>
      <c r="AE80" s="263" t="str">
        <f>IFERROR(HLOOKUP(AE$7,'PCO Log'!$E$11:$SJ$98,74,FALSE),"")</f>
        <v/>
      </c>
      <c r="AF80" s="263" t="str">
        <f>IFERROR(HLOOKUP(AF$7,'PCO Log'!$E$11:$SJ$98,74,FALSE),"")</f>
        <v/>
      </c>
      <c r="AG80" s="263" t="str">
        <f>IFERROR(HLOOKUP(AG$7,'PCO Log'!$E$11:$SJ$98,74,FALSE),"")</f>
        <v/>
      </c>
      <c r="AH80" s="263" t="str">
        <f>IFERROR(HLOOKUP(AH$7,'PCO Log'!$E$11:$SJ$98,74,FALSE),"")</f>
        <v/>
      </c>
      <c r="AI80" s="263" t="str">
        <f>IFERROR(HLOOKUP(AI$7,'PCO Log'!$E$11:$SJ$98,74,FALSE),"")</f>
        <v/>
      </c>
      <c r="AJ80" s="263" t="str">
        <f>IFERROR(HLOOKUP(AJ$7,'PCO Log'!$E$11:$SJ$98,74,FALSE),"")</f>
        <v/>
      </c>
      <c r="AK80" s="263" t="str">
        <f>IFERROR(HLOOKUP(AK$7,'PCO Log'!$E$11:$SJ$98,74,FALSE),"")</f>
        <v/>
      </c>
      <c r="AL80" s="263" t="str">
        <f>IFERROR(HLOOKUP(AL$7,'PCO Log'!$E$11:$SJ$98,74,FALSE),"")</f>
        <v/>
      </c>
      <c r="AM80" s="263" t="str">
        <f>IFERROR(HLOOKUP(AM$7,'PCO Log'!$E$11:$SJ$98,74,FALSE),"")</f>
        <v/>
      </c>
      <c r="AN80" s="263" t="str">
        <f>IFERROR(HLOOKUP(AN$7,'PCO Log'!$E$11:$SJ$98,74,FALSE),"")</f>
        <v/>
      </c>
      <c r="AO80" s="263" t="str">
        <f>IFERROR(HLOOKUP(AO$7,'PCO Log'!$E$11:$SJ$98,74,FALSE),"")</f>
        <v/>
      </c>
      <c r="AP80" s="263" t="str">
        <f>IFERROR(HLOOKUP(AP$7,'PCO Log'!$E$11:$SJ$98,74,FALSE),"")</f>
        <v/>
      </c>
      <c r="AQ80" s="263" t="str">
        <f>IFERROR(HLOOKUP(AQ$7,'PCO Log'!$E$11:$SJ$98,74,FALSE),"")</f>
        <v/>
      </c>
      <c r="AR80" s="263" t="str">
        <f>IFERROR(HLOOKUP(AR$7,'PCO Log'!$E$11:$SJ$98,74,FALSE),"")</f>
        <v/>
      </c>
      <c r="AS80" s="263" t="str">
        <f>IFERROR(HLOOKUP(AS$7,'PCO Log'!$E$11:$SJ$98,74,FALSE),"")</f>
        <v/>
      </c>
      <c r="AT80" s="263" t="str">
        <f>IFERROR(HLOOKUP(AT$7,'PCO Log'!$E$11:$SJ$98,74,FALSE),"")</f>
        <v/>
      </c>
      <c r="AU80" s="263" t="str">
        <f>IFERROR(HLOOKUP(AU$7,'PCO Log'!$E$11:$SJ$98,74,FALSE),"")</f>
        <v/>
      </c>
      <c r="AV80" s="263" t="str">
        <f>IFERROR(HLOOKUP(AV$7,'PCO Log'!$E$11:$SJ$98,74,FALSE),"")</f>
        <v/>
      </c>
      <c r="AW80" s="263" t="str">
        <f>IFERROR(HLOOKUP(AW$7,'PCO Log'!$E$11:$SJ$98,74,FALSE),"")</f>
        <v/>
      </c>
      <c r="AX80" s="263" t="str">
        <f>IFERROR(HLOOKUP(AX$7,'PCO Log'!$E$11:$SJ$98,74,FALSE),"")</f>
        <v/>
      </c>
      <c r="AY80" s="263" t="str">
        <f>IFERROR(HLOOKUP(AY$7,'PCO Log'!$E$11:$SJ$98,74,FALSE),"")</f>
        <v/>
      </c>
      <c r="AZ80" s="263" t="str">
        <f>IFERROR(HLOOKUP(AZ$7,'PCO Log'!$E$11:$SJ$98,74,FALSE),"")</f>
        <v/>
      </c>
      <c r="BA80" s="263" t="str">
        <f>IFERROR(HLOOKUP(BA$7,'PCO Log'!$E$11:$SJ$98,74,FALSE),"")</f>
        <v/>
      </c>
      <c r="BB80" s="263" t="str">
        <f>IFERROR(HLOOKUP(BB$7,'PCO Log'!$E$11:$SJ$98,74,FALSE),"")</f>
        <v/>
      </c>
      <c r="BC80" s="263" t="str">
        <f>IFERROR(HLOOKUP(BC$7,'PCO Log'!$E$11:$SJ$98,74,FALSE),"")</f>
        <v/>
      </c>
    </row>
    <row r="81" spans="2:55" s="334" customFormat="1" x14ac:dyDescent="0.25">
      <c r="B81" s="46" t="str">
        <f>'Pay App 1'!B135</f>
        <v>29 00 00</v>
      </c>
      <c r="C81" s="47" t="str">
        <f>'Pay App 1'!C135</f>
        <v>Electrical (other)</v>
      </c>
      <c r="D81" s="263">
        <f t="shared" si="2"/>
        <v>0</v>
      </c>
      <c r="E81" s="264">
        <f>'Pay App 1'!D135</f>
        <v>0</v>
      </c>
      <c r="F81" s="263" t="str">
        <f>IFERROR(HLOOKUP(F$7,'PCO Log'!$E$11:$SJ$98,75,FALSE),"")</f>
        <v/>
      </c>
      <c r="G81" s="263" t="str">
        <f>IFERROR(HLOOKUP(G$7,'PCO Log'!$E$11:$SJ$98,75,FALSE),"")</f>
        <v/>
      </c>
      <c r="H81" s="263" t="str">
        <f>IFERROR(HLOOKUP(H$7,'PCO Log'!$E$11:$SJ$98,75,FALSE),"")</f>
        <v/>
      </c>
      <c r="I81" s="263" t="str">
        <f>IFERROR(HLOOKUP(I$7,'PCO Log'!$E$11:$SJ$98,75,FALSE),"")</f>
        <v/>
      </c>
      <c r="J81" s="263" t="str">
        <f>IFERROR(HLOOKUP(J$7,'PCO Log'!$E$11:$SJ$98,75,FALSE),"")</f>
        <v/>
      </c>
      <c r="K81" s="263" t="str">
        <f>IFERROR(HLOOKUP(K$7,'PCO Log'!$E$11:$SJ$98,75,FALSE),"")</f>
        <v/>
      </c>
      <c r="L81" s="263" t="str">
        <f>IFERROR(HLOOKUP(L$7,'PCO Log'!$E$11:$SJ$98,75,FALSE),"")</f>
        <v/>
      </c>
      <c r="M81" s="263" t="str">
        <f>IFERROR(HLOOKUP(M$7,'PCO Log'!$E$11:$SJ$98,75,FALSE),"")</f>
        <v/>
      </c>
      <c r="N81" s="263" t="str">
        <f>IFERROR(HLOOKUP(N$7,'PCO Log'!$E$11:$SJ$98,75,FALSE),"")</f>
        <v/>
      </c>
      <c r="O81" s="263" t="str">
        <f>IFERROR(HLOOKUP(O$7,'PCO Log'!$E$11:$SJ$98,75,FALSE),"")</f>
        <v/>
      </c>
      <c r="P81" s="263" t="str">
        <f>IFERROR(HLOOKUP(P$7,'PCO Log'!$E$11:$SJ$98,75,FALSE),"")</f>
        <v/>
      </c>
      <c r="Q81" s="263" t="str">
        <f>IFERROR(HLOOKUP(Q$7,'PCO Log'!$E$11:$SJ$98,75,FALSE),"")</f>
        <v/>
      </c>
      <c r="R81" s="263" t="str">
        <f>IFERROR(HLOOKUP(R$7,'PCO Log'!$E$11:$SJ$98,75,FALSE),"")</f>
        <v/>
      </c>
      <c r="S81" s="263" t="str">
        <f>IFERROR(HLOOKUP(S$7,'PCO Log'!$E$11:$SJ$98,75,FALSE),"")</f>
        <v/>
      </c>
      <c r="T81" s="263" t="str">
        <f>IFERROR(HLOOKUP(T$7,'PCO Log'!$E$11:$SJ$98,75,FALSE),"")</f>
        <v/>
      </c>
      <c r="U81" s="263" t="str">
        <f>IFERROR(HLOOKUP(U$7,'PCO Log'!$E$11:$SJ$98,75,FALSE),"")</f>
        <v/>
      </c>
      <c r="V81" s="263" t="str">
        <f>IFERROR(HLOOKUP(V$7,'PCO Log'!$E$11:$SJ$98,75,FALSE),"")</f>
        <v/>
      </c>
      <c r="W81" s="263" t="str">
        <f>IFERROR(HLOOKUP(W$7,'PCO Log'!$E$11:$SJ$98,75,FALSE),"")</f>
        <v/>
      </c>
      <c r="X81" s="263" t="str">
        <f>IFERROR(HLOOKUP(X$7,'PCO Log'!$E$11:$SJ$98,75,FALSE),"")</f>
        <v/>
      </c>
      <c r="Y81" s="263" t="str">
        <f>IFERROR(HLOOKUP(Y$7,'PCO Log'!$E$11:$SJ$98,75,FALSE),"")</f>
        <v/>
      </c>
      <c r="Z81" s="263" t="str">
        <f>IFERROR(HLOOKUP(Z$7,'PCO Log'!$E$11:$SJ$98,75,FALSE),"")</f>
        <v/>
      </c>
      <c r="AA81" s="263" t="str">
        <f>IFERROR(HLOOKUP(AA$7,'PCO Log'!$E$11:$SJ$98,75,FALSE),"")</f>
        <v/>
      </c>
      <c r="AB81" s="263" t="str">
        <f>IFERROR(HLOOKUP(AB$7,'PCO Log'!$E$11:$SJ$98,75,FALSE),"")</f>
        <v/>
      </c>
      <c r="AC81" s="263" t="str">
        <f>IFERROR(HLOOKUP(AC$7,'PCO Log'!$E$11:$SJ$98,75,FALSE),"")</f>
        <v/>
      </c>
      <c r="AD81" s="263" t="str">
        <f>IFERROR(HLOOKUP(AD$7,'PCO Log'!$E$11:$SJ$98,75,FALSE),"")</f>
        <v/>
      </c>
      <c r="AE81" s="263" t="str">
        <f>IFERROR(HLOOKUP(AE$7,'PCO Log'!$E$11:$SJ$98,75,FALSE),"")</f>
        <v/>
      </c>
      <c r="AF81" s="263" t="str">
        <f>IFERROR(HLOOKUP(AF$7,'PCO Log'!$E$11:$SJ$98,75,FALSE),"")</f>
        <v/>
      </c>
      <c r="AG81" s="263" t="str">
        <f>IFERROR(HLOOKUP(AG$7,'PCO Log'!$E$11:$SJ$98,75,FALSE),"")</f>
        <v/>
      </c>
      <c r="AH81" s="263" t="str">
        <f>IFERROR(HLOOKUP(AH$7,'PCO Log'!$E$11:$SJ$98,75,FALSE),"")</f>
        <v/>
      </c>
      <c r="AI81" s="263" t="str">
        <f>IFERROR(HLOOKUP(AI$7,'PCO Log'!$E$11:$SJ$98,75,FALSE),"")</f>
        <v/>
      </c>
      <c r="AJ81" s="263" t="str">
        <f>IFERROR(HLOOKUP(AJ$7,'PCO Log'!$E$11:$SJ$98,75,FALSE),"")</f>
        <v/>
      </c>
      <c r="AK81" s="263" t="str">
        <f>IFERROR(HLOOKUP(AK$7,'PCO Log'!$E$11:$SJ$98,75,FALSE),"")</f>
        <v/>
      </c>
      <c r="AL81" s="263" t="str">
        <f>IFERROR(HLOOKUP(AL$7,'PCO Log'!$E$11:$SJ$98,75,FALSE),"")</f>
        <v/>
      </c>
      <c r="AM81" s="263" t="str">
        <f>IFERROR(HLOOKUP(AM$7,'PCO Log'!$E$11:$SJ$98,75,FALSE),"")</f>
        <v/>
      </c>
      <c r="AN81" s="263" t="str">
        <f>IFERROR(HLOOKUP(AN$7,'PCO Log'!$E$11:$SJ$98,75,FALSE),"")</f>
        <v/>
      </c>
      <c r="AO81" s="263" t="str">
        <f>IFERROR(HLOOKUP(AO$7,'PCO Log'!$E$11:$SJ$98,75,FALSE),"")</f>
        <v/>
      </c>
      <c r="AP81" s="263" t="str">
        <f>IFERROR(HLOOKUP(AP$7,'PCO Log'!$E$11:$SJ$98,75,FALSE),"")</f>
        <v/>
      </c>
      <c r="AQ81" s="263" t="str">
        <f>IFERROR(HLOOKUP(AQ$7,'PCO Log'!$E$11:$SJ$98,75,FALSE),"")</f>
        <v/>
      </c>
      <c r="AR81" s="263" t="str">
        <f>IFERROR(HLOOKUP(AR$7,'PCO Log'!$E$11:$SJ$98,75,FALSE),"")</f>
        <v/>
      </c>
      <c r="AS81" s="263" t="str">
        <f>IFERROR(HLOOKUP(AS$7,'PCO Log'!$E$11:$SJ$98,75,FALSE),"")</f>
        <v/>
      </c>
      <c r="AT81" s="263" t="str">
        <f>IFERROR(HLOOKUP(AT$7,'PCO Log'!$E$11:$SJ$98,75,FALSE),"")</f>
        <v/>
      </c>
      <c r="AU81" s="263" t="str">
        <f>IFERROR(HLOOKUP(AU$7,'PCO Log'!$E$11:$SJ$98,75,FALSE),"")</f>
        <v/>
      </c>
      <c r="AV81" s="263" t="str">
        <f>IFERROR(HLOOKUP(AV$7,'PCO Log'!$E$11:$SJ$98,75,FALSE),"")</f>
        <v/>
      </c>
      <c r="AW81" s="263" t="str">
        <f>IFERROR(HLOOKUP(AW$7,'PCO Log'!$E$11:$SJ$98,75,FALSE),"")</f>
        <v/>
      </c>
      <c r="AX81" s="263" t="str">
        <f>IFERROR(HLOOKUP(AX$7,'PCO Log'!$E$11:$SJ$98,75,FALSE),"")</f>
        <v/>
      </c>
      <c r="AY81" s="263" t="str">
        <f>IFERROR(HLOOKUP(AY$7,'PCO Log'!$E$11:$SJ$98,75,FALSE),"")</f>
        <v/>
      </c>
      <c r="AZ81" s="263" t="str">
        <f>IFERROR(HLOOKUP(AZ$7,'PCO Log'!$E$11:$SJ$98,75,FALSE),"")</f>
        <v/>
      </c>
      <c r="BA81" s="263" t="str">
        <f>IFERROR(HLOOKUP(BA$7,'PCO Log'!$E$11:$SJ$98,75,FALSE),"")</f>
        <v/>
      </c>
      <c r="BB81" s="263" t="str">
        <f>IFERROR(HLOOKUP(BB$7,'PCO Log'!$E$11:$SJ$98,75,FALSE),"")</f>
        <v/>
      </c>
      <c r="BC81" s="263" t="str">
        <f>IFERROR(HLOOKUP(BC$7,'PCO Log'!$E$11:$SJ$98,75,FALSE),"")</f>
        <v/>
      </c>
    </row>
    <row r="82" spans="2:55" s="334" customFormat="1" x14ac:dyDescent="0.25">
      <c r="B82" s="40" t="str">
        <f>'Pay App 1'!B136</f>
        <v>31 00 00</v>
      </c>
      <c r="C82" s="41" t="str">
        <f>'Pay App 1'!C136</f>
        <v>Building &amp; Site Earthwork</v>
      </c>
      <c r="D82" s="263">
        <f t="shared" si="2"/>
        <v>0</v>
      </c>
      <c r="E82" s="264">
        <f>'Pay App 1'!D136</f>
        <v>0</v>
      </c>
      <c r="F82" s="263" t="str">
        <f>IFERROR(HLOOKUP(F$7,'PCO Log'!$E$11:$SJ$98,76,FALSE),"")</f>
        <v/>
      </c>
      <c r="G82" s="263" t="str">
        <f>IFERROR(HLOOKUP(G$7,'PCO Log'!$E$11:$SJ$98,76,FALSE),"")</f>
        <v/>
      </c>
      <c r="H82" s="263" t="str">
        <f>IFERROR(HLOOKUP(H$7,'PCO Log'!$E$11:$SJ$98,76,FALSE),"")</f>
        <v/>
      </c>
      <c r="I82" s="263" t="str">
        <f>IFERROR(HLOOKUP(I$7,'PCO Log'!$E$11:$SJ$98,76,FALSE),"")</f>
        <v/>
      </c>
      <c r="J82" s="263" t="str">
        <f>IFERROR(HLOOKUP(J$7,'PCO Log'!$E$11:$SJ$98,76,FALSE),"")</f>
        <v/>
      </c>
      <c r="K82" s="263" t="str">
        <f>IFERROR(HLOOKUP(K$7,'PCO Log'!$E$11:$SJ$98,76,FALSE),"")</f>
        <v/>
      </c>
      <c r="L82" s="263" t="str">
        <f>IFERROR(HLOOKUP(L$7,'PCO Log'!$E$11:$SJ$98,76,FALSE),"")</f>
        <v/>
      </c>
      <c r="M82" s="263" t="str">
        <f>IFERROR(HLOOKUP(M$7,'PCO Log'!$E$11:$SJ$98,76,FALSE),"")</f>
        <v/>
      </c>
      <c r="N82" s="263" t="str">
        <f>IFERROR(HLOOKUP(N$7,'PCO Log'!$E$11:$SJ$98,76,FALSE),"")</f>
        <v/>
      </c>
      <c r="O82" s="263" t="str">
        <f>IFERROR(HLOOKUP(O$7,'PCO Log'!$E$11:$SJ$98,76,FALSE),"")</f>
        <v/>
      </c>
      <c r="P82" s="263" t="str">
        <f>IFERROR(HLOOKUP(P$7,'PCO Log'!$E$11:$SJ$98,76,FALSE),"")</f>
        <v/>
      </c>
      <c r="Q82" s="263" t="str">
        <f>IFERROR(HLOOKUP(Q$7,'PCO Log'!$E$11:$SJ$98,76,FALSE),"")</f>
        <v/>
      </c>
      <c r="R82" s="263" t="str">
        <f>IFERROR(HLOOKUP(R$7,'PCO Log'!$E$11:$SJ$98,76,FALSE),"")</f>
        <v/>
      </c>
      <c r="S82" s="263" t="str">
        <f>IFERROR(HLOOKUP(S$7,'PCO Log'!$E$11:$SJ$98,76,FALSE),"")</f>
        <v/>
      </c>
      <c r="T82" s="263" t="str">
        <f>IFERROR(HLOOKUP(T$7,'PCO Log'!$E$11:$SJ$98,76,FALSE),"")</f>
        <v/>
      </c>
      <c r="U82" s="263" t="str">
        <f>IFERROR(HLOOKUP(U$7,'PCO Log'!$E$11:$SJ$98,76,FALSE),"")</f>
        <v/>
      </c>
      <c r="V82" s="263" t="str">
        <f>IFERROR(HLOOKUP(V$7,'PCO Log'!$E$11:$SJ$98,76,FALSE),"")</f>
        <v/>
      </c>
      <c r="W82" s="263" t="str">
        <f>IFERROR(HLOOKUP(W$7,'PCO Log'!$E$11:$SJ$98,76,FALSE),"")</f>
        <v/>
      </c>
      <c r="X82" s="263" t="str">
        <f>IFERROR(HLOOKUP(X$7,'PCO Log'!$E$11:$SJ$98,76,FALSE),"")</f>
        <v/>
      </c>
      <c r="Y82" s="263" t="str">
        <f>IFERROR(HLOOKUP(Y$7,'PCO Log'!$E$11:$SJ$98,76,FALSE),"")</f>
        <v/>
      </c>
      <c r="Z82" s="263" t="str">
        <f>IFERROR(HLOOKUP(Z$7,'PCO Log'!$E$11:$SJ$98,76,FALSE),"")</f>
        <v/>
      </c>
      <c r="AA82" s="263" t="str">
        <f>IFERROR(HLOOKUP(AA$7,'PCO Log'!$E$11:$SJ$98,76,FALSE),"")</f>
        <v/>
      </c>
      <c r="AB82" s="263" t="str">
        <f>IFERROR(HLOOKUP(AB$7,'PCO Log'!$E$11:$SJ$98,76,FALSE),"")</f>
        <v/>
      </c>
      <c r="AC82" s="263" t="str">
        <f>IFERROR(HLOOKUP(AC$7,'PCO Log'!$E$11:$SJ$98,76,FALSE),"")</f>
        <v/>
      </c>
      <c r="AD82" s="263" t="str">
        <f>IFERROR(HLOOKUP(AD$7,'PCO Log'!$E$11:$SJ$98,76,FALSE),"")</f>
        <v/>
      </c>
      <c r="AE82" s="263" t="str">
        <f>IFERROR(HLOOKUP(AE$7,'PCO Log'!$E$11:$SJ$98,76,FALSE),"")</f>
        <v/>
      </c>
      <c r="AF82" s="263" t="str">
        <f>IFERROR(HLOOKUP(AF$7,'PCO Log'!$E$11:$SJ$98,76,FALSE),"")</f>
        <v/>
      </c>
      <c r="AG82" s="263" t="str">
        <f>IFERROR(HLOOKUP(AG$7,'PCO Log'!$E$11:$SJ$98,76,FALSE),"")</f>
        <v/>
      </c>
      <c r="AH82" s="263" t="str">
        <f>IFERROR(HLOOKUP(AH$7,'PCO Log'!$E$11:$SJ$98,76,FALSE),"")</f>
        <v/>
      </c>
      <c r="AI82" s="263" t="str">
        <f>IFERROR(HLOOKUP(AI$7,'PCO Log'!$E$11:$SJ$98,76,FALSE),"")</f>
        <v/>
      </c>
      <c r="AJ82" s="263" t="str">
        <f>IFERROR(HLOOKUP(AJ$7,'PCO Log'!$E$11:$SJ$98,76,FALSE),"")</f>
        <v/>
      </c>
      <c r="AK82" s="263" t="str">
        <f>IFERROR(HLOOKUP(AK$7,'PCO Log'!$E$11:$SJ$98,76,FALSE),"")</f>
        <v/>
      </c>
      <c r="AL82" s="263" t="str">
        <f>IFERROR(HLOOKUP(AL$7,'PCO Log'!$E$11:$SJ$98,76,FALSE),"")</f>
        <v/>
      </c>
      <c r="AM82" s="263" t="str">
        <f>IFERROR(HLOOKUP(AM$7,'PCO Log'!$E$11:$SJ$98,76,FALSE),"")</f>
        <v/>
      </c>
      <c r="AN82" s="263" t="str">
        <f>IFERROR(HLOOKUP(AN$7,'PCO Log'!$E$11:$SJ$98,76,FALSE),"")</f>
        <v/>
      </c>
      <c r="AO82" s="263" t="str">
        <f>IFERROR(HLOOKUP(AO$7,'PCO Log'!$E$11:$SJ$98,76,FALSE),"")</f>
        <v/>
      </c>
      <c r="AP82" s="263" t="str">
        <f>IFERROR(HLOOKUP(AP$7,'PCO Log'!$E$11:$SJ$98,76,FALSE),"")</f>
        <v/>
      </c>
      <c r="AQ82" s="263" t="str">
        <f>IFERROR(HLOOKUP(AQ$7,'PCO Log'!$E$11:$SJ$98,76,FALSE),"")</f>
        <v/>
      </c>
      <c r="AR82" s="263" t="str">
        <f>IFERROR(HLOOKUP(AR$7,'PCO Log'!$E$11:$SJ$98,76,FALSE),"")</f>
        <v/>
      </c>
      <c r="AS82" s="263" t="str">
        <f>IFERROR(HLOOKUP(AS$7,'PCO Log'!$E$11:$SJ$98,76,FALSE),"")</f>
        <v/>
      </c>
      <c r="AT82" s="263" t="str">
        <f>IFERROR(HLOOKUP(AT$7,'PCO Log'!$E$11:$SJ$98,76,FALSE),"")</f>
        <v/>
      </c>
      <c r="AU82" s="263" t="str">
        <f>IFERROR(HLOOKUP(AU$7,'PCO Log'!$E$11:$SJ$98,76,FALSE),"")</f>
        <v/>
      </c>
      <c r="AV82" s="263" t="str">
        <f>IFERROR(HLOOKUP(AV$7,'PCO Log'!$E$11:$SJ$98,76,FALSE),"")</f>
        <v/>
      </c>
      <c r="AW82" s="263" t="str">
        <f>IFERROR(HLOOKUP(AW$7,'PCO Log'!$E$11:$SJ$98,76,FALSE),"")</f>
        <v/>
      </c>
      <c r="AX82" s="263" t="str">
        <f>IFERROR(HLOOKUP(AX$7,'PCO Log'!$E$11:$SJ$98,76,FALSE),"")</f>
        <v/>
      </c>
      <c r="AY82" s="263" t="str">
        <f>IFERROR(HLOOKUP(AY$7,'PCO Log'!$E$11:$SJ$98,76,FALSE),"")</f>
        <v/>
      </c>
      <c r="AZ82" s="263" t="str">
        <f>IFERROR(HLOOKUP(AZ$7,'PCO Log'!$E$11:$SJ$98,76,FALSE),"")</f>
        <v/>
      </c>
      <c r="BA82" s="263" t="str">
        <f>IFERROR(HLOOKUP(BA$7,'PCO Log'!$E$11:$SJ$98,76,FALSE),"")</f>
        <v/>
      </c>
      <c r="BB82" s="263" t="str">
        <f>IFERROR(HLOOKUP(BB$7,'PCO Log'!$E$11:$SJ$98,76,FALSE),"")</f>
        <v/>
      </c>
      <c r="BC82" s="263" t="str">
        <f>IFERROR(HLOOKUP(BC$7,'PCO Log'!$E$11:$SJ$98,76,FALSE),"")</f>
        <v/>
      </c>
    </row>
    <row r="83" spans="2:55" s="334" customFormat="1" x14ac:dyDescent="0.25">
      <c r="B83" s="40" t="str">
        <f>'Pay App 1'!B137</f>
        <v>31 40 00</v>
      </c>
      <c r="C83" s="41" t="str">
        <f>'Pay App 1'!C137</f>
        <v>Shoring/Pilings/Piers/Caissons</v>
      </c>
      <c r="D83" s="263">
        <f t="shared" si="2"/>
        <v>0</v>
      </c>
      <c r="E83" s="264">
        <f>'Pay App 1'!D137</f>
        <v>0</v>
      </c>
      <c r="F83" s="263" t="str">
        <f>IFERROR(HLOOKUP(F$7,'PCO Log'!$E$11:$SJ$98,77,FALSE),"")</f>
        <v/>
      </c>
      <c r="G83" s="263" t="str">
        <f>IFERROR(HLOOKUP(G$7,'PCO Log'!$E$11:$SJ$98,77,FALSE),"")</f>
        <v/>
      </c>
      <c r="H83" s="263" t="str">
        <f>IFERROR(HLOOKUP(H$7,'PCO Log'!$E$11:$SJ$98,77,FALSE),"")</f>
        <v/>
      </c>
      <c r="I83" s="263" t="str">
        <f>IFERROR(HLOOKUP(I$7,'PCO Log'!$E$11:$SJ$98,77,FALSE),"")</f>
        <v/>
      </c>
      <c r="J83" s="263" t="str">
        <f>IFERROR(HLOOKUP(J$7,'PCO Log'!$E$11:$SJ$98,77,FALSE),"")</f>
        <v/>
      </c>
      <c r="K83" s="263" t="str">
        <f>IFERROR(HLOOKUP(K$7,'PCO Log'!$E$11:$SJ$98,77,FALSE),"")</f>
        <v/>
      </c>
      <c r="L83" s="263" t="str">
        <f>IFERROR(HLOOKUP(L$7,'PCO Log'!$E$11:$SJ$98,77,FALSE),"")</f>
        <v/>
      </c>
      <c r="M83" s="263" t="str">
        <f>IFERROR(HLOOKUP(M$7,'PCO Log'!$E$11:$SJ$98,77,FALSE),"")</f>
        <v/>
      </c>
      <c r="N83" s="263" t="str">
        <f>IFERROR(HLOOKUP(N$7,'PCO Log'!$E$11:$SJ$98,77,FALSE),"")</f>
        <v/>
      </c>
      <c r="O83" s="263" t="str">
        <f>IFERROR(HLOOKUP(O$7,'PCO Log'!$E$11:$SJ$98,77,FALSE),"")</f>
        <v/>
      </c>
      <c r="P83" s="263" t="str">
        <f>IFERROR(HLOOKUP(P$7,'PCO Log'!$E$11:$SJ$98,77,FALSE),"")</f>
        <v/>
      </c>
      <c r="Q83" s="263" t="str">
        <f>IFERROR(HLOOKUP(Q$7,'PCO Log'!$E$11:$SJ$98,77,FALSE),"")</f>
        <v/>
      </c>
      <c r="R83" s="263" t="str">
        <f>IFERROR(HLOOKUP(R$7,'PCO Log'!$E$11:$SJ$98,77,FALSE),"")</f>
        <v/>
      </c>
      <c r="S83" s="263" t="str">
        <f>IFERROR(HLOOKUP(S$7,'PCO Log'!$E$11:$SJ$98,77,FALSE),"")</f>
        <v/>
      </c>
      <c r="T83" s="263" t="str">
        <f>IFERROR(HLOOKUP(T$7,'PCO Log'!$E$11:$SJ$98,77,FALSE),"")</f>
        <v/>
      </c>
      <c r="U83" s="263" t="str">
        <f>IFERROR(HLOOKUP(U$7,'PCO Log'!$E$11:$SJ$98,77,FALSE),"")</f>
        <v/>
      </c>
      <c r="V83" s="263" t="str">
        <f>IFERROR(HLOOKUP(V$7,'PCO Log'!$E$11:$SJ$98,77,FALSE),"")</f>
        <v/>
      </c>
      <c r="W83" s="263" t="str">
        <f>IFERROR(HLOOKUP(W$7,'PCO Log'!$E$11:$SJ$98,77,FALSE),"")</f>
        <v/>
      </c>
      <c r="X83" s="263" t="str">
        <f>IFERROR(HLOOKUP(X$7,'PCO Log'!$E$11:$SJ$98,77,FALSE),"")</f>
        <v/>
      </c>
      <c r="Y83" s="263" t="str">
        <f>IFERROR(HLOOKUP(Y$7,'PCO Log'!$E$11:$SJ$98,77,FALSE),"")</f>
        <v/>
      </c>
      <c r="Z83" s="263" t="str">
        <f>IFERROR(HLOOKUP(Z$7,'PCO Log'!$E$11:$SJ$98,77,FALSE),"")</f>
        <v/>
      </c>
      <c r="AA83" s="263" t="str">
        <f>IFERROR(HLOOKUP(AA$7,'PCO Log'!$E$11:$SJ$98,77,FALSE),"")</f>
        <v/>
      </c>
      <c r="AB83" s="263" t="str">
        <f>IFERROR(HLOOKUP(AB$7,'PCO Log'!$E$11:$SJ$98,77,FALSE),"")</f>
        <v/>
      </c>
      <c r="AC83" s="263" t="str">
        <f>IFERROR(HLOOKUP(AC$7,'PCO Log'!$E$11:$SJ$98,77,FALSE),"")</f>
        <v/>
      </c>
      <c r="AD83" s="263" t="str">
        <f>IFERROR(HLOOKUP(AD$7,'PCO Log'!$E$11:$SJ$98,77,FALSE),"")</f>
        <v/>
      </c>
      <c r="AE83" s="263" t="str">
        <f>IFERROR(HLOOKUP(AE$7,'PCO Log'!$E$11:$SJ$98,77,FALSE),"")</f>
        <v/>
      </c>
      <c r="AF83" s="263" t="str">
        <f>IFERROR(HLOOKUP(AF$7,'PCO Log'!$E$11:$SJ$98,77,FALSE),"")</f>
        <v/>
      </c>
      <c r="AG83" s="263" t="str">
        <f>IFERROR(HLOOKUP(AG$7,'PCO Log'!$E$11:$SJ$98,77,FALSE),"")</f>
        <v/>
      </c>
      <c r="AH83" s="263" t="str">
        <f>IFERROR(HLOOKUP(AH$7,'PCO Log'!$E$11:$SJ$98,77,FALSE),"")</f>
        <v/>
      </c>
      <c r="AI83" s="263" t="str">
        <f>IFERROR(HLOOKUP(AI$7,'PCO Log'!$E$11:$SJ$98,77,FALSE),"")</f>
        <v/>
      </c>
      <c r="AJ83" s="263" t="str">
        <f>IFERROR(HLOOKUP(AJ$7,'PCO Log'!$E$11:$SJ$98,77,FALSE),"")</f>
        <v/>
      </c>
      <c r="AK83" s="263" t="str">
        <f>IFERROR(HLOOKUP(AK$7,'PCO Log'!$E$11:$SJ$98,77,FALSE),"")</f>
        <v/>
      </c>
      <c r="AL83" s="263" t="str">
        <f>IFERROR(HLOOKUP(AL$7,'PCO Log'!$E$11:$SJ$98,77,FALSE),"")</f>
        <v/>
      </c>
      <c r="AM83" s="263" t="str">
        <f>IFERROR(HLOOKUP(AM$7,'PCO Log'!$E$11:$SJ$98,77,FALSE),"")</f>
        <v/>
      </c>
      <c r="AN83" s="263" t="str">
        <f>IFERROR(HLOOKUP(AN$7,'PCO Log'!$E$11:$SJ$98,77,FALSE),"")</f>
        <v/>
      </c>
      <c r="AO83" s="263" t="str">
        <f>IFERROR(HLOOKUP(AO$7,'PCO Log'!$E$11:$SJ$98,77,FALSE),"")</f>
        <v/>
      </c>
      <c r="AP83" s="263" t="str">
        <f>IFERROR(HLOOKUP(AP$7,'PCO Log'!$E$11:$SJ$98,77,FALSE),"")</f>
        <v/>
      </c>
      <c r="AQ83" s="263" t="str">
        <f>IFERROR(HLOOKUP(AQ$7,'PCO Log'!$E$11:$SJ$98,77,FALSE),"")</f>
        <v/>
      </c>
      <c r="AR83" s="263" t="str">
        <f>IFERROR(HLOOKUP(AR$7,'PCO Log'!$E$11:$SJ$98,77,FALSE),"")</f>
        <v/>
      </c>
      <c r="AS83" s="263" t="str">
        <f>IFERROR(HLOOKUP(AS$7,'PCO Log'!$E$11:$SJ$98,77,FALSE),"")</f>
        <v/>
      </c>
      <c r="AT83" s="263" t="str">
        <f>IFERROR(HLOOKUP(AT$7,'PCO Log'!$E$11:$SJ$98,77,FALSE),"")</f>
        <v/>
      </c>
      <c r="AU83" s="263" t="str">
        <f>IFERROR(HLOOKUP(AU$7,'PCO Log'!$E$11:$SJ$98,77,FALSE),"")</f>
        <v/>
      </c>
      <c r="AV83" s="263" t="str">
        <f>IFERROR(HLOOKUP(AV$7,'PCO Log'!$E$11:$SJ$98,77,FALSE),"")</f>
        <v/>
      </c>
      <c r="AW83" s="263" t="str">
        <f>IFERROR(HLOOKUP(AW$7,'PCO Log'!$E$11:$SJ$98,77,FALSE),"")</f>
        <v/>
      </c>
      <c r="AX83" s="263" t="str">
        <f>IFERROR(HLOOKUP(AX$7,'PCO Log'!$E$11:$SJ$98,77,FALSE),"")</f>
        <v/>
      </c>
      <c r="AY83" s="263" t="str">
        <f>IFERROR(HLOOKUP(AY$7,'PCO Log'!$E$11:$SJ$98,77,FALSE),"")</f>
        <v/>
      </c>
      <c r="AZ83" s="263" t="str">
        <f>IFERROR(HLOOKUP(AZ$7,'PCO Log'!$E$11:$SJ$98,77,FALSE),"")</f>
        <v/>
      </c>
      <c r="BA83" s="263" t="str">
        <f>IFERROR(HLOOKUP(BA$7,'PCO Log'!$E$11:$SJ$98,77,FALSE),"")</f>
        <v/>
      </c>
      <c r="BB83" s="263" t="str">
        <f>IFERROR(HLOOKUP(BB$7,'PCO Log'!$E$11:$SJ$98,77,FALSE),"")</f>
        <v/>
      </c>
      <c r="BC83" s="263" t="str">
        <f>IFERROR(HLOOKUP(BC$7,'PCO Log'!$E$11:$SJ$98,77,FALSE),"")</f>
        <v/>
      </c>
    </row>
    <row r="84" spans="2:55" s="334" customFormat="1" x14ac:dyDescent="0.25">
      <c r="B84" s="40" t="str">
        <f>'Pay App 1'!B138</f>
        <v>31 50 00</v>
      </c>
      <c r="C84" s="41" t="str">
        <f>'Pay App 1'!C138</f>
        <v>Excavation Support &amp; Protection</v>
      </c>
      <c r="D84" s="263">
        <f t="shared" si="2"/>
        <v>0</v>
      </c>
      <c r="E84" s="264">
        <f>'Pay App 1'!D138</f>
        <v>0</v>
      </c>
      <c r="F84" s="263" t="str">
        <f>IFERROR(HLOOKUP(F$7,'PCO Log'!$E$11:$SJ$98,78,FALSE),"")</f>
        <v/>
      </c>
      <c r="G84" s="263" t="str">
        <f>IFERROR(HLOOKUP(G$7,'PCO Log'!$E$11:$SJ$98,78,FALSE),"")</f>
        <v/>
      </c>
      <c r="H84" s="263" t="str">
        <f>IFERROR(HLOOKUP(H$7,'PCO Log'!$E$11:$SJ$98,78,FALSE),"")</f>
        <v/>
      </c>
      <c r="I84" s="263" t="str">
        <f>IFERROR(HLOOKUP(I$7,'PCO Log'!$E$11:$SJ$98,78,FALSE),"")</f>
        <v/>
      </c>
      <c r="J84" s="263" t="str">
        <f>IFERROR(HLOOKUP(J$7,'PCO Log'!$E$11:$SJ$98,78,FALSE),"")</f>
        <v/>
      </c>
      <c r="K84" s="263" t="str">
        <f>IFERROR(HLOOKUP(K$7,'PCO Log'!$E$11:$SJ$98,78,FALSE),"")</f>
        <v/>
      </c>
      <c r="L84" s="263" t="str">
        <f>IFERROR(HLOOKUP(L$7,'PCO Log'!$E$11:$SJ$98,78,FALSE),"")</f>
        <v/>
      </c>
      <c r="M84" s="263" t="str">
        <f>IFERROR(HLOOKUP(M$7,'PCO Log'!$E$11:$SJ$98,78,FALSE),"")</f>
        <v/>
      </c>
      <c r="N84" s="263" t="str">
        <f>IFERROR(HLOOKUP(N$7,'PCO Log'!$E$11:$SJ$98,78,FALSE),"")</f>
        <v/>
      </c>
      <c r="O84" s="263" t="str">
        <f>IFERROR(HLOOKUP(O$7,'PCO Log'!$E$11:$SJ$98,78,FALSE),"")</f>
        <v/>
      </c>
      <c r="P84" s="263" t="str">
        <f>IFERROR(HLOOKUP(P$7,'PCO Log'!$E$11:$SJ$98,78,FALSE),"")</f>
        <v/>
      </c>
      <c r="Q84" s="263" t="str">
        <f>IFERROR(HLOOKUP(Q$7,'PCO Log'!$E$11:$SJ$98,78,FALSE),"")</f>
        <v/>
      </c>
      <c r="R84" s="263" t="str">
        <f>IFERROR(HLOOKUP(R$7,'PCO Log'!$E$11:$SJ$98,78,FALSE),"")</f>
        <v/>
      </c>
      <c r="S84" s="263" t="str">
        <f>IFERROR(HLOOKUP(S$7,'PCO Log'!$E$11:$SJ$98,78,FALSE),"")</f>
        <v/>
      </c>
      <c r="T84" s="263" t="str">
        <f>IFERROR(HLOOKUP(T$7,'PCO Log'!$E$11:$SJ$98,78,FALSE),"")</f>
        <v/>
      </c>
      <c r="U84" s="263" t="str">
        <f>IFERROR(HLOOKUP(U$7,'PCO Log'!$E$11:$SJ$98,78,FALSE),"")</f>
        <v/>
      </c>
      <c r="V84" s="263" t="str">
        <f>IFERROR(HLOOKUP(V$7,'PCO Log'!$E$11:$SJ$98,78,FALSE),"")</f>
        <v/>
      </c>
      <c r="W84" s="263" t="str">
        <f>IFERROR(HLOOKUP(W$7,'PCO Log'!$E$11:$SJ$98,78,FALSE),"")</f>
        <v/>
      </c>
      <c r="X84" s="263" t="str">
        <f>IFERROR(HLOOKUP(X$7,'PCO Log'!$E$11:$SJ$98,78,FALSE),"")</f>
        <v/>
      </c>
      <c r="Y84" s="263" t="str">
        <f>IFERROR(HLOOKUP(Y$7,'PCO Log'!$E$11:$SJ$98,78,FALSE),"")</f>
        <v/>
      </c>
      <c r="Z84" s="263" t="str">
        <f>IFERROR(HLOOKUP(Z$7,'PCO Log'!$E$11:$SJ$98,78,FALSE),"")</f>
        <v/>
      </c>
      <c r="AA84" s="263" t="str">
        <f>IFERROR(HLOOKUP(AA$7,'PCO Log'!$E$11:$SJ$98,78,FALSE),"")</f>
        <v/>
      </c>
      <c r="AB84" s="263" t="str">
        <f>IFERROR(HLOOKUP(AB$7,'PCO Log'!$E$11:$SJ$98,78,FALSE),"")</f>
        <v/>
      </c>
      <c r="AC84" s="263" t="str">
        <f>IFERROR(HLOOKUP(AC$7,'PCO Log'!$E$11:$SJ$98,78,FALSE),"")</f>
        <v/>
      </c>
      <c r="AD84" s="263" t="str">
        <f>IFERROR(HLOOKUP(AD$7,'PCO Log'!$E$11:$SJ$98,78,FALSE),"")</f>
        <v/>
      </c>
      <c r="AE84" s="263" t="str">
        <f>IFERROR(HLOOKUP(AE$7,'PCO Log'!$E$11:$SJ$98,78,FALSE),"")</f>
        <v/>
      </c>
      <c r="AF84" s="263" t="str">
        <f>IFERROR(HLOOKUP(AF$7,'PCO Log'!$E$11:$SJ$98,78,FALSE),"")</f>
        <v/>
      </c>
      <c r="AG84" s="263" t="str">
        <f>IFERROR(HLOOKUP(AG$7,'PCO Log'!$E$11:$SJ$98,78,FALSE),"")</f>
        <v/>
      </c>
      <c r="AH84" s="263" t="str">
        <f>IFERROR(HLOOKUP(AH$7,'PCO Log'!$E$11:$SJ$98,78,FALSE),"")</f>
        <v/>
      </c>
      <c r="AI84" s="263" t="str">
        <f>IFERROR(HLOOKUP(AI$7,'PCO Log'!$E$11:$SJ$98,78,FALSE),"")</f>
        <v/>
      </c>
      <c r="AJ84" s="263" t="str">
        <f>IFERROR(HLOOKUP(AJ$7,'PCO Log'!$E$11:$SJ$98,78,FALSE),"")</f>
        <v/>
      </c>
      <c r="AK84" s="263" t="str">
        <f>IFERROR(HLOOKUP(AK$7,'PCO Log'!$E$11:$SJ$98,78,FALSE),"")</f>
        <v/>
      </c>
      <c r="AL84" s="263" t="str">
        <f>IFERROR(HLOOKUP(AL$7,'PCO Log'!$E$11:$SJ$98,78,FALSE),"")</f>
        <v/>
      </c>
      <c r="AM84" s="263" t="str">
        <f>IFERROR(HLOOKUP(AM$7,'PCO Log'!$E$11:$SJ$98,78,FALSE),"")</f>
        <v/>
      </c>
      <c r="AN84" s="263" t="str">
        <f>IFERROR(HLOOKUP(AN$7,'PCO Log'!$E$11:$SJ$98,78,FALSE),"")</f>
        <v/>
      </c>
      <c r="AO84" s="263" t="str">
        <f>IFERROR(HLOOKUP(AO$7,'PCO Log'!$E$11:$SJ$98,78,FALSE),"")</f>
        <v/>
      </c>
      <c r="AP84" s="263" t="str">
        <f>IFERROR(HLOOKUP(AP$7,'PCO Log'!$E$11:$SJ$98,78,FALSE),"")</f>
        <v/>
      </c>
      <c r="AQ84" s="263" t="str">
        <f>IFERROR(HLOOKUP(AQ$7,'PCO Log'!$E$11:$SJ$98,78,FALSE),"")</f>
        <v/>
      </c>
      <c r="AR84" s="263" t="str">
        <f>IFERROR(HLOOKUP(AR$7,'PCO Log'!$E$11:$SJ$98,78,FALSE),"")</f>
        <v/>
      </c>
      <c r="AS84" s="263" t="str">
        <f>IFERROR(HLOOKUP(AS$7,'PCO Log'!$E$11:$SJ$98,78,FALSE),"")</f>
        <v/>
      </c>
      <c r="AT84" s="263" t="str">
        <f>IFERROR(HLOOKUP(AT$7,'PCO Log'!$E$11:$SJ$98,78,FALSE),"")</f>
        <v/>
      </c>
      <c r="AU84" s="263" t="str">
        <f>IFERROR(HLOOKUP(AU$7,'PCO Log'!$E$11:$SJ$98,78,FALSE),"")</f>
        <v/>
      </c>
      <c r="AV84" s="263" t="str">
        <f>IFERROR(HLOOKUP(AV$7,'PCO Log'!$E$11:$SJ$98,78,FALSE),"")</f>
        <v/>
      </c>
      <c r="AW84" s="263" t="str">
        <f>IFERROR(HLOOKUP(AW$7,'PCO Log'!$E$11:$SJ$98,78,FALSE),"")</f>
        <v/>
      </c>
      <c r="AX84" s="263" t="str">
        <f>IFERROR(HLOOKUP(AX$7,'PCO Log'!$E$11:$SJ$98,78,FALSE),"")</f>
        <v/>
      </c>
      <c r="AY84" s="263" t="str">
        <f>IFERROR(HLOOKUP(AY$7,'PCO Log'!$E$11:$SJ$98,78,FALSE),"")</f>
        <v/>
      </c>
      <c r="AZ84" s="263" t="str">
        <f>IFERROR(HLOOKUP(AZ$7,'PCO Log'!$E$11:$SJ$98,78,FALSE),"")</f>
        <v/>
      </c>
      <c r="BA84" s="263" t="str">
        <f>IFERROR(HLOOKUP(BA$7,'PCO Log'!$E$11:$SJ$98,78,FALSE),"")</f>
        <v/>
      </c>
      <c r="BB84" s="263" t="str">
        <f>IFERROR(HLOOKUP(BB$7,'PCO Log'!$E$11:$SJ$98,78,FALSE),"")</f>
        <v/>
      </c>
      <c r="BC84" s="263" t="str">
        <f>IFERROR(HLOOKUP(BC$7,'PCO Log'!$E$11:$SJ$98,78,FALSE),"")</f>
        <v/>
      </c>
    </row>
    <row r="85" spans="2:55" s="334" customFormat="1" x14ac:dyDescent="0.25">
      <c r="B85" s="42" t="str">
        <f>'Pay App 1'!B139</f>
        <v>32 12 16</v>
      </c>
      <c r="C85" s="43" t="str">
        <f>'Pay App 1'!C139</f>
        <v>Asphalt Paving</v>
      </c>
      <c r="D85" s="263">
        <f t="shared" si="2"/>
        <v>0</v>
      </c>
      <c r="E85" s="264">
        <f>'Pay App 1'!D139</f>
        <v>0</v>
      </c>
      <c r="F85" s="263" t="str">
        <f>IFERROR(HLOOKUP(F$7,'PCO Log'!$E$11:$SJ$98,79,FALSE),"")</f>
        <v/>
      </c>
      <c r="G85" s="263" t="str">
        <f>IFERROR(HLOOKUP(G$7,'PCO Log'!$E$11:$SJ$98,79,FALSE),"")</f>
        <v/>
      </c>
      <c r="H85" s="263" t="str">
        <f>IFERROR(HLOOKUP(H$7,'PCO Log'!$E$11:$SJ$98,79,FALSE),"")</f>
        <v/>
      </c>
      <c r="I85" s="263" t="str">
        <f>IFERROR(HLOOKUP(I$7,'PCO Log'!$E$11:$SJ$98,79,FALSE),"")</f>
        <v/>
      </c>
      <c r="J85" s="263" t="str">
        <f>IFERROR(HLOOKUP(J$7,'PCO Log'!$E$11:$SJ$98,79,FALSE),"")</f>
        <v/>
      </c>
      <c r="K85" s="263" t="str">
        <f>IFERROR(HLOOKUP(K$7,'PCO Log'!$E$11:$SJ$98,79,FALSE),"")</f>
        <v/>
      </c>
      <c r="L85" s="263" t="str">
        <f>IFERROR(HLOOKUP(L$7,'PCO Log'!$E$11:$SJ$98,79,FALSE),"")</f>
        <v/>
      </c>
      <c r="M85" s="263" t="str">
        <f>IFERROR(HLOOKUP(M$7,'PCO Log'!$E$11:$SJ$98,79,FALSE),"")</f>
        <v/>
      </c>
      <c r="N85" s="263" t="str">
        <f>IFERROR(HLOOKUP(N$7,'PCO Log'!$E$11:$SJ$98,79,FALSE),"")</f>
        <v/>
      </c>
      <c r="O85" s="263" t="str">
        <f>IFERROR(HLOOKUP(O$7,'PCO Log'!$E$11:$SJ$98,79,FALSE),"")</f>
        <v/>
      </c>
      <c r="P85" s="263" t="str">
        <f>IFERROR(HLOOKUP(P$7,'PCO Log'!$E$11:$SJ$98,79,FALSE),"")</f>
        <v/>
      </c>
      <c r="Q85" s="263" t="str">
        <f>IFERROR(HLOOKUP(Q$7,'PCO Log'!$E$11:$SJ$98,79,FALSE),"")</f>
        <v/>
      </c>
      <c r="R85" s="263" t="str">
        <f>IFERROR(HLOOKUP(R$7,'PCO Log'!$E$11:$SJ$98,79,FALSE),"")</f>
        <v/>
      </c>
      <c r="S85" s="263" t="str">
        <f>IFERROR(HLOOKUP(S$7,'PCO Log'!$E$11:$SJ$98,79,FALSE),"")</f>
        <v/>
      </c>
      <c r="T85" s="263" t="str">
        <f>IFERROR(HLOOKUP(T$7,'PCO Log'!$E$11:$SJ$98,79,FALSE),"")</f>
        <v/>
      </c>
      <c r="U85" s="263" t="str">
        <f>IFERROR(HLOOKUP(U$7,'PCO Log'!$E$11:$SJ$98,79,FALSE),"")</f>
        <v/>
      </c>
      <c r="V85" s="263" t="str">
        <f>IFERROR(HLOOKUP(V$7,'PCO Log'!$E$11:$SJ$98,79,FALSE),"")</f>
        <v/>
      </c>
      <c r="W85" s="263" t="str">
        <f>IFERROR(HLOOKUP(W$7,'PCO Log'!$E$11:$SJ$98,79,FALSE),"")</f>
        <v/>
      </c>
      <c r="X85" s="263" t="str">
        <f>IFERROR(HLOOKUP(X$7,'PCO Log'!$E$11:$SJ$98,79,FALSE),"")</f>
        <v/>
      </c>
      <c r="Y85" s="263" t="str">
        <f>IFERROR(HLOOKUP(Y$7,'PCO Log'!$E$11:$SJ$98,79,FALSE),"")</f>
        <v/>
      </c>
      <c r="Z85" s="263" t="str">
        <f>IFERROR(HLOOKUP(Z$7,'PCO Log'!$E$11:$SJ$98,79,FALSE),"")</f>
        <v/>
      </c>
      <c r="AA85" s="263" t="str">
        <f>IFERROR(HLOOKUP(AA$7,'PCO Log'!$E$11:$SJ$98,79,FALSE),"")</f>
        <v/>
      </c>
      <c r="AB85" s="263" t="str">
        <f>IFERROR(HLOOKUP(AB$7,'PCO Log'!$E$11:$SJ$98,79,FALSE),"")</f>
        <v/>
      </c>
      <c r="AC85" s="263" t="str">
        <f>IFERROR(HLOOKUP(AC$7,'PCO Log'!$E$11:$SJ$98,79,FALSE),"")</f>
        <v/>
      </c>
      <c r="AD85" s="263" t="str">
        <f>IFERROR(HLOOKUP(AD$7,'PCO Log'!$E$11:$SJ$98,79,FALSE),"")</f>
        <v/>
      </c>
      <c r="AE85" s="263" t="str">
        <f>IFERROR(HLOOKUP(AE$7,'PCO Log'!$E$11:$SJ$98,79,FALSE),"")</f>
        <v/>
      </c>
      <c r="AF85" s="263" t="str">
        <f>IFERROR(HLOOKUP(AF$7,'PCO Log'!$E$11:$SJ$98,79,FALSE),"")</f>
        <v/>
      </c>
      <c r="AG85" s="263" t="str">
        <f>IFERROR(HLOOKUP(AG$7,'PCO Log'!$E$11:$SJ$98,79,FALSE),"")</f>
        <v/>
      </c>
      <c r="AH85" s="263" t="str">
        <f>IFERROR(HLOOKUP(AH$7,'PCO Log'!$E$11:$SJ$98,79,FALSE),"")</f>
        <v/>
      </c>
      <c r="AI85" s="263" t="str">
        <f>IFERROR(HLOOKUP(AI$7,'PCO Log'!$E$11:$SJ$98,79,FALSE),"")</f>
        <v/>
      </c>
      <c r="AJ85" s="263" t="str">
        <f>IFERROR(HLOOKUP(AJ$7,'PCO Log'!$E$11:$SJ$98,79,FALSE),"")</f>
        <v/>
      </c>
      <c r="AK85" s="263" t="str">
        <f>IFERROR(HLOOKUP(AK$7,'PCO Log'!$E$11:$SJ$98,79,FALSE),"")</f>
        <v/>
      </c>
      <c r="AL85" s="263" t="str">
        <f>IFERROR(HLOOKUP(AL$7,'PCO Log'!$E$11:$SJ$98,79,FALSE),"")</f>
        <v/>
      </c>
      <c r="AM85" s="263" t="str">
        <f>IFERROR(HLOOKUP(AM$7,'PCO Log'!$E$11:$SJ$98,79,FALSE),"")</f>
        <v/>
      </c>
      <c r="AN85" s="263" t="str">
        <f>IFERROR(HLOOKUP(AN$7,'PCO Log'!$E$11:$SJ$98,79,FALSE),"")</f>
        <v/>
      </c>
      <c r="AO85" s="263" t="str">
        <f>IFERROR(HLOOKUP(AO$7,'PCO Log'!$E$11:$SJ$98,79,FALSE),"")</f>
        <v/>
      </c>
      <c r="AP85" s="263" t="str">
        <f>IFERROR(HLOOKUP(AP$7,'PCO Log'!$E$11:$SJ$98,79,FALSE),"")</f>
        <v/>
      </c>
      <c r="AQ85" s="263" t="str">
        <f>IFERROR(HLOOKUP(AQ$7,'PCO Log'!$E$11:$SJ$98,79,FALSE),"")</f>
        <v/>
      </c>
      <c r="AR85" s="263" t="str">
        <f>IFERROR(HLOOKUP(AR$7,'PCO Log'!$E$11:$SJ$98,79,FALSE),"")</f>
        <v/>
      </c>
      <c r="AS85" s="263" t="str">
        <f>IFERROR(HLOOKUP(AS$7,'PCO Log'!$E$11:$SJ$98,79,FALSE),"")</f>
        <v/>
      </c>
      <c r="AT85" s="263" t="str">
        <f>IFERROR(HLOOKUP(AT$7,'PCO Log'!$E$11:$SJ$98,79,FALSE),"")</f>
        <v/>
      </c>
      <c r="AU85" s="263" t="str">
        <f>IFERROR(HLOOKUP(AU$7,'PCO Log'!$E$11:$SJ$98,79,FALSE),"")</f>
        <v/>
      </c>
      <c r="AV85" s="263" t="str">
        <f>IFERROR(HLOOKUP(AV$7,'PCO Log'!$E$11:$SJ$98,79,FALSE),"")</f>
        <v/>
      </c>
      <c r="AW85" s="263" t="str">
        <f>IFERROR(HLOOKUP(AW$7,'PCO Log'!$E$11:$SJ$98,79,FALSE),"")</f>
        <v/>
      </c>
      <c r="AX85" s="263" t="str">
        <f>IFERROR(HLOOKUP(AX$7,'PCO Log'!$E$11:$SJ$98,79,FALSE),"")</f>
        <v/>
      </c>
      <c r="AY85" s="263" t="str">
        <f>IFERROR(HLOOKUP(AY$7,'PCO Log'!$E$11:$SJ$98,79,FALSE),"")</f>
        <v/>
      </c>
      <c r="AZ85" s="263" t="str">
        <f>IFERROR(HLOOKUP(AZ$7,'PCO Log'!$E$11:$SJ$98,79,FALSE),"")</f>
        <v/>
      </c>
      <c r="BA85" s="263" t="str">
        <f>IFERROR(HLOOKUP(BA$7,'PCO Log'!$E$11:$SJ$98,79,FALSE),"")</f>
        <v/>
      </c>
      <c r="BB85" s="263" t="str">
        <f>IFERROR(HLOOKUP(BB$7,'PCO Log'!$E$11:$SJ$98,79,FALSE),"")</f>
        <v/>
      </c>
      <c r="BC85" s="263" t="str">
        <f>IFERROR(HLOOKUP(BC$7,'PCO Log'!$E$11:$SJ$98,79,FALSE),"")</f>
        <v/>
      </c>
    </row>
    <row r="86" spans="2:55" s="334" customFormat="1" x14ac:dyDescent="0.25">
      <c r="B86" s="42" t="str">
        <f>'Pay App 1'!B140</f>
        <v>32 16 00</v>
      </c>
      <c r="C86" s="43" t="str">
        <f>'Pay App 1'!C140</f>
        <v>Site Concrete</v>
      </c>
      <c r="D86" s="263">
        <f t="shared" si="2"/>
        <v>0</v>
      </c>
      <c r="E86" s="264">
        <f>'Pay App 1'!D140</f>
        <v>0</v>
      </c>
      <c r="F86" s="263" t="str">
        <f>IFERROR(HLOOKUP(F$7,'PCO Log'!$E$11:$SJ$98,80,FALSE),"")</f>
        <v/>
      </c>
      <c r="G86" s="263" t="str">
        <f>IFERROR(HLOOKUP(G$7,'PCO Log'!$E$11:$SJ$98,80,FALSE),"")</f>
        <v/>
      </c>
      <c r="H86" s="263" t="str">
        <f>IFERROR(HLOOKUP(H$7,'PCO Log'!$E$11:$SJ$98,80,FALSE),"")</f>
        <v/>
      </c>
      <c r="I86" s="263" t="str">
        <f>IFERROR(HLOOKUP(I$7,'PCO Log'!$E$11:$SJ$98,80,FALSE),"")</f>
        <v/>
      </c>
      <c r="J86" s="263" t="str">
        <f>IFERROR(HLOOKUP(J$7,'PCO Log'!$E$11:$SJ$98,80,FALSE),"")</f>
        <v/>
      </c>
      <c r="K86" s="263" t="str">
        <f>IFERROR(HLOOKUP(K$7,'PCO Log'!$E$11:$SJ$98,80,FALSE),"")</f>
        <v/>
      </c>
      <c r="L86" s="263" t="str">
        <f>IFERROR(HLOOKUP(L$7,'PCO Log'!$E$11:$SJ$98,80,FALSE),"")</f>
        <v/>
      </c>
      <c r="M86" s="263" t="str">
        <f>IFERROR(HLOOKUP(M$7,'PCO Log'!$E$11:$SJ$98,80,FALSE),"")</f>
        <v/>
      </c>
      <c r="N86" s="263" t="str">
        <f>IFERROR(HLOOKUP(N$7,'PCO Log'!$E$11:$SJ$98,80,FALSE),"")</f>
        <v/>
      </c>
      <c r="O86" s="263" t="str">
        <f>IFERROR(HLOOKUP(O$7,'PCO Log'!$E$11:$SJ$98,80,FALSE),"")</f>
        <v/>
      </c>
      <c r="P86" s="263" t="str">
        <f>IFERROR(HLOOKUP(P$7,'PCO Log'!$E$11:$SJ$98,80,FALSE),"")</f>
        <v/>
      </c>
      <c r="Q86" s="263" t="str">
        <f>IFERROR(HLOOKUP(Q$7,'PCO Log'!$E$11:$SJ$98,80,FALSE),"")</f>
        <v/>
      </c>
      <c r="R86" s="263" t="str">
        <f>IFERROR(HLOOKUP(R$7,'PCO Log'!$E$11:$SJ$98,80,FALSE),"")</f>
        <v/>
      </c>
      <c r="S86" s="263" t="str">
        <f>IFERROR(HLOOKUP(S$7,'PCO Log'!$E$11:$SJ$98,80,FALSE),"")</f>
        <v/>
      </c>
      <c r="T86" s="263" t="str">
        <f>IFERROR(HLOOKUP(T$7,'PCO Log'!$E$11:$SJ$98,80,FALSE),"")</f>
        <v/>
      </c>
      <c r="U86" s="263" t="str">
        <f>IFERROR(HLOOKUP(U$7,'PCO Log'!$E$11:$SJ$98,80,FALSE),"")</f>
        <v/>
      </c>
      <c r="V86" s="263" t="str">
        <f>IFERROR(HLOOKUP(V$7,'PCO Log'!$E$11:$SJ$98,80,FALSE),"")</f>
        <v/>
      </c>
      <c r="W86" s="263" t="str">
        <f>IFERROR(HLOOKUP(W$7,'PCO Log'!$E$11:$SJ$98,80,FALSE),"")</f>
        <v/>
      </c>
      <c r="X86" s="263" t="str">
        <f>IFERROR(HLOOKUP(X$7,'PCO Log'!$E$11:$SJ$98,80,FALSE),"")</f>
        <v/>
      </c>
      <c r="Y86" s="263" t="str">
        <f>IFERROR(HLOOKUP(Y$7,'PCO Log'!$E$11:$SJ$98,80,FALSE),"")</f>
        <v/>
      </c>
      <c r="Z86" s="263" t="str">
        <f>IFERROR(HLOOKUP(Z$7,'PCO Log'!$E$11:$SJ$98,80,FALSE),"")</f>
        <v/>
      </c>
      <c r="AA86" s="263" t="str">
        <f>IFERROR(HLOOKUP(AA$7,'PCO Log'!$E$11:$SJ$98,80,FALSE),"")</f>
        <v/>
      </c>
      <c r="AB86" s="263" t="str">
        <f>IFERROR(HLOOKUP(AB$7,'PCO Log'!$E$11:$SJ$98,80,FALSE),"")</f>
        <v/>
      </c>
      <c r="AC86" s="263" t="str">
        <f>IFERROR(HLOOKUP(AC$7,'PCO Log'!$E$11:$SJ$98,80,FALSE),"")</f>
        <v/>
      </c>
      <c r="AD86" s="263" t="str">
        <f>IFERROR(HLOOKUP(AD$7,'PCO Log'!$E$11:$SJ$98,80,FALSE),"")</f>
        <v/>
      </c>
      <c r="AE86" s="263" t="str">
        <f>IFERROR(HLOOKUP(AE$7,'PCO Log'!$E$11:$SJ$98,80,FALSE),"")</f>
        <v/>
      </c>
      <c r="AF86" s="263" t="str">
        <f>IFERROR(HLOOKUP(AF$7,'PCO Log'!$E$11:$SJ$98,80,FALSE),"")</f>
        <v/>
      </c>
      <c r="AG86" s="263" t="str">
        <f>IFERROR(HLOOKUP(AG$7,'PCO Log'!$E$11:$SJ$98,80,FALSE),"")</f>
        <v/>
      </c>
      <c r="AH86" s="263" t="str">
        <f>IFERROR(HLOOKUP(AH$7,'PCO Log'!$E$11:$SJ$98,80,FALSE),"")</f>
        <v/>
      </c>
      <c r="AI86" s="263" t="str">
        <f>IFERROR(HLOOKUP(AI$7,'PCO Log'!$E$11:$SJ$98,80,FALSE),"")</f>
        <v/>
      </c>
      <c r="AJ86" s="263" t="str">
        <f>IFERROR(HLOOKUP(AJ$7,'PCO Log'!$E$11:$SJ$98,80,FALSE),"")</f>
        <v/>
      </c>
      <c r="AK86" s="263" t="str">
        <f>IFERROR(HLOOKUP(AK$7,'PCO Log'!$E$11:$SJ$98,80,FALSE),"")</f>
        <v/>
      </c>
      <c r="AL86" s="263" t="str">
        <f>IFERROR(HLOOKUP(AL$7,'PCO Log'!$E$11:$SJ$98,80,FALSE),"")</f>
        <v/>
      </c>
      <c r="AM86" s="263" t="str">
        <f>IFERROR(HLOOKUP(AM$7,'PCO Log'!$E$11:$SJ$98,80,FALSE),"")</f>
        <v/>
      </c>
      <c r="AN86" s="263" t="str">
        <f>IFERROR(HLOOKUP(AN$7,'PCO Log'!$E$11:$SJ$98,80,FALSE),"")</f>
        <v/>
      </c>
      <c r="AO86" s="263" t="str">
        <f>IFERROR(HLOOKUP(AO$7,'PCO Log'!$E$11:$SJ$98,80,FALSE),"")</f>
        <v/>
      </c>
      <c r="AP86" s="263" t="str">
        <f>IFERROR(HLOOKUP(AP$7,'PCO Log'!$E$11:$SJ$98,80,FALSE),"")</f>
        <v/>
      </c>
      <c r="AQ86" s="263" t="str">
        <f>IFERROR(HLOOKUP(AQ$7,'PCO Log'!$E$11:$SJ$98,80,FALSE),"")</f>
        <v/>
      </c>
      <c r="AR86" s="263" t="str">
        <f>IFERROR(HLOOKUP(AR$7,'PCO Log'!$E$11:$SJ$98,80,FALSE),"")</f>
        <v/>
      </c>
      <c r="AS86" s="263" t="str">
        <f>IFERROR(HLOOKUP(AS$7,'PCO Log'!$E$11:$SJ$98,80,FALSE),"")</f>
        <v/>
      </c>
      <c r="AT86" s="263" t="str">
        <f>IFERROR(HLOOKUP(AT$7,'PCO Log'!$E$11:$SJ$98,80,FALSE),"")</f>
        <v/>
      </c>
      <c r="AU86" s="263" t="str">
        <f>IFERROR(HLOOKUP(AU$7,'PCO Log'!$E$11:$SJ$98,80,FALSE),"")</f>
        <v/>
      </c>
      <c r="AV86" s="263" t="str">
        <f>IFERROR(HLOOKUP(AV$7,'PCO Log'!$E$11:$SJ$98,80,FALSE),"")</f>
        <v/>
      </c>
      <c r="AW86" s="263" t="str">
        <f>IFERROR(HLOOKUP(AW$7,'PCO Log'!$E$11:$SJ$98,80,FALSE),"")</f>
        <v/>
      </c>
      <c r="AX86" s="263" t="str">
        <f>IFERROR(HLOOKUP(AX$7,'PCO Log'!$E$11:$SJ$98,80,FALSE),"")</f>
        <v/>
      </c>
      <c r="AY86" s="263" t="str">
        <f>IFERROR(HLOOKUP(AY$7,'PCO Log'!$E$11:$SJ$98,80,FALSE),"")</f>
        <v/>
      </c>
      <c r="AZ86" s="263" t="str">
        <f>IFERROR(HLOOKUP(AZ$7,'PCO Log'!$E$11:$SJ$98,80,FALSE),"")</f>
        <v/>
      </c>
      <c r="BA86" s="263" t="str">
        <f>IFERROR(HLOOKUP(BA$7,'PCO Log'!$E$11:$SJ$98,80,FALSE),"")</f>
        <v/>
      </c>
      <c r="BB86" s="263" t="str">
        <f>IFERROR(HLOOKUP(BB$7,'PCO Log'!$E$11:$SJ$98,80,FALSE),"")</f>
        <v/>
      </c>
      <c r="BC86" s="263" t="str">
        <f>IFERROR(HLOOKUP(BC$7,'PCO Log'!$E$11:$SJ$98,80,FALSE),"")</f>
        <v/>
      </c>
    </row>
    <row r="87" spans="2:55" s="334" customFormat="1" x14ac:dyDescent="0.25">
      <c r="B87" s="42" t="str">
        <f>'Pay App 1'!B141</f>
        <v>32 30 00</v>
      </c>
      <c r="C87" s="43" t="str">
        <f>'Pay App 1'!C141</f>
        <v>Site Improvements/Fencing</v>
      </c>
      <c r="D87" s="263">
        <f t="shared" si="2"/>
        <v>0</v>
      </c>
      <c r="E87" s="264">
        <f>'Pay App 1'!D141</f>
        <v>0</v>
      </c>
      <c r="F87" s="263" t="str">
        <f>IFERROR(HLOOKUP(F$7,'PCO Log'!$E$11:$SJ$98,81,FALSE),"")</f>
        <v/>
      </c>
      <c r="G87" s="263" t="str">
        <f>IFERROR(HLOOKUP(G$7,'PCO Log'!$E$11:$SJ$98,81,FALSE),"")</f>
        <v/>
      </c>
      <c r="H87" s="263" t="str">
        <f>IFERROR(HLOOKUP(H$7,'PCO Log'!$E$11:$SJ$98,81,FALSE),"")</f>
        <v/>
      </c>
      <c r="I87" s="263" t="str">
        <f>IFERROR(HLOOKUP(I$7,'PCO Log'!$E$11:$SJ$98,81,FALSE),"")</f>
        <v/>
      </c>
      <c r="J87" s="263" t="str">
        <f>IFERROR(HLOOKUP(J$7,'PCO Log'!$E$11:$SJ$98,81,FALSE),"")</f>
        <v/>
      </c>
      <c r="K87" s="263" t="str">
        <f>IFERROR(HLOOKUP(K$7,'PCO Log'!$E$11:$SJ$98,81,FALSE),"")</f>
        <v/>
      </c>
      <c r="L87" s="263" t="str">
        <f>IFERROR(HLOOKUP(L$7,'PCO Log'!$E$11:$SJ$98,81,FALSE),"")</f>
        <v/>
      </c>
      <c r="M87" s="263" t="str">
        <f>IFERROR(HLOOKUP(M$7,'PCO Log'!$E$11:$SJ$98,81,FALSE),"")</f>
        <v/>
      </c>
      <c r="N87" s="263" t="str">
        <f>IFERROR(HLOOKUP(N$7,'PCO Log'!$E$11:$SJ$98,81,FALSE),"")</f>
        <v/>
      </c>
      <c r="O87" s="263" t="str">
        <f>IFERROR(HLOOKUP(O$7,'PCO Log'!$E$11:$SJ$98,81,FALSE),"")</f>
        <v/>
      </c>
      <c r="P87" s="263" t="str">
        <f>IFERROR(HLOOKUP(P$7,'PCO Log'!$E$11:$SJ$98,81,FALSE),"")</f>
        <v/>
      </c>
      <c r="Q87" s="263" t="str">
        <f>IFERROR(HLOOKUP(Q$7,'PCO Log'!$E$11:$SJ$98,81,FALSE),"")</f>
        <v/>
      </c>
      <c r="R87" s="263" t="str">
        <f>IFERROR(HLOOKUP(R$7,'PCO Log'!$E$11:$SJ$98,81,FALSE),"")</f>
        <v/>
      </c>
      <c r="S87" s="263" t="str">
        <f>IFERROR(HLOOKUP(S$7,'PCO Log'!$E$11:$SJ$98,81,FALSE),"")</f>
        <v/>
      </c>
      <c r="T87" s="263" t="str">
        <f>IFERROR(HLOOKUP(T$7,'PCO Log'!$E$11:$SJ$98,81,FALSE),"")</f>
        <v/>
      </c>
      <c r="U87" s="263" t="str">
        <f>IFERROR(HLOOKUP(U$7,'PCO Log'!$E$11:$SJ$98,81,FALSE),"")</f>
        <v/>
      </c>
      <c r="V87" s="263" t="str">
        <f>IFERROR(HLOOKUP(V$7,'PCO Log'!$E$11:$SJ$98,81,FALSE),"")</f>
        <v/>
      </c>
      <c r="W87" s="263" t="str">
        <f>IFERROR(HLOOKUP(W$7,'PCO Log'!$E$11:$SJ$98,81,FALSE),"")</f>
        <v/>
      </c>
      <c r="X87" s="263" t="str">
        <f>IFERROR(HLOOKUP(X$7,'PCO Log'!$E$11:$SJ$98,81,FALSE),"")</f>
        <v/>
      </c>
      <c r="Y87" s="263" t="str">
        <f>IFERROR(HLOOKUP(Y$7,'PCO Log'!$E$11:$SJ$98,81,FALSE),"")</f>
        <v/>
      </c>
      <c r="Z87" s="263" t="str">
        <f>IFERROR(HLOOKUP(Z$7,'PCO Log'!$E$11:$SJ$98,81,FALSE),"")</f>
        <v/>
      </c>
      <c r="AA87" s="263" t="str">
        <f>IFERROR(HLOOKUP(AA$7,'PCO Log'!$E$11:$SJ$98,81,FALSE),"")</f>
        <v/>
      </c>
      <c r="AB87" s="263" t="str">
        <f>IFERROR(HLOOKUP(AB$7,'PCO Log'!$E$11:$SJ$98,81,FALSE),"")</f>
        <v/>
      </c>
      <c r="AC87" s="263" t="str">
        <f>IFERROR(HLOOKUP(AC$7,'PCO Log'!$E$11:$SJ$98,81,FALSE),"")</f>
        <v/>
      </c>
      <c r="AD87" s="263" t="str">
        <f>IFERROR(HLOOKUP(AD$7,'PCO Log'!$E$11:$SJ$98,81,FALSE),"")</f>
        <v/>
      </c>
      <c r="AE87" s="263" t="str">
        <f>IFERROR(HLOOKUP(AE$7,'PCO Log'!$E$11:$SJ$98,81,FALSE),"")</f>
        <v/>
      </c>
      <c r="AF87" s="263" t="str">
        <f>IFERROR(HLOOKUP(AF$7,'PCO Log'!$E$11:$SJ$98,81,FALSE),"")</f>
        <v/>
      </c>
      <c r="AG87" s="263" t="str">
        <f>IFERROR(HLOOKUP(AG$7,'PCO Log'!$E$11:$SJ$98,81,FALSE),"")</f>
        <v/>
      </c>
      <c r="AH87" s="263" t="str">
        <f>IFERROR(HLOOKUP(AH$7,'PCO Log'!$E$11:$SJ$98,81,FALSE),"")</f>
        <v/>
      </c>
      <c r="AI87" s="263" t="str">
        <f>IFERROR(HLOOKUP(AI$7,'PCO Log'!$E$11:$SJ$98,81,FALSE),"")</f>
        <v/>
      </c>
      <c r="AJ87" s="263" t="str">
        <f>IFERROR(HLOOKUP(AJ$7,'PCO Log'!$E$11:$SJ$98,81,FALSE),"")</f>
        <v/>
      </c>
      <c r="AK87" s="263" t="str">
        <f>IFERROR(HLOOKUP(AK$7,'PCO Log'!$E$11:$SJ$98,81,FALSE),"")</f>
        <v/>
      </c>
      <c r="AL87" s="263" t="str">
        <f>IFERROR(HLOOKUP(AL$7,'PCO Log'!$E$11:$SJ$98,81,FALSE),"")</f>
        <v/>
      </c>
      <c r="AM87" s="263" t="str">
        <f>IFERROR(HLOOKUP(AM$7,'PCO Log'!$E$11:$SJ$98,81,FALSE),"")</f>
        <v/>
      </c>
      <c r="AN87" s="263" t="str">
        <f>IFERROR(HLOOKUP(AN$7,'PCO Log'!$E$11:$SJ$98,81,FALSE),"")</f>
        <v/>
      </c>
      <c r="AO87" s="263" t="str">
        <f>IFERROR(HLOOKUP(AO$7,'PCO Log'!$E$11:$SJ$98,81,FALSE),"")</f>
        <v/>
      </c>
      <c r="AP87" s="263" t="str">
        <f>IFERROR(HLOOKUP(AP$7,'PCO Log'!$E$11:$SJ$98,81,FALSE),"")</f>
        <v/>
      </c>
      <c r="AQ87" s="263" t="str">
        <f>IFERROR(HLOOKUP(AQ$7,'PCO Log'!$E$11:$SJ$98,81,FALSE),"")</f>
        <v/>
      </c>
      <c r="AR87" s="263" t="str">
        <f>IFERROR(HLOOKUP(AR$7,'PCO Log'!$E$11:$SJ$98,81,FALSE),"")</f>
        <v/>
      </c>
      <c r="AS87" s="263" t="str">
        <f>IFERROR(HLOOKUP(AS$7,'PCO Log'!$E$11:$SJ$98,81,FALSE),"")</f>
        <v/>
      </c>
      <c r="AT87" s="263" t="str">
        <f>IFERROR(HLOOKUP(AT$7,'PCO Log'!$E$11:$SJ$98,81,FALSE),"")</f>
        <v/>
      </c>
      <c r="AU87" s="263" t="str">
        <f>IFERROR(HLOOKUP(AU$7,'PCO Log'!$E$11:$SJ$98,81,FALSE),"")</f>
        <v/>
      </c>
      <c r="AV87" s="263" t="str">
        <f>IFERROR(HLOOKUP(AV$7,'PCO Log'!$E$11:$SJ$98,81,FALSE),"")</f>
        <v/>
      </c>
      <c r="AW87" s="263" t="str">
        <f>IFERROR(HLOOKUP(AW$7,'PCO Log'!$E$11:$SJ$98,81,FALSE),"")</f>
        <v/>
      </c>
      <c r="AX87" s="263" t="str">
        <f>IFERROR(HLOOKUP(AX$7,'PCO Log'!$E$11:$SJ$98,81,FALSE),"")</f>
        <v/>
      </c>
      <c r="AY87" s="263" t="str">
        <f>IFERROR(HLOOKUP(AY$7,'PCO Log'!$E$11:$SJ$98,81,FALSE),"")</f>
        <v/>
      </c>
      <c r="AZ87" s="263" t="str">
        <f>IFERROR(HLOOKUP(AZ$7,'PCO Log'!$E$11:$SJ$98,81,FALSE),"")</f>
        <v/>
      </c>
      <c r="BA87" s="263" t="str">
        <f>IFERROR(HLOOKUP(BA$7,'PCO Log'!$E$11:$SJ$98,81,FALSE),"")</f>
        <v/>
      </c>
      <c r="BB87" s="263" t="str">
        <f>IFERROR(HLOOKUP(BB$7,'PCO Log'!$E$11:$SJ$98,81,FALSE),"")</f>
        <v/>
      </c>
      <c r="BC87" s="263" t="str">
        <f>IFERROR(HLOOKUP(BC$7,'PCO Log'!$E$11:$SJ$98,81,FALSE),"")</f>
        <v/>
      </c>
    </row>
    <row r="88" spans="2:55" s="334" customFormat="1" x14ac:dyDescent="0.25">
      <c r="B88" s="42" t="str">
        <f>'Pay App 1'!B142</f>
        <v>32 90 00</v>
      </c>
      <c r="C88" s="43" t="str">
        <f>'Pay App 1'!C142</f>
        <v>Landscaping/Irrigation</v>
      </c>
      <c r="D88" s="263">
        <f t="shared" si="2"/>
        <v>0</v>
      </c>
      <c r="E88" s="264">
        <f>'Pay App 1'!D142</f>
        <v>0</v>
      </c>
      <c r="F88" s="263" t="str">
        <f>IFERROR(HLOOKUP(F$7,'PCO Log'!$E$11:$SJ$98,82,FALSE),"")</f>
        <v/>
      </c>
      <c r="G88" s="263" t="str">
        <f>IFERROR(HLOOKUP(G$7,'PCO Log'!$E$11:$SJ$98,82,FALSE),"")</f>
        <v/>
      </c>
      <c r="H88" s="263" t="str">
        <f>IFERROR(HLOOKUP(H$7,'PCO Log'!$E$11:$SJ$98,82,FALSE),"")</f>
        <v/>
      </c>
      <c r="I88" s="263" t="str">
        <f>IFERROR(HLOOKUP(I$7,'PCO Log'!$E$11:$SJ$98,82,FALSE),"")</f>
        <v/>
      </c>
      <c r="J88" s="263" t="str">
        <f>IFERROR(HLOOKUP(J$7,'PCO Log'!$E$11:$SJ$98,82,FALSE),"")</f>
        <v/>
      </c>
      <c r="K88" s="263" t="str">
        <f>IFERROR(HLOOKUP(K$7,'PCO Log'!$E$11:$SJ$98,82,FALSE),"")</f>
        <v/>
      </c>
      <c r="L88" s="263" t="str">
        <f>IFERROR(HLOOKUP(L$7,'PCO Log'!$E$11:$SJ$98,82,FALSE),"")</f>
        <v/>
      </c>
      <c r="M88" s="263" t="str">
        <f>IFERROR(HLOOKUP(M$7,'PCO Log'!$E$11:$SJ$98,82,FALSE),"")</f>
        <v/>
      </c>
      <c r="N88" s="263" t="str">
        <f>IFERROR(HLOOKUP(N$7,'PCO Log'!$E$11:$SJ$98,82,FALSE),"")</f>
        <v/>
      </c>
      <c r="O88" s="263" t="str">
        <f>IFERROR(HLOOKUP(O$7,'PCO Log'!$E$11:$SJ$98,82,FALSE),"")</f>
        <v/>
      </c>
      <c r="P88" s="263" t="str">
        <f>IFERROR(HLOOKUP(P$7,'PCO Log'!$E$11:$SJ$98,82,FALSE),"")</f>
        <v/>
      </c>
      <c r="Q88" s="263" t="str">
        <f>IFERROR(HLOOKUP(Q$7,'PCO Log'!$E$11:$SJ$98,82,FALSE),"")</f>
        <v/>
      </c>
      <c r="R88" s="263" t="str">
        <f>IFERROR(HLOOKUP(R$7,'PCO Log'!$E$11:$SJ$98,82,FALSE),"")</f>
        <v/>
      </c>
      <c r="S88" s="263" t="str">
        <f>IFERROR(HLOOKUP(S$7,'PCO Log'!$E$11:$SJ$98,82,FALSE),"")</f>
        <v/>
      </c>
      <c r="T88" s="263" t="str">
        <f>IFERROR(HLOOKUP(T$7,'PCO Log'!$E$11:$SJ$98,82,FALSE),"")</f>
        <v/>
      </c>
      <c r="U88" s="263" t="str">
        <f>IFERROR(HLOOKUP(U$7,'PCO Log'!$E$11:$SJ$98,82,FALSE),"")</f>
        <v/>
      </c>
      <c r="V88" s="263" t="str">
        <f>IFERROR(HLOOKUP(V$7,'PCO Log'!$E$11:$SJ$98,82,FALSE),"")</f>
        <v/>
      </c>
      <c r="W88" s="263" t="str">
        <f>IFERROR(HLOOKUP(W$7,'PCO Log'!$E$11:$SJ$98,82,FALSE),"")</f>
        <v/>
      </c>
      <c r="X88" s="263" t="str">
        <f>IFERROR(HLOOKUP(X$7,'PCO Log'!$E$11:$SJ$98,82,FALSE),"")</f>
        <v/>
      </c>
      <c r="Y88" s="263" t="str">
        <f>IFERROR(HLOOKUP(Y$7,'PCO Log'!$E$11:$SJ$98,82,FALSE),"")</f>
        <v/>
      </c>
      <c r="Z88" s="263" t="str">
        <f>IFERROR(HLOOKUP(Z$7,'PCO Log'!$E$11:$SJ$98,82,FALSE),"")</f>
        <v/>
      </c>
      <c r="AA88" s="263" t="str">
        <f>IFERROR(HLOOKUP(AA$7,'PCO Log'!$E$11:$SJ$98,82,FALSE),"")</f>
        <v/>
      </c>
      <c r="AB88" s="263" t="str">
        <f>IFERROR(HLOOKUP(AB$7,'PCO Log'!$E$11:$SJ$98,82,FALSE),"")</f>
        <v/>
      </c>
      <c r="AC88" s="263" t="str">
        <f>IFERROR(HLOOKUP(AC$7,'PCO Log'!$E$11:$SJ$98,82,FALSE),"")</f>
        <v/>
      </c>
      <c r="AD88" s="263" t="str">
        <f>IFERROR(HLOOKUP(AD$7,'PCO Log'!$E$11:$SJ$98,82,FALSE),"")</f>
        <v/>
      </c>
      <c r="AE88" s="263" t="str">
        <f>IFERROR(HLOOKUP(AE$7,'PCO Log'!$E$11:$SJ$98,82,FALSE),"")</f>
        <v/>
      </c>
      <c r="AF88" s="263" t="str">
        <f>IFERROR(HLOOKUP(AF$7,'PCO Log'!$E$11:$SJ$98,82,FALSE),"")</f>
        <v/>
      </c>
      <c r="AG88" s="263" t="str">
        <f>IFERROR(HLOOKUP(AG$7,'PCO Log'!$E$11:$SJ$98,82,FALSE),"")</f>
        <v/>
      </c>
      <c r="AH88" s="263" t="str">
        <f>IFERROR(HLOOKUP(AH$7,'PCO Log'!$E$11:$SJ$98,82,FALSE),"")</f>
        <v/>
      </c>
      <c r="AI88" s="263" t="str">
        <f>IFERROR(HLOOKUP(AI$7,'PCO Log'!$E$11:$SJ$98,82,FALSE),"")</f>
        <v/>
      </c>
      <c r="AJ88" s="263" t="str">
        <f>IFERROR(HLOOKUP(AJ$7,'PCO Log'!$E$11:$SJ$98,82,FALSE),"")</f>
        <v/>
      </c>
      <c r="AK88" s="263" t="str">
        <f>IFERROR(HLOOKUP(AK$7,'PCO Log'!$E$11:$SJ$98,82,FALSE),"")</f>
        <v/>
      </c>
      <c r="AL88" s="263" t="str">
        <f>IFERROR(HLOOKUP(AL$7,'PCO Log'!$E$11:$SJ$98,82,FALSE),"")</f>
        <v/>
      </c>
      <c r="AM88" s="263" t="str">
        <f>IFERROR(HLOOKUP(AM$7,'PCO Log'!$E$11:$SJ$98,82,FALSE),"")</f>
        <v/>
      </c>
      <c r="AN88" s="263" t="str">
        <f>IFERROR(HLOOKUP(AN$7,'PCO Log'!$E$11:$SJ$98,82,FALSE),"")</f>
        <v/>
      </c>
      <c r="AO88" s="263" t="str">
        <f>IFERROR(HLOOKUP(AO$7,'PCO Log'!$E$11:$SJ$98,82,FALSE),"")</f>
        <v/>
      </c>
      <c r="AP88" s="263" t="str">
        <f>IFERROR(HLOOKUP(AP$7,'PCO Log'!$E$11:$SJ$98,82,FALSE),"")</f>
        <v/>
      </c>
      <c r="AQ88" s="263" t="str">
        <f>IFERROR(HLOOKUP(AQ$7,'PCO Log'!$E$11:$SJ$98,82,FALSE),"")</f>
        <v/>
      </c>
      <c r="AR88" s="263" t="str">
        <f>IFERROR(HLOOKUP(AR$7,'PCO Log'!$E$11:$SJ$98,82,FALSE),"")</f>
        <v/>
      </c>
      <c r="AS88" s="263" t="str">
        <f>IFERROR(HLOOKUP(AS$7,'PCO Log'!$E$11:$SJ$98,82,FALSE),"")</f>
        <v/>
      </c>
      <c r="AT88" s="263" t="str">
        <f>IFERROR(HLOOKUP(AT$7,'PCO Log'!$E$11:$SJ$98,82,FALSE),"")</f>
        <v/>
      </c>
      <c r="AU88" s="263" t="str">
        <f>IFERROR(HLOOKUP(AU$7,'PCO Log'!$E$11:$SJ$98,82,FALSE),"")</f>
        <v/>
      </c>
      <c r="AV88" s="263" t="str">
        <f>IFERROR(HLOOKUP(AV$7,'PCO Log'!$E$11:$SJ$98,82,FALSE),"")</f>
        <v/>
      </c>
      <c r="AW88" s="263" t="str">
        <f>IFERROR(HLOOKUP(AW$7,'PCO Log'!$E$11:$SJ$98,82,FALSE),"")</f>
        <v/>
      </c>
      <c r="AX88" s="263" t="str">
        <f>IFERROR(HLOOKUP(AX$7,'PCO Log'!$E$11:$SJ$98,82,FALSE),"")</f>
        <v/>
      </c>
      <c r="AY88" s="263" t="str">
        <f>IFERROR(HLOOKUP(AY$7,'PCO Log'!$E$11:$SJ$98,82,FALSE),"")</f>
        <v/>
      </c>
      <c r="AZ88" s="263" t="str">
        <f>IFERROR(HLOOKUP(AZ$7,'PCO Log'!$E$11:$SJ$98,82,FALSE),"")</f>
        <v/>
      </c>
      <c r="BA88" s="263" t="str">
        <f>IFERROR(HLOOKUP(BA$7,'PCO Log'!$E$11:$SJ$98,82,FALSE),"")</f>
        <v/>
      </c>
      <c r="BB88" s="263" t="str">
        <f>IFERROR(HLOOKUP(BB$7,'PCO Log'!$E$11:$SJ$98,82,FALSE),"")</f>
        <v/>
      </c>
      <c r="BC88" s="263" t="str">
        <f>IFERROR(HLOOKUP(BC$7,'PCO Log'!$E$11:$SJ$98,82,FALSE),"")</f>
        <v/>
      </c>
    </row>
    <row r="89" spans="2:55" s="334" customFormat="1" x14ac:dyDescent="0.25">
      <c r="B89" s="44" t="str">
        <f>'Pay App 1'!B143</f>
        <v>33 00 00</v>
      </c>
      <c r="C89" s="45" t="str">
        <f>'Pay App 1'!C143</f>
        <v>Site Utilities</v>
      </c>
      <c r="D89" s="263">
        <f t="shared" si="2"/>
        <v>0</v>
      </c>
      <c r="E89" s="264">
        <f>'Pay App 1'!D143</f>
        <v>0</v>
      </c>
      <c r="F89" s="263" t="str">
        <f>IFERROR(HLOOKUP(F$7,'PCO Log'!$E$11:$SJ$98,83,FALSE),"")</f>
        <v/>
      </c>
      <c r="G89" s="263" t="str">
        <f>IFERROR(HLOOKUP(G$7,'PCO Log'!$E$11:$SJ$98,83,FALSE),"")</f>
        <v/>
      </c>
      <c r="H89" s="263" t="str">
        <f>IFERROR(HLOOKUP(H$7,'PCO Log'!$E$11:$SJ$98,83,FALSE),"")</f>
        <v/>
      </c>
      <c r="I89" s="263" t="str">
        <f>IFERROR(HLOOKUP(I$7,'PCO Log'!$E$11:$SJ$98,83,FALSE),"")</f>
        <v/>
      </c>
      <c r="J89" s="263" t="str">
        <f>IFERROR(HLOOKUP(J$7,'PCO Log'!$E$11:$SJ$98,83,FALSE),"")</f>
        <v/>
      </c>
      <c r="K89" s="263" t="str">
        <f>IFERROR(HLOOKUP(K$7,'PCO Log'!$E$11:$SJ$98,83,FALSE),"")</f>
        <v/>
      </c>
      <c r="L89" s="263" t="str">
        <f>IFERROR(HLOOKUP(L$7,'PCO Log'!$E$11:$SJ$98,83,FALSE),"")</f>
        <v/>
      </c>
      <c r="M89" s="263" t="str">
        <f>IFERROR(HLOOKUP(M$7,'PCO Log'!$E$11:$SJ$98,83,FALSE),"")</f>
        <v/>
      </c>
      <c r="N89" s="263" t="str">
        <f>IFERROR(HLOOKUP(N$7,'PCO Log'!$E$11:$SJ$98,83,FALSE),"")</f>
        <v/>
      </c>
      <c r="O89" s="263" t="str">
        <f>IFERROR(HLOOKUP(O$7,'PCO Log'!$E$11:$SJ$98,83,FALSE),"")</f>
        <v/>
      </c>
      <c r="P89" s="263" t="str">
        <f>IFERROR(HLOOKUP(P$7,'PCO Log'!$E$11:$SJ$98,83,FALSE),"")</f>
        <v/>
      </c>
      <c r="Q89" s="263" t="str">
        <f>IFERROR(HLOOKUP(Q$7,'PCO Log'!$E$11:$SJ$98,83,FALSE),"")</f>
        <v/>
      </c>
      <c r="R89" s="263" t="str">
        <f>IFERROR(HLOOKUP(R$7,'PCO Log'!$E$11:$SJ$98,83,FALSE),"")</f>
        <v/>
      </c>
      <c r="S89" s="263" t="str">
        <f>IFERROR(HLOOKUP(S$7,'PCO Log'!$E$11:$SJ$98,83,FALSE),"")</f>
        <v/>
      </c>
      <c r="T89" s="263" t="str">
        <f>IFERROR(HLOOKUP(T$7,'PCO Log'!$E$11:$SJ$98,83,FALSE),"")</f>
        <v/>
      </c>
      <c r="U89" s="263" t="str">
        <f>IFERROR(HLOOKUP(U$7,'PCO Log'!$E$11:$SJ$98,83,FALSE),"")</f>
        <v/>
      </c>
      <c r="V89" s="263" t="str">
        <f>IFERROR(HLOOKUP(V$7,'PCO Log'!$E$11:$SJ$98,83,FALSE),"")</f>
        <v/>
      </c>
      <c r="W89" s="263" t="str">
        <f>IFERROR(HLOOKUP(W$7,'PCO Log'!$E$11:$SJ$98,83,FALSE),"")</f>
        <v/>
      </c>
      <c r="X89" s="263" t="str">
        <f>IFERROR(HLOOKUP(X$7,'PCO Log'!$E$11:$SJ$98,83,FALSE),"")</f>
        <v/>
      </c>
      <c r="Y89" s="263" t="str">
        <f>IFERROR(HLOOKUP(Y$7,'PCO Log'!$E$11:$SJ$98,83,FALSE),"")</f>
        <v/>
      </c>
      <c r="Z89" s="263" t="str">
        <f>IFERROR(HLOOKUP(Z$7,'PCO Log'!$E$11:$SJ$98,83,FALSE),"")</f>
        <v/>
      </c>
      <c r="AA89" s="263" t="str">
        <f>IFERROR(HLOOKUP(AA$7,'PCO Log'!$E$11:$SJ$98,83,FALSE),"")</f>
        <v/>
      </c>
      <c r="AB89" s="263" t="str">
        <f>IFERROR(HLOOKUP(AB$7,'PCO Log'!$E$11:$SJ$98,83,FALSE),"")</f>
        <v/>
      </c>
      <c r="AC89" s="263" t="str">
        <f>IFERROR(HLOOKUP(AC$7,'PCO Log'!$E$11:$SJ$98,83,FALSE),"")</f>
        <v/>
      </c>
      <c r="AD89" s="263" t="str">
        <f>IFERROR(HLOOKUP(AD$7,'PCO Log'!$E$11:$SJ$98,83,FALSE),"")</f>
        <v/>
      </c>
      <c r="AE89" s="263" t="str">
        <f>IFERROR(HLOOKUP(AE$7,'PCO Log'!$E$11:$SJ$98,83,FALSE),"")</f>
        <v/>
      </c>
      <c r="AF89" s="263" t="str">
        <f>IFERROR(HLOOKUP(AF$7,'PCO Log'!$E$11:$SJ$98,83,FALSE),"")</f>
        <v/>
      </c>
      <c r="AG89" s="263" t="str">
        <f>IFERROR(HLOOKUP(AG$7,'PCO Log'!$E$11:$SJ$98,83,FALSE),"")</f>
        <v/>
      </c>
      <c r="AH89" s="263" t="str">
        <f>IFERROR(HLOOKUP(AH$7,'PCO Log'!$E$11:$SJ$98,83,FALSE),"")</f>
        <v/>
      </c>
      <c r="AI89" s="263" t="str">
        <f>IFERROR(HLOOKUP(AI$7,'PCO Log'!$E$11:$SJ$98,83,FALSE),"")</f>
        <v/>
      </c>
      <c r="AJ89" s="263" t="str">
        <f>IFERROR(HLOOKUP(AJ$7,'PCO Log'!$E$11:$SJ$98,83,FALSE),"")</f>
        <v/>
      </c>
      <c r="AK89" s="263" t="str">
        <f>IFERROR(HLOOKUP(AK$7,'PCO Log'!$E$11:$SJ$98,83,FALSE),"")</f>
        <v/>
      </c>
      <c r="AL89" s="263" t="str">
        <f>IFERROR(HLOOKUP(AL$7,'PCO Log'!$E$11:$SJ$98,83,FALSE),"")</f>
        <v/>
      </c>
      <c r="AM89" s="263" t="str">
        <f>IFERROR(HLOOKUP(AM$7,'PCO Log'!$E$11:$SJ$98,83,FALSE),"")</f>
        <v/>
      </c>
      <c r="AN89" s="263" t="str">
        <f>IFERROR(HLOOKUP(AN$7,'PCO Log'!$E$11:$SJ$98,83,FALSE),"")</f>
        <v/>
      </c>
      <c r="AO89" s="263" t="str">
        <f>IFERROR(HLOOKUP(AO$7,'PCO Log'!$E$11:$SJ$98,83,FALSE),"")</f>
        <v/>
      </c>
      <c r="AP89" s="263" t="str">
        <f>IFERROR(HLOOKUP(AP$7,'PCO Log'!$E$11:$SJ$98,83,FALSE),"")</f>
        <v/>
      </c>
      <c r="AQ89" s="263" t="str">
        <f>IFERROR(HLOOKUP(AQ$7,'PCO Log'!$E$11:$SJ$98,83,FALSE),"")</f>
        <v/>
      </c>
      <c r="AR89" s="263" t="str">
        <f>IFERROR(HLOOKUP(AR$7,'PCO Log'!$E$11:$SJ$98,83,FALSE),"")</f>
        <v/>
      </c>
      <c r="AS89" s="263" t="str">
        <f>IFERROR(HLOOKUP(AS$7,'PCO Log'!$E$11:$SJ$98,83,FALSE),"")</f>
        <v/>
      </c>
      <c r="AT89" s="263" t="str">
        <f>IFERROR(HLOOKUP(AT$7,'PCO Log'!$E$11:$SJ$98,83,FALSE),"")</f>
        <v/>
      </c>
      <c r="AU89" s="263" t="str">
        <f>IFERROR(HLOOKUP(AU$7,'PCO Log'!$E$11:$SJ$98,83,FALSE),"")</f>
        <v/>
      </c>
      <c r="AV89" s="263" t="str">
        <f>IFERROR(HLOOKUP(AV$7,'PCO Log'!$E$11:$SJ$98,83,FALSE),"")</f>
        <v/>
      </c>
      <c r="AW89" s="263" t="str">
        <f>IFERROR(HLOOKUP(AW$7,'PCO Log'!$E$11:$SJ$98,83,FALSE),"")</f>
        <v/>
      </c>
      <c r="AX89" s="263" t="str">
        <f>IFERROR(HLOOKUP(AX$7,'PCO Log'!$E$11:$SJ$98,83,FALSE),"")</f>
        <v/>
      </c>
      <c r="AY89" s="263" t="str">
        <f>IFERROR(HLOOKUP(AY$7,'PCO Log'!$E$11:$SJ$98,83,FALSE),"")</f>
        <v/>
      </c>
      <c r="AZ89" s="263" t="str">
        <f>IFERROR(HLOOKUP(AZ$7,'PCO Log'!$E$11:$SJ$98,83,FALSE),"")</f>
        <v/>
      </c>
      <c r="BA89" s="263" t="str">
        <f>IFERROR(HLOOKUP(BA$7,'PCO Log'!$E$11:$SJ$98,83,FALSE),"")</f>
        <v/>
      </c>
      <c r="BB89" s="263" t="str">
        <f>IFERROR(HLOOKUP(BB$7,'PCO Log'!$E$11:$SJ$98,83,FALSE),"")</f>
        <v/>
      </c>
      <c r="BC89" s="263" t="str">
        <f>IFERROR(HLOOKUP(BC$7,'PCO Log'!$E$11:$SJ$98,83,FALSE),"")</f>
        <v/>
      </c>
    </row>
    <row r="90" spans="2:55" s="334" customFormat="1" x14ac:dyDescent="0.25">
      <c r="B90" s="44" t="str">
        <f>'Pay App 1'!B144</f>
        <v>33 40 00</v>
      </c>
      <c r="C90" s="45" t="str">
        <f>'Pay App 1'!C144</f>
        <v>Underground Storm Retention Sys</v>
      </c>
      <c r="D90" s="263">
        <f t="shared" si="2"/>
        <v>0</v>
      </c>
      <c r="E90" s="264">
        <f>'Pay App 1'!D144</f>
        <v>0</v>
      </c>
      <c r="F90" s="263" t="str">
        <f>IFERROR(HLOOKUP(F$7,'PCO Log'!$E$11:$SJ$98,84,FALSE),"")</f>
        <v/>
      </c>
      <c r="G90" s="263" t="str">
        <f>IFERROR(HLOOKUP(G$7,'PCO Log'!$E$11:$SJ$98,84,FALSE),"")</f>
        <v/>
      </c>
      <c r="H90" s="263" t="str">
        <f>IFERROR(HLOOKUP(H$7,'PCO Log'!$E$11:$SJ$98,84,FALSE),"")</f>
        <v/>
      </c>
      <c r="I90" s="263" t="str">
        <f>IFERROR(HLOOKUP(I$7,'PCO Log'!$E$11:$SJ$98,84,FALSE),"")</f>
        <v/>
      </c>
      <c r="J90" s="263" t="str">
        <f>IFERROR(HLOOKUP(J$7,'PCO Log'!$E$11:$SJ$98,84,FALSE),"")</f>
        <v/>
      </c>
      <c r="K90" s="263" t="str">
        <f>IFERROR(HLOOKUP(K$7,'PCO Log'!$E$11:$SJ$98,84,FALSE),"")</f>
        <v/>
      </c>
      <c r="L90" s="263" t="str">
        <f>IFERROR(HLOOKUP(L$7,'PCO Log'!$E$11:$SJ$98,84,FALSE),"")</f>
        <v/>
      </c>
      <c r="M90" s="263" t="str">
        <f>IFERROR(HLOOKUP(M$7,'PCO Log'!$E$11:$SJ$98,84,FALSE),"")</f>
        <v/>
      </c>
      <c r="N90" s="263" t="str">
        <f>IFERROR(HLOOKUP(N$7,'PCO Log'!$E$11:$SJ$98,84,FALSE),"")</f>
        <v/>
      </c>
      <c r="O90" s="263" t="str">
        <f>IFERROR(HLOOKUP(O$7,'PCO Log'!$E$11:$SJ$98,84,FALSE),"")</f>
        <v/>
      </c>
      <c r="P90" s="263" t="str">
        <f>IFERROR(HLOOKUP(P$7,'PCO Log'!$E$11:$SJ$98,84,FALSE),"")</f>
        <v/>
      </c>
      <c r="Q90" s="263" t="str">
        <f>IFERROR(HLOOKUP(Q$7,'PCO Log'!$E$11:$SJ$98,84,FALSE),"")</f>
        <v/>
      </c>
      <c r="R90" s="263" t="str">
        <f>IFERROR(HLOOKUP(R$7,'PCO Log'!$E$11:$SJ$98,84,FALSE),"")</f>
        <v/>
      </c>
      <c r="S90" s="263" t="str">
        <f>IFERROR(HLOOKUP(S$7,'PCO Log'!$E$11:$SJ$98,84,FALSE),"")</f>
        <v/>
      </c>
      <c r="T90" s="263" t="str">
        <f>IFERROR(HLOOKUP(T$7,'PCO Log'!$E$11:$SJ$98,84,FALSE),"")</f>
        <v/>
      </c>
      <c r="U90" s="263" t="str">
        <f>IFERROR(HLOOKUP(U$7,'PCO Log'!$E$11:$SJ$98,84,FALSE),"")</f>
        <v/>
      </c>
      <c r="V90" s="263" t="str">
        <f>IFERROR(HLOOKUP(V$7,'PCO Log'!$E$11:$SJ$98,84,FALSE),"")</f>
        <v/>
      </c>
      <c r="W90" s="263" t="str">
        <f>IFERROR(HLOOKUP(W$7,'PCO Log'!$E$11:$SJ$98,84,FALSE),"")</f>
        <v/>
      </c>
      <c r="X90" s="263" t="str">
        <f>IFERROR(HLOOKUP(X$7,'PCO Log'!$E$11:$SJ$98,84,FALSE),"")</f>
        <v/>
      </c>
      <c r="Y90" s="263" t="str">
        <f>IFERROR(HLOOKUP(Y$7,'PCO Log'!$E$11:$SJ$98,84,FALSE),"")</f>
        <v/>
      </c>
      <c r="Z90" s="263" t="str">
        <f>IFERROR(HLOOKUP(Z$7,'PCO Log'!$E$11:$SJ$98,84,FALSE),"")</f>
        <v/>
      </c>
      <c r="AA90" s="263" t="str">
        <f>IFERROR(HLOOKUP(AA$7,'PCO Log'!$E$11:$SJ$98,84,FALSE),"")</f>
        <v/>
      </c>
      <c r="AB90" s="263" t="str">
        <f>IFERROR(HLOOKUP(AB$7,'PCO Log'!$E$11:$SJ$98,84,FALSE),"")</f>
        <v/>
      </c>
      <c r="AC90" s="263" t="str">
        <f>IFERROR(HLOOKUP(AC$7,'PCO Log'!$E$11:$SJ$98,84,FALSE),"")</f>
        <v/>
      </c>
      <c r="AD90" s="263" t="str">
        <f>IFERROR(HLOOKUP(AD$7,'PCO Log'!$E$11:$SJ$98,84,FALSE),"")</f>
        <v/>
      </c>
      <c r="AE90" s="263" t="str">
        <f>IFERROR(HLOOKUP(AE$7,'PCO Log'!$E$11:$SJ$98,84,FALSE),"")</f>
        <v/>
      </c>
      <c r="AF90" s="263" t="str">
        <f>IFERROR(HLOOKUP(AF$7,'PCO Log'!$E$11:$SJ$98,84,FALSE),"")</f>
        <v/>
      </c>
      <c r="AG90" s="263" t="str">
        <f>IFERROR(HLOOKUP(AG$7,'PCO Log'!$E$11:$SJ$98,84,FALSE),"")</f>
        <v/>
      </c>
      <c r="AH90" s="263" t="str">
        <f>IFERROR(HLOOKUP(AH$7,'PCO Log'!$E$11:$SJ$98,84,FALSE),"")</f>
        <v/>
      </c>
      <c r="AI90" s="263" t="str">
        <f>IFERROR(HLOOKUP(AI$7,'PCO Log'!$E$11:$SJ$98,84,FALSE),"")</f>
        <v/>
      </c>
      <c r="AJ90" s="263" t="str">
        <f>IFERROR(HLOOKUP(AJ$7,'PCO Log'!$E$11:$SJ$98,84,FALSE),"")</f>
        <v/>
      </c>
      <c r="AK90" s="263" t="str">
        <f>IFERROR(HLOOKUP(AK$7,'PCO Log'!$E$11:$SJ$98,84,FALSE),"")</f>
        <v/>
      </c>
      <c r="AL90" s="263" t="str">
        <f>IFERROR(HLOOKUP(AL$7,'PCO Log'!$E$11:$SJ$98,84,FALSE),"")</f>
        <v/>
      </c>
      <c r="AM90" s="263" t="str">
        <f>IFERROR(HLOOKUP(AM$7,'PCO Log'!$E$11:$SJ$98,84,FALSE),"")</f>
        <v/>
      </c>
      <c r="AN90" s="263" t="str">
        <f>IFERROR(HLOOKUP(AN$7,'PCO Log'!$E$11:$SJ$98,84,FALSE),"")</f>
        <v/>
      </c>
      <c r="AO90" s="263" t="str">
        <f>IFERROR(HLOOKUP(AO$7,'PCO Log'!$E$11:$SJ$98,84,FALSE),"")</f>
        <v/>
      </c>
      <c r="AP90" s="263" t="str">
        <f>IFERROR(HLOOKUP(AP$7,'PCO Log'!$E$11:$SJ$98,84,FALSE),"")</f>
        <v/>
      </c>
      <c r="AQ90" s="263" t="str">
        <f>IFERROR(HLOOKUP(AQ$7,'PCO Log'!$E$11:$SJ$98,84,FALSE),"")</f>
        <v/>
      </c>
      <c r="AR90" s="263" t="str">
        <f>IFERROR(HLOOKUP(AR$7,'PCO Log'!$E$11:$SJ$98,84,FALSE),"")</f>
        <v/>
      </c>
      <c r="AS90" s="263" t="str">
        <f>IFERROR(HLOOKUP(AS$7,'PCO Log'!$E$11:$SJ$98,84,FALSE),"")</f>
        <v/>
      </c>
      <c r="AT90" s="263" t="str">
        <f>IFERROR(HLOOKUP(AT$7,'PCO Log'!$E$11:$SJ$98,84,FALSE),"")</f>
        <v/>
      </c>
      <c r="AU90" s="263" t="str">
        <f>IFERROR(HLOOKUP(AU$7,'PCO Log'!$E$11:$SJ$98,84,FALSE),"")</f>
        <v/>
      </c>
      <c r="AV90" s="263" t="str">
        <f>IFERROR(HLOOKUP(AV$7,'PCO Log'!$E$11:$SJ$98,84,FALSE),"")</f>
        <v/>
      </c>
      <c r="AW90" s="263" t="str">
        <f>IFERROR(HLOOKUP(AW$7,'PCO Log'!$E$11:$SJ$98,84,FALSE),"")</f>
        <v/>
      </c>
      <c r="AX90" s="263" t="str">
        <f>IFERROR(HLOOKUP(AX$7,'PCO Log'!$E$11:$SJ$98,84,FALSE),"")</f>
        <v/>
      </c>
      <c r="AY90" s="263" t="str">
        <f>IFERROR(HLOOKUP(AY$7,'PCO Log'!$E$11:$SJ$98,84,FALSE),"")</f>
        <v/>
      </c>
      <c r="AZ90" s="263" t="str">
        <f>IFERROR(HLOOKUP(AZ$7,'PCO Log'!$E$11:$SJ$98,84,FALSE),"")</f>
        <v/>
      </c>
      <c r="BA90" s="263" t="str">
        <f>IFERROR(HLOOKUP(BA$7,'PCO Log'!$E$11:$SJ$98,84,FALSE),"")</f>
        <v/>
      </c>
      <c r="BB90" s="263" t="str">
        <f>IFERROR(HLOOKUP(BB$7,'PCO Log'!$E$11:$SJ$98,84,FALSE),"")</f>
        <v/>
      </c>
      <c r="BC90" s="263" t="str">
        <f>IFERROR(HLOOKUP(BC$7,'PCO Log'!$E$11:$SJ$98,84,FALSE),"")</f>
        <v/>
      </c>
    </row>
    <row r="91" spans="2:55" s="334" customFormat="1" x14ac:dyDescent="0.25">
      <c r="B91" s="112" t="str">
        <f>'Pay App 1'!B145</f>
        <v>60 00 10</v>
      </c>
      <c r="C91" s="113" t="str">
        <f>'Pay App 1'!C145</f>
        <v>Other - Please Specify</v>
      </c>
      <c r="D91" s="263">
        <f t="shared" si="2"/>
        <v>0</v>
      </c>
      <c r="E91" s="264">
        <f>'Pay App 1'!D145</f>
        <v>0</v>
      </c>
      <c r="F91" s="263" t="str">
        <f>IFERROR(HLOOKUP(F$7,'PCO Log'!$E$11:$SJ$98,85,FALSE),"")</f>
        <v/>
      </c>
      <c r="G91" s="263" t="str">
        <f>IFERROR(HLOOKUP(G$7,'PCO Log'!$E$11:$SJ$98,85,FALSE),"")</f>
        <v/>
      </c>
      <c r="H91" s="263" t="str">
        <f>IFERROR(HLOOKUP(H$7,'PCO Log'!$E$11:$SJ$98,85,FALSE),"")</f>
        <v/>
      </c>
      <c r="I91" s="263" t="str">
        <f>IFERROR(HLOOKUP(I$7,'PCO Log'!$E$11:$SJ$98,85,FALSE),"")</f>
        <v/>
      </c>
      <c r="J91" s="263" t="str">
        <f>IFERROR(HLOOKUP(J$7,'PCO Log'!$E$11:$SJ$98,85,FALSE),"")</f>
        <v/>
      </c>
      <c r="K91" s="263" t="str">
        <f>IFERROR(HLOOKUP(K$7,'PCO Log'!$E$11:$SJ$98,85,FALSE),"")</f>
        <v/>
      </c>
      <c r="L91" s="263" t="str">
        <f>IFERROR(HLOOKUP(L$7,'PCO Log'!$E$11:$SJ$98,85,FALSE),"")</f>
        <v/>
      </c>
      <c r="M91" s="263" t="str">
        <f>IFERROR(HLOOKUP(M$7,'PCO Log'!$E$11:$SJ$98,85,FALSE),"")</f>
        <v/>
      </c>
      <c r="N91" s="263" t="str">
        <f>IFERROR(HLOOKUP(N$7,'PCO Log'!$E$11:$SJ$98,85,FALSE),"")</f>
        <v/>
      </c>
      <c r="O91" s="263" t="str">
        <f>IFERROR(HLOOKUP(O$7,'PCO Log'!$E$11:$SJ$98,85,FALSE),"")</f>
        <v/>
      </c>
      <c r="P91" s="263" t="str">
        <f>IFERROR(HLOOKUP(P$7,'PCO Log'!$E$11:$SJ$98,85,FALSE),"")</f>
        <v/>
      </c>
      <c r="Q91" s="263" t="str">
        <f>IFERROR(HLOOKUP(Q$7,'PCO Log'!$E$11:$SJ$98,85,FALSE),"")</f>
        <v/>
      </c>
      <c r="R91" s="263" t="str">
        <f>IFERROR(HLOOKUP(R$7,'PCO Log'!$E$11:$SJ$98,85,FALSE),"")</f>
        <v/>
      </c>
      <c r="S91" s="263" t="str">
        <f>IFERROR(HLOOKUP(S$7,'PCO Log'!$E$11:$SJ$98,85,FALSE),"")</f>
        <v/>
      </c>
      <c r="T91" s="263" t="str">
        <f>IFERROR(HLOOKUP(T$7,'PCO Log'!$E$11:$SJ$98,85,FALSE),"")</f>
        <v/>
      </c>
      <c r="U91" s="263" t="str">
        <f>IFERROR(HLOOKUP(U$7,'PCO Log'!$E$11:$SJ$98,85,FALSE),"")</f>
        <v/>
      </c>
      <c r="V91" s="263" t="str">
        <f>IFERROR(HLOOKUP(V$7,'PCO Log'!$E$11:$SJ$98,85,FALSE),"")</f>
        <v/>
      </c>
      <c r="W91" s="263" t="str">
        <f>IFERROR(HLOOKUP(W$7,'PCO Log'!$E$11:$SJ$98,85,FALSE),"")</f>
        <v/>
      </c>
      <c r="X91" s="263" t="str">
        <f>IFERROR(HLOOKUP(X$7,'PCO Log'!$E$11:$SJ$98,85,FALSE),"")</f>
        <v/>
      </c>
      <c r="Y91" s="263" t="str">
        <f>IFERROR(HLOOKUP(Y$7,'PCO Log'!$E$11:$SJ$98,85,FALSE),"")</f>
        <v/>
      </c>
      <c r="Z91" s="263" t="str">
        <f>IFERROR(HLOOKUP(Z$7,'PCO Log'!$E$11:$SJ$98,85,FALSE),"")</f>
        <v/>
      </c>
      <c r="AA91" s="263" t="str">
        <f>IFERROR(HLOOKUP(AA$7,'PCO Log'!$E$11:$SJ$98,85,FALSE),"")</f>
        <v/>
      </c>
      <c r="AB91" s="263" t="str">
        <f>IFERROR(HLOOKUP(AB$7,'PCO Log'!$E$11:$SJ$98,85,FALSE),"")</f>
        <v/>
      </c>
      <c r="AC91" s="263" t="str">
        <f>IFERROR(HLOOKUP(AC$7,'PCO Log'!$E$11:$SJ$98,85,FALSE),"")</f>
        <v/>
      </c>
      <c r="AD91" s="263" t="str">
        <f>IFERROR(HLOOKUP(AD$7,'PCO Log'!$E$11:$SJ$98,85,FALSE),"")</f>
        <v/>
      </c>
      <c r="AE91" s="263" t="str">
        <f>IFERROR(HLOOKUP(AE$7,'PCO Log'!$E$11:$SJ$98,85,FALSE),"")</f>
        <v/>
      </c>
      <c r="AF91" s="263" t="str">
        <f>IFERROR(HLOOKUP(AF$7,'PCO Log'!$E$11:$SJ$98,85,FALSE),"")</f>
        <v/>
      </c>
      <c r="AG91" s="263" t="str">
        <f>IFERROR(HLOOKUP(AG$7,'PCO Log'!$E$11:$SJ$98,85,FALSE),"")</f>
        <v/>
      </c>
      <c r="AH91" s="263" t="str">
        <f>IFERROR(HLOOKUP(AH$7,'PCO Log'!$E$11:$SJ$98,85,FALSE),"")</f>
        <v/>
      </c>
      <c r="AI91" s="263" t="str">
        <f>IFERROR(HLOOKUP(AI$7,'PCO Log'!$E$11:$SJ$98,85,FALSE),"")</f>
        <v/>
      </c>
      <c r="AJ91" s="263" t="str">
        <f>IFERROR(HLOOKUP(AJ$7,'PCO Log'!$E$11:$SJ$98,85,FALSE),"")</f>
        <v/>
      </c>
      <c r="AK91" s="263" t="str">
        <f>IFERROR(HLOOKUP(AK$7,'PCO Log'!$E$11:$SJ$98,85,FALSE),"")</f>
        <v/>
      </c>
      <c r="AL91" s="263" t="str">
        <f>IFERROR(HLOOKUP(AL$7,'PCO Log'!$E$11:$SJ$98,85,FALSE),"")</f>
        <v/>
      </c>
      <c r="AM91" s="263" t="str">
        <f>IFERROR(HLOOKUP(AM$7,'PCO Log'!$E$11:$SJ$98,85,FALSE),"")</f>
        <v/>
      </c>
      <c r="AN91" s="263" t="str">
        <f>IFERROR(HLOOKUP(AN$7,'PCO Log'!$E$11:$SJ$98,85,FALSE),"")</f>
        <v/>
      </c>
      <c r="AO91" s="263" t="str">
        <f>IFERROR(HLOOKUP(AO$7,'PCO Log'!$E$11:$SJ$98,85,FALSE),"")</f>
        <v/>
      </c>
      <c r="AP91" s="263" t="str">
        <f>IFERROR(HLOOKUP(AP$7,'PCO Log'!$E$11:$SJ$98,85,FALSE),"")</f>
        <v/>
      </c>
      <c r="AQ91" s="263" t="str">
        <f>IFERROR(HLOOKUP(AQ$7,'PCO Log'!$E$11:$SJ$98,85,FALSE),"")</f>
        <v/>
      </c>
      <c r="AR91" s="263" t="str">
        <f>IFERROR(HLOOKUP(AR$7,'PCO Log'!$E$11:$SJ$98,85,FALSE),"")</f>
        <v/>
      </c>
      <c r="AS91" s="263" t="str">
        <f>IFERROR(HLOOKUP(AS$7,'PCO Log'!$E$11:$SJ$98,85,FALSE),"")</f>
        <v/>
      </c>
      <c r="AT91" s="263" t="str">
        <f>IFERROR(HLOOKUP(AT$7,'PCO Log'!$E$11:$SJ$98,85,FALSE),"")</f>
        <v/>
      </c>
      <c r="AU91" s="263" t="str">
        <f>IFERROR(HLOOKUP(AU$7,'PCO Log'!$E$11:$SJ$98,85,FALSE),"")</f>
        <v/>
      </c>
      <c r="AV91" s="263" t="str">
        <f>IFERROR(HLOOKUP(AV$7,'PCO Log'!$E$11:$SJ$98,85,FALSE),"")</f>
        <v/>
      </c>
      <c r="AW91" s="263" t="str">
        <f>IFERROR(HLOOKUP(AW$7,'PCO Log'!$E$11:$SJ$98,85,FALSE),"")</f>
        <v/>
      </c>
      <c r="AX91" s="263" t="str">
        <f>IFERROR(HLOOKUP(AX$7,'PCO Log'!$E$11:$SJ$98,85,FALSE),"")</f>
        <v/>
      </c>
      <c r="AY91" s="263" t="str">
        <f>IFERROR(HLOOKUP(AY$7,'PCO Log'!$E$11:$SJ$98,85,FALSE),"")</f>
        <v/>
      </c>
      <c r="AZ91" s="263" t="str">
        <f>IFERROR(HLOOKUP(AZ$7,'PCO Log'!$E$11:$SJ$98,85,FALSE),"")</f>
        <v/>
      </c>
      <c r="BA91" s="263" t="str">
        <f>IFERROR(HLOOKUP(BA$7,'PCO Log'!$E$11:$SJ$98,85,FALSE),"")</f>
        <v/>
      </c>
      <c r="BB91" s="263" t="str">
        <f>IFERROR(HLOOKUP(BB$7,'PCO Log'!$E$11:$SJ$98,85,FALSE),"")</f>
        <v/>
      </c>
      <c r="BC91" s="263" t="str">
        <f>IFERROR(HLOOKUP(BC$7,'PCO Log'!$E$11:$SJ$98,85,FALSE),"")</f>
        <v/>
      </c>
    </row>
    <row r="92" spans="2:55" s="334" customFormat="1" x14ac:dyDescent="0.25">
      <c r="B92" s="112" t="str">
        <f>'Pay App 1'!B146</f>
        <v>60 00 20</v>
      </c>
      <c r="C92" s="113" t="str">
        <f>'Pay App 1'!C146</f>
        <v>Other - Please Specify</v>
      </c>
      <c r="D92" s="263">
        <f t="shared" si="2"/>
        <v>0</v>
      </c>
      <c r="E92" s="264">
        <f>'Pay App 1'!D146</f>
        <v>0</v>
      </c>
      <c r="F92" s="263" t="str">
        <f>IFERROR(HLOOKUP(F$7,'PCO Log'!$E$11:$SJ$98,86,FALSE),"")</f>
        <v/>
      </c>
      <c r="G92" s="263" t="str">
        <f>IFERROR(HLOOKUP(G$7,'PCO Log'!$E$11:$SJ$98,86,FALSE),"")</f>
        <v/>
      </c>
      <c r="H92" s="263" t="str">
        <f>IFERROR(HLOOKUP(H$7,'PCO Log'!$E$11:$SJ$98,86,FALSE),"")</f>
        <v/>
      </c>
      <c r="I92" s="263" t="str">
        <f>IFERROR(HLOOKUP(I$7,'PCO Log'!$E$11:$SJ$98,86,FALSE),"")</f>
        <v/>
      </c>
      <c r="J92" s="263" t="str">
        <f>IFERROR(HLOOKUP(J$7,'PCO Log'!$E$11:$SJ$98,86,FALSE),"")</f>
        <v/>
      </c>
      <c r="K92" s="263" t="str">
        <f>IFERROR(HLOOKUP(K$7,'PCO Log'!$E$11:$SJ$98,86,FALSE),"")</f>
        <v/>
      </c>
      <c r="L92" s="263" t="str">
        <f>IFERROR(HLOOKUP(L$7,'PCO Log'!$E$11:$SJ$98,86,FALSE),"")</f>
        <v/>
      </c>
      <c r="M92" s="263" t="str">
        <f>IFERROR(HLOOKUP(M$7,'PCO Log'!$E$11:$SJ$98,86,FALSE),"")</f>
        <v/>
      </c>
      <c r="N92" s="263" t="str">
        <f>IFERROR(HLOOKUP(N$7,'PCO Log'!$E$11:$SJ$98,86,FALSE),"")</f>
        <v/>
      </c>
      <c r="O92" s="263" t="str">
        <f>IFERROR(HLOOKUP(O$7,'PCO Log'!$E$11:$SJ$98,86,FALSE),"")</f>
        <v/>
      </c>
      <c r="P92" s="263" t="str">
        <f>IFERROR(HLOOKUP(P$7,'PCO Log'!$E$11:$SJ$98,86,FALSE),"")</f>
        <v/>
      </c>
      <c r="Q92" s="263" t="str">
        <f>IFERROR(HLOOKUP(Q$7,'PCO Log'!$E$11:$SJ$98,86,FALSE),"")</f>
        <v/>
      </c>
      <c r="R92" s="263" t="str">
        <f>IFERROR(HLOOKUP(R$7,'PCO Log'!$E$11:$SJ$98,86,FALSE),"")</f>
        <v/>
      </c>
      <c r="S92" s="263" t="str">
        <f>IFERROR(HLOOKUP(S$7,'PCO Log'!$E$11:$SJ$98,86,FALSE),"")</f>
        <v/>
      </c>
      <c r="T92" s="263" t="str">
        <f>IFERROR(HLOOKUP(T$7,'PCO Log'!$E$11:$SJ$98,86,FALSE),"")</f>
        <v/>
      </c>
      <c r="U92" s="263" t="str">
        <f>IFERROR(HLOOKUP(U$7,'PCO Log'!$E$11:$SJ$98,86,FALSE),"")</f>
        <v/>
      </c>
      <c r="V92" s="263" t="str">
        <f>IFERROR(HLOOKUP(V$7,'PCO Log'!$E$11:$SJ$98,86,FALSE),"")</f>
        <v/>
      </c>
      <c r="W92" s="263" t="str">
        <f>IFERROR(HLOOKUP(W$7,'PCO Log'!$E$11:$SJ$98,86,FALSE),"")</f>
        <v/>
      </c>
      <c r="X92" s="263" t="str">
        <f>IFERROR(HLOOKUP(X$7,'PCO Log'!$E$11:$SJ$98,86,FALSE),"")</f>
        <v/>
      </c>
      <c r="Y92" s="263" t="str">
        <f>IFERROR(HLOOKUP(Y$7,'PCO Log'!$E$11:$SJ$98,86,FALSE),"")</f>
        <v/>
      </c>
      <c r="Z92" s="263" t="str">
        <f>IFERROR(HLOOKUP(Z$7,'PCO Log'!$E$11:$SJ$98,86,FALSE),"")</f>
        <v/>
      </c>
      <c r="AA92" s="263" t="str">
        <f>IFERROR(HLOOKUP(AA$7,'PCO Log'!$E$11:$SJ$98,86,FALSE),"")</f>
        <v/>
      </c>
      <c r="AB92" s="263" t="str">
        <f>IFERROR(HLOOKUP(AB$7,'PCO Log'!$E$11:$SJ$98,86,FALSE),"")</f>
        <v/>
      </c>
      <c r="AC92" s="263" t="str">
        <f>IFERROR(HLOOKUP(AC$7,'PCO Log'!$E$11:$SJ$98,86,FALSE),"")</f>
        <v/>
      </c>
      <c r="AD92" s="263" t="str">
        <f>IFERROR(HLOOKUP(AD$7,'PCO Log'!$E$11:$SJ$98,86,FALSE),"")</f>
        <v/>
      </c>
      <c r="AE92" s="263" t="str">
        <f>IFERROR(HLOOKUP(AE$7,'PCO Log'!$E$11:$SJ$98,86,FALSE),"")</f>
        <v/>
      </c>
      <c r="AF92" s="263" t="str">
        <f>IFERROR(HLOOKUP(AF$7,'PCO Log'!$E$11:$SJ$98,86,FALSE),"")</f>
        <v/>
      </c>
      <c r="AG92" s="263" t="str">
        <f>IFERROR(HLOOKUP(AG$7,'PCO Log'!$E$11:$SJ$98,86,FALSE),"")</f>
        <v/>
      </c>
      <c r="AH92" s="263" t="str">
        <f>IFERROR(HLOOKUP(AH$7,'PCO Log'!$E$11:$SJ$98,86,FALSE),"")</f>
        <v/>
      </c>
      <c r="AI92" s="263" t="str">
        <f>IFERROR(HLOOKUP(AI$7,'PCO Log'!$E$11:$SJ$98,86,FALSE),"")</f>
        <v/>
      </c>
      <c r="AJ92" s="263" t="str">
        <f>IFERROR(HLOOKUP(AJ$7,'PCO Log'!$E$11:$SJ$98,86,FALSE),"")</f>
        <v/>
      </c>
      <c r="AK92" s="263" t="str">
        <f>IFERROR(HLOOKUP(AK$7,'PCO Log'!$E$11:$SJ$98,86,FALSE),"")</f>
        <v/>
      </c>
      <c r="AL92" s="263" t="str">
        <f>IFERROR(HLOOKUP(AL$7,'PCO Log'!$E$11:$SJ$98,86,FALSE),"")</f>
        <v/>
      </c>
      <c r="AM92" s="263" t="str">
        <f>IFERROR(HLOOKUP(AM$7,'PCO Log'!$E$11:$SJ$98,86,FALSE),"")</f>
        <v/>
      </c>
      <c r="AN92" s="263" t="str">
        <f>IFERROR(HLOOKUP(AN$7,'PCO Log'!$E$11:$SJ$98,86,FALSE),"")</f>
        <v/>
      </c>
      <c r="AO92" s="263" t="str">
        <f>IFERROR(HLOOKUP(AO$7,'PCO Log'!$E$11:$SJ$98,86,FALSE),"")</f>
        <v/>
      </c>
      <c r="AP92" s="263" t="str">
        <f>IFERROR(HLOOKUP(AP$7,'PCO Log'!$E$11:$SJ$98,86,FALSE),"")</f>
        <v/>
      </c>
      <c r="AQ92" s="263" t="str">
        <f>IFERROR(HLOOKUP(AQ$7,'PCO Log'!$E$11:$SJ$98,86,FALSE),"")</f>
        <v/>
      </c>
      <c r="AR92" s="263" t="str">
        <f>IFERROR(HLOOKUP(AR$7,'PCO Log'!$E$11:$SJ$98,86,FALSE),"")</f>
        <v/>
      </c>
      <c r="AS92" s="263" t="str">
        <f>IFERROR(HLOOKUP(AS$7,'PCO Log'!$E$11:$SJ$98,86,FALSE),"")</f>
        <v/>
      </c>
      <c r="AT92" s="263" t="str">
        <f>IFERROR(HLOOKUP(AT$7,'PCO Log'!$E$11:$SJ$98,86,FALSE),"")</f>
        <v/>
      </c>
      <c r="AU92" s="263" t="str">
        <f>IFERROR(HLOOKUP(AU$7,'PCO Log'!$E$11:$SJ$98,86,FALSE),"")</f>
        <v/>
      </c>
      <c r="AV92" s="263" t="str">
        <f>IFERROR(HLOOKUP(AV$7,'PCO Log'!$E$11:$SJ$98,86,FALSE),"")</f>
        <v/>
      </c>
      <c r="AW92" s="263" t="str">
        <f>IFERROR(HLOOKUP(AW$7,'PCO Log'!$E$11:$SJ$98,86,FALSE),"")</f>
        <v/>
      </c>
      <c r="AX92" s="263" t="str">
        <f>IFERROR(HLOOKUP(AX$7,'PCO Log'!$E$11:$SJ$98,86,FALSE),"")</f>
        <v/>
      </c>
      <c r="AY92" s="263" t="str">
        <f>IFERROR(HLOOKUP(AY$7,'PCO Log'!$E$11:$SJ$98,86,FALSE),"")</f>
        <v/>
      </c>
      <c r="AZ92" s="263" t="str">
        <f>IFERROR(HLOOKUP(AZ$7,'PCO Log'!$E$11:$SJ$98,86,FALSE),"")</f>
        <v/>
      </c>
      <c r="BA92" s="263" t="str">
        <f>IFERROR(HLOOKUP(BA$7,'PCO Log'!$E$11:$SJ$98,86,FALSE),"")</f>
        <v/>
      </c>
      <c r="BB92" s="263" t="str">
        <f>IFERROR(HLOOKUP(BB$7,'PCO Log'!$E$11:$SJ$98,86,FALSE),"")</f>
        <v/>
      </c>
      <c r="BC92" s="263" t="str">
        <f>IFERROR(HLOOKUP(BC$7,'PCO Log'!$E$11:$SJ$98,86,FALSE),"")</f>
        <v/>
      </c>
    </row>
    <row r="93" spans="2:55" s="334" customFormat="1" x14ac:dyDescent="0.25">
      <c r="B93" s="112" t="str">
        <f>'Pay App 1'!B147</f>
        <v>60 00 30</v>
      </c>
      <c r="C93" s="113" t="str">
        <f>'Pay App 1'!C147</f>
        <v>Other - Please Specify</v>
      </c>
      <c r="D93" s="263">
        <f>SUM(E93:BC93)</f>
        <v>0</v>
      </c>
      <c r="E93" s="264">
        <f>'Pay App 1'!D147</f>
        <v>0</v>
      </c>
      <c r="F93" s="263" t="str">
        <f>IFERROR(HLOOKUP(F$7,'PCO Log'!$E$11:$SJ$98,87,FALSE),"")</f>
        <v/>
      </c>
      <c r="G93" s="263" t="str">
        <f>IFERROR(HLOOKUP(G$7,'PCO Log'!$E$11:$SJ$98,87,FALSE),"")</f>
        <v/>
      </c>
      <c r="H93" s="263" t="str">
        <f>IFERROR(HLOOKUP(H$7,'PCO Log'!$E$11:$SJ$98,87,FALSE),"")</f>
        <v/>
      </c>
      <c r="I93" s="263" t="str">
        <f>IFERROR(HLOOKUP(I$7,'PCO Log'!$E$11:$SJ$98,87,FALSE),"")</f>
        <v/>
      </c>
      <c r="J93" s="263" t="str">
        <f>IFERROR(HLOOKUP(J$7,'PCO Log'!$E$11:$SJ$98,87,FALSE),"")</f>
        <v/>
      </c>
      <c r="K93" s="263" t="str">
        <f>IFERROR(HLOOKUP(K$7,'PCO Log'!$E$11:$SJ$98,87,FALSE),"")</f>
        <v/>
      </c>
      <c r="L93" s="263" t="str">
        <f>IFERROR(HLOOKUP(L$7,'PCO Log'!$E$11:$SJ$98,87,FALSE),"")</f>
        <v/>
      </c>
      <c r="M93" s="263" t="str">
        <f>IFERROR(HLOOKUP(M$7,'PCO Log'!$E$11:$SJ$98,87,FALSE),"")</f>
        <v/>
      </c>
      <c r="N93" s="263" t="str">
        <f>IFERROR(HLOOKUP(N$7,'PCO Log'!$E$11:$SJ$98,87,FALSE),"")</f>
        <v/>
      </c>
      <c r="O93" s="263" t="str">
        <f>IFERROR(HLOOKUP(O$7,'PCO Log'!$E$11:$SJ$98,87,FALSE),"")</f>
        <v/>
      </c>
      <c r="P93" s="263" t="str">
        <f>IFERROR(HLOOKUP(P$7,'PCO Log'!$E$11:$SJ$98,87,FALSE),"")</f>
        <v/>
      </c>
      <c r="Q93" s="263" t="str">
        <f>IFERROR(HLOOKUP(Q$7,'PCO Log'!$E$11:$SJ$98,87,FALSE),"")</f>
        <v/>
      </c>
      <c r="R93" s="263" t="str">
        <f>IFERROR(HLOOKUP(R$7,'PCO Log'!$E$11:$SJ$98,87,FALSE),"")</f>
        <v/>
      </c>
      <c r="S93" s="263" t="str">
        <f>IFERROR(HLOOKUP(S$7,'PCO Log'!$E$11:$SJ$98,87,FALSE),"")</f>
        <v/>
      </c>
      <c r="T93" s="263" t="str">
        <f>IFERROR(HLOOKUP(T$7,'PCO Log'!$E$11:$SJ$98,87,FALSE),"")</f>
        <v/>
      </c>
      <c r="U93" s="263" t="str">
        <f>IFERROR(HLOOKUP(U$7,'PCO Log'!$E$11:$SJ$98,87,FALSE),"")</f>
        <v/>
      </c>
      <c r="V93" s="263" t="str">
        <f>IFERROR(HLOOKUP(V$7,'PCO Log'!$E$11:$SJ$98,87,FALSE),"")</f>
        <v/>
      </c>
      <c r="W93" s="263" t="str">
        <f>IFERROR(HLOOKUP(W$7,'PCO Log'!$E$11:$SJ$98,87,FALSE),"")</f>
        <v/>
      </c>
      <c r="X93" s="263" t="str">
        <f>IFERROR(HLOOKUP(X$7,'PCO Log'!$E$11:$SJ$98,87,FALSE),"")</f>
        <v/>
      </c>
      <c r="Y93" s="263" t="str">
        <f>IFERROR(HLOOKUP(Y$7,'PCO Log'!$E$11:$SJ$98,87,FALSE),"")</f>
        <v/>
      </c>
      <c r="Z93" s="263" t="str">
        <f>IFERROR(HLOOKUP(Z$7,'PCO Log'!$E$11:$SJ$98,87,FALSE),"")</f>
        <v/>
      </c>
      <c r="AA93" s="263" t="str">
        <f>IFERROR(HLOOKUP(AA$7,'PCO Log'!$E$11:$SJ$98,87,FALSE),"")</f>
        <v/>
      </c>
      <c r="AB93" s="263" t="str">
        <f>IFERROR(HLOOKUP(AB$7,'PCO Log'!$E$11:$SJ$98,87,FALSE),"")</f>
        <v/>
      </c>
      <c r="AC93" s="263" t="str">
        <f>IFERROR(HLOOKUP(AC$7,'PCO Log'!$E$11:$SJ$98,87,FALSE),"")</f>
        <v/>
      </c>
      <c r="AD93" s="263" t="str">
        <f>IFERROR(HLOOKUP(AD$7,'PCO Log'!$E$11:$SJ$98,87,FALSE),"")</f>
        <v/>
      </c>
      <c r="AE93" s="263" t="str">
        <f>IFERROR(HLOOKUP(AE$7,'PCO Log'!$E$11:$SJ$98,87,FALSE),"")</f>
        <v/>
      </c>
      <c r="AF93" s="263" t="str">
        <f>IFERROR(HLOOKUP(AF$7,'PCO Log'!$E$11:$SJ$98,87,FALSE),"")</f>
        <v/>
      </c>
      <c r="AG93" s="263" t="str">
        <f>IFERROR(HLOOKUP(AG$7,'PCO Log'!$E$11:$SJ$98,87,FALSE),"")</f>
        <v/>
      </c>
      <c r="AH93" s="263" t="str">
        <f>IFERROR(HLOOKUP(AH$7,'PCO Log'!$E$11:$SJ$98,87,FALSE),"")</f>
        <v/>
      </c>
      <c r="AI93" s="263" t="str">
        <f>IFERROR(HLOOKUP(AI$7,'PCO Log'!$E$11:$SJ$98,87,FALSE),"")</f>
        <v/>
      </c>
      <c r="AJ93" s="263" t="str">
        <f>IFERROR(HLOOKUP(AJ$7,'PCO Log'!$E$11:$SJ$98,87,FALSE),"")</f>
        <v/>
      </c>
      <c r="AK93" s="263" t="str">
        <f>IFERROR(HLOOKUP(AK$7,'PCO Log'!$E$11:$SJ$98,87,FALSE),"")</f>
        <v/>
      </c>
      <c r="AL93" s="263" t="str">
        <f>IFERROR(HLOOKUP(AL$7,'PCO Log'!$E$11:$SJ$98,87,FALSE),"")</f>
        <v/>
      </c>
      <c r="AM93" s="263" t="str">
        <f>IFERROR(HLOOKUP(AM$7,'PCO Log'!$E$11:$SJ$98,87,FALSE),"")</f>
        <v/>
      </c>
      <c r="AN93" s="263" t="str">
        <f>IFERROR(HLOOKUP(AN$7,'PCO Log'!$E$11:$SJ$98,87,FALSE),"")</f>
        <v/>
      </c>
      <c r="AO93" s="263" t="str">
        <f>IFERROR(HLOOKUP(AO$7,'PCO Log'!$E$11:$SJ$98,87,FALSE),"")</f>
        <v/>
      </c>
      <c r="AP93" s="263" t="str">
        <f>IFERROR(HLOOKUP(AP$7,'PCO Log'!$E$11:$SJ$98,87,FALSE),"")</f>
        <v/>
      </c>
      <c r="AQ93" s="263" t="str">
        <f>IFERROR(HLOOKUP(AQ$7,'PCO Log'!$E$11:$SJ$98,87,FALSE),"")</f>
        <v/>
      </c>
      <c r="AR93" s="263" t="str">
        <f>IFERROR(HLOOKUP(AR$7,'PCO Log'!$E$11:$SJ$98,87,FALSE),"")</f>
        <v/>
      </c>
      <c r="AS93" s="263" t="str">
        <f>IFERROR(HLOOKUP(AS$7,'PCO Log'!$E$11:$SJ$98,87,FALSE),"")</f>
        <v/>
      </c>
      <c r="AT93" s="263" t="str">
        <f>IFERROR(HLOOKUP(AT$7,'PCO Log'!$E$11:$SJ$98,87,FALSE),"")</f>
        <v/>
      </c>
      <c r="AU93" s="263" t="str">
        <f>IFERROR(HLOOKUP(AU$7,'PCO Log'!$E$11:$SJ$98,87,FALSE),"")</f>
        <v/>
      </c>
      <c r="AV93" s="263" t="str">
        <f>IFERROR(HLOOKUP(AV$7,'PCO Log'!$E$11:$SJ$98,87,FALSE),"")</f>
        <v/>
      </c>
      <c r="AW93" s="263" t="str">
        <f>IFERROR(HLOOKUP(AW$7,'PCO Log'!$E$11:$SJ$98,87,FALSE),"")</f>
        <v/>
      </c>
      <c r="AX93" s="263" t="str">
        <f>IFERROR(HLOOKUP(AX$7,'PCO Log'!$E$11:$SJ$98,87,FALSE),"")</f>
        <v/>
      </c>
      <c r="AY93" s="263" t="str">
        <f>IFERROR(HLOOKUP(AY$7,'PCO Log'!$E$11:$SJ$98,87,FALSE),"")</f>
        <v/>
      </c>
      <c r="AZ93" s="263" t="str">
        <f>IFERROR(HLOOKUP(AZ$7,'PCO Log'!$E$11:$SJ$98,87,FALSE),"")</f>
        <v/>
      </c>
      <c r="BA93" s="263" t="str">
        <f>IFERROR(HLOOKUP(BA$7,'PCO Log'!$E$11:$SJ$98,87,FALSE),"")</f>
        <v/>
      </c>
      <c r="BB93" s="263" t="str">
        <f>IFERROR(HLOOKUP(BB$7,'PCO Log'!$E$11:$SJ$98,87,FALSE),"")</f>
        <v/>
      </c>
      <c r="BC93" s="263" t="str">
        <f>IFERROR(HLOOKUP(BC$7,'PCO Log'!$E$11:$SJ$98,87,FALSE),"")</f>
        <v/>
      </c>
    </row>
    <row r="94" spans="2:55" s="334" customFormat="1" x14ac:dyDescent="0.25">
      <c r="B94" s="112" t="str">
        <f>'Pay App 1'!B148</f>
        <v>60 00 40</v>
      </c>
      <c r="C94" s="113" t="str">
        <f>'Pay App 1'!C148</f>
        <v>Other - Please Specify</v>
      </c>
      <c r="D94" s="263">
        <f t="shared" si="2"/>
        <v>0</v>
      </c>
      <c r="E94" s="264">
        <f>'Pay App 1'!D148</f>
        <v>0</v>
      </c>
      <c r="F94" s="263" t="str">
        <f>IFERROR(HLOOKUP(F$7,'PCO Log'!$E$11:$SJ$98,88,FALSE),"")</f>
        <v/>
      </c>
      <c r="G94" s="263" t="str">
        <f>IFERROR(HLOOKUP(G$7,'PCO Log'!$E$11:$SJ$98,88,FALSE),"")</f>
        <v/>
      </c>
      <c r="H94" s="263" t="str">
        <f>IFERROR(HLOOKUP(H$7,'PCO Log'!$E$11:$SJ$98,88,FALSE),"")</f>
        <v/>
      </c>
      <c r="I94" s="263" t="str">
        <f>IFERROR(HLOOKUP(I$7,'PCO Log'!$E$11:$SJ$98,88,FALSE),"")</f>
        <v/>
      </c>
      <c r="J94" s="263" t="str">
        <f>IFERROR(HLOOKUP(J$7,'PCO Log'!$E$11:$SJ$98,88,FALSE),"")</f>
        <v/>
      </c>
      <c r="K94" s="263" t="str">
        <f>IFERROR(HLOOKUP(K$7,'PCO Log'!$E$11:$SJ$98,88,FALSE),"")</f>
        <v/>
      </c>
      <c r="L94" s="263" t="str">
        <f>IFERROR(HLOOKUP(L$7,'PCO Log'!$E$11:$SJ$98,88,FALSE),"")</f>
        <v/>
      </c>
      <c r="M94" s="263" t="str">
        <f>IFERROR(HLOOKUP(M$7,'PCO Log'!$E$11:$SJ$98,88,FALSE),"")</f>
        <v/>
      </c>
      <c r="N94" s="263" t="str">
        <f>IFERROR(HLOOKUP(N$7,'PCO Log'!$E$11:$SJ$98,88,FALSE),"")</f>
        <v/>
      </c>
      <c r="O94" s="263" t="str">
        <f>IFERROR(HLOOKUP(O$7,'PCO Log'!$E$11:$SJ$98,88,FALSE),"")</f>
        <v/>
      </c>
      <c r="P94" s="263" t="str">
        <f>IFERROR(HLOOKUP(P$7,'PCO Log'!$E$11:$SJ$98,88,FALSE),"")</f>
        <v/>
      </c>
      <c r="Q94" s="263" t="str">
        <f>IFERROR(HLOOKUP(Q$7,'PCO Log'!$E$11:$SJ$98,88,FALSE),"")</f>
        <v/>
      </c>
      <c r="R94" s="263" t="str">
        <f>IFERROR(HLOOKUP(R$7,'PCO Log'!$E$11:$SJ$98,88,FALSE),"")</f>
        <v/>
      </c>
      <c r="S94" s="263" t="str">
        <f>IFERROR(HLOOKUP(S$7,'PCO Log'!$E$11:$SJ$98,88,FALSE),"")</f>
        <v/>
      </c>
      <c r="T94" s="263" t="str">
        <f>IFERROR(HLOOKUP(T$7,'PCO Log'!$E$11:$SJ$98,88,FALSE),"")</f>
        <v/>
      </c>
      <c r="U94" s="263" t="str">
        <f>IFERROR(HLOOKUP(U$7,'PCO Log'!$E$11:$SJ$98,88,FALSE),"")</f>
        <v/>
      </c>
      <c r="V94" s="263" t="str">
        <f>IFERROR(HLOOKUP(V$7,'PCO Log'!$E$11:$SJ$98,88,FALSE),"")</f>
        <v/>
      </c>
      <c r="W94" s="263" t="str">
        <f>IFERROR(HLOOKUP(W$7,'PCO Log'!$E$11:$SJ$98,88,FALSE),"")</f>
        <v/>
      </c>
      <c r="X94" s="263" t="str">
        <f>IFERROR(HLOOKUP(X$7,'PCO Log'!$E$11:$SJ$98,88,FALSE),"")</f>
        <v/>
      </c>
      <c r="Y94" s="263" t="str">
        <f>IFERROR(HLOOKUP(Y$7,'PCO Log'!$E$11:$SJ$98,88,FALSE),"")</f>
        <v/>
      </c>
      <c r="Z94" s="263" t="str">
        <f>IFERROR(HLOOKUP(Z$7,'PCO Log'!$E$11:$SJ$98,88,FALSE),"")</f>
        <v/>
      </c>
      <c r="AA94" s="263" t="str">
        <f>IFERROR(HLOOKUP(AA$7,'PCO Log'!$E$11:$SJ$98,88,FALSE),"")</f>
        <v/>
      </c>
      <c r="AB94" s="263" t="str">
        <f>IFERROR(HLOOKUP(AB$7,'PCO Log'!$E$11:$SJ$98,88,FALSE),"")</f>
        <v/>
      </c>
      <c r="AC94" s="263" t="str">
        <f>IFERROR(HLOOKUP(AC$7,'PCO Log'!$E$11:$SJ$98,88,FALSE),"")</f>
        <v/>
      </c>
      <c r="AD94" s="263" t="str">
        <f>IFERROR(HLOOKUP(AD$7,'PCO Log'!$E$11:$SJ$98,88,FALSE),"")</f>
        <v/>
      </c>
      <c r="AE94" s="263" t="str">
        <f>IFERROR(HLOOKUP(AE$7,'PCO Log'!$E$11:$SJ$98,88,FALSE),"")</f>
        <v/>
      </c>
      <c r="AF94" s="263" t="str">
        <f>IFERROR(HLOOKUP(AF$7,'PCO Log'!$E$11:$SJ$98,88,FALSE),"")</f>
        <v/>
      </c>
      <c r="AG94" s="263" t="str">
        <f>IFERROR(HLOOKUP(AG$7,'PCO Log'!$E$11:$SJ$98,88,FALSE),"")</f>
        <v/>
      </c>
      <c r="AH94" s="263" t="str">
        <f>IFERROR(HLOOKUP(AH$7,'PCO Log'!$E$11:$SJ$98,88,FALSE),"")</f>
        <v/>
      </c>
      <c r="AI94" s="263" t="str">
        <f>IFERROR(HLOOKUP(AI$7,'PCO Log'!$E$11:$SJ$98,88,FALSE),"")</f>
        <v/>
      </c>
      <c r="AJ94" s="263" t="str">
        <f>IFERROR(HLOOKUP(AJ$7,'PCO Log'!$E$11:$SJ$98,88,FALSE),"")</f>
        <v/>
      </c>
      <c r="AK94" s="263" t="str">
        <f>IFERROR(HLOOKUP(AK$7,'PCO Log'!$E$11:$SJ$98,88,FALSE),"")</f>
        <v/>
      </c>
      <c r="AL94" s="263" t="str">
        <f>IFERROR(HLOOKUP(AL$7,'PCO Log'!$E$11:$SJ$98,88,FALSE),"")</f>
        <v/>
      </c>
      <c r="AM94" s="263" t="str">
        <f>IFERROR(HLOOKUP(AM$7,'PCO Log'!$E$11:$SJ$98,88,FALSE),"")</f>
        <v/>
      </c>
      <c r="AN94" s="263" t="str">
        <f>IFERROR(HLOOKUP(AN$7,'PCO Log'!$E$11:$SJ$98,88,FALSE),"")</f>
        <v/>
      </c>
      <c r="AO94" s="263" t="str">
        <f>IFERROR(HLOOKUP(AO$7,'PCO Log'!$E$11:$SJ$98,88,FALSE),"")</f>
        <v/>
      </c>
      <c r="AP94" s="263" t="str">
        <f>IFERROR(HLOOKUP(AP$7,'PCO Log'!$E$11:$SJ$98,88,FALSE),"")</f>
        <v/>
      </c>
      <c r="AQ94" s="263" t="str">
        <f>IFERROR(HLOOKUP(AQ$7,'PCO Log'!$E$11:$SJ$98,88,FALSE),"")</f>
        <v/>
      </c>
      <c r="AR94" s="263" t="str">
        <f>IFERROR(HLOOKUP(AR$7,'PCO Log'!$E$11:$SJ$98,88,FALSE),"")</f>
        <v/>
      </c>
      <c r="AS94" s="263" t="str">
        <f>IFERROR(HLOOKUP(AS$7,'PCO Log'!$E$11:$SJ$98,88,FALSE),"")</f>
        <v/>
      </c>
      <c r="AT94" s="263" t="str">
        <f>IFERROR(HLOOKUP(AT$7,'PCO Log'!$E$11:$SJ$98,88,FALSE),"")</f>
        <v/>
      </c>
      <c r="AU94" s="263" t="str">
        <f>IFERROR(HLOOKUP(AU$7,'PCO Log'!$E$11:$SJ$98,88,FALSE),"")</f>
        <v/>
      </c>
      <c r="AV94" s="263" t="str">
        <f>IFERROR(HLOOKUP(AV$7,'PCO Log'!$E$11:$SJ$98,88,FALSE),"")</f>
        <v/>
      </c>
      <c r="AW94" s="263" t="str">
        <f>IFERROR(HLOOKUP(AW$7,'PCO Log'!$E$11:$SJ$98,88,FALSE),"")</f>
        <v/>
      </c>
      <c r="AX94" s="263" t="str">
        <f>IFERROR(HLOOKUP(AX$7,'PCO Log'!$E$11:$SJ$98,88,FALSE),"")</f>
        <v/>
      </c>
      <c r="AY94" s="263" t="str">
        <f>IFERROR(HLOOKUP(AY$7,'PCO Log'!$E$11:$SJ$98,88,FALSE),"")</f>
        <v/>
      </c>
      <c r="AZ94" s="263" t="str">
        <f>IFERROR(HLOOKUP(AZ$7,'PCO Log'!$E$11:$SJ$98,88,FALSE),"")</f>
        <v/>
      </c>
      <c r="BA94" s="263" t="str">
        <f>IFERROR(HLOOKUP(BA$7,'PCO Log'!$E$11:$SJ$98,88,FALSE),"")</f>
        <v/>
      </c>
      <c r="BB94" s="263" t="str">
        <f>IFERROR(HLOOKUP(BB$7,'PCO Log'!$E$11:$SJ$98,88,FALSE),"")</f>
        <v/>
      </c>
      <c r="BC94" s="263" t="str">
        <f>IFERROR(HLOOKUP(BC$7,'PCO Log'!$E$11:$SJ$98,88,FALSE),"")</f>
        <v/>
      </c>
    </row>
    <row r="95" spans="2:55" s="334" customFormat="1" ht="15.75" thickBot="1" x14ac:dyDescent="0.3">
      <c r="B95" s="330"/>
      <c r="C95" s="331" t="s">
        <v>104</v>
      </c>
      <c r="D95" s="333">
        <f>SUM(E95:BC95)</f>
        <v>0</v>
      </c>
      <c r="E95" s="333">
        <f>SUM(E8:E94)</f>
        <v>0</v>
      </c>
      <c r="F95" s="333">
        <f>SUM(F8:F94)</f>
        <v>0</v>
      </c>
      <c r="G95" s="333">
        <f t="shared" ref="G95:BB95" si="3">SUM(G8:G94)</f>
        <v>0</v>
      </c>
      <c r="H95" s="333">
        <f t="shared" si="3"/>
        <v>0</v>
      </c>
      <c r="I95" s="333">
        <f t="shared" si="3"/>
        <v>0</v>
      </c>
      <c r="J95" s="333">
        <f t="shared" si="3"/>
        <v>0</v>
      </c>
      <c r="K95" s="333">
        <f t="shared" si="3"/>
        <v>0</v>
      </c>
      <c r="L95" s="333">
        <f t="shared" si="3"/>
        <v>0</v>
      </c>
      <c r="M95" s="333">
        <f t="shared" si="3"/>
        <v>0</v>
      </c>
      <c r="N95" s="333">
        <f t="shared" si="3"/>
        <v>0</v>
      </c>
      <c r="O95" s="333">
        <f t="shared" si="3"/>
        <v>0</v>
      </c>
      <c r="P95" s="333">
        <f t="shared" si="3"/>
        <v>0</v>
      </c>
      <c r="Q95" s="333">
        <f t="shared" si="3"/>
        <v>0</v>
      </c>
      <c r="R95" s="333">
        <f t="shared" si="3"/>
        <v>0</v>
      </c>
      <c r="S95" s="333">
        <f t="shared" si="3"/>
        <v>0</v>
      </c>
      <c r="T95" s="333">
        <f t="shared" si="3"/>
        <v>0</v>
      </c>
      <c r="U95" s="333">
        <f t="shared" si="3"/>
        <v>0</v>
      </c>
      <c r="V95" s="333">
        <f t="shared" si="3"/>
        <v>0</v>
      </c>
      <c r="W95" s="333">
        <f t="shared" si="3"/>
        <v>0</v>
      </c>
      <c r="X95" s="333">
        <f t="shared" si="3"/>
        <v>0</v>
      </c>
      <c r="Y95" s="333">
        <f t="shared" si="3"/>
        <v>0</v>
      </c>
      <c r="Z95" s="333">
        <f t="shared" si="3"/>
        <v>0</v>
      </c>
      <c r="AA95" s="333">
        <f t="shared" si="3"/>
        <v>0</v>
      </c>
      <c r="AB95" s="333">
        <f t="shared" si="3"/>
        <v>0</v>
      </c>
      <c r="AC95" s="333">
        <f t="shared" si="3"/>
        <v>0</v>
      </c>
      <c r="AD95" s="333">
        <f t="shared" si="3"/>
        <v>0</v>
      </c>
      <c r="AE95" s="333">
        <f t="shared" si="3"/>
        <v>0</v>
      </c>
      <c r="AF95" s="333">
        <f t="shared" si="3"/>
        <v>0</v>
      </c>
      <c r="AG95" s="333">
        <f t="shared" si="3"/>
        <v>0</v>
      </c>
      <c r="AH95" s="333">
        <f t="shared" si="3"/>
        <v>0</v>
      </c>
      <c r="AI95" s="333">
        <f t="shared" si="3"/>
        <v>0</v>
      </c>
      <c r="AJ95" s="333">
        <f t="shared" si="3"/>
        <v>0</v>
      </c>
      <c r="AK95" s="333">
        <f t="shared" si="3"/>
        <v>0</v>
      </c>
      <c r="AL95" s="333">
        <f t="shared" si="3"/>
        <v>0</v>
      </c>
      <c r="AM95" s="333">
        <f t="shared" si="3"/>
        <v>0</v>
      </c>
      <c r="AN95" s="333">
        <f t="shared" si="3"/>
        <v>0</v>
      </c>
      <c r="AO95" s="333">
        <f t="shared" si="3"/>
        <v>0</v>
      </c>
      <c r="AP95" s="333">
        <f t="shared" si="3"/>
        <v>0</v>
      </c>
      <c r="AQ95" s="333">
        <f t="shared" si="3"/>
        <v>0</v>
      </c>
      <c r="AR95" s="333">
        <f t="shared" si="3"/>
        <v>0</v>
      </c>
      <c r="AS95" s="333">
        <f t="shared" si="3"/>
        <v>0</v>
      </c>
      <c r="AT95" s="333">
        <f t="shared" si="3"/>
        <v>0</v>
      </c>
      <c r="AU95" s="333">
        <f t="shared" si="3"/>
        <v>0</v>
      </c>
      <c r="AV95" s="333">
        <f t="shared" si="3"/>
        <v>0</v>
      </c>
      <c r="AW95" s="333">
        <f t="shared" si="3"/>
        <v>0</v>
      </c>
      <c r="AX95" s="333">
        <f t="shared" si="3"/>
        <v>0</v>
      </c>
      <c r="AY95" s="333">
        <f t="shared" si="3"/>
        <v>0</v>
      </c>
      <c r="AZ95" s="333">
        <f t="shared" si="3"/>
        <v>0</v>
      </c>
      <c r="BA95" s="333">
        <f t="shared" si="3"/>
        <v>0</v>
      </c>
      <c r="BB95" s="333">
        <f t="shared" si="3"/>
        <v>0</v>
      </c>
      <c r="BC95" s="293">
        <f>SUM(BC8:BC94)</f>
        <v>0</v>
      </c>
    </row>
    <row r="96" spans="2:55" ht="15.75" thickTop="1" x14ac:dyDescent="0.25"/>
  </sheetData>
  <sheetProtection algorithmName="SHA-512" hashValue="OsGt+TLNLK+JqtrO2C1Bmo9GiabnWBUgFD0UYcvTeWOE0ecxnstIns/0/HmkrkRlsdQhylGdCxb2bappP00kiQ==" saltValue="CEgHSuF/o8oFqMbvC9YGvg==" spinCount="100000" sheet="1" objects="1" scenarios="1" selectLockedCells="1"/>
  <mergeCells count="2">
    <mergeCell ref="B5:B6"/>
    <mergeCell ref="B1:D4"/>
  </mergeCells>
  <conditionalFormatting sqref="B5:B6">
    <cfRule type="cellIs" dxfId="672" priority="1" operator="equal">
      <formula>"FINAL GMP:"</formula>
    </cfRule>
    <cfRule type="cellIs" dxfId="671" priority="2" operator="equal">
      <formula>"OPEN GMP:"</formula>
    </cfRule>
  </conditionalFormatting>
  <conditionalFormatting sqref="D8:BC95">
    <cfRule type="cellIs" dxfId="670" priority="5" operator="equal">
      <formula>0</formula>
    </cfRule>
  </conditionalFormatting>
  <conditionalFormatting sqref="F6:BC6">
    <cfRule type="cellIs" dxfId="669" priority="4" operator="equal">
      <formula>0</formula>
    </cfRule>
  </conditionalFormatting>
  <pageMargins left="0.7" right="0.7" top="0.75" bottom="0.75" header="0.3" footer="0.3"/>
  <pageSetup orientation="landscape" r:id="rId1"/>
  <ignoredErrors>
    <ignoredError sqref="F8:BC94" unlockedFormula="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3458-E8C3-43AD-A3AA-DDB64BCB0ED8}">
  <sheetPr>
    <tabColor rgb="FFFFFF00"/>
    <pageSetUpPr fitToPage="1"/>
  </sheetPr>
  <dimension ref="B2:V62"/>
  <sheetViews>
    <sheetView showGridLines="0" zoomScaleNormal="100" zoomScalePageLayoutView="120" workbookViewId="0">
      <selection activeCell="C7" sqref="C7"/>
    </sheetView>
  </sheetViews>
  <sheetFormatPr defaultRowHeight="15" x14ac:dyDescent="0.25"/>
  <cols>
    <col min="1" max="1" width="2.7109375" customWidth="1"/>
    <col min="2" max="2" width="9.7109375" customWidth="1"/>
    <col min="3" max="3" width="46.28515625" customWidth="1"/>
    <col min="4" max="4" width="0.7109375" hidden="1" customWidth="1"/>
    <col min="5" max="6" width="0.85546875" hidden="1" customWidth="1"/>
    <col min="7" max="7" width="14.42578125" customWidth="1"/>
    <col min="8" max="8" width="21.85546875" customWidth="1"/>
    <col min="9" max="9" width="11.5703125" hidden="1" customWidth="1"/>
    <col min="10" max="10" width="1.5703125" hidden="1" customWidth="1"/>
    <col min="11" max="11" width="1.85546875" hidden="1" customWidth="1"/>
    <col min="12" max="12" width="8.42578125" customWidth="1"/>
    <col min="13" max="13" width="6.7109375" customWidth="1"/>
    <col min="14" max="14" width="17" customWidth="1"/>
    <col min="15" max="15" width="17" hidden="1" customWidth="1"/>
    <col min="16" max="16" width="22.7109375" customWidth="1"/>
    <col min="17" max="17" width="17.140625" customWidth="1"/>
    <col min="21" max="21" width="6.28515625" customWidth="1"/>
    <col min="22" max="22" width="7.5703125" customWidth="1"/>
  </cols>
  <sheetData>
    <row r="2" spans="2:22" ht="26.25" customHeight="1" x14ac:dyDescent="0.35">
      <c r="G2" s="378" t="s">
        <v>931</v>
      </c>
      <c r="H2" s="378"/>
      <c r="I2" s="378"/>
      <c r="J2" s="378"/>
      <c r="K2" s="378"/>
      <c r="L2" s="378"/>
      <c r="M2" s="199"/>
      <c r="N2" s="200"/>
      <c r="O2" s="200"/>
    </row>
    <row r="3" spans="2:22" ht="12" customHeight="1" x14ac:dyDescent="0.25">
      <c r="G3" s="383" t="s">
        <v>898</v>
      </c>
      <c r="H3" s="383"/>
      <c r="I3" s="383"/>
      <c r="J3" s="383"/>
      <c r="K3" s="383"/>
      <c r="L3" s="383"/>
    </row>
    <row r="4" spans="2:22" ht="15" customHeight="1" x14ac:dyDescent="0.25">
      <c r="B4" s="390" t="s">
        <v>899</v>
      </c>
      <c r="C4" s="390"/>
      <c r="D4" s="9"/>
      <c r="E4" s="9"/>
      <c r="F4" s="9"/>
      <c r="G4" s="201" t="s">
        <v>876</v>
      </c>
      <c r="H4" s="201" t="s">
        <v>877</v>
      </c>
      <c r="I4" s="201"/>
      <c r="J4" s="201"/>
      <c r="K4" s="201"/>
      <c r="L4" s="202" t="s">
        <v>878</v>
      </c>
      <c r="M4" s="167"/>
      <c r="N4" s="203"/>
      <c r="O4" s="203"/>
      <c r="P4" s="203"/>
      <c r="Q4" s="203"/>
      <c r="R4" s="203"/>
      <c r="S4" s="203"/>
      <c r="T4" s="203"/>
      <c r="U4" s="203"/>
      <c r="V4" s="203"/>
    </row>
    <row r="5" spans="2:22" ht="18.75" customHeight="1" x14ac:dyDescent="0.25">
      <c r="B5" s="390"/>
      <c r="C5" s="390"/>
      <c r="D5" s="9"/>
      <c r="E5" s="9"/>
      <c r="F5" s="9"/>
      <c r="G5" s="261">
        <f>'Summary Sheet'!D20</f>
        <v>0</v>
      </c>
      <c r="H5" s="261">
        <f>'Summary Sheet'!D21</f>
        <v>0</v>
      </c>
      <c r="I5" s="204"/>
      <c r="J5" s="204"/>
      <c r="K5" s="204"/>
      <c r="L5" s="198">
        <f>H5-G5</f>
        <v>0</v>
      </c>
      <c r="M5" s="167"/>
      <c r="N5" s="203"/>
      <c r="O5" s="203"/>
      <c r="P5" s="203"/>
      <c r="Q5" s="203"/>
      <c r="R5" s="203"/>
      <c r="S5" s="203"/>
      <c r="T5" s="203"/>
      <c r="U5" s="203"/>
      <c r="V5" s="203"/>
    </row>
    <row r="6" spans="2:22" ht="9.6" customHeight="1" x14ac:dyDescent="0.25">
      <c r="B6" s="205"/>
      <c r="C6" s="205"/>
      <c r="D6" s="205"/>
      <c r="E6" s="205"/>
      <c r="F6" s="205"/>
      <c r="G6" s="205"/>
      <c r="H6" s="205"/>
      <c r="I6" s="205"/>
      <c r="J6" s="205"/>
    </row>
    <row r="7" spans="2:22" ht="13.5" customHeight="1" x14ac:dyDescent="0.25">
      <c r="B7" s="206" t="s">
        <v>855</v>
      </c>
      <c r="C7" s="125"/>
      <c r="D7" s="207"/>
      <c r="E7" s="207"/>
      <c r="F7" s="208"/>
      <c r="G7" s="209" t="s">
        <v>12</v>
      </c>
      <c r="H7" s="392">
        <f ca="1">NOW()</f>
        <v>46322.577390972219</v>
      </c>
      <c r="I7" s="392"/>
      <c r="J7" s="210"/>
      <c r="K7" s="211"/>
      <c r="L7" s="211"/>
    </row>
    <row r="8" spans="2:22" ht="13.5" customHeight="1" x14ac:dyDescent="0.25">
      <c r="B8" s="206" t="s">
        <v>856</v>
      </c>
      <c r="C8" s="212" cm="1">
        <f t="array" ref="C8:F8">'Summary Sheet'!D16:G16</f>
        <v>0</v>
      </c>
      <c r="D8" s="213">
        <v>0</v>
      </c>
      <c r="E8" s="213">
        <v>0</v>
      </c>
      <c r="F8" s="205">
        <v>0</v>
      </c>
      <c r="G8" s="209" t="s">
        <v>859</v>
      </c>
      <c r="H8" s="214" cm="1">
        <f t="array" ref="H8:K8">'Summary Sheet'!D15:G15</f>
        <v>0</v>
      </c>
      <c r="I8" s="214">
        <v>0</v>
      </c>
      <c r="J8" s="214">
        <v>0</v>
      </c>
      <c r="K8" s="214">
        <v>0</v>
      </c>
      <c r="L8" s="215"/>
      <c r="N8" s="391" t="s">
        <v>947</v>
      </c>
      <c r="O8" s="391"/>
      <c r="P8" s="391"/>
      <c r="Q8" s="391"/>
      <c r="R8" s="391"/>
      <c r="S8" s="391"/>
      <c r="T8" s="391"/>
      <c r="U8" s="391"/>
      <c r="V8" s="391"/>
    </row>
    <row r="9" spans="2:22" ht="13.5" customHeight="1" x14ac:dyDescent="0.25">
      <c r="B9" s="206" t="s">
        <v>857</v>
      </c>
      <c r="C9" s="380"/>
      <c r="D9" s="380"/>
      <c r="E9" s="380"/>
      <c r="F9" s="216"/>
      <c r="G9" s="209" t="s">
        <v>860</v>
      </c>
      <c r="H9" s="214" cm="1">
        <f t="array" ref="H9:K9">'Summary Sheet'!D17:G17</f>
        <v>0</v>
      </c>
      <c r="I9" s="214">
        <v>0</v>
      </c>
      <c r="J9" s="217">
        <v>0</v>
      </c>
      <c r="K9" s="215">
        <v>0</v>
      </c>
      <c r="L9" s="215"/>
      <c r="N9" s="391"/>
      <c r="O9" s="391"/>
      <c r="P9" s="391"/>
      <c r="Q9" s="391"/>
      <c r="R9" s="391"/>
      <c r="S9" s="391"/>
      <c r="T9" s="391"/>
      <c r="U9" s="391"/>
      <c r="V9" s="391"/>
    </row>
    <row r="10" spans="2:22" ht="13.5" customHeight="1" x14ac:dyDescent="0.25">
      <c r="B10" s="206" t="s">
        <v>858</v>
      </c>
      <c r="C10" s="214" t="str" cm="1">
        <f t="array" ref="C10:F10">'Summary Sheet'!D11:G11</f>
        <v>Contractor Name</v>
      </c>
      <c r="D10" s="218">
        <v>0</v>
      </c>
      <c r="E10" s="218">
        <v>0</v>
      </c>
      <c r="F10" s="216">
        <v>0</v>
      </c>
      <c r="G10" s="209" t="s">
        <v>861</v>
      </c>
      <c r="H10" s="393"/>
      <c r="I10" s="393"/>
      <c r="J10" s="393"/>
      <c r="K10" s="393"/>
      <c r="L10" s="393"/>
      <c r="N10" s="391"/>
      <c r="O10" s="391"/>
      <c r="P10" s="391"/>
      <c r="Q10" s="391"/>
      <c r="R10" s="391"/>
      <c r="S10" s="391"/>
      <c r="T10" s="391"/>
      <c r="U10" s="391"/>
      <c r="V10" s="391"/>
    </row>
    <row r="11" spans="2:22" ht="11.25" customHeight="1" x14ac:dyDescent="0.25">
      <c r="B11" s="205"/>
      <c r="C11" s="205"/>
      <c r="D11" s="205"/>
      <c r="E11" s="205"/>
      <c r="F11" s="205"/>
      <c r="G11" s="205"/>
      <c r="H11" s="205"/>
      <c r="I11" s="205"/>
      <c r="J11" s="205"/>
    </row>
    <row r="12" spans="2:22" x14ac:dyDescent="0.25">
      <c r="B12" s="219" t="s">
        <v>862</v>
      </c>
      <c r="C12" s="379" t="s">
        <v>863</v>
      </c>
      <c r="D12" s="379"/>
      <c r="E12" s="379"/>
      <c r="F12" s="379"/>
      <c r="G12" s="220" t="s">
        <v>864</v>
      </c>
      <c r="H12" s="220" t="s">
        <v>337</v>
      </c>
      <c r="I12" s="220"/>
      <c r="J12" s="221"/>
      <c r="K12" s="221"/>
      <c r="L12" s="222" t="s">
        <v>865</v>
      </c>
      <c r="N12" s="223" t="s">
        <v>946</v>
      </c>
      <c r="O12" s="351"/>
      <c r="P12" s="224"/>
      <c r="Q12" s="224"/>
      <c r="R12" s="224"/>
      <c r="S12" s="224"/>
      <c r="T12" s="224"/>
      <c r="U12" s="224"/>
      <c r="V12" s="225"/>
    </row>
    <row r="13" spans="2:22" ht="13.5" customHeight="1" x14ac:dyDescent="0.25">
      <c r="B13" s="226" t="str" cm="1">
        <f t="array" ref="B13">IFERROR(IF($C$7="","",INDEX('Graph Data'!$A$2:$A$501,SMALL(IF(('Graph Data'!$E$2:$E$501='Change Order Submission Form'!$C$7)*('Graph Data'!$B$2:$B$501="Approved"),ROW('Graph Data'!$A$2:$A$501)),ROW(1:1))-1,1)),"")</f>
        <v/>
      </c>
      <c r="C13" s="227" t="str">
        <f>IFERROR(VLOOKUP(B13,'Graph Data'!$A$2:$F$501,6,FALSE),"")</f>
        <v/>
      </c>
      <c r="D13" s="227"/>
      <c r="E13" s="227"/>
      <c r="F13" s="227"/>
      <c r="G13" s="228" t="str">
        <f>IFERROR(VLOOKUP(B13,'Graph Data'!$A$2:$G$501,7,FALSE),"")</f>
        <v/>
      </c>
      <c r="H13" s="226" t="str">
        <f>IFERROR(VLOOKUP(B13,'Graph Data'!$A$2:$G$501,3,FALSE),"")</f>
        <v/>
      </c>
      <c r="I13" s="229"/>
      <c r="J13" s="230"/>
      <c r="K13" s="221"/>
      <c r="L13" s="198" t="str">
        <f>IFERROR(VLOOKUP(B13,'Graph Data'!$A$2:$H$501,8,FALSE),"")</f>
        <v/>
      </c>
      <c r="N13" s="231" t="s">
        <v>888</v>
      </c>
      <c r="O13" s="231" t="s">
        <v>888</v>
      </c>
      <c r="P13" s="382" t="s">
        <v>939</v>
      </c>
      <c r="Q13" s="382"/>
      <c r="R13" s="382"/>
      <c r="S13" s="382"/>
      <c r="T13" s="382"/>
      <c r="U13" s="382"/>
      <c r="V13" s="382"/>
    </row>
    <row r="14" spans="2:22" ht="13.5" customHeight="1" x14ac:dyDescent="0.25">
      <c r="B14" s="226" t="str" cm="1">
        <f t="array" ref="B14">IFERROR(IF($C$7="","",INDEX('Graph Data'!$A$2:$A$501,SMALL(IF(('Graph Data'!$E$2:$E$501='Change Order Submission Form'!$C$7)*('Graph Data'!$B$2:$B$501="Approved"),ROW('Graph Data'!$A$2:$A$501)),ROW(2:2))-1,1)),"")</f>
        <v/>
      </c>
      <c r="C14" s="227" t="str">
        <f>IFERROR(VLOOKUP(B14,'Graph Data'!$A$2:$F$501,6,FALSE),"")</f>
        <v/>
      </c>
      <c r="D14" s="227"/>
      <c r="E14" s="227"/>
      <c r="F14" s="227"/>
      <c r="G14" s="228" t="str">
        <f>IFERROR(VLOOKUP(B14,'Graph Data'!$A$2:$G$501,7,FALSE),"")</f>
        <v/>
      </c>
      <c r="H14" s="226" t="str">
        <f>IFERROR(VLOOKUP(B14,'Graph Data'!$A$2:$G$501,3,FALSE),"")</f>
        <v/>
      </c>
      <c r="I14" s="229"/>
      <c r="J14" s="230"/>
      <c r="K14" s="221"/>
      <c r="L14" s="198" t="str">
        <f>IFERROR(VLOOKUP(B14,'Graph Data'!$A$2:$H$501,8,FALSE),"")</f>
        <v/>
      </c>
      <c r="N14" s="231" t="s">
        <v>940</v>
      </c>
      <c r="O14" s="231" t="s">
        <v>940</v>
      </c>
      <c r="P14" s="382" t="s">
        <v>941</v>
      </c>
      <c r="Q14" s="382"/>
      <c r="R14" s="382"/>
      <c r="S14" s="382"/>
      <c r="T14" s="382"/>
      <c r="U14" s="382"/>
      <c r="V14" s="382"/>
    </row>
    <row r="15" spans="2:22" ht="13.5" customHeight="1" x14ac:dyDescent="0.25">
      <c r="B15" s="226" t="str" cm="1">
        <f t="array" ref="B15">IFERROR(IF($C$7="","",INDEX('Graph Data'!$A$2:$A$501,SMALL(IF(('Graph Data'!$E$2:$E$501='Change Order Submission Form'!$C$7)*('Graph Data'!$B$2:$B$501="Approved"),ROW('Graph Data'!$A$2:$A$501)),ROW(3:3))-1,1)),"")</f>
        <v/>
      </c>
      <c r="C15" s="227" t="str">
        <f>IFERROR(VLOOKUP(B15,'Graph Data'!$A$2:$F$501,6,FALSE),"")</f>
        <v/>
      </c>
      <c r="D15" s="227"/>
      <c r="E15" s="227"/>
      <c r="F15" s="227"/>
      <c r="G15" s="228" t="str">
        <f>IFERROR(VLOOKUP(B15,'Graph Data'!$A$2:$G$501,7,FALSE),"")</f>
        <v/>
      </c>
      <c r="H15" s="226" t="str">
        <f>IFERROR(VLOOKUP(B15,'Graph Data'!$A$2:$G$501,3,FALSE),"")</f>
        <v/>
      </c>
      <c r="I15" s="229"/>
      <c r="J15" s="230"/>
      <c r="K15" s="221"/>
      <c r="L15" s="198" t="str">
        <f>IFERROR(VLOOKUP(B15,'Graph Data'!$A$2:$H$501,8,FALSE),"")</f>
        <v/>
      </c>
      <c r="N15" s="231" t="s">
        <v>870</v>
      </c>
      <c r="O15" s="231" t="s">
        <v>948</v>
      </c>
      <c r="P15" s="382" t="s">
        <v>886</v>
      </c>
      <c r="Q15" s="382"/>
      <c r="R15" s="382"/>
      <c r="S15" s="382"/>
      <c r="T15" s="382"/>
      <c r="U15" s="382"/>
      <c r="V15" s="382"/>
    </row>
    <row r="16" spans="2:22" ht="13.5" customHeight="1" x14ac:dyDescent="0.25">
      <c r="B16" s="226" t="str" cm="1">
        <f t="array" ref="B16">IFERROR(IF($C$7="","",INDEX('Graph Data'!$A$2:$A$501,SMALL(IF(('Graph Data'!$E$2:$E$501='Change Order Submission Form'!$C$7)*('Graph Data'!$B$2:$B$501="Approved"),ROW('Graph Data'!$A$2:$A$501)),ROW(4:4))-1,1)),"")</f>
        <v/>
      </c>
      <c r="C16" s="227" t="str">
        <f>IFERROR(VLOOKUP(B16,'Graph Data'!$A$2:$F$501,6,FALSE),"")</f>
        <v/>
      </c>
      <c r="D16" s="227"/>
      <c r="E16" s="227"/>
      <c r="F16" s="227"/>
      <c r="G16" s="228" t="str">
        <f>IFERROR(VLOOKUP(B16,'Graph Data'!$A$2:$G$501,7,FALSE),"")</f>
        <v/>
      </c>
      <c r="H16" s="226" t="str">
        <f>IFERROR(VLOOKUP(B16,'Graph Data'!$A$2:$G$501,3,FALSE),"")</f>
        <v/>
      </c>
      <c r="I16" s="229"/>
      <c r="J16" s="230"/>
      <c r="K16" s="221"/>
      <c r="L16" s="198" t="str">
        <f>IFERROR(VLOOKUP(B16,'Graph Data'!$A$2:$H$501,8,FALSE),"")</f>
        <v/>
      </c>
      <c r="N16" s="231" t="s">
        <v>948</v>
      </c>
      <c r="O16" s="231" t="s">
        <v>942</v>
      </c>
      <c r="P16" s="387" t="s">
        <v>949</v>
      </c>
      <c r="Q16" s="388"/>
      <c r="R16" s="388"/>
      <c r="S16" s="388"/>
      <c r="T16" s="388"/>
      <c r="U16" s="388"/>
      <c r="V16" s="389"/>
    </row>
    <row r="17" spans="2:22" ht="13.5" customHeight="1" x14ac:dyDescent="0.25">
      <c r="B17" s="226" t="str" cm="1">
        <f t="array" ref="B17">IFERROR(IF($C$7="","",INDEX('Graph Data'!$A$2:$A$501,SMALL(IF(('Graph Data'!$E$2:$E$501='Change Order Submission Form'!$C$7)*('Graph Data'!$B$2:$B$501="Approved"),ROW('Graph Data'!$A$2:$A$501)),ROW(5:5))-1,1)),"")</f>
        <v/>
      </c>
      <c r="C17" s="227" t="str">
        <f>IFERROR(VLOOKUP(B17,'Graph Data'!$A$2:$F$501,6,FALSE),"")</f>
        <v/>
      </c>
      <c r="D17" s="227"/>
      <c r="E17" s="227"/>
      <c r="F17" s="227"/>
      <c r="G17" s="228" t="str">
        <f>IFERROR(VLOOKUP(B17,'Graph Data'!$A$2:$G$501,7,FALSE),"")</f>
        <v/>
      </c>
      <c r="H17" s="226" t="str">
        <f>IFERROR(VLOOKUP(B17,'Graph Data'!$A$2:$G$501,3,FALSE),"")</f>
        <v/>
      </c>
      <c r="I17" s="229"/>
      <c r="J17" s="230"/>
      <c r="K17" s="221"/>
      <c r="L17" s="198" t="str">
        <f>IFERROR(VLOOKUP(B17,'Graph Data'!$A$2:$H$501,8,FALSE),"")</f>
        <v/>
      </c>
      <c r="N17" s="231" t="s">
        <v>942</v>
      </c>
      <c r="O17" s="231" t="s">
        <v>871</v>
      </c>
      <c r="P17" s="382" t="s">
        <v>944</v>
      </c>
      <c r="Q17" s="382"/>
      <c r="R17" s="382"/>
      <c r="S17" s="382"/>
      <c r="T17" s="382"/>
      <c r="U17" s="382"/>
      <c r="V17" s="382"/>
    </row>
    <row r="18" spans="2:22" ht="13.5" customHeight="1" x14ac:dyDescent="0.25">
      <c r="B18" s="226" t="str" cm="1">
        <f t="array" ref="B18">IFERROR(IF($C$7="","",INDEX('Graph Data'!$A$2:$A$501,SMALL(IF(('Graph Data'!$E$2:$E$501='Change Order Submission Form'!$C$7)*('Graph Data'!$B$2:$B$501="Approved"),ROW('Graph Data'!$A$2:$A$501)),ROW(6:6))-1,1)),"")</f>
        <v/>
      </c>
      <c r="C18" s="227" t="str">
        <f>IFERROR(VLOOKUP(B18,'Graph Data'!$A$2:$F$501,6,FALSE),"")</f>
        <v/>
      </c>
      <c r="D18" s="227"/>
      <c r="E18" s="227"/>
      <c r="F18" s="227"/>
      <c r="G18" s="228" t="str">
        <f>IFERROR(VLOOKUP(B18,'Graph Data'!$A$2:$G$501,7,FALSE),"")</f>
        <v/>
      </c>
      <c r="H18" s="226" t="str">
        <f>IFERROR(VLOOKUP(B18,'Graph Data'!$A$2:$G$501,3,FALSE),"")</f>
        <v/>
      </c>
      <c r="I18" s="229"/>
      <c r="J18" s="230"/>
      <c r="K18" s="221"/>
      <c r="L18" s="198" t="str">
        <f>IFERROR(VLOOKUP(B18,'Graph Data'!$A$2:$H$501,8,FALSE),"")</f>
        <v/>
      </c>
      <c r="N18" s="231" t="s">
        <v>871</v>
      </c>
      <c r="O18" s="231" t="s">
        <v>943</v>
      </c>
      <c r="P18" s="382" t="s">
        <v>887</v>
      </c>
      <c r="Q18" s="382"/>
      <c r="R18" s="382"/>
      <c r="S18" s="382"/>
      <c r="T18" s="382"/>
      <c r="U18" s="382"/>
      <c r="V18" s="382"/>
    </row>
    <row r="19" spans="2:22" ht="13.5" customHeight="1" x14ac:dyDescent="0.25">
      <c r="B19" s="226" t="str" cm="1">
        <f t="array" ref="B19">IFERROR(IF($C$7="","",INDEX('Graph Data'!$A$2:$A$501,SMALL(IF(('Graph Data'!$E$2:$E$501='Change Order Submission Form'!$C$7)*('Graph Data'!$B$2:$B$501="Approved"),ROW('Graph Data'!$A$2:$A$501)),ROW(7:7))-1,1)),"")</f>
        <v/>
      </c>
      <c r="C19" s="227" t="str">
        <f>IFERROR(VLOOKUP(B19,'Graph Data'!$A$2:$F$501,6,FALSE),"")</f>
        <v/>
      </c>
      <c r="D19" s="227"/>
      <c r="E19" s="227"/>
      <c r="F19" s="227"/>
      <c r="G19" s="228" t="str">
        <f>IFERROR(VLOOKUP(B19,'Graph Data'!$A$2:$G$501,7,FALSE),"")</f>
        <v/>
      </c>
      <c r="H19" s="226" t="str">
        <f>IFERROR(VLOOKUP(B19,'Graph Data'!$A$2:$G$501,3,FALSE),"")</f>
        <v/>
      </c>
      <c r="I19" s="229"/>
      <c r="J19" s="230"/>
      <c r="K19" s="221"/>
      <c r="L19" s="198" t="str">
        <f>IFERROR(VLOOKUP(B19,'Graph Data'!$A$2:$H$501,8,FALSE),"")</f>
        <v/>
      </c>
      <c r="N19" s="231" t="s">
        <v>943</v>
      </c>
      <c r="O19" s="231"/>
      <c r="P19" s="382" t="s">
        <v>945</v>
      </c>
      <c r="Q19" s="382"/>
      <c r="R19" s="382"/>
      <c r="S19" s="382"/>
      <c r="T19" s="382"/>
      <c r="U19" s="382"/>
      <c r="V19" s="382"/>
    </row>
    <row r="20" spans="2:22" ht="13.5" customHeight="1" x14ac:dyDescent="0.25">
      <c r="B20" s="226" t="str" cm="1">
        <f t="array" ref="B20">IFERROR(IF($C$7="","",INDEX('Graph Data'!$A$2:$A$501,SMALL(IF(('Graph Data'!$E$2:$E$501='Change Order Submission Form'!$C$7)*('Graph Data'!$B$2:$B$501="Approved"),ROW('Graph Data'!$A$2:$A$501)),ROW(8:8))-1,1)),"")</f>
        <v/>
      </c>
      <c r="C20" s="227" t="str">
        <f>IFERROR(VLOOKUP(B20,'Graph Data'!$A$2:$F$501,6,FALSE),"")</f>
        <v/>
      </c>
      <c r="D20" s="227"/>
      <c r="E20" s="227"/>
      <c r="F20" s="227"/>
      <c r="G20" s="228" t="str">
        <f>IFERROR(VLOOKUP(B20,'Graph Data'!$A$2:$G$501,7,FALSE),"")</f>
        <v/>
      </c>
      <c r="H20" s="226" t="str">
        <f>IFERROR(VLOOKUP(B20,'Graph Data'!$A$2:$G$501,3,FALSE),"")</f>
        <v/>
      </c>
      <c r="I20" s="229"/>
      <c r="J20" s="230"/>
      <c r="K20" s="221"/>
      <c r="L20" s="198" t="str">
        <f>IFERROR(VLOOKUP(B20,'Graph Data'!$A$2:$H$501,8,FALSE),"")</f>
        <v/>
      </c>
      <c r="N20" s="346"/>
      <c r="O20" s="346"/>
      <c r="P20" s="381"/>
      <c r="Q20" s="381"/>
      <c r="R20" s="381"/>
      <c r="S20" s="381"/>
      <c r="T20" s="381"/>
      <c r="U20" s="381"/>
      <c r="V20" s="381"/>
    </row>
    <row r="21" spans="2:22" ht="13.5" customHeight="1" x14ac:dyDescent="0.25">
      <c r="B21" s="226" t="str" cm="1">
        <f t="array" ref="B21">IFERROR(IF($C$7="","",INDEX('Graph Data'!$A$2:$A$501,SMALL(IF(('Graph Data'!$E$2:$E$501='Change Order Submission Form'!$C$7)*('Graph Data'!$B$2:$B$501="Approved"),ROW('Graph Data'!$A$2:$A$501)),ROW(9:9))-1,1)),"")</f>
        <v/>
      </c>
      <c r="C21" s="227" t="str">
        <f>IFERROR(VLOOKUP(B21,'Graph Data'!$A$2:$F$501,6,FALSE),"")</f>
        <v/>
      </c>
      <c r="D21" s="227"/>
      <c r="E21" s="227"/>
      <c r="F21" s="227"/>
      <c r="G21" s="228" t="str">
        <f>IFERROR(VLOOKUP(B21,'Graph Data'!$A$2:$G$501,7,FALSE),"")</f>
        <v/>
      </c>
      <c r="H21" s="226" t="str">
        <f>IFERROR(VLOOKUP(B21,'Graph Data'!$A$2:$G$501,3,FALSE),"")</f>
        <v/>
      </c>
      <c r="I21" s="229"/>
      <c r="J21" s="230"/>
      <c r="K21" s="221"/>
      <c r="L21" s="198" t="str">
        <f>IFERROR(VLOOKUP(B21,'Graph Data'!$A$2:$H$501,8,FALSE),"")</f>
        <v/>
      </c>
      <c r="N21" s="346"/>
      <c r="O21" s="346"/>
      <c r="P21" s="381"/>
      <c r="Q21" s="381"/>
      <c r="R21" s="381"/>
      <c r="S21" s="381"/>
      <c r="T21" s="381"/>
      <c r="U21" s="381"/>
      <c r="V21" s="381"/>
    </row>
    <row r="22" spans="2:22" ht="13.5" customHeight="1" x14ac:dyDescent="0.25">
      <c r="B22" s="226" t="str" cm="1">
        <f t="array" ref="B22">IFERROR(IF($C$7="","",INDEX('Graph Data'!$A$2:$A$501,SMALL(IF(('Graph Data'!$E$2:$E$501='Change Order Submission Form'!$C$7)*('Graph Data'!$B$2:$B$501="Approved"),ROW('Graph Data'!$A$2:$A$501)),ROW(10:10))-1,1)),"")</f>
        <v/>
      </c>
      <c r="C22" s="227" t="str">
        <f>IFERROR(VLOOKUP(B22,'Graph Data'!$A$2:$F$501,6,FALSE),"")</f>
        <v/>
      </c>
      <c r="D22" s="227"/>
      <c r="E22" s="227"/>
      <c r="F22" s="227"/>
      <c r="G22" s="228" t="str">
        <f>IFERROR(VLOOKUP(B22,'Graph Data'!$A$2:$G$501,7,FALSE),"")</f>
        <v/>
      </c>
      <c r="H22" s="226" t="str">
        <f>IFERROR(VLOOKUP(B22,'Graph Data'!$A$2:$G$501,3,FALSE),"")</f>
        <v/>
      </c>
      <c r="I22" s="229"/>
      <c r="J22" s="230"/>
      <c r="K22" s="221"/>
      <c r="L22" s="198" t="str">
        <f>IFERROR(VLOOKUP(B22,'Graph Data'!$A$2:$H$501,8,FALSE),"")</f>
        <v/>
      </c>
      <c r="N22" s="346"/>
      <c r="O22" s="346"/>
      <c r="P22" s="381"/>
      <c r="Q22" s="381"/>
      <c r="R22" s="381"/>
      <c r="S22" s="381"/>
      <c r="T22" s="381"/>
      <c r="U22" s="381"/>
      <c r="V22" s="381"/>
    </row>
    <row r="23" spans="2:22" ht="13.5" customHeight="1" x14ac:dyDescent="0.25">
      <c r="B23" s="226" t="str" cm="1">
        <f t="array" ref="B23">IFERROR(IF($C$7="","",INDEX('Graph Data'!$A$2:$A$501,SMALL(IF(('Graph Data'!$E$2:$E$501='Change Order Submission Form'!$C$7)*('Graph Data'!$B$2:$B$501="Approved"),ROW('Graph Data'!$A$2:$A$501)),ROW(11:11))-1,1)),"")</f>
        <v/>
      </c>
      <c r="C23" s="227" t="str">
        <f>IFERROR(VLOOKUP(B23,'Graph Data'!$A$2:$F$501,6,FALSE),"")</f>
        <v/>
      </c>
      <c r="D23" s="227"/>
      <c r="E23" s="227"/>
      <c r="F23" s="227"/>
      <c r="G23" s="228" t="str">
        <f>IFERROR(VLOOKUP(B23,'Graph Data'!$A$2:$G$501,7,FALSE),"")</f>
        <v/>
      </c>
      <c r="H23" s="226" t="str">
        <f>IFERROR(VLOOKUP(B23,'Graph Data'!$A$2:$G$501,3,FALSE),"")</f>
        <v/>
      </c>
      <c r="I23" s="229"/>
      <c r="J23" s="230"/>
      <c r="K23" s="221"/>
      <c r="L23" s="198" t="str">
        <f>IFERROR(VLOOKUP(B23,'Graph Data'!$A$2:$H$501,8,FALSE),"")</f>
        <v/>
      </c>
      <c r="N23" s="346"/>
      <c r="O23" s="346"/>
      <c r="P23" s="381"/>
      <c r="Q23" s="381"/>
      <c r="R23" s="381"/>
      <c r="S23" s="381"/>
      <c r="T23" s="381"/>
      <c r="U23" s="381"/>
      <c r="V23" s="381"/>
    </row>
    <row r="24" spans="2:22" ht="13.5" customHeight="1" x14ac:dyDescent="0.25">
      <c r="B24" s="226" t="str" cm="1">
        <f t="array" ref="B24">IFERROR(IF($C$7="","",INDEX('Graph Data'!$A$2:$A$501,SMALL(IF(('Graph Data'!$E$2:$E$501='Change Order Submission Form'!$C$7)*('Graph Data'!$B$2:$B$501="Approved"),ROW('Graph Data'!$A$2:$A$501)),ROW(12:12))-1,1)),"")</f>
        <v/>
      </c>
      <c r="C24" s="227" t="str">
        <f>IFERROR(VLOOKUP(B24,'Graph Data'!$A$2:$F$501,6,FALSE),"")</f>
        <v/>
      </c>
      <c r="D24" s="227"/>
      <c r="E24" s="227"/>
      <c r="F24" s="227"/>
      <c r="G24" s="228" t="str">
        <f>IFERROR(VLOOKUP(B24,'Graph Data'!$A$2:$G$501,7,FALSE),"")</f>
        <v/>
      </c>
      <c r="H24" s="226" t="str">
        <f>IFERROR(VLOOKUP(B24,'Graph Data'!$A$2:$G$501,3,FALSE),"")</f>
        <v/>
      </c>
      <c r="I24" s="229"/>
      <c r="J24" s="230"/>
      <c r="K24" s="221"/>
      <c r="L24" s="198" t="str">
        <f>IFERROR(VLOOKUP(B24,'Graph Data'!$A$2:$H$501,8,FALSE),"")</f>
        <v/>
      </c>
      <c r="N24" s="346"/>
      <c r="O24" s="346"/>
      <c r="P24" s="381"/>
      <c r="Q24" s="381"/>
      <c r="R24" s="381"/>
      <c r="S24" s="381"/>
      <c r="T24" s="381"/>
      <c r="U24" s="381"/>
      <c r="V24" s="381"/>
    </row>
    <row r="25" spans="2:22" ht="13.5" customHeight="1" x14ac:dyDescent="0.25">
      <c r="B25" s="226" t="str" cm="1">
        <f t="array" ref="B25">IFERROR(IF($C$7="","",INDEX('Graph Data'!$A$2:$A$501,SMALL(IF(('Graph Data'!$E$2:$E$501='Change Order Submission Form'!$C$7)*('Graph Data'!$B$2:$B$501="Approved"),ROW('Graph Data'!$A$2:$A$501)),ROW(13:13))-1,1)),"")</f>
        <v/>
      </c>
      <c r="C25" s="227" t="str">
        <f>IFERROR(VLOOKUP(B25,'Graph Data'!$A$2:$F$501,6,FALSE),"")</f>
        <v/>
      </c>
      <c r="D25" s="227"/>
      <c r="E25" s="227"/>
      <c r="F25" s="227"/>
      <c r="G25" s="228" t="str">
        <f>IFERROR(VLOOKUP(B25,'Graph Data'!$A$2:$G$501,7,FALSE),"")</f>
        <v/>
      </c>
      <c r="H25" s="226" t="str">
        <f>IFERROR(VLOOKUP(B25,'Graph Data'!$A$2:$G$501,3,FALSE),"")</f>
        <v/>
      </c>
      <c r="I25" s="229"/>
      <c r="J25" s="230"/>
      <c r="K25" s="221"/>
      <c r="L25" s="198" t="str">
        <f>IFERROR(VLOOKUP(B25,'Graph Data'!$A$2:$H$501,8,FALSE),"")</f>
        <v/>
      </c>
      <c r="N25" s="346"/>
      <c r="O25" s="346"/>
      <c r="P25" s="381"/>
      <c r="Q25" s="381"/>
      <c r="R25" s="381"/>
      <c r="S25" s="381"/>
      <c r="T25" s="381"/>
      <c r="U25" s="381"/>
      <c r="V25" s="381"/>
    </row>
    <row r="26" spans="2:22" ht="13.5" customHeight="1" x14ac:dyDescent="0.25">
      <c r="B26" s="226" t="str" cm="1">
        <f t="array" ref="B26">IFERROR(IF($C$7="","",INDEX('Graph Data'!$A$2:$A$501,SMALL(IF(('Graph Data'!$E$2:$E$501='Change Order Submission Form'!$C$7)*('Graph Data'!$B$2:$B$501="Approved"),ROW('Graph Data'!$A$2:$A$501)),ROW(14:14))-1,1)),"")</f>
        <v/>
      </c>
      <c r="C26" s="227" t="str">
        <f>IFERROR(VLOOKUP(B26,'Graph Data'!$A$2:$F$501,6,FALSE),"")</f>
        <v/>
      </c>
      <c r="D26" s="227"/>
      <c r="E26" s="227"/>
      <c r="F26" s="227"/>
      <c r="G26" s="228" t="str">
        <f>IFERROR(VLOOKUP(B26,'Graph Data'!$A$2:$G$501,7,FALSE),"")</f>
        <v/>
      </c>
      <c r="H26" s="226" t="str">
        <f>IFERROR(VLOOKUP(B26,'Graph Data'!$A$2:$G$501,3,FALSE),"")</f>
        <v/>
      </c>
      <c r="I26" s="229"/>
      <c r="J26" s="230"/>
      <c r="K26" s="221"/>
      <c r="L26" s="198" t="str">
        <f>IFERROR(VLOOKUP(B26,'Graph Data'!$A$2:$H$501,8,FALSE),"")</f>
        <v/>
      </c>
      <c r="N26" s="346"/>
      <c r="O26" s="346"/>
      <c r="P26" s="381"/>
      <c r="Q26" s="381"/>
      <c r="R26" s="381"/>
      <c r="S26" s="381"/>
      <c r="T26" s="381"/>
      <c r="U26" s="381"/>
      <c r="V26" s="381"/>
    </row>
    <row r="27" spans="2:22" ht="13.5" customHeight="1" x14ac:dyDescent="0.25">
      <c r="B27" s="226" t="str" cm="1">
        <f t="array" ref="B27">IFERROR(IF($C$7="","",INDEX('Graph Data'!$A$2:$A$501,SMALL(IF(('Graph Data'!$E$2:$E$501='Change Order Submission Form'!$C$7)*('Graph Data'!$B$2:$B$501="Approved"),ROW('Graph Data'!$A$2:$A$501)),ROW(15:15))-1,1)),"")</f>
        <v/>
      </c>
      <c r="C27" s="227" t="str">
        <f>IFERROR(VLOOKUP(B27,'Graph Data'!$A$2:$F$501,6,FALSE),"")</f>
        <v/>
      </c>
      <c r="D27" s="227"/>
      <c r="E27" s="227"/>
      <c r="F27" s="227"/>
      <c r="G27" s="228" t="str">
        <f>IFERROR(VLOOKUP(B27,'Graph Data'!$A$2:$G$501,7,FALSE),"")</f>
        <v/>
      </c>
      <c r="H27" s="226" t="str">
        <f>IFERROR(VLOOKUP(B27,'Graph Data'!$A$2:$G$501,3,FALSE),"")</f>
        <v/>
      </c>
      <c r="I27" s="229"/>
      <c r="J27" s="230"/>
      <c r="K27" s="221"/>
      <c r="L27" s="198" t="str">
        <f>IFERROR(VLOOKUP(B27,'Graph Data'!$A$2:$H$501,8,FALSE),"")</f>
        <v/>
      </c>
      <c r="N27" s="346"/>
      <c r="O27" s="346"/>
      <c r="P27" s="381"/>
      <c r="Q27" s="381"/>
      <c r="R27" s="381"/>
      <c r="S27" s="381"/>
      <c r="T27" s="381"/>
      <c r="U27" s="381"/>
      <c r="V27" s="381"/>
    </row>
    <row r="28" spans="2:22" ht="13.5" customHeight="1" x14ac:dyDescent="0.25">
      <c r="B28" s="226" t="str" cm="1">
        <f t="array" ref="B28">IFERROR(IF($C$7="","",INDEX('Graph Data'!$A$2:$A$501,SMALL(IF(('Graph Data'!$E$2:$E$501='Change Order Submission Form'!$C$7)*('Graph Data'!$B$2:$B$501="Approved"),ROW('Graph Data'!$A$2:$A$501)),ROW(16:16))-1,1)),"")</f>
        <v/>
      </c>
      <c r="C28" s="227" t="str">
        <f>IFERROR(VLOOKUP(B28,'Graph Data'!$A$2:$F$501,6,FALSE),"")</f>
        <v/>
      </c>
      <c r="D28" s="227"/>
      <c r="E28" s="227"/>
      <c r="F28" s="227"/>
      <c r="G28" s="228" t="str">
        <f>IFERROR(VLOOKUP(B28,'Graph Data'!$A$2:$G$501,7,FALSE),"")</f>
        <v/>
      </c>
      <c r="H28" s="226" t="str">
        <f>IFERROR(VLOOKUP(B28,'Graph Data'!$A$2:$G$501,3,FALSE),"")</f>
        <v/>
      </c>
      <c r="I28" s="229"/>
      <c r="J28" s="230"/>
      <c r="K28" s="221"/>
      <c r="L28" s="198" t="str">
        <f>IFERROR(VLOOKUP(B28,'Graph Data'!$A$2:$H$501,8,FALSE),"")</f>
        <v/>
      </c>
      <c r="N28" s="346"/>
      <c r="O28" s="346"/>
      <c r="P28" s="381"/>
      <c r="Q28" s="381"/>
      <c r="R28" s="381"/>
      <c r="S28" s="381"/>
      <c r="T28" s="381"/>
      <c r="U28" s="381"/>
      <c r="V28" s="381"/>
    </row>
    <row r="29" spans="2:22" ht="13.5" customHeight="1" x14ac:dyDescent="0.25">
      <c r="B29" s="226" t="str" cm="1">
        <f t="array" ref="B29">IFERROR(IF($C$7="","",INDEX('Graph Data'!$A$2:$A$501,SMALL(IF(('Graph Data'!$E$2:$E$501='Change Order Submission Form'!$C$7)*('Graph Data'!$B$2:$B$501="Approved"),ROW('Graph Data'!$A$2:$A$501)),ROW(17:17))-1,1)),"")</f>
        <v/>
      </c>
      <c r="C29" s="227" t="str">
        <f>IFERROR(VLOOKUP(B29,'Graph Data'!$A$2:$F$501,6,FALSE),"")</f>
        <v/>
      </c>
      <c r="D29" s="227"/>
      <c r="E29" s="227"/>
      <c r="F29" s="227"/>
      <c r="G29" s="228" t="str">
        <f>IFERROR(VLOOKUP(B29,'Graph Data'!$A$2:$G$501,7,FALSE),"")</f>
        <v/>
      </c>
      <c r="H29" s="226" t="str">
        <f>IFERROR(VLOOKUP(B29,'Graph Data'!$A$2:$G$501,3,FALSE),"")</f>
        <v/>
      </c>
      <c r="I29" s="229"/>
      <c r="J29" s="230"/>
      <c r="K29" s="221"/>
      <c r="L29" s="198" t="str">
        <f>IFERROR(VLOOKUP(B29,'Graph Data'!$A$2:$H$501,8,FALSE),"")</f>
        <v/>
      </c>
      <c r="N29" s="346"/>
      <c r="O29" s="346"/>
      <c r="P29" s="381"/>
      <c r="Q29" s="381"/>
      <c r="R29" s="381"/>
      <c r="S29" s="381"/>
      <c r="T29" s="381"/>
      <c r="U29" s="381"/>
      <c r="V29" s="381"/>
    </row>
    <row r="30" spans="2:22" ht="13.5" customHeight="1" x14ac:dyDescent="0.25">
      <c r="B30" s="226" t="str" cm="1">
        <f t="array" ref="B30">IFERROR(IF($C$7="","",INDEX('Graph Data'!$A$2:$A$501,SMALL(IF(('Graph Data'!$E$2:$E$501='Change Order Submission Form'!$C$7)*('Graph Data'!$B$2:$B$501="Approved"),ROW('Graph Data'!$A$2:$A$501)),ROW(18:18))-1,1)),"")</f>
        <v/>
      </c>
      <c r="C30" s="227" t="str">
        <f>IFERROR(VLOOKUP(B30,'Graph Data'!$A$2:$F$501,6,FALSE),"")</f>
        <v/>
      </c>
      <c r="D30" s="227"/>
      <c r="E30" s="227"/>
      <c r="F30" s="227"/>
      <c r="G30" s="228" t="str">
        <f>IFERROR(VLOOKUP(B30,'Graph Data'!$A$2:$G$501,7,FALSE),"")</f>
        <v/>
      </c>
      <c r="H30" s="226" t="str">
        <f>IFERROR(VLOOKUP(B30,'Graph Data'!$A$2:$G$501,3,FALSE),"")</f>
        <v/>
      </c>
      <c r="I30" s="229"/>
      <c r="J30" s="230"/>
      <c r="K30" s="221"/>
      <c r="L30" s="198" t="str">
        <f>IFERROR(VLOOKUP(B30,'Graph Data'!$A$2:$H$501,8,FALSE),"")</f>
        <v/>
      </c>
      <c r="N30" s="346"/>
      <c r="O30" s="346"/>
      <c r="P30" s="381"/>
      <c r="Q30" s="381"/>
      <c r="R30" s="381"/>
      <c r="S30" s="381"/>
      <c r="T30" s="381"/>
      <c r="U30" s="381"/>
      <c r="V30" s="381"/>
    </row>
    <row r="31" spans="2:22" ht="13.5" customHeight="1" x14ac:dyDescent="0.25">
      <c r="B31" s="226" t="str" cm="1">
        <f t="array" ref="B31">IFERROR(IF($C$7="","",INDEX('Graph Data'!$A$2:$A$501,SMALL(IF(('Graph Data'!$E$2:$E$501='Change Order Submission Form'!$C$7)*('Graph Data'!$B$2:$B$501="Approved"),ROW('Graph Data'!$A$2:$A$501)),ROW(19:19))-1,1)),"")</f>
        <v/>
      </c>
      <c r="C31" s="227" t="str">
        <f>IFERROR(VLOOKUP(B31,'Graph Data'!$A$2:$F$501,6,FALSE),"")</f>
        <v/>
      </c>
      <c r="D31" s="227"/>
      <c r="E31" s="227"/>
      <c r="F31" s="227"/>
      <c r="G31" s="228" t="str">
        <f>IFERROR(VLOOKUP(B31,'Graph Data'!$A$2:$G$501,7,FALSE),"")</f>
        <v/>
      </c>
      <c r="H31" s="226" t="str">
        <f>IFERROR(VLOOKUP(B31,'Graph Data'!$A$2:$G$501,3,FALSE),"")</f>
        <v/>
      </c>
      <c r="I31" s="229"/>
      <c r="J31" s="230"/>
      <c r="K31" s="221"/>
      <c r="L31" s="198" t="str">
        <f>IFERROR(VLOOKUP(B31,'Graph Data'!$A$2:$H$501,8,FALSE),"")</f>
        <v/>
      </c>
      <c r="N31" s="346"/>
      <c r="O31" s="346"/>
      <c r="P31" s="381"/>
      <c r="Q31" s="381"/>
      <c r="R31" s="381"/>
      <c r="S31" s="381"/>
      <c r="T31" s="381"/>
      <c r="U31" s="381"/>
      <c r="V31" s="381"/>
    </row>
    <row r="32" spans="2:22" ht="13.5" customHeight="1" x14ac:dyDescent="0.25">
      <c r="B32" s="226" t="str" cm="1">
        <f t="array" ref="B32">IFERROR(IF($C$7="","",INDEX('Graph Data'!$A$2:$A$501,SMALL(IF(('Graph Data'!$E$2:$E$501='Change Order Submission Form'!$C$7)*('Graph Data'!$B$2:$B$501="Approved"),ROW('Graph Data'!$A$2:$A$501)),ROW(20:20))-1,1)),"")</f>
        <v/>
      </c>
      <c r="C32" s="227" t="str">
        <f>IFERROR(VLOOKUP(B32,'Graph Data'!$A$2:$F$501,6,FALSE),"")</f>
        <v/>
      </c>
      <c r="D32" s="227"/>
      <c r="E32" s="227"/>
      <c r="F32" s="227"/>
      <c r="G32" s="228" t="str">
        <f>IFERROR(VLOOKUP(B32,'Graph Data'!$A$2:$G$501,7,FALSE),"")</f>
        <v/>
      </c>
      <c r="H32" s="226" t="str">
        <f>IFERROR(VLOOKUP(B32,'Graph Data'!$A$2:$G$501,3,FALSE),"")</f>
        <v/>
      </c>
      <c r="I32" s="229"/>
      <c r="J32" s="230"/>
      <c r="K32" s="221"/>
      <c r="L32" s="198" t="str">
        <f>IFERROR(VLOOKUP(B32,'Graph Data'!$A$2:$H$501,8,FALSE),"")</f>
        <v/>
      </c>
      <c r="N32" s="346"/>
      <c r="O32" s="346"/>
      <c r="P32" s="381"/>
      <c r="Q32" s="381"/>
      <c r="R32" s="381"/>
      <c r="S32" s="381"/>
      <c r="T32" s="381"/>
      <c r="U32" s="381"/>
      <c r="V32" s="381"/>
    </row>
    <row r="33" spans="2:22" x14ac:dyDescent="0.25">
      <c r="B33" s="205"/>
      <c r="C33" s="232" t="s">
        <v>872</v>
      </c>
      <c r="D33" s="206"/>
      <c r="E33" s="206"/>
      <c r="F33" s="206"/>
      <c r="G33" s="233">
        <f>SUM(G13:G32)</f>
        <v>0</v>
      </c>
      <c r="H33" s="205"/>
      <c r="I33" s="205"/>
      <c r="J33" s="205"/>
      <c r="L33" s="234">
        <f>SUM(L13:L32)</f>
        <v>0</v>
      </c>
      <c r="N33" s="346"/>
      <c r="O33" s="346"/>
      <c r="P33" s="381"/>
      <c r="Q33" s="381"/>
      <c r="R33" s="381"/>
      <c r="S33" s="381"/>
      <c r="T33" s="381"/>
      <c r="U33" s="381"/>
      <c r="V33" s="381"/>
    </row>
    <row r="34" spans="2:22" ht="9" customHeight="1" x14ac:dyDescent="0.25">
      <c r="B34" s="205"/>
      <c r="C34" s="232"/>
      <c r="D34" s="206"/>
      <c r="E34" s="206"/>
      <c r="F34" s="206"/>
      <c r="G34" s="235"/>
      <c r="H34" s="205"/>
      <c r="I34" s="205"/>
      <c r="J34" s="205"/>
      <c r="L34" s="236"/>
    </row>
    <row r="35" spans="2:22" ht="12.75" customHeight="1" x14ac:dyDescent="0.25">
      <c r="B35" s="205"/>
      <c r="C35" s="206"/>
      <c r="D35" s="206"/>
      <c r="E35" s="206"/>
      <c r="F35" s="206"/>
      <c r="G35" s="237" t="s">
        <v>897</v>
      </c>
      <c r="H35" s="237" t="s">
        <v>12</v>
      </c>
      <c r="I35" s="237"/>
      <c r="J35" s="237"/>
      <c r="K35" s="237"/>
      <c r="L35" s="237" t="s">
        <v>865</v>
      </c>
    </row>
    <row r="36" spans="2:22" ht="12.75" customHeight="1" x14ac:dyDescent="0.25">
      <c r="B36" s="259"/>
      <c r="C36" s="260" t="s">
        <v>873</v>
      </c>
      <c r="D36" s="256"/>
      <c r="E36" s="238"/>
      <c r="F36" s="238"/>
      <c r="G36" s="233">
        <f>SUM('Pay App 1'!D57:D100,'Pay App 1'!D106:D148)</f>
        <v>0</v>
      </c>
      <c r="H36" s="239">
        <f>H5</f>
        <v>0</v>
      </c>
      <c r="I36" s="233"/>
      <c r="J36" s="233"/>
      <c r="K36" s="233"/>
      <c r="L36" s="240">
        <f>L5</f>
        <v>0</v>
      </c>
    </row>
    <row r="37" spans="2:22" ht="12.75" customHeight="1" x14ac:dyDescent="0.25">
      <c r="B37" s="259"/>
      <c r="C37" s="260" t="s">
        <v>874</v>
      </c>
      <c r="D37" s="257"/>
      <c r="E37" s="241"/>
      <c r="F37" s="241"/>
      <c r="G37" s="242">
        <f>SUMIFS('PCO Log'!$E$10:$SJ$10,'PCO Log'!$E$8:$SJ$8,"&lt;"&amp;'Change Order Submission Form'!C7,'PCO Log'!$E$7:$SJ$7,"Approved")</f>
        <v>0</v>
      </c>
      <c r="H37" s="243"/>
      <c r="I37" s="244"/>
      <c r="J37" s="245"/>
      <c r="K37" s="245"/>
      <c r="L37" s="246">
        <f>SUMIFS('PCO Log'!$E$6:$SJ$6,'PCO Log'!$E$8:$SJ$8,"&lt;"&amp;'Change Order Submission Form'!C7,'PCO Log'!$E$7:$SJ$7,"Approved")</f>
        <v>0</v>
      </c>
    </row>
    <row r="38" spans="2:22" ht="12.75" customHeight="1" x14ac:dyDescent="0.25">
      <c r="B38" s="259"/>
      <c r="C38" s="260" t="s">
        <v>872</v>
      </c>
      <c r="D38" s="258"/>
      <c r="E38" s="247"/>
      <c r="F38" s="247"/>
      <c r="G38" s="248">
        <f>G33</f>
        <v>0</v>
      </c>
      <c r="H38" s="243"/>
      <c r="I38" s="249"/>
      <c r="J38" s="250"/>
      <c r="K38" s="250"/>
      <c r="L38" s="251">
        <f>L33</f>
        <v>0</v>
      </c>
    </row>
    <row r="39" spans="2:22" ht="12.75" customHeight="1" x14ac:dyDescent="0.25">
      <c r="B39" s="259"/>
      <c r="C39" s="260" t="s">
        <v>875</v>
      </c>
      <c r="D39" s="256"/>
      <c r="E39" s="238"/>
      <c r="F39" s="238"/>
      <c r="G39" s="233">
        <f>SUM(G36:G38)</f>
        <v>0</v>
      </c>
      <c r="H39" s="239">
        <f>H36+L37+L38</f>
        <v>0</v>
      </c>
      <c r="I39" s="233"/>
      <c r="J39" s="233"/>
      <c r="K39" s="233"/>
      <c r="L39" s="240">
        <f>SUM(L36:L38)</f>
        <v>0</v>
      </c>
    </row>
    <row r="40" spans="2:22" ht="25.15" customHeight="1" x14ac:dyDescent="0.25">
      <c r="B40" s="206" t="s">
        <v>885</v>
      </c>
      <c r="C40" s="205"/>
      <c r="D40" s="205"/>
      <c r="E40" s="205"/>
      <c r="F40" s="205"/>
      <c r="G40" s="205"/>
      <c r="H40" s="205"/>
      <c r="I40" s="205"/>
      <c r="J40" s="205"/>
    </row>
    <row r="41" spans="2:22" ht="116.45" customHeight="1" x14ac:dyDescent="0.25">
      <c r="B41" s="385" t="s">
        <v>954</v>
      </c>
      <c r="C41" s="386"/>
      <c r="D41" s="386"/>
      <c r="E41" s="386"/>
      <c r="F41" s="386"/>
      <c r="G41" s="386"/>
      <c r="H41" s="386"/>
      <c r="I41" s="386"/>
      <c r="J41" s="386"/>
      <c r="K41" s="386"/>
      <c r="L41" s="386"/>
    </row>
    <row r="42" spans="2:22" ht="14.25" customHeight="1" x14ac:dyDescent="0.25">
      <c r="B42" s="206" t="s">
        <v>879</v>
      </c>
      <c r="L42" s="237" t="s">
        <v>880</v>
      </c>
    </row>
    <row r="43" spans="2:22" ht="20.25" customHeight="1" x14ac:dyDescent="0.25">
      <c r="B43" s="252" t="s">
        <v>881</v>
      </c>
      <c r="C43" s="253"/>
      <c r="D43" s="253"/>
      <c r="E43" s="253"/>
      <c r="F43" s="253"/>
      <c r="G43" s="253"/>
      <c r="H43" s="253"/>
      <c r="I43" s="253"/>
      <c r="J43" s="253"/>
      <c r="K43" s="253"/>
      <c r="L43" s="253"/>
    </row>
    <row r="44" spans="2:22" ht="20.25" customHeight="1" x14ac:dyDescent="0.25">
      <c r="B44" s="254" t="s">
        <v>882</v>
      </c>
      <c r="C44" s="255"/>
      <c r="D44" s="255"/>
      <c r="E44" s="255"/>
      <c r="F44" s="255"/>
      <c r="G44" s="255"/>
      <c r="H44" s="255"/>
      <c r="I44" s="255"/>
      <c r="J44" s="255"/>
      <c r="K44" s="255"/>
      <c r="L44" s="255"/>
    </row>
    <row r="45" spans="2:22" ht="20.25" customHeight="1" x14ac:dyDescent="0.25">
      <c r="B45" s="254" t="s">
        <v>883</v>
      </c>
      <c r="C45" s="255"/>
      <c r="D45" s="255"/>
      <c r="E45" s="255"/>
      <c r="F45" s="255"/>
      <c r="G45" s="255"/>
      <c r="H45" s="255"/>
      <c r="I45" s="255"/>
      <c r="J45" s="255"/>
      <c r="K45" s="255"/>
      <c r="L45" s="255"/>
    </row>
    <row r="46" spans="2:22" ht="20.25" customHeight="1" x14ac:dyDescent="0.25">
      <c r="B46" s="254" t="s">
        <v>932</v>
      </c>
      <c r="C46" s="255"/>
      <c r="D46" s="255"/>
      <c r="E46" s="255"/>
      <c r="F46" s="255"/>
      <c r="G46" s="255"/>
      <c r="H46" s="255"/>
      <c r="I46" s="255"/>
      <c r="J46" s="255"/>
      <c r="K46" s="255"/>
      <c r="L46" s="255"/>
    </row>
    <row r="47" spans="2:22" ht="18.75" customHeight="1" x14ac:dyDescent="0.25">
      <c r="B47" s="68"/>
      <c r="H47" s="384" t="str">
        <f>'Summary Sheet'!R1</f>
        <v>Revised September 2026</v>
      </c>
      <c r="I47" s="384"/>
      <c r="J47" s="384"/>
      <c r="K47" s="384"/>
      <c r="L47" s="384"/>
    </row>
    <row r="48" spans="2:22" ht="41.25" customHeight="1" x14ac:dyDescent="0.25">
      <c r="B48" s="205"/>
      <c r="C48" s="205"/>
      <c r="D48" s="205"/>
      <c r="E48" s="205"/>
      <c r="F48" s="205"/>
      <c r="G48" s="205"/>
      <c r="H48" s="205"/>
      <c r="I48" s="205"/>
      <c r="J48" s="205"/>
    </row>
    <row r="49" spans="2:10" x14ac:dyDescent="0.25">
      <c r="B49" s="205"/>
      <c r="C49" s="205"/>
      <c r="D49" s="205"/>
      <c r="E49" s="205"/>
      <c r="F49" s="205"/>
      <c r="G49" s="205"/>
      <c r="H49" s="205"/>
      <c r="I49" s="205"/>
      <c r="J49" s="205"/>
    </row>
    <row r="50" spans="2:10" x14ac:dyDescent="0.25">
      <c r="B50" s="205"/>
      <c r="C50" s="205"/>
      <c r="D50" s="205"/>
      <c r="E50" s="205"/>
      <c r="F50" s="205"/>
      <c r="G50" s="205"/>
      <c r="H50" s="205"/>
      <c r="I50" s="205"/>
      <c r="J50" s="205"/>
    </row>
    <row r="51" spans="2:10" x14ac:dyDescent="0.25">
      <c r="B51" s="205"/>
      <c r="C51" s="205"/>
      <c r="D51" s="205"/>
      <c r="E51" s="205"/>
      <c r="F51" s="205"/>
      <c r="G51" s="205"/>
      <c r="H51" s="205"/>
      <c r="I51" s="205"/>
      <c r="J51" s="205"/>
    </row>
    <row r="52" spans="2:10" x14ac:dyDescent="0.25">
      <c r="B52" s="205"/>
      <c r="C52" s="205"/>
      <c r="D52" s="205"/>
      <c r="E52" s="205"/>
      <c r="F52" s="205"/>
      <c r="G52" s="205"/>
      <c r="H52" s="205"/>
      <c r="I52" s="205"/>
      <c r="J52" s="205"/>
    </row>
    <row r="53" spans="2:10" x14ac:dyDescent="0.25">
      <c r="B53" s="205"/>
      <c r="C53" s="205"/>
      <c r="D53" s="205"/>
      <c r="E53" s="205"/>
      <c r="F53" s="205"/>
      <c r="G53" s="205"/>
      <c r="H53" s="205"/>
      <c r="I53" s="205"/>
      <c r="J53" s="205"/>
    </row>
    <row r="54" spans="2:10" x14ac:dyDescent="0.25">
      <c r="B54" s="205"/>
      <c r="C54" s="205"/>
      <c r="D54" s="205"/>
      <c r="E54" s="205"/>
      <c r="F54" s="205"/>
      <c r="G54" s="205"/>
      <c r="H54" s="205"/>
      <c r="I54" s="205"/>
      <c r="J54" s="205"/>
    </row>
    <row r="55" spans="2:10" x14ac:dyDescent="0.25">
      <c r="B55" s="205"/>
      <c r="C55" s="205"/>
      <c r="D55" s="205"/>
      <c r="E55" s="205"/>
      <c r="F55" s="205"/>
      <c r="G55" s="205"/>
      <c r="H55" s="205"/>
      <c r="I55" s="205"/>
      <c r="J55" s="205"/>
    </row>
    <row r="56" spans="2:10" x14ac:dyDescent="0.25">
      <c r="B56" s="205"/>
      <c r="C56" s="205"/>
      <c r="D56" s="205"/>
      <c r="E56" s="205"/>
      <c r="F56" s="205"/>
      <c r="G56" s="205"/>
      <c r="H56" s="205"/>
      <c r="I56" s="205"/>
      <c r="J56" s="205"/>
    </row>
    <row r="57" spans="2:10" x14ac:dyDescent="0.25">
      <c r="B57" s="205"/>
      <c r="C57" s="205"/>
      <c r="D57" s="205"/>
      <c r="E57" s="205"/>
      <c r="F57" s="205"/>
      <c r="G57" s="205"/>
      <c r="H57" s="205"/>
      <c r="I57" s="205"/>
      <c r="J57" s="205"/>
    </row>
    <row r="58" spans="2:10" x14ac:dyDescent="0.25">
      <c r="B58" s="205"/>
      <c r="C58" s="205"/>
      <c r="D58" s="205"/>
      <c r="E58" s="205"/>
      <c r="F58" s="205"/>
      <c r="G58" s="205"/>
      <c r="H58" s="205"/>
      <c r="I58" s="205"/>
      <c r="J58" s="205"/>
    </row>
    <row r="59" spans="2:10" x14ac:dyDescent="0.25">
      <c r="B59" s="205"/>
      <c r="C59" s="205"/>
      <c r="D59" s="205"/>
      <c r="E59" s="205"/>
      <c r="F59" s="205"/>
      <c r="G59" s="205"/>
      <c r="H59" s="205"/>
      <c r="I59" s="205"/>
      <c r="J59" s="205"/>
    </row>
    <row r="60" spans="2:10" x14ac:dyDescent="0.25">
      <c r="B60" s="205"/>
      <c r="C60" s="205"/>
      <c r="D60" s="205"/>
      <c r="E60" s="205"/>
      <c r="F60" s="205"/>
      <c r="G60" s="205"/>
      <c r="H60" s="205"/>
      <c r="I60" s="205"/>
      <c r="J60" s="205"/>
    </row>
    <row r="61" spans="2:10" x14ac:dyDescent="0.25">
      <c r="B61" s="205"/>
      <c r="C61" s="205"/>
      <c r="D61" s="205"/>
      <c r="E61" s="205"/>
      <c r="F61" s="205"/>
      <c r="G61" s="205"/>
      <c r="H61" s="205"/>
      <c r="I61" s="205"/>
      <c r="J61" s="205"/>
    </row>
    <row r="62" spans="2:10" x14ac:dyDescent="0.25">
      <c r="B62" s="205"/>
      <c r="C62" s="205"/>
      <c r="D62" s="205"/>
      <c r="E62" s="205"/>
      <c r="F62" s="205"/>
      <c r="G62" s="205"/>
      <c r="H62" s="205"/>
      <c r="I62" s="205"/>
      <c r="J62" s="205"/>
    </row>
  </sheetData>
  <sheetProtection algorithmName="SHA-512" hashValue="GkaDSvGzkrVQjtuPoof5tl4rjxzjComIVJGCxlDwubV8nT+mnWFhUIiHH9e2j0aQf2vpJS8EsIG0o3P2GxjOJA==" saltValue="60XvG0S5eJxpFtn0FiSKrw==" spinCount="100000" sheet="1" objects="1" selectLockedCells="1"/>
  <mergeCells count="31">
    <mergeCell ref="P16:V16"/>
    <mergeCell ref="B4:C5"/>
    <mergeCell ref="N8:V10"/>
    <mergeCell ref="P14:V14"/>
    <mergeCell ref="P13:V13"/>
    <mergeCell ref="H7:I7"/>
    <mergeCell ref="H10:L10"/>
    <mergeCell ref="P33:V33"/>
    <mergeCell ref="H47:L47"/>
    <mergeCell ref="B41:L41"/>
    <mergeCell ref="P17:V17"/>
    <mergeCell ref="P27:V27"/>
    <mergeCell ref="P24:V24"/>
    <mergeCell ref="P25:V25"/>
    <mergeCell ref="P26:V26"/>
    <mergeCell ref="G2:L2"/>
    <mergeCell ref="C12:F12"/>
    <mergeCell ref="C9:E9"/>
    <mergeCell ref="P31:V31"/>
    <mergeCell ref="P32:V32"/>
    <mergeCell ref="P30:V30"/>
    <mergeCell ref="P18:V18"/>
    <mergeCell ref="P19:V19"/>
    <mergeCell ref="P20:V20"/>
    <mergeCell ref="P21:V21"/>
    <mergeCell ref="P15:V15"/>
    <mergeCell ref="P22:V22"/>
    <mergeCell ref="P23:V23"/>
    <mergeCell ref="P29:V29"/>
    <mergeCell ref="P28:V28"/>
    <mergeCell ref="G3:L3"/>
  </mergeCells>
  <conditionalFormatting sqref="C8">
    <cfRule type="cellIs" dxfId="668" priority="7" operator="equal">
      <formula>0</formula>
    </cfRule>
  </conditionalFormatting>
  <conditionalFormatting sqref="C10">
    <cfRule type="cellIs" dxfId="667" priority="9" operator="equal">
      <formula>0</formula>
    </cfRule>
  </conditionalFormatting>
  <conditionalFormatting sqref="H8:H9">
    <cfRule type="cellIs" dxfId="666" priority="8" operator="equal">
      <formula>0</formula>
    </cfRule>
  </conditionalFormatting>
  <pageMargins left="0.25" right="0.25" top="0.25" bottom="0.2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50EBBD7-13AF-4FCC-B657-530586A68012}">
          <x14:formula1>
            <xm:f>'Graph Data'!$L$65:$L$164</xm:f>
          </x14:formula1>
          <xm:sqref>C7</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43994-2150-458E-A32D-D34358AC420D}">
  <sheetPr>
    <tabColor rgb="FFFFC000"/>
    <pageSetUpPr autoPageBreaks="0"/>
  </sheetPr>
  <dimension ref="A1:SJ128"/>
  <sheetViews>
    <sheetView showGridLines="0" zoomScaleNormal="100" workbookViewId="0">
      <pane xSplit="4" ySplit="11" topLeftCell="E12" activePane="bottomRight" state="frozen"/>
      <selection pane="topRight" activeCell="D1" sqref="D1"/>
      <selection pane="bottomLeft" activeCell="A7" sqref="A7"/>
      <selection pane="bottomRight" activeCell="E2" sqref="E2"/>
    </sheetView>
  </sheetViews>
  <sheetFormatPr defaultColWidth="9.140625" defaultRowHeight="15" x14ac:dyDescent="0.25"/>
  <cols>
    <col min="1" max="1" width="1.28515625" style="83" customWidth="1"/>
    <col min="2" max="2" width="14.85546875" customWidth="1"/>
    <col min="3" max="3" width="40.7109375" customWidth="1"/>
    <col min="4" max="4" width="19.28515625" style="81" customWidth="1"/>
    <col min="5" max="5" width="17.42578125" style="82" customWidth="1"/>
    <col min="6" max="64" width="17.140625" style="81" customWidth="1"/>
    <col min="65" max="504" width="17.140625" style="83" customWidth="1"/>
    <col min="505" max="16384" width="9.140625" style="83"/>
  </cols>
  <sheetData>
    <row r="1" spans="1:504" ht="7.5" customHeight="1" x14ac:dyDescent="0.25">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1"/>
      <c r="CK1" s="101"/>
      <c r="CL1" s="101"/>
      <c r="CM1" s="101"/>
      <c r="CN1" s="101"/>
      <c r="CO1" s="101"/>
      <c r="CP1" s="101"/>
      <c r="CQ1" s="101"/>
      <c r="CR1" s="101"/>
      <c r="CS1" s="101"/>
      <c r="CT1" s="101"/>
      <c r="CU1" s="101"/>
      <c r="CV1" s="101"/>
      <c r="CW1" s="101"/>
      <c r="CX1" s="101"/>
      <c r="CY1" s="101"/>
      <c r="CZ1" s="101"/>
      <c r="DA1" s="101"/>
      <c r="DB1" s="101"/>
      <c r="DC1" s="101"/>
      <c r="DD1" s="101"/>
      <c r="DE1" s="101"/>
      <c r="DF1" s="101"/>
      <c r="DG1" s="101"/>
      <c r="DH1" s="101"/>
      <c r="DI1" s="101"/>
      <c r="DJ1" s="101"/>
      <c r="DK1" s="101"/>
      <c r="DL1" s="101"/>
      <c r="DM1" s="101"/>
      <c r="DN1" s="101"/>
      <c r="DO1" s="101"/>
      <c r="DP1" s="101"/>
      <c r="DQ1" s="101"/>
      <c r="DR1" s="101"/>
      <c r="DS1" s="101"/>
      <c r="DT1" s="101"/>
      <c r="DU1" s="101"/>
      <c r="DV1" s="101"/>
      <c r="DW1" s="101"/>
      <c r="DX1" s="101"/>
      <c r="DY1" s="101"/>
      <c r="DZ1" s="101"/>
      <c r="EA1" s="101"/>
      <c r="EB1" s="101"/>
      <c r="EC1" s="101"/>
      <c r="ED1" s="101"/>
      <c r="EE1" s="101"/>
      <c r="EF1" s="101"/>
      <c r="EG1" s="101"/>
      <c r="EH1" s="101"/>
      <c r="EI1" s="101"/>
      <c r="EJ1" s="101"/>
      <c r="EK1" s="101"/>
      <c r="EL1" s="101"/>
      <c r="EM1" s="101"/>
      <c r="EN1" s="101"/>
      <c r="EO1" s="101"/>
      <c r="EP1" s="101"/>
      <c r="EQ1" s="101"/>
      <c r="ER1" s="101"/>
      <c r="ES1" s="101"/>
      <c r="ET1" s="101"/>
      <c r="EU1" s="101"/>
      <c r="EV1" s="101"/>
      <c r="EW1" s="101"/>
      <c r="EX1" s="101"/>
      <c r="EY1" s="101"/>
      <c r="EZ1" s="101"/>
      <c r="FA1" s="101"/>
      <c r="FB1" s="101"/>
      <c r="FC1" s="101"/>
      <c r="FD1" s="101"/>
      <c r="FE1" s="101"/>
      <c r="FF1" s="101"/>
      <c r="FG1" s="101"/>
      <c r="FH1" s="101"/>
      <c r="FI1" s="101"/>
      <c r="FJ1" s="101"/>
      <c r="FK1" s="101"/>
      <c r="FL1" s="101"/>
      <c r="FM1" s="101"/>
      <c r="FN1" s="101"/>
      <c r="FO1" s="101"/>
      <c r="FP1" s="101"/>
      <c r="FQ1" s="101"/>
      <c r="FR1" s="101"/>
      <c r="FS1" s="101"/>
      <c r="FT1" s="101"/>
      <c r="FU1" s="101"/>
      <c r="FV1" s="101"/>
      <c r="FW1" s="101"/>
      <c r="FX1" s="101"/>
      <c r="FY1" s="101"/>
      <c r="FZ1" s="101"/>
      <c r="GA1" s="101"/>
      <c r="GB1" s="101"/>
      <c r="GC1" s="101"/>
      <c r="GD1" s="101"/>
      <c r="GE1" s="101"/>
      <c r="GF1" s="101"/>
      <c r="GG1" s="101"/>
      <c r="GH1" s="101"/>
      <c r="GI1" s="101"/>
      <c r="GJ1" s="101"/>
      <c r="GK1" s="101"/>
      <c r="GL1" s="101"/>
      <c r="GM1" s="101"/>
      <c r="GN1" s="101"/>
      <c r="GO1" s="101"/>
      <c r="GP1" s="101"/>
      <c r="GQ1" s="101"/>
      <c r="GR1" s="101"/>
      <c r="GS1" s="101"/>
      <c r="GT1" s="101"/>
      <c r="GU1" s="101"/>
      <c r="GV1" s="101"/>
      <c r="GW1" s="101"/>
      <c r="GX1" s="101"/>
      <c r="GY1" s="101"/>
      <c r="GZ1" s="101"/>
      <c r="HA1" s="101"/>
      <c r="HB1" s="101"/>
      <c r="HC1" s="101"/>
      <c r="HD1" s="101"/>
      <c r="HE1" s="101"/>
      <c r="HF1" s="101"/>
      <c r="HG1" s="101"/>
      <c r="HH1" s="101"/>
      <c r="HI1" s="101"/>
      <c r="HJ1" s="101"/>
      <c r="HK1" s="101"/>
      <c r="HL1" s="101"/>
      <c r="HM1" s="101"/>
      <c r="HN1" s="101"/>
      <c r="HO1" s="101"/>
      <c r="HP1" s="101"/>
      <c r="HQ1" s="101"/>
      <c r="HR1" s="101"/>
      <c r="HS1" s="101"/>
      <c r="HT1" s="101"/>
      <c r="HU1" s="101"/>
      <c r="HV1" s="101"/>
      <c r="HW1" s="101"/>
      <c r="HX1" s="101"/>
      <c r="HY1" s="101"/>
      <c r="HZ1" s="101"/>
      <c r="IA1" s="101"/>
      <c r="IB1" s="101"/>
      <c r="IC1" s="101"/>
      <c r="ID1" s="101"/>
      <c r="IE1" s="101"/>
      <c r="IF1" s="101"/>
      <c r="IG1" s="101"/>
      <c r="IH1" s="101"/>
      <c r="II1" s="101"/>
      <c r="IJ1" s="101"/>
      <c r="IK1" s="101"/>
      <c r="IL1" s="101"/>
      <c r="IM1" s="101"/>
      <c r="IN1" s="101"/>
      <c r="IO1" s="101"/>
      <c r="IP1" s="101"/>
      <c r="IQ1" s="101"/>
      <c r="IR1" s="101"/>
      <c r="IS1" s="101"/>
      <c r="IT1" s="101"/>
      <c r="IU1" s="101"/>
      <c r="IV1" s="101"/>
      <c r="IW1" s="101"/>
      <c r="IX1" s="101"/>
      <c r="IY1" s="101"/>
      <c r="IZ1" s="101"/>
      <c r="JA1" s="101"/>
      <c r="JB1" s="101"/>
      <c r="JC1" s="101"/>
      <c r="JD1" s="101"/>
      <c r="JE1" s="101"/>
      <c r="JF1" s="101"/>
      <c r="JG1" s="101"/>
      <c r="JH1" s="101"/>
      <c r="JI1" s="101"/>
      <c r="JJ1" s="101"/>
      <c r="JK1" s="101"/>
      <c r="JL1" s="101"/>
      <c r="JM1" s="101"/>
      <c r="JN1" s="101"/>
      <c r="JO1" s="101"/>
      <c r="JP1" s="101"/>
      <c r="JQ1" s="101"/>
      <c r="JR1" s="101"/>
      <c r="JS1" s="101"/>
      <c r="JT1" s="101"/>
      <c r="JU1" s="101"/>
      <c r="JV1" s="101"/>
      <c r="JW1" s="101"/>
      <c r="JX1" s="101"/>
      <c r="JY1" s="101"/>
      <c r="JZ1" s="101"/>
      <c r="KA1" s="101"/>
      <c r="KB1" s="101"/>
      <c r="KC1" s="101"/>
      <c r="KD1" s="101"/>
      <c r="KE1" s="101"/>
      <c r="KF1" s="101"/>
      <c r="KG1" s="101"/>
      <c r="KH1" s="101"/>
      <c r="KI1" s="101"/>
      <c r="KJ1" s="101"/>
      <c r="KK1" s="101"/>
      <c r="KL1" s="101"/>
      <c r="KM1" s="101"/>
      <c r="KN1" s="101"/>
      <c r="KO1" s="101"/>
      <c r="KP1" s="101"/>
      <c r="KQ1" s="101"/>
      <c r="KR1" s="101"/>
      <c r="KS1" s="101"/>
      <c r="KT1" s="101"/>
      <c r="KU1" s="101"/>
      <c r="KV1" s="101"/>
      <c r="KW1" s="101"/>
      <c r="KX1" s="101"/>
      <c r="KY1" s="101"/>
      <c r="KZ1" s="101"/>
      <c r="LA1" s="101"/>
      <c r="LB1" s="101"/>
      <c r="LC1" s="101"/>
      <c r="LD1" s="101"/>
      <c r="LE1" s="101"/>
      <c r="LF1" s="101"/>
      <c r="LG1" s="101"/>
      <c r="LH1" s="101"/>
      <c r="LI1" s="101"/>
      <c r="LJ1" s="101"/>
      <c r="LK1" s="101"/>
      <c r="LL1" s="101"/>
      <c r="LM1" s="101"/>
      <c r="LN1" s="101"/>
      <c r="LO1" s="101"/>
      <c r="LP1" s="101"/>
      <c r="LQ1" s="101"/>
      <c r="LR1" s="101"/>
      <c r="LS1" s="101"/>
      <c r="LT1" s="101"/>
      <c r="LU1" s="101"/>
      <c r="LV1" s="101"/>
      <c r="LW1" s="101"/>
      <c r="LX1" s="101"/>
      <c r="LY1" s="101"/>
      <c r="LZ1" s="101"/>
      <c r="MA1" s="101"/>
      <c r="MB1" s="101"/>
      <c r="MC1" s="101"/>
      <c r="MD1" s="101"/>
      <c r="ME1" s="101"/>
      <c r="MF1" s="101"/>
      <c r="MG1" s="101"/>
      <c r="MH1" s="101"/>
      <c r="MI1" s="101"/>
      <c r="MJ1" s="101"/>
      <c r="MK1" s="101"/>
      <c r="ML1" s="101"/>
      <c r="MM1" s="101"/>
      <c r="MN1" s="101"/>
      <c r="MO1" s="101"/>
      <c r="MP1" s="101"/>
      <c r="MQ1" s="101"/>
      <c r="MR1" s="101"/>
      <c r="MS1" s="101"/>
      <c r="MT1" s="101"/>
      <c r="MU1" s="101"/>
      <c r="MV1" s="101"/>
      <c r="MW1" s="101"/>
      <c r="MX1" s="101"/>
      <c r="MY1" s="101"/>
      <c r="MZ1" s="101"/>
      <c r="NA1" s="101"/>
      <c r="NB1" s="101"/>
      <c r="NC1" s="101"/>
      <c r="ND1" s="101"/>
      <c r="NE1" s="101"/>
      <c r="NF1" s="101"/>
      <c r="NG1" s="101"/>
      <c r="NH1" s="101"/>
      <c r="NI1" s="101"/>
      <c r="NJ1" s="101"/>
      <c r="NK1" s="101"/>
      <c r="NL1" s="101"/>
      <c r="NM1" s="101"/>
      <c r="NN1" s="101"/>
      <c r="NO1" s="101"/>
      <c r="NP1" s="101"/>
      <c r="NQ1" s="101"/>
      <c r="NR1" s="101"/>
      <c r="NS1" s="101"/>
      <c r="NT1" s="101"/>
      <c r="NU1" s="101"/>
      <c r="NV1" s="101"/>
      <c r="NW1" s="101"/>
      <c r="NX1" s="101"/>
      <c r="NY1" s="101"/>
      <c r="NZ1" s="101"/>
      <c r="OA1" s="101"/>
      <c r="OB1" s="101"/>
      <c r="OC1" s="101"/>
      <c r="OD1" s="101"/>
      <c r="OE1" s="101"/>
      <c r="OF1" s="101"/>
      <c r="OG1" s="101"/>
      <c r="OH1" s="101"/>
      <c r="OI1" s="101"/>
      <c r="OJ1" s="101"/>
      <c r="OK1" s="101"/>
      <c r="OL1" s="101"/>
      <c r="OM1" s="101"/>
      <c r="ON1" s="101"/>
      <c r="OO1" s="101"/>
      <c r="OP1" s="101"/>
      <c r="OQ1" s="101"/>
      <c r="OR1" s="101"/>
      <c r="OS1" s="101"/>
      <c r="OT1" s="101"/>
      <c r="OU1" s="101"/>
      <c r="OV1" s="101"/>
      <c r="OW1" s="101"/>
      <c r="OX1" s="101"/>
      <c r="OY1" s="101"/>
      <c r="OZ1" s="101"/>
      <c r="PA1" s="101"/>
      <c r="PB1" s="101"/>
      <c r="PC1" s="101"/>
      <c r="PD1" s="101"/>
      <c r="PE1" s="101"/>
      <c r="PF1" s="101"/>
      <c r="PG1" s="101"/>
      <c r="PH1" s="101"/>
      <c r="PI1" s="101"/>
      <c r="PJ1" s="101"/>
      <c r="PK1" s="101"/>
      <c r="PL1" s="101"/>
      <c r="PM1" s="101"/>
      <c r="PN1" s="101"/>
      <c r="PO1" s="101"/>
      <c r="PP1" s="101"/>
      <c r="PQ1" s="101"/>
      <c r="PR1" s="101"/>
      <c r="PS1" s="101"/>
      <c r="PT1" s="101"/>
      <c r="PU1" s="101"/>
      <c r="PV1" s="101"/>
      <c r="PW1" s="101"/>
      <c r="PX1" s="101"/>
      <c r="PY1" s="101"/>
      <c r="PZ1" s="101"/>
      <c r="QA1" s="101"/>
      <c r="QB1" s="101"/>
      <c r="QC1" s="101"/>
      <c r="QD1" s="101"/>
      <c r="QE1" s="101"/>
      <c r="QF1" s="101"/>
      <c r="QG1" s="101"/>
      <c r="QH1" s="101"/>
      <c r="QI1" s="101"/>
      <c r="QJ1" s="101"/>
      <c r="QK1" s="101"/>
      <c r="QL1" s="101"/>
      <c r="QM1" s="101"/>
      <c r="QN1" s="101"/>
      <c r="QO1" s="101"/>
      <c r="QP1" s="101"/>
      <c r="QQ1" s="101"/>
      <c r="QR1" s="101"/>
      <c r="QS1" s="101"/>
      <c r="QT1" s="101"/>
      <c r="QU1" s="101"/>
      <c r="QV1" s="101"/>
      <c r="QW1" s="101"/>
      <c r="QX1" s="101"/>
      <c r="QY1" s="101"/>
      <c r="QZ1" s="101"/>
      <c r="RA1" s="101"/>
      <c r="RB1" s="101"/>
      <c r="RC1" s="101"/>
      <c r="RD1" s="101"/>
      <c r="RE1" s="101"/>
      <c r="RF1" s="101"/>
      <c r="RG1" s="101"/>
      <c r="RH1" s="101"/>
      <c r="RI1" s="101"/>
      <c r="RJ1" s="101"/>
      <c r="RK1" s="101"/>
      <c r="RL1" s="101"/>
      <c r="RM1" s="101"/>
      <c r="RN1" s="101"/>
      <c r="RO1" s="101"/>
      <c r="RP1" s="101"/>
      <c r="RQ1" s="101"/>
      <c r="RR1" s="101"/>
      <c r="RS1" s="101"/>
      <c r="RT1" s="101"/>
      <c r="RU1" s="101"/>
      <c r="RV1" s="101"/>
      <c r="RW1" s="101"/>
      <c r="RX1" s="101"/>
      <c r="RY1" s="101"/>
      <c r="RZ1" s="101"/>
      <c r="SA1" s="101"/>
      <c r="SB1" s="101"/>
      <c r="SC1" s="101"/>
      <c r="SD1" s="101"/>
      <c r="SE1" s="101"/>
      <c r="SF1" s="101"/>
      <c r="SG1" s="101"/>
      <c r="SH1" s="101"/>
      <c r="SI1" s="101"/>
      <c r="SJ1" s="101"/>
    </row>
    <row r="2" spans="1:504" ht="15" customHeight="1" x14ac:dyDescent="0.25">
      <c r="D2" s="81" t="s">
        <v>891</v>
      </c>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126"/>
      <c r="AM2" s="126"/>
      <c r="AN2" s="126"/>
      <c r="AO2" s="126"/>
      <c r="AP2" s="126"/>
      <c r="AQ2" s="126"/>
      <c r="AR2" s="126"/>
      <c r="AS2" s="126"/>
      <c r="AT2" s="126"/>
      <c r="AU2" s="126"/>
      <c r="AV2" s="126"/>
      <c r="AW2" s="126"/>
      <c r="AX2" s="126"/>
      <c r="AY2" s="126"/>
      <c r="AZ2" s="126"/>
      <c r="BA2" s="126"/>
      <c r="BB2" s="126"/>
      <c r="BC2" s="126"/>
      <c r="BD2" s="126"/>
      <c r="BE2" s="126"/>
      <c r="BF2" s="126"/>
      <c r="BG2" s="126"/>
      <c r="BH2" s="126"/>
      <c r="BI2" s="126"/>
      <c r="BJ2" s="126"/>
      <c r="BK2" s="126"/>
      <c r="BL2" s="126"/>
      <c r="BM2" s="126"/>
      <c r="BN2" s="126"/>
      <c r="BO2" s="126"/>
      <c r="BP2" s="126"/>
      <c r="BQ2" s="126"/>
      <c r="BR2" s="126"/>
      <c r="BS2" s="126"/>
      <c r="BT2" s="126"/>
      <c r="BU2" s="126"/>
      <c r="BV2" s="126"/>
      <c r="BW2" s="126"/>
      <c r="BX2" s="126"/>
      <c r="BY2" s="126"/>
      <c r="BZ2" s="126"/>
      <c r="CA2" s="126"/>
      <c r="CB2" s="126"/>
      <c r="CC2" s="126"/>
      <c r="CD2" s="126"/>
      <c r="CE2" s="126"/>
      <c r="CF2" s="126"/>
      <c r="CG2" s="126"/>
      <c r="CH2" s="126"/>
      <c r="CI2" s="126"/>
      <c r="CJ2" s="126"/>
      <c r="CK2" s="126"/>
      <c r="CL2" s="126"/>
      <c r="CM2" s="126"/>
      <c r="CN2" s="126"/>
      <c r="CO2" s="126"/>
      <c r="CP2" s="126"/>
      <c r="CQ2" s="126"/>
      <c r="CR2" s="126"/>
      <c r="CS2" s="126"/>
      <c r="CT2" s="126"/>
      <c r="CU2" s="126"/>
      <c r="CV2" s="126"/>
      <c r="CW2" s="126"/>
      <c r="CX2" s="126"/>
      <c r="CY2" s="126"/>
      <c r="CZ2" s="126"/>
      <c r="DA2" s="126"/>
      <c r="DB2" s="126"/>
      <c r="DC2" s="126"/>
      <c r="DD2" s="126"/>
      <c r="DE2" s="126"/>
      <c r="DF2" s="126"/>
      <c r="DG2" s="126"/>
      <c r="DH2" s="126"/>
      <c r="DI2" s="126"/>
      <c r="DJ2" s="126"/>
      <c r="DK2" s="126"/>
      <c r="DL2" s="126"/>
      <c r="DM2" s="126"/>
      <c r="DN2" s="126"/>
      <c r="DO2" s="126"/>
      <c r="DP2" s="126"/>
      <c r="DQ2" s="126"/>
      <c r="DR2" s="126"/>
      <c r="DS2" s="126"/>
      <c r="DT2" s="126"/>
      <c r="DU2" s="126"/>
      <c r="DV2" s="126"/>
      <c r="DW2" s="126"/>
      <c r="DX2" s="126"/>
      <c r="DY2" s="126"/>
      <c r="DZ2" s="126"/>
      <c r="EA2" s="126"/>
      <c r="EB2" s="126"/>
      <c r="EC2" s="126"/>
      <c r="ED2" s="126"/>
      <c r="EE2" s="126"/>
      <c r="EF2" s="126"/>
      <c r="EG2" s="126"/>
      <c r="EH2" s="126"/>
      <c r="EI2" s="126"/>
      <c r="EJ2" s="126"/>
      <c r="EK2" s="126"/>
      <c r="EL2" s="126"/>
      <c r="EM2" s="126"/>
      <c r="EN2" s="126"/>
      <c r="EO2" s="126"/>
      <c r="EP2" s="126"/>
      <c r="EQ2" s="126"/>
      <c r="ER2" s="126"/>
      <c r="ES2" s="126"/>
      <c r="ET2" s="126"/>
      <c r="EU2" s="126"/>
      <c r="EV2" s="126"/>
      <c r="EW2" s="126"/>
      <c r="EX2" s="126"/>
      <c r="EY2" s="126"/>
      <c r="EZ2" s="126"/>
      <c r="FA2" s="126"/>
      <c r="FB2" s="126"/>
      <c r="FC2" s="126"/>
      <c r="FD2" s="126"/>
      <c r="FE2" s="126"/>
      <c r="FF2" s="126"/>
      <c r="FG2" s="126"/>
      <c r="FH2" s="126"/>
      <c r="FI2" s="126"/>
      <c r="FJ2" s="126"/>
      <c r="FK2" s="126"/>
      <c r="FL2" s="126"/>
      <c r="FM2" s="126"/>
      <c r="FN2" s="126"/>
      <c r="FO2" s="126"/>
      <c r="FP2" s="126"/>
      <c r="FQ2" s="126"/>
      <c r="FR2" s="126"/>
      <c r="FS2" s="126"/>
      <c r="FT2" s="126"/>
      <c r="FU2" s="126"/>
      <c r="FV2" s="126"/>
      <c r="FW2" s="126"/>
      <c r="FX2" s="126"/>
      <c r="FY2" s="126"/>
      <c r="FZ2" s="126"/>
      <c r="GA2" s="126"/>
      <c r="GB2" s="126"/>
      <c r="GC2" s="126"/>
      <c r="GD2" s="126"/>
      <c r="GE2" s="126"/>
      <c r="GF2" s="126"/>
      <c r="GG2" s="126"/>
      <c r="GH2" s="126"/>
      <c r="GI2" s="126"/>
      <c r="GJ2" s="126"/>
      <c r="GK2" s="126"/>
      <c r="GL2" s="126"/>
      <c r="GM2" s="126"/>
      <c r="GN2" s="126"/>
      <c r="GO2" s="126"/>
      <c r="GP2" s="126"/>
      <c r="GQ2" s="126"/>
      <c r="GR2" s="126"/>
      <c r="GS2" s="126"/>
      <c r="GT2" s="126"/>
      <c r="GU2" s="126"/>
      <c r="GV2" s="126"/>
      <c r="GW2" s="126"/>
      <c r="GX2" s="126"/>
      <c r="GY2" s="126"/>
      <c r="GZ2" s="126"/>
      <c r="HA2" s="126"/>
      <c r="HB2" s="126"/>
      <c r="HC2" s="126"/>
      <c r="HD2" s="126"/>
      <c r="HE2" s="126"/>
      <c r="HF2" s="126"/>
      <c r="HG2" s="126"/>
      <c r="HH2" s="126"/>
      <c r="HI2" s="126"/>
      <c r="HJ2" s="126"/>
      <c r="HK2" s="126"/>
      <c r="HL2" s="126"/>
      <c r="HM2" s="126"/>
      <c r="HN2" s="126"/>
      <c r="HO2" s="126"/>
      <c r="HP2" s="126"/>
      <c r="HQ2" s="126"/>
      <c r="HR2" s="126"/>
      <c r="HS2" s="126"/>
      <c r="HT2" s="126"/>
      <c r="HU2" s="126"/>
      <c r="HV2" s="126"/>
      <c r="HW2" s="126"/>
      <c r="HX2" s="126"/>
      <c r="HY2" s="126"/>
      <c r="HZ2" s="126"/>
      <c r="IA2" s="126"/>
      <c r="IB2" s="126"/>
      <c r="IC2" s="126"/>
      <c r="ID2" s="126"/>
      <c r="IE2" s="126"/>
      <c r="IF2" s="126"/>
      <c r="IG2" s="126"/>
      <c r="IH2" s="126"/>
      <c r="II2" s="126"/>
      <c r="IJ2" s="126"/>
      <c r="IK2" s="126"/>
      <c r="IL2" s="126"/>
      <c r="IM2" s="126"/>
      <c r="IN2" s="126"/>
      <c r="IO2" s="126"/>
      <c r="IP2" s="126"/>
      <c r="IQ2" s="126"/>
      <c r="IR2" s="126"/>
      <c r="IS2" s="126"/>
      <c r="IT2" s="126"/>
      <c r="IU2" s="126"/>
      <c r="IV2" s="126"/>
      <c r="IW2" s="126"/>
      <c r="IX2" s="126"/>
      <c r="IY2" s="126"/>
      <c r="IZ2" s="126"/>
      <c r="JA2" s="126"/>
      <c r="JB2" s="126"/>
      <c r="JC2" s="126"/>
      <c r="JD2" s="126"/>
      <c r="JE2" s="126"/>
      <c r="JF2" s="126"/>
      <c r="JG2" s="126"/>
      <c r="JH2" s="126"/>
      <c r="JI2" s="126"/>
      <c r="JJ2" s="126"/>
      <c r="JK2" s="126"/>
      <c r="JL2" s="126"/>
      <c r="JM2" s="126"/>
      <c r="JN2" s="126"/>
      <c r="JO2" s="126"/>
      <c r="JP2" s="126"/>
      <c r="JQ2" s="126"/>
      <c r="JR2" s="126"/>
      <c r="JS2" s="126"/>
      <c r="JT2" s="126"/>
      <c r="JU2" s="126"/>
      <c r="JV2" s="126"/>
      <c r="JW2" s="126"/>
      <c r="JX2" s="126"/>
      <c r="JY2" s="126"/>
      <c r="JZ2" s="126"/>
      <c r="KA2" s="126"/>
      <c r="KB2" s="126"/>
      <c r="KC2" s="126"/>
      <c r="KD2" s="126"/>
      <c r="KE2" s="126"/>
      <c r="KF2" s="126"/>
      <c r="KG2" s="126"/>
      <c r="KH2" s="126"/>
      <c r="KI2" s="126"/>
      <c r="KJ2" s="126"/>
      <c r="KK2" s="126"/>
      <c r="KL2" s="126"/>
      <c r="KM2" s="126"/>
      <c r="KN2" s="126"/>
      <c r="KO2" s="126"/>
      <c r="KP2" s="126"/>
      <c r="KQ2" s="126"/>
      <c r="KR2" s="126"/>
      <c r="KS2" s="126"/>
      <c r="KT2" s="126"/>
      <c r="KU2" s="126"/>
      <c r="KV2" s="126"/>
      <c r="KW2" s="126"/>
      <c r="KX2" s="126"/>
      <c r="KY2" s="126"/>
      <c r="KZ2" s="126"/>
      <c r="LA2" s="126"/>
      <c r="LB2" s="126"/>
      <c r="LC2" s="126"/>
      <c r="LD2" s="126"/>
      <c r="LE2" s="126"/>
      <c r="LF2" s="126"/>
      <c r="LG2" s="126"/>
      <c r="LH2" s="126"/>
      <c r="LI2" s="126"/>
      <c r="LJ2" s="126"/>
      <c r="LK2" s="126"/>
      <c r="LL2" s="126"/>
      <c r="LM2" s="126"/>
      <c r="LN2" s="126"/>
      <c r="LO2" s="126"/>
      <c r="LP2" s="126"/>
      <c r="LQ2" s="126"/>
      <c r="LR2" s="126"/>
      <c r="LS2" s="126"/>
      <c r="LT2" s="126"/>
      <c r="LU2" s="126"/>
      <c r="LV2" s="126"/>
      <c r="LW2" s="126"/>
      <c r="LX2" s="126"/>
      <c r="LY2" s="126"/>
      <c r="LZ2" s="126"/>
      <c r="MA2" s="126"/>
      <c r="MB2" s="126"/>
      <c r="MC2" s="126"/>
      <c r="MD2" s="126"/>
      <c r="ME2" s="126"/>
      <c r="MF2" s="126"/>
      <c r="MG2" s="126"/>
      <c r="MH2" s="126"/>
      <c r="MI2" s="126"/>
      <c r="MJ2" s="126"/>
      <c r="MK2" s="126"/>
      <c r="ML2" s="126"/>
      <c r="MM2" s="126"/>
      <c r="MN2" s="126"/>
      <c r="MO2" s="126"/>
      <c r="MP2" s="126"/>
      <c r="MQ2" s="126"/>
      <c r="MR2" s="126"/>
      <c r="MS2" s="126"/>
      <c r="MT2" s="126"/>
      <c r="MU2" s="126"/>
      <c r="MV2" s="126"/>
      <c r="MW2" s="126"/>
      <c r="MX2" s="126"/>
      <c r="MY2" s="126"/>
      <c r="MZ2" s="126"/>
      <c r="NA2" s="126"/>
      <c r="NB2" s="126"/>
      <c r="NC2" s="126"/>
      <c r="ND2" s="126"/>
      <c r="NE2" s="126"/>
      <c r="NF2" s="126"/>
      <c r="NG2" s="126"/>
      <c r="NH2" s="126"/>
      <c r="NI2" s="126"/>
      <c r="NJ2" s="126"/>
      <c r="NK2" s="126"/>
      <c r="NL2" s="126"/>
      <c r="NM2" s="126"/>
      <c r="NN2" s="126"/>
      <c r="NO2" s="126"/>
      <c r="NP2" s="126"/>
      <c r="NQ2" s="126"/>
      <c r="NR2" s="126"/>
      <c r="NS2" s="126"/>
      <c r="NT2" s="126"/>
      <c r="NU2" s="126"/>
      <c r="NV2" s="126"/>
      <c r="NW2" s="126"/>
      <c r="NX2" s="126"/>
      <c r="NY2" s="126"/>
      <c r="NZ2" s="126"/>
      <c r="OA2" s="126"/>
      <c r="OB2" s="126"/>
      <c r="OC2" s="126"/>
      <c r="OD2" s="126"/>
      <c r="OE2" s="126"/>
      <c r="OF2" s="126"/>
      <c r="OG2" s="126"/>
      <c r="OH2" s="126"/>
      <c r="OI2" s="126"/>
      <c r="OJ2" s="126"/>
      <c r="OK2" s="126"/>
      <c r="OL2" s="126"/>
      <c r="OM2" s="126"/>
      <c r="ON2" s="126"/>
      <c r="OO2" s="126"/>
      <c r="OP2" s="126"/>
      <c r="OQ2" s="126"/>
      <c r="OR2" s="126"/>
      <c r="OS2" s="126"/>
      <c r="OT2" s="126"/>
      <c r="OU2" s="126"/>
      <c r="OV2" s="126"/>
      <c r="OW2" s="126"/>
      <c r="OX2" s="126"/>
      <c r="OY2" s="126"/>
      <c r="OZ2" s="126"/>
      <c r="PA2" s="126"/>
      <c r="PB2" s="126"/>
      <c r="PC2" s="126"/>
      <c r="PD2" s="126"/>
      <c r="PE2" s="126"/>
      <c r="PF2" s="126"/>
      <c r="PG2" s="126"/>
      <c r="PH2" s="126"/>
      <c r="PI2" s="126"/>
      <c r="PJ2" s="126"/>
      <c r="PK2" s="126"/>
      <c r="PL2" s="126"/>
      <c r="PM2" s="126"/>
      <c r="PN2" s="126"/>
      <c r="PO2" s="126"/>
      <c r="PP2" s="126"/>
      <c r="PQ2" s="126"/>
      <c r="PR2" s="126"/>
      <c r="PS2" s="126"/>
      <c r="PT2" s="126"/>
      <c r="PU2" s="126"/>
      <c r="PV2" s="126"/>
      <c r="PW2" s="126"/>
      <c r="PX2" s="126"/>
      <c r="PY2" s="126"/>
      <c r="PZ2" s="126"/>
      <c r="QA2" s="126"/>
      <c r="QB2" s="126"/>
      <c r="QC2" s="126"/>
      <c r="QD2" s="126"/>
      <c r="QE2" s="126"/>
      <c r="QF2" s="126"/>
      <c r="QG2" s="126"/>
      <c r="QH2" s="126"/>
      <c r="QI2" s="126"/>
      <c r="QJ2" s="126"/>
      <c r="QK2" s="126"/>
      <c r="QL2" s="126"/>
      <c r="QM2" s="126"/>
      <c r="QN2" s="126"/>
      <c r="QO2" s="126"/>
      <c r="QP2" s="126"/>
      <c r="QQ2" s="126"/>
      <c r="QR2" s="126"/>
      <c r="QS2" s="126"/>
      <c r="QT2" s="126"/>
      <c r="QU2" s="126"/>
      <c r="QV2" s="126"/>
      <c r="QW2" s="126"/>
      <c r="QX2" s="126"/>
      <c r="QY2" s="126"/>
      <c r="QZ2" s="126"/>
      <c r="RA2" s="126"/>
      <c r="RB2" s="126"/>
      <c r="RC2" s="126"/>
      <c r="RD2" s="126"/>
      <c r="RE2" s="126"/>
      <c r="RF2" s="126"/>
      <c r="RG2" s="126"/>
      <c r="RH2" s="126"/>
      <c r="RI2" s="126"/>
      <c r="RJ2" s="126"/>
      <c r="RK2" s="126"/>
      <c r="RL2" s="126"/>
      <c r="RM2" s="126"/>
      <c r="RN2" s="126"/>
      <c r="RO2" s="126"/>
      <c r="RP2" s="126"/>
      <c r="RQ2" s="126"/>
      <c r="RR2" s="126"/>
      <c r="RS2" s="126"/>
      <c r="RT2" s="126"/>
      <c r="RU2" s="126"/>
      <c r="RV2" s="126"/>
      <c r="RW2" s="126"/>
      <c r="RX2" s="126"/>
      <c r="RY2" s="126"/>
      <c r="RZ2" s="126"/>
      <c r="SA2" s="126"/>
      <c r="SB2" s="126"/>
      <c r="SC2" s="126"/>
      <c r="SD2" s="126"/>
      <c r="SE2" s="126"/>
      <c r="SF2" s="126"/>
      <c r="SG2" s="126"/>
      <c r="SH2" s="126"/>
      <c r="SI2" s="126"/>
      <c r="SJ2" s="126"/>
    </row>
    <row r="3" spans="1:504" s="95" customFormat="1" ht="60" customHeight="1" x14ac:dyDescent="0.25">
      <c r="A3" s="83"/>
      <c r="B3" s="397" t="s">
        <v>905</v>
      </c>
      <c r="C3" s="397"/>
      <c r="D3" s="81" t="s">
        <v>340</v>
      </c>
      <c r="E3" s="89"/>
      <c r="F3" s="89"/>
      <c r="G3" s="89"/>
      <c r="H3" s="89"/>
      <c r="I3" s="89"/>
      <c r="J3" s="89"/>
      <c r="K3" s="89"/>
      <c r="L3" s="89"/>
      <c r="M3" s="89"/>
      <c r="N3" s="89"/>
      <c r="O3" s="89"/>
      <c r="P3" s="89"/>
      <c r="Q3" s="89"/>
      <c r="R3" s="89"/>
      <c r="S3" s="89"/>
      <c r="T3" s="89"/>
      <c r="U3" s="89"/>
      <c r="V3" s="89"/>
      <c r="W3" s="89"/>
      <c r="X3" s="89"/>
      <c r="Y3" s="89"/>
      <c r="Z3" s="89"/>
      <c r="AA3" s="89"/>
      <c r="AB3" s="89"/>
      <c r="AC3" s="89"/>
      <c r="AD3" s="88"/>
      <c r="AE3" s="89"/>
      <c r="AF3" s="88"/>
      <c r="AG3" s="89"/>
      <c r="AH3" s="89"/>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c r="EO3" s="88"/>
      <c r="EP3" s="88"/>
      <c r="EQ3" s="88"/>
      <c r="ER3" s="88"/>
      <c r="ES3" s="88"/>
      <c r="ET3" s="88"/>
      <c r="EU3" s="88"/>
      <c r="EV3" s="88"/>
      <c r="EW3" s="88"/>
      <c r="EX3" s="88"/>
      <c r="EY3" s="88"/>
      <c r="EZ3" s="88"/>
      <c r="FA3" s="88"/>
      <c r="FB3" s="88"/>
      <c r="FC3" s="88"/>
      <c r="FD3" s="88"/>
      <c r="FE3" s="88"/>
      <c r="FF3" s="88"/>
      <c r="FG3" s="88"/>
      <c r="FH3" s="88"/>
      <c r="FI3" s="88"/>
      <c r="FJ3" s="88"/>
      <c r="FK3" s="88"/>
      <c r="FL3" s="88"/>
      <c r="FM3" s="88"/>
      <c r="FN3" s="88"/>
      <c r="FO3" s="88"/>
      <c r="FP3" s="88"/>
      <c r="FQ3" s="88"/>
      <c r="FR3" s="88"/>
      <c r="FS3" s="88"/>
      <c r="FT3" s="88"/>
      <c r="FU3" s="88"/>
      <c r="FV3" s="88"/>
      <c r="FW3" s="88"/>
      <c r="FX3" s="88"/>
      <c r="FY3" s="88"/>
      <c r="FZ3" s="88"/>
      <c r="GA3" s="88"/>
      <c r="GB3" s="88"/>
      <c r="GC3" s="88"/>
      <c r="GD3" s="88"/>
      <c r="GE3" s="88"/>
      <c r="GF3" s="88"/>
      <c r="GG3" s="88"/>
      <c r="GH3" s="88"/>
      <c r="GI3" s="88"/>
      <c r="GJ3" s="88"/>
      <c r="GK3" s="88"/>
      <c r="GL3" s="88"/>
      <c r="GM3" s="88"/>
      <c r="GN3" s="88"/>
      <c r="GO3" s="88"/>
      <c r="GP3" s="88"/>
      <c r="GQ3" s="88"/>
      <c r="GR3" s="88"/>
      <c r="GS3" s="88"/>
      <c r="GT3" s="88"/>
      <c r="GU3" s="88"/>
      <c r="GV3" s="88"/>
      <c r="GW3" s="88"/>
      <c r="GX3" s="88"/>
      <c r="GY3" s="88"/>
      <c r="GZ3" s="88"/>
      <c r="HA3" s="88"/>
      <c r="HB3" s="88"/>
      <c r="HC3" s="88"/>
      <c r="HD3" s="88"/>
      <c r="HE3" s="88"/>
      <c r="HF3" s="88"/>
      <c r="HG3" s="88"/>
      <c r="HH3" s="88"/>
      <c r="HI3" s="88"/>
      <c r="HJ3" s="88"/>
      <c r="HK3" s="88"/>
      <c r="HL3" s="88"/>
      <c r="HM3" s="88"/>
      <c r="HN3" s="88"/>
      <c r="HO3" s="88"/>
      <c r="HP3" s="88"/>
      <c r="HQ3" s="88"/>
      <c r="HR3" s="88"/>
      <c r="HS3" s="88"/>
      <c r="HT3" s="88"/>
      <c r="HU3" s="88"/>
      <c r="HV3" s="88"/>
      <c r="HW3" s="88"/>
      <c r="HX3" s="88"/>
      <c r="HY3" s="88"/>
      <c r="HZ3" s="88"/>
      <c r="IA3" s="88"/>
      <c r="IB3" s="88"/>
      <c r="IC3" s="88"/>
      <c r="ID3" s="88"/>
      <c r="IE3" s="88"/>
      <c r="IF3" s="88"/>
      <c r="IG3" s="88"/>
      <c r="IH3" s="88"/>
      <c r="II3" s="88"/>
      <c r="IJ3" s="88"/>
      <c r="IK3" s="88"/>
      <c r="IL3" s="88"/>
      <c r="IM3" s="88"/>
      <c r="IN3" s="88"/>
      <c r="IO3" s="88"/>
      <c r="IP3" s="88"/>
      <c r="IQ3" s="88"/>
      <c r="IR3" s="88"/>
      <c r="IS3" s="88"/>
      <c r="IT3" s="88"/>
      <c r="IU3" s="88"/>
      <c r="IV3" s="88"/>
      <c r="IW3" s="88"/>
      <c r="IX3" s="88"/>
      <c r="IY3" s="88"/>
      <c r="IZ3" s="88"/>
      <c r="JA3" s="88"/>
      <c r="JB3" s="88"/>
      <c r="JC3" s="88"/>
      <c r="JD3" s="88"/>
      <c r="JE3" s="88"/>
      <c r="JF3" s="88"/>
      <c r="JG3" s="88"/>
      <c r="JH3" s="88"/>
      <c r="JI3" s="88"/>
      <c r="JJ3" s="88"/>
      <c r="JK3" s="88"/>
      <c r="JL3" s="88"/>
      <c r="JM3" s="88"/>
      <c r="JN3" s="88"/>
      <c r="JO3" s="88"/>
      <c r="JP3" s="88"/>
      <c r="JQ3" s="88"/>
      <c r="JR3" s="88"/>
      <c r="JS3" s="88"/>
      <c r="JT3" s="88"/>
      <c r="JU3" s="88"/>
      <c r="JV3" s="88"/>
      <c r="JW3" s="88"/>
      <c r="JX3" s="88"/>
      <c r="JY3" s="88"/>
      <c r="JZ3" s="88"/>
      <c r="KA3" s="88"/>
      <c r="KB3" s="88"/>
      <c r="KC3" s="88"/>
      <c r="KD3" s="88"/>
      <c r="KE3" s="88"/>
      <c r="KF3" s="88"/>
      <c r="KG3" s="88"/>
      <c r="KH3" s="88"/>
      <c r="KI3" s="88"/>
      <c r="KJ3" s="88"/>
      <c r="KK3" s="88"/>
      <c r="KL3" s="88"/>
      <c r="KM3" s="88"/>
      <c r="KN3" s="88"/>
      <c r="KO3" s="88"/>
      <c r="KP3" s="88"/>
      <c r="KQ3" s="88"/>
      <c r="KR3" s="88"/>
      <c r="KS3" s="88"/>
      <c r="KT3" s="88"/>
      <c r="KU3" s="88"/>
      <c r="KV3" s="88"/>
      <c r="KW3" s="88"/>
      <c r="KX3" s="88"/>
      <c r="KY3" s="88"/>
      <c r="KZ3" s="88"/>
      <c r="LA3" s="88"/>
      <c r="LB3" s="88"/>
      <c r="LC3" s="88"/>
      <c r="LD3" s="88"/>
      <c r="LE3" s="88"/>
      <c r="LF3" s="88"/>
      <c r="LG3" s="88"/>
      <c r="LH3" s="88"/>
      <c r="LI3" s="88"/>
      <c r="LJ3" s="88"/>
      <c r="LK3" s="88"/>
      <c r="LL3" s="88"/>
      <c r="LM3" s="88"/>
      <c r="LN3" s="88"/>
      <c r="LO3" s="88"/>
      <c r="LP3" s="88"/>
      <c r="LQ3" s="88"/>
      <c r="LR3" s="88"/>
      <c r="LS3" s="88"/>
      <c r="LT3" s="88"/>
      <c r="LU3" s="88"/>
      <c r="LV3" s="88"/>
      <c r="LW3" s="88"/>
      <c r="LX3" s="88"/>
      <c r="LY3" s="88"/>
      <c r="LZ3" s="88"/>
      <c r="MA3" s="88"/>
      <c r="MB3" s="88"/>
      <c r="MC3" s="88"/>
      <c r="MD3" s="88"/>
      <c r="ME3" s="88"/>
      <c r="MF3" s="88"/>
      <c r="MG3" s="88"/>
      <c r="MH3" s="88"/>
      <c r="MI3" s="88"/>
      <c r="MJ3" s="88"/>
      <c r="MK3" s="88"/>
      <c r="ML3" s="88"/>
      <c r="MM3" s="88"/>
      <c r="MN3" s="88"/>
      <c r="MO3" s="88"/>
      <c r="MP3" s="88"/>
      <c r="MQ3" s="88"/>
      <c r="MR3" s="88"/>
      <c r="MS3" s="88"/>
      <c r="MT3" s="88"/>
      <c r="MU3" s="88"/>
      <c r="MV3" s="88"/>
      <c r="MW3" s="88"/>
      <c r="MX3" s="88"/>
      <c r="MY3" s="88"/>
      <c r="MZ3" s="88"/>
      <c r="NA3" s="88"/>
      <c r="NB3" s="88"/>
      <c r="NC3" s="88"/>
      <c r="ND3" s="88"/>
      <c r="NE3" s="88"/>
      <c r="NF3" s="88"/>
      <c r="NG3" s="88"/>
      <c r="NH3" s="88"/>
      <c r="NI3" s="88"/>
      <c r="NJ3" s="88"/>
      <c r="NK3" s="88"/>
      <c r="NL3" s="88"/>
      <c r="NM3" s="88"/>
      <c r="NN3" s="88"/>
      <c r="NO3" s="88"/>
      <c r="NP3" s="88"/>
      <c r="NQ3" s="88"/>
      <c r="NR3" s="88"/>
      <c r="NS3" s="88"/>
      <c r="NT3" s="88"/>
      <c r="NU3" s="88"/>
      <c r="NV3" s="88"/>
      <c r="NW3" s="88"/>
      <c r="NX3" s="88"/>
      <c r="NY3" s="88"/>
      <c r="NZ3" s="88"/>
      <c r="OA3" s="88"/>
      <c r="OB3" s="88"/>
      <c r="OC3" s="88"/>
      <c r="OD3" s="88"/>
      <c r="OE3" s="88"/>
      <c r="OF3" s="88"/>
      <c r="OG3" s="88"/>
      <c r="OH3" s="88"/>
      <c r="OI3" s="88"/>
      <c r="OJ3" s="88"/>
      <c r="OK3" s="88"/>
      <c r="OL3" s="88"/>
      <c r="OM3" s="88"/>
      <c r="ON3" s="88"/>
      <c r="OO3" s="88"/>
      <c r="OP3" s="88"/>
      <c r="OQ3" s="88"/>
      <c r="OR3" s="88"/>
      <c r="OS3" s="88"/>
      <c r="OT3" s="88"/>
      <c r="OU3" s="88"/>
      <c r="OV3" s="88"/>
      <c r="OW3" s="88"/>
      <c r="OX3" s="88"/>
      <c r="OY3" s="88"/>
      <c r="OZ3" s="88"/>
      <c r="PA3" s="88"/>
      <c r="PB3" s="88"/>
      <c r="PC3" s="88"/>
      <c r="PD3" s="88"/>
      <c r="PE3" s="88"/>
      <c r="PF3" s="88"/>
      <c r="PG3" s="88"/>
      <c r="PH3" s="88"/>
      <c r="PI3" s="88"/>
      <c r="PJ3" s="88"/>
      <c r="PK3" s="88"/>
      <c r="PL3" s="88"/>
      <c r="PM3" s="88"/>
      <c r="PN3" s="88"/>
      <c r="PO3" s="88"/>
      <c r="PP3" s="88"/>
      <c r="PQ3" s="88"/>
      <c r="PR3" s="88"/>
      <c r="PS3" s="88"/>
      <c r="PT3" s="88"/>
      <c r="PU3" s="88"/>
      <c r="PV3" s="88"/>
      <c r="PW3" s="88"/>
      <c r="PX3" s="88"/>
      <c r="PY3" s="88"/>
      <c r="PZ3" s="88"/>
      <c r="QA3" s="88"/>
      <c r="QB3" s="88"/>
      <c r="QC3" s="88"/>
      <c r="QD3" s="88"/>
      <c r="QE3" s="88"/>
      <c r="QF3" s="88"/>
      <c r="QG3" s="88"/>
      <c r="QH3" s="88"/>
      <c r="QI3" s="88"/>
      <c r="QJ3" s="88"/>
      <c r="QK3" s="88"/>
      <c r="QL3" s="88"/>
      <c r="QM3" s="88"/>
      <c r="QN3" s="88"/>
      <c r="QO3" s="88"/>
      <c r="QP3" s="88"/>
      <c r="QQ3" s="88"/>
      <c r="QR3" s="88"/>
      <c r="QS3" s="88"/>
      <c r="QT3" s="88"/>
      <c r="QU3" s="88"/>
      <c r="QV3" s="88"/>
      <c r="QW3" s="88"/>
      <c r="QX3" s="88"/>
      <c r="QY3" s="88"/>
      <c r="QZ3" s="88"/>
      <c r="RA3" s="88"/>
      <c r="RB3" s="88"/>
      <c r="RC3" s="88"/>
      <c r="RD3" s="88"/>
      <c r="RE3" s="88"/>
      <c r="RF3" s="88"/>
      <c r="RG3" s="88"/>
      <c r="RH3" s="88"/>
      <c r="RI3" s="88"/>
      <c r="RJ3" s="88"/>
      <c r="RK3" s="88"/>
      <c r="RL3" s="88"/>
      <c r="RM3" s="88"/>
      <c r="RN3" s="88"/>
      <c r="RO3" s="88"/>
      <c r="RP3" s="88"/>
      <c r="RQ3" s="88"/>
      <c r="RR3" s="88"/>
      <c r="RS3" s="88"/>
      <c r="RT3" s="88"/>
      <c r="RU3" s="88"/>
      <c r="RV3" s="88"/>
      <c r="RW3" s="88"/>
      <c r="RX3" s="88"/>
      <c r="RY3" s="88"/>
      <c r="RZ3" s="88"/>
      <c r="SA3" s="88"/>
      <c r="SB3" s="88"/>
      <c r="SC3" s="88"/>
      <c r="SD3" s="88"/>
      <c r="SE3" s="88"/>
      <c r="SF3" s="88"/>
      <c r="SG3" s="88"/>
      <c r="SH3" s="88"/>
      <c r="SI3" s="88"/>
      <c r="SJ3" s="88"/>
    </row>
    <row r="4" spans="1:504" ht="15" customHeight="1" x14ac:dyDescent="0.25">
      <c r="B4" s="397"/>
      <c r="C4" s="397"/>
      <c r="D4" s="81" t="s">
        <v>444</v>
      </c>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c r="GH4" s="90"/>
      <c r="GI4" s="90"/>
      <c r="GJ4" s="90"/>
      <c r="GK4" s="90"/>
      <c r="GL4" s="90"/>
      <c r="GM4" s="90"/>
      <c r="GN4" s="90"/>
      <c r="GO4" s="90"/>
      <c r="GP4" s="90"/>
      <c r="GQ4" s="90"/>
      <c r="GR4" s="90"/>
      <c r="GS4" s="90"/>
      <c r="GT4" s="90"/>
      <c r="GU4" s="90"/>
      <c r="GV4" s="90"/>
      <c r="GW4" s="90"/>
      <c r="GX4" s="90"/>
      <c r="GY4" s="90"/>
      <c r="GZ4" s="90"/>
      <c r="HA4" s="90"/>
      <c r="HB4" s="90"/>
      <c r="HC4" s="90"/>
      <c r="HD4" s="90"/>
      <c r="HE4" s="90"/>
      <c r="HF4" s="90"/>
      <c r="HG4" s="90"/>
      <c r="HH4" s="90"/>
      <c r="HI4" s="90"/>
      <c r="HJ4" s="90"/>
      <c r="HK4" s="90"/>
      <c r="HL4" s="90"/>
      <c r="HM4" s="90"/>
      <c r="HN4" s="90"/>
      <c r="HO4" s="90"/>
      <c r="HP4" s="90"/>
      <c r="HQ4" s="90"/>
      <c r="HR4" s="90"/>
      <c r="HS4" s="90"/>
      <c r="HT4" s="90"/>
      <c r="HU4" s="90"/>
      <c r="HV4" s="90"/>
      <c r="HW4" s="90"/>
      <c r="HX4" s="90"/>
      <c r="HY4" s="90"/>
      <c r="HZ4" s="90"/>
      <c r="IA4" s="90"/>
      <c r="IB4" s="90"/>
      <c r="IC4" s="90"/>
      <c r="ID4" s="90"/>
      <c r="IE4" s="90"/>
      <c r="IF4" s="90"/>
      <c r="IG4" s="90"/>
      <c r="IH4" s="90"/>
      <c r="II4" s="90"/>
      <c r="IJ4" s="90"/>
      <c r="IK4" s="90"/>
      <c r="IL4" s="90"/>
      <c r="IM4" s="90"/>
      <c r="IN4" s="90"/>
      <c r="IO4" s="90"/>
      <c r="IP4" s="90"/>
      <c r="IQ4" s="90"/>
      <c r="IR4" s="90"/>
      <c r="IS4" s="90"/>
      <c r="IT4" s="90"/>
      <c r="IU4" s="90"/>
      <c r="IV4" s="90"/>
      <c r="IW4" s="90"/>
      <c r="IX4" s="90"/>
      <c r="IY4" s="90"/>
      <c r="IZ4" s="90"/>
      <c r="JA4" s="90"/>
      <c r="JB4" s="90"/>
      <c r="JC4" s="90"/>
      <c r="JD4" s="90"/>
      <c r="JE4" s="90"/>
      <c r="JF4" s="90"/>
      <c r="JG4" s="90"/>
      <c r="JH4" s="90"/>
      <c r="JI4" s="90"/>
      <c r="JJ4" s="90"/>
      <c r="JK4" s="90"/>
      <c r="JL4" s="90"/>
      <c r="JM4" s="90"/>
      <c r="JN4" s="90"/>
      <c r="JO4" s="90"/>
      <c r="JP4" s="90"/>
      <c r="JQ4" s="90"/>
      <c r="JR4" s="90"/>
      <c r="JS4" s="90"/>
      <c r="JT4" s="90"/>
      <c r="JU4" s="90"/>
      <c r="JV4" s="90"/>
      <c r="JW4" s="90"/>
      <c r="JX4" s="90"/>
      <c r="JY4" s="90"/>
      <c r="JZ4" s="90"/>
      <c r="KA4" s="90"/>
      <c r="KB4" s="90"/>
      <c r="KC4" s="90"/>
      <c r="KD4" s="90"/>
      <c r="KE4" s="90"/>
      <c r="KF4" s="90"/>
      <c r="KG4" s="90"/>
      <c r="KH4" s="90"/>
      <c r="KI4" s="90"/>
      <c r="KJ4" s="90"/>
      <c r="KK4" s="90"/>
      <c r="KL4" s="90"/>
      <c r="KM4" s="90"/>
      <c r="KN4" s="90"/>
      <c r="KO4" s="90"/>
      <c r="KP4" s="90"/>
      <c r="KQ4" s="90"/>
      <c r="KR4" s="90"/>
      <c r="KS4" s="90"/>
      <c r="KT4" s="90"/>
      <c r="KU4" s="90"/>
      <c r="KV4" s="90"/>
      <c r="KW4" s="90"/>
      <c r="KX4" s="90"/>
      <c r="KY4" s="90"/>
      <c r="KZ4" s="90"/>
      <c r="LA4" s="90"/>
      <c r="LB4" s="90"/>
      <c r="LC4" s="90"/>
      <c r="LD4" s="90"/>
      <c r="LE4" s="90"/>
      <c r="LF4" s="90"/>
      <c r="LG4" s="90"/>
      <c r="LH4" s="90"/>
      <c r="LI4" s="90"/>
      <c r="LJ4" s="90"/>
      <c r="LK4" s="90"/>
      <c r="LL4" s="90"/>
      <c r="LM4" s="90"/>
      <c r="LN4" s="90"/>
      <c r="LO4" s="90"/>
      <c r="LP4" s="90"/>
      <c r="LQ4" s="90"/>
      <c r="LR4" s="90"/>
      <c r="LS4" s="90"/>
      <c r="LT4" s="90"/>
      <c r="LU4" s="90"/>
      <c r="LV4" s="90"/>
      <c r="LW4" s="90"/>
      <c r="LX4" s="90"/>
      <c r="LY4" s="90"/>
      <c r="LZ4" s="90"/>
      <c r="MA4" s="90"/>
      <c r="MB4" s="90"/>
      <c r="MC4" s="90"/>
      <c r="MD4" s="90"/>
      <c r="ME4" s="90"/>
      <c r="MF4" s="90"/>
      <c r="MG4" s="90"/>
      <c r="MH4" s="90"/>
      <c r="MI4" s="90"/>
      <c r="MJ4" s="90"/>
      <c r="MK4" s="90"/>
      <c r="ML4" s="90"/>
      <c r="MM4" s="90"/>
      <c r="MN4" s="90"/>
      <c r="MO4" s="90"/>
      <c r="MP4" s="90"/>
      <c r="MQ4" s="90"/>
      <c r="MR4" s="90"/>
      <c r="MS4" s="90"/>
      <c r="MT4" s="90"/>
      <c r="MU4" s="90"/>
      <c r="MV4" s="90"/>
      <c r="MW4" s="90"/>
      <c r="MX4" s="90"/>
      <c r="MY4" s="90"/>
      <c r="MZ4" s="90"/>
      <c r="NA4" s="90"/>
      <c r="NB4" s="90"/>
      <c r="NC4" s="90"/>
      <c r="ND4" s="90"/>
      <c r="NE4" s="90"/>
      <c r="NF4" s="90"/>
      <c r="NG4" s="90"/>
      <c r="NH4" s="90"/>
      <c r="NI4" s="90"/>
      <c r="NJ4" s="90"/>
      <c r="NK4" s="90"/>
      <c r="NL4" s="90"/>
      <c r="NM4" s="90"/>
      <c r="NN4" s="90"/>
      <c r="NO4" s="90"/>
      <c r="NP4" s="90"/>
      <c r="NQ4" s="90"/>
      <c r="NR4" s="90"/>
      <c r="NS4" s="90"/>
      <c r="NT4" s="90"/>
      <c r="NU4" s="90"/>
      <c r="NV4" s="90"/>
      <c r="NW4" s="90"/>
      <c r="NX4" s="90"/>
      <c r="NY4" s="90"/>
      <c r="NZ4" s="90"/>
      <c r="OA4" s="90"/>
      <c r="OB4" s="90"/>
      <c r="OC4" s="90"/>
      <c r="OD4" s="90"/>
      <c r="OE4" s="90"/>
      <c r="OF4" s="90"/>
      <c r="OG4" s="90"/>
      <c r="OH4" s="90"/>
      <c r="OI4" s="90"/>
      <c r="OJ4" s="90"/>
      <c r="OK4" s="90"/>
      <c r="OL4" s="90"/>
      <c r="OM4" s="90"/>
      <c r="ON4" s="90"/>
      <c r="OO4" s="90"/>
      <c r="OP4" s="90"/>
      <c r="OQ4" s="90"/>
      <c r="OR4" s="90"/>
      <c r="OS4" s="90"/>
      <c r="OT4" s="90"/>
      <c r="OU4" s="90"/>
      <c r="OV4" s="90"/>
      <c r="OW4" s="90"/>
      <c r="OX4" s="90"/>
      <c r="OY4" s="90"/>
      <c r="OZ4" s="90"/>
      <c r="PA4" s="90"/>
      <c r="PB4" s="90"/>
      <c r="PC4" s="90"/>
      <c r="PD4" s="90"/>
      <c r="PE4" s="90"/>
      <c r="PF4" s="90"/>
      <c r="PG4" s="90"/>
      <c r="PH4" s="90"/>
      <c r="PI4" s="90"/>
      <c r="PJ4" s="90"/>
      <c r="PK4" s="90"/>
      <c r="PL4" s="90"/>
      <c r="PM4" s="90"/>
      <c r="PN4" s="90"/>
      <c r="PO4" s="90"/>
      <c r="PP4" s="90"/>
      <c r="PQ4" s="90"/>
      <c r="PR4" s="90"/>
      <c r="PS4" s="90"/>
      <c r="PT4" s="90"/>
      <c r="PU4" s="90"/>
      <c r="PV4" s="90"/>
      <c r="PW4" s="90"/>
      <c r="PX4" s="90"/>
      <c r="PY4" s="90"/>
      <c r="PZ4" s="90"/>
      <c r="QA4" s="90"/>
      <c r="QB4" s="90"/>
      <c r="QC4" s="90"/>
      <c r="QD4" s="90"/>
      <c r="QE4" s="90"/>
      <c r="QF4" s="90"/>
      <c r="QG4" s="90"/>
      <c r="QH4" s="90"/>
      <c r="QI4" s="90"/>
      <c r="QJ4" s="90"/>
      <c r="QK4" s="90"/>
      <c r="QL4" s="90"/>
      <c r="QM4" s="90"/>
      <c r="QN4" s="90"/>
      <c r="QO4" s="90"/>
      <c r="QP4" s="90"/>
      <c r="QQ4" s="90"/>
      <c r="QR4" s="90"/>
      <c r="QS4" s="90"/>
      <c r="QT4" s="90"/>
      <c r="QU4" s="90"/>
      <c r="QV4" s="90"/>
      <c r="QW4" s="90"/>
      <c r="QX4" s="90"/>
      <c r="QY4" s="90"/>
      <c r="QZ4" s="90"/>
      <c r="RA4" s="90"/>
      <c r="RB4" s="90"/>
      <c r="RC4" s="90"/>
      <c r="RD4" s="90"/>
      <c r="RE4" s="90"/>
      <c r="RF4" s="90"/>
      <c r="RG4" s="90"/>
      <c r="RH4" s="90"/>
      <c r="RI4" s="90"/>
      <c r="RJ4" s="90"/>
      <c r="RK4" s="90"/>
      <c r="RL4" s="90"/>
      <c r="RM4" s="90"/>
      <c r="RN4" s="90"/>
      <c r="RO4" s="90"/>
      <c r="RP4" s="90"/>
      <c r="RQ4" s="90"/>
      <c r="RR4" s="90"/>
      <c r="RS4" s="90"/>
      <c r="RT4" s="90"/>
      <c r="RU4" s="90"/>
      <c r="RV4" s="90"/>
      <c r="RW4" s="90"/>
      <c r="RX4" s="90"/>
      <c r="RY4" s="90"/>
      <c r="RZ4" s="90"/>
      <c r="SA4" s="90"/>
      <c r="SB4" s="90"/>
      <c r="SC4" s="90"/>
      <c r="SD4" s="90"/>
      <c r="SE4" s="90"/>
      <c r="SF4" s="90"/>
      <c r="SG4" s="90"/>
      <c r="SH4" s="90"/>
      <c r="SI4" s="90"/>
      <c r="SJ4" s="90"/>
    </row>
    <row r="5" spans="1:504" ht="15" customHeight="1" x14ac:dyDescent="0.25">
      <c r="B5" s="397"/>
      <c r="C5" s="397"/>
      <c r="D5" s="81" t="s">
        <v>921</v>
      </c>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c r="DN5" s="90"/>
      <c r="DO5" s="90"/>
      <c r="DP5" s="90"/>
      <c r="DQ5" s="90"/>
      <c r="DR5" s="90"/>
      <c r="DS5" s="90"/>
      <c r="DT5" s="90"/>
      <c r="DU5" s="90"/>
      <c r="DV5" s="90"/>
      <c r="DW5" s="90"/>
      <c r="DX5" s="90"/>
      <c r="DY5" s="90"/>
      <c r="DZ5" s="90"/>
      <c r="EA5" s="90"/>
      <c r="EB5" s="90"/>
      <c r="EC5" s="90"/>
      <c r="ED5" s="90"/>
      <c r="EE5" s="90"/>
      <c r="EF5" s="90"/>
      <c r="EG5" s="90"/>
      <c r="EH5" s="90"/>
      <c r="EI5" s="90"/>
      <c r="EJ5" s="90"/>
      <c r="EK5" s="90"/>
      <c r="EL5" s="90"/>
      <c r="EM5" s="90"/>
      <c r="EN5" s="90"/>
      <c r="EO5" s="90"/>
      <c r="EP5" s="90"/>
      <c r="EQ5" s="90"/>
      <c r="ER5" s="90"/>
      <c r="ES5" s="90"/>
      <c r="ET5" s="90"/>
      <c r="EU5" s="90"/>
      <c r="EV5" s="90"/>
      <c r="EW5" s="90"/>
      <c r="EX5" s="90"/>
      <c r="EY5" s="90"/>
      <c r="EZ5" s="90"/>
      <c r="FA5" s="90"/>
      <c r="FB5" s="90"/>
      <c r="FC5" s="90"/>
      <c r="FD5" s="90"/>
      <c r="FE5" s="90"/>
      <c r="FF5" s="90"/>
      <c r="FG5" s="90"/>
      <c r="FH5" s="90"/>
      <c r="FI5" s="90"/>
      <c r="FJ5" s="90"/>
      <c r="FK5" s="90"/>
      <c r="FL5" s="90"/>
      <c r="FM5" s="90"/>
      <c r="FN5" s="90"/>
      <c r="FO5" s="90"/>
      <c r="FP5" s="90"/>
      <c r="FQ5" s="90"/>
      <c r="FR5" s="90"/>
      <c r="FS5" s="90"/>
      <c r="FT5" s="90"/>
      <c r="FU5" s="90"/>
      <c r="FV5" s="90"/>
      <c r="FW5" s="90"/>
      <c r="FX5" s="90"/>
      <c r="FY5" s="90"/>
      <c r="FZ5" s="90"/>
      <c r="GA5" s="90"/>
      <c r="GB5" s="90"/>
      <c r="GC5" s="90"/>
      <c r="GD5" s="90"/>
      <c r="GE5" s="90"/>
      <c r="GF5" s="90"/>
      <c r="GG5" s="90"/>
      <c r="GH5" s="90"/>
      <c r="GI5" s="90"/>
      <c r="GJ5" s="90"/>
      <c r="GK5" s="90"/>
      <c r="GL5" s="90"/>
      <c r="GM5" s="90"/>
      <c r="GN5" s="90"/>
      <c r="GO5" s="90"/>
      <c r="GP5" s="90"/>
      <c r="GQ5" s="90"/>
      <c r="GR5" s="90"/>
      <c r="GS5" s="90"/>
      <c r="GT5" s="90"/>
      <c r="GU5" s="90"/>
      <c r="GV5" s="90"/>
      <c r="GW5" s="90"/>
      <c r="GX5" s="90"/>
      <c r="GY5" s="90"/>
      <c r="GZ5" s="90"/>
      <c r="HA5" s="90"/>
      <c r="HB5" s="90"/>
      <c r="HC5" s="90"/>
      <c r="HD5" s="90"/>
      <c r="HE5" s="90"/>
      <c r="HF5" s="90"/>
      <c r="HG5" s="90"/>
      <c r="HH5" s="90"/>
      <c r="HI5" s="90"/>
      <c r="HJ5" s="90"/>
      <c r="HK5" s="90"/>
      <c r="HL5" s="90"/>
      <c r="HM5" s="90"/>
      <c r="HN5" s="90"/>
      <c r="HO5" s="90"/>
      <c r="HP5" s="90"/>
      <c r="HQ5" s="90"/>
      <c r="HR5" s="90"/>
      <c r="HS5" s="90"/>
      <c r="HT5" s="90"/>
      <c r="HU5" s="90"/>
      <c r="HV5" s="90"/>
      <c r="HW5" s="90"/>
      <c r="HX5" s="90"/>
      <c r="HY5" s="90"/>
      <c r="HZ5" s="90"/>
      <c r="IA5" s="90"/>
      <c r="IB5" s="90"/>
      <c r="IC5" s="90"/>
      <c r="ID5" s="90"/>
      <c r="IE5" s="90"/>
      <c r="IF5" s="90"/>
      <c r="IG5" s="90"/>
      <c r="IH5" s="90"/>
      <c r="II5" s="90"/>
      <c r="IJ5" s="90"/>
      <c r="IK5" s="90"/>
      <c r="IL5" s="90"/>
      <c r="IM5" s="90"/>
      <c r="IN5" s="90"/>
      <c r="IO5" s="90"/>
      <c r="IP5" s="90"/>
      <c r="IQ5" s="90"/>
      <c r="IR5" s="90"/>
      <c r="IS5" s="90"/>
      <c r="IT5" s="90"/>
      <c r="IU5" s="90"/>
      <c r="IV5" s="90"/>
      <c r="IW5" s="90"/>
      <c r="IX5" s="90"/>
      <c r="IY5" s="90"/>
      <c r="IZ5" s="90"/>
      <c r="JA5" s="90"/>
      <c r="JB5" s="90"/>
      <c r="JC5" s="90"/>
      <c r="JD5" s="90"/>
      <c r="JE5" s="90"/>
      <c r="JF5" s="90"/>
      <c r="JG5" s="90"/>
      <c r="JH5" s="90"/>
      <c r="JI5" s="90"/>
      <c r="JJ5" s="90"/>
      <c r="JK5" s="90"/>
      <c r="JL5" s="90"/>
      <c r="JM5" s="90"/>
      <c r="JN5" s="90"/>
      <c r="JO5" s="90"/>
      <c r="JP5" s="90"/>
      <c r="JQ5" s="90"/>
      <c r="JR5" s="90"/>
      <c r="JS5" s="90"/>
      <c r="JT5" s="90"/>
      <c r="JU5" s="90"/>
      <c r="JV5" s="90"/>
      <c r="JW5" s="90"/>
      <c r="JX5" s="90"/>
      <c r="JY5" s="90"/>
      <c r="JZ5" s="90"/>
      <c r="KA5" s="90"/>
      <c r="KB5" s="90"/>
      <c r="KC5" s="90"/>
      <c r="KD5" s="90"/>
      <c r="KE5" s="90"/>
      <c r="KF5" s="90"/>
      <c r="KG5" s="90"/>
      <c r="KH5" s="90"/>
      <c r="KI5" s="90"/>
      <c r="KJ5" s="90"/>
      <c r="KK5" s="90"/>
      <c r="KL5" s="90"/>
      <c r="KM5" s="90"/>
      <c r="KN5" s="90"/>
      <c r="KO5" s="90"/>
      <c r="KP5" s="90"/>
      <c r="KQ5" s="90"/>
      <c r="KR5" s="90"/>
      <c r="KS5" s="90"/>
      <c r="KT5" s="90"/>
      <c r="KU5" s="90"/>
      <c r="KV5" s="90"/>
      <c r="KW5" s="90"/>
      <c r="KX5" s="90"/>
      <c r="KY5" s="90"/>
      <c r="KZ5" s="90"/>
      <c r="LA5" s="90"/>
      <c r="LB5" s="90"/>
      <c r="LC5" s="90"/>
      <c r="LD5" s="90"/>
      <c r="LE5" s="90"/>
      <c r="LF5" s="90"/>
      <c r="LG5" s="90"/>
      <c r="LH5" s="90"/>
      <c r="LI5" s="90"/>
      <c r="LJ5" s="90"/>
      <c r="LK5" s="90"/>
      <c r="LL5" s="90"/>
      <c r="LM5" s="90"/>
      <c r="LN5" s="90"/>
      <c r="LO5" s="90"/>
      <c r="LP5" s="90"/>
      <c r="LQ5" s="90"/>
      <c r="LR5" s="90"/>
      <c r="LS5" s="90"/>
      <c r="LT5" s="90"/>
      <c r="LU5" s="90"/>
      <c r="LV5" s="90"/>
      <c r="LW5" s="90"/>
      <c r="LX5" s="90"/>
      <c r="LY5" s="90"/>
      <c r="LZ5" s="90"/>
      <c r="MA5" s="90"/>
      <c r="MB5" s="90"/>
      <c r="MC5" s="90"/>
      <c r="MD5" s="90"/>
      <c r="ME5" s="90"/>
      <c r="MF5" s="90"/>
      <c r="MG5" s="90"/>
      <c r="MH5" s="90"/>
      <c r="MI5" s="90"/>
      <c r="MJ5" s="90"/>
      <c r="MK5" s="90"/>
      <c r="ML5" s="90"/>
      <c r="MM5" s="90"/>
      <c r="MN5" s="90"/>
      <c r="MO5" s="90"/>
      <c r="MP5" s="90"/>
      <c r="MQ5" s="90"/>
      <c r="MR5" s="90"/>
      <c r="MS5" s="90"/>
      <c r="MT5" s="90"/>
      <c r="MU5" s="90"/>
      <c r="MV5" s="90"/>
      <c r="MW5" s="90"/>
      <c r="MX5" s="90"/>
      <c r="MY5" s="90"/>
      <c r="MZ5" s="90"/>
      <c r="NA5" s="90"/>
      <c r="NB5" s="90"/>
      <c r="NC5" s="90"/>
      <c r="ND5" s="90"/>
      <c r="NE5" s="90"/>
      <c r="NF5" s="90"/>
      <c r="NG5" s="90"/>
      <c r="NH5" s="90"/>
      <c r="NI5" s="90"/>
      <c r="NJ5" s="90"/>
      <c r="NK5" s="90"/>
      <c r="NL5" s="90"/>
      <c r="NM5" s="90"/>
      <c r="NN5" s="90"/>
      <c r="NO5" s="90"/>
      <c r="NP5" s="90"/>
      <c r="NQ5" s="90"/>
      <c r="NR5" s="90"/>
      <c r="NS5" s="90"/>
      <c r="NT5" s="90"/>
      <c r="NU5" s="90"/>
      <c r="NV5" s="90"/>
      <c r="NW5" s="90"/>
      <c r="NX5" s="90"/>
      <c r="NY5" s="90"/>
      <c r="NZ5" s="90"/>
      <c r="OA5" s="90"/>
      <c r="OB5" s="90"/>
      <c r="OC5" s="90"/>
      <c r="OD5" s="90"/>
      <c r="OE5" s="90"/>
      <c r="OF5" s="90"/>
      <c r="OG5" s="90"/>
      <c r="OH5" s="90"/>
      <c r="OI5" s="90"/>
      <c r="OJ5" s="90"/>
      <c r="OK5" s="90"/>
      <c r="OL5" s="90"/>
      <c r="OM5" s="90"/>
      <c r="ON5" s="90"/>
      <c r="OO5" s="90"/>
      <c r="OP5" s="90"/>
      <c r="OQ5" s="90"/>
      <c r="OR5" s="90"/>
      <c r="OS5" s="90"/>
      <c r="OT5" s="90"/>
      <c r="OU5" s="90"/>
      <c r="OV5" s="90"/>
      <c r="OW5" s="90"/>
      <c r="OX5" s="90"/>
      <c r="OY5" s="90"/>
      <c r="OZ5" s="90"/>
      <c r="PA5" s="90"/>
      <c r="PB5" s="90"/>
      <c r="PC5" s="90"/>
      <c r="PD5" s="90"/>
      <c r="PE5" s="90"/>
      <c r="PF5" s="90"/>
      <c r="PG5" s="90"/>
      <c r="PH5" s="90"/>
      <c r="PI5" s="90"/>
      <c r="PJ5" s="90"/>
      <c r="PK5" s="90"/>
      <c r="PL5" s="90"/>
      <c r="PM5" s="90"/>
      <c r="PN5" s="90"/>
      <c r="PO5" s="90"/>
      <c r="PP5" s="90"/>
      <c r="PQ5" s="90"/>
      <c r="PR5" s="90"/>
      <c r="PS5" s="90"/>
      <c r="PT5" s="90"/>
      <c r="PU5" s="90"/>
      <c r="PV5" s="90"/>
      <c r="PW5" s="90"/>
      <c r="PX5" s="90"/>
      <c r="PY5" s="90"/>
      <c r="PZ5" s="90"/>
      <c r="QA5" s="90"/>
      <c r="QB5" s="90"/>
      <c r="QC5" s="90"/>
      <c r="QD5" s="90"/>
      <c r="QE5" s="90"/>
      <c r="QF5" s="90"/>
      <c r="QG5" s="90"/>
      <c r="QH5" s="90"/>
      <c r="QI5" s="90"/>
      <c r="QJ5" s="90"/>
      <c r="QK5" s="90"/>
      <c r="QL5" s="90"/>
      <c r="QM5" s="90"/>
      <c r="QN5" s="90"/>
      <c r="QO5" s="90"/>
      <c r="QP5" s="90"/>
      <c r="QQ5" s="90"/>
      <c r="QR5" s="90"/>
      <c r="QS5" s="90"/>
      <c r="QT5" s="90"/>
      <c r="QU5" s="90"/>
      <c r="QV5" s="90"/>
      <c r="QW5" s="90"/>
      <c r="QX5" s="90"/>
      <c r="QY5" s="90"/>
      <c r="QZ5" s="90"/>
      <c r="RA5" s="90"/>
      <c r="RB5" s="90"/>
      <c r="RC5" s="90"/>
      <c r="RD5" s="90"/>
      <c r="RE5" s="90"/>
      <c r="RF5" s="90"/>
      <c r="RG5" s="90"/>
      <c r="RH5" s="90"/>
      <c r="RI5" s="90"/>
      <c r="RJ5" s="90"/>
      <c r="RK5" s="90"/>
      <c r="RL5" s="90"/>
      <c r="RM5" s="90"/>
      <c r="RN5" s="90"/>
      <c r="RO5" s="90"/>
      <c r="RP5" s="90"/>
      <c r="RQ5" s="90"/>
      <c r="RR5" s="90"/>
      <c r="RS5" s="90"/>
      <c r="RT5" s="90"/>
      <c r="RU5" s="90"/>
      <c r="RV5" s="90"/>
      <c r="RW5" s="90"/>
      <c r="RX5" s="90"/>
      <c r="RY5" s="90"/>
      <c r="RZ5" s="90"/>
      <c r="SA5" s="90"/>
      <c r="SB5" s="90"/>
      <c r="SC5" s="90"/>
      <c r="SD5" s="90"/>
      <c r="SE5" s="90"/>
      <c r="SF5" s="90"/>
      <c r="SG5" s="90"/>
      <c r="SH5" s="90"/>
      <c r="SI5" s="90"/>
      <c r="SJ5" s="90"/>
    </row>
    <row r="6" spans="1:504" s="164" customFormat="1" x14ac:dyDescent="0.25">
      <c r="B6" s="397"/>
      <c r="C6" s="397"/>
      <c r="D6" s="165" t="s">
        <v>901</v>
      </c>
      <c r="E6" s="166"/>
      <c r="F6" s="166"/>
      <c r="G6" s="166"/>
      <c r="H6" s="166"/>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6"/>
      <c r="BT6" s="166"/>
      <c r="BU6" s="166"/>
      <c r="BV6" s="166"/>
      <c r="BW6" s="166"/>
      <c r="BX6" s="166"/>
      <c r="BY6" s="166"/>
      <c r="BZ6" s="166"/>
      <c r="CA6" s="166"/>
      <c r="CB6" s="166"/>
      <c r="CC6" s="166"/>
      <c r="CD6" s="166"/>
      <c r="CE6" s="166"/>
      <c r="CF6" s="166"/>
      <c r="CG6" s="166"/>
      <c r="CH6" s="166"/>
      <c r="CI6" s="166"/>
      <c r="CJ6" s="166"/>
      <c r="CK6" s="166"/>
      <c r="CL6" s="166"/>
      <c r="CM6" s="166"/>
      <c r="CN6" s="166"/>
      <c r="CO6" s="166"/>
      <c r="CP6" s="166"/>
      <c r="CQ6" s="166"/>
      <c r="CR6" s="166"/>
      <c r="CS6" s="166"/>
      <c r="CT6" s="166"/>
      <c r="CU6" s="166"/>
      <c r="CV6" s="166"/>
      <c r="CW6" s="166"/>
      <c r="CX6" s="166"/>
      <c r="CY6" s="166"/>
      <c r="CZ6" s="166"/>
      <c r="DA6" s="166"/>
      <c r="DB6" s="166"/>
      <c r="DC6" s="166"/>
      <c r="DD6" s="166"/>
      <c r="DE6" s="166"/>
      <c r="DF6" s="166"/>
      <c r="DG6" s="166"/>
      <c r="DH6" s="166"/>
      <c r="DI6" s="166"/>
      <c r="DJ6" s="166"/>
      <c r="DK6" s="166"/>
      <c r="DL6" s="166"/>
      <c r="DM6" s="166"/>
      <c r="DN6" s="166"/>
      <c r="DO6" s="166"/>
      <c r="DP6" s="166"/>
      <c r="DQ6" s="166"/>
      <c r="DR6" s="166"/>
      <c r="DS6" s="166"/>
      <c r="DT6" s="166"/>
      <c r="DU6" s="166"/>
      <c r="DV6" s="166"/>
      <c r="DW6" s="166"/>
      <c r="DX6" s="166"/>
      <c r="DY6" s="166"/>
      <c r="DZ6" s="166"/>
      <c r="EA6" s="166"/>
      <c r="EB6" s="166"/>
      <c r="EC6" s="166"/>
      <c r="ED6" s="166"/>
      <c r="EE6" s="166"/>
      <c r="EF6" s="166"/>
      <c r="EG6" s="166"/>
      <c r="EH6" s="166"/>
      <c r="EI6" s="166"/>
      <c r="EJ6" s="166"/>
      <c r="EK6" s="166"/>
      <c r="EL6" s="166"/>
      <c r="EM6" s="166"/>
      <c r="EN6" s="166"/>
      <c r="EO6" s="166"/>
      <c r="EP6" s="166"/>
      <c r="EQ6" s="166"/>
      <c r="ER6" s="166"/>
      <c r="ES6" s="166"/>
      <c r="ET6" s="166"/>
      <c r="EU6" s="166"/>
      <c r="EV6" s="166"/>
      <c r="EW6" s="166"/>
      <c r="EX6" s="166"/>
      <c r="EY6" s="166"/>
      <c r="EZ6" s="166"/>
      <c r="FA6" s="166"/>
      <c r="FB6" s="166"/>
      <c r="FC6" s="166"/>
      <c r="FD6" s="166"/>
      <c r="FE6" s="166"/>
      <c r="FF6" s="166"/>
      <c r="FG6" s="166"/>
      <c r="FH6" s="166"/>
      <c r="FI6" s="166"/>
      <c r="FJ6" s="166"/>
      <c r="FK6" s="166"/>
      <c r="FL6" s="166"/>
      <c r="FM6" s="166"/>
      <c r="FN6" s="166"/>
      <c r="FO6" s="166"/>
      <c r="FP6" s="166"/>
      <c r="FQ6" s="166"/>
      <c r="FR6" s="166"/>
      <c r="FS6" s="166"/>
      <c r="FT6" s="166"/>
      <c r="FU6" s="166"/>
      <c r="FV6" s="166"/>
      <c r="FW6" s="166"/>
      <c r="FX6" s="166"/>
      <c r="FY6" s="166"/>
      <c r="FZ6" s="166"/>
      <c r="GA6" s="166"/>
      <c r="GB6" s="166"/>
      <c r="GC6" s="166"/>
      <c r="GD6" s="166"/>
      <c r="GE6" s="166"/>
      <c r="GF6" s="166"/>
      <c r="GG6" s="166"/>
      <c r="GH6" s="166"/>
      <c r="GI6" s="166"/>
      <c r="GJ6" s="166"/>
      <c r="GK6" s="166"/>
      <c r="GL6" s="166"/>
      <c r="GM6" s="166"/>
      <c r="GN6" s="166"/>
      <c r="GO6" s="166"/>
      <c r="GP6" s="166"/>
      <c r="GQ6" s="166"/>
      <c r="GR6" s="166"/>
      <c r="GS6" s="166"/>
      <c r="GT6" s="166"/>
      <c r="GU6" s="166"/>
      <c r="GV6" s="166"/>
      <c r="GW6" s="166"/>
      <c r="GX6" s="166"/>
      <c r="GY6" s="166"/>
      <c r="GZ6" s="166"/>
      <c r="HA6" s="166"/>
      <c r="HB6" s="166"/>
      <c r="HC6" s="166"/>
      <c r="HD6" s="166"/>
      <c r="HE6" s="166"/>
      <c r="HF6" s="166"/>
      <c r="HG6" s="166"/>
      <c r="HH6" s="166"/>
      <c r="HI6" s="166"/>
      <c r="HJ6" s="166"/>
      <c r="HK6" s="166"/>
      <c r="HL6" s="166"/>
      <c r="HM6" s="166"/>
      <c r="HN6" s="166"/>
      <c r="HO6" s="166"/>
      <c r="HP6" s="166"/>
      <c r="HQ6" s="166"/>
      <c r="HR6" s="166"/>
      <c r="HS6" s="166"/>
      <c r="HT6" s="166"/>
      <c r="HU6" s="166"/>
      <c r="HV6" s="166"/>
      <c r="HW6" s="166"/>
      <c r="HX6" s="166"/>
      <c r="HY6" s="166"/>
      <c r="HZ6" s="166"/>
      <c r="IA6" s="166"/>
      <c r="IB6" s="166"/>
      <c r="IC6" s="166"/>
      <c r="ID6" s="166"/>
      <c r="IE6" s="166"/>
      <c r="IF6" s="166"/>
      <c r="IG6" s="166"/>
      <c r="IH6" s="166"/>
      <c r="II6" s="166"/>
      <c r="IJ6" s="166"/>
      <c r="IK6" s="166"/>
      <c r="IL6" s="166"/>
      <c r="IM6" s="166"/>
      <c r="IN6" s="166"/>
      <c r="IO6" s="166"/>
      <c r="IP6" s="166"/>
      <c r="IQ6" s="166"/>
      <c r="IR6" s="166"/>
      <c r="IS6" s="166"/>
      <c r="IT6" s="166"/>
      <c r="IU6" s="166"/>
      <c r="IV6" s="166"/>
      <c r="IW6" s="166"/>
      <c r="IX6" s="166"/>
      <c r="IY6" s="166"/>
      <c r="IZ6" s="166"/>
      <c r="JA6" s="166"/>
      <c r="JB6" s="166"/>
      <c r="JC6" s="166"/>
      <c r="JD6" s="166"/>
      <c r="JE6" s="166"/>
      <c r="JF6" s="166"/>
      <c r="JG6" s="166"/>
      <c r="JH6" s="166"/>
      <c r="JI6" s="166"/>
      <c r="JJ6" s="166"/>
      <c r="JK6" s="166"/>
      <c r="JL6" s="166"/>
      <c r="JM6" s="166"/>
      <c r="JN6" s="166"/>
      <c r="JO6" s="166"/>
      <c r="JP6" s="166"/>
      <c r="JQ6" s="166"/>
      <c r="JR6" s="166"/>
      <c r="JS6" s="166"/>
      <c r="JT6" s="166"/>
      <c r="JU6" s="166"/>
      <c r="JV6" s="166"/>
      <c r="JW6" s="166"/>
      <c r="JX6" s="166"/>
      <c r="JY6" s="166"/>
      <c r="JZ6" s="166"/>
      <c r="KA6" s="166"/>
      <c r="KB6" s="166"/>
      <c r="KC6" s="166"/>
      <c r="KD6" s="166"/>
      <c r="KE6" s="166"/>
      <c r="KF6" s="166"/>
      <c r="KG6" s="166"/>
      <c r="KH6" s="166"/>
      <c r="KI6" s="166"/>
      <c r="KJ6" s="166"/>
      <c r="KK6" s="166"/>
      <c r="KL6" s="166"/>
      <c r="KM6" s="166"/>
      <c r="KN6" s="166"/>
      <c r="KO6" s="166"/>
      <c r="KP6" s="166"/>
      <c r="KQ6" s="166"/>
      <c r="KR6" s="166"/>
      <c r="KS6" s="166"/>
      <c r="KT6" s="166"/>
      <c r="KU6" s="166"/>
      <c r="KV6" s="166"/>
      <c r="KW6" s="166"/>
      <c r="KX6" s="166"/>
      <c r="KY6" s="166"/>
      <c r="KZ6" s="166"/>
      <c r="LA6" s="166"/>
      <c r="LB6" s="166"/>
      <c r="LC6" s="166"/>
      <c r="LD6" s="166"/>
      <c r="LE6" s="166"/>
      <c r="LF6" s="166"/>
      <c r="LG6" s="166"/>
      <c r="LH6" s="166"/>
      <c r="LI6" s="166"/>
      <c r="LJ6" s="166"/>
      <c r="LK6" s="166"/>
      <c r="LL6" s="166"/>
      <c r="LM6" s="166"/>
      <c r="LN6" s="166"/>
      <c r="LO6" s="166"/>
      <c r="LP6" s="166"/>
      <c r="LQ6" s="166"/>
      <c r="LR6" s="166"/>
      <c r="LS6" s="166"/>
      <c r="LT6" s="166"/>
      <c r="LU6" s="166"/>
      <c r="LV6" s="166"/>
      <c r="LW6" s="166"/>
      <c r="LX6" s="166"/>
      <c r="LY6" s="166"/>
      <c r="LZ6" s="166"/>
      <c r="MA6" s="166"/>
      <c r="MB6" s="166"/>
      <c r="MC6" s="166"/>
      <c r="MD6" s="166"/>
      <c r="ME6" s="166"/>
      <c r="MF6" s="166"/>
      <c r="MG6" s="166"/>
      <c r="MH6" s="166"/>
      <c r="MI6" s="166"/>
      <c r="MJ6" s="166"/>
      <c r="MK6" s="166"/>
      <c r="ML6" s="166"/>
      <c r="MM6" s="166"/>
      <c r="MN6" s="166"/>
      <c r="MO6" s="166"/>
      <c r="MP6" s="166"/>
      <c r="MQ6" s="166"/>
      <c r="MR6" s="166"/>
      <c r="MS6" s="166"/>
      <c r="MT6" s="166"/>
      <c r="MU6" s="166"/>
      <c r="MV6" s="166"/>
      <c r="MW6" s="166"/>
      <c r="MX6" s="166"/>
      <c r="MY6" s="166"/>
      <c r="MZ6" s="166"/>
      <c r="NA6" s="166"/>
      <c r="NB6" s="166"/>
      <c r="NC6" s="166"/>
      <c r="ND6" s="166"/>
      <c r="NE6" s="166"/>
      <c r="NF6" s="166"/>
      <c r="NG6" s="166"/>
      <c r="NH6" s="166"/>
      <c r="NI6" s="166"/>
      <c r="NJ6" s="166"/>
      <c r="NK6" s="166"/>
      <c r="NL6" s="166"/>
      <c r="NM6" s="166"/>
      <c r="NN6" s="166"/>
      <c r="NO6" s="166"/>
      <c r="NP6" s="166"/>
      <c r="NQ6" s="166"/>
      <c r="NR6" s="166"/>
      <c r="NS6" s="166"/>
      <c r="NT6" s="166"/>
      <c r="NU6" s="166"/>
      <c r="NV6" s="166"/>
      <c r="NW6" s="166"/>
      <c r="NX6" s="166"/>
      <c r="NY6" s="166"/>
      <c r="NZ6" s="166"/>
      <c r="OA6" s="166"/>
      <c r="OB6" s="166"/>
      <c r="OC6" s="166"/>
      <c r="OD6" s="166"/>
      <c r="OE6" s="166"/>
      <c r="OF6" s="166"/>
      <c r="OG6" s="166"/>
      <c r="OH6" s="166"/>
      <c r="OI6" s="166"/>
      <c r="OJ6" s="166"/>
      <c r="OK6" s="166"/>
      <c r="OL6" s="166"/>
      <c r="OM6" s="166"/>
      <c r="ON6" s="166"/>
      <c r="OO6" s="166"/>
      <c r="OP6" s="166"/>
      <c r="OQ6" s="166"/>
      <c r="OR6" s="166"/>
      <c r="OS6" s="166"/>
      <c r="OT6" s="166"/>
      <c r="OU6" s="166"/>
      <c r="OV6" s="166"/>
      <c r="OW6" s="166"/>
      <c r="OX6" s="166"/>
      <c r="OY6" s="166"/>
      <c r="OZ6" s="166"/>
      <c r="PA6" s="166"/>
      <c r="PB6" s="166"/>
      <c r="PC6" s="166"/>
      <c r="PD6" s="166"/>
      <c r="PE6" s="166"/>
      <c r="PF6" s="166"/>
      <c r="PG6" s="166"/>
      <c r="PH6" s="166"/>
      <c r="PI6" s="166"/>
      <c r="PJ6" s="166"/>
      <c r="PK6" s="166"/>
      <c r="PL6" s="166"/>
      <c r="PM6" s="166"/>
      <c r="PN6" s="166"/>
      <c r="PO6" s="166"/>
      <c r="PP6" s="166"/>
      <c r="PQ6" s="166"/>
      <c r="PR6" s="166"/>
      <c r="PS6" s="166"/>
      <c r="PT6" s="166"/>
      <c r="PU6" s="166"/>
      <c r="PV6" s="166"/>
      <c r="PW6" s="166"/>
      <c r="PX6" s="166"/>
      <c r="PY6" s="166"/>
      <c r="PZ6" s="166"/>
      <c r="QA6" s="166"/>
      <c r="QB6" s="166"/>
      <c r="QC6" s="166"/>
      <c r="QD6" s="166"/>
      <c r="QE6" s="166"/>
      <c r="QF6" s="166"/>
      <c r="QG6" s="166"/>
      <c r="QH6" s="166"/>
      <c r="QI6" s="166"/>
      <c r="QJ6" s="166"/>
      <c r="QK6" s="166"/>
      <c r="QL6" s="166"/>
      <c r="QM6" s="166"/>
      <c r="QN6" s="166"/>
      <c r="QO6" s="166"/>
      <c r="QP6" s="166"/>
      <c r="QQ6" s="166"/>
      <c r="QR6" s="166"/>
      <c r="QS6" s="166"/>
      <c r="QT6" s="166"/>
      <c r="QU6" s="166"/>
      <c r="QV6" s="166"/>
      <c r="QW6" s="166"/>
      <c r="QX6" s="166"/>
      <c r="QY6" s="166"/>
      <c r="QZ6" s="166"/>
      <c r="RA6" s="166"/>
      <c r="RB6" s="166"/>
      <c r="RC6" s="166"/>
      <c r="RD6" s="166"/>
      <c r="RE6" s="166"/>
      <c r="RF6" s="166"/>
      <c r="RG6" s="166"/>
      <c r="RH6" s="166"/>
      <c r="RI6" s="166"/>
      <c r="RJ6" s="166"/>
      <c r="RK6" s="166"/>
      <c r="RL6" s="166"/>
      <c r="RM6" s="166"/>
      <c r="RN6" s="166"/>
      <c r="RO6" s="166"/>
      <c r="RP6" s="166"/>
      <c r="RQ6" s="166"/>
      <c r="RR6" s="166"/>
      <c r="RS6" s="166"/>
      <c r="RT6" s="166"/>
      <c r="RU6" s="166"/>
      <c r="RV6" s="166"/>
      <c r="RW6" s="166"/>
      <c r="RX6" s="166"/>
      <c r="RY6" s="166"/>
      <c r="RZ6" s="166"/>
      <c r="SA6" s="166"/>
      <c r="SB6" s="166"/>
      <c r="SC6" s="166"/>
      <c r="SD6" s="166"/>
      <c r="SE6" s="166"/>
      <c r="SF6" s="166"/>
      <c r="SG6" s="166"/>
      <c r="SH6" s="166"/>
      <c r="SI6" s="166"/>
      <c r="SJ6" s="166"/>
    </row>
    <row r="7" spans="1:504" x14ac:dyDescent="0.25">
      <c r="B7" s="397"/>
      <c r="C7" s="397"/>
      <c r="D7" s="81" t="s">
        <v>341</v>
      </c>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c r="DK7" s="90"/>
      <c r="DL7" s="90"/>
      <c r="DM7" s="90"/>
      <c r="DN7" s="90"/>
      <c r="DO7" s="90"/>
      <c r="DP7" s="90"/>
      <c r="DQ7" s="90"/>
      <c r="DR7" s="90"/>
      <c r="DS7" s="90"/>
      <c r="DT7" s="90"/>
      <c r="DU7" s="90"/>
      <c r="DV7" s="90"/>
      <c r="DW7" s="90"/>
      <c r="DX7" s="90"/>
      <c r="DY7" s="90"/>
      <c r="DZ7" s="90"/>
      <c r="EA7" s="90"/>
      <c r="EB7" s="90"/>
      <c r="EC7" s="90"/>
      <c r="ED7" s="90"/>
      <c r="EE7" s="90"/>
      <c r="EF7" s="90"/>
      <c r="EG7" s="90"/>
      <c r="EH7" s="90"/>
      <c r="EI7" s="90"/>
      <c r="EJ7" s="90"/>
      <c r="EK7" s="90"/>
      <c r="EL7" s="90"/>
      <c r="EM7" s="90"/>
      <c r="EN7" s="90"/>
      <c r="EO7" s="90"/>
      <c r="EP7" s="90"/>
      <c r="EQ7" s="90"/>
      <c r="ER7" s="90"/>
      <c r="ES7" s="90"/>
      <c r="ET7" s="90"/>
      <c r="EU7" s="90"/>
      <c r="EV7" s="90"/>
      <c r="EW7" s="90"/>
      <c r="EX7" s="90"/>
      <c r="EY7" s="90"/>
      <c r="EZ7" s="90"/>
      <c r="FA7" s="90"/>
      <c r="FB7" s="90"/>
      <c r="FC7" s="90"/>
      <c r="FD7" s="90"/>
      <c r="FE7" s="90"/>
      <c r="FF7" s="90"/>
      <c r="FG7" s="90"/>
      <c r="FH7" s="90"/>
      <c r="FI7" s="90"/>
      <c r="FJ7" s="90"/>
      <c r="FK7" s="90"/>
      <c r="FL7" s="90"/>
      <c r="FM7" s="90"/>
      <c r="FN7" s="90"/>
      <c r="FO7" s="90"/>
      <c r="FP7" s="90"/>
      <c r="FQ7" s="90"/>
      <c r="FR7" s="90"/>
      <c r="FS7" s="90"/>
      <c r="FT7" s="90"/>
      <c r="FU7" s="90"/>
      <c r="FV7" s="90"/>
      <c r="FW7" s="90"/>
      <c r="FX7" s="90"/>
      <c r="FY7" s="90"/>
      <c r="FZ7" s="90"/>
      <c r="GA7" s="90"/>
      <c r="GB7" s="90"/>
      <c r="GC7" s="90"/>
      <c r="GD7" s="90"/>
      <c r="GE7" s="90"/>
      <c r="GF7" s="90"/>
      <c r="GG7" s="90"/>
      <c r="GH7" s="90"/>
      <c r="GI7" s="90"/>
      <c r="GJ7" s="90"/>
      <c r="GK7" s="90"/>
      <c r="GL7" s="90"/>
      <c r="GM7" s="90"/>
      <c r="GN7" s="90"/>
      <c r="GO7" s="90"/>
      <c r="GP7" s="90"/>
      <c r="GQ7" s="90"/>
      <c r="GR7" s="90"/>
      <c r="GS7" s="90"/>
      <c r="GT7" s="90"/>
      <c r="GU7" s="90"/>
      <c r="GV7" s="90"/>
      <c r="GW7" s="90"/>
      <c r="GX7" s="90"/>
      <c r="GY7" s="90"/>
      <c r="GZ7" s="90"/>
      <c r="HA7" s="90"/>
      <c r="HB7" s="90"/>
      <c r="HC7" s="90"/>
      <c r="HD7" s="90"/>
      <c r="HE7" s="90"/>
      <c r="HF7" s="90"/>
      <c r="HG7" s="90"/>
      <c r="HH7" s="90"/>
      <c r="HI7" s="90"/>
      <c r="HJ7" s="90"/>
      <c r="HK7" s="90"/>
      <c r="HL7" s="90"/>
      <c r="HM7" s="90"/>
      <c r="HN7" s="90"/>
      <c r="HO7" s="90"/>
      <c r="HP7" s="90"/>
      <c r="HQ7" s="90"/>
      <c r="HR7" s="90"/>
      <c r="HS7" s="90"/>
      <c r="HT7" s="90"/>
      <c r="HU7" s="90"/>
      <c r="HV7" s="90"/>
      <c r="HW7" s="90"/>
      <c r="HX7" s="90"/>
      <c r="HY7" s="90"/>
      <c r="HZ7" s="90"/>
      <c r="IA7" s="90"/>
      <c r="IB7" s="90"/>
      <c r="IC7" s="90"/>
      <c r="ID7" s="90"/>
      <c r="IE7" s="90"/>
      <c r="IF7" s="90"/>
      <c r="IG7" s="90"/>
      <c r="IH7" s="90"/>
      <c r="II7" s="90"/>
      <c r="IJ7" s="90"/>
      <c r="IK7" s="90"/>
      <c r="IL7" s="90"/>
      <c r="IM7" s="90"/>
      <c r="IN7" s="90"/>
      <c r="IO7" s="90"/>
      <c r="IP7" s="90"/>
      <c r="IQ7" s="90"/>
      <c r="IR7" s="90"/>
      <c r="IS7" s="90"/>
      <c r="IT7" s="90"/>
      <c r="IU7" s="90"/>
      <c r="IV7" s="90"/>
      <c r="IW7" s="90"/>
      <c r="IX7" s="90"/>
      <c r="IY7" s="90"/>
      <c r="IZ7" s="90"/>
      <c r="JA7" s="90"/>
      <c r="JB7" s="90"/>
      <c r="JC7" s="90"/>
      <c r="JD7" s="90"/>
      <c r="JE7" s="90"/>
      <c r="JF7" s="90"/>
      <c r="JG7" s="90"/>
      <c r="JH7" s="90"/>
      <c r="JI7" s="90"/>
      <c r="JJ7" s="90"/>
      <c r="JK7" s="90"/>
      <c r="JL7" s="90"/>
      <c r="JM7" s="90"/>
      <c r="JN7" s="90"/>
      <c r="JO7" s="90"/>
      <c r="JP7" s="90"/>
      <c r="JQ7" s="90"/>
      <c r="JR7" s="90"/>
      <c r="JS7" s="90"/>
      <c r="JT7" s="90"/>
      <c r="JU7" s="90"/>
      <c r="JV7" s="90"/>
      <c r="JW7" s="90"/>
      <c r="JX7" s="90"/>
      <c r="JY7" s="90"/>
      <c r="JZ7" s="90"/>
      <c r="KA7" s="90"/>
      <c r="KB7" s="90"/>
      <c r="KC7" s="90"/>
      <c r="KD7" s="90"/>
      <c r="KE7" s="90"/>
      <c r="KF7" s="90"/>
      <c r="KG7" s="90"/>
      <c r="KH7" s="90"/>
      <c r="KI7" s="90"/>
      <c r="KJ7" s="90"/>
      <c r="KK7" s="90"/>
      <c r="KL7" s="90"/>
      <c r="KM7" s="90"/>
      <c r="KN7" s="90"/>
      <c r="KO7" s="90"/>
      <c r="KP7" s="90"/>
      <c r="KQ7" s="90"/>
      <c r="KR7" s="90"/>
      <c r="KS7" s="90"/>
      <c r="KT7" s="90"/>
      <c r="KU7" s="90"/>
      <c r="KV7" s="90"/>
      <c r="KW7" s="90"/>
      <c r="KX7" s="90"/>
      <c r="KY7" s="90"/>
      <c r="KZ7" s="90"/>
      <c r="LA7" s="90"/>
      <c r="LB7" s="90"/>
      <c r="LC7" s="90"/>
      <c r="LD7" s="90"/>
      <c r="LE7" s="90"/>
      <c r="LF7" s="90"/>
      <c r="LG7" s="90"/>
      <c r="LH7" s="90"/>
      <c r="LI7" s="90"/>
      <c r="LJ7" s="90"/>
      <c r="LK7" s="90"/>
      <c r="LL7" s="90"/>
      <c r="LM7" s="90"/>
      <c r="LN7" s="90"/>
      <c r="LO7" s="90"/>
      <c r="LP7" s="90"/>
      <c r="LQ7" s="90"/>
      <c r="LR7" s="90"/>
      <c r="LS7" s="90"/>
      <c r="LT7" s="90"/>
      <c r="LU7" s="90"/>
      <c r="LV7" s="90"/>
      <c r="LW7" s="90"/>
      <c r="LX7" s="90"/>
      <c r="LY7" s="90"/>
      <c r="LZ7" s="90"/>
      <c r="MA7" s="90"/>
      <c r="MB7" s="90"/>
      <c r="MC7" s="90"/>
      <c r="MD7" s="90"/>
      <c r="ME7" s="90"/>
      <c r="MF7" s="90"/>
      <c r="MG7" s="90"/>
      <c r="MH7" s="90"/>
      <c r="MI7" s="90"/>
      <c r="MJ7" s="90"/>
      <c r="MK7" s="90"/>
      <c r="ML7" s="90"/>
      <c r="MM7" s="90"/>
      <c r="MN7" s="90"/>
      <c r="MO7" s="90"/>
      <c r="MP7" s="90"/>
      <c r="MQ7" s="90"/>
      <c r="MR7" s="90"/>
      <c r="MS7" s="90"/>
      <c r="MT7" s="90"/>
      <c r="MU7" s="90"/>
      <c r="MV7" s="90"/>
      <c r="MW7" s="90"/>
      <c r="MX7" s="90"/>
      <c r="MY7" s="90"/>
      <c r="MZ7" s="90"/>
      <c r="NA7" s="90"/>
      <c r="NB7" s="90"/>
      <c r="NC7" s="90"/>
      <c r="ND7" s="90"/>
      <c r="NE7" s="90"/>
      <c r="NF7" s="90"/>
      <c r="NG7" s="90"/>
      <c r="NH7" s="90"/>
      <c r="NI7" s="90"/>
      <c r="NJ7" s="90"/>
      <c r="NK7" s="90"/>
      <c r="NL7" s="90"/>
      <c r="NM7" s="90"/>
      <c r="NN7" s="90"/>
      <c r="NO7" s="90"/>
      <c r="NP7" s="90"/>
      <c r="NQ7" s="90"/>
      <c r="NR7" s="90"/>
      <c r="NS7" s="90"/>
      <c r="NT7" s="90"/>
      <c r="NU7" s="90"/>
      <c r="NV7" s="90"/>
      <c r="NW7" s="90"/>
      <c r="NX7" s="90"/>
      <c r="NY7" s="90"/>
      <c r="NZ7" s="90"/>
      <c r="OA7" s="90"/>
      <c r="OB7" s="90"/>
      <c r="OC7" s="90"/>
      <c r="OD7" s="90"/>
      <c r="OE7" s="90"/>
      <c r="OF7" s="90"/>
      <c r="OG7" s="90"/>
      <c r="OH7" s="90"/>
      <c r="OI7" s="90"/>
      <c r="OJ7" s="90"/>
      <c r="OK7" s="90"/>
      <c r="OL7" s="90"/>
      <c r="OM7" s="90"/>
      <c r="ON7" s="90"/>
      <c r="OO7" s="90"/>
      <c r="OP7" s="90"/>
      <c r="OQ7" s="90"/>
      <c r="OR7" s="90"/>
      <c r="OS7" s="90"/>
      <c r="OT7" s="90"/>
      <c r="OU7" s="90"/>
      <c r="OV7" s="90"/>
      <c r="OW7" s="90"/>
      <c r="OX7" s="90"/>
      <c r="OY7" s="90"/>
      <c r="OZ7" s="90"/>
      <c r="PA7" s="90"/>
      <c r="PB7" s="90"/>
      <c r="PC7" s="90"/>
      <c r="PD7" s="90"/>
      <c r="PE7" s="90"/>
      <c r="PF7" s="90"/>
      <c r="PG7" s="90"/>
      <c r="PH7" s="90"/>
      <c r="PI7" s="90"/>
      <c r="PJ7" s="90"/>
      <c r="PK7" s="90"/>
      <c r="PL7" s="90"/>
      <c r="PM7" s="90"/>
      <c r="PN7" s="90"/>
      <c r="PO7" s="90"/>
      <c r="PP7" s="90"/>
      <c r="PQ7" s="90"/>
      <c r="PR7" s="90"/>
      <c r="PS7" s="90"/>
      <c r="PT7" s="90"/>
      <c r="PU7" s="90"/>
      <c r="PV7" s="90"/>
      <c r="PW7" s="90"/>
      <c r="PX7" s="90"/>
      <c r="PY7" s="90"/>
      <c r="PZ7" s="90"/>
      <c r="QA7" s="90"/>
      <c r="QB7" s="90"/>
      <c r="QC7" s="90"/>
      <c r="QD7" s="90"/>
      <c r="QE7" s="90"/>
      <c r="QF7" s="90"/>
      <c r="QG7" s="90"/>
      <c r="QH7" s="90"/>
      <c r="QI7" s="90"/>
      <c r="QJ7" s="90"/>
      <c r="QK7" s="90"/>
      <c r="QL7" s="90"/>
      <c r="QM7" s="90"/>
      <c r="QN7" s="90"/>
      <c r="QO7" s="90"/>
      <c r="QP7" s="90"/>
      <c r="QQ7" s="90"/>
      <c r="QR7" s="90"/>
      <c r="QS7" s="90"/>
      <c r="QT7" s="90"/>
      <c r="QU7" s="90"/>
      <c r="QV7" s="90"/>
      <c r="QW7" s="90"/>
      <c r="QX7" s="90"/>
      <c r="QY7" s="90"/>
      <c r="QZ7" s="90"/>
      <c r="RA7" s="90"/>
      <c r="RB7" s="90"/>
      <c r="RC7" s="90"/>
      <c r="RD7" s="90"/>
      <c r="RE7" s="90"/>
      <c r="RF7" s="90"/>
      <c r="RG7" s="90"/>
      <c r="RH7" s="90"/>
      <c r="RI7" s="90"/>
      <c r="RJ7" s="90"/>
      <c r="RK7" s="90"/>
      <c r="RL7" s="90"/>
      <c r="RM7" s="90"/>
      <c r="RN7" s="90"/>
      <c r="RO7" s="90"/>
      <c r="RP7" s="90"/>
      <c r="RQ7" s="90"/>
      <c r="RR7" s="90"/>
      <c r="RS7" s="90"/>
      <c r="RT7" s="90"/>
      <c r="RU7" s="90"/>
      <c r="RV7" s="90"/>
      <c r="RW7" s="90"/>
      <c r="RX7" s="90"/>
      <c r="RY7" s="90"/>
      <c r="RZ7" s="90"/>
      <c r="SA7" s="90"/>
      <c r="SB7" s="90"/>
      <c r="SC7" s="90"/>
      <c r="SD7" s="90"/>
      <c r="SE7" s="90"/>
      <c r="SF7" s="90"/>
      <c r="SG7" s="90"/>
      <c r="SH7" s="90"/>
      <c r="SI7" s="90"/>
      <c r="SJ7" s="90"/>
    </row>
    <row r="8" spans="1:504" s="93" customFormat="1" x14ac:dyDescent="0.25">
      <c r="B8" s="397"/>
      <c r="C8" s="397"/>
      <c r="D8" s="91" t="s">
        <v>442</v>
      </c>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2"/>
      <c r="EG8" s="92"/>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2"/>
      <c r="FZ8" s="92"/>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2"/>
      <c r="HS8" s="92"/>
      <c r="HT8" s="92"/>
      <c r="HU8" s="92"/>
      <c r="HV8" s="92"/>
      <c r="HW8" s="92"/>
      <c r="HX8" s="92"/>
      <c r="HY8" s="92"/>
      <c r="HZ8" s="92"/>
      <c r="IA8" s="92"/>
      <c r="IB8" s="92"/>
      <c r="IC8" s="92"/>
      <c r="ID8" s="92"/>
      <c r="IE8" s="92"/>
      <c r="IF8" s="92"/>
      <c r="IG8" s="92"/>
      <c r="IH8" s="92"/>
      <c r="II8" s="92"/>
      <c r="IJ8" s="92"/>
      <c r="IK8" s="92"/>
      <c r="IL8" s="92"/>
      <c r="IM8" s="92"/>
      <c r="IN8" s="92"/>
      <c r="IO8" s="92"/>
      <c r="IP8" s="92"/>
      <c r="IQ8" s="92"/>
      <c r="IR8" s="92"/>
      <c r="IS8" s="92"/>
      <c r="IT8" s="92"/>
      <c r="IU8" s="92"/>
      <c r="IV8" s="92"/>
      <c r="IW8" s="92"/>
      <c r="IX8" s="92"/>
      <c r="IY8" s="92"/>
      <c r="IZ8" s="92"/>
      <c r="JA8" s="92"/>
      <c r="JB8" s="92"/>
      <c r="JC8" s="92"/>
      <c r="JD8" s="92"/>
      <c r="JE8" s="92"/>
      <c r="JF8" s="92"/>
      <c r="JG8" s="92"/>
      <c r="JH8" s="92"/>
      <c r="JI8" s="92"/>
      <c r="JJ8" s="92"/>
      <c r="JK8" s="92"/>
      <c r="JL8" s="92"/>
      <c r="JM8" s="92"/>
      <c r="JN8" s="92"/>
      <c r="JO8" s="92"/>
      <c r="JP8" s="92"/>
      <c r="JQ8" s="92"/>
      <c r="JR8" s="92"/>
      <c r="JS8" s="92"/>
      <c r="JT8" s="92"/>
      <c r="JU8" s="92"/>
      <c r="JV8" s="92"/>
      <c r="JW8" s="92"/>
      <c r="JX8" s="92"/>
      <c r="JY8" s="92"/>
      <c r="JZ8" s="92"/>
      <c r="KA8" s="92"/>
      <c r="KB8" s="92"/>
      <c r="KC8" s="92"/>
      <c r="KD8" s="92"/>
      <c r="KE8" s="92"/>
      <c r="KF8" s="92"/>
      <c r="KG8" s="92"/>
      <c r="KH8" s="92"/>
      <c r="KI8" s="92"/>
      <c r="KJ8" s="92"/>
      <c r="KK8" s="92"/>
      <c r="KL8" s="92"/>
      <c r="KM8" s="92"/>
      <c r="KN8" s="92"/>
      <c r="KO8" s="92"/>
      <c r="KP8" s="92"/>
      <c r="KQ8" s="92"/>
      <c r="KR8" s="92"/>
      <c r="KS8" s="92"/>
      <c r="KT8" s="92"/>
      <c r="KU8" s="92"/>
      <c r="KV8" s="92"/>
      <c r="KW8" s="92"/>
      <c r="KX8" s="92"/>
      <c r="KY8" s="92"/>
      <c r="KZ8" s="92"/>
      <c r="LA8" s="92"/>
      <c r="LB8" s="92"/>
      <c r="LC8" s="92"/>
      <c r="LD8" s="92"/>
      <c r="LE8" s="92"/>
      <c r="LF8" s="92"/>
      <c r="LG8" s="92"/>
      <c r="LH8" s="92"/>
      <c r="LI8" s="92"/>
      <c r="LJ8" s="92"/>
      <c r="LK8" s="92"/>
      <c r="LL8" s="92"/>
      <c r="LM8" s="92"/>
      <c r="LN8" s="92"/>
      <c r="LO8" s="92"/>
      <c r="LP8" s="92"/>
      <c r="LQ8" s="92"/>
      <c r="LR8" s="92"/>
      <c r="LS8" s="92"/>
      <c r="LT8" s="92"/>
      <c r="LU8" s="92"/>
      <c r="LV8" s="92"/>
      <c r="LW8" s="92"/>
      <c r="LX8" s="92"/>
      <c r="LY8" s="92"/>
      <c r="LZ8" s="92"/>
      <c r="MA8" s="92"/>
      <c r="MB8" s="92"/>
      <c r="MC8" s="92"/>
      <c r="MD8" s="92"/>
      <c r="ME8" s="92"/>
      <c r="MF8" s="92"/>
      <c r="MG8" s="92"/>
      <c r="MH8" s="92"/>
      <c r="MI8" s="92"/>
      <c r="MJ8" s="92"/>
      <c r="MK8" s="92"/>
      <c r="ML8" s="92"/>
      <c r="MM8" s="92"/>
      <c r="MN8" s="92"/>
      <c r="MO8" s="92"/>
      <c r="MP8" s="92"/>
      <c r="MQ8" s="92"/>
      <c r="MR8" s="92"/>
      <c r="MS8" s="92"/>
      <c r="MT8" s="92"/>
      <c r="MU8" s="92"/>
      <c r="MV8" s="92"/>
      <c r="MW8" s="92"/>
      <c r="MX8" s="92"/>
      <c r="MY8" s="92"/>
      <c r="MZ8" s="92"/>
      <c r="NA8" s="92"/>
      <c r="NB8" s="92"/>
      <c r="NC8" s="92"/>
      <c r="ND8" s="92"/>
      <c r="NE8" s="92"/>
      <c r="NF8" s="92"/>
      <c r="NG8" s="92"/>
      <c r="NH8" s="92"/>
      <c r="NI8" s="92"/>
      <c r="NJ8" s="92"/>
      <c r="NK8" s="92"/>
      <c r="NL8" s="92"/>
      <c r="NM8" s="92"/>
      <c r="NN8" s="92"/>
      <c r="NO8" s="92"/>
      <c r="NP8" s="92"/>
      <c r="NQ8" s="92"/>
      <c r="NR8" s="92"/>
      <c r="NS8" s="92"/>
      <c r="NT8" s="92"/>
      <c r="NU8" s="92"/>
      <c r="NV8" s="92"/>
      <c r="NW8" s="92"/>
      <c r="NX8" s="92"/>
      <c r="NY8" s="92"/>
      <c r="NZ8" s="92"/>
      <c r="OA8" s="92"/>
      <c r="OB8" s="92"/>
      <c r="OC8" s="92"/>
      <c r="OD8" s="92"/>
      <c r="OE8" s="92"/>
      <c r="OF8" s="92"/>
      <c r="OG8" s="92"/>
      <c r="OH8" s="92"/>
      <c r="OI8" s="92"/>
      <c r="OJ8" s="92"/>
      <c r="OK8" s="92"/>
      <c r="OL8" s="92"/>
      <c r="OM8" s="92"/>
      <c r="ON8" s="92"/>
      <c r="OO8" s="92"/>
      <c r="OP8" s="92"/>
      <c r="OQ8" s="92"/>
      <c r="OR8" s="92"/>
      <c r="OS8" s="92"/>
      <c r="OT8" s="92"/>
      <c r="OU8" s="92"/>
      <c r="OV8" s="92"/>
      <c r="OW8" s="92"/>
      <c r="OX8" s="92"/>
      <c r="OY8" s="92"/>
      <c r="OZ8" s="92"/>
      <c r="PA8" s="92"/>
      <c r="PB8" s="92"/>
      <c r="PC8" s="92"/>
      <c r="PD8" s="92"/>
      <c r="PE8" s="92"/>
      <c r="PF8" s="92"/>
      <c r="PG8" s="92"/>
      <c r="PH8" s="92"/>
      <c r="PI8" s="92"/>
      <c r="PJ8" s="92"/>
      <c r="PK8" s="92"/>
      <c r="PL8" s="92"/>
      <c r="PM8" s="92"/>
      <c r="PN8" s="92"/>
      <c r="PO8" s="92"/>
      <c r="PP8" s="92"/>
      <c r="PQ8" s="92"/>
      <c r="PR8" s="92"/>
      <c r="PS8" s="92"/>
      <c r="PT8" s="92"/>
      <c r="PU8" s="92"/>
      <c r="PV8" s="92"/>
      <c r="PW8" s="92"/>
      <c r="PX8" s="92"/>
      <c r="PY8" s="92"/>
      <c r="PZ8" s="92"/>
      <c r="QA8" s="92"/>
      <c r="QB8" s="92"/>
      <c r="QC8" s="92"/>
      <c r="QD8" s="92"/>
      <c r="QE8" s="92"/>
      <c r="QF8" s="92"/>
      <c r="QG8" s="92"/>
      <c r="QH8" s="92"/>
      <c r="QI8" s="92"/>
      <c r="QJ8" s="92"/>
      <c r="QK8" s="92"/>
      <c r="QL8" s="92"/>
      <c r="QM8" s="92"/>
      <c r="QN8" s="92"/>
      <c r="QO8" s="92"/>
      <c r="QP8" s="92"/>
      <c r="QQ8" s="92"/>
      <c r="QR8" s="92"/>
      <c r="QS8" s="92"/>
      <c r="QT8" s="92"/>
      <c r="QU8" s="92"/>
      <c r="QV8" s="92"/>
      <c r="QW8" s="92"/>
      <c r="QX8" s="92"/>
      <c r="QY8" s="92"/>
      <c r="QZ8" s="92"/>
      <c r="RA8" s="92"/>
      <c r="RB8" s="92"/>
      <c r="RC8" s="92"/>
      <c r="RD8" s="92"/>
      <c r="RE8" s="92"/>
      <c r="RF8" s="92"/>
      <c r="RG8" s="92"/>
      <c r="RH8" s="92"/>
      <c r="RI8" s="92"/>
      <c r="RJ8" s="92"/>
      <c r="RK8" s="92"/>
      <c r="RL8" s="92"/>
      <c r="RM8" s="92"/>
      <c r="RN8" s="92"/>
      <c r="RO8" s="92"/>
      <c r="RP8" s="92"/>
      <c r="RQ8" s="92"/>
      <c r="RR8" s="92"/>
      <c r="RS8" s="92"/>
      <c r="RT8" s="92"/>
      <c r="RU8" s="92"/>
      <c r="RV8" s="92"/>
      <c r="RW8" s="92"/>
      <c r="RX8" s="92"/>
      <c r="RY8" s="92"/>
      <c r="RZ8" s="92"/>
      <c r="SA8" s="92"/>
      <c r="SB8" s="92"/>
      <c r="SC8" s="92"/>
      <c r="SD8" s="92"/>
      <c r="SE8" s="92"/>
      <c r="SF8" s="92"/>
      <c r="SG8" s="92"/>
      <c r="SH8" s="92"/>
      <c r="SI8" s="92"/>
      <c r="SJ8" s="92"/>
    </row>
    <row r="9" spans="1:504" ht="15" customHeight="1" x14ac:dyDescent="0.25">
      <c r="B9" s="397"/>
      <c r="C9" s="397"/>
      <c r="D9" s="81" t="s">
        <v>339</v>
      </c>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c r="DS9" s="79"/>
      <c r="DT9" s="79"/>
      <c r="DU9" s="79"/>
      <c r="DV9" s="79"/>
      <c r="DW9" s="79"/>
      <c r="DX9" s="79"/>
      <c r="DY9" s="79"/>
      <c r="DZ9" s="79"/>
      <c r="EA9" s="79"/>
      <c r="EB9" s="79"/>
      <c r="EC9" s="79"/>
      <c r="ED9" s="79"/>
      <c r="EE9" s="79"/>
      <c r="EF9" s="79"/>
      <c r="EG9" s="79"/>
      <c r="EH9" s="79"/>
      <c r="EI9" s="79"/>
      <c r="EJ9" s="79"/>
      <c r="EK9" s="79"/>
      <c r="EL9" s="79"/>
      <c r="EM9" s="79"/>
      <c r="EN9" s="79"/>
      <c r="EO9" s="79"/>
      <c r="EP9" s="79"/>
      <c r="EQ9" s="79"/>
      <c r="ER9" s="79"/>
      <c r="ES9" s="79"/>
      <c r="ET9" s="79"/>
      <c r="EU9" s="79"/>
      <c r="EV9" s="79"/>
      <c r="EW9" s="79"/>
      <c r="EX9" s="79"/>
      <c r="EY9" s="79"/>
      <c r="EZ9" s="79"/>
      <c r="FA9" s="79"/>
      <c r="FB9" s="79"/>
      <c r="FC9" s="79"/>
      <c r="FD9" s="79"/>
      <c r="FE9" s="79"/>
      <c r="FF9" s="79"/>
      <c r="FG9" s="79"/>
      <c r="FH9" s="79"/>
      <c r="FI9" s="79"/>
      <c r="FJ9" s="79"/>
      <c r="FK9" s="79"/>
      <c r="FL9" s="79"/>
      <c r="FM9" s="79"/>
      <c r="FN9" s="79"/>
      <c r="FO9" s="79"/>
      <c r="FP9" s="79"/>
      <c r="FQ9" s="79"/>
      <c r="FR9" s="79"/>
      <c r="FS9" s="79"/>
      <c r="FT9" s="79"/>
      <c r="FU9" s="79"/>
      <c r="FV9" s="79"/>
      <c r="FW9" s="79"/>
      <c r="FX9" s="79"/>
      <c r="FY9" s="79"/>
      <c r="FZ9" s="79"/>
      <c r="GA9" s="79"/>
      <c r="GB9" s="79"/>
      <c r="GC9" s="79"/>
      <c r="GD9" s="79"/>
      <c r="GE9" s="79"/>
      <c r="GF9" s="79"/>
      <c r="GG9" s="79"/>
      <c r="GH9" s="79"/>
      <c r="GI9" s="79"/>
      <c r="GJ9" s="79"/>
      <c r="GK9" s="79"/>
      <c r="GL9" s="79"/>
      <c r="GM9" s="79"/>
      <c r="GN9" s="79"/>
      <c r="GO9" s="79"/>
      <c r="GP9" s="79"/>
      <c r="GQ9" s="79"/>
      <c r="GR9" s="79"/>
      <c r="GS9" s="79"/>
      <c r="GT9" s="79"/>
      <c r="GU9" s="79"/>
      <c r="GV9" s="79"/>
      <c r="GW9" s="79"/>
      <c r="GX9" s="79"/>
      <c r="GY9" s="79"/>
      <c r="GZ9" s="79"/>
      <c r="HA9" s="79"/>
      <c r="HB9" s="79"/>
      <c r="HC9" s="79"/>
      <c r="HD9" s="79"/>
      <c r="HE9" s="79"/>
      <c r="HF9" s="79"/>
      <c r="HG9" s="79"/>
      <c r="HH9" s="79"/>
      <c r="HI9" s="79"/>
      <c r="HJ9" s="79"/>
      <c r="HK9" s="79"/>
      <c r="HL9" s="79"/>
      <c r="HM9" s="79"/>
      <c r="HN9" s="79"/>
      <c r="HO9" s="79"/>
      <c r="HP9" s="79"/>
      <c r="HQ9" s="79"/>
      <c r="HR9" s="79"/>
      <c r="HS9" s="79"/>
      <c r="HT9" s="79"/>
      <c r="HU9" s="79"/>
      <c r="HV9" s="79"/>
      <c r="HW9" s="79"/>
      <c r="HX9" s="79"/>
      <c r="HY9" s="79"/>
      <c r="HZ9" s="79"/>
      <c r="IA9" s="79"/>
      <c r="IB9" s="79"/>
      <c r="IC9" s="79"/>
      <c r="ID9" s="79"/>
      <c r="IE9" s="79"/>
      <c r="IF9" s="79"/>
      <c r="IG9" s="79"/>
      <c r="IH9" s="79"/>
      <c r="II9" s="79"/>
      <c r="IJ9" s="79"/>
      <c r="IK9" s="79"/>
      <c r="IL9" s="79"/>
      <c r="IM9" s="79"/>
      <c r="IN9" s="79"/>
      <c r="IO9" s="79"/>
      <c r="IP9" s="79"/>
      <c r="IQ9" s="79"/>
      <c r="IR9" s="79"/>
      <c r="IS9" s="79"/>
      <c r="IT9" s="79"/>
      <c r="IU9" s="79"/>
      <c r="IV9" s="79"/>
      <c r="IW9" s="79"/>
      <c r="IX9" s="79"/>
      <c r="IY9" s="79"/>
      <c r="IZ9" s="79"/>
      <c r="JA9" s="79"/>
      <c r="JB9" s="79"/>
      <c r="JC9" s="79"/>
      <c r="JD9" s="79"/>
      <c r="JE9" s="79"/>
      <c r="JF9" s="79"/>
      <c r="JG9" s="79"/>
      <c r="JH9" s="79"/>
      <c r="JI9" s="79"/>
      <c r="JJ9" s="79"/>
      <c r="JK9" s="79"/>
      <c r="JL9" s="79"/>
      <c r="JM9" s="79"/>
      <c r="JN9" s="79"/>
      <c r="JO9" s="79"/>
      <c r="JP9" s="79"/>
      <c r="JQ9" s="79"/>
      <c r="JR9" s="79"/>
      <c r="JS9" s="79"/>
      <c r="JT9" s="79"/>
      <c r="JU9" s="79"/>
      <c r="JV9" s="79"/>
      <c r="JW9" s="79"/>
      <c r="JX9" s="79"/>
      <c r="JY9" s="79"/>
      <c r="JZ9" s="79"/>
      <c r="KA9" s="79"/>
      <c r="KB9" s="79"/>
      <c r="KC9" s="79"/>
      <c r="KD9" s="79"/>
      <c r="KE9" s="79"/>
      <c r="KF9" s="79"/>
      <c r="KG9" s="79"/>
      <c r="KH9" s="79"/>
      <c r="KI9" s="79"/>
      <c r="KJ9" s="79"/>
      <c r="KK9" s="79"/>
      <c r="KL9" s="79"/>
      <c r="KM9" s="79"/>
      <c r="KN9" s="79"/>
      <c r="KO9" s="79"/>
      <c r="KP9" s="79"/>
      <c r="KQ9" s="79"/>
      <c r="KR9" s="79"/>
      <c r="KS9" s="79"/>
      <c r="KT9" s="79"/>
      <c r="KU9" s="79"/>
      <c r="KV9" s="79"/>
      <c r="KW9" s="79"/>
      <c r="KX9" s="79"/>
      <c r="KY9" s="79"/>
      <c r="KZ9" s="79"/>
      <c r="LA9" s="79"/>
      <c r="LB9" s="79"/>
      <c r="LC9" s="79"/>
      <c r="LD9" s="79"/>
      <c r="LE9" s="79"/>
      <c r="LF9" s="79"/>
      <c r="LG9" s="79"/>
      <c r="LH9" s="79"/>
      <c r="LI9" s="79"/>
      <c r="LJ9" s="79"/>
      <c r="LK9" s="79"/>
      <c r="LL9" s="79"/>
      <c r="LM9" s="79"/>
      <c r="LN9" s="79"/>
      <c r="LO9" s="79"/>
      <c r="LP9" s="79"/>
      <c r="LQ9" s="79"/>
      <c r="LR9" s="79"/>
      <c r="LS9" s="79"/>
      <c r="LT9" s="79"/>
      <c r="LU9" s="79"/>
      <c r="LV9" s="79"/>
      <c r="LW9" s="79"/>
      <c r="LX9" s="79"/>
      <c r="LY9" s="79"/>
      <c r="LZ9" s="79"/>
      <c r="MA9" s="79"/>
      <c r="MB9" s="79"/>
      <c r="MC9" s="79"/>
      <c r="MD9" s="79"/>
      <c r="ME9" s="79"/>
      <c r="MF9" s="79"/>
      <c r="MG9" s="79"/>
      <c r="MH9" s="79"/>
      <c r="MI9" s="79"/>
      <c r="MJ9" s="79"/>
      <c r="MK9" s="79"/>
      <c r="ML9" s="79"/>
      <c r="MM9" s="79"/>
      <c r="MN9" s="79"/>
      <c r="MO9" s="79"/>
      <c r="MP9" s="79"/>
      <c r="MQ9" s="79"/>
      <c r="MR9" s="79"/>
      <c r="MS9" s="79"/>
      <c r="MT9" s="79"/>
      <c r="MU9" s="79"/>
      <c r="MV9" s="79"/>
      <c r="MW9" s="79"/>
      <c r="MX9" s="79"/>
      <c r="MY9" s="79"/>
      <c r="MZ9" s="79"/>
      <c r="NA9" s="79"/>
      <c r="NB9" s="79"/>
      <c r="NC9" s="79"/>
      <c r="ND9" s="79"/>
      <c r="NE9" s="79"/>
      <c r="NF9" s="79"/>
      <c r="NG9" s="79"/>
      <c r="NH9" s="79"/>
      <c r="NI9" s="79"/>
      <c r="NJ9" s="79"/>
      <c r="NK9" s="79"/>
      <c r="NL9" s="79"/>
      <c r="NM9" s="79"/>
      <c r="NN9" s="79"/>
      <c r="NO9" s="79"/>
      <c r="NP9" s="79"/>
      <c r="NQ9" s="79"/>
      <c r="NR9" s="79"/>
      <c r="NS9" s="79"/>
      <c r="NT9" s="79"/>
      <c r="NU9" s="79"/>
      <c r="NV9" s="79"/>
      <c r="NW9" s="79"/>
      <c r="NX9" s="79"/>
      <c r="NY9" s="79"/>
      <c r="NZ9" s="79"/>
      <c r="OA9" s="79"/>
      <c r="OB9" s="79"/>
      <c r="OC9" s="79"/>
      <c r="OD9" s="79"/>
      <c r="OE9" s="79"/>
      <c r="OF9" s="79"/>
      <c r="OG9" s="79"/>
      <c r="OH9" s="79"/>
      <c r="OI9" s="79"/>
      <c r="OJ9" s="79"/>
      <c r="OK9" s="79"/>
      <c r="OL9" s="79"/>
      <c r="OM9" s="79"/>
      <c r="ON9" s="79"/>
      <c r="OO9" s="79"/>
      <c r="OP9" s="79"/>
      <c r="OQ9" s="79"/>
      <c r="OR9" s="79"/>
      <c r="OS9" s="79"/>
      <c r="OT9" s="79"/>
      <c r="OU9" s="79"/>
      <c r="OV9" s="79"/>
      <c r="OW9" s="79"/>
      <c r="OX9" s="79"/>
      <c r="OY9" s="79"/>
      <c r="OZ9" s="79"/>
      <c r="PA9" s="79"/>
      <c r="PB9" s="79"/>
      <c r="PC9" s="79"/>
      <c r="PD9" s="79"/>
      <c r="PE9" s="79"/>
      <c r="PF9" s="79"/>
      <c r="PG9" s="79"/>
      <c r="PH9" s="79"/>
      <c r="PI9" s="79"/>
      <c r="PJ9" s="79"/>
      <c r="PK9" s="79"/>
      <c r="PL9" s="79"/>
      <c r="PM9" s="79"/>
      <c r="PN9" s="79"/>
      <c r="PO9" s="79"/>
      <c r="PP9" s="79"/>
      <c r="PQ9" s="79"/>
      <c r="PR9" s="79"/>
      <c r="PS9" s="79"/>
      <c r="PT9" s="79"/>
      <c r="PU9" s="79"/>
      <c r="PV9" s="79"/>
      <c r="PW9" s="79"/>
      <c r="PX9" s="79"/>
      <c r="PY9" s="79"/>
      <c r="PZ9" s="79"/>
      <c r="QA9" s="79"/>
      <c r="QB9" s="79"/>
      <c r="QC9" s="79"/>
      <c r="QD9" s="79"/>
      <c r="QE9" s="79"/>
      <c r="QF9" s="79"/>
      <c r="QG9" s="79"/>
      <c r="QH9" s="79"/>
      <c r="QI9" s="79"/>
      <c r="QJ9" s="79"/>
      <c r="QK9" s="79"/>
      <c r="QL9" s="79"/>
      <c r="QM9" s="79"/>
      <c r="QN9" s="79"/>
      <c r="QO9" s="79"/>
      <c r="QP9" s="79"/>
      <c r="QQ9" s="79"/>
      <c r="QR9" s="79"/>
      <c r="QS9" s="79"/>
      <c r="QT9" s="79"/>
      <c r="QU9" s="79"/>
      <c r="QV9" s="79"/>
      <c r="QW9" s="79"/>
      <c r="QX9" s="79"/>
      <c r="QY9" s="79"/>
      <c r="QZ9" s="79"/>
      <c r="RA9" s="79"/>
      <c r="RB9" s="79"/>
      <c r="RC9" s="79"/>
      <c r="RD9" s="79"/>
      <c r="RE9" s="79"/>
      <c r="RF9" s="79"/>
      <c r="RG9" s="79"/>
      <c r="RH9" s="79"/>
      <c r="RI9" s="79"/>
      <c r="RJ9" s="79"/>
      <c r="RK9" s="79"/>
      <c r="RL9" s="79"/>
      <c r="RM9" s="79"/>
      <c r="RN9" s="79"/>
      <c r="RO9" s="79"/>
      <c r="RP9" s="79"/>
      <c r="RQ9" s="79"/>
      <c r="RR9" s="79"/>
      <c r="RS9" s="79"/>
      <c r="RT9" s="79"/>
      <c r="RU9" s="79"/>
      <c r="RV9" s="79"/>
      <c r="RW9" s="79"/>
      <c r="RX9" s="79"/>
      <c r="RY9" s="79"/>
      <c r="RZ9" s="79"/>
      <c r="SA9" s="79"/>
      <c r="SB9" s="79"/>
      <c r="SC9" s="79"/>
      <c r="SD9" s="79"/>
      <c r="SE9" s="79"/>
      <c r="SF9" s="79"/>
      <c r="SG9" s="79"/>
      <c r="SH9" s="79"/>
      <c r="SI9" s="79"/>
      <c r="SJ9" s="79"/>
    </row>
    <row r="10" spans="1:504" ht="15" customHeight="1" x14ac:dyDescent="0.25">
      <c r="B10" s="397"/>
      <c r="C10" s="397"/>
      <c r="D10" s="81" t="s">
        <v>338</v>
      </c>
      <c r="E10" s="82">
        <f t="shared" ref="E10:BP10" si="0">SUM(E12:E98)</f>
        <v>0</v>
      </c>
      <c r="F10" s="82">
        <f t="shared" si="0"/>
        <v>0</v>
      </c>
      <c r="G10" s="82">
        <f t="shared" si="0"/>
        <v>0</v>
      </c>
      <c r="H10" s="82">
        <f t="shared" si="0"/>
        <v>0</v>
      </c>
      <c r="I10" s="82">
        <f t="shared" si="0"/>
        <v>0</v>
      </c>
      <c r="J10" s="82">
        <f t="shared" si="0"/>
        <v>0</v>
      </c>
      <c r="K10" s="82">
        <f t="shared" si="0"/>
        <v>0</v>
      </c>
      <c r="L10" s="82">
        <f t="shared" si="0"/>
        <v>0</v>
      </c>
      <c r="M10" s="82">
        <f t="shared" si="0"/>
        <v>0</v>
      </c>
      <c r="N10" s="82">
        <f t="shared" si="0"/>
        <v>0</v>
      </c>
      <c r="O10" s="82">
        <f t="shared" si="0"/>
        <v>0</v>
      </c>
      <c r="P10" s="82">
        <f t="shared" si="0"/>
        <v>0</v>
      </c>
      <c r="Q10" s="82">
        <f t="shared" si="0"/>
        <v>0</v>
      </c>
      <c r="R10" s="82">
        <f t="shared" si="0"/>
        <v>0</v>
      </c>
      <c r="S10" s="82">
        <f t="shared" si="0"/>
        <v>0</v>
      </c>
      <c r="T10" s="82">
        <f t="shared" si="0"/>
        <v>0</v>
      </c>
      <c r="U10" s="82">
        <f t="shared" si="0"/>
        <v>0</v>
      </c>
      <c r="V10" s="82">
        <f t="shared" si="0"/>
        <v>0</v>
      </c>
      <c r="W10" s="82">
        <f t="shared" si="0"/>
        <v>0</v>
      </c>
      <c r="X10" s="82">
        <f t="shared" si="0"/>
        <v>0</v>
      </c>
      <c r="Y10" s="82">
        <f t="shared" si="0"/>
        <v>0</v>
      </c>
      <c r="Z10" s="82">
        <f t="shared" si="0"/>
        <v>0</v>
      </c>
      <c r="AA10" s="82">
        <f t="shared" si="0"/>
        <v>0</v>
      </c>
      <c r="AB10" s="82">
        <f t="shared" si="0"/>
        <v>0</v>
      </c>
      <c r="AC10" s="82">
        <f t="shared" si="0"/>
        <v>0</v>
      </c>
      <c r="AD10" s="82">
        <f t="shared" si="0"/>
        <v>0</v>
      </c>
      <c r="AE10" s="82">
        <f t="shared" si="0"/>
        <v>0</v>
      </c>
      <c r="AF10" s="82">
        <f t="shared" si="0"/>
        <v>0</v>
      </c>
      <c r="AG10" s="82">
        <f t="shared" si="0"/>
        <v>0</v>
      </c>
      <c r="AH10" s="82">
        <f t="shared" si="0"/>
        <v>0</v>
      </c>
      <c r="AI10" s="82">
        <f t="shared" si="0"/>
        <v>0</v>
      </c>
      <c r="AJ10" s="82">
        <f t="shared" si="0"/>
        <v>0</v>
      </c>
      <c r="AK10" s="82">
        <f t="shared" si="0"/>
        <v>0</v>
      </c>
      <c r="AL10" s="82">
        <f t="shared" si="0"/>
        <v>0</v>
      </c>
      <c r="AM10" s="82">
        <f t="shared" si="0"/>
        <v>0</v>
      </c>
      <c r="AN10" s="82">
        <f t="shared" si="0"/>
        <v>0</v>
      </c>
      <c r="AO10" s="82">
        <f t="shared" si="0"/>
        <v>0</v>
      </c>
      <c r="AP10" s="82">
        <f t="shared" si="0"/>
        <v>0</v>
      </c>
      <c r="AQ10" s="82">
        <f t="shared" si="0"/>
        <v>0</v>
      </c>
      <c r="AR10" s="82">
        <f t="shared" si="0"/>
        <v>0</v>
      </c>
      <c r="AS10" s="82">
        <f t="shared" si="0"/>
        <v>0</v>
      </c>
      <c r="AT10" s="82">
        <f t="shared" si="0"/>
        <v>0</v>
      </c>
      <c r="AU10" s="82">
        <f t="shared" si="0"/>
        <v>0</v>
      </c>
      <c r="AV10" s="82">
        <f t="shared" si="0"/>
        <v>0</v>
      </c>
      <c r="AW10" s="82">
        <f t="shared" si="0"/>
        <v>0</v>
      </c>
      <c r="AX10" s="82">
        <f t="shared" si="0"/>
        <v>0</v>
      </c>
      <c r="AY10" s="82">
        <f t="shared" si="0"/>
        <v>0</v>
      </c>
      <c r="AZ10" s="82">
        <f t="shared" si="0"/>
        <v>0</v>
      </c>
      <c r="BA10" s="82">
        <f t="shared" si="0"/>
        <v>0</v>
      </c>
      <c r="BB10" s="82">
        <f t="shared" si="0"/>
        <v>0</v>
      </c>
      <c r="BC10" s="82">
        <f t="shared" si="0"/>
        <v>0</v>
      </c>
      <c r="BD10" s="82">
        <f t="shared" si="0"/>
        <v>0</v>
      </c>
      <c r="BE10" s="82">
        <f t="shared" si="0"/>
        <v>0</v>
      </c>
      <c r="BF10" s="82">
        <f t="shared" si="0"/>
        <v>0</v>
      </c>
      <c r="BG10" s="82">
        <f t="shared" si="0"/>
        <v>0</v>
      </c>
      <c r="BH10" s="82">
        <f t="shared" si="0"/>
        <v>0</v>
      </c>
      <c r="BI10" s="82">
        <f t="shared" si="0"/>
        <v>0</v>
      </c>
      <c r="BJ10" s="82">
        <f t="shared" si="0"/>
        <v>0</v>
      </c>
      <c r="BK10" s="82">
        <f t="shared" si="0"/>
        <v>0</v>
      </c>
      <c r="BL10" s="82">
        <f t="shared" si="0"/>
        <v>0</v>
      </c>
      <c r="BM10" s="82">
        <f t="shared" si="0"/>
        <v>0</v>
      </c>
      <c r="BN10" s="82">
        <f t="shared" si="0"/>
        <v>0</v>
      </c>
      <c r="BO10" s="82">
        <f t="shared" si="0"/>
        <v>0</v>
      </c>
      <c r="BP10" s="82">
        <f t="shared" si="0"/>
        <v>0</v>
      </c>
      <c r="BQ10" s="82">
        <f t="shared" ref="BQ10:EB10" si="1">SUM(BQ12:BQ98)</f>
        <v>0</v>
      </c>
      <c r="BR10" s="82">
        <f t="shared" si="1"/>
        <v>0</v>
      </c>
      <c r="BS10" s="82">
        <f t="shared" si="1"/>
        <v>0</v>
      </c>
      <c r="BT10" s="82">
        <f t="shared" si="1"/>
        <v>0</v>
      </c>
      <c r="BU10" s="82">
        <f t="shared" si="1"/>
        <v>0</v>
      </c>
      <c r="BV10" s="82">
        <f t="shared" si="1"/>
        <v>0</v>
      </c>
      <c r="BW10" s="82">
        <f t="shared" si="1"/>
        <v>0</v>
      </c>
      <c r="BX10" s="82">
        <f t="shared" si="1"/>
        <v>0</v>
      </c>
      <c r="BY10" s="82">
        <f t="shared" si="1"/>
        <v>0</v>
      </c>
      <c r="BZ10" s="82">
        <f t="shared" si="1"/>
        <v>0</v>
      </c>
      <c r="CA10" s="82">
        <f t="shared" si="1"/>
        <v>0</v>
      </c>
      <c r="CB10" s="82">
        <f t="shared" si="1"/>
        <v>0</v>
      </c>
      <c r="CC10" s="82">
        <f t="shared" si="1"/>
        <v>0</v>
      </c>
      <c r="CD10" s="82">
        <f t="shared" si="1"/>
        <v>0</v>
      </c>
      <c r="CE10" s="82">
        <f t="shared" si="1"/>
        <v>0</v>
      </c>
      <c r="CF10" s="82">
        <f t="shared" si="1"/>
        <v>0</v>
      </c>
      <c r="CG10" s="82">
        <f t="shared" si="1"/>
        <v>0</v>
      </c>
      <c r="CH10" s="82">
        <f t="shared" si="1"/>
        <v>0</v>
      </c>
      <c r="CI10" s="82">
        <f t="shared" si="1"/>
        <v>0</v>
      </c>
      <c r="CJ10" s="82">
        <f t="shared" si="1"/>
        <v>0</v>
      </c>
      <c r="CK10" s="82">
        <f t="shared" si="1"/>
        <v>0</v>
      </c>
      <c r="CL10" s="82">
        <f t="shared" si="1"/>
        <v>0</v>
      </c>
      <c r="CM10" s="82">
        <f t="shared" si="1"/>
        <v>0</v>
      </c>
      <c r="CN10" s="82">
        <f t="shared" si="1"/>
        <v>0</v>
      </c>
      <c r="CO10" s="82">
        <f t="shared" si="1"/>
        <v>0</v>
      </c>
      <c r="CP10" s="82">
        <f t="shared" si="1"/>
        <v>0</v>
      </c>
      <c r="CQ10" s="82">
        <f t="shared" si="1"/>
        <v>0</v>
      </c>
      <c r="CR10" s="82">
        <f t="shared" si="1"/>
        <v>0</v>
      </c>
      <c r="CS10" s="82">
        <f t="shared" si="1"/>
        <v>0</v>
      </c>
      <c r="CT10" s="82">
        <f t="shared" si="1"/>
        <v>0</v>
      </c>
      <c r="CU10" s="82">
        <f t="shared" si="1"/>
        <v>0</v>
      </c>
      <c r="CV10" s="82">
        <f t="shared" si="1"/>
        <v>0</v>
      </c>
      <c r="CW10" s="82">
        <f t="shared" si="1"/>
        <v>0</v>
      </c>
      <c r="CX10" s="82">
        <f t="shared" si="1"/>
        <v>0</v>
      </c>
      <c r="CY10" s="82">
        <f t="shared" si="1"/>
        <v>0</v>
      </c>
      <c r="CZ10" s="82">
        <f t="shared" si="1"/>
        <v>0</v>
      </c>
      <c r="DA10" s="82">
        <f t="shared" si="1"/>
        <v>0</v>
      </c>
      <c r="DB10" s="82">
        <f t="shared" si="1"/>
        <v>0</v>
      </c>
      <c r="DC10" s="82">
        <f t="shared" si="1"/>
        <v>0</v>
      </c>
      <c r="DD10" s="82">
        <f t="shared" si="1"/>
        <v>0</v>
      </c>
      <c r="DE10" s="82">
        <f t="shared" si="1"/>
        <v>0</v>
      </c>
      <c r="DF10" s="82">
        <f t="shared" si="1"/>
        <v>0</v>
      </c>
      <c r="DG10" s="82">
        <f t="shared" si="1"/>
        <v>0</v>
      </c>
      <c r="DH10" s="82">
        <f t="shared" si="1"/>
        <v>0</v>
      </c>
      <c r="DI10" s="82">
        <f t="shared" si="1"/>
        <v>0</v>
      </c>
      <c r="DJ10" s="82">
        <f t="shared" si="1"/>
        <v>0</v>
      </c>
      <c r="DK10" s="82">
        <f t="shared" si="1"/>
        <v>0</v>
      </c>
      <c r="DL10" s="82">
        <f t="shared" si="1"/>
        <v>0</v>
      </c>
      <c r="DM10" s="82">
        <f t="shared" si="1"/>
        <v>0</v>
      </c>
      <c r="DN10" s="82">
        <f t="shared" si="1"/>
        <v>0</v>
      </c>
      <c r="DO10" s="82">
        <f t="shared" si="1"/>
        <v>0</v>
      </c>
      <c r="DP10" s="82">
        <f t="shared" si="1"/>
        <v>0</v>
      </c>
      <c r="DQ10" s="82">
        <f t="shared" si="1"/>
        <v>0</v>
      </c>
      <c r="DR10" s="82">
        <f t="shared" si="1"/>
        <v>0</v>
      </c>
      <c r="DS10" s="82">
        <f t="shared" si="1"/>
        <v>0</v>
      </c>
      <c r="DT10" s="82">
        <f t="shared" si="1"/>
        <v>0</v>
      </c>
      <c r="DU10" s="82">
        <f t="shared" si="1"/>
        <v>0</v>
      </c>
      <c r="DV10" s="82">
        <f t="shared" si="1"/>
        <v>0</v>
      </c>
      <c r="DW10" s="82">
        <f t="shared" si="1"/>
        <v>0</v>
      </c>
      <c r="DX10" s="82">
        <f t="shared" si="1"/>
        <v>0</v>
      </c>
      <c r="DY10" s="82">
        <f t="shared" si="1"/>
        <v>0</v>
      </c>
      <c r="DZ10" s="82">
        <f t="shared" si="1"/>
        <v>0</v>
      </c>
      <c r="EA10" s="82">
        <f t="shared" si="1"/>
        <v>0</v>
      </c>
      <c r="EB10" s="82">
        <f t="shared" si="1"/>
        <v>0</v>
      </c>
      <c r="EC10" s="82">
        <f t="shared" ref="EC10:GN10" si="2">SUM(EC12:EC98)</f>
        <v>0</v>
      </c>
      <c r="ED10" s="82">
        <f t="shared" si="2"/>
        <v>0</v>
      </c>
      <c r="EE10" s="82">
        <f t="shared" si="2"/>
        <v>0</v>
      </c>
      <c r="EF10" s="82">
        <f t="shared" si="2"/>
        <v>0</v>
      </c>
      <c r="EG10" s="82">
        <f t="shared" si="2"/>
        <v>0</v>
      </c>
      <c r="EH10" s="82">
        <f t="shared" si="2"/>
        <v>0</v>
      </c>
      <c r="EI10" s="82">
        <f t="shared" si="2"/>
        <v>0</v>
      </c>
      <c r="EJ10" s="82">
        <f t="shared" si="2"/>
        <v>0</v>
      </c>
      <c r="EK10" s="82">
        <f t="shared" si="2"/>
        <v>0</v>
      </c>
      <c r="EL10" s="82">
        <f t="shared" si="2"/>
        <v>0</v>
      </c>
      <c r="EM10" s="82">
        <f t="shared" si="2"/>
        <v>0</v>
      </c>
      <c r="EN10" s="82">
        <f t="shared" si="2"/>
        <v>0</v>
      </c>
      <c r="EO10" s="82">
        <f t="shared" si="2"/>
        <v>0</v>
      </c>
      <c r="EP10" s="82">
        <f t="shared" si="2"/>
        <v>0</v>
      </c>
      <c r="EQ10" s="82">
        <f t="shared" si="2"/>
        <v>0</v>
      </c>
      <c r="ER10" s="82">
        <f t="shared" si="2"/>
        <v>0</v>
      </c>
      <c r="ES10" s="82">
        <f t="shared" si="2"/>
        <v>0</v>
      </c>
      <c r="ET10" s="82">
        <f t="shared" si="2"/>
        <v>0</v>
      </c>
      <c r="EU10" s="82">
        <f t="shared" si="2"/>
        <v>0</v>
      </c>
      <c r="EV10" s="82">
        <f t="shared" si="2"/>
        <v>0</v>
      </c>
      <c r="EW10" s="82">
        <f t="shared" si="2"/>
        <v>0</v>
      </c>
      <c r="EX10" s="82">
        <f t="shared" si="2"/>
        <v>0</v>
      </c>
      <c r="EY10" s="82">
        <f t="shared" si="2"/>
        <v>0</v>
      </c>
      <c r="EZ10" s="82">
        <f t="shared" si="2"/>
        <v>0</v>
      </c>
      <c r="FA10" s="82">
        <f t="shared" si="2"/>
        <v>0</v>
      </c>
      <c r="FB10" s="82">
        <f t="shared" si="2"/>
        <v>0</v>
      </c>
      <c r="FC10" s="82">
        <f t="shared" si="2"/>
        <v>0</v>
      </c>
      <c r="FD10" s="82">
        <f t="shared" si="2"/>
        <v>0</v>
      </c>
      <c r="FE10" s="82">
        <f t="shared" si="2"/>
        <v>0</v>
      </c>
      <c r="FF10" s="82">
        <f t="shared" si="2"/>
        <v>0</v>
      </c>
      <c r="FG10" s="82">
        <f t="shared" si="2"/>
        <v>0</v>
      </c>
      <c r="FH10" s="82">
        <f t="shared" si="2"/>
        <v>0</v>
      </c>
      <c r="FI10" s="82">
        <f t="shared" si="2"/>
        <v>0</v>
      </c>
      <c r="FJ10" s="82">
        <f t="shared" si="2"/>
        <v>0</v>
      </c>
      <c r="FK10" s="82">
        <f t="shared" si="2"/>
        <v>0</v>
      </c>
      <c r="FL10" s="82">
        <f t="shared" si="2"/>
        <v>0</v>
      </c>
      <c r="FM10" s="82">
        <f t="shared" si="2"/>
        <v>0</v>
      </c>
      <c r="FN10" s="82">
        <f t="shared" si="2"/>
        <v>0</v>
      </c>
      <c r="FO10" s="82">
        <f t="shared" si="2"/>
        <v>0</v>
      </c>
      <c r="FP10" s="82">
        <f t="shared" si="2"/>
        <v>0</v>
      </c>
      <c r="FQ10" s="82">
        <f t="shared" si="2"/>
        <v>0</v>
      </c>
      <c r="FR10" s="82">
        <f t="shared" si="2"/>
        <v>0</v>
      </c>
      <c r="FS10" s="82">
        <f t="shared" si="2"/>
        <v>0</v>
      </c>
      <c r="FT10" s="82">
        <f t="shared" si="2"/>
        <v>0</v>
      </c>
      <c r="FU10" s="82">
        <f t="shared" si="2"/>
        <v>0</v>
      </c>
      <c r="FV10" s="82">
        <f t="shared" si="2"/>
        <v>0</v>
      </c>
      <c r="FW10" s="82">
        <f t="shared" si="2"/>
        <v>0</v>
      </c>
      <c r="FX10" s="82">
        <f t="shared" si="2"/>
        <v>0</v>
      </c>
      <c r="FY10" s="82">
        <f t="shared" si="2"/>
        <v>0</v>
      </c>
      <c r="FZ10" s="82">
        <f t="shared" si="2"/>
        <v>0</v>
      </c>
      <c r="GA10" s="82">
        <f t="shared" si="2"/>
        <v>0</v>
      </c>
      <c r="GB10" s="82">
        <f t="shared" si="2"/>
        <v>0</v>
      </c>
      <c r="GC10" s="82">
        <f t="shared" si="2"/>
        <v>0</v>
      </c>
      <c r="GD10" s="82">
        <f t="shared" si="2"/>
        <v>0</v>
      </c>
      <c r="GE10" s="82">
        <f t="shared" si="2"/>
        <v>0</v>
      </c>
      <c r="GF10" s="82">
        <f t="shared" si="2"/>
        <v>0</v>
      </c>
      <c r="GG10" s="82">
        <f t="shared" si="2"/>
        <v>0</v>
      </c>
      <c r="GH10" s="82">
        <f t="shared" si="2"/>
        <v>0</v>
      </c>
      <c r="GI10" s="82">
        <f t="shared" si="2"/>
        <v>0</v>
      </c>
      <c r="GJ10" s="82">
        <f t="shared" si="2"/>
        <v>0</v>
      </c>
      <c r="GK10" s="82">
        <f t="shared" si="2"/>
        <v>0</v>
      </c>
      <c r="GL10" s="82">
        <f t="shared" si="2"/>
        <v>0</v>
      </c>
      <c r="GM10" s="82">
        <f t="shared" si="2"/>
        <v>0</v>
      </c>
      <c r="GN10" s="82">
        <f t="shared" si="2"/>
        <v>0</v>
      </c>
      <c r="GO10" s="82">
        <f t="shared" ref="GO10:IZ10" si="3">SUM(GO12:GO98)</f>
        <v>0</v>
      </c>
      <c r="GP10" s="82">
        <f t="shared" si="3"/>
        <v>0</v>
      </c>
      <c r="GQ10" s="82">
        <f t="shared" si="3"/>
        <v>0</v>
      </c>
      <c r="GR10" s="82">
        <f t="shared" si="3"/>
        <v>0</v>
      </c>
      <c r="GS10" s="82">
        <f t="shared" si="3"/>
        <v>0</v>
      </c>
      <c r="GT10" s="82">
        <f t="shared" si="3"/>
        <v>0</v>
      </c>
      <c r="GU10" s="82">
        <f t="shared" si="3"/>
        <v>0</v>
      </c>
      <c r="GV10" s="82">
        <f t="shared" si="3"/>
        <v>0</v>
      </c>
      <c r="GW10" s="82">
        <f t="shared" si="3"/>
        <v>0</v>
      </c>
      <c r="GX10" s="82">
        <f t="shared" si="3"/>
        <v>0</v>
      </c>
      <c r="GY10" s="82">
        <f t="shared" si="3"/>
        <v>0</v>
      </c>
      <c r="GZ10" s="82">
        <f t="shared" si="3"/>
        <v>0</v>
      </c>
      <c r="HA10" s="82">
        <f t="shared" si="3"/>
        <v>0</v>
      </c>
      <c r="HB10" s="82">
        <f t="shared" si="3"/>
        <v>0</v>
      </c>
      <c r="HC10" s="82">
        <f t="shared" si="3"/>
        <v>0</v>
      </c>
      <c r="HD10" s="82">
        <f t="shared" si="3"/>
        <v>0</v>
      </c>
      <c r="HE10" s="82">
        <f t="shared" si="3"/>
        <v>0</v>
      </c>
      <c r="HF10" s="82">
        <f t="shared" si="3"/>
        <v>0</v>
      </c>
      <c r="HG10" s="82">
        <f t="shared" si="3"/>
        <v>0</v>
      </c>
      <c r="HH10" s="82">
        <f t="shared" si="3"/>
        <v>0</v>
      </c>
      <c r="HI10" s="82">
        <f t="shared" si="3"/>
        <v>0</v>
      </c>
      <c r="HJ10" s="82">
        <f t="shared" si="3"/>
        <v>0</v>
      </c>
      <c r="HK10" s="82">
        <f t="shared" si="3"/>
        <v>0</v>
      </c>
      <c r="HL10" s="82">
        <f t="shared" si="3"/>
        <v>0</v>
      </c>
      <c r="HM10" s="82">
        <f t="shared" si="3"/>
        <v>0</v>
      </c>
      <c r="HN10" s="82">
        <f t="shared" si="3"/>
        <v>0</v>
      </c>
      <c r="HO10" s="82">
        <f t="shared" si="3"/>
        <v>0</v>
      </c>
      <c r="HP10" s="82">
        <f t="shared" si="3"/>
        <v>0</v>
      </c>
      <c r="HQ10" s="82">
        <f t="shared" si="3"/>
        <v>0</v>
      </c>
      <c r="HR10" s="82">
        <f t="shared" si="3"/>
        <v>0</v>
      </c>
      <c r="HS10" s="82">
        <f t="shared" si="3"/>
        <v>0</v>
      </c>
      <c r="HT10" s="82">
        <f t="shared" si="3"/>
        <v>0</v>
      </c>
      <c r="HU10" s="82">
        <f t="shared" si="3"/>
        <v>0</v>
      </c>
      <c r="HV10" s="82">
        <f t="shared" si="3"/>
        <v>0</v>
      </c>
      <c r="HW10" s="82">
        <f t="shared" si="3"/>
        <v>0</v>
      </c>
      <c r="HX10" s="82">
        <f t="shared" si="3"/>
        <v>0</v>
      </c>
      <c r="HY10" s="82">
        <f t="shared" si="3"/>
        <v>0</v>
      </c>
      <c r="HZ10" s="82">
        <f t="shared" si="3"/>
        <v>0</v>
      </c>
      <c r="IA10" s="82">
        <f t="shared" si="3"/>
        <v>0</v>
      </c>
      <c r="IB10" s="82">
        <f t="shared" si="3"/>
        <v>0</v>
      </c>
      <c r="IC10" s="82">
        <f t="shared" si="3"/>
        <v>0</v>
      </c>
      <c r="ID10" s="82">
        <f t="shared" si="3"/>
        <v>0</v>
      </c>
      <c r="IE10" s="82">
        <f t="shared" si="3"/>
        <v>0</v>
      </c>
      <c r="IF10" s="82">
        <f t="shared" si="3"/>
        <v>0</v>
      </c>
      <c r="IG10" s="82">
        <f t="shared" si="3"/>
        <v>0</v>
      </c>
      <c r="IH10" s="82">
        <f t="shared" si="3"/>
        <v>0</v>
      </c>
      <c r="II10" s="82">
        <f t="shared" si="3"/>
        <v>0</v>
      </c>
      <c r="IJ10" s="82">
        <f t="shared" si="3"/>
        <v>0</v>
      </c>
      <c r="IK10" s="82">
        <f t="shared" si="3"/>
        <v>0</v>
      </c>
      <c r="IL10" s="82">
        <f t="shared" si="3"/>
        <v>0</v>
      </c>
      <c r="IM10" s="82">
        <f t="shared" si="3"/>
        <v>0</v>
      </c>
      <c r="IN10" s="82">
        <f t="shared" si="3"/>
        <v>0</v>
      </c>
      <c r="IO10" s="82">
        <f t="shared" si="3"/>
        <v>0</v>
      </c>
      <c r="IP10" s="82">
        <f t="shared" si="3"/>
        <v>0</v>
      </c>
      <c r="IQ10" s="82">
        <f t="shared" si="3"/>
        <v>0</v>
      </c>
      <c r="IR10" s="82">
        <f t="shared" si="3"/>
        <v>0</v>
      </c>
      <c r="IS10" s="82">
        <f t="shared" si="3"/>
        <v>0</v>
      </c>
      <c r="IT10" s="82">
        <f t="shared" si="3"/>
        <v>0</v>
      </c>
      <c r="IU10" s="82">
        <f t="shared" si="3"/>
        <v>0</v>
      </c>
      <c r="IV10" s="82">
        <f t="shared" si="3"/>
        <v>0</v>
      </c>
      <c r="IW10" s="82">
        <f t="shared" si="3"/>
        <v>0</v>
      </c>
      <c r="IX10" s="82">
        <f t="shared" si="3"/>
        <v>0</v>
      </c>
      <c r="IY10" s="82">
        <f t="shared" si="3"/>
        <v>0</v>
      </c>
      <c r="IZ10" s="82">
        <f t="shared" si="3"/>
        <v>0</v>
      </c>
      <c r="JA10" s="82">
        <f t="shared" ref="JA10:LL10" si="4">SUM(JA12:JA98)</f>
        <v>0</v>
      </c>
      <c r="JB10" s="82">
        <f t="shared" si="4"/>
        <v>0</v>
      </c>
      <c r="JC10" s="82">
        <f t="shared" si="4"/>
        <v>0</v>
      </c>
      <c r="JD10" s="82">
        <f t="shared" si="4"/>
        <v>0</v>
      </c>
      <c r="JE10" s="82">
        <f t="shared" si="4"/>
        <v>0</v>
      </c>
      <c r="JF10" s="82">
        <f t="shared" si="4"/>
        <v>0</v>
      </c>
      <c r="JG10" s="82">
        <f t="shared" si="4"/>
        <v>0</v>
      </c>
      <c r="JH10" s="82">
        <f t="shared" si="4"/>
        <v>0</v>
      </c>
      <c r="JI10" s="82">
        <f t="shared" si="4"/>
        <v>0</v>
      </c>
      <c r="JJ10" s="82">
        <f t="shared" si="4"/>
        <v>0</v>
      </c>
      <c r="JK10" s="82">
        <f t="shared" si="4"/>
        <v>0</v>
      </c>
      <c r="JL10" s="82">
        <f t="shared" si="4"/>
        <v>0</v>
      </c>
      <c r="JM10" s="82">
        <f t="shared" si="4"/>
        <v>0</v>
      </c>
      <c r="JN10" s="82">
        <f t="shared" si="4"/>
        <v>0</v>
      </c>
      <c r="JO10" s="82">
        <f t="shared" si="4"/>
        <v>0</v>
      </c>
      <c r="JP10" s="82">
        <f t="shared" si="4"/>
        <v>0</v>
      </c>
      <c r="JQ10" s="82">
        <f t="shared" si="4"/>
        <v>0</v>
      </c>
      <c r="JR10" s="82">
        <f t="shared" si="4"/>
        <v>0</v>
      </c>
      <c r="JS10" s="82">
        <f t="shared" si="4"/>
        <v>0</v>
      </c>
      <c r="JT10" s="82">
        <f t="shared" si="4"/>
        <v>0</v>
      </c>
      <c r="JU10" s="82">
        <f t="shared" si="4"/>
        <v>0</v>
      </c>
      <c r="JV10" s="82">
        <f t="shared" si="4"/>
        <v>0</v>
      </c>
      <c r="JW10" s="82">
        <f t="shared" si="4"/>
        <v>0</v>
      </c>
      <c r="JX10" s="82">
        <f t="shared" si="4"/>
        <v>0</v>
      </c>
      <c r="JY10" s="82">
        <f t="shared" si="4"/>
        <v>0</v>
      </c>
      <c r="JZ10" s="82">
        <f t="shared" si="4"/>
        <v>0</v>
      </c>
      <c r="KA10" s="82">
        <f t="shared" si="4"/>
        <v>0</v>
      </c>
      <c r="KB10" s="82">
        <f t="shared" si="4"/>
        <v>0</v>
      </c>
      <c r="KC10" s="82">
        <f t="shared" si="4"/>
        <v>0</v>
      </c>
      <c r="KD10" s="82">
        <f t="shared" si="4"/>
        <v>0</v>
      </c>
      <c r="KE10" s="82">
        <f t="shared" si="4"/>
        <v>0</v>
      </c>
      <c r="KF10" s="82">
        <f t="shared" si="4"/>
        <v>0</v>
      </c>
      <c r="KG10" s="82">
        <f t="shared" si="4"/>
        <v>0</v>
      </c>
      <c r="KH10" s="82">
        <f t="shared" si="4"/>
        <v>0</v>
      </c>
      <c r="KI10" s="82">
        <f t="shared" si="4"/>
        <v>0</v>
      </c>
      <c r="KJ10" s="82">
        <f t="shared" si="4"/>
        <v>0</v>
      </c>
      <c r="KK10" s="82">
        <f t="shared" si="4"/>
        <v>0</v>
      </c>
      <c r="KL10" s="82">
        <f t="shared" si="4"/>
        <v>0</v>
      </c>
      <c r="KM10" s="82">
        <f t="shared" si="4"/>
        <v>0</v>
      </c>
      <c r="KN10" s="82">
        <f t="shared" si="4"/>
        <v>0</v>
      </c>
      <c r="KO10" s="82">
        <f t="shared" si="4"/>
        <v>0</v>
      </c>
      <c r="KP10" s="82">
        <f t="shared" si="4"/>
        <v>0</v>
      </c>
      <c r="KQ10" s="82">
        <f t="shared" si="4"/>
        <v>0</v>
      </c>
      <c r="KR10" s="82">
        <f t="shared" si="4"/>
        <v>0</v>
      </c>
      <c r="KS10" s="82">
        <f t="shared" si="4"/>
        <v>0</v>
      </c>
      <c r="KT10" s="82">
        <f t="shared" si="4"/>
        <v>0</v>
      </c>
      <c r="KU10" s="82">
        <f t="shared" si="4"/>
        <v>0</v>
      </c>
      <c r="KV10" s="82">
        <f t="shared" si="4"/>
        <v>0</v>
      </c>
      <c r="KW10" s="82">
        <f t="shared" si="4"/>
        <v>0</v>
      </c>
      <c r="KX10" s="82">
        <f t="shared" si="4"/>
        <v>0</v>
      </c>
      <c r="KY10" s="82">
        <f t="shared" si="4"/>
        <v>0</v>
      </c>
      <c r="KZ10" s="82">
        <f t="shared" si="4"/>
        <v>0</v>
      </c>
      <c r="LA10" s="82">
        <f t="shared" si="4"/>
        <v>0</v>
      </c>
      <c r="LB10" s="82">
        <f t="shared" si="4"/>
        <v>0</v>
      </c>
      <c r="LC10" s="82">
        <f t="shared" si="4"/>
        <v>0</v>
      </c>
      <c r="LD10" s="82">
        <f t="shared" si="4"/>
        <v>0</v>
      </c>
      <c r="LE10" s="82">
        <f t="shared" si="4"/>
        <v>0</v>
      </c>
      <c r="LF10" s="82">
        <f t="shared" si="4"/>
        <v>0</v>
      </c>
      <c r="LG10" s="82">
        <f t="shared" si="4"/>
        <v>0</v>
      </c>
      <c r="LH10" s="82">
        <f t="shared" si="4"/>
        <v>0</v>
      </c>
      <c r="LI10" s="82">
        <f t="shared" si="4"/>
        <v>0</v>
      </c>
      <c r="LJ10" s="82">
        <f t="shared" si="4"/>
        <v>0</v>
      </c>
      <c r="LK10" s="82">
        <f t="shared" si="4"/>
        <v>0</v>
      </c>
      <c r="LL10" s="82">
        <f t="shared" si="4"/>
        <v>0</v>
      </c>
      <c r="LM10" s="82">
        <f t="shared" ref="LM10:NX10" si="5">SUM(LM12:LM98)</f>
        <v>0</v>
      </c>
      <c r="LN10" s="82">
        <f t="shared" si="5"/>
        <v>0</v>
      </c>
      <c r="LO10" s="82">
        <f t="shared" si="5"/>
        <v>0</v>
      </c>
      <c r="LP10" s="82">
        <f t="shared" si="5"/>
        <v>0</v>
      </c>
      <c r="LQ10" s="82">
        <f t="shared" si="5"/>
        <v>0</v>
      </c>
      <c r="LR10" s="82">
        <f t="shared" si="5"/>
        <v>0</v>
      </c>
      <c r="LS10" s="82">
        <f t="shared" si="5"/>
        <v>0</v>
      </c>
      <c r="LT10" s="82">
        <f t="shared" si="5"/>
        <v>0</v>
      </c>
      <c r="LU10" s="82">
        <f t="shared" si="5"/>
        <v>0</v>
      </c>
      <c r="LV10" s="82">
        <f t="shared" si="5"/>
        <v>0</v>
      </c>
      <c r="LW10" s="82">
        <f t="shared" si="5"/>
        <v>0</v>
      </c>
      <c r="LX10" s="82">
        <f t="shared" si="5"/>
        <v>0</v>
      </c>
      <c r="LY10" s="82">
        <f t="shared" si="5"/>
        <v>0</v>
      </c>
      <c r="LZ10" s="82">
        <f t="shared" si="5"/>
        <v>0</v>
      </c>
      <c r="MA10" s="82">
        <f t="shared" si="5"/>
        <v>0</v>
      </c>
      <c r="MB10" s="82">
        <f t="shared" si="5"/>
        <v>0</v>
      </c>
      <c r="MC10" s="82">
        <f t="shared" si="5"/>
        <v>0</v>
      </c>
      <c r="MD10" s="82">
        <f t="shared" si="5"/>
        <v>0</v>
      </c>
      <c r="ME10" s="82">
        <f t="shared" si="5"/>
        <v>0</v>
      </c>
      <c r="MF10" s="82">
        <f t="shared" si="5"/>
        <v>0</v>
      </c>
      <c r="MG10" s="82">
        <f t="shared" si="5"/>
        <v>0</v>
      </c>
      <c r="MH10" s="82">
        <f t="shared" si="5"/>
        <v>0</v>
      </c>
      <c r="MI10" s="82">
        <f t="shared" si="5"/>
        <v>0</v>
      </c>
      <c r="MJ10" s="82">
        <f t="shared" si="5"/>
        <v>0</v>
      </c>
      <c r="MK10" s="82">
        <f t="shared" si="5"/>
        <v>0</v>
      </c>
      <c r="ML10" s="82">
        <f t="shared" si="5"/>
        <v>0</v>
      </c>
      <c r="MM10" s="82">
        <f t="shared" si="5"/>
        <v>0</v>
      </c>
      <c r="MN10" s="82">
        <f t="shared" si="5"/>
        <v>0</v>
      </c>
      <c r="MO10" s="82">
        <f t="shared" si="5"/>
        <v>0</v>
      </c>
      <c r="MP10" s="82">
        <f t="shared" si="5"/>
        <v>0</v>
      </c>
      <c r="MQ10" s="82">
        <f t="shared" si="5"/>
        <v>0</v>
      </c>
      <c r="MR10" s="82">
        <f t="shared" si="5"/>
        <v>0</v>
      </c>
      <c r="MS10" s="82">
        <f t="shared" si="5"/>
        <v>0</v>
      </c>
      <c r="MT10" s="82">
        <f t="shared" si="5"/>
        <v>0</v>
      </c>
      <c r="MU10" s="82">
        <f t="shared" si="5"/>
        <v>0</v>
      </c>
      <c r="MV10" s="82">
        <f t="shared" si="5"/>
        <v>0</v>
      </c>
      <c r="MW10" s="82">
        <f t="shared" si="5"/>
        <v>0</v>
      </c>
      <c r="MX10" s="82">
        <f t="shared" si="5"/>
        <v>0</v>
      </c>
      <c r="MY10" s="82">
        <f t="shared" si="5"/>
        <v>0</v>
      </c>
      <c r="MZ10" s="82">
        <f t="shared" si="5"/>
        <v>0</v>
      </c>
      <c r="NA10" s="82">
        <f t="shared" si="5"/>
        <v>0</v>
      </c>
      <c r="NB10" s="82">
        <f t="shared" si="5"/>
        <v>0</v>
      </c>
      <c r="NC10" s="82">
        <f t="shared" si="5"/>
        <v>0</v>
      </c>
      <c r="ND10" s="82">
        <f t="shared" si="5"/>
        <v>0</v>
      </c>
      <c r="NE10" s="82">
        <f t="shared" si="5"/>
        <v>0</v>
      </c>
      <c r="NF10" s="82">
        <f t="shared" si="5"/>
        <v>0</v>
      </c>
      <c r="NG10" s="82">
        <f t="shared" si="5"/>
        <v>0</v>
      </c>
      <c r="NH10" s="82">
        <f t="shared" si="5"/>
        <v>0</v>
      </c>
      <c r="NI10" s="82">
        <f t="shared" si="5"/>
        <v>0</v>
      </c>
      <c r="NJ10" s="82">
        <f t="shared" si="5"/>
        <v>0</v>
      </c>
      <c r="NK10" s="82">
        <f t="shared" si="5"/>
        <v>0</v>
      </c>
      <c r="NL10" s="82">
        <f t="shared" si="5"/>
        <v>0</v>
      </c>
      <c r="NM10" s="82">
        <f t="shared" si="5"/>
        <v>0</v>
      </c>
      <c r="NN10" s="82">
        <f t="shared" si="5"/>
        <v>0</v>
      </c>
      <c r="NO10" s="82">
        <f t="shared" si="5"/>
        <v>0</v>
      </c>
      <c r="NP10" s="82">
        <f t="shared" si="5"/>
        <v>0</v>
      </c>
      <c r="NQ10" s="82">
        <f t="shared" si="5"/>
        <v>0</v>
      </c>
      <c r="NR10" s="82">
        <f t="shared" si="5"/>
        <v>0</v>
      </c>
      <c r="NS10" s="82">
        <f t="shared" si="5"/>
        <v>0</v>
      </c>
      <c r="NT10" s="82">
        <f t="shared" si="5"/>
        <v>0</v>
      </c>
      <c r="NU10" s="82">
        <f t="shared" si="5"/>
        <v>0</v>
      </c>
      <c r="NV10" s="82">
        <f t="shared" si="5"/>
        <v>0</v>
      </c>
      <c r="NW10" s="82">
        <f t="shared" si="5"/>
        <v>0</v>
      </c>
      <c r="NX10" s="82">
        <f t="shared" si="5"/>
        <v>0</v>
      </c>
      <c r="NY10" s="82">
        <f t="shared" ref="NY10:QJ10" si="6">SUM(NY12:NY98)</f>
        <v>0</v>
      </c>
      <c r="NZ10" s="82">
        <f t="shared" si="6"/>
        <v>0</v>
      </c>
      <c r="OA10" s="82">
        <f t="shared" si="6"/>
        <v>0</v>
      </c>
      <c r="OB10" s="82">
        <f t="shared" si="6"/>
        <v>0</v>
      </c>
      <c r="OC10" s="82">
        <f t="shared" si="6"/>
        <v>0</v>
      </c>
      <c r="OD10" s="82">
        <f t="shared" si="6"/>
        <v>0</v>
      </c>
      <c r="OE10" s="82">
        <f t="shared" si="6"/>
        <v>0</v>
      </c>
      <c r="OF10" s="82">
        <f t="shared" si="6"/>
        <v>0</v>
      </c>
      <c r="OG10" s="82">
        <f t="shared" si="6"/>
        <v>0</v>
      </c>
      <c r="OH10" s="82">
        <f t="shared" si="6"/>
        <v>0</v>
      </c>
      <c r="OI10" s="82">
        <f t="shared" si="6"/>
        <v>0</v>
      </c>
      <c r="OJ10" s="82">
        <f t="shared" si="6"/>
        <v>0</v>
      </c>
      <c r="OK10" s="82">
        <f t="shared" si="6"/>
        <v>0</v>
      </c>
      <c r="OL10" s="82">
        <f t="shared" si="6"/>
        <v>0</v>
      </c>
      <c r="OM10" s="82">
        <f t="shared" si="6"/>
        <v>0</v>
      </c>
      <c r="ON10" s="82">
        <f t="shared" si="6"/>
        <v>0</v>
      </c>
      <c r="OO10" s="82">
        <f t="shared" si="6"/>
        <v>0</v>
      </c>
      <c r="OP10" s="82">
        <f t="shared" si="6"/>
        <v>0</v>
      </c>
      <c r="OQ10" s="82">
        <f t="shared" si="6"/>
        <v>0</v>
      </c>
      <c r="OR10" s="82">
        <f t="shared" si="6"/>
        <v>0</v>
      </c>
      <c r="OS10" s="82">
        <f t="shared" si="6"/>
        <v>0</v>
      </c>
      <c r="OT10" s="82">
        <f t="shared" si="6"/>
        <v>0</v>
      </c>
      <c r="OU10" s="82">
        <f t="shared" si="6"/>
        <v>0</v>
      </c>
      <c r="OV10" s="82">
        <f t="shared" si="6"/>
        <v>0</v>
      </c>
      <c r="OW10" s="82">
        <f t="shared" si="6"/>
        <v>0</v>
      </c>
      <c r="OX10" s="82">
        <f t="shared" si="6"/>
        <v>0</v>
      </c>
      <c r="OY10" s="82">
        <f t="shared" si="6"/>
        <v>0</v>
      </c>
      <c r="OZ10" s="82">
        <f t="shared" si="6"/>
        <v>0</v>
      </c>
      <c r="PA10" s="82">
        <f t="shared" si="6"/>
        <v>0</v>
      </c>
      <c r="PB10" s="82">
        <f t="shared" si="6"/>
        <v>0</v>
      </c>
      <c r="PC10" s="82">
        <f t="shared" si="6"/>
        <v>0</v>
      </c>
      <c r="PD10" s="82">
        <f t="shared" si="6"/>
        <v>0</v>
      </c>
      <c r="PE10" s="82">
        <f t="shared" si="6"/>
        <v>0</v>
      </c>
      <c r="PF10" s="82">
        <f t="shared" si="6"/>
        <v>0</v>
      </c>
      <c r="PG10" s="82">
        <f t="shared" si="6"/>
        <v>0</v>
      </c>
      <c r="PH10" s="82">
        <f t="shared" si="6"/>
        <v>0</v>
      </c>
      <c r="PI10" s="82">
        <f t="shared" si="6"/>
        <v>0</v>
      </c>
      <c r="PJ10" s="82">
        <f t="shared" si="6"/>
        <v>0</v>
      </c>
      <c r="PK10" s="82">
        <f t="shared" si="6"/>
        <v>0</v>
      </c>
      <c r="PL10" s="82">
        <f t="shared" si="6"/>
        <v>0</v>
      </c>
      <c r="PM10" s="82">
        <f t="shared" si="6"/>
        <v>0</v>
      </c>
      <c r="PN10" s="82">
        <f t="shared" si="6"/>
        <v>0</v>
      </c>
      <c r="PO10" s="82">
        <f t="shared" si="6"/>
        <v>0</v>
      </c>
      <c r="PP10" s="82">
        <f t="shared" si="6"/>
        <v>0</v>
      </c>
      <c r="PQ10" s="82">
        <f t="shared" si="6"/>
        <v>0</v>
      </c>
      <c r="PR10" s="82">
        <f t="shared" si="6"/>
        <v>0</v>
      </c>
      <c r="PS10" s="82">
        <f t="shared" si="6"/>
        <v>0</v>
      </c>
      <c r="PT10" s="82">
        <f t="shared" si="6"/>
        <v>0</v>
      </c>
      <c r="PU10" s="82">
        <f t="shared" si="6"/>
        <v>0</v>
      </c>
      <c r="PV10" s="82">
        <f t="shared" si="6"/>
        <v>0</v>
      </c>
      <c r="PW10" s="82">
        <f t="shared" si="6"/>
        <v>0</v>
      </c>
      <c r="PX10" s="82">
        <f t="shared" si="6"/>
        <v>0</v>
      </c>
      <c r="PY10" s="82">
        <f t="shared" si="6"/>
        <v>0</v>
      </c>
      <c r="PZ10" s="82">
        <f t="shared" si="6"/>
        <v>0</v>
      </c>
      <c r="QA10" s="82">
        <f t="shared" si="6"/>
        <v>0</v>
      </c>
      <c r="QB10" s="82">
        <f t="shared" si="6"/>
        <v>0</v>
      </c>
      <c r="QC10" s="82">
        <f t="shared" si="6"/>
        <v>0</v>
      </c>
      <c r="QD10" s="82">
        <f t="shared" si="6"/>
        <v>0</v>
      </c>
      <c r="QE10" s="82">
        <f t="shared" si="6"/>
        <v>0</v>
      </c>
      <c r="QF10" s="82">
        <f t="shared" si="6"/>
        <v>0</v>
      </c>
      <c r="QG10" s="82">
        <f t="shared" si="6"/>
        <v>0</v>
      </c>
      <c r="QH10" s="82">
        <f t="shared" si="6"/>
        <v>0</v>
      </c>
      <c r="QI10" s="82">
        <f t="shared" si="6"/>
        <v>0</v>
      </c>
      <c r="QJ10" s="82">
        <f t="shared" si="6"/>
        <v>0</v>
      </c>
      <c r="QK10" s="82">
        <f t="shared" ref="QK10:SJ10" si="7">SUM(QK12:QK98)</f>
        <v>0</v>
      </c>
      <c r="QL10" s="82">
        <f t="shared" si="7"/>
        <v>0</v>
      </c>
      <c r="QM10" s="82">
        <f t="shared" si="7"/>
        <v>0</v>
      </c>
      <c r="QN10" s="82">
        <f t="shared" si="7"/>
        <v>0</v>
      </c>
      <c r="QO10" s="82">
        <f t="shared" si="7"/>
        <v>0</v>
      </c>
      <c r="QP10" s="82">
        <f t="shared" si="7"/>
        <v>0</v>
      </c>
      <c r="QQ10" s="82">
        <f t="shared" si="7"/>
        <v>0</v>
      </c>
      <c r="QR10" s="82">
        <f t="shared" si="7"/>
        <v>0</v>
      </c>
      <c r="QS10" s="82">
        <f t="shared" si="7"/>
        <v>0</v>
      </c>
      <c r="QT10" s="82">
        <f t="shared" si="7"/>
        <v>0</v>
      </c>
      <c r="QU10" s="82">
        <f t="shared" si="7"/>
        <v>0</v>
      </c>
      <c r="QV10" s="82">
        <f t="shared" si="7"/>
        <v>0</v>
      </c>
      <c r="QW10" s="82">
        <f t="shared" si="7"/>
        <v>0</v>
      </c>
      <c r="QX10" s="82">
        <f t="shared" si="7"/>
        <v>0</v>
      </c>
      <c r="QY10" s="82">
        <f t="shared" si="7"/>
        <v>0</v>
      </c>
      <c r="QZ10" s="82">
        <f t="shared" si="7"/>
        <v>0</v>
      </c>
      <c r="RA10" s="82">
        <f t="shared" si="7"/>
        <v>0</v>
      </c>
      <c r="RB10" s="82">
        <f t="shared" si="7"/>
        <v>0</v>
      </c>
      <c r="RC10" s="82">
        <f t="shared" si="7"/>
        <v>0</v>
      </c>
      <c r="RD10" s="82">
        <f t="shared" si="7"/>
        <v>0</v>
      </c>
      <c r="RE10" s="82">
        <f t="shared" si="7"/>
        <v>0</v>
      </c>
      <c r="RF10" s="82">
        <f t="shared" si="7"/>
        <v>0</v>
      </c>
      <c r="RG10" s="82">
        <f t="shared" si="7"/>
        <v>0</v>
      </c>
      <c r="RH10" s="82">
        <f t="shared" si="7"/>
        <v>0</v>
      </c>
      <c r="RI10" s="82">
        <f t="shared" si="7"/>
        <v>0</v>
      </c>
      <c r="RJ10" s="82">
        <f t="shared" si="7"/>
        <v>0</v>
      </c>
      <c r="RK10" s="82">
        <f t="shared" si="7"/>
        <v>0</v>
      </c>
      <c r="RL10" s="82">
        <f t="shared" si="7"/>
        <v>0</v>
      </c>
      <c r="RM10" s="82">
        <f t="shared" si="7"/>
        <v>0</v>
      </c>
      <c r="RN10" s="82">
        <f t="shared" si="7"/>
        <v>0</v>
      </c>
      <c r="RO10" s="82">
        <f t="shared" si="7"/>
        <v>0</v>
      </c>
      <c r="RP10" s="82">
        <f t="shared" si="7"/>
        <v>0</v>
      </c>
      <c r="RQ10" s="82">
        <f t="shared" si="7"/>
        <v>0</v>
      </c>
      <c r="RR10" s="82">
        <f t="shared" si="7"/>
        <v>0</v>
      </c>
      <c r="RS10" s="82">
        <f t="shared" si="7"/>
        <v>0</v>
      </c>
      <c r="RT10" s="82">
        <f t="shared" si="7"/>
        <v>0</v>
      </c>
      <c r="RU10" s="82">
        <f t="shared" si="7"/>
        <v>0</v>
      </c>
      <c r="RV10" s="82">
        <f t="shared" si="7"/>
        <v>0</v>
      </c>
      <c r="RW10" s="82">
        <f t="shared" si="7"/>
        <v>0</v>
      </c>
      <c r="RX10" s="82">
        <f t="shared" si="7"/>
        <v>0</v>
      </c>
      <c r="RY10" s="82">
        <f t="shared" si="7"/>
        <v>0</v>
      </c>
      <c r="RZ10" s="82">
        <f t="shared" si="7"/>
        <v>0</v>
      </c>
      <c r="SA10" s="82">
        <f t="shared" si="7"/>
        <v>0</v>
      </c>
      <c r="SB10" s="82">
        <f t="shared" si="7"/>
        <v>0</v>
      </c>
      <c r="SC10" s="82">
        <f t="shared" si="7"/>
        <v>0</v>
      </c>
      <c r="SD10" s="82">
        <f t="shared" si="7"/>
        <v>0</v>
      </c>
      <c r="SE10" s="82">
        <f t="shared" si="7"/>
        <v>0</v>
      </c>
      <c r="SF10" s="82">
        <f t="shared" si="7"/>
        <v>0</v>
      </c>
      <c r="SG10" s="82">
        <f t="shared" si="7"/>
        <v>0</v>
      </c>
      <c r="SH10" s="82">
        <f t="shared" si="7"/>
        <v>0</v>
      </c>
      <c r="SI10" s="82">
        <f t="shared" si="7"/>
        <v>0</v>
      </c>
      <c r="SJ10" s="105">
        <f t="shared" si="7"/>
        <v>0</v>
      </c>
    </row>
    <row r="11" spans="1:504" x14ac:dyDescent="0.25">
      <c r="B11" s="109" t="s">
        <v>273</v>
      </c>
      <c r="C11" s="84" t="s">
        <v>188</v>
      </c>
      <c r="D11" s="87">
        <f>SUM(D12:D98)</f>
        <v>0</v>
      </c>
      <c r="E11" s="87" t="s">
        <v>342</v>
      </c>
      <c r="F11" s="86" t="s">
        <v>343</v>
      </c>
      <c r="G11" s="87" t="s">
        <v>344</v>
      </c>
      <c r="H11" s="86" t="s">
        <v>345</v>
      </c>
      <c r="I11" s="87" t="s">
        <v>346</v>
      </c>
      <c r="J11" s="86" t="s">
        <v>347</v>
      </c>
      <c r="K11" s="87" t="s">
        <v>348</v>
      </c>
      <c r="L11" s="86" t="s">
        <v>349</v>
      </c>
      <c r="M11" s="87" t="s">
        <v>350</v>
      </c>
      <c r="N11" s="86" t="s">
        <v>351</v>
      </c>
      <c r="O11" s="87" t="s">
        <v>352</v>
      </c>
      <c r="P11" s="86" t="s">
        <v>353</v>
      </c>
      <c r="Q11" s="87" t="s">
        <v>354</v>
      </c>
      <c r="R11" s="86" t="s">
        <v>355</v>
      </c>
      <c r="S11" s="87" t="s">
        <v>356</v>
      </c>
      <c r="T11" s="86" t="s">
        <v>357</v>
      </c>
      <c r="U11" s="87" t="s">
        <v>358</v>
      </c>
      <c r="V11" s="86" t="s">
        <v>359</v>
      </c>
      <c r="W11" s="87" t="s">
        <v>360</v>
      </c>
      <c r="X11" s="86" t="s">
        <v>361</v>
      </c>
      <c r="Y11" s="87" t="s">
        <v>362</v>
      </c>
      <c r="Z11" s="86" t="s">
        <v>363</v>
      </c>
      <c r="AA11" s="87" t="s">
        <v>364</v>
      </c>
      <c r="AB11" s="86" t="s">
        <v>365</v>
      </c>
      <c r="AC11" s="87" t="s">
        <v>366</v>
      </c>
      <c r="AD11" s="86" t="s">
        <v>367</v>
      </c>
      <c r="AE11" s="87" t="s">
        <v>368</v>
      </c>
      <c r="AF11" s="86" t="s">
        <v>369</v>
      </c>
      <c r="AG11" s="87" t="s">
        <v>370</v>
      </c>
      <c r="AH11" s="86" t="s">
        <v>371</v>
      </c>
      <c r="AI11" s="87" t="s">
        <v>372</v>
      </c>
      <c r="AJ11" s="86" t="s">
        <v>373</v>
      </c>
      <c r="AK11" s="87" t="s">
        <v>374</v>
      </c>
      <c r="AL11" s="86" t="s">
        <v>375</v>
      </c>
      <c r="AM11" s="87" t="s">
        <v>376</v>
      </c>
      <c r="AN11" s="86" t="s">
        <v>377</v>
      </c>
      <c r="AO11" s="87" t="s">
        <v>378</v>
      </c>
      <c r="AP11" s="86" t="s">
        <v>379</v>
      </c>
      <c r="AQ11" s="87" t="s">
        <v>380</v>
      </c>
      <c r="AR11" s="86" t="s">
        <v>381</v>
      </c>
      <c r="AS11" s="87" t="s">
        <v>382</v>
      </c>
      <c r="AT11" s="86" t="s">
        <v>383</v>
      </c>
      <c r="AU11" s="87" t="s">
        <v>384</v>
      </c>
      <c r="AV11" s="86" t="s">
        <v>385</v>
      </c>
      <c r="AW11" s="87" t="s">
        <v>386</v>
      </c>
      <c r="AX11" s="86" t="s">
        <v>387</v>
      </c>
      <c r="AY11" s="87" t="s">
        <v>388</v>
      </c>
      <c r="AZ11" s="86" t="s">
        <v>389</v>
      </c>
      <c r="BA11" s="87" t="s">
        <v>390</v>
      </c>
      <c r="BB11" s="86" t="s">
        <v>391</v>
      </c>
      <c r="BC11" s="87" t="s">
        <v>392</v>
      </c>
      <c r="BD11" s="86" t="s">
        <v>393</v>
      </c>
      <c r="BE11" s="87" t="s">
        <v>394</v>
      </c>
      <c r="BF11" s="86" t="s">
        <v>395</v>
      </c>
      <c r="BG11" s="87" t="s">
        <v>396</v>
      </c>
      <c r="BH11" s="86" t="s">
        <v>397</v>
      </c>
      <c r="BI11" s="87" t="s">
        <v>398</v>
      </c>
      <c r="BJ11" s="86" t="s">
        <v>399</v>
      </c>
      <c r="BK11" s="87" t="s">
        <v>400</v>
      </c>
      <c r="BL11" s="86" t="s">
        <v>401</v>
      </c>
      <c r="BM11" s="87" t="s">
        <v>402</v>
      </c>
      <c r="BN11" s="86" t="s">
        <v>403</v>
      </c>
      <c r="BO11" s="87" t="s">
        <v>404</v>
      </c>
      <c r="BP11" s="86" t="s">
        <v>405</v>
      </c>
      <c r="BQ11" s="87" t="s">
        <v>406</v>
      </c>
      <c r="BR11" s="86" t="s">
        <v>407</v>
      </c>
      <c r="BS11" s="87" t="s">
        <v>408</v>
      </c>
      <c r="BT11" s="86" t="s">
        <v>409</v>
      </c>
      <c r="BU11" s="87" t="s">
        <v>410</v>
      </c>
      <c r="BV11" s="86" t="s">
        <v>411</v>
      </c>
      <c r="BW11" s="87" t="s">
        <v>412</v>
      </c>
      <c r="BX11" s="86" t="s">
        <v>413</v>
      </c>
      <c r="BY11" s="87" t="s">
        <v>414</v>
      </c>
      <c r="BZ11" s="86" t="s">
        <v>415</v>
      </c>
      <c r="CA11" s="87" t="s">
        <v>416</v>
      </c>
      <c r="CB11" s="86" t="s">
        <v>417</v>
      </c>
      <c r="CC11" s="87" t="s">
        <v>418</v>
      </c>
      <c r="CD11" s="86" t="s">
        <v>419</v>
      </c>
      <c r="CE11" s="87" t="s">
        <v>420</v>
      </c>
      <c r="CF11" s="86" t="s">
        <v>421</v>
      </c>
      <c r="CG11" s="87" t="s">
        <v>422</v>
      </c>
      <c r="CH11" s="86" t="s">
        <v>423</v>
      </c>
      <c r="CI11" s="87" t="s">
        <v>424</v>
      </c>
      <c r="CJ11" s="86" t="s">
        <v>425</v>
      </c>
      <c r="CK11" s="87" t="s">
        <v>426</v>
      </c>
      <c r="CL11" s="86" t="s">
        <v>427</v>
      </c>
      <c r="CM11" s="87" t="s">
        <v>428</v>
      </c>
      <c r="CN11" s="86" t="s">
        <v>429</v>
      </c>
      <c r="CO11" s="87" t="s">
        <v>430</v>
      </c>
      <c r="CP11" s="86" t="s">
        <v>431</v>
      </c>
      <c r="CQ11" s="87" t="s">
        <v>432</v>
      </c>
      <c r="CR11" s="86" t="s">
        <v>433</v>
      </c>
      <c r="CS11" s="87" t="s">
        <v>434</v>
      </c>
      <c r="CT11" s="86" t="s">
        <v>435</v>
      </c>
      <c r="CU11" s="87" t="s">
        <v>436</v>
      </c>
      <c r="CV11" s="86" t="s">
        <v>437</v>
      </c>
      <c r="CW11" s="87" t="s">
        <v>438</v>
      </c>
      <c r="CX11" s="86" t="s">
        <v>439</v>
      </c>
      <c r="CY11" s="87" t="s">
        <v>440</v>
      </c>
      <c r="CZ11" s="86" t="s">
        <v>441</v>
      </c>
      <c r="DA11" s="86" t="s">
        <v>452</v>
      </c>
      <c r="DB11" s="87" t="s">
        <v>453</v>
      </c>
      <c r="DC11" s="86" t="s">
        <v>454</v>
      </c>
      <c r="DD11" s="86" t="s">
        <v>455</v>
      </c>
      <c r="DE11" s="87" t="s">
        <v>456</v>
      </c>
      <c r="DF11" s="86" t="s">
        <v>457</v>
      </c>
      <c r="DG11" s="86" t="s">
        <v>458</v>
      </c>
      <c r="DH11" s="87" t="s">
        <v>459</v>
      </c>
      <c r="DI11" s="86" t="s">
        <v>460</v>
      </c>
      <c r="DJ11" s="86" t="s">
        <v>461</v>
      </c>
      <c r="DK11" s="87" t="s">
        <v>462</v>
      </c>
      <c r="DL11" s="86" t="s">
        <v>463</v>
      </c>
      <c r="DM11" s="86" t="s">
        <v>464</v>
      </c>
      <c r="DN11" s="87" t="s">
        <v>465</v>
      </c>
      <c r="DO11" s="86" t="s">
        <v>466</v>
      </c>
      <c r="DP11" s="86" t="s">
        <v>467</v>
      </c>
      <c r="DQ11" s="87" t="s">
        <v>468</v>
      </c>
      <c r="DR11" s="86" t="s">
        <v>469</v>
      </c>
      <c r="DS11" s="86" t="s">
        <v>470</v>
      </c>
      <c r="DT11" s="87" t="s">
        <v>471</v>
      </c>
      <c r="DU11" s="86" t="s">
        <v>472</v>
      </c>
      <c r="DV11" s="86" t="s">
        <v>473</v>
      </c>
      <c r="DW11" s="87" t="s">
        <v>474</v>
      </c>
      <c r="DX11" s="86" t="s">
        <v>475</v>
      </c>
      <c r="DY11" s="86" t="s">
        <v>476</v>
      </c>
      <c r="DZ11" s="87" t="s">
        <v>477</v>
      </c>
      <c r="EA11" s="86" t="s">
        <v>478</v>
      </c>
      <c r="EB11" s="86" t="s">
        <v>479</v>
      </c>
      <c r="EC11" s="87" t="s">
        <v>480</v>
      </c>
      <c r="ED11" s="86" t="s">
        <v>481</v>
      </c>
      <c r="EE11" s="86" t="s">
        <v>482</v>
      </c>
      <c r="EF11" s="87" t="s">
        <v>483</v>
      </c>
      <c r="EG11" s="86" t="s">
        <v>484</v>
      </c>
      <c r="EH11" s="86" t="s">
        <v>485</v>
      </c>
      <c r="EI11" s="87" t="s">
        <v>486</v>
      </c>
      <c r="EJ11" s="86" t="s">
        <v>487</v>
      </c>
      <c r="EK11" s="86" t="s">
        <v>488</v>
      </c>
      <c r="EL11" s="87" t="s">
        <v>489</v>
      </c>
      <c r="EM11" s="86" t="s">
        <v>490</v>
      </c>
      <c r="EN11" s="86" t="s">
        <v>491</v>
      </c>
      <c r="EO11" s="87" t="s">
        <v>492</v>
      </c>
      <c r="EP11" s="86" t="s">
        <v>493</v>
      </c>
      <c r="EQ11" s="86" t="s">
        <v>494</v>
      </c>
      <c r="ER11" s="87" t="s">
        <v>495</v>
      </c>
      <c r="ES11" s="86" t="s">
        <v>496</v>
      </c>
      <c r="ET11" s="86" t="s">
        <v>497</v>
      </c>
      <c r="EU11" s="87" t="s">
        <v>498</v>
      </c>
      <c r="EV11" s="86" t="s">
        <v>499</v>
      </c>
      <c r="EW11" s="86" t="s">
        <v>500</v>
      </c>
      <c r="EX11" s="87" t="s">
        <v>501</v>
      </c>
      <c r="EY11" s="86" t="s">
        <v>502</v>
      </c>
      <c r="EZ11" s="86" t="s">
        <v>503</v>
      </c>
      <c r="FA11" s="87" t="s">
        <v>504</v>
      </c>
      <c r="FB11" s="86" t="s">
        <v>505</v>
      </c>
      <c r="FC11" s="86" t="s">
        <v>506</v>
      </c>
      <c r="FD11" s="87" t="s">
        <v>507</v>
      </c>
      <c r="FE11" s="86" t="s">
        <v>508</v>
      </c>
      <c r="FF11" s="86" t="s">
        <v>509</v>
      </c>
      <c r="FG11" s="87" t="s">
        <v>510</v>
      </c>
      <c r="FH11" s="86" t="s">
        <v>511</v>
      </c>
      <c r="FI11" s="86" t="s">
        <v>512</v>
      </c>
      <c r="FJ11" s="87" t="s">
        <v>513</v>
      </c>
      <c r="FK11" s="86" t="s">
        <v>514</v>
      </c>
      <c r="FL11" s="86" t="s">
        <v>515</v>
      </c>
      <c r="FM11" s="87" t="s">
        <v>516</v>
      </c>
      <c r="FN11" s="86" t="s">
        <v>517</v>
      </c>
      <c r="FO11" s="86" t="s">
        <v>518</v>
      </c>
      <c r="FP11" s="87" t="s">
        <v>519</v>
      </c>
      <c r="FQ11" s="86" t="s">
        <v>520</v>
      </c>
      <c r="FR11" s="86" t="s">
        <v>521</v>
      </c>
      <c r="FS11" s="87" t="s">
        <v>522</v>
      </c>
      <c r="FT11" s="86" t="s">
        <v>523</v>
      </c>
      <c r="FU11" s="86" t="s">
        <v>524</v>
      </c>
      <c r="FV11" s="87" t="s">
        <v>525</v>
      </c>
      <c r="FW11" s="86" t="s">
        <v>526</v>
      </c>
      <c r="FX11" s="86" t="s">
        <v>527</v>
      </c>
      <c r="FY11" s="87" t="s">
        <v>528</v>
      </c>
      <c r="FZ11" s="86" t="s">
        <v>529</v>
      </c>
      <c r="GA11" s="86" t="s">
        <v>530</v>
      </c>
      <c r="GB11" s="87" t="s">
        <v>531</v>
      </c>
      <c r="GC11" s="86" t="s">
        <v>532</v>
      </c>
      <c r="GD11" s="86" t="s">
        <v>533</v>
      </c>
      <c r="GE11" s="87" t="s">
        <v>534</v>
      </c>
      <c r="GF11" s="86" t="s">
        <v>535</v>
      </c>
      <c r="GG11" s="86" t="s">
        <v>536</v>
      </c>
      <c r="GH11" s="87" t="s">
        <v>537</v>
      </c>
      <c r="GI11" s="86" t="s">
        <v>538</v>
      </c>
      <c r="GJ11" s="86" t="s">
        <v>539</v>
      </c>
      <c r="GK11" s="87" t="s">
        <v>540</v>
      </c>
      <c r="GL11" s="86" t="s">
        <v>541</v>
      </c>
      <c r="GM11" s="86" t="s">
        <v>542</v>
      </c>
      <c r="GN11" s="87" t="s">
        <v>543</v>
      </c>
      <c r="GO11" s="86" t="s">
        <v>544</v>
      </c>
      <c r="GP11" s="86" t="s">
        <v>545</v>
      </c>
      <c r="GQ11" s="87" t="s">
        <v>546</v>
      </c>
      <c r="GR11" s="86" t="s">
        <v>547</v>
      </c>
      <c r="GS11" s="86" t="s">
        <v>548</v>
      </c>
      <c r="GT11" s="87" t="s">
        <v>549</v>
      </c>
      <c r="GU11" s="86" t="s">
        <v>550</v>
      </c>
      <c r="GV11" s="86" t="s">
        <v>551</v>
      </c>
      <c r="GW11" s="87" t="s">
        <v>552</v>
      </c>
      <c r="GX11" s="86" t="s">
        <v>553</v>
      </c>
      <c r="GY11" s="86" t="s">
        <v>554</v>
      </c>
      <c r="GZ11" s="87" t="s">
        <v>555</v>
      </c>
      <c r="HA11" s="86" t="s">
        <v>556</v>
      </c>
      <c r="HB11" s="86" t="s">
        <v>557</v>
      </c>
      <c r="HC11" s="87" t="s">
        <v>558</v>
      </c>
      <c r="HD11" s="86" t="s">
        <v>559</v>
      </c>
      <c r="HE11" s="86" t="s">
        <v>560</v>
      </c>
      <c r="HF11" s="87" t="s">
        <v>561</v>
      </c>
      <c r="HG11" s="86" t="s">
        <v>562</v>
      </c>
      <c r="HH11" s="86" t="s">
        <v>563</v>
      </c>
      <c r="HI11" s="87" t="s">
        <v>564</v>
      </c>
      <c r="HJ11" s="86" t="s">
        <v>565</v>
      </c>
      <c r="HK11" s="86" t="s">
        <v>566</v>
      </c>
      <c r="HL11" s="87" t="s">
        <v>567</v>
      </c>
      <c r="HM11" s="86" t="s">
        <v>568</v>
      </c>
      <c r="HN11" s="86" t="s">
        <v>569</v>
      </c>
      <c r="HO11" s="87" t="s">
        <v>570</v>
      </c>
      <c r="HP11" s="86" t="s">
        <v>571</v>
      </c>
      <c r="HQ11" s="86" t="s">
        <v>572</v>
      </c>
      <c r="HR11" s="87" t="s">
        <v>573</v>
      </c>
      <c r="HS11" s="86" t="s">
        <v>574</v>
      </c>
      <c r="HT11" s="86" t="s">
        <v>575</v>
      </c>
      <c r="HU11" s="87" t="s">
        <v>576</v>
      </c>
      <c r="HV11" s="86" t="s">
        <v>577</v>
      </c>
      <c r="HW11" s="86" t="s">
        <v>578</v>
      </c>
      <c r="HX11" s="87" t="s">
        <v>579</v>
      </c>
      <c r="HY11" s="86" t="s">
        <v>580</v>
      </c>
      <c r="HZ11" s="86" t="s">
        <v>581</v>
      </c>
      <c r="IA11" s="87" t="s">
        <v>582</v>
      </c>
      <c r="IB11" s="86" t="s">
        <v>583</v>
      </c>
      <c r="IC11" s="86" t="s">
        <v>584</v>
      </c>
      <c r="ID11" s="87" t="s">
        <v>585</v>
      </c>
      <c r="IE11" s="86" t="s">
        <v>586</v>
      </c>
      <c r="IF11" s="86" t="s">
        <v>587</v>
      </c>
      <c r="IG11" s="87" t="s">
        <v>588</v>
      </c>
      <c r="IH11" s="86" t="s">
        <v>589</v>
      </c>
      <c r="II11" s="86" t="s">
        <v>590</v>
      </c>
      <c r="IJ11" s="87" t="s">
        <v>591</v>
      </c>
      <c r="IK11" s="86" t="s">
        <v>592</v>
      </c>
      <c r="IL11" s="86" t="s">
        <v>593</v>
      </c>
      <c r="IM11" s="87" t="s">
        <v>594</v>
      </c>
      <c r="IN11" s="86" t="s">
        <v>595</v>
      </c>
      <c r="IO11" s="86" t="s">
        <v>596</v>
      </c>
      <c r="IP11" s="87" t="s">
        <v>597</v>
      </c>
      <c r="IQ11" s="86" t="s">
        <v>598</v>
      </c>
      <c r="IR11" s="86" t="s">
        <v>599</v>
      </c>
      <c r="IS11" s="87" t="s">
        <v>600</v>
      </c>
      <c r="IT11" s="86" t="s">
        <v>601</v>
      </c>
      <c r="IU11" s="86" t="s">
        <v>602</v>
      </c>
      <c r="IV11" s="87" t="s">
        <v>603</v>
      </c>
      <c r="IW11" s="86" t="s">
        <v>604</v>
      </c>
      <c r="IX11" s="86" t="s">
        <v>605</v>
      </c>
      <c r="IY11" s="87" t="s">
        <v>606</v>
      </c>
      <c r="IZ11" s="86" t="s">
        <v>607</v>
      </c>
      <c r="JA11" s="86" t="s">
        <v>608</v>
      </c>
      <c r="JB11" s="87" t="s">
        <v>609</v>
      </c>
      <c r="JC11" s="86" t="s">
        <v>610</v>
      </c>
      <c r="JD11" s="86" t="s">
        <v>611</v>
      </c>
      <c r="JE11" s="87" t="s">
        <v>612</v>
      </c>
      <c r="JF11" s="86" t="s">
        <v>613</v>
      </c>
      <c r="JG11" s="86" t="s">
        <v>614</v>
      </c>
      <c r="JH11" s="87" t="s">
        <v>615</v>
      </c>
      <c r="JI11" s="86" t="s">
        <v>616</v>
      </c>
      <c r="JJ11" s="86" t="s">
        <v>617</v>
      </c>
      <c r="JK11" s="87" t="s">
        <v>618</v>
      </c>
      <c r="JL11" s="86" t="s">
        <v>619</v>
      </c>
      <c r="JM11" s="86" t="s">
        <v>620</v>
      </c>
      <c r="JN11" s="87" t="s">
        <v>621</v>
      </c>
      <c r="JO11" s="86" t="s">
        <v>622</v>
      </c>
      <c r="JP11" s="86" t="s">
        <v>623</v>
      </c>
      <c r="JQ11" s="87" t="s">
        <v>624</v>
      </c>
      <c r="JR11" s="86" t="s">
        <v>625</v>
      </c>
      <c r="JS11" s="86" t="s">
        <v>626</v>
      </c>
      <c r="JT11" s="87" t="s">
        <v>627</v>
      </c>
      <c r="JU11" s="86" t="s">
        <v>628</v>
      </c>
      <c r="JV11" s="86" t="s">
        <v>629</v>
      </c>
      <c r="JW11" s="87" t="s">
        <v>630</v>
      </c>
      <c r="JX11" s="86" t="s">
        <v>631</v>
      </c>
      <c r="JY11" s="86" t="s">
        <v>632</v>
      </c>
      <c r="JZ11" s="87" t="s">
        <v>633</v>
      </c>
      <c r="KA11" s="86" t="s">
        <v>634</v>
      </c>
      <c r="KB11" s="86" t="s">
        <v>635</v>
      </c>
      <c r="KC11" s="87" t="s">
        <v>636</v>
      </c>
      <c r="KD11" s="86" t="s">
        <v>637</v>
      </c>
      <c r="KE11" s="86" t="s">
        <v>638</v>
      </c>
      <c r="KF11" s="87" t="s">
        <v>639</v>
      </c>
      <c r="KG11" s="86" t="s">
        <v>640</v>
      </c>
      <c r="KH11" s="86" t="s">
        <v>641</v>
      </c>
      <c r="KI11" s="87" t="s">
        <v>642</v>
      </c>
      <c r="KJ11" s="86" t="s">
        <v>643</v>
      </c>
      <c r="KK11" s="86" t="s">
        <v>644</v>
      </c>
      <c r="KL11" s="87" t="s">
        <v>645</v>
      </c>
      <c r="KM11" s="86" t="s">
        <v>646</v>
      </c>
      <c r="KN11" s="86" t="s">
        <v>647</v>
      </c>
      <c r="KO11" s="87" t="s">
        <v>648</v>
      </c>
      <c r="KP11" s="86" t="s">
        <v>649</v>
      </c>
      <c r="KQ11" s="86" t="s">
        <v>650</v>
      </c>
      <c r="KR11" s="87" t="s">
        <v>651</v>
      </c>
      <c r="KS11" s="86" t="s">
        <v>652</v>
      </c>
      <c r="KT11" s="86" t="s">
        <v>653</v>
      </c>
      <c r="KU11" s="87" t="s">
        <v>654</v>
      </c>
      <c r="KV11" s="86" t="s">
        <v>655</v>
      </c>
      <c r="KW11" s="86" t="s">
        <v>656</v>
      </c>
      <c r="KX11" s="87" t="s">
        <v>657</v>
      </c>
      <c r="KY11" s="86" t="s">
        <v>658</v>
      </c>
      <c r="KZ11" s="86" t="s">
        <v>659</v>
      </c>
      <c r="LA11" s="87" t="s">
        <v>660</v>
      </c>
      <c r="LB11" s="86" t="s">
        <v>661</v>
      </c>
      <c r="LC11" s="86" t="s">
        <v>662</v>
      </c>
      <c r="LD11" s="87" t="s">
        <v>663</v>
      </c>
      <c r="LE11" s="86" t="s">
        <v>664</v>
      </c>
      <c r="LF11" s="86" t="s">
        <v>665</v>
      </c>
      <c r="LG11" s="87" t="s">
        <v>666</v>
      </c>
      <c r="LH11" s="86" t="s">
        <v>667</v>
      </c>
      <c r="LI11" s="86" t="s">
        <v>668</v>
      </c>
      <c r="LJ11" s="87" t="s">
        <v>669</v>
      </c>
      <c r="LK11" s="86" t="s">
        <v>670</v>
      </c>
      <c r="LL11" s="86" t="s">
        <v>671</v>
      </c>
      <c r="LM11" s="87" t="s">
        <v>672</v>
      </c>
      <c r="LN11" s="86" t="s">
        <v>673</v>
      </c>
      <c r="LO11" s="86" t="s">
        <v>674</v>
      </c>
      <c r="LP11" s="87" t="s">
        <v>675</v>
      </c>
      <c r="LQ11" s="86" t="s">
        <v>676</v>
      </c>
      <c r="LR11" s="86" t="s">
        <v>677</v>
      </c>
      <c r="LS11" s="87" t="s">
        <v>678</v>
      </c>
      <c r="LT11" s="86" t="s">
        <v>679</v>
      </c>
      <c r="LU11" s="86" t="s">
        <v>680</v>
      </c>
      <c r="LV11" s="87" t="s">
        <v>681</v>
      </c>
      <c r="LW11" s="86" t="s">
        <v>682</v>
      </c>
      <c r="LX11" s="86" t="s">
        <v>683</v>
      </c>
      <c r="LY11" s="87" t="s">
        <v>684</v>
      </c>
      <c r="LZ11" s="86" t="s">
        <v>685</v>
      </c>
      <c r="MA11" s="86" t="s">
        <v>686</v>
      </c>
      <c r="MB11" s="87" t="s">
        <v>687</v>
      </c>
      <c r="MC11" s="86" t="s">
        <v>688</v>
      </c>
      <c r="MD11" s="86" t="s">
        <v>689</v>
      </c>
      <c r="ME11" s="87" t="s">
        <v>690</v>
      </c>
      <c r="MF11" s="86" t="s">
        <v>691</v>
      </c>
      <c r="MG11" s="86" t="s">
        <v>692</v>
      </c>
      <c r="MH11" s="87" t="s">
        <v>693</v>
      </c>
      <c r="MI11" s="86" t="s">
        <v>694</v>
      </c>
      <c r="MJ11" s="86" t="s">
        <v>695</v>
      </c>
      <c r="MK11" s="87" t="s">
        <v>696</v>
      </c>
      <c r="ML11" s="86" t="s">
        <v>697</v>
      </c>
      <c r="MM11" s="86" t="s">
        <v>698</v>
      </c>
      <c r="MN11" s="87" t="s">
        <v>699</v>
      </c>
      <c r="MO11" s="86" t="s">
        <v>700</v>
      </c>
      <c r="MP11" s="86" t="s">
        <v>701</v>
      </c>
      <c r="MQ11" s="87" t="s">
        <v>702</v>
      </c>
      <c r="MR11" s="86" t="s">
        <v>703</v>
      </c>
      <c r="MS11" s="86" t="s">
        <v>704</v>
      </c>
      <c r="MT11" s="87" t="s">
        <v>705</v>
      </c>
      <c r="MU11" s="86" t="s">
        <v>706</v>
      </c>
      <c r="MV11" s="86" t="s">
        <v>707</v>
      </c>
      <c r="MW11" s="87" t="s">
        <v>708</v>
      </c>
      <c r="MX11" s="86" t="s">
        <v>709</v>
      </c>
      <c r="MY11" s="86" t="s">
        <v>710</v>
      </c>
      <c r="MZ11" s="87" t="s">
        <v>711</v>
      </c>
      <c r="NA11" s="86" t="s">
        <v>712</v>
      </c>
      <c r="NB11" s="86" t="s">
        <v>713</v>
      </c>
      <c r="NC11" s="87" t="s">
        <v>714</v>
      </c>
      <c r="ND11" s="86" t="s">
        <v>715</v>
      </c>
      <c r="NE11" s="86" t="s">
        <v>716</v>
      </c>
      <c r="NF11" s="87" t="s">
        <v>717</v>
      </c>
      <c r="NG11" s="86" t="s">
        <v>718</v>
      </c>
      <c r="NH11" s="86" t="s">
        <v>719</v>
      </c>
      <c r="NI11" s="87" t="s">
        <v>720</v>
      </c>
      <c r="NJ11" s="86" t="s">
        <v>721</v>
      </c>
      <c r="NK11" s="86" t="s">
        <v>722</v>
      </c>
      <c r="NL11" s="87" t="s">
        <v>723</v>
      </c>
      <c r="NM11" s="86" t="s">
        <v>724</v>
      </c>
      <c r="NN11" s="86" t="s">
        <v>725</v>
      </c>
      <c r="NO11" s="87" t="s">
        <v>726</v>
      </c>
      <c r="NP11" s="86" t="s">
        <v>727</v>
      </c>
      <c r="NQ11" s="86" t="s">
        <v>728</v>
      </c>
      <c r="NR11" s="87" t="s">
        <v>729</v>
      </c>
      <c r="NS11" s="86" t="s">
        <v>730</v>
      </c>
      <c r="NT11" s="86" t="s">
        <v>731</v>
      </c>
      <c r="NU11" s="87" t="s">
        <v>732</v>
      </c>
      <c r="NV11" s="86" t="s">
        <v>733</v>
      </c>
      <c r="NW11" s="86" t="s">
        <v>734</v>
      </c>
      <c r="NX11" s="87" t="s">
        <v>735</v>
      </c>
      <c r="NY11" s="86" t="s">
        <v>736</v>
      </c>
      <c r="NZ11" s="86" t="s">
        <v>737</v>
      </c>
      <c r="OA11" s="87" t="s">
        <v>738</v>
      </c>
      <c r="OB11" s="86" t="s">
        <v>739</v>
      </c>
      <c r="OC11" s="86" t="s">
        <v>740</v>
      </c>
      <c r="OD11" s="87" t="s">
        <v>741</v>
      </c>
      <c r="OE11" s="86" t="s">
        <v>742</v>
      </c>
      <c r="OF11" s="86" t="s">
        <v>743</v>
      </c>
      <c r="OG11" s="87" t="s">
        <v>744</v>
      </c>
      <c r="OH11" s="86" t="s">
        <v>745</v>
      </c>
      <c r="OI11" s="86" t="s">
        <v>746</v>
      </c>
      <c r="OJ11" s="87" t="s">
        <v>747</v>
      </c>
      <c r="OK11" s="86" t="s">
        <v>748</v>
      </c>
      <c r="OL11" s="86" t="s">
        <v>749</v>
      </c>
      <c r="OM11" s="87" t="s">
        <v>750</v>
      </c>
      <c r="ON11" s="86" t="s">
        <v>751</v>
      </c>
      <c r="OO11" s="86" t="s">
        <v>752</v>
      </c>
      <c r="OP11" s="87" t="s">
        <v>753</v>
      </c>
      <c r="OQ11" s="86" t="s">
        <v>754</v>
      </c>
      <c r="OR11" s="86" t="s">
        <v>755</v>
      </c>
      <c r="OS11" s="87" t="s">
        <v>756</v>
      </c>
      <c r="OT11" s="86" t="s">
        <v>757</v>
      </c>
      <c r="OU11" s="86" t="s">
        <v>758</v>
      </c>
      <c r="OV11" s="87" t="s">
        <v>759</v>
      </c>
      <c r="OW11" s="86" t="s">
        <v>760</v>
      </c>
      <c r="OX11" s="86" t="s">
        <v>761</v>
      </c>
      <c r="OY11" s="87" t="s">
        <v>762</v>
      </c>
      <c r="OZ11" s="86" t="s">
        <v>763</v>
      </c>
      <c r="PA11" s="86" t="s">
        <v>764</v>
      </c>
      <c r="PB11" s="87" t="s">
        <v>765</v>
      </c>
      <c r="PC11" s="86" t="s">
        <v>766</v>
      </c>
      <c r="PD11" s="86" t="s">
        <v>767</v>
      </c>
      <c r="PE11" s="87" t="s">
        <v>768</v>
      </c>
      <c r="PF11" s="86" t="s">
        <v>769</v>
      </c>
      <c r="PG11" s="86" t="s">
        <v>770</v>
      </c>
      <c r="PH11" s="87" t="s">
        <v>771</v>
      </c>
      <c r="PI11" s="86" t="s">
        <v>772</v>
      </c>
      <c r="PJ11" s="86" t="s">
        <v>773</v>
      </c>
      <c r="PK11" s="87" t="s">
        <v>774</v>
      </c>
      <c r="PL11" s="86" t="s">
        <v>775</v>
      </c>
      <c r="PM11" s="86" t="s">
        <v>776</v>
      </c>
      <c r="PN11" s="87" t="s">
        <v>777</v>
      </c>
      <c r="PO11" s="86" t="s">
        <v>778</v>
      </c>
      <c r="PP11" s="86" t="s">
        <v>779</v>
      </c>
      <c r="PQ11" s="87" t="s">
        <v>780</v>
      </c>
      <c r="PR11" s="86" t="s">
        <v>781</v>
      </c>
      <c r="PS11" s="86" t="s">
        <v>782</v>
      </c>
      <c r="PT11" s="87" t="s">
        <v>783</v>
      </c>
      <c r="PU11" s="86" t="s">
        <v>784</v>
      </c>
      <c r="PV11" s="86" t="s">
        <v>785</v>
      </c>
      <c r="PW11" s="87" t="s">
        <v>786</v>
      </c>
      <c r="PX11" s="86" t="s">
        <v>787</v>
      </c>
      <c r="PY11" s="86" t="s">
        <v>788</v>
      </c>
      <c r="PZ11" s="87" t="s">
        <v>789</v>
      </c>
      <c r="QA11" s="86" t="s">
        <v>790</v>
      </c>
      <c r="QB11" s="86" t="s">
        <v>791</v>
      </c>
      <c r="QC11" s="87" t="s">
        <v>792</v>
      </c>
      <c r="QD11" s="86" t="s">
        <v>793</v>
      </c>
      <c r="QE11" s="86" t="s">
        <v>794</v>
      </c>
      <c r="QF11" s="87" t="s">
        <v>795</v>
      </c>
      <c r="QG11" s="86" t="s">
        <v>796</v>
      </c>
      <c r="QH11" s="86" t="s">
        <v>797</v>
      </c>
      <c r="QI11" s="87" t="s">
        <v>798</v>
      </c>
      <c r="QJ11" s="86" t="s">
        <v>799</v>
      </c>
      <c r="QK11" s="86" t="s">
        <v>800</v>
      </c>
      <c r="QL11" s="87" t="s">
        <v>801</v>
      </c>
      <c r="QM11" s="86" t="s">
        <v>802</v>
      </c>
      <c r="QN11" s="86" t="s">
        <v>803</v>
      </c>
      <c r="QO11" s="87" t="s">
        <v>804</v>
      </c>
      <c r="QP11" s="86" t="s">
        <v>805</v>
      </c>
      <c r="QQ11" s="86" t="s">
        <v>806</v>
      </c>
      <c r="QR11" s="87" t="s">
        <v>807</v>
      </c>
      <c r="QS11" s="86" t="s">
        <v>808</v>
      </c>
      <c r="QT11" s="86" t="s">
        <v>809</v>
      </c>
      <c r="QU11" s="87" t="s">
        <v>810</v>
      </c>
      <c r="QV11" s="86" t="s">
        <v>811</v>
      </c>
      <c r="QW11" s="86" t="s">
        <v>812</v>
      </c>
      <c r="QX11" s="87" t="s">
        <v>813</v>
      </c>
      <c r="QY11" s="86" t="s">
        <v>814</v>
      </c>
      <c r="QZ11" s="86" t="s">
        <v>815</v>
      </c>
      <c r="RA11" s="87" t="s">
        <v>816</v>
      </c>
      <c r="RB11" s="86" t="s">
        <v>817</v>
      </c>
      <c r="RC11" s="86" t="s">
        <v>818</v>
      </c>
      <c r="RD11" s="87" t="s">
        <v>819</v>
      </c>
      <c r="RE11" s="86" t="s">
        <v>820</v>
      </c>
      <c r="RF11" s="86" t="s">
        <v>821</v>
      </c>
      <c r="RG11" s="87" t="s">
        <v>822</v>
      </c>
      <c r="RH11" s="86" t="s">
        <v>823</v>
      </c>
      <c r="RI11" s="86" t="s">
        <v>824</v>
      </c>
      <c r="RJ11" s="87" t="s">
        <v>825</v>
      </c>
      <c r="RK11" s="86" t="s">
        <v>826</v>
      </c>
      <c r="RL11" s="86" t="s">
        <v>827</v>
      </c>
      <c r="RM11" s="87" t="s">
        <v>828</v>
      </c>
      <c r="RN11" s="86" t="s">
        <v>829</v>
      </c>
      <c r="RO11" s="86" t="s">
        <v>830</v>
      </c>
      <c r="RP11" s="87" t="s">
        <v>831</v>
      </c>
      <c r="RQ11" s="86" t="s">
        <v>832</v>
      </c>
      <c r="RR11" s="86" t="s">
        <v>833</v>
      </c>
      <c r="RS11" s="87" t="s">
        <v>834</v>
      </c>
      <c r="RT11" s="86" t="s">
        <v>835</v>
      </c>
      <c r="RU11" s="86" t="s">
        <v>836</v>
      </c>
      <c r="RV11" s="87" t="s">
        <v>837</v>
      </c>
      <c r="RW11" s="86" t="s">
        <v>838</v>
      </c>
      <c r="RX11" s="86" t="s">
        <v>839</v>
      </c>
      <c r="RY11" s="87" t="s">
        <v>840</v>
      </c>
      <c r="RZ11" s="86" t="s">
        <v>841</v>
      </c>
      <c r="SA11" s="86" t="s">
        <v>842</v>
      </c>
      <c r="SB11" s="87" t="s">
        <v>843</v>
      </c>
      <c r="SC11" s="86" t="s">
        <v>844</v>
      </c>
      <c r="SD11" s="86" t="s">
        <v>845</v>
      </c>
      <c r="SE11" s="87" t="s">
        <v>846</v>
      </c>
      <c r="SF11" s="86" t="s">
        <v>847</v>
      </c>
      <c r="SG11" s="86" t="s">
        <v>848</v>
      </c>
      <c r="SH11" s="87" t="s">
        <v>849</v>
      </c>
      <c r="SI11" s="86" t="s">
        <v>850</v>
      </c>
      <c r="SJ11" s="86" t="s">
        <v>851</v>
      </c>
    </row>
    <row r="12" spans="1:504" x14ac:dyDescent="0.25">
      <c r="B12" s="48" t="str">
        <f>'Pay App 1'!B57</f>
        <v>00 01 00</v>
      </c>
      <c r="C12" s="24" t="str">
        <f>'Pay App 1'!C57</f>
        <v>Design Fee (if design build)</v>
      </c>
      <c r="D12" s="82">
        <f>SUM(E12:SJ12)</f>
        <v>0</v>
      </c>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0"/>
      <c r="AP12" s="80"/>
      <c r="AQ12" s="80"/>
      <c r="AR12" s="80"/>
      <c r="AS12" s="80"/>
      <c r="AT12" s="80"/>
      <c r="AU12" s="80"/>
      <c r="AV12" s="80"/>
      <c r="AW12" s="80"/>
      <c r="AX12" s="80"/>
      <c r="AY12" s="80"/>
      <c r="AZ12" s="80"/>
      <c r="BA12" s="80"/>
      <c r="BB12" s="80"/>
      <c r="BC12" s="80"/>
      <c r="BD12" s="80"/>
      <c r="BE12" s="80"/>
      <c r="BF12" s="80"/>
      <c r="BG12" s="80"/>
      <c r="BH12" s="80"/>
      <c r="BI12" s="80"/>
      <c r="BJ12" s="80"/>
      <c r="BK12" s="80"/>
      <c r="BL12" s="80"/>
      <c r="BM12" s="80"/>
      <c r="BN12" s="80"/>
      <c r="BO12" s="80"/>
      <c r="BP12" s="80"/>
      <c r="BQ12" s="80"/>
      <c r="BR12" s="80"/>
      <c r="BS12" s="80"/>
      <c r="BT12" s="80"/>
      <c r="BU12" s="80"/>
      <c r="BV12" s="80"/>
      <c r="BW12" s="80"/>
      <c r="BX12" s="80"/>
      <c r="BY12" s="80"/>
      <c r="BZ12" s="80"/>
      <c r="CA12" s="80"/>
      <c r="CB12" s="80"/>
      <c r="CC12" s="80"/>
      <c r="CD12" s="80"/>
      <c r="CE12" s="80"/>
      <c r="CF12" s="80"/>
      <c r="CG12" s="80"/>
      <c r="CH12" s="80"/>
      <c r="CI12" s="80"/>
      <c r="CJ12" s="80"/>
      <c r="CK12" s="80"/>
      <c r="CL12" s="80"/>
      <c r="CM12" s="80"/>
      <c r="CN12" s="80"/>
      <c r="CO12" s="80"/>
      <c r="CP12" s="80"/>
      <c r="CQ12" s="80"/>
      <c r="CR12" s="80"/>
      <c r="CS12" s="80"/>
      <c r="CT12" s="80"/>
      <c r="CU12" s="80"/>
      <c r="CV12" s="80"/>
      <c r="CW12" s="80"/>
      <c r="CX12" s="80"/>
      <c r="CY12" s="80"/>
      <c r="CZ12" s="80"/>
      <c r="DA12" s="80"/>
      <c r="DB12" s="80"/>
      <c r="DC12" s="80"/>
      <c r="DD12" s="80"/>
      <c r="DE12" s="80"/>
      <c r="DF12" s="80"/>
      <c r="DG12" s="80"/>
      <c r="DH12" s="80"/>
      <c r="DI12" s="80"/>
      <c r="DJ12" s="80"/>
      <c r="DK12" s="80"/>
      <c r="DL12" s="80"/>
      <c r="DM12" s="80"/>
      <c r="DN12" s="80"/>
      <c r="DO12" s="80"/>
      <c r="DP12" s="80"/>
      <c r="DQ12" s="80"/>
      <c r="DR12" s="80"/>
      <c r="DS12" s="80"/>
      <c r="DT12" s="80"/>
      <c r="DU12" s="80"/>
      <c r="DV12" s="80"/>
      <c r="DW12" s="80"/>
      <c r="DX12" s="80"/>
      <c r="DY12" s="80"/>
      <c r="DZ12" s="80"/>
      <c r="EA12" s="80"/>
      <c r="EB12" s="80"/>
      <c r="EC12" s="80"/>
      <c r="ED12" s="80"/>
      <c r="EE12" s="80"/>
      <c r="EF12" s="80"/>
      <c r="EG12" s="80"/>
      <c r="EH12" s="80"/>
      <c r="EI12" s="80"/>
      <c r="EJ12" s="80"/>
      <c r="EK12" s="80"/>
      <c r="EL12" s="80"/>
      <c r="EM12" s="80"/>
      <c r="EN12" s="80"/>
      <c r="EO12" s="80"/>
      <c r="EP12" s="80"/>
      <c r="EQ12" s="80"/>
      <c r="ER12" s="80"/>
      <c r="ES12" s="80"/>
      <c r="ET12" s="80"/>
      <c r="EU12" s="80"/>
      <c r="EV12" s="80"/>
      <c r="EW12" s="80"/>
      <c r="EX12" s="80"/>
      <c r="EY12" s="80"/>
      <c r="EZ12" s="80"/>
      <c r="FA12" s="80"/>
      <c r="FB12" s="80"/>
      <c r="FC12" s="80"/>
      <c r="FD12" s="80"/>
      <c r="FE12" s="80"/>
      <c r="FF12" s="80"/>
      <c r="FG12" s="80"/>
      <c r="FH12" s="80"/>
      <c r="FI12" s="80"/>
      <c r="FJ12" s="80"/>
      <c r="FK12" s="80"/>
      <c r="FL12" s="80"/>
      <c r="FM12" s="80"/>
      <c r="FN12" s="80"/>
      <c r="FO12" s="80"/>
      <c r="FP12" s="80"/>
      <c r="FQ12" s="80"/>
      <c r="FR12" s="80"/>
      <c r="FS12" s="80"/>
      <c r="FT12" s="80"/>
      <c r="FU12" s="80"/>
      <c r="FV12" s="80"/>
      <c r="FW12" s="80"/>
      <c r="FX12" s="80"/>
      <c r="FY12" s="80"/>
      <c r="FZ12" s="80"/>
      <c r="GA12" s="80"/>
      <c r="GB12" s="80"/>
      <c r="GC12" s="80"/>
      <c r="GD12" s="80"/>
      <c r="GE12" s="80"/>
      <c r="GF12" s="80"/>
      <c r="GG12" s="80"/>
      <c r="GH12" s="80"/>
      <c r="GI12" s="80"/>
      <c r="GJ12" s="80"/>
      <c r="GK12" s="80"/>
      <c r="GL12" s="80"/>
      <c r="GM12" s="80"/>
      <c r="GN12" s="80"/>
      <c r="GO12" s="80"/>
      <c r="GP12" s="80"/>
      <c r="GQ12" s="80"/>
      <c r="GR12" s="80"/>
      <c r="GS12" s="80"/>
      <c r="GT12" s="80"/>
      <c r="GU12" s="80"/>
      <c r="GV12" s="80"/>
      <c r="GW12" s="80"/>
      <c r="GX12" s="80"/>
      <c r="GY12" s="80"/>
      <c r="GZ12" s="80"/>
      <c r="HA12" s="80"/>
      <c r="HB12" s="80"/>
      <c r="HC12" s="80"/>
      <c r="HD12" s="80"/>
      <c r="HE12" s="80"/>
      <c r="HF12" s="80"/>
      <c r="HG12" s="80"/>
      <c r="HH12" s="80"/>
      <c r="HI12" s="80"/>
      <c r="HJ12" s="80"/>
      <c r="HK12" s="80"/>
      <c r="HL12" s="80"/>
      <c r="HM12" s="80"/>
      <c r="HN12" s="80"/>
      <c r="HO12" s="80"/>
      <c r="HP12" s="80"/>
      <c r="HQ12" s="80"/>
      <c r="HR12" s="80"/>
      <c r="HS12" s="80"/>
      <c r="HT12" s="80"/>
      <c r="HU12" s="80"/>
      <c r="HV12" s="80"/>
      <c r="HW12" s="80"/>
      <c r="HX12" s="80"/>
      <c r="HY12" s="80"/>
      <c r="HZ12" s="80"/>
      <c r="IA12" s="80"/>
      <c r="IB12" s="80"/>
      <c r="IC12" s="80"/>
      <c r="ID12" s="80"/>
      <c r="IE12" s="80"/>
      <c r="IF12" s="80"/>
      <c r="IG12" s="80"/>
      <c r="IH12" s="80"/>
      <c r="II12" s="80"/>
      <c r="IJ12" s="80"/>
      <c r="IK12" s="80"/>
      <c r="IL12" s="80"/>
      <c r="IM12" s="80"/>
      <c r="IN12" s="80"/>
      <c r="IO12" s="80"/>
      <c r="IP12" s="80"/>
      <c r="IQ12" s="80"/>
      <c r="IR12" s="80"/>
      <c r="IS12" s="80"/>
      <c r="IT12" s="80"/>
      <c r="IU12" s="80"/>
      <c r="IV12" s="80"/>
      <c r="IW12" s="80"/>
      <c r="IX12" s="80"/>
      <c r="IY12" s="80"/>
      <c r="IZ12" s="80"/>
      <c r="JA12" s="80"/>
      <c r="JB12" s="80"/>
      <c r="JC12" s="80"/>
      <c r="JD12" s="80"/>
      <c r="JE12" s="80"/>
      <c r="JF12" s="80"/>
      <c r="JG12" s="80"/>
      <c r="JH12" s="80"/>
      <c r="JI12" s="80"/>
      <c r="JJ12" s="80"/>
      <c r="JK12" s="80"/>
      <c r="JL12" s="80"/>
      <c r="JM12" s="80"/>
      <c r="JN12" s="80"/>
      <c r="JO12" s="80"/>
      <c r="JP12" s="80"/>
      <c r="JQ12" s="80"/>
      <c r="JR12" s="80"/>
      <c r="JS12" s="80"/>
      <c r="JT12" s="80"/>
      <c r="JU12" s="80"/>
      <c r="JV12" s="80"/>
      <c r="JW12" s="80"/>
      <c r="JX12" s="80"/>
      <c r="JY12" s="80"/>
      <c r="JZ12" s="80"/>
      <c r="KA12" s="80"/>
      <c r="KB12" s="80"/>
      <c r="KC12" s="80"/>
      <c r="KD12" s="80"/>
      <c r="KE12" s="80"/>
      <c r="KF12" s="80"/>
      <c r="KG12" s="80"/>
      <c r="KH12" s="80"/>
      <c r="KI12" s="80"/>
      <c r="KJ12" s="80"/>
      <c r="KK12" s="80"/>
      <c r="KL12" s="80"/>
      <c r="KM12" s="80"/>
      <c r="KN12" s="80"/>
      <c r="KO12" s="80"/>
      <c r="KP12" s="80"/>
      <c r="KQ12" s="80"/>
      <c r="KR12" s="80"/>
      <c r="KS12" s="80"/>
      <c r="KT12" s="80"/>
      <c r="KU12" s="80"/>
      <c r="KV12" s="80"/>
      <c r="KW12" s="80"/>
      <c r="KX12" s="80"/>
      <c r="KY12" s="80"/>
      <c r="KZ12" s="80"/>
      <c r="LA12" s="80"/>
      <c r="LB12" s="80"/>
      <c r="LC12" s="80"/>
      <c r="LD12" s="80"/>
      <c r="LE12" s="80"/>
      <c r="LF12" s="80"/>
      <c r="LG12" s="80"/>
      <c r="LH12" s="80"/>
      <c r="LI12" s="80"/>
      <c r="LJ12" s="80"/>
      <c r="LK12" s="80"/>
      <c r="LL12" s="80"/>
      <c r="LM12" s="80"/>
      <c r="LN12" s="80"/>
      <c r="LO12" s="80"/>
      <c r="LP12" s="80"/>
      <c r="LQ12" s="80"/>
      <c r="LR12" s="80"/>
      <c r="LS12" s="80"/>
      <c r="LT12" s="80"/>
      <c r="LU12" s="80"/>
      <c r="LV12" s="80"/>
      <c r="LW12" s="80"/>
      <c r="LX12" s="80"/>
      <c r="LY12" s="80"/>
      <c r="LZ12" s="80"/>
      <c r="MA12" s="80"/>
      <c r="MB12" s="80"/>
      <c r="MC12" s="80"/>
      <c r="MD12" s="80"/>
      <c r="ME12" s="80"/>
      <c r="MF12" s="80"/>
      <c r="MG12" s="80"/>
      <c r="MH12" s="80"/>
      <c r="MI12" s="80"/>
      <c r="MJ12" s="80"/>
      <c r="MK12" s="80"/>
      <c r="ML12" s="80"/>
      <c r="MM12" s="80"/>
      <c r="MN12" s="80"/>
      <c r="MO12" s="80"/>
      <c r="MP12" s="80"/>
      <c r="MQ12" s="80"/>
      <c r="MR12" s="80"/>
      <c r="MS12" s="80"/>
      <c r="MT12" s="80"/>
      <c r="MU12" s="80"/>
      <c r="MV12" s="80"/>
      <c r="MW12" s="80"/>
      <c r="MX12" s="80"/>
      <c r="MY12" s="80"/>
      <c r="MZ12" s="80"/>
      <c r="NA12" s="80"/>
      <c r="NB12" s="80"/>
      <c r="NC12" s="80"/>
      <c r="ND12" s="80"/>
      <c r="NE12" s="80"/>
      <c r="NF12" s="80"/>
      <c r="NG12" s="80"/>
      <c r="NH12" s="80"/>
      <c r="NI12" s="80"/>
      <c r="NJ12" s="80"/>
      <c r="NK12" s="80"/>
      <c r="NL12" s="80"/>
      <c r="NM12" s="80"/>
      <c r="NN12" s="80"/>
      <c r="NO12" s="80"/>
      <c r="NP12" s="80"/>
      <c r="NQ12" s="80"/>
      <c r="NR12" s="80"/>
      <c r="NS12" s="80"/>
      <c r="NT12" s="80"/>
      <c r="NU12" s="80"/>
      <c r="NV12" s="80"/>
      <c r="NW12" s="80"/>
      <c r="NX12" s="80"/>
      <c r="NY12" s="80"/>
      <c r="NZ12" s="80"/>
      <c r="OA12" s="80"/>
      <c r="OB12" s="80"/>
      <c r="OC12" s="80"/>
      <c r="OD12" s="80"/>
      <c r="OE12" s="80"/>
      <c r="OF12" s="80"/>
      <c r="OG12" s="80"/>
      <c r="OH12" s="80"/>
      <c r="OI12" s="80"/>
      <c r="OJ12" s="80"/>
      <c r="OK12" s="80"/>
      <c r="OL12" s="80"/>
      <c r="OM12" s="80"/>
      <c r="ON12" s="80"/>
      <c r="OO12" s="80"/>
      <c r="OP12" s="80"/>
      <c r="OQ12" s="80"/>
      <c r="OR12" s="80"/>
      <c r="OS12" s="80"/>
      <c r="OT12" s="80"/>
      <c r="OU12" s="80"/>
      <c r="OV12" s="80"/>
      <c r="OW12" s="80"/>
      <c r="OX12" s="80"/>
      <c r="OY12" s="80"/>
      <c r="OZ12" s="80"/>
      <c r="PA12" s="80"/>
      <c r="PB12" s="80"/>
      <c r="PC12" s="80"/>
      <c r="PD12" s="80"/>
      <c r="PE12" s="80"/>
      <c r="PF12" s="80"/>
      <c r="PG12" s="80"/>
      <c r="PH12" s="80"/>
      <c r="PI12" s="80"/>
      <c r="PJ12" s="80"/>
      <c r="PK12" s="80"/>
      <c r="PL12" s="80"/>
      <c r="PM12" s="80"/>
      <c r="PN12" s="80"/>
      <c r="PO12" s="80"/>
      <c r="PP12" s="80"/>
      <c r="PQ12" s="80"/>
      <c r="PR12" s="80"/>
      <c r="PS12" s="80"/>
      <c r="PT12" s="80"/>
      <c r="PU12" s="80"/>
      <c r="PV12" s="80"/>
      <c r="PW12" s="80"/>
      <c r="PX12" s="80"/>
      <c r="PY12" s="80"/>
      <c r="PZ12" s="80"/>
      <c r="QA12" s="80"/>
      <c r="QB12" s="80"/>
      <c r="QC12" s="80"/>
      <c r="QD12" s="80"/>
      <c r="QE12" s="80"/>
      <c r="QF12" s="80"/>
      <c r="QG12" s="80"/>
      <c r="QH12" s="80"/>
      <c r="QI12" s="80"/>
      <c r="QJ12" s="80"/>
      <c r="QK12" s="80"/>
      <c r="QL12" s="80"/>
      <c r="QM12" s="80"/>
      <c r="QN12" s="80"/>
      <c r="QO12" s="80"/>
      <c r="QP12" s="80"/>
      <c r="QQ12" s="80"/>
      <c r="QR12" s="80"/>
      <c r="QS12" s="80"/>
      <c r="QT12" s="80"/>
      <c r="QU12" s="80"/>
      <c r="QV12" s="80"/>
      <c r="QW12" s="80"/>
      <c r="QX12" s="80"/>
      <c r="QY12" s="80"/>
      <c r="QZ12" s="80"/>
      <c r="RA12" s="80"/>
      <c r="RB12" s="80"/>
      <c r="RC12" s="80"/>
      <c r="RD12" s="80"/>
      <c r="RE12" s="80"/>
      <c r="RF12" s="80"/>
      <c r="RG12" s="80"/>
      <c r="RH12" s="80"/>
      <c r="RI12" s="80"/>
      <c r="RJ12" s="80"/>
      <c r="RK12" s="80"/>
      <c r="RL12" s="80"/>
      <c r="RM12" s="80"/>
      <c r="RN12" s="80"/>
      <c r="RO12" s="80"/>
      <c r="RP12" s="80"/>
      <c r="RQ12" s="80"/>
      <c r="RR12" s="80"/>
      <c r="RS12" s="80"/>
      <c r="RT12" s="80"/>
      <c r="RU12" s="80"/>
      <c r="RV12" s="80"/>
      <c r="RW12" s="80"/>
      <c r="RX12" s="80"/>
      <c r="RY12" s="80"/>
      <c r="RZ12" s="80"/>
      <c r="SA12" s="80"/>
      <c r="SB12" s="80"/>
      <c r="SC12" s="80"/>
      <c r="SD12" s="80"/>
      <c r="SE12" s="80"/>
      <c r="SF12" s="80"/>
      <c r="SG12" s="80"/>
      <c r="SH12" s="80"/>
      <c r="SI12" s="80"/>
      <c r="SJ12" s="80"/>
    </row>
    <row r="13" spans="1:504" x14ac:dyDescent="0.25">
      <c r="B13" s="48" t="str">
        <f>'Pay App 1'!B58</f>
        <v>00 02 00</v>
      </c>
      <c r="C13" s="24" t="str">
        <f>'Pay App 1'!C58</f>
        <v>Preconstruction Services</v>
      </c>
      <c r="D13" s="82">
        <f t="shared" ref="D13:D76" si="8">SUM(E13:SJ13)</f>
        <v>0</v>
      </c>
      <c r="E13" s="79"/>
      <c r="F13" s="79"/>
      <c r="G13" s="79"/>
      <c r="H13" s="79"/>
      <c r="I13" s="79"/>
      <c r="J13" s="79"/>
      <c r="K13" s="79"/>
      <c r="L13" s="79"/>
      <c r="M13" s="79"/>
      <c r="N13" s="79"/>
      <c r="O13" s="79"/>
      <c r="P13" s="79"/>
      <c r="Q13" s="79"/>
      <c r="R13" s="79"/>
      <c r="S13" s="79"/>
      <c r="T13" s="79"/>
      <c r="U13" s="79"/>
      <c r="V13" s="79"/>
      <c r="W13" s="79"/>
      <c r="X13" s="79"/>
      <c r="Y13" s="79"/>
      <c r="Z13" s="79"/>
      <c r="AA13" s="79"/>
      <c r="AB13" s="79"/>
      <c r="AC13" s="79"/>
      <c r="AD13" s="79"/>
      <c r="AE13" s="79"/>
      <c r="AF13" s="79"/>
      <c r="AG13" s="79"/>
      <c r="AH13" s="79"/>
      <c r="AI13" s="79"/>
      <c r="AJ13" s="79"/>
      <c r="AK13" s="79"/>
      <c r="AL13" s="79"/>
      <c r="AM13" s="79"/>
      <c r="AN13" s="79"/>
      <c r="AO13" s="79"/>
      <c r="AP13" s="79"/>
      <c r="AQ13" s="79"/>
      <c r="AR13" s="79"/>
      <c r="AS13" s="79"/>
      <c r="AT13" s="79"/>
      <c r="AU13" s="79"/>
      <c r="AV13" s="79"/>
      <c r="AW13" s="79"/>
      <c r="AX13" s="79"/>
      <c r="AY13" s="79"/>
      <c r="AZ13" s="79"/>
      <c r="BA13" s="79"/>
      <c r="BB13" s="79"/>
      <c r="BC13" s="79"/>
      <c r="BD13" s="79"/>
      <c r="BE13" s="79"/>
      <c r="BF13" s="79"/>
      <c r="BG13" s="79"/>
      <c r="BH13" s="79"/>
      <c r="BI13" s="79"/>
      <c r="BJ13" s="79"/>
      <c r="BK13" s="79"/>
      <c r="BL13" s="79"/>
      <c r="BM13" s="79"/>
      <c r="BN13" s="79"/>
      <c r="BO13" s="79"/>
      <c r="BP13" s="79"/>
      <c r="BQ13" s="79"/>
      <c r="BR13" s="79"/>
      <c r="BS13" s="79"/>
      <c r="BT13" s="79"/>
      <c r="BU13" s="79"/>
      <c r="BV13" s="79"/>
      <c r="BW13" s="79"/>
      <c r="BX13" s="79"/>
      <c r="BY13" s="79"/>
      <c r="BZ13" s="79"/>
      <c r="CA13" s="79"/>
      <c r="CB13" s="79"/>
      <c r="CC13" s="79"/>
      <c r="CD13" s="79"/>
      <c r="CE13" s="79"/>
      <c r="CF13" s="79"/>
      <c r="CG13" s="79"/>
      <c r="CH13" s="79"/>
      <c r="CI13" s="79"/>
      <c r="CJ13" s="79"/>
      <c r="CK13" s="79"/>
      <c r="CL13" s="79"/>
      <c r="CM13" s="79"/>
      <c r="CN13" s="79"/>
      <c r="CO13" s="79"/>
      <c r="CP13" s="79"/>
      <c r="CQ13" s="79"/>
      <c r="CR13" s="79"/>
      <c r="CS13" s="79"/>
      <c r="CT13" s="79"/>
      <c r="CU13" s="79"/>
      <c r="CV13" s="79"/>
      <c r="CW13" s="79"/>
      <c r="CX13" s="79"/>
      <c r="CY13" s="79"/>
      <c r="CZ13" s="79"/>
      <c r="DA13" s="79"/>
      <c r="DB13" s="79"/>
      <c r="DC13" s="79"/>
      <c r="DD13" s="79"/>
      <c r="DE13" s="79"/>
      <c r="DF13" s="79"/>
      <c r="DG13" s="79"/>
      <c r="DH13" s="79"/>
      <c r="DI13" s="79"/>
      <c r="DJ13" s="79"/>
      <c r="DK13" s="79"/>
      <c r="DL13" s="79"/>
      <c r="DM13" s="79"/>
      <c r="DN13" s="79"/>
      <c r="DO13" s="79"/>
      <c r="DP13" s="79"/>
      <c r="DQ13" s="79"/>
      <c r="DR13" s="79"/>
      <c r="DS13" s="79"/>
      <c r="DT13" s="79"/>
      <c r="DU13" s="79"/>
      <c r="DV13" s="79"/>
      <c r="DW13" s="79"/>
      <c r="DX13" s="79"/>
      <c r="DY13" s="79"/>
      <c r="DZ13" s="79"/>
      <c r="EA13" s="79"/>
      <c r="EB13" s="79"/>
      <c r="EC13" s="79"/>
      <c r="ED13" s="79"/>
      <c r="EE13" s="79"/>
      <c r="EF13" s="79"/>
      <c r="EG13" s="79"/>
      <c r="EH13" s="79"/>
      <c r="EI13" s="79"/>
      <c r="EJ13" s="79"/>
      <c r="EK13" s="79"/>
      <c r="EL13" s="79"/>
      <c r="EM13" s="79"/>
      <c r="EN13" s="79"/>
      <c r="EO13" s="79"/>
      <c r="EP13" s="79"/>
      <c r="EQ13" s="79"/>
      <c r="ER13" s="79"/>
      <c r="ES13" s="79"/>
      <c r="ET13" s="79"/>
      <c r="EU13" s="79"/>
      <c r="EV13" s="79"/>
      <c r="EW13" s="79"/>
      <c r="EX13" s="79"/>
      <c r="EY13" s="79"/>
      <c r="EZ13" s="79"/>
      <c r="FA13" s="79"/>
      <c r="FB13" s="79"/>
      <c r="FC13" s="79"/>
      <c r="FD13" s="79"/>
      <c r="FE13" s="79"/>
      <c r="FF13" s="79"/>
      <c r="FG13" s="79"/>
      <c r="FH13" s="79"/>
      <c r="FI13" s="79"/>
      <c r="FJ13" s="79"/>
      <c r="FK13" s="79"/>
      <c r="FL13" s="79"/>
      <c r="FM13" s="79"/>
      <c r="FN13" s="79"/>
      <c r="FO13" s="79"/>
      <c r="FP13" s="79"/>
      <c r="FQ13" s="79"/>
      <c r="FR13" s="79"/>
      <c r="FS13" s="79"/>
      <c r="FT13" s="79"/>
      <c r="FU13" s="79"/>
      <c r="FV13" s="79"/>
      <c r="FW13" s="79"/>
      <c r="FX13" s="79"/>
      <c r="FY13" s="79"/>
      <c r="FZ13" s="79"/>
      <c r="GA13" s="79"/>
      <c r="GB13" s="79"/>
      <c r="GC13" s="79"/>
      <c r="GD13" s="79"/>
      <c r="GE13" s="79"/>
      <c r="GF13" s="79"/>
      <c r="GG13" s="79"/>
      <c r="GH13" s="79"/>
      <c r="GI13" s="79"/>
      <c r="GJ13" s="79"/>
      <c r="GK13" s="79"/>
      <c r="GL13" s="79"/>
      <c r="GM13" s="79"/>
      <c r="GN13" s="79"/>
      <c r="GO13" s="79"/>
      <c r="GP13" s="79"/>
      <c r="GQ13" s="79"/>
      <c r="GR13" s="79"/>
      <c r="GS13" s="79"/>
      <c r="GT13" s="79"/>
      <c r="GU13" s="79"/>
      <c r="GV13" s="79"/>
      <c r="GW13" s="79"/>
      <c r="GX13" s="79"/>
      <c r="GY13" s="79"/>
      <c r="GZ13" s="79"/>
      <c r="HA13" s="79"/>
      <c r="HB13" s="79"/>
      <c r="HC13" s="79"/>
      <c r="HD13" s="79"/>
      <c r="HE13" s="79"/>
      <c r="HF13" s="79"/>
      <c r="HG13" s="79"/>
      <c r="HH13" s="79"/>
      <c r="HI13" s="79"/>
      <c r="HJ13" s="79"/>
      <c r="HK13" s="79"/>
      <c r="HL13" s="79"/>
      <c r="HM13" s="79"/>
      <c r="HN13" s="79"/>
      <c r="HO13" s="79"/>
      <c r="HP13" s="79"/>
      <c r="HQ13" s="79"/>
      <c r="HR13" s="79"/>
      <c r="HS13" s="79"/>
      <c r="HT13" s="79"/>
      <c r="HU13" s="79"/>
      <c r="HV13" s="79"/>
      <c r="HW13" s="79"/>
      <c r="HX13" s="79"/>
      <c r="HY13" s="79"/>
      <c r="HZ13" s="79"/>
      <c r="IA13" s="79"/>
      <c r="IB13" s="79"/>
      <c r="IC13" s="79"/>
      <c r="ID13" s="79"/>
      <c r="IE13" s="79"/>
      <c r="IF13" s="79"/>
      <c r="IG13" s="79"/>
      <c r="IH13" s="79"/>
      <c r="II13" s="79"/>
      <c r="IJ13" s="79"/>
      <c r="IK13" s="79"/>
      <c r="IL13" s="79"/>
      <c r="IM13" s="79"/>
      <c r="IN13" s="79"/>
      <c r="IO13" s="79"/>
      <c r="IP13" s="79"/>
      <c r="IQ13" s="79"/>
      <c r="IR13" s="79"/>
      <c r="IS13" s="79"/>
      <c r="IT13" s="79"/>
      <c r="IU13" s="79"/>
      <c r="IV13" s="79"/>
      <c r="IW13" s="79"/>
      <c r="IX13" s="79"/>
      <c r="IY13" s="79"/>
      <c r="IZ13" s="79"/>
      <c r="JA13" s="79"/>
      <c r="JB13" s="79"/>
      <c r="JC13" s="79"/>
      <c r="JD13" s="79"/>
      <c r="JE13" s="79"/>
      <c r="JF13" s="79"/>
      <c r="JG13" s="79"/>
      <c r="JH13" s="79"/>
      <c r="JI13" s="79"/>
      <c r="JJ13" s="79"/>
      <c r="JK13" s="79"/>
      <c r="JL13" s="79"/>
      <c r="JM13" s="79"/>
      <c r="JN13" s="79"/>
      <c r="JO13" s="79"/>
      <c r="JP13" s="79"/>
      <c r="JQ13" s="79"/>
      <c r="JR13" s="79"/>
      <c r="JS13" s="79"/>
      <c r="JT13" s="79"/>
      <c r="JU13" s="79"/>
      <c r="JV13" s="79"/>
      <c r="JW13" s="79"/>
      <c r="JX13" s="79"/>
      <c r="JY13" s="79"/>
      <c r="JZ13" s="79"/>
      <c r="KA13" s="79"/>
      <c r="KB13" s="79"/>
      <c r="KC13" s="79"/>
      <c r="KD13" s="79"/>
      <c r="KE13" s="79"/>
      <c r="KF13" s="79"/>
      <c r="KG13" s="79"/>
      <c r="KH13" s="79"/>
      <c r="KI13" s="79"/>
      <c r="KJ13" s="79"/>
      <c r="KK13" s="79"/>
      <c r="KL13" s="79"/>
      <c r="KM13" s="79"/>
      <c r="KN13" s="79"/>
      <c r="KO13" s="79"/>
      <c r="KP13" s="79"/>
      <c r="KQ13" s="79"/>
      <c r="KR13" s="79"/>
      <c r="KS13" s="79"/>
      <c r="KT13" s="79"/>
      <c r="KU13" s="79"/>
      <c r="KV13" s="79"/>
      <c r="KW13" s="79"/>
      <c r="KX13" s="79"/>
      <c r="KY13" s="79"/>
      <c r="KZ13" s="79"/>
      <c r="LA13" s="79"/>
      <c r="LB13" s="79"/>
      <c r="LC13" s="79"/>
      <c r="LD13" s="79"/>
      <c r="LE13" s="79"/>
      <c r="LF13" s="79"/>
      <c r="LG13" s="79"/>
      <c r="LH13" s="79"/>
      <c r="LI13" s="79"/>
      <c r="LJ13" s="79"/>
      <c r="LK13" s="79"/>
      <c r="LL13" s="79"/>
      <c r="LM13" s="79"/>
      <c r="LN13" s="79"/>
      <c r="LO13" s="79"/>
      <c r="LP13" s="79"/>
      <c r="LQ13" s="79"/>
      <c r="LR13" s="79"/>
      <c r="LS13" s="79"/>
      <c r="LT13" s="79"/>
      <c r="LU13" s="79"/>
      <c r="LV13" s="79"/>
      <c r="LW13" s="79"/>
      <c r="LX13" s="79"/>
      <c r="LY13" s="79"/>
      <c r="LZ13" s="79"/>
      <c r="MA13" s="79"/>
      <c r="MB13" s="79"/>
      <c r="MC13" s="79"/>
      <c r="MD13" s="79"/>
      <c r="ME13" s="79"/>
      <c r="MF13" s="79"/>
      <c r="MG13" s="79"/>
      <c r="MH13" s="79"/>
      <c r="MI13" s="79"/>
      <c r="MJ13" s="79"/>
      <c r="MK13" s="79"/>
      <c r="ML13" s="79"/>
      <c r="MM13" s="79"/>
      <c r="MN13" s="79"/>
      <c r="MO13" s="79"/>
      <c r="MP13" s="79"/>
      <c r="MQ13" s="79"/>
      <c r="MR13" s="79"/>
      <c r="MS13" s="79"/>
      <c r="MT13" s="79"/>
      <c r="MU13" s="79"/>
      <c r="MV13" s="79"/>
      <c r="MW13" s="79"/>
      <c r="MX13" s="79"/>
      <c r="MY13" s="79"/>
      <c r="MZ13" s="79"/>
      <c r="NA13" s="79"/>
      <c r="NB13" s="79"/>
      <c r="NC13" s="79"/>
      <c r="ND13" s="79"/>
      <c r="NE13" s="79"/>
      <c r="NF13" s="79"/>
      <c r="NG13" s="79"/>
      <c r="NH13" s="79"/>
      <c r="NI13" s="79"/>
      <c r="NJ13" s="79"/>
      <c r="NK13" s="79"/>
      <c r="NL13" s="79"/>
      <c r="NM13" s="79"/>
      <c r="NN13" s="79"/>
      <c r="NO13" s="79"/>
      <c r="NP13" s="79"/>
      <c r="NQ13" s="79"/>
      <c r="NR13" s="79"/>
      <c r="NS13" s="79"/>
      <c r="NT13" s="79"/>
      <c r="NU13" s="79"/>
      <c r="NV13" s="79"/>
      <c r="NW13" s="79"/>
      <c r="NX13" s="79"/>
      <c r="NY13" s="79"/>
      <c r="NZ13" s="79"/>
      <c r="OA13" s="79"/>
      <c r="OB13" s="79"/>
      <c r="OC13" s="79"/>
      <c r="OD13" s="79"/>
      <c r="OE13" s="79"/>
      <c r="OF13" s="79"/>
      <c r="OG13" s="79"/>
      <c r="OH13" s="79"/>
      <c r="OI13" s="79"/>
      <c r="OJ13" s="79"/>
      <c r="OK13" s="79"/>
      <c r="OL13" s="79"/>
      <c r="OM13" s="79"/>
      <c r="ON13" s="79"/>
      <c r="OO13" s="79"/>
      <c r="OP13" s="79"/>
      <c r="OQ13" s="79"/>
      <c r="OR13" s="79"/>
      <c r="OS13" s="79"/>
      <c r="OT13" s="79"/>
      <c r="OU13" s="79"/>
      <c r="OV13" s="79"/>
      <c r="OW13" s="79"/>
      <c r="OX13" s="79"/>
      <c r="OY13" s="79"/>
      <c r="OZ13" s="79"/>
      <c r="PA13" s="79"/>
      <c r="PB13" s="79"/>
      <c r="PC13" s="79"/>
      <c r="PD13" s="79"/>
      <c r="PE13" s="79"/>
      <c r="PF13" s="79"/>
      <c r="PG13" s="79"/>
      <c r="PH13" s="79"/>
      <c r="PI13" s="79"/>
      <c r="PJ13" s="79"/>
      <c r="PK13" s="79"/>
      <c r="PL13" s="79"/>
      <c r="PM13" s="79"/>
      <c r="PN13" s="79"/>
      <c r="PO13" s="79"/>
      <c r="PP13" s="79"/>
      <c r="PQ13" s="79"/>
      <c r="PR13" s="79"/>
      <c r="PS13" s="79"/>
      <c r="PT13" s="79"/>
      <c r="PU13" s="79"/>
      <c r="PV13" s="79"/>
      <c r="PW13" s="79"/>
      <c r="PX13" s="79"/>
      <c r="PY13" s="79"/>
      <c r="PZ13" s="79"/>
      <c r="QA13" s="79"/>
      <c r="QB13" s="79"/>
      <c r="QC13" s="79"/>
      <c r="QD13" s="79"/>
      <c r="QE13" s="79"/>
      <c r="QF13" s="79"/>
      <c r="QG13" s="79"/>
      <c r="QH13" s="79"/>
      <c r="QI13" s="79"/>
      <c r="QJ13" s="79"/>
      <c r="QK13" s="79"/>
      <c r="QL13" s="79"/>
      <c r="QM13" s="79"/>
      <c r="QN13" s="79"/>
      <c r="QO13" s="79"/>
      <c r="QP13" s="79"/>
      <c r="QQ13" s="79"/>
      <c r="QR13" s="79"/>
      <c r="QS13" s="79"/>
      <c r="QT13" s="79"/>
      <c r="QU13" s="79"/>
      <c r="QV13" s="79"/>
      <c r="QW13" s="79"/>
      <c r="QX13" s="79"/>
      <c r="QY13" s="79"/>
      <c r="QZ13" s="79"/>
      <c r="RA13" s="79"/>
      <c r="RB13" s="79"/>
      <c r="RC13" s="79"/>
      <c r="RD13" s="79"/>
      <c r="RE13" s="79"/>
      <c r="RF13" s="79"/>
      <c r="RG13" s="79"/>
      <c r="RH13" s="79"/>
      <c r="RI13" s="79"/>
      <c r="RJ13" s="79"/>
      <c r="RK13" s="79"/>
      <c r="RL13" s="79"/>
      <c r="RM13" s="79"/>
      <c r="RN13" s="79"/>
      <c r="RO13" s="79"/>
      <c r="RP13" s="79"/>
      <c r="RQ13" s="79"/>
      <c r="RR13" s="79"/>
      <c r="RS13" s="79"/>
      <c r="RT13" s="79"/>
      <c r="RU13" s="79"/>
      <c r="RV13" s="79"/>
      <c r="RW13" s="79"/>
      <c r="RX13" s="79"/>
      <c r="RY13" s="79"/>
      <c r="RZ13" s="79"/>
      <c r="SA13" s="79"/>
      <c r="SB13" s="79"/>
      <c r="SC13" s="79"/>
      <c r="SD13" s="79"/>
      <c r="SE13" s="79"/>
      <c r="SF13" s="79"/>
      <c r="SG13" s="79"/>
      <c r="SH13" s="79"/>
      <c r="SI13" s="79"/>
      <c r="SJ13" s="79"/>
    </row>
    <row r="14" spans="1:504" x14ac:dyDescent="0.25">
      <c r="B14" s="49" t="str">
        <f>'Pay App 1'!B59</f>
        <v>01 00 00</v>
      </c>
      <c r="C14" s="25" t="str">
        <f>'Pay App 1'!C59</f>
        <v>General Conditions/Requirements</v>
      </c>
      <c r="D14" s="82">
        <f t="shared" si="8"/>
        <v>0</v>
      </c>
      <c r="E14" s="79"/>
      <c r="F14" s="79"/>
      <c r="G14" s="79"/>
      <c r="H14" s="79"/>
      <c r="I14" s="79"/>
      <c r="J14" s="79"/>
      <c r="K14" s="79"/>
      <c r="L14" s="79"/>
      <c r="M14" s="79"/>
      <c r="N14" s="79"/>
      <c r="O14" s="79"/>
      <c r="P14" s="79"/>
      <c r="Q14" s="79"/>
      <c r="R14" s="79"/>
      <c r="S14" s="79"/>
      <c r="T14" s="79"/>
      <c r="U14" s="79"/>
      <c r="V14" s="79"/>
      <c r="W14" s="79"/>
      <c r="X14" s="79"/>
      <c r="Y14" s="79"/>
      <c r="Z14" s="79"/>
      <c r="AA14" s="79"/>
      <c r="AB14" s="79"/>
      <c r="AC14" s="79"/>
      <c r="AD14" s="79"/>
      <c r="AE14" s="79"/>
      <c r="AF14" s="79"/>
      <c r="AG14" s="79"/>
      <c r="AH14" s="79"/>
      <c r="AI14" s="79"/>
      <c r="AJ14" s="79"/>
      <c r="AK14" s="79"/>
      <c r="AL14" s="79"/>
      <c r="AM14" s="79"/>
      <c r="AN14" s="79"/>
      <c r="AO14" s="79"/>
      <c r="AP14" s="79"/>
      <c r="AQ14" s="79"/>
      <c r="AR14" s="79"/>
      <c r="AS14" s="79"/>
      <c r="AT14" s="79"/>
      <c r="AU14" s="79"/>
      <c r="AV14" s="79"/>
      <c r="AW14" s="79"/>
      <c r="AX14" s="79"/>
      <c r="AY14" s="79"/>
      <c r="AZ14" s="79"/>
      <c r="BA14" s="79"/>
      <c r="BB14" s="79"/>
      <c r="BC14" s="79"/>
      <c r="BD14" s="79"/>
      <c r="BE14" s="79"/>
      <c r="BF14" s="79"/>
      <c r="BG14" s="79"/>
      <c r="BH14" s="79"/>
      <c r="BI14" s="79"/>
      <c r="BJ14" s="79"/>
      <c r="BK14" s="79"/>
      <c r="BL14" s="79"/>
      <c r="BM14" s="79"/>
      <c r="BN14" s="79"/>
      <c r="BO14" s="79"/>
      <c r="BP14" s="79"/>
      <c r="BQ14" s="79"/>
      <c r="BR14" s="79"/>
      <c r="BS14" s="79"/>
      <c r="BT14" s="79"/>
      <c r="BU14" s="79"/>
      <c r="BV14" s="79"/>
      <c r="BW14" s="79"/>
      <c r="BX14" s="79"/>
      <c r="BY14" s="79"/>
      <c r="BZ14" s="79"/>
      <c r="CA14" s="79"/>
      <c r="CB14" s="79"/>
      <c r="CC14" s="79"/>
      <c r="CD14" s="79"/>
      <c r="CE14" s="79"/>
      <c r="CF14" s="79"/>
      <c r="CG14" s="79"/>
      <c r="CH14" s="79"/>
      <c r="CI14" s="79"/>
      <c r="CJ14" s="79"/>
      <c r="CK14" s="79"/>
      <c r="CL14" s="79"/>
      <c r="CM14" s="79"/>
      <c r="CN14" s="79"/>
      <c r="CO14" s="79"/>
      <c r="CP14" s="79"/>
      <c r="CQ14" s="79"/>
      <c r="CR14" s="79"/>
      <c r="CS14" s="79"/>
      <c r="CT14" s="79"/>
      <c r="CU14" s="79"/>
      <c r="CV14" s="79"/>
      <c r="CW14" s="79"/>
      <c r="CX14" s="79"/>
      <c r="CY14" s="79"/>
      <c r="CZ14" s="79"/>
      <c r="DA14" s="79"/>
      <c r="DB14" s="79"/>
      <c r="DC14" s="79"/>
      <c r="DD14" s="79"/>
      <c r="DE14" s="79"/>
      <c r="DF14" s="79"/>
      <c r="DG14" s="79"/>
      <c r="DH14" s="79"/>
      <c r="DI14" s="79"/>
      <c r="DJ14" s="79"/>
      <c r="DK14" s="79"/>
      <c r="DL14" s="79"/>
      <c r="DM14" s="79"/>
      <c r="DN14" s="79"/>
      <c r="DO14" s="79"/>
      <c r="DP14" s="79"/>
      <c r="DQ14" s="79"/>
      <c r="DR14" s="79"/>
      <c r="DS14" s="79"/>
      <c r="DT14" s="79"/>
      <c r="DU14" s="79"/>
      <c r="DV14" s="79"/>
      <c r="DW14" s="79"/>
      <c r="DX14" s="79"/>
      <c r="DY14" s="79"/>
      <c r="DZ14" s="79"/>
      <c r="EA14" s="79"/>
      <c r="EB14" s="79"/>
      <c r="EC14" s="79"/>
      <c r="ED14" s="79"/>
      <c r="EE14" s="79"/>
      <c r="EF14" s="79"/>
      <c r="EG14" s="79"/>
      <c r="EH14" s="79"/>
      <c r="EI14" s="79"/>
      <c r="EJ14" s="79"/>
      <c r="EK14" s="79"/>
      <c r="EL14" s="79"/>
      <c r="EM14" s="79"/>
      <c r="EN14" s="79"/>
      <c r="EO14" s="79"/>
      <c r="EP14" s="79"/>
      <c r="EQ14" s="79"/>
      <c r="ER14" s="79"/>
      <c r="ES14" s="79"/>
      <c r="ET14" s="79"/>
      <c r="EU14" s="79"/>
      <c r="EV14" s="79"/>
      <c r="EW14" s="79"/>
      <c r="EX14" s="79"/>
      <c r="EY14" s="79"/>
      <c r="EZ14" s="79"/>
      <c r="FA14" s="79"/>
      <c r="FB14" s="79"/>
      <c r="FC14" s="79"/>
      <c r="FD14" s="79"/>
      <c r="FE14" s="79"/>
      <c r="FF14" s="79"/>
      <c r="FG14" s="79"/>
      <c r="FH14" s="79"/>
      <c r="FI14" s="79"/>
      <c r="FJ14" s="79"/>
      <c r="FK14" s="79"/>
      <c r="FL14" s="79"/>
      <c r="FM14" s="79"/>
      <c r="FN14" s="79"/>
      <c r="FO14" s="79"/>
      <c r="FP14" s="79"/>
      <c r="FQ14" s="79"/>
      <c r="FR14" s="79"/>
      <c r="FS14" s="79"/>
      <c r="FT14" s="79"/>
      <c r="FU14" s="79"/>
      <c r="FV14" s="79"/>
      <c r="FW14" s="79"/>
      <c r="FX14" s="79"/>
      <c r="FY14" s="79"/>
      <c r="FZ14" s="79"/>
      <c r="GA14" s="79"/>
      <c r="GB14" s="79"/>
      <c r="GC14" s="79"/>
      <c r="GD14" s="79"/>
      <c r="GE14" s="79"/>
      <c r="GF14" s="79"/>
      <c r="GG14" s="79"/>
      <c r="GH14" s="79"/>
      <c r="GI14" s="79"/>
      <c r="GJ14" s="79"/>
      <c r="GK14" s="79"/>
      <c r="GL14" s="79"/>
      <c r="GM14" s="79"/>
      <c r="GN14" s="79"/>
      <c r="GO14" s="79"/>
      <c r="GP14" s="79"/>
      <c r="GQ14" s="79"/>
      <c r="GR14" s="79"/>
      <c r="GS14" s="79"/>
      <c r="GT14" s="79"/>
      <c r="GU14" s="79"/>
      <c r="GV14" s="79"/>
      <c r="GW14" s="79"/>
      <c r="GX14" s="79"/>
      <c r="GY14" s="79"/>
      <c r="GZ14" s="79"/>
      <c r="HA14" s="79"/>
      <c r="HB14" s="79"/>
      <c r="HC14" s="79"/>
      <c r="HD14" s="79"/>
      <c r="HE14" s="79"/>
      <c r="HF14" s="79"/>
      <c r="HG14" s="79"/>
      <c r="HH14" s="79"/>
      <c r="HI14" s="79"/>
      <c r="HJ14" s="79"/>
      <c r="HK14" s="79"/>
      <c r="HL14" s="79"/>
      <c r="HM14" s="79"/>
      <c r="HN14" s="79"/>
      <c r="HO14" s="79"/>
      <c r="HP14" s="79"/>
      <c r="HQ14" s="79"/>
      <c r="HR14" s="79"/>
      <c r="HS14" s="79"/>
      <c r="HT14" s="79"/>
      <c r="HU14" s="79"/>
      <c r="HV14" s="79"/>
      <c r="HW14" s="79"/>
      <c r="HX14" s="79"/>
      <c r="HY14" s="79"/>
      <c r="HZ14" s="79"/>
      <c r="IA14" s="79"/>
      <c r="IB14" s="79"/>
      <c r="IC14" s="79"/>
      <c r="ID14" s="79"/>
      <c r="IE14" s="79"/>
      <c r="IF14" s="79"/>
      <c r="IG14" s="79"/>
      <c r="IH14" s="79"/>
      <c r="II14" s="79"/>
      <c r="IJ14" s="79"/>
      <c r="IK14" s="79"/>
      <c r="IL14" s="79"/>
      <c r="IM14" s="79"/>
      <c r="IN14" s="79"/>
      <c r="IO14" s="79"/>
      <c r="IP14" s="79"/>
      <c r="IQ14" s="79"/>
      <c r="IR14" s="79"/>
      <c r="IS14" s="79"/>
      <c r="IT14" s="79"/>
      <c r="IU14" s="79"/>
      <c r="IV14" s="79"/>
      <c r="IW14" s="79"/>
      <c r="IX14" s="79"/>
      <c r="IY14" s="79"/>
      <c r="IZ14" s="79"/>
      <c r="JA14" s="79"/>
      <c r="JB14" s="79"/>
      <c r="JC14" s="79"/>
      <c r="JD14" s="79"/>
      <c r="JE14" s="79"/>
      <c r="JF14" s="79"/>
      <c r="JG14" s="79"/>
      <c r="JH14" s="79"/>
      <c r="JI14" s="79"/>
      <c r="JJ14" s="79"/>
      <c r="JK14" s="79"/>
      <c r="JL14" s="79"/>
      <c r="JM14" s="79"/>
      <c r="JN14" s="79"/>
      <c r="JO14" s="79"/>
      <c r="JP14" s="79"/>
      <c r="JQ14" s="79"/>
      <c r="JR14" s="79"/>
      <c r="JS14" s="79"/>
      <c r="JT14" s="79"/>
      <c r="JU14" s="79"/>
      <c r="JV14" s="79"/>
      <c r="JW14" s="79"/>
      <c r="JX14" s="79"/>
      <c r="JY14" s="79"/>
      <c r="JZ14" s="79"/>
      <c r="KA14" s="79"/>
      <c r="KB14" s="79"/>
      <c r="KC14" s="79"/>
      <c r="KD14" s="79"/>
      <c r="KE14" s="79"/>
      <c r="KF14" s="79"/>
      <c r="KG14" s="79"/>
      <c r="KH14" s="79"/>
      <c r="KI14" s="79"/>
      <c r="KJ14" s="79"/>
      <c r="KK14" s="79"/>
      <c r="KL14" s="79"/>
      <c r="KM14" s="79"/>
      <c r="KN14" s="79"/>
      <c r="KO14" s="79"/>
      <c r="KP14" s="79"/>
      <c r="KQ14" s="79"/>
      <c r="KR14" s="79"/>
      <c r="KS14" s="79"/>
      <c r="KT14" s="79"/>
      <c r="KU14" s="79"/>
      <c r="KV14" s="79"/>
      <c r="KW14" s="79"/>
      <c r="KX14" s="79"/>
      <c r="KY14" s="79"/>
      <c r="KZ14" s="79"/>
      <c r="LA14" s="79"/>
      <c r="LB14" s="79"/>
      <c r="LC14" s="79"/>
      <c r="LD14" s="79"/>
      <c r="LE14" s="79"/>
      <c r="LF14" s="79"/>
      <c r="LG14" s="79"/>
      <c r="LH14" s="79"/>
      <c r="LI14" s="79"/>
      <c r="LJ14" s="79"/>
      <c r="LK14" s="79"/>
      <c r="LL14" s="79"/>
      <c r="LM14" s="79"/>
      <c r="LN14" s="79"/>
      <c r="LO14" s="79"/>
      <c r="LP14" s="79"/>
      <c r="LQ14" s="79"/>
      <c r="LR14" s="79"/>
      <c r="LS14" s="79"/>
      <c r="LT14" s="79"/>
      <c r="LU14" s="79"/>
      <c r="LV14" s="79"/>
      <c r="LW14" s="79"/>
      <c r="LX14" s="79"/>
      <c r="LY14" s="79"/>
      <c r="LZ14" s="79"/>
      <c r="MA14" s="79"/>
      <c r="MB14" s="79"/>
      <c r="MC14" s="79"/>
      <c r="MD14" s="79"/>
      <c r="ME14" s="79"/>
      <c r="MF14" s="79"/>
      <c r="MG14" s="79"/>
      <c r="MH14" s="79"/>
      <c r="MI14" s="79"/>
      <c r="MJ14" s="79"/>
      <c r="MK14" s="79"/>
      <c r="ML14" s="79"/>
      <c r="MM14" s="79"/>
      <c r="MN14" s="79"/>
      <c r="MO14" s="79"/>
      <c r="MP14" s="79"/>
      <c r="MQ14" s="79"/>
      <c r="MR14" s="79"/>
      <c r="MS14" s="79"/>
      <c r="MT14" s="79"/>
      <c r="MU14" s="79"/>
      <c r="MV14" s="79"/>
      <c r="MW14" s="79"/>
      <c r="MX14" s="79"/>
      <c r="MY14" s="79"/>
      <c r="MZ14" s="79"/>
      <c r="NA14" s="79"/>
      <c r="NB14" s="79"/>
      <c r="NC14" s="79"/>
      <c r="ND14" s="79"/>
      <c r="NE14" s="79"/>
      <c r="NF14" s="79"/>
      <c r="NG14" s="79"/>
      <c r="NH14" s="79"/>
      <c r="NI14" s="79"/>
      <c r="NJ14" s="79"/>
      <c r="NK14" s="79"/>
      <c r="NL14" s="79"/>
      <c r="NM14" s="79"/>
      <c r="NN14" s="79"/>
      <c r="NO14" s="79"/>
      <c r="NP14" s="79"/>
      <c r="NQ14" s="79"/>
      <c r="NR14" s="79"/>
      <c r="NS14" s="79"/>
      <c r="NT14" s="79"/>
      <c r="NU14" s="79"/>
      <c r="NV14" s="79"/>
      <c r="NW14" s="79"/>
      <c r="NX14" s="79"/>
      <c r="NY14" s="79"/>
      <c r="NZ14" s="79"/>
      <c r="OA14" s="79"/>
      <c r="OB14" s="79"/>
      <c r="OC14" s="79"/>
      <c r="OD14" s="79"/>
      <c r="OE14" s="79"/>
      <c r="OF14" s="79"/>
      <c r="OG14" s="79"/>
      <c r="OH14" s="79"/>
      <c r="OI14" s="79"/>
      <c r="OJ14" s="79"/>
      <c r="OK14" s="79"/>
      <c r="OL14" s="79"/>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9"/>
      <c r="PR14" s="79"/>
      <c r="PS14" s="79"/>
      <c r="PT14" s="79"/>
      <c r="PU14" s="79"/>
      <c r="PV14" s="79"/>
      <c r="PW14" s="79"/>
      <c r="PX14" s="79"/>
      <c r="PY14" s="79"/>
      <c r="PZ14" s="79"/>
      <c r="QA14" s="79"/>
      <c r="QB14" s="79"/>
      <c r="QC14" s="79"/>
      <c r="QD14" s="79"/>
      <c r="QE14" s="79"/>
      <c r="QF14" s="79"/>
      <c r="QG14" s="79"/>
      <c r="QH14" s="79"/>
      <c r="QI14" s="79"/>
      <c r="QJ14" s="79"/>
      <c r="QK14" s="79"/>
      <c r="QL14" s="79"/>
      <c r="QM14" s="79"/>
      <c r="QN14" s="79"/>
      <c r="QO14" s="79"/>
      <c r="QP14" s="79"/>
      <c r="QQ14" s="79"/>
      <c r="QR14" s="79"/>
      <c r="QS14" s="79"/>
      <c r="QT14" s="79"/>
      <c r="QU14" s="79"/>
      <c r="QV14" s="79"/>
      <c r="QW14" s="79"/>
      <c r="QX14" s="79"/>
      <c r="QY14" s="79"/>
      <c r="QZ14" s="79"/>
      <c r="RA14" s="79"/>
      <c r="RB14" s="79"/>
      <c r="RC14" s="79"/>
      <c r="RD14" s="79"/>
      <c r="RE14" s="79"/>
      <c r="RF14" s="79"/>
      <c r="RG14" s="79"/>
      <c r="RH14" s="79"/>
      <c r="RI14" s="79"/>
      <c r="RJ14" s="79"/>
      <c r="RK14" s="79"/>
      <c r="RL14" s="79"/>
      <c r="RM14" s="79"/>
      <c r="RN14" s="79"/>
      <c r="RO14" s="79"/>
      <c r="RP14" s="79"/>
      <c r="RQ14" s="79"/>
      <c r="RR14" s="79"/>
      <c r="RS14" s="79"/>
      <c r="RT14" s="79"/>
      <c r="RU14" s="79"/>
      <c r="RV14" s="79"/>
      <c r="RW14" s="79"/>
      <c r="RX14" s="79"/>
      <c r="RY14" s="79"/>
      <c r="RZ14" s="79"/>
      <c r="SA14" s="79"/>
      <c r="SB14" s="79"/>
      <c r="SC14" s="79"/>
      <c r="SD14" s="79"/>
      <c r="SE14" s="79"/>
      <c r="SF14" s="79"/>
      <c r="SG14" s="79"/>
      <c r="SH14" s="79"/>
      <c r="SI14" s="79"/>
      <c r="SJ14" s="79"/>
    </row>
    <row r="15" spans="1:504" x14ac:dyDescent="0.25">
      <c r="B15" s="49" t="str">
        <f>'Pay App 1'!B60</f>
        <v>01 13 41</v>
      </c>
      <c r="C15" s="25" t="str">
        <f>'Pay App 1'!C60</f>
        <v>Temp. Scaffolding and Platforms</v>
      </c>
      <c r="D15" s="82">
        <f t="shared" si="8"/>
        <v>0</v>
      </c>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c r="AE15" s="79"/>
      <c r="AF15" s="79"/>
      <c r="AG15" s="79"/>
      <c r="AH15" s="79"/>
      <c r="AI15" s="79"/>
      <c r="AJ15" s="79"/>
      <c r="AK15" s="79"/>
      <c r="AL15" s="79"/>
      <c r="AM15" s="79"/>
      <c r="AN15" s="79"/>
      <c r="AO15" s="79"/>
      <c r="AP15" s="79"/>
      <c r="AQ15" s="79"/>
      <c r="AR15" s="79"/>
      <c r="AS15" s="79"/>
      <c r="AT15" s="79"/>
      <c r="AU15" s="79"/>
      <c r="AV15" s="79"/>
      <c r="AW15" s="79"/>
      <c r="AX15" s="79"/>
      <c r="AY15" s="79"/>
      <c r="AZ15" s="79"/>
      <c r="BA15" s="79"/>
      <c r="BB15" s="79"/>
      <c r="BC15" s="79"/>
      <c r="BD15" s="79"/>
      <c r="BE15" s="79"/>
      <c r="BF15" s="79"/>
      <c r="BG15" s="79"/>
      <c r="BH15" s="79"/>
      <c r="BI15" s="79"/>
      <c r="BJ15" s="79"/>
      <c r="BK15" s="79"/>
      <c r="BL15" s="79"/>
      <c r="BM15" s="79"/>
      <c r="BN15" s="79"/>
      <c r="BO15" s="79"/>
      <c r="BP15" s="79"/>
      <c r="BQ15" s="79"/>
      <c r="BR15" s="79"/>
      <c r="BS15" s="79"/>
      <c r="BT15" s="79"/>
      <c r="BU15" s="79"/>
      <c r="BV15" s="79"/>
      <c r="BW15" s="79"/>
      <c r="BX15" s="79"/>
      <c r="BY15" s="79"/>
      <c r="BZ15" s="79"/>
      <c r="CA15" s="79"/>
      <c r="CB15" s="79"/>
      <c r="CC15" s="79"/>
      <c r="CD15" s="79"/>
      <c r="CE15" s="79"/>
      <c r="CF15" s="79"/>
      <c r="CG15" s="79"/>
      <c r="CH15" s="79"/>
      <c r="CI15" s="79"/>
      <c r="CJ15" s="79"/>
      <c r="CK15" s="79"/>
      <c r="CL15" s="79"/>
      <c r="CM15" s="79"/>
      <c r="CN15" s="79"/>
      <c r="CO15" s="79"/>
      <c r="CP15" s="79"/>
      <c r="CQ15" s="79"/>
      <c r="CR15" s="79"/>
      <c r="CS15" s="79"/>
      <c r="CT15" s="79"/>
      <c r="CU15" s="79"/>
      <c r="CV15" s="79"/>
      <c r="CW15" s="79"/>
      <c r="CX15" s="79"/>
      <c r="CY15" s="79"/>
      <c r="CZ15" s="79"/>
      <c r="DA15" s="79"/>
      <c r="DB15" s="79"/>
      <c r="DC15" s="79"/>
      <c r="DD15" s="79"/>
      <c r="DE15" s="79"/>
      <c r="DF15" s="79"/>
      <c r="DG15" s="79"/>
      <c r="DH15" s="79"/>
      <c r="DI15" s="79"/>
      <c r="DJ15" s="79"/>
      <c r="DK15" s="79"/>
      <c r="DL15" s="79"/>
      <c r="DM15" s="79"/>
      <c r="DN15" s="79"/>
      <c r="DO15" s="79"/>
      <c r="DP15" s="79"/>
      <c r="DQ15" s="79"/>
      <c r="DR15" s="79"/>
      <c r="DS15" s="79"/>
      <c r="DT15" s="79"/>
      <c r="DU15" s="79"/>
      <c r="DV15" s="79"/>
      <c r="DW15" s="79"/>
      <c r="DX15" s="79"/>
      <c r="DY15" s="79"/>
      <c r="DZ15" s="79"/>
      <c r="EA15" s="79"/>
      <c r="EB15" s="79"/>
      <c r="EC15" s="79"/>
      <c r="ED15" s="79"/>
      <c r="EE15" s="79"/>
      <c r="EF15" s="79"/>
      <c r="EG15" s="79"/>
      <c r="EH15" s="79"/>
      <c r="EI15" s="79"/>
      <c r="EJ15" s="79"/>
      <c r="EK15" s="79"/>
      <c r="EL15" s="79"/>
      <c r="EM15" s="79"/>
      <c r="EN15" s="79"/>
      <c r="EO15" s="79"/>
      <c r="EP15" s="79"/>
      <c r="EQ15" s="79"/>
      <c r="ER15" s="79"/>
      <c r="ES15" s="79"/>
      <c r="ET15" s="79"/>
      <c r="EU15" s="79"/>
      <c r="EV15" s="79"/>
      <c r="EW15" s="79"/>
      <c r="EX15" s="79"/>
      <c r="EY15" s="79"/>
      <c r="EZ15" s="79"/>
      <c r="FA15" s="79"/>
      <c r="FB15" s="79"/>
      <c r="FC15" s="79"/>
      <c r="FD15" s="79"/>
      <c r="FE15" s="79"/>
      <c r="FF15" s="79"/>
      <c r="FG15" s="79"/>
      <c r="FH15" s="79"/>
      <c r="FI15" s="79"/>
      <c r="FJ15" s="79"/>
      <c r="FK15" s="79"/>
      <c r="FL15" s="79"/>
      <c r="FM15" s="79"/>
      <c r="FN15" s="79"/>
      <c r="FO15" s="79"/>
      <c r="FP15" s="79"/>
      <c r="FQ15" s="79"/>
      <c r="FR15" s="79"/>
      <c r="FS15" s="79"/>
      <c r="FT15" s="79"/>
      <c r="FU15" s="79"/>
      <c r="FV15" s="79"/>
      <c r="FW15" s="79"/>
      <c r="FX15" s="79"/>
      <c r="FY15" s="79"/>
      <c r="FZ15" s="79"/>
      <c r="GA15" s="79"/>
      <c r="GB15" s="79"/>
      <c r="GC15" s="79"/>
      <c r="GD15" s="79"/>
      <c r="GE15" s="79"/>
      <c r="GF15" s="79"/>
      <c r="GG15" s="79"/>
      <c r="GH15" s="79"/>
      <c r="GI15" s="79"/>
      <c r="GJ15" s="79"/>
      <c r="GK15" s="79"/>
      <c r="GL15" s="79"/>
      <c r="GM15" s="79"/>
      <c r="GN15" s="79"/>
      <c r="GO15" s="79"/>
      <c r="GP15" s="79"/>
      <c r="GQ15" s="79"/>
      <c r="GR15" s="79"/>
      <c r="GS15" s="79"/>
      <c r="GT15" s="79"/>
      <c r="GU15" s="79"/>
      <c r="GV15" s="79"/>
      <c r="GW15" s="79"/>
      <c r="GX15" s="79"/>
      <c r="GY15" s="79"/>
      <c r="GZ15" s="79"/>
      <c r="HA15" s="79"/>
      <c r="HB15" s="79"/>
      <c r="HC15" s="79"/>
      <c r="HD15" s="79"/>
      <c r="HE15" s="79"/>
      <c r="HF15" s="79"/>
      <c r="HG15" s="79"/>
      <c r="HH15" s="79"/>
      <c r="HI15" s="79"/>
      <c r="HJ15" s="79"/>
      <c r="HK15" s="79"/>
      <c r="HL15" s="79"/>
      <c r="HM15" s="79"/>
      <c r="HN15" s="79"/>
      <c r="HO15" s="79"/>
      <c r="HP15" s="79"/>
      <c r="HQ15" s="79"/>
      <c r="HR15" s="79"/>
      <c r="HS15" s="79"/>
      <c r="HT15" s="79"/>
      <c r="HU15" s="79"/>
      <c r="HV15" s="79"/>
      <c r="HW15" s="79"/>
      <c r="HX15" s="79"/>
      <c r="HY15" s="79"/>
      <c r="HZ15" s="79"/>
      <c r="IA15" s="79"/>
      <c r="IB15" s="79"/>
      <c r="IC15" s="79"/>
      <c r="ID15" s="79"/>
      <c r="IE15" s="79"/>
      <c r="IF15" s="79"/>
      <c r="IG15" s="79"/>
      <c r="IH15" s="79"/>
      <c r="II15" s="79"/>
      <c r="IJ15" s="79"/>
      <c r="IK15" s="79"/>
      <c r="IL15" s="79"/>
      <c r="IM15" s="79"/>
      <c r="IN15" s="79"/>
      <c r="IO15" s="79"/>
      <c r="IP15" s="79"/>
      <c r="IQ15" s="79"/>
      <c r="IR15" s="79"/>
      <c r="IS15" s="79"/>
      <c r="IT15" s="79"/>
      <c r="IU15" s="79"/>
      <c r="IV15" s="79"/>
      <c r="IW15" s="79"/>
      <c r="IX15" s="79"/>
      <c r="IY15" s="79"/>
      <c r="IZ15" s="79"/>
      <c r="JA15" s="79"/>
      <c r="JB15" s="79"/>
      <c r="JC15" s="79"/>
      <c r="JD15" s="79"/>
      <c r="JE15" s="79"/>
      <c r="JF15" s="79"/>
      <c r="JG15" s="79"/>
      <c r="JH15" s="79"/>
      <c r="JI15" s="79"/>
      <c r="JJ15" s="79"/>
      <c r="JK15" s="79"/>
      <c r="JL15" s="79"/>
      <c r="JM15" s="79"/>
      <c r="JN15" s="79"/>
      <c r="JO15" s="79"/>
      <c r="JP15" s="79"/>
      <c r="JQ15" s="79"/>
      <c r="JR15" s="79"/>
      <c r="JS15" s="79"/>
      <c r="JT15" s="79"/>
      <c r="JU15" s="79"/>
      <c r="JV15" s="79"/>
      <c r="JW15" s="79"/>
      <c r="JX15" s="79"/>
      <c r="JY15" s="79"/>
      <c r="JZ15" s="79"/>
      <c r="KA15" s="79"/>
      <c r="KB15" s="79"/>
      <c r="KC15" s="79"/>
      <c r="KD15" s="79"/>
      <c r="KE15" s="79"/>
      <c r="KF15" s="79"/>
      <c r="KG15" s="79"/>
      <c r="KH15" s="79"/>
      <c r="KI15" s="79"/>
      <c r="KJ15" s="79"/>
      <c r="KK15" s="79"/>
      <c r="KL15" s="79"/>
      <c r="KM15" s="79"/>
      <c r="KN15" s="79"/>
      <c r="KO15" s="79"/>
      <c r="KP15" s="79"/>
      <c r="KQ15" s="79"/>
      <c r="KR15" s="79"/>
      <c r="KS15" s="79"/>
      <c r="KT15" s="79"/>
      <c r="KU15" s="79"/>
      <c r="KV15" s="79"/>
      <c r="KW15" s="79"/>
      <c r="KX15" s="79"/>
      <c r="KY15" s="79"/>
      <c r="KZ15" s="79"/>
      <c r="LA15" s="79"/>
      <c r="LB15" s="79"/>
      <c r="LC15" s="79"/>
      <c r="LD15" s="79"/>
      <c r="LE15" s="79"/>
      <c r="LF15" s="79"/>
      <c r="LG15" s="79"/>
      <c r="LH15" s="79"/>
      <c r="LI15" s="79"/>
      <c r="LJ15" s="79"/>
      <c r="LK15" s="79"/>
      <c r="LL15" s="79"/>
      <c r="LM15" s="79"/>
      <c r="LN15" s="79"/>
      <c r="LO15" s="79"/>
      <c r="LP15" s="79"/>
      <c r="LQ15" s="79"/>
      <c r="LR15" s="79"/>
      <c r="LS15" s="79"/>
      <c r="LT15" s="79"/>
      <c r="LU15" s="79"/>
      <c r="LV15" s="79"/>
      <c r="LW15" s="79"/>
      <c r="LX15" s="79"/>
      <c r="LY15" s="79"/>
      <c r="LZ15" s="79"/>
      <c r="MA15" s="79"/>
      <c r="MB15" s="79"/>
      <c r="MC15" s="79"/>
      <c r="MD15" s="79"/>
      <c r="ME15" s="79"/>
      <c r="MF15" s="79"/>
      <c r="MG15" s="79"/>
      <c r="MH15" s="79"/>
      <c r="MI15" s="79"/>
      <c r="MJ15" s="79"/>
      <c r="MK15" s="79"/>
      <c r="ML15" s="79"/>
      <c r="MM15" s="79"/>
      <c r="MN15" s="79"/>
      <c r="MO15" s="79"/>
      <c r="MP15" s="79"/>
      <c r="MQ15" s="79"/>
      <c r="MR15" s="79"/>
      <c r="MS15" s="79"/>
      <c r="MT15" s="79"/>
      <c r="MU15" s="79"/>
      <c r="MV15" s="79"/>
      <c r="MW15" s="79"/>
      <c r="MX15" s="79"/>
      <c r="MY15" s="79"/>
      <c r="MZ15" s="79"/>
      <c r="NA15" s="79"/>
      <c r="NB15" s="79"/>
      <c r="NC15" s="79"/>
      <c r="ND15" s="79"/>
      <c r="NE15" s="79"/>
      <c r="NF15" s="79"/>
      <c r="NG15" s="79"/>
      <c r="NH15" s="79"/>
      <c r="NI15" s="79"/>
      <c r="NJ15" s="79"/>
      <c r="NK15" s="79"/>
      <c r="NL15" s="79"/>
      <c r="NM15" s="79"/>
      <c r="NN15" s="79"/>
      <c r="NO15" s="79"/>
      <c r="NP15" s="79"/>
      <c r="NQ15" s="79"/>
      <c r="NR15" s="79"/>
      <c r="NS15" s="79"/>
      <c r="NT15" s="79"/>
      <c r="NU15" s="79"/>
      <c r="NV15" s="79"/>
      <c r="NW15" s="79"/>
      <c r="NX15" s="79"/>
      <c r="NY15" s="79"/>
      <c r="NZ15" s="79"/>
      <c r="OA15" s="79"/>
      <c r="OB15" s="79"/>
      <c r="OC15" s="79"/>
      <c r="OD15" s="79"/>
      <c r="OE15" s="79"/>
      <c r="OF15" s="79"/>
      <c r="OG15" s="79"/>
      <c r="OH15" s="79"/>
      <c r="OI15" s="79"/>
      <c r="OJ15" s="79"/>
      <c r="OK15" s="79"/>
      <c r="OL15" s="79"/>
      <c r="OM15" s="79"/>
      <c r="ON15" s="79"/>
      <c r="OO15" s="79"/>
      <c r="OP15" s="79"/>
      <c r="OQ15" s="79"/>
      <c r="OR15" s="79"/>
      <c r="OS15" s="79"/>
      <c r="OT15" s="79"/>
      <c r="OU15" s="79"/>
      <c r="OV15" s="79"/>
      <c r="OW15" s="79"/>
      <c r="OX15" s="79"/>
      <c r="OY15" s="79"/>
      <c r="OZ15" s="79"/>
      <c r="PA15" s="79"/>
      <c r="PB15" s="79"/>
      <c r="PC15" s="79"/>
      <c r="PD15" s="79"/>
      <c r="PE15" s="79"/>
      <c r="PF15" s="79"/>
      <c r="PG15" s="79"/>
      <c r="PH15" s="79"/>
      <c r="PI15" s="79"/>
      <c r="PJ15" s="79"/>
      <c r="PK15" s="79"/>
      <c r="PL15" s="79"/>
      <c r="PM15" s="79"/>
      <c r="PN15" s="79"/>
      <c r="PO15" s="79"/>
      <c r="PP15" s="79"/>
      <c r="PQ15" s="79"/>
      <c r="PR15" s="79"/>
      <c r="PS15" s="79"/>
      <c r="PT15" s="79"/>
      <c r="PU15" s="79"/>
      <c r="PV15" s="79"/>
      <c r="PW15" s="79"/>
      <c r="PX15" s="79"/>
      <c r="PY15" s="79"/>
      <c r="PZ15" s="79"/>
      <c r="QA15" s="79"/>
      <c r="QB15" s="79"/>
      <c r="QC15" s="79"/>
      <c r="QD15" s="79"/>
      <c r="QE15" s="79"/>
      <c r="QF15" s="79"/>
      <c r="QG15" s="79"/>
      <c r="QH15" s="79"/>
      <c r="QI15" s="79"/>
      <c r="QJ15" s="79"/>
      <c r="QK15" s="79"/>
      <c r="QL15" s="79"/>
      <c r="QM15" s="79"/>
      <c r="QN15" s="79"/>
      <c r="QO15" s="79"/>
      <c r="QP15" s="79"/>
      <c r="QQ15" s="79"/>
      <c r="QR15" s="79"/>
      <c r="QS15" s="79"/>
      <c r="QT15" s="79"/>
      <c r="QU15" s="79"/>
      <c r="QV15" s="79"/>
      <c r="QW15" s="79"/>
      <c r="QX15" s="79"/>
      <c r="QY15" s="79"/>
      <c r="QZ15" s="79"/>
      <c r="RA15" s="79"/>
      <c r="RB15" s="79"/>
      <c r="RC15" s="79"/>
      <c r="RD15" s="79"/>
      <c r="RE15" s="79"/>
      <c r="RF15" s="79"/>
      <c r="RG15" s="79"/>
      <c r="RH15" s="79"/>
      <c r="RI15" s="79"/>
      <c r="RJ15" s="79"/>
      <c r="RK15" s="79"/>
      <c r="RL15" s="79"/>
      <c r="RM15" s="79"/>
      <c r="RN15" s="79"/>
      <c r="RO15" s="79"/>
      <c r="RP15" s="79"/>
      <c r="RQ15" s="79"/>
      <c r="RR15" s="79"/>
      <c r="RS15" s="79"/>
      <c r="RT15" s="79"/>
      <c r="RU15" s="79"/>
      <c r="RV15" s="79"/>
      <c r="RW15" s="79"/>
      <c r="RX15" s="79"/>
      <c r="RY15" s="79"/>
      <c r="RZ15" s="79"/>
      <c r="SA15" s="79"/>
      <c r="SB15" s="79"/>
      <c r="SC15" s="79"/>
      <c r="SD15" s="79"/>
      <c r="SE15" s="79"/>
      <c r="SF15" s="79"/>
      <c r="SG15" s="79"/>
      <c r="SH15" s="79"/>
      <c r="SI15" s="79"/>
      <c r="SJ15" s="79"/>
    </row>
    <row r="16" spans="1:504" x14ac:dyDescent="0.25">
      <c r="B16" s="49" t="str">
        <f>'Pay App 1'!B61</f>
        <v>01 13 60</v>
      </c>
      <c r="C16" s="25" t="str">
        <f>'Pay App 1'!C61</f>
        <v>SWPPP</v>
      </c>
      <c r="D16" s="82">
        <f t="shared" si="8"/>
        <v>0</v>
      </c>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79"/>
      <c r="NF16" s="79"/>
      <c r="NG16" s="79"/>
      <c r="NH16" s="79"/>
      <c r="NI16" s="79"/>
      <c r="NJ16" s="79"/>
      <c r="NK16" s="79"/>
      <c r="NL16" s="79"/>
      <c r="NM16" s="79"/>
      <c r="NN16" s="79"/>
      <c r="NO16" s="79"/>
      <c r="NP16" s="79"/>
      <c r="NQ16" s="79"/>
      <c r="NR16" s="79"/>
      <c r="NS16" s="79"/>
      <c r="NT16" s="79"/>
      <c r="NU16" s="79"/>
      <c r="NV16" s="79"/>
      <c r="NW16" s="79"/>
      <c r="NX16" s="79"/>
      <c r="NY16" s="79"/>
      <c r="NZ16" s="79"/>
      <c r="OA16" s="79"/>
      <c r="OB16" s="79"/>
      <c r="OC16" s="79"/>
      <c r="OD16" s="79"/>
      <c r="OE16" s="79"/>
      <c r="OF16" s="79"/>
      <c r="OG16" s="79"/>
      <c r="OH16" s="79"/>
      <c r="OI16" s="79"/>
      <c r="OJ16" s="79"/>
      <c r="OK16" s="79"/>
      <c r="OL16" s="79"/>
      <c r="OM16" s="79"/>
      <c r="ON16" s="79"/>
      <c r="OO16" s="79"/>
      <c r="OP16" s="79"/>
      <c r="OQ16" s="79"/>
      <c r="OR16" s="79"/>
      <c r="OS16" s="79"/>
      <c r="OT16" s="79"/>
      <c r="OU16" s="79"/>
      <c r="OV16" s="79"/>
      <c r="OW16" s="79"/>
      <c r="OX16" s="79"/>
      <c r="OY16" s="79"/>
      <c r="OZ16" s="79"/>
      <c r="PA16" s="79"/>
      <c r="PB16" s="79"/>
      <c r="PC16" s="79"/>
      <c r="PD16" s="79"/>
      <c r="PE16" s="79"/>
      <c r="PF16" s="79"/>
      <c r="PG16" s="79"/>
      <c r="PH16" s="79"/>
      <c r="PI16" s="79"/>
      <c r="PJ16" s="79"/>
      <c r="PK16" s="79"/>
      <c r="PL16" s="79"/>
      <c r="PM16" s="79"/>
      <c r="PN16" s="79"/>
      <c r="PO16" s="79"/>
      <c r="PP16" s="79"/>
      <c r="PQ16" s="79"/>
      <c r="PR16" s="79"/>
      <c r="PS16" s="79"/>
      <c r="PT16" s="79"/>
      <c r="PU16" s="79"/>
      <c r="PV16" s="79"/>
      <c r="PW16" s="79"/>
      <c r="PX16" s="79"/>
      <c r="PY16" s="79"/>
      <c r="PZ16" s="79"/>
      <c r="QA16" s="79"/>
      <c r="QB16" s="79"/>
      <c r="QC16" s="79"/>
      <c r="QD16" s="79"/>
      <c r="QE16" s="79"/>
      <c r="QF16" s="79"/>
      <c r="QG16" s="79"/>
      <c r="QH16" s="79"/>
      <c r="QI16" s="79"/>
      <c r="QJ16" s="79"/>
      <c r="QK16" s="79"/>
      <c r="QL16" s="79"/>
      <c r="QM16" s="79"/>
      <c r="QN16" s="79"/>
      <c r="QO16" s="79"/>
      <c r="QP16" s="79"/>
      <c r="QQ16" s="79"/>
      <c r="QR16" s="79"/>
      <c r="QS16" s="79"/>
      <c r="QT16" s="79"/>
      <c r="QU16" s="79"/>
      <c r="QV16" s="79"/>
      <c r="QW16" s="79"/>
      <c r="QX16" s="79"/>
      <c r="QY16" s="79"/>
      <c r="QZ16" s="79"/>
      <c r="RA16" s="79"/>
      <c r="RB16" s="79"/>
      <c r="RC16" s="79"/>
      <c r="RD16" s="79"/>
      <c r="RE16" s="79"/>
      <c r="RF16" s="79"/>
      <c r="RG16" s="79"/>
      <c r="RH16" s="79"/>
      <c r="RI16" s="79"/>
      <c r="RJ16" s="79"/>
      <c r="RK16" s="79"/>
      <c r="RL16" s="79"/>
      <c r="RM16" s="79"/>
      <c r="RN16" s="79"/>
      <c r="RO16" s="79"/>
      <c r="RP16" s="79"/>
      <c r="RQ16" s="79"/>
      <c r="RR16" s="79"/>
      <c r="RS16" s="79"/>
      <c r="RT16" s="79"/>
      <c r="RU16" s="79"/>
      <c r="RV16" s="79"/>
      <c r="RW16" s="79"/>
      <c r="RX16" s="79"/>
      <c r="RY16" s="79"/>
      <c r="RZ16" s="79"/>
      <c r="SA16" s="79"/>
      <c r="SB16" s="79"/>
      <c r="SC16" s="79"/>
      <c r="SD16" s="79"/>
      <c r="SE16" s="79"/>
      <c r="SF16" s="79"/>
      <c r="SG16" s="79"/>
      <c r="SH16" s="79"/>
      <c r="SI16" s="79"/>
      <c r="SJ16" s="79"/>
    </row>
    <row r="17" spans="2:504" x14ac:dyDescent="0.25">
      <c r="B17" s="49" t="str">
        <f>'Pay App 1'!B62</f>
        <v>01 19 70</v>
      </c>
      <c r="C17" s="25" t="str">
        <f>'Pay App 1'!C62</f>
        <v>Construction Cranes and Hoists</v>
      </c>
      <c r="D17" s="82">
        <f t="shared" si="8"/>
        <v>0</v>
      </c>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79"/>
      <c r="AO17" s="79"/>
      <c r="AP17" s="79"/>
      <c r="AQ17" s="79"/>
      <c r="AR17" s="79"/>
      <c r="AS17" s="79"/>
      <c r="AT17" s="79"/>
      <c r="AU17" s="79"/>
      <c r="AV17" s="79"/>
      <c r="AW17" s="79"/>
      <c r="AX17" s="79"/>
      <c r="AY17" s="79"/>
      <c r="AZ17" s="79"/>
      <c r="BA17" s="79"/>
      <c r="BB17" s="79"/>
      <c r="BC17" s="79"/>
      <c r="BD17" s="79"/>
      <c r="BE17" s="79"/>
      <c r="BF17" s="79"/>
      <c r="BG17" s="79"/>
      <c r="BH17" s="79"/>
      <c r="BI17" s="79"/>
      <c r="BJ17" s="79"/>
      <c r="BK17" s="79"/>
      <c r="BL17" s="79"/>
      <c r="BM17" s="79"/>
      <c r="BN17" s="79"/>
      <c r="BO17" s="79"/>
      <c r="BP17" s="79"/>
      <c r="BQ17" s="79"/>
      <c r="BR17" s="79"/>
      <c r="BS17" s="79"/>
      <c r="BT17" s="79"/>
      <c r="BU17" s="79"/>
      <c r="BV17" s="79"/>
      <c r="BW17" s="79"/>
      <c r="BX17" s="79"/>
      <c r="BY17" s="79"/>
      <c r="BZ17" s="79"/>
      <c r="CA17" s="79"/>
      <c r="CB17" s="79"/>
      <c r="CC17" s="79"/>
      <c r="CD17" s="79"/>
      <c r="CE17" s="79"/>
      <c r="CF17" s="79"/>
      <c r="CG17" s="79"/>
      <c r="CH17" s="79"/>
      <c r="CI17" s="79"/>
      <c r="CJ17" s="79"/>
      <c r="CK17" s="79"/>
      <c r="CL17" s="79"/>
      <c r="CM17" s="79"/>
      <c r="CN17" s="79"/>
      <c r="CO17" s="79"/>
      <c r="CP17" s="79"/>
      <c r="CQ17" s="79"/>
      <c r="CR17" s="79"/>
      <c r="CS17" s="79"/>
      <c r="CT17" s="79"/>
      <c r="CU17" s="79"/>
      <c r="CV17" s="79"/>
      <c r="CW17" s="79"/>
      <c r="CX17" s="79"/>
      <c r="CY17" s="79"/>
      <c r="CZ17" s="79"/>
      <c r="DA17" s="79"/>
      <c r="DB17" s="79"/>
      <c r="DC17" s="79"/>
      <c r="DD17" s="79"/>
      <c r="DE17" s="79"/>
      <c r="DF17" s="79"/>
      <c r="DG17" s="79"/>
      <c r="DH17" s="79"/>
      <c r="DI17" s="79"/>
      <c r="DJ17" s="79"/>
      <c r="DK17" s="79"/>
      <c r="DL17" s="79"/>
      <c r="DM17" s="79"/>
      <c r="DN17" s="79"/>
      <c r="DO17" s="79"/>
      <c r="DP17" s="79"/>
      <c r="DQ17" s="79"/>
      <c r="DR17" s="79"/>
      <c r="DS17" s="79"/>
      <c r="DT17" s="79"/>
      <c r="DU17" s="79"/>
      <c r="DV17" s="79"/>
      <c r="DW17" s="79"/>
      <c r="DX17" s="79"/>
      <c r="DY17" s="79"/>
      <c r="DZ17" s="79"/>
      <c r="EA17" s="79"/>
      <c r="EB17" s="79"/>
      <c r="EC17" s="79"/>
      <c r="ED17" s="79"/>
      <c r="EE17" s="79"/>
      <c r="EF17" s="79"/>
      <c r="EG17" s="79"/>
      <c r="EH17" s="79"/>
      <c r="EI17" s="79"/>
      <c r="EJ17" s="79"/>
      <c r="EK17" s="79"/>
      <c r="EL17" s="79"/>
      <c r="EM17" s="79"/>
      <c r="EN17" s="79"/>
      <c r="EO17" s="79"/>
      <c r="EP17" s="79"/>
      <c r="EQ17" s="79"/>
      <c r="ER17" s="79"/>
      <c r="ES17" s="79"/>
      <c r="ET17" s="79"/>
      <c r="EU17" s="79"/>
      <c r="EV17" s="79"/>
      <c r="EW17" s="79"/>
      <c r="EX17" s="79"/>
      <c r="EY17" s="79"/>
      <c r="EZ17" s="79"/>
      <c r="FA17" s="79"/>
      <c r="FB17" s="79"/>
      <c r="FC17" s="79"/>
      <c r="FD17" s="79"/>
      <c r="FE17" s="79"/>
      <c r="FF17" s="79"/>
      <c r="FG17" s="79"/>
      <c r="FH17" s="79"/>
      <c r="FI17" s="79"/>
      <c r="FJ17" s="79"/>
      <c r="FK17" s="79"/>
      <c r="FL17" s="79"/>
      <c r="FM17" s="79"/>
      <c r="FN17" s="79"/>
      <c r="FO17" s="79"/>
      <c r="FP17" s="79"/>
      <c r="FQ17" s="79"/>
      <c r="FR17" s="79"/>
      <c r="FS17" s="79"/>
      <c r="FT17" s="79"/>
      <c r="FU17" s="79"/>
      <c r="FV17" s="79"/>
      <c r="FW17" s="79"/>
      <c r="FX17" s="79"/>
      <c r="FY17" s="79"/>
      <c r="FZ17" s="79"/>
      <c r="GA17" s="79"/>
      <c r="GB17" s="79"/>
      <c r="GC17" s="79"/>
      <c r="GD17" s="79"/>
      <c r="GE17" s="79"/>
      <c r="GF17" s="79"/>
      <c r="GG17" s="79"/>
      <c r="GH17" s="79"/>
      <c r="GI17" s="79"/>
      <c r="GJ17" s="79"/>
      <c r="GK17" s="79"/>
      <c r="GL17" s="79"/>
      <c r="GM17" s="79"/>
      <c r="GN17" s="79"/>
      <c r="GO17" s="79"/>
      <c r="GP17" s="79"/>
      <c r="GQ17" s="79"/>
      <c r="GR17" s="79"/>
      <c r="GS17" s="79"/>
      <c r="GT17" s="79"/>
      <c r="GU17" s="79"/>
      <c r="GV17" s="79"/>
      <c r="GW17" s="79"/>
      <c r="GX17" s="79"/>
      <c r="GY17" s="79"/>
      <c r="GZ17" s="79"/>
      <c r="HA17" s="79"/>
      <c r="HB17" s="79"/>
      <c r="HC17" s="79"/>
      <c r="HD17" s="79"/>
      <c r="HE17" s="79"/>
      <c r="HF17" s="79"/>
      <c r="HG17" s="79"/>
      <c r="HH17" s="79"/>
      <c r="HI17" s="79"/>
      <c r="HJ17" s="79"/>
      <c r="HK17" s="79"/>
      <c r="HL17" s="79"/>
      <c r="HM17" s="79"/>
      <c r="HN17" s="79"/>
      <c r="HO17" s="79"/>
      <c r="HP17" s="79"/>
      <c r="HQ17" s="79"/>
      <c r="HR17" s="79"/>
      <c r="HS17" s="79"/>
      <c r="HT17" s="79"/>
      <c r="HU17" s="79"/>
      <c r="HV17" s="79"/>
      <c r="HW17" s="79"/>
      <c r="HX17" s="79"/>
      <c r="HY17" s="79"/>
      <c r="HZ17" s="79"/>
      <c r="IA17" s="79"/>
      <c r="IB17" s="79"/>
      <c r="IC17" s="79"/>
      <c r="ID17" s="79"/>
      <c r="IE17" s="79"/>
      <c r="IF17" s="79"/>
      <c r="IG17" s="79"/>
      <c r="IH17" s="79"/>
      <c r="II17" s="79"/>
      <c r="IJ17" s="79"/>
      <c r="IK17" s="79"/>
      <c r="IL17" s="79"/>
      <c r="IM17" s="79"/>
      <c r="IN17" s="79"/>
      <c r="IO17" s="79"/>
      <c r="IP17" s="79"/>
      <c r="IQ17" s="79"/>
      <c r="IR17" s="79"/>
      <c r="IS17" s="79"/>
      <c r="IT17" s="79"/>
      <c r="IU17" s="79"/>
      <c r="IV17" s="79"/>
      <c r="IW17" s="79"/>
      <c r="IX17" s="79"/>
      <c r="IY17" s="79"/>
      <c r="IZ17" s="79"/>
      <c r="JA17" s="79"/>
      <c r="JB17" s="79"/>
      <c r="JC17" s="79"/>
      <c r="JD17" s="79"/>
      <c r="JE17" s="79"/>
      <c r="JF17" s="79"/>
      <c r="JG17" s="79"/>
      <c r="JH17" s="79"/>
      <c r="JI17" s="79"/>
      <c r="JJ17" s="79"/>
      <c r="JK17" s="79"/>
      <c r="JL17" s="79"/>
      <c r="JM17" s="79"/>
      <c r="JN17" s="79"/>
      <c r="JO17" s="79"/>
      <c r="JP17" s="79"/>
      <c r="JQ17" s="79"/>
      <c r="JR17" s="79"/>
      <c r="JS17" s="79"/>
      <c r="JT17" s="79"/>
      <c r="JU17" s="79"/>
      <c r="JV17" s="79"/>
      <c r="JW17" s="79"/>
      <c r="JX17" s="79"/>
      <c r="JY17" s="79"/>
      <c r="JZ17" s="79"/>
      <c r="KA17" s="79"/>
      <c r="KB17" s="79"/>
      <c r="KC17" s="79"/>
      <c r="KD17" s="79"/>
      <c r="KE17" s="79"/>
      <c r="KF17" s="79"/>
      <c r="KG17" s="79"/>
      <c r="KH17" s="79"/>
      <c r="KI17" s="79"/>
      <c r="KJ17" s="79"/>
      <c r="KK17" s="79"/>
      <c r="KL17" s="79"/>
      <c r="KM17" s="79"/>
      <c r="KN17" s="79"/>
      <c r="KO17" s="79"/>
      <c r="KP17" s="79"/>
      <c r="KQ17" s="79"/>
      <c r="KR17" s="79"/>
      <c r="KS17" s="79"/>
      <c r="KT17" s="79"/>
      <c r="KU17" s="79"/>
      <c r="KV17" s="79"/>
      <c r="KW17" s="79"/>
      <c r="KX17" s="79"/>
      <c r="KY17" s="79"/>
      <c r="KZ17" s="79"/>
      <c r="LA17" s="79"/>
      <c r="LB17" s="79"/>
      <c r="LC17" s="79"/>
      <c r="LD17" s="79"/>
      <c r="LE17" s="79"/>
      <c r="LF17" s="79"/>
      <c r="LG17" s="79"/>
      <c r="LH17" s="79"/>
      <c r="LI17" s="79"/>
      <c r="LJ17" s="79"/>
      <c r="LK17" s="79"/>
      <c r="LL17" s="79"/>
      <c r="LM17" s="79"/>
      <c r="LN17" s="79"/>
      <c r="LO17" s="79"/>
      <c r="LP17" s="79"/>
      <c r="LQ17" s="79"/>
      <c r="LR17" s="79"/>
      <c r="LS17" s="79"/>
      <c r="LT17" s="79"/>
      <c r="LU17" s="79"/>
      <c r="LV17" s="79"/>
      <c r="LW17" s="79"/>
      <c r="LX17" s="79"/>
      <c r="LY17" s="79"/>
      <c r="LZ17" s="79"/>
      <c r="MA17" s="79"/>
      <c r="MB17" s="79"/>
      <c r="MC17" s="79"/>
      <c r="MD17" s="79"/>
      <c r="ME17" s="79"/>
      <c r="MF17" s="79"/>
      <c r="MG17" s="79"/>
      <c r="MH17" s="79"/>
      <c r="MI17" s="79"/>
      <c r="MJ17" s="79"/>
      <c r="MK17" s="79"/>
      <c r="ML17" s="79"/>
      <c r="MM17" s="79"/>
      <c r="MN17" s="79"/>
      <c r="MO17" s="79"/>
      <c r="MP17" s="79"/>
      <c r="MQ17" s="79"/>
      <c r="MR17" s="79"/>
      <c r="MS17" s="79"/>
      <c r="MT17" s="79"/>
      <c r="MU17" s="79"/>
      <c r="MV17" s="79"/>
      <c r="MW17" s="79"/>
      <c r="MX17" s="79"/>
      <c r="MY17" s="79"/>
      <c r="MZ17" s="79"/>
      <c r="NA17" s="79"/>
      <c r="NB17" s="79"/>
      <c r="NC17" s="79"/>
      <c r="ND17" s="79"/>
      <c r="NE17" s="79"/>
      <c r="NF17" s="79"/>
      <c r="NG17" s="79"/>
      <c r="NH17" s="79"/>
      <c r="NI17" s="79"/>
      <c r="NJ17" s="79"/>
      <c r="NK17" s="79"/>
      <c r="NL17" s="79"/>
      <c r="NM17" s="79"/>
      <c r="NN17" s="79"/>
      <c r="NO17" s="79"/>
      <c r="NP17" s="79"/>
      <c r="NQ17" s="79"/>
      <c r="NR17" s="79"/>
      <c r="NS17" s="79"/>
      <c r="NT17" s="79"/>
      <c r="NU17" s="79"/>
      <c r="NV17" s="79"/>
      <c r="NW17" s="79"/>
      <c r="NX17" s="79"/>
      <c r="NY17" s="79"/>
      <c r="NZ17" s="79"/>
      <c r="OA17" s="79"/>
      <c r="OB17" s="79"/>
      <c r="OC17" s="79"/>
      <c r="OD17" s="79"/>
      <c r="OE17" s="79"/>
      <c r="OF17" s="79"/>
      <c r="OG17" s="79"/>
      <c r="OH17" s="79"/>
      <c r="OI17" s="79"/>
      <c r="OJ17" s="79"/>
      <c r="OK17" s="79"/>
      <c r="OL17" s="79"/>
      <c r="OM17" s="79"/>
      <c r="ON17" s="79"/>
      <c r="OO17" s="79"/>
      <c r="OP17" s="79"/>
      <c r="OQ17" s="79"/>
      <c r="OR17" s="79"/>
      <c r="OS17" s="79"/>
      <c r="OT17" s="79"/>
      <c r="OU17" s="79"/>
      <c r="OV17" s="79"/>
      <c r="OW17" s="79"/>
      <c r="OX17" s="79"/>
      <c r="OY17" s="79"/>
      <c r="OZ17" s="79"/>
      <c r="PA17" s="79"/>
      <c r="PB17" s="79"/>
      <c r="PC17" s="79"/>
      <c r="PD17" s="79"/>
      <c r="PE17" s="79"/>
      <c r="PF17" s="79"/>
      <c r="PG17" s="79"/>
      <c r="PH17" s="79"/>
      <c r="PI17" s="79"/>
      <c r="PJ17" s="79"/>
      <c r="PK17" s="79"/>
      <c r="PL17" s="79"/>
      <c r="PM17" s="79"/>
      <c r="PN17" s="79"/>
      <c r="PO17" s="79"/>
      <c r="PP17" s="79"/>
      <c r="PQ17" s="79"/>
      <c r="PR17" s="79"/>
      <c r="PS17" s="79"/>
      <c r="PT17" s="79"/>
      <c r="PU17" s="79"/>
      <c r="PV17" s="79"/>
      <c r="PW17" s="79"/>
      <c r="PX17" s="79"/>
      <c r="PY17" s="79"/>
      <c r="PZ17" s="79"/>
      <c r="QA17" s="79"/>
      <c r="QB17" s="79"/>
      <c r="QC17" s="79"/>
      <c r="QD17" s="79"/>
      <c r="QE17" s="79"/>
      <c r="QF17" s="79"/>
      <c r="QG17" s="79"/>
      <c r="QH17" s="79"/>
      <c r="QI17" s="79"/>
      <c r="QJ17" s="79"/>
      <c r="QK17" s="79"/>
      <c r="QL17" s="79"/>
      <c r="QM17" s="79"/>
      <c r="QN17" s="79"/>
      <c r="QO17" s="79"/>
      <c r="QP17" s="79"/>
      <c r="QQ17" s="79"/>
      <c r="QR17" s="79"/>
      <c r="QS17" s="79"/>
      <c r="QT17" s="79"/>
      <c r="QU17" s="79"/>
      <c r="QV17" s="79"/>
      <c r="QW17" s="79"/>
      <c r="QX17" s="79"/>
      <c r="QY17" s="79"/>
      <c r="QZ17" s="79"/>
      <c r="RA17" s="79"/>
      <c r="RB17" s="79"/>
      <c r="RC17" s="79"/>
      <c r="RD17" s="79"/>
      <c r="RE17" s="79"/>
      <c r="RF17" s="79"/>
      <c r="RG17" s="79"/>
      <c r="RH17" s="79"/>
      <c r="RI17" s="79"/>
      <c r="RJ17" s="79"/>
      <c r="RK17" s="79"/>
      <c r="RL17" s="79"/>
      <c r="RM17" s="79"/>
      <c r="RN17" s="79"/>
      <c r="RO17" s="79"/>
      <c r="RP17" s="79"/>
      <c r="RQ17" s="79"/>
      <c r="RR17" s="79"/>
      <c r="RS17" s="79"/>
      <c r="RT17" s="79"/>
      <c r="RU17" s="79"/>
      <c r="RV17" s="79"/>
      <c r="RW17" s="79"/>
      <c r="RX17" s="79"/>
      <c r="RY17" s="79"/>
      <c r="RZ17" s="79"/>
      <c r="SA17" s="79"/>
      <c r="SB17" s="79"/>
      <c r="SC17" s="79"/>
      <c r="SD17" s="79"/>
      <c r="SE17" s="79"/>
      <c r="SF17" s="79"/>
      <c r="SG17" s="79"/>
      <c r="SH17" s="79"/>
      <c r="SI17" s="79"/>
      <c r="SJ17" s="79"/>
    </row>
    <row r="18" spans="2:504" x14ac:dyDescent="0.25">
      <c r="B18" s="49" t="str">
        <f>'Pay App 1'!B63</f>
        <v>01 31 00</v>
      </c>
      <c r="C18" s="25" t="str">
        <f>'Pay App 1'!C63</f>
        <v>Contractor's Supervision</v>
      </c>
      <c r="D18" s="82">
        <f t="shared" si="8"/>
        <v>0</v>
      </c>
      <c r="E18" s="79"/>
      <c r="F18" s="79"/>
      <c r="G18" s="79"/>
      <c r="H18" s="79"/>
      <c r="I18" s="79"/>
      <c r="J18" s="79"/>
      <c r="K18" s="79"/>
      <c r="L18" s="79"/>
      <c r="M18" s="79"/>
      <c r="N18" s="79"/>
      <c r="O18" s="79"/>
      <c r="P18" s="79"/>
      <c r="Q18" s="79"/>
      <c r="R18" s="79"/>
      <c r="S18" s="79"/>
      <c r="T18" s="79"/>
      <c r="U18" s="79"/>
      <c r="V18" s="79"/>
      <c r="W18" s="79"/>
      <c r="X18" s="79"/>
      <c r="Y18" s="79"/>
      <c r="Z18" s="79"/>
      <c r="AA18" s="79"/>
      <c r="AB18" s="79"/>
      <c r="AC18" s="79"/>
      <c r="AD18" s="79"/>
      <c r="AE18" s="79"/>
      <c r="AF18" s="79"/>
      <c r="AG18" s="79"/>
      <c r="AH18" s="79"/>
      <c r="AI18" s="79"/>
      <c r="AJ18" s="79"/>
      <c r="AK18" s="79"/>
      <c r="AL18" s="79"/>
      <c r="AM18" s="79"/>
      <c r="AN18" s="79"/>
      <c r="AO18" s="79"/>
      <c r="AP18" s="79"/>
      <c r="AQ18" s="79"/>
      <c r="AR18" s="79"/>
      <c r="AS18" s="79"/>
      <c r="AT18" s="79"/>
      <c r="AU18" s="79"/>
      <c r="AV18" s="79"/>
      <c r="AW18" s="79"/>
      <c r="AX18" s="79"/>
      <c r="AY18" s="79"/>
      <c r="AZ18" s="79"/>
      <c r="BA18" s="79"/>
      <c r="BB18" s="79"/>
      <c r="BC18" s="79"/>
      <c r="BD18" s="79"/>
      <c r="BE18" s="79"/>
      <c r="BF18" s="79"/>
      <c r="BG18" s="79"/>
      <c r="BH18" s="79"/>
      <c r="BI18" s="79"/>
      <c r="BJ18" s="79"/>
      <c r="BK18" s="79"/>
      <c r="BL18" s="79"/>
      <c r="BM18" s="79"/>
      <c r="BN18" s="79"/>
      <c r="BO18" s="79"/>
      <c r="BP18" s="79"/>
      <c r="BQ18" s="79"/>
      <c r="BR18" s="79"/>
      <c r="BS18" s="79"/>
      <c r="BT18" s="79"/>
      <c r="BU18" s="79"/>
      <c r="BV18" s="79"/>
      <c r="BW18" s="79"/>
      <c r="BX18" s="79"/>
      <c r="BY18" s="79"/>
      <c r="BZ18" s="79"/>
      <c r="CA18" s="79"/>
      <c r="CB18" s="79"/>
      <c r="CC18" s="79"/>
      <c r="CD18" s="79"/>
      <c r="CE18" s="79"/>
      <c r="CF18" s="79"/>
      <c r="CG18" s="79"/>
      <c r="CH18" s="79"/>
      <c r="CI18" s="79"/>
      <c r="CJ18" s="79"/>
      <c r="CK18" s="79"/>
      <c r="CL18" s="79"/>
      <c r="CM18" s="79"/>
      <c r="CN18" s="79"/>
      <c r="CO18" s="79"/>
      <c r="CP18" s="79"/>
      <c r="CQ18" s="79"/>
      <c r="CR18" s="79"/>
      <c r="CS18" s="79"/>
      <c r="CT18" s="79"/>
      <c r="CU18" s="79"/>
      <c r="CV18" s="79"/>
      <c r="CW18" s="79"/>
      <c r="CX18" s="79"/>
      <c r="CY18" s="79"/>
      <c r="CZ18" s="79"/>
      <c r="DA18" s="79"/>
      <c r="DB18" s="79"/>
      <c r="DC18" s="79"/>
      <c r="DD18" s="79"/>
      <c r="DE18" s="79"/>
      <c r="DF18" s="79"/>
      <c r="DG18" s="79"/>
      <c r="DH18" s="79"/>
      <c r="DI18" s="79"/>
      <c r="DJ18" s="79"/>
      <c r="DK18" s="79"/>
      <c r="DL18" s="79"/>
      <c r="DM18" s="79"/>
      <c r="DN18" s="79"/>
      <c r="DO18" s="79"/>
      <c r="DP18" s="79"/>
      <c r="DQ18" s="79"/>
      <c r="DR18" s="79"/>
      <c r="DS18" s="79"/>
      <c r="DT18" s="79"/>
      <c r="DU18" s="79"/>
      <c r="DV18" s="79"/>
      <c r="DW18" s="79"/>
      <c r="DX18" s="79"/>
      <c r="DY18" s="79"/>
      <c r="DZ18" s="79"/>
      <c r="EA18" s="79"/>
      <c r="EB18" s="79"/>
      <c r="EC18" s="79"/>
      <c r="ED18" s="79"/>
      <c r="EE18" s="79"/>
      <c r="EF18" s="79"/>
      <c r="EG18" s="79"/>
      <c r="EH18" s="79"/>
      <c r="EI18" s="79"/>
      <c r="EJ18" s="79"/>
      <c r="EK18" s="79"/>
      <c r="EL18" s="79"/>
      <c r="EM18" s="79"/>
      <c r="EN18" s="79"/>
      <c r="EO18" s="79"/>
      <c r="EP18" s="79"/>
      <c r="EQ18" s="79"/>
      <c r="ER18" s="79"/>
      <c r="ES18" s="79"/>
      <c r="ET18" s="79"/>
      <c r="EU18" s="79"/>
      <c r="EV18" s="79"/>
      <c r="EW18" s="79"/>
      <c r="EX18" s="79"/>
      <c r="EY18" s="79"/>
      <c r="EZ18" s="79"/>
      <c r="FA18" s="79"/>
      <c r="FB18" s="79"/>
      <c r="FC18" s="79"/>
      <c r="FD18" s="79"/>
      <c r="FE18" s="79"/>
      <c r="FF18" s="79"/>
      <c r="FG18" s="79"/>
      <c r="FH18" s="79"/>
      <c r="FI18" s="79"/>
      <c r="FJ18" s="79"/>
      <c r="FK18" s="79"/>
      <c r="FL18" s="79"/>
      <c r="FM18" s="79"/>
      <c r="FN18" s="79"/>
      <c r="FO18" s="79"/>
      <c r="FP18" s="79"/>
      <c r="FQ18" s="79"/>
      <c r="FR18" s="79"/>
      <c r="FS18" s="79"/>
      <c r="FT18" s="79"/>
      <c r="FU18" s="79"/>
      <c r="FV18" s="79"/>
      <c r="FW18" s="79"/>
      <c r="FX18" s="79"/>
      <c r="FY18" s="79"/>
      <c r="FZ18" s="79"/>
      <c r="GA18" s="79"/>
      <c r="GB18" s="79"/>
      <c r="GC18" s="79"/>
      <c r="GD18" s="79"/>
      <c r="GE18" s="79"/>
      <c r="GF18" s="79"/>
      <c r="GG18" s="79"/>
      <c r="GH18" s="79"/>
      <c r="GI18" s="79"/>
      <c r="GJ18" s="79"/>
      <c r="GK18" s="79"/>
      <c r="GL18" s="79"/>
      <c r="GM18" s="79"/>
      <c r="GN18" s="79"/>
      <c r="GO18" s="79"/>
      <c r="GP18" s="79"/>
      <c r="GQ18" s="79"/>
      <c r="GR18" s="79"/>
      <c r="GS18" s="79"/>
      <c r="GT18" s="79"/>
      <c r="GU18" s="79"/>
      <c r="GV18" s="79"/>
      <c r="GW18" s="79"/>
      <c r="GX18" s="79"/>
      <c r="GY18" s="79"/>
      <c r="GZ18" s="79"/>
      <c r="HA18" s="79"/>
      <c r="HB18" s="79"/>
      <c r="HC18" s="79"/>
      <c r="HD18" s="79"/>
      <c r="HE18" s="79"/>
      <c r="HF18" s="79"/>
      <c r="HG18" s="79"/>
      <c r="HH18" s="79"/>
      <c r="HI18" s="79"/>
      <c r="HJ18" s="79"/>
      <c r="HK18" s="79"/>
      <c r="HL18" s="79"/>
      <c r="HM18" s="79"/>
      <c r="HN18" s="79"/>
      <c r="HO18" s="79"/>
      <c r="HP18" s="79"/>
      <c r="HQ18" s="79"/>
      <c r="HR18" s="79"/>
      <c r="HS18" s="79"/>
      <c r="HT18" s="79"/>
      <c r="HU18" s="79"/>
      <c r="HV18" s="79"/>
      <c r="HW18" s="79"/>
      <c r="HX18" s="79"/>
      <c r="HY18" s="79"/>
      <c r="HZ18" s="79"/>
      <c r="IA18" s="79"/>
      <c r="IB18" s="79"/>
      <c r="IC18" s="79"/>
      <c r="ID18" s="79"/>
      <c r="IE18" s="79"/>
      <c r="IF18" s="79"/>
      <c r="IG18" s="79"/>
      <c r="IH18" s="79"/>
      <c r="II18" s="79"/>
      <c r="IJ18" s="79"/>
      <c r="IK18" s="79"/>
      <c r="IL18" s="79"/>
      <c r="IM18" s="79"/>
      <c r="IN18" s="79"/>
      <c r="IO18" s="79"/>
      <c r="IP18" s="79"/>
      <c r="IQ18" s="79"/>
      <c r="IR18" s="79"/>
      <c r="IS18" s="79"/>
      <c r="IT18" s="79"/>
      <c r="IU18" s="79"/>
      <c r="IV18" s="79"/>
      <c r="IW18" s="79"/>
      <c r="IX18" s="79"/>
      <c r="IY18" s="79"/>
      <c r="IZ18" s="79"/>
      <c r="JA18" s="79"/>
      <c r="JB18" s="79"/>
      <c r="JC18" s="79"/>
      <c r="JD18" s="79"/>
      <c r="JE18" s="79"/>
      <c r="JF18" s="79"/>
      <c r="JG18" s="79"/>
      <c r="JH18" s="79"/>
      <c r="JI18" s="79"/>
      <c r="JJ18" s="79"/>
      <c r="JK18" s="79"/>
      <c r="JL18" s="79"/>
      <c r="JM18" s="79"/>
      <c r="JN18" s="79"/>
      <c r="JO18" s="79"/>
      <c r="JP18" s="79"/>
      <c r="JQ18" s="79"/>
      <c r="JR18" s="79"/>
      <c r="JS18" s="79"/>
      <c r="JT18" s="79"/>
      <c r="JU18" s="79"/>
      <c r="JV18" s="79"/>
      <c r="JW18" s="79"/>
      <c r="JX18" s="79"/>
      <c r="JY18" s="79"/>
      <c r="JZ18" s="79"/>
      <c r="KA18" s="79"/>
      <c r="KB18" s="79"/>
      <c r="KC18" s="79"/>
      <c r="KD18" s="79"/>
      <c r="KE18" s="79"/>
      <c r="KF18" s="79"/>
      <c r="KG18" s="79"/>
      <c r="KH18" s="79"/>
      <c r="KI18" s="79"/>
      <c r="KJ18" s="79"/>
      <c r="KK18" s="79"/>
      <c r="KL18" s="79"/>
      <c r="KM18" s="79"/>
      <c r="KN18" s="79"/>
      <c r="KO18" s="79"/>
      <c r="KP18" s="79"/>
      <c r="KQ18" s="79"/>
      <c r="KR18" s="79"/>
      <c r="KS18" s="79"/>
      <c r="KT18" s="79"/>
      <c r="KU18" s="79"/>
      <c r="KV18" s="79"/>
      <c r="KW18" s="79"/>
      <c r="KX18" s="79"/>
      <c r="KY18" s="79"/>
      <c r="KZ18" s="79"/>
      <c r="LA18" s="79"/>
      <c r="LB18" s="79"/>
      <c r="LC18" s="79"/>
      <c r="LD18" s="79"/>
      <c r="LE18" s="79"/>
      <c r="LF18" s="79"/>
      <c r="LG18" s="79"/>
      <c r="LH18" s="79"/>
      <c r="LI18" s="79"/>
      <c r="LJ18" s="79"/>
      <c r="LK18" s="79"/>
      <c r="LL18" s="79"/>
      <c r="LM18" s="79"/>
      <c r="LN18" s="79"/>
      <c r="LO18" s="79"/>
      <c r="LP18" s="79"/>
      <c r="LQ18" s="79"/>
      <c r="LR18" s="79"/>
      <c r="LS18" s="79"/>
      <c r="LT18" s="79"/>
      <c r="LU18" s="79"/>
      <c r="LV18" s="79"/>
      <c r="LW18" s="79"/>
      <c r="LX18" s="79"/>
      <c r="LY18" s="79"/>
      <c r="LZ18" s="79"/>
      <c r="MA18" s="79"/>
      <c r="MB18" s="79"/>
      <c r="MC18" s="79"/>
      <c r="MD18" s="79"/>
      <c r="ME18" s="79"/>
      <c r="MF18" s="79"/>
      <c r="MG18" s="79"/>
      <c r="MH18" s="79"/>
      <c r="MI18" s="79"/>
      <c r="MJ18" s="79"/>
      <c r="MK18" s="79"/>
      <c r="ML18" s="79"/>
      <c r="MM18" s="79"/>
      <c r="MN18" s="79"/>
      <c r="MO18" s="79"/>
      <c r="MP18" s="79"/>
      <c r="MQ18" s="79"/>
      <c r="MR18" s="79"/>
      <c r="MS18" s="79"/>
      <c r="MT18" s="79"/>
      <c r="MU18" s="79"/>
      <c r="MV18" s="79"/>
      <c r="MW18" s="79"/>
      <c r="MX18" s="79"/>
      <c r="MY18" s="79"/>
      <c r="MZ18" s="79"/>
      <c r="NA18" s="79"/>
      <c r="NB18" s="79"/>
      <c r="NC18" s="79"/>
      <c r="ND18" s="79"/>
      <c r="NE18" s="79"/>
      <c r="NF18" s="79"/>
      <c r="NG18" s="79"/>
      <c r="NH18" s="79"/>
      <c r="NI18" s="79"/>
      <c r="NJ18" s="79"/>
      <c r="NK18" s="79"/>
      <c r="NL18" s="79"/>
      <c r="NM18" s="79"/>
      <c r="NN18" s="79"/>
      <c r="NO18" s="79"/>
      <c r="NP18" s="79"/>
      <c r="NQ18" s="79"/>
      <c r="NR18" s="79"/>
      <c r="NS18" s="79"/>
      <c r="NT18" s="79"/>
      <c r="NU18" s="79"/>
      <c r="NV18" s="79"/>
      <c r="NW18" s="79"/>
      <c r="NX18" s="79"/>
      <c r="NY18" s="79"/>
      <c r="NZ18" s="79"/>
      <c r="OA18" s="79"/>
      <c r="OB18" s="79"/>
      <c r="OC18" s="79"/>
      <c r="OD18" s="79"/>
      <c r="OE18" s="79"/>
      <c r="OF18" s="79"/>
      <c r="OG18" s="79"/>
      <c r="OH18" s="79"/>
      <c r="OI18" s="79"/>
      <c r="OJ18" s="79"/>
      <c r="OK18" s="79"/>
      <c r="OL18" s="79"/>
      <c r="OM18" s="79"/>
      <c r="ON18" s="79"/>
      <c r="OO18" s="79"/>
      <c r="OP18" s="79"/>
      <c r="OQ18" s="79"/>
      <c r="OR18" s="79"/>
      <c r="OS18" s="79"/>
      <c r="OT18" s="79"/>
      <c r="OU18" s="79"/>
      <c r="OV18" s="79"/>
      <c r="OW18" s="79"/>
      <c r="OX18" s="79"/>
      <c r="OY18" s="79"/>
      <c r="OZ18" s="79"/>
      <c r="PA18" s="79"/>
      <c r="PB18" s="79"/>
      <c r="PC18" s="79"/>
      <c r="PD18" s="79"/>
      <c r="PE18" s="79"/>
      <c r="PF18" s="79"/>
      <c r="PG18" s="79"/>
      <c r="PH18" s="79"/>
      <c r="PI18" s="79"/>
      <c r="PJ18" s="79"/>
      <c r="PK18" s="79"/>
      <c r="PL18" s="79"/>
      <c r="PM18" s="79"/>
      <c r="PN18" s="79"/>
      <c r="PO18" s="79"/>
      <c r="PP18" s="79"/>
      <c r="PQ18" s="79"/>
      <c r="PR18" s="79"/>
      <c r="PS18" s="79"/>
      <c r="PT18" s="79"/>
      <c r="PU18" s="79"/>
      <c r="PV18" s="79"/>
      <c r="PW18" s="79"/>
      <c r="PX18" s="79"/>
      <c r="PY18" s="79"/>
      <c r="PZ18" s="79"/>
      <c r="QA18" s="79"/>
      <c r="QB18" s="79"/>
      <c r="QC18" s="79"/>
      <c r="QD18" s="79"/>
      <c r="QE18" s="79"/>
      <c r="QF18" s="79"/>
      <c r="QG18" s="79"/>
      <c r="QH18" s="79"/>
      <c r="QI18" s="79"/>
      <c r="QJ18" s="79"/>
      <c r="QK18" s="79"/>
      <c r="QL18" s="79"/>
      <c r="QM18" s="79"/>
      <c r="QN18" s="79"/>
      <c r="QO18" s="79"/>
      <c r="QP18" s="79"/>
      <c r="QQ18" s="79"/>
      <c r="QR18" s="79"/>
      <c r="QS18" s="79"/>
      <c r="QT18" s="79"/>
      <c r="QU18" s="79"/>
      <c r="QV18" s="79"/>
      <c r="QW18" s="79"/>
      <c r="QX18" s="79"/>
      <c r="QY18" s="79"/>
      <c r="QZ18" s="79"/>
      <c r="RA18" s="79"/>
      <c r="RB18" s="79"/>
      <c r="RC18" s="79"/>
      <c r="RD18" s="79"/>
      <c r="RE18" s="79"/>
      <c r="RF18" s="79"/>
      <c r="RG18" s="79"/>
      <c r="RH18" s="79"/>
      <c r="RI18" s="79"/>
      <c r="RJ18" s="79"/>
      <c r="RK18" s="79"/>
      <c r="RL18" s="79"/>
      <c r="RM18" s="79"/>
      <c r="RN18" s="79"/>
      <c r="RO18" s="79"/>
      <c r="RP18" s="79"/>
      <c r="RQ18" s="79"/>
      <c r="RR18" s="79"/>
      <c r="RS18" s="79"/>
      <c r="RT18" s="79"/>
      <c r="RU18" s="79"/>
      <c r="RV18" s="79"/>
      <c r="RW18" s="79"/>
      <c r="RX18" s="79"/>
      <c r="RY18" s="79"/>
      <c r="RZ18" s="79"/>
      <c r="SA18" s="79"/>
      <c r="SB18" s="79"/>
      <c r="SC18" s="79"/>
      <c r="SD18" s="79"/>
      <c r="SE18" s="79"/>
      <c r="SF18" s="79"/>
      <c r="SG18" s="79"/>
      <c r="SH18" s="79"/>
      <c r="SI18" s="79"/>
      <c r="SJ18" s="79"/>
    </row>
    <row r="19" spans="2:504" x14ac:dyDescent="0.25">
      <c r="B19" s="49" t="str">
        <f>'Pay App 1'!B64</f>
        <v>01 32 00</v>
      </c>
      <c r="C19" s="25" t="str">
        <f>'Pay App 1'!C64</f>
        <v>General Liability Insurance</v>
      </c>
      <c r="D19" s="82">
        <f t="shared" si="8"/>
        <v>0</v>
      </c>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c r="CG19" s="79"/>
      <c r="CH19" s="79"/>
      <c r="CI19" s="79"/>
      <c r="CJ19" s="79"/>
      <c r="CK19" s="79"/>
      <c r="CL19" s="79"/>
      <c r="CM19" s="79"/>
      <c r="CN19" s="79"/>
      <c r="CO19" s="79"/>
      <c r="CP19" s="79"/>
      <c r="CQ19" s="79"/>
      <c r="CR19" s="79"/>
      <c r="CS19" s="79"/>
      <c r="CT19" s="79"/>
      <c r="CU19" s="79"/>
      <c r="CV19" s="79"/>
      <c r="CW19" s="79"/>
      <c r="CX19" s="79"/>
      <c r="CY19" s="79"/>
      <c r="CZ19" s="79"/>
      <c r="DA19" s="79"/>
      <c r="DB19" s="79"/>
      <c r="DC19" s="79"/>
      <c r="DD19" s="79"/>
      <c r="DE19" s="79"/>
      <c r="DF19" s="79"/>
      <c r="DG19" s="79"/>
      <c r="DH19" s="79"/>
      <c r="DI19" s="79"/>
      <c r="DJ19" s="79"/>
      <c r="DK19" s="79"/>
      <c r="DL19" s="79"/>
      <c r="DM19" s="79"/>
      <c r="DN19" s="79"/>
      <c r="DO19" s="79"/>
      <c r="DP19" s="79"/>
      <c r="DQ19" s="79"/>
      <c r="DR19" s="79"/>
      <c r="DS19" s="79"/>
      <c r="DT19" s="79"/>
      <c r="DU19" s="79"/>
      <c r="DV19" s="79"/>
      <c r="DW19" s="79"/>
      <c r="DX19" s="79"/>
      <c r="DY19" s="79"/>
      <c r="DZ19" s="79"/>
      <c r="EA19" s="79"/>
      <c r="EB19" s="79"/>
      <c r="EC19" s="79"/>
      <c r="ED19" s="79"/>
      <c r="EE19" s="79"/>
      <c r="EF19" s="79"/>
      <c r="EG19" s="79"/>
      <c r="EH19" s="79"/>
      <c r="EI19" s="79"/>
      <c r="EJ19" s="79"/>
      <c r="EK19" s="79"/>
      <c r="EL19" s="79"/>
      <c r="EM19" s="79"/>
      <c r="EN19" s="79"/>
      <c r="EO19" s="79"/>
      <c r="EP19" s="79"/>
      <c r="EQ19" s="79"/>
      <c r="ER19" s="79"/>
      <c r="ES19" s="79"/>
      <c r="ET19" s="79"/>
      <c r="EU19" s="79"/>
      <c r="EV19" s="79"/>
      <c r="EW19" s="79"/>
      <c r="EX19" s="79"/>
      <c r="EY19" s="79"/>
      <c r="EZ19" s="79"/>
      <c r="FA19" s="79"/>
      <c r="FB19" s="79"/>
      <c r="FC19" s="79"/>
      <c r="FD19" s="79"/>
      <c r="FE19" s="79"/>
      <c r="FF19" s="79"/>
      <c r="FG19" s="79"/>
      <c r="FH19" s="79"/>
      <c r="FI19" s="79"/>
      <c r="FJ19" s="79"/>
      <c r="FK19" s="79"/>
      <c r="FL19" s="79"/>
      <c r="FM19" s="79"/>
      <c r="FN19" s="79"/>
      <c r="FO19" s="79"/>
      <c r="FP19" s="79"/>
      <c r="FQ19" s="79"/>
      <c r="FR19" s="79"/>
      <c r="FS19" s="79"/>
      <c r="FT19" s="79"/>
      <c r="FU19" s="79"/>
      <c r="FV19" s="79"/>
      <c r="FW19" s="79"/>
      <c r="FX19" s="79"/>
      <c r="FY19" s="79"/>
      <c r="FZ19" s="79"/>
      <c r="GA19" s="79"/>
      <c r="GB19" s="79"/>
      <c r="GC19" s="79"/>
      <c r="GD19" s="79"/>
      <c r="GE19" s="79"/>
      <c r="GF19" s="79"/>
      <c r="GG19" s="79"/>
      <c r="GH19" s="79"/>
      <c r="GI19" s="79"/>
      <c r="GJ19" s="79"/>
      <c r="GK19" s="79"/>
      <c r="GL19" s="79"/>
      <c r="GM19" s="79"/>
      <c r="GN19" s="79"/>
      <c r="GO19" s="79"/>
      <c r="GP19" s="79"/>
      <c r="GQ19" s="79"/>
      <c r="GR19" s="79"/>
      <c r="GS19" s="79"/>
      <c r="GT19" s="79"/>
      <c r="GU19" s="79"/>
      <c r="GV19" s="79"/>
      <c r="GW19" s="79"/>
      <c r="GX19" s="79"/>
      <c r="GY19" s="79"/>
      <c r="GZ19" s="79"/>
      <c r="HA19" s="79"/>
      <c r="HB19" s="79"/>
      <c r="HC19" s="79"/>
      <c r="HD19" s="79"/>
      <c r="HE19" s="79"/>
      <c r="HF19" s="79"/>
      <c r="HG19" s="79"/>
      <c r="HH19" s="79"/>
      <c r="HI19" s="79"/>
      <c r="HJ19" s="79"/>
      <c r="HK19" s="79"/>
      <c r="HL19" s="79"/>
      <c r="HM19" s="79"/>
      <c r="HN19" s="79"/>
      <c r="HO19" s="79"/>
      <c r="HP19" s="79"/>
      <c r="HQ19" s="79"/>
      <c r="HR19" s="79"/>
      <c r="HS19" s="79"/>
      <c r="HT19" s="79"/>
      <c r="HU19" s="79"/>
      <c r="HV19" s="79"/>
      <c r="HW19" s="79"/>
      <c r="HX19" s="79"/>
      <c r="HY19" s="79"/>
      <c r="HZ19" s="79"/>
      <c r="IA19" s="79"/>
      <c r="IB19" s="79"/>
      <c r="IC19" s="79"/>
      <c r="ID19" s="79"/>
      <c r="IE19" s="79"/>
      <c r="IF19" s="79"/>
      <c r="IG19" s="79"/>
      <c r="IH19" s="79"/>
      <c r="II19" s="79"/>
      <c r="IJ19" s="79"/>
      <c r="IK19" s="79"/>
      <c r="IL19" s="79"/>
      <c r="IM19" s="79"/>
      <c r="IN19" s="79"/>
      <c r="IO19" s="79"/>
      <c r="IP19" s="79"/>
      <c r="IQ19" s="79"/>
      <c r="IR19" s="79"/>
      <c r="IS19" s="79"/>
      <c r="IT19" s="79"/>
      <c r="IU19" s="79"/>
      <c r="IV19" s="79"/>
      <c r="IW19" s="79"/>
      <c r="IX19" s="79"/>
      <c r="IY19" s="79"/>
      <c r="IZ19" s="79"/>
      <c r="JA19" s="79"/>
      <c r="JB19" s="79"/>
      <c r="JC19" s="79"/>
      <c r="JD19" s="79"/>
      <c r="JE19" s="79"/>
      <c r="JF19" s="79"/>
      <c r="JG19" s="79"/>
      <c r="JH19" s="79"/>
      <c r="JI19" s="79"/>
      <c r="JJ19" s="79"/>
      <c r="JK19" s="79"/>
      <c r="JL19" s="79"/>
      <c r="JM19" s="79"/>
      <c r="JN19" s="79"/>
      <c r="JO19" s="79"/>
      <c r="JP19" s="79"/>
      <c r="JQ19" s="79"/>
      <c r="JR19" s="79"/>
      <c r="JS19" s="79"/>
      <c r="JT19" s="79"/>
      <c r="JU19" s="79"/>
      <c r="JV19" s="79"/>
      <c r="JW19" s="79"/>
      <c r="JX19" s="79"/>
      <c r="JY19" s="79"/>
      <c r="JZ19" s="79"/>
      <c r="KA19" s="79"/>
      <c r="KB19" s="79"/>
      <c r="KC19" s="79"/>
      <c r="KD19" s="79"/>
      <c r="KE19" s="79"/>
      <c r="KF19" s="79"/>
      <c r="KG19" s="79"/>
      <c r="KH19" s="79"/>
      <c r="KI19" s="79"/>
      <c r="KJ19" s="79"/>
      <c r="KK19" s="79"/>
      <c r="KL19" s="79"/>
      <c r="KM19" s="79"/>
      <c r="KN19" s="79"/>
      <c r="KO19" s="79"/>
      <c r="KP19" s="79"/>
      <c r="KQ19" s="79"/>
      <c r="KR19" s="79"/>
      <c r="KS19" s="79"/>
      <c r="KT19" s="79"/>
      <c r="KU19" s="79"/>
      <c r="KV19" s="79"/>
      <c r="KW19" s="79"/>
      <c r="KX19" s="79"/>
      <c r="KY19" s="79"/>
      <c r="KZ19" s="79"/>
      <c r="LA19" s="79"/>
      <c r="LB19" s="79"/>
      <c r="LC19" s="79"/>
      <c r="LD19" s="79"/>
      <c r="LE19" s="79"/>
      <c r="LF19" s="79"/>
      <c r="LG19" s="79"/>
      <c r="LH19" s="79"/>
      <c r="LI19" s="79"/>
      <c r="LJ19" s="79"/>
      <c r="LK19" s="79"/>
      <c r="LL19" s="79"/>
      <c r="LM19" s="79"/>
      <c r="LN19" s="79"/>
      <c r="LO19" s="79"/>
      <c r="LP19" s="79"/>
      <c r="LQ19" s="79"/>
      <c r="LR19" s="79"/>
      <c r="LS19" s="79"/>
      <c r="LT19" s="79"/>
      <c r="LU19" s="79"/>
      <c r="LV19" s="79"/>
      <c r="LW19" s="79"/>
      <c r="LX19" s="79"/>
      <c r="LY19" s="79"/>
      <c r="LZ19" s="79"/>
      <c r="MA19" s="79"/>
      <c r="MB19" s="79"/>
      <c r="MC19" s="79"/>
      <c r="MD19" s="79"/>
      <c r="ME19" s="79"/>
      <c r="MF19" s="79"/>
      <c r="MG19" s="79"/>
      <c r="MH19" s="79"/>
      <c r="MI19" s="79"/>
      <c r="MJ19" s="79"/>
      <c r="MK19" s="79"/>
      <c r="ML19" s="79"/>
      <c r="MM19" s="79"/>
      <c r="MN19" s="79"/>
      <c r="MO19" s="79"/>
      <c r="MP19" s="79"/>
      <c r="MQ19" s="79"/>
      <c r="MR19" s="79"/>
      <c r="MS19" s="79"/>
      <c r="MT19" s="79"/>
      <c r="MU19" s="79"/>
      <c r="MV19" s="79"/>
      <c r="MW19" s="79"/>
      <c r="MX19" s="79"/>
      <c r="MY19" s="79"/>
      <c r="MZ19" s="79"/>
      <c r="NA19" s="79"/>
      <c r="NB19" s="79"/>
      <c r="NC19" s="79"/>
      <c r="ND19" s="79"/>
      <c r="NE19" s="79"/>
      <c r="NF19" s="79"/>
      <c r="NG19" s="79"/>
      <c r="NH19" s="79"/>
      <c r="NI19" s="79"/>
      <c r="NJ19" s="79"/>
      <c r="NK19" s="79"/>
      <c r="NL19" s="79"/>
      <c r="NM19" s="79"/>
      <c r="NN19" s="79"/>
      <c r="NO19" s="79"/>
      <c r="NP19" s="79"/>
      <c r="NQ19" s="79"/>
      <c r="NR19" s="79"/>
      <c r="NS19" s="79"/>
      <c r="NT19" s="79"/>
      <c r="NU19" s="79"/>
      <c r="NV19" s="79"/>
      <c r="NW19" s="79"/>
      <c r="NX19" s="79"/>
      <c r="NY19" s="79"/>
      <c r="NZ19" s="79"/>
      <c r="OA19" s="79"/>
      <c r="OB19" s="79"/>
      <c r="OC19" s="79"/>
      <c r="OD19" s="79"/>
      <c r="OE19" s="79"/>
      <c r="OF19" s="79"/>
      <c r="OG19" s="79"/>
      <c r="OH19" s="79"/>
      <c r="OI19" s="79"/>
      <c r="OJ19" s="79"/>
      <c r="OK19" s="79"/>
      <c r="OL19" s="79"/>
      <c r="OM19" s="79"/>
      <c r="ON19" s="79"/>
      <c r="OO19" s="79"/>
      <c r="OP19" s="79"/>
      <c r="OQ19" s="79"/>
      <c r="OR19" s="79"/>
      <c r="OS19" s="79"/>
      <c r="OT19" s="79"/>
      <c r="OU19" s="79"/>
      <c r="OV19" s="79"/>
      <c r="OW19" s="79"/>
      <c r="OX19" s="79"/>
      <c r="OY19" s="79"/>
      <c r="OZ19" s="79"/>
      <c r="PA19" s="79"/>
      <c r="PB19" s="79"/>
      <c r="PC19" s="79"/>
      <c r="PD19" s="79"/>
      <c r="PE19" s="79"/>
      <c r="PF19" s="79"/>
      <c r="PG19" s="79"/>
      <c r="PH19" s="79"/>
      <c r="PI19" s="79"/>
      <c r="PJ19" s="79"/>
      <c r="PK19" s="79"/>
      <c r="PL19" s="79"/>
      <c r="PM19" s="79"/>
      <c r="PN19" s="79"/>
      <c r="PO19" s="79"/>
      <c r="PP19" s="79"/>
      <c r="PQ19" s="79"/>
      <c r="PR19" s="79"/>
      <c r="PS19" s="79"/>
      <c r="PT19" s="79"/>
      <c r="PU19" s="79"/>
      <c r="PV19" s="79"/>
      <c r="PW19" s="79"/>
      <c r="PX19" s="79"/>
      <c r="PY19" s="79"/>
      <c r="PZ19" s="79"/>
      <c r="QA19" s="79"/>
      <c r="QB19" s="79"/>
      <c r="QC19" s="79"/>
      <c r="QD19" s="79"/>
      <c r="QE19" s="79"/>
      <c r="QF19" s="79"/>
      <c r="QG19" s="79"/>
      <c r="QH19" s="79"/>
      <c r="QI19" s="79"/>
      <c r="QJ19" s="79"/>
      <c r="QK19" s="79"/>
      <c r="QL19" s="79"/>
      <c r="QM19" s="79"/>
      <c r="QN19" s="79"/>
      <c r="QO19" s="79"/>
      <c r="QP19" s="79"/>
      <c r="QQ19" s="79"/>
      <c r="QR19" s="79"/>
      <c r="QS19" s="79"/>
      <c r="QT19" s="79"/>
      <c r="QU19" s="79"/>
      <c r="QV19" s="79"/>
      <c r="QW19" s="79"/>
      <c r="QX19" s="79"/>
      <c r="QY19" s="79"/>
      <c r="QZ19" s="79"/>
      <c r="RA19" s="79"/>
      <c r="RB19" s="79"/>
      <c r="RC19" s="79"/>
      <c r="RD19" s="79"/>
      <c r="RE19" s="79"/>
      <c r="RF19" s="79"/>
      <c r="RG19" s="79"/>
      <c r="RH19" s="79"/>
      <c r="RI19" s="79"/>
      <c r="RJ19" s="79"/>
      <c r="RK19" s="79"/>
      <c r="RL19" s="79"/>
      <c r="RM19" s="79"/>
      <c r="RN19" s="79"/>
      <c r="RO19" s="79"/>
      <c r="RP19" s="79"/>
      <c r="RQ19" s="79"/>
      <c r="RR19" s="79"/>
      <c r="RS19" s="79"/>
      <c r="RT19" s="79"/>
      <c r="RU19" s="79"/>
      <c r="RV19" s="79"/>
      <c r="RW19" s="79"/>
      <c r="RX19" s="79"/>
      <c r="RY19" s="79"/>
      <c r="RZ19" s="79"/>
      <c r="SA19" s="79"/>
      <c r="SB19" s="79"/>
      <c r="SC19" s="79"/>
      <c r="SD19" s="79"/>
      <c r="SE19" s="79"/>
      <c r="SF19" s="79"/>
      <c r="SG19" s="79"/>
      <c r="SH19" s="79"/>
      <c r="SI19" s="79"/>
      <c r="SJ19" s="79"/>
    </row>
    <row r="20" spans="2:504" x14ac:dyDescent="0.25">
      <c r="B20" s="49" t="str">
        <f>'Pay App 1'!B65</f>
        <v>01 33 00</v>
      </c>
      <c r="C20" s="25" t="str">
        <f>'Pay App 1'!C65</f>
        <v xml:space="preserve">Performance &amp; Payment Bond  </v>
      </c>
      <c r="D20" s="82">
        <f t="shared" si="8"/>
        <v>0</v>
      </c>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79"/>
      <c r="CM20" s="79"/>
      <c r="CN20" s="79"/>
      <c r="CO20" s="79"/>
      <c r="CP20" s="79"/>
      <c r="CQ20" s="79"/>
      <c r="CR20" s="79"/>
      <c r="CS20" s="79"/>
      <c r="CT20" s="79"/>
      <c r="CU20" s="79"/>
      <c r="CV20" s="79"/>
      <c r="CW20" s="79"/>
      <c r="CX20" s="79"/>
      <c r="CY20" s="79"/>
      <c r="CZ20" s="79"/>
      <c r="DA20" s="79"/>
      <c r="DB20" s="79"/>
      <c r="DC20" s="79"/>
      <c r="DD20" s="79"/>
      <c r="DE20" s="79"/>
      <c r="DF20" s="79"/>
      <c r="DG20" s="79"/>
      <c r="DH20" s="79"/>
      <c r="DI20" s="79"/>
      <c r="DJ20" s="79"/>
      <c r="DK20" s="79"/>
      <c r="DL20" s="79"/>
      <c r="DM20" s="79"/>
      <c r="DN20" s="79"/>
      <c r="DO20" s="79"/>
      <c r="DP20" s="79"/>
      <c r="DQ20" s="79"/>
      <c r="DR20" s="79"/>
      <c r="DS20" s="79"/>
      <c r="DT20" s="79"/>
      <c r="DU20" s="79"/>
      <c r="DV20" s="79"/>
      <c r="DW20" s="79"/>
      <c r="DX20" s="79"/>
      <c r="DY20" s="79"/>
      <c r="DZ20" s="79"/>
      <c r="EA20" s="79"/>
      <c r="EB20" s="79"/>
      <c r="EC20" s="79"/>
      <c r="ED20" s="79"/>
      <c r="EE20" s="79"/>
      <c r="EF20" s="79"/>
      <c r="EG20" s="79"/>
      <c r="EH20" s="79"/>
      <c r="EI20" s="79"/>
      <c r="EJ20" s="79"/>
      <c r="EK20" s="79"/>
      <c r="EL20" s="79"/>
      <c r="EM20" s="79"/>
      <c r="EN20" s="79"/>
      <c r="EO20" s="79"/>
      <c r="EP20" s="79"/>
      <c r="EQ20" s="79"/>
      <c r="ER20" s="79"/>
      <c r="ES20" s="79"/>
      <c r="ET20" s="79"/>
      <c r="EU20" s="79"/>
      <c r="EV20" s="79"/>
      <c r="EW20" s="79"/>
      <c r="EX20" s="79"/>
      <c r="EY20" s="79"/>
      <c r="EZ20" s="79"/>
      <c r="FA20" s="79"/>
      <c r="FB20" s="79"/>
      <c r="FC20" s="79"/>
      <c r="FD20" s="79"/>
      <c r="FE20" s="79"/>
      <c r="FF20" s="79"/>
      <c r="FG20" s="79"/>
      <c r="FH20" s="79"/>
      <c r="FI20" s="79"/>
      <c r="FJ20" s="79"/>
      <c r="FK20" s="79"/>
      <c r="FL20" s="79"/>
      <c r="FM20" s="79"/>
      <c r="FN20" s="79"/>
      <c r="FO20" s="79"/>
      <c r="FP20" s="79"/>
      <c r="FQ20" s="79"/>
      <c r="FR20" s="79"/>
      <c r="FS20" s="79"/>
      <c r="FT20" s="79"/>
      <c r="FU20" s="79"/>
      <c r="FV20" s="79"/>
      <c r="FW20" s="79"/>
      <c r="FX20" s="79"/>
      <c r="FY20" s="79"/>
      <c r="FZ20" s="79"/>
      <c r="GA20" s="79"/>
      <c r="GB20" s="79"/>
      <c r="GC20" s="79"/>
      <c r="GD20" s="79"/>
      <c r="GE20" s="79"/>
      <c r="GF20" s="79"/>
      <c r="GG20" s="79"/>
      <c r="GH20" s="79"/>
      <c r="GI20" s="79"/>
      <c r="GJ20" s="79"/>
      <c r="GK20" s="79"/>
      <c r="GL20" s="79"/>
      <c r="GM20" s="79"/>
      <c r="GN20" s="79"/>
      <c r="GO20" s="79"/>
      <c r="GP20" s="79"/>
      <c r="GQ20" s="79"/>
      <c r="GR20" s="79"/>
      <c r="GS20" s="79"/>
      <c r="GT20" s="79"/>
      <c r="GU20" s="79"/>
      <c r="GV20" s="79"/>
      <c r="GW20" s="79"/>
      <c r="GX20" s="79"/>
      <c r="GY20" s="79"/>
      <c r="GZ20" s="79"/>
      <c r="HA20" s="79"/>
      <c r="HB20" s="79"/>
      <c r="HC20" s="79"/>
      <c r="HD20" s="79"/>
      <c r="HE20" s="79"/>
      <c r="HF20" s="79"/>
      <c r="HG20" s="79"/>
      <c r="HH20" s="79"/>
      <c r="HI20" s="79"/>
      <c r="HJ20" s="79"/>
      <c r="HK20" s="79"/>
      <c r="HL20" s="79"/>
      <c r="HM20" s="79"/>
      <c r="HN20" s="79"/>
      <c r="HO20" s="79"/>
      <c r="HP20" s="79"/>
      <c r="HQ20" s="79"/>
      <c r="HR20" s="79"/>
      <c r="HS20" s="79"/>
      <c r="HT20" s="79"/>
      <c r="HU20" s="79"/>
      <c r="HV20" s="79"/>
      <c r="HW20" s="79"/>
      <c r="HX20" s="79"/>
      <c r="HY20" s="79"/>
      <c r="HZ20" s="79"/>
      <c r="IA20" s="79"/>
      <c r="IB20" s="79"/>
      <c r="IC20" s="79"/>
      <c r="ID20" s="79"/>
      <c r="IE20" s="79"/>
      <c r="IF20" s="79"/>
      <c r="IG20" s="79"/>
      <c r="IH20" s="79"/>
      <c r="II20" s="79"/>
      <c r="IJ20" s="79"/>
      <c r="IK20" s="79"/>
      <c r="IL20" s="79"/>
      <c r="IM20" s="79"/>
      <c r="IN20" s="79"/>
      <c r="IO20" s="79"/>
      <c r="IP20" s="79"/>
      <c r="IQ20" s="79"/>
      <c r="IR20" s="79"/>
      <c r="IS20" s="79"/>
      <c r="IT20" s="79"/>
      <c r="IU20" s="79"/>
      <c r="IV20" s="79"/>
      <c r="IW20" s="79"/>
      <c r="IX20" s="79"/>
      <c r="IY20" s="79"/>
      <c r="IZ20" s="79"/>
      <c r="JA20" s="79"/>
      <c r="JB20" s="79"/>
      <c r="JC20" s="79"/>
      <c r="JD20" s="79"/>
      <c r="JE20" s="79"/>
      <c r="JF20" s="79"/>
      <c r="JG20" s="79"/>
      <c r="JH20" s="79"/>
      <c r="JI20" s="79"/>
      <c r="JJ20" s="79"/>
      <c r="JK20" s="79"/>
      <c r="JL20" s="79"/>
      <c r="JM20" s="79"/>
      <c r="JN20" s="79"/>
      <c r="JO20" s="79"/>
      <c r="JP20" s="79"/>
      <c r="JQ20" s="79"/>
      <c r="JR20" s="79"/>
      <c r="JS20" s="79"/>
      <c r="JT20" s="79"/>
      <c r="JU20" s="79"/>
      <c r="JV20" s="79"/>
      <c r="JW20" s="79"/>
      <c r="JX20" s="79"/>
      <c r="JY20" s="79"/>
      <c r="JZ20" s="79"/>
      <c r="KA20" s="79"/>
      <c r="KB20" s="79"/>
      <c r="KC20" s="79"/>
      <c r="KD20" s="79"/>
      <c r="KE20" s="79"/>
      <c r="KF20" s="79"/>
      <c r="KG20" s="79"/>
      <c r="KH20" s="79"/>
      <c r="KI20" s="79"/>
      <c r="KJ20" s="79"/>
      <c r="KK20" s="79"/>
      <c r="KL20" s="79"/>
      <c r="KM20" s="79"/>
      <c r="KN20" s="79"/>
      <c r="KO20" s="79"/>
      <c r="KP20" s="79"/>
      <c r="KQ20" s="79"/>
      <c r="KR20" s="79"/>
      <c r="KS20" s="79"/>
      <c r="KT20" s="79"/>
      <c r="KU20" s="79"/>
      <c r="KV20" s="79"/>
      <c r="KW20" s="79"/>
      <c r="KX20" s="79"/>
      <c r="KY20" s="79"/>
      <c r="KZ20" s="79"/>
      <c r="LA20" s="79"/>
      <c r="LB20" s="79"/>
      <c r="LC20" s="79"/>
      <c r="LD20" s="79"/>
      <c r="LE20" s="79"/>
      <c r="LF20" s="79"/>
      <c r="LG20" s="79"/>
      <c r="LH20" s="79"/>
      <c r="LI20" s="79"/>
      <c r="LJ20" s="79"/>
      <c r="LK20" s="79"/>
      <c r="LL20" s="79"/>
      <c r="LM20" s="79"/>
      <c r="LN20" s="79"/>
      <c r="LO20" s="79"/>
      <c r="LP20" s="79"/>
      <c r="LQ20" s="79"/>
      <c r="LR20" s="79"/>
      <c r="LS20" s="79"/>
      <c r="LT20" s="79"/>
      <c r="LU20" s="79"/>
      <c r="LV20" s="79"/>
      <c r="LW20" s="79"/>
      <c r="LX20" s="79"/>
      <c r="LY20" s="79"/>
      <c r="LZ20" s="79"/>
      <c r="MA20" s="79"/>
      <c r="MB20" s="79"/>
      <c r="MC20" s="79"/>
      <c r="MD20" s="79"/>
      <c r="ME20" s="79"/>
      <c r="MF20" s="79"/>
      <c r="MG20" s="79"/>
      <c r="MH20" s="79"/>
      <c r="MI20" s="79"/>
      <c r="MJ20" s="79"/>
      <c r="MK20" s="79"/>
      <c r="ML20" s="79"/>
      <c r="MM20" s="79"/>
      <c r="MN20" s="79"/>
      <c r="MO20" s="79"/>
      <c r="MP20" s="79"/>
      <c r="MQ20" s="79"/>
      <c r="MR20" s="79"/>
      <c r="MS20" s="79"/>
      <c r="MT20" s="79"/>
      <c r="MU20" s="79"/>
      <c r="MV20" s="79"/>
      <c r="MW20" s="79"/>
      <c r="MX20" s="79"/>
      <c r="MY20" s="79"/>
      <c r="MZ20" s="79"/>
      <c r="NA20" s="79"/>
      <c r="NB20" s="79"/>
      <c r="NC20" s="79"/>
      <c r="ND20" s="79"/>
      <c r="NE20" s="79"/>
      <c r="NF20" s="79"/>
      <c r="NG20" s="79"/>
      <c r="NH20" s="79"/>
      <c r="NI20" s="79"/>
      <c r="NJ20" s="79"/>
      <c r="NK20" s="79"/>
      <c r="NL20" s="79"/>
      <c r="NM20" s="79"/>
      <c r="NN20" s="79"/>
      <c r="NO20" s="79"/>
      <c r="NP20" s="79"/>
      <c r="NQ20" s="79"/>
      <c r="NR20" s="79"/>
      <c r="NS20" s="79"/>
      <c r="NT20" s="79"/>
      <c r="NU20" s="79"/>
      <c r="NV20" s="79"/>
      <c r="NW20" s="79"/>
      <c r="NX20" s="79"/>
      <c r="NY20" s="79"/>
      <c r="NZ20" s="79"/>
      <c r="OA20" s="79"/>
      <c r="OB20" s="79"/>
      <c r="OC20" s="79"/>
      <c r="OD20" s="79"/>
      <c r="OE20" s="79"/>
      <c r="OF20" s="79"/>
      <c r="OG20" s="79"/>
      <c r="OH20" s="79"/>
      <c r="OI20" s="79"/>
      <c r="OJ20" s="79"/>
      <c r="OK20" s="79"/>
      <c r="OL20" s="79"/>
      <c r="OM20" s="79"/>
      <c r="ON20" s="79"/>
      <c r="OO20" s="79"/>
      <c r="OP20" s="79"/>
      <c r="OQ20" s="79"/>
      <c r="OR20" s="79"/>
      <c r="OS20" s="79"/>
      <c r="OT20" s="79"/>
      <c r="OU20" s="79"/>
      <c r="OV20" s="79"/>
      <c r="OW20" s="79"/>
      <c r="OX20" s="79"/>
      <c r="OY20" s="79"/>
      <c r="OZ20" s="79"/>
      <c r="PA20" s="79"/>
      <c r="PB20" s="79"/>
      <c r="PC20" s="79"/>
      <c r="PD20" s="79"/>
      <c r="PE20" s="79"/>
      <c r="PF20" s="79"/>
      <c r="PG20" s="79"/>
      <c r="PH20" s="79"/>
      <c r="PI20" s="79"/>
      <c r="PJ20" s="79"/>
      <c r="PK20" s="79"/>
      <c r="PL20" s="79"/>
      <c r="PM20" s="79"/>
      <c r="PN20" s="79"/>
      <c r="PO20" s="79"/>
      <c r="PP20" s="79"/>
      <c r="PQ20" s="79"/>
      <c r="PR20" s="79"/>
      <c r="PS20" s="79"/>
      <c r="PT20" s="79"/>
      <c r="PU20" s="79"/>
      <c r="PV20" s="79"/>
      <c r="PW20" s="79"/>
      <c r="PX20" s="79"/>
      <c r="PY20" s="79"/>
      <c r="PZ20" s="79"/>
      <c r="QA20" s="79"/>
      <c r="QB20" s="79"/>
      <c r="QC20" s="79"/>
      <c r="QD20" s="79"/>
      <c r="QE20" s="79"/>
      <c r="QF20" s="79"/>
      <c r="QG20" s="79"/>
      <c r="QH20" s="79"/>
      <c r="QI20" s="79"/>
      <c r="QJ20" s="79"/>
      <c r="QK20" s="79"/>
      <c r="QL20" s="79"/>
      <c r="QM20" s="79"/>
      <c r="QN20" s="79"/>
      <c r="QO20" s="79"/>
      <c r="QP20" s="79"/>
      <c r="QQ20" s="79"/>
      <c r="QR20" s="79"/>
      <c r="QS20" s="79"/>
      <c r="QT20" s="79"/>
      <c r="QU20" s="79"/>
      <c r="QV20" s="79"/>
      <c r="QW20" s="79"/>
      <c r="QX20" s="79"/>
      <c r="QY20" s="79"/>
      <c r="QZ20" s="79"/>
      <c r="RA20" s="79"/>
      <c r="RB20" s="79"/>
      <c r="RC20" s="79"/>
      <c r="RD20" s="79"/>
      <c r="RE20" s="79"/>
      <c r="RF20" s="79"/>
      <c r="RG20" s="79"/>
      <c r="RH20" s="79"/>
      <c r="RI20" s="79"/>
      <c r="RJ20" s="79"/>
      <c r="RK20" s="79"/>
      <c r="RL20" s="79"/>
      <c r="RM20" s="79"/>
      <c r="RN20" s="79"/>
      <c r="RO20" s="79"/>
      <c r="RP20" s="79"/>
      <c r="RQ20" s="79"/>
      <c r="RR20" s="79"/>
      <c r="RS20" s="79"/>
      <c r="RT20" s="79"/>
      <c r="RU20" s="79"/>
      <c r="RV20" s="79"/>
      <c r="RW20" s="79"/>
      <c r="RX20" s="79"/>
      <c r="RY20" s="79"/>
      <c r="RZ20" s="79"/>
      <c r="SA20" s="79"/>
      <c r="SB20" s="79"/>
      <c r="SC20" s="79"/>
      <c r="SD20" s="79"/>
      <c r="SE20" s="79"/>
      <c r="SF20" s="79"/>
      <c r="SG20" s="79"/>
      <c r="SH20" s="79"/>
      <c r="SI20" s="79"/>
      <c r="SJ20" s="79"/>
    </row>
    <row r="21" spans="2:504" x14ac:dyDescent="0.25">
      <c r="B21" s="49" t="str">
        <f>'Pay App 1'!B66</f>
        <v>01 34 00</v>
      </c>
      <c r="C21" s="25" t="str">
        <f>'Pay App 1'!C66</f>
        <v>Subcontractor Default Insurance</v>
      </c>
      <c r="D21" s="82">
        <f t="shared" si="8"/>
        <v>0</v>
      </c>
      <c r="E21" s="79"/>
      <c r="F21" s="79"/>
      <c r="G21" s="79"/>
      <c r="H21" s="79"/>
      <c r="I21" s="79"/>
      <c r="J21" s="79"/>
      <c r="K21" s="79"/>
      <c r="L21" s="79"/>
      <c r="M21" s="79"/>
      <c r="N21" s="79"/>
      <c r="O21" s="79"/>
      <c r="P21" s="79"/>
      <c r="Q21" s="79"/>
      <c r="R21" s="79"/>
      <c r="S21" s="79"/>
      <c r="T21" s="79"/>
      <c r="U21" s="79"/>
      <c r="V21" s="79"/>
      <c r="W21" s="79"/>
      <c r="X21" s="79"/>
      <c r="Y21" s="79"/>
      <c r="Z21" s="79"/>
      <c r="AA21" s="79"/>
      <c r="AB21" s="79"/>
      <c r="AC21" s="79"/>
      <c r="AD21" s="79"/>
      <c r="AE21" s="79"/>
      <c r="AF21" s="79"/>
      <c r="AG21" s="79"/>
      <c r="AH21" s="79"/>
      <c r="AI21" s="79"/>
      <c r="AJ21" s="79"/>
      <c r="AK21" s="79"/>
      <c r="AL21" s="79"/>
      <c r="AM21" s="79"/>
      <c r="AN21" s="79"/>
      <c r="AO21" s="79"/>
      <c r="AP21" s="79"/>
      <c r="AQ21" s="79"/>
      <c r="AR21" s="79"/>
      <c r="AS21" s="79"/>
      <c r="AT21" s="79"/>
      <c r="AU21" s="79"/>
      <c r="AV21" s="79"/>
      <c r="AW21" s="79"/>
      <c r="AX21" s="79"/>
      <c r="AY21" s="79"/>
      <c r="AZ21" s="79"/>
      <c r="BA21" s="79"/>
      <c r="BB21" s="79"/>
      <c r="BC21" s="79"/>
      <c r="BD21" s="79"/>
      <c r="BE21" s="79"/>
      <c r="BF21" s="79"/>
      <c r="BG21" s="79"/>
      <c r="BH21" s="79"/>
      <c r="BI21" s="79"/>
      <c r="BJ21" s="79"/>
      <c r="BK21" s="79"/>
      <c r="BL21" s="79"/>
      <c r="BM21" s="79"/>
      <c r="BN21" s="79"/>
      <c r="BO21" s="79"/>
      <c r="BP21" s="79"/>
      <c r="BQ21" s="79"/>
      <c r="BR21" s="79"/>
      <c r="BS21" s="79"/>
      <c r="BT21" s="79"/>
      <c r="BU21" s="79"/>
      <c r="BV21" s="79"/>
      <c r="BW21" s="79"/>
      <c r="BX21" s="79"/>
      <c r="BY21" s="79"/>
      <c r="BZ21" s="79"/>
      <c r="CA21" s="79"/>
      <c r="CB21" s="79"/>
      <c r="CC21" s="79"/>
      <c r="CD21" s="79"/>
      <c r="CE21" s="79"/>
      <c r="CF21" s="79"/>
      <c r="CG21" s="79"/>
      <c r="CH21" s="79"/>
      <c r="CI21" s="79"/>
      <c r="CJ21" s="79"/>
      <c r="CK21" s="79"/>
      <c r="CL21" s="79"/>
      <c r="CM21" s="79"/>
      <c r="CN21" s="79"/>
      <c r="CO21" s="79"/>
      <c r="CP21" s="79"/>
      <c r="CQ21" s="79"/>
      <c r="CR21" s="79"/>
      <c r="CS21" s="79"/>
      <c r="CT21" s="79"/>
      <c r="CU21" s="79"/>
      <c r="CV21" s="79"/>
      <c r="CW21" s="79"/>
      <c r="CX21" s="79"/>
      <c r="CY21" s="79"/>
      <c r="CZ21" s="79"/>
      <c r="DA21" s="79"/>
      <c r="DB21" s="79"/>
      <c r="DC21" s="79"/>
      <c r="DD21" s="79"/>
      <c r="DE21" s="79"/>
      <c r="DF21" s="79"/>
      <c r="DG21" s="79"/>
      <c r="DH21" s="79"/>
      <c r="DI21" s="79"/>
      <c r="DJ21" s="79"/>
      <c r="DK21" s="79"/>
      <c r="DL21" s="79"/>
      <c r="DM21" s="79"/>
      <c r="DN21" s="79"/>
      <c r="DO21" s="79"/>
      <c r="DP21" s="79"/>
      <c r="DQ21" s="79"/>
      <c r="DR21" s="79"/>
      <c r="DS21" s="79"/>
      <c r="DT21" s="79"/>
      <c r="DU21" s="79"/>
      <c r="DV21" s="79"/>
      <c r="DW21" s="79"/>
      <c r="DX21" s="79"/>
      <c r="DY21" s="79"/>
      <c r="DZ21" s="79"/>
      <c r="EA21" s="79"/>
      <c r="EB21" s="79"/>
      <c r="EC21" s="79"/>
      <c r="ED21" s="79"/>
      <c r="EE21" s="79"/>
      <c r="EF21" s="79"/>
      <c r="EG21" s="79"/>
      <c r="EH21" s="79"/>
      <c r="EI21" s="79"/>
      <c r="EJ21" s="79"/>
      <c r="EK21" s="79"/>
      <c r="EL21" s="79"/>
      <c r="EM21" s="79"/>
      <c r="EN21" s="79"/>
      <c r="EO21" s="79"/>
      <c r="EP21" s="79"/>
      <c r="EQ21" s="79"/>
      <c r="ER21" s="79"/>
      <c r="ES21" s="79"/>
      <c r="ET21" s="79"/>
      <c r="EU21" s="79"/>
      <c r="EV21" s="79"/>
      <c r="EW21" s="79"/>
      <c r="EX21" s="79"/>
      <c r="EY21" s="79"/>
      <c r="EZ21" s="79"/>
      <c r="FA21" s="79"/>
      <c r="FB21" s="79"/>
      <c r="FC21" s="79"/>
      <c r="FD21" s="79"/>
      <c r="FE21" s="79"/>
      <c r="FF21" s="79"/>
      <c r="FG21" s="79"/>
      <c r="FH21" s="79"/>
      <c r="FI21" s="79"/>
      <c r="FJ21" s="79"/>
      <c r="FK21" s="79"/>
      <c r="FL21" s="79"/>
      <c r="FM21" s="79"/>
      <c r="FN21" s="79"/>
      <c r="FO21" s="79"/>
      <c r="FP21" s="79"/>
      <c r="FQ21" s="79"/>
      <c r="FR21" s="79"/>
      <c r="FS21" s="79"/>
      <c r="FT21" s="79"/>
      <c r="FU21" s="79"/>
      <c r="FV21" s="79"/>
      <c r="FW21" s="79"/>
      <c r="FX21" s="79"/>
      <c r="FY21" s="79"/>
      <c r="FZ21" s="79"/>
      <c r="GA21" s="79"/>
      <c r="GB21" s="79"/>
      <c r="GC21" s="79"/>
      <c r="GD21" s="79"/>
      <c r="GE21" s="79"/>
      <c r="GF21" s="79"/>
      <c r="GG21" s="79"/>
      <c r="GH21" s="79"/>
      <c r="GI21" s="79"/>
      <c r="GJ21" s="79"/>
      <c r="GK21" s="79"/>
      <c r="GL21" s="79"/>
      <c r="GM21" s="79"/>
      <c r="GN21" s="79"/>
      <c r="GO21" s="79"/>
      <c r="GP21" s="79"/>
      <c r="GQ21" s="79"/>
      <c r="GR21" s="79"/>
      <c r="GS21" s="79"/>
      <c r="GT21" s="79"/>
      <c r="GU21" s="79"/>
      <c r="GV21" s="79"/>
      <c r="GW21" s="79"/>
      <c r="GX21" s="79"/>
      <c r="GY21" s="79"/>
      <c r="GZ21" s="79"/>
      <c r="HA21" s="79"/>
      <c r="HB21" s="79"/>
      <c r="HC21" s="79"/>
      <c r="HD21" s="79"/>
      <c r="HE21" s="79"/>
      <c r="HF21" s="79"/>
      <c r="HG21" s="79"/>
      <c r="HH21" s="79"/>
      <c r="HI21" s="79"/>
      <c r="HJ21" s="79"/>
      <c r="HK21" s="79"/>
      <c r="HL21" s="79"/>
      <c r="HM21" s="79"/>
      <c r="HN21" s="79"/>
      <c r="HO21" s="79"/>
      <c r="HP21" s="79"/>
      <c r="HQ21" s="79"/>
      <c r="HR21" s="79"/>
      <c r="HS21" s="79"/>
      <c r="HT21" s="79"/>
      <c r="HU21" s="79"/>
      <c r="HV21" s="79"/>
      <c r="HW21" s="79"/>
      <c r="HX21" s="79"/>
      <c r="HY21" s="79"/>
      <c r="HZ21" s="79"/>
      <c r="IA21" s="79"/>
      <c r="IB21" s="79"/>
      <c r="IC21" s="79"/>
      <c r="ID21" s="79"/>
      <c r="IE21" s="79"/>
      <c r="IF21" s="79"/>
      <c r="IG21" s="79"/>
      <c r="IH21" s="79"/>
      <c r="II21" s="79"/>
      <c r="IJ21" s="79"/>
      <c r="IK21" s="79"/>
      <c r="IL21" s="79"/>
      <c r="IM21" s="79"/>
      <c r="IN21" s="79"/>
      <c r="IO21" s="79"/>
      <c r="IP21" s="79"/>
      <c r="IQ21" s="79"/>
      <c r="IR21" s="79"/>
      <c r="IS21" s="79"/>
      <c r="IT21" s="79"/>
      <c r="IU21" s="79"/>
      <c r="IV21" s="79"/>
      <c r="IW21" s="79"/>
      <c r="IX21" s="79"/>
      <c r="IY21" s="79"/>
      <c r="IZ21" s="79"/>
      <c r="JA21" s="79"/>
      <c r="JB21" s="79"/>
      <c r="JC21" s="79"/>
      <c r="JD21" s="79"/>
      <c r="JE21" s="79"/>
      <c r="JF21" s="79"/>
      <c r="JG21" s="79"/>
      <c r="JH21" s="79"/>
      <c r="JI21" s="79"/>
      <c r="JJ21" s="79"/>
      <c r="JK21" s="79"/>
      <c r="JL21" s="79"/>
      <c r="JM21" s="79"/>
      <c r="JN21" s="79"/>
      <c r="JO21" s="79"/>
      <c r="JP21" s="79"/>
      <c r="JQ21" s="79"/>
      <c r="JR21" s="79"/>
      <c r="JS21" s="79"/>
      <c r="JT21" s="79"/>
      <c r="JU21" s="79"/>
      <c r="JV21" s="79"/>
      <c r="JW21" s="79"/>
      <c r="JX21" s="79"/>
      <c r="JY21" s="79"/>
      <c r="JZ21" s="79"/>
      <c r="KA21" s="79"/>
      <c r="KB21" s="79"/>
      <c r="KC21" s="79"/>
      <c r="KD21" s="79"/>
      <c r="KE21" s="79"/>
      <c r="KF21" s="79"/>
      <c r="KG21" s="79"/>
      <c r="KH21" s="79"/>
      <c r="KI21" s="79"/>
      <c r="KJ21" s="79"/>
      <c r="KK21" s="79"/>
      <c r="KL21" s="79"/>
      <c r="KM21" s="79"/>
      <c r="KN21" s="79"/>
      <c r="KO21" s="79"/>
      <c r="KP21" s="79"/>
      <c r="KQ21" s="79"/>
      <c r="KR21" s="79"/>
      <c r="KS21" s="79"/>
      <c r="KT21" s="79"/>
      <c r="KU21" s="79"/>
      <c r="KV21" s="79"/>
      <c r="KW21" s="79"/>
      <c r="KX21" s="79"/>
      <c r="KY21" s="79"/>
      <c r="KZ21" s="79"/>
      <c r="LA21" s="79"/>
      <c r="LB21" s="79"/>
      <c r="LC21" s="79"/>
      <c r="LD21" s="79"/>
      <c r="LE21" s="79"/>
      <c r="LF21" s="79"/>
      <c r="LG21" s="79"/>
      <c r="LH21" s="79"/>
      <c r="LI21" s="79"/>
      <c r="LJ21" s="79"/>
      <c r="LK21" s="79"/>
      <c r="LL21" s="79"/>
      <c r="LM21" s="79"/>
      <c r="LN21" s="79"/>
      <c r="LO21" s="79"/>
      <c r="LP21" s="79"/>
      <c r="LQ21" s="79"/>
      <c r="LR21" s="79"/>
      <c r="LS21" s="79"/>
      <c r="LT21" s="79"/>
      <c r="LU21" s="79"/>
      <c r="LV21" s="79"/>
      <c r="LW21" s="79"/>
      <c r="LX21" s="79"/>
      <c r="LY21" s="79"/>
      <c r="LZ21" s="79"/>
      <c r="MA21" s="79"/>
      <c r="MB21" s="79"/>
      <c r="MC21" s="79"/>
      <c r="MD21" s="79"/>
      <c r="ME21" s="79"/>
      <c r="MF21" s="79"/>
      <c r="MG21" s="79"/>
      <c r="MH21" s="79"/>
      <c r="MI21" s="79"/>
      <c r="MJ21" s="79"/>
      <c r="MK21" s="79"/>
      <c r="ML21" s="79"/>
      <c r="MM21" s="79"/>
      <c r="MN21" s="79"/>
      <c r="MO21" s="79"/>
      <c r="MP21" s="79"/>
      <c r="MQ21" s="79"/>
      <c r="MR21" s="79"/>
      <c r="MS21" s="79"/>
      <c r="MT21" s="79"/>
      <c r="MU21" s="79"/>
      <c r="MV21" s="79"/>
      <c r="MW21" s="79"/>
      <c r="MX21" s="79"/>
      <c r="MY21" s="79"/>
      <c r="MZ21" s="79"/>
      <c r="NA21" s="79"/>
      <c r="NB21" s="79"/>
      <c r="NC21" s="79"/>
      <c r="ND21" s="79"/>
      <c r="NE21" s="79"/>
      <c r="NF21" s="79"/>
      <c r="NG21" s="79"/>
      <c r="NH21" s="79"/>
      <c r="NI21" s="79"/>
      <c r="NJ21" s="79"/>
      <c r="NK21" s="79"/>
      <c r="NL21" s="79"/>
      <c r="NM21" s="79"/>
      <c r="NN21" s="79"/>
      <c r="NO21" s="79"/>
      <c r="NP21" s="79"/>
      <c r="NQ21" s="79"/>
      <c r="NR21" s="79"/>
      <c r="NS21" s="79"/>
      <c r="NT21" s="79"/>
      <c r="NU21" s="79"/>
      <c r="NV21" s="79"/>
      <c r="NW21" s="79"/>
      <c r="NX21" s="79"/>
      <c r="NY21" s="79"/>
      <c r="NZ21" s="79"/>
      <c r="OA21" s="79"/>
      <c r="OB21" s="79"/>
      <c r="OC21" s="79"/>
      <c r="OD21" s="79"/>
      <c r="OE21" s="79"/>
      <c r="OF21" s="79"/>
      <c r="OG21" s="79"/>
      <c r="OH21" s="79"/>
      <c r="OI21" s="79"/>
      <c r="OJ21" s="79"/>
      <c r="OK21" s="79"/>
      <c r="OL21" s="79"/>
      <c r="OM21" s="79"/>
      <c r="ON21" s="79"/>
      <c r="OO21" s="79"/>
      <c r="OP21" s="79"/>
      <c r="OQ21" s="79"/>
      <c r="OR21" s="79"/>
      <c r="OS21" s="79"/>
      <c r="OT21" s="79"/>
      <c r="OU21" s="79"/>
      <c r="OV21" s="79"/>
      <c r="OW21" s="79"/>
      <c r="OX21" s="79"/>
      <c r="OY21" s="79"/>
      <c r="OZ21" s="79"/>
      <c r="PA21" s="79"/>
      <c r="PB21" s="79"/>
      <c r="PC21" s="79"/>
      <c r="PD21" s="79"/>
      <c r="PE21" s="79"/>
      <c r="PF21" s="79"/>
      <c r="PG21" s="79"/>
      <c r="PH21" s="79"/>
      <c r="PI21" s="79"/>
      <c r="PJ21" s="79"/>
      <c r="PK21" s="79"/>
      <c r="PL21" s="79"/>
      <c r="PM21" s="79"/>
      <c r="PN21" s="79"/>
      <c r="PO21" s="79"/>
      <c r="PP21" s="79"/>
      <c r="PQ21" s="79"/>
      <c r="PR21" s="79"/>
      <c r="PS21" s="79"/>
      <c r="PT21" s="79"/>
      <c r="PU21" s="79"/>
      <c r="PV21" s="79"/>
      <c r="PW21" s="79"/>
      <c r="PX21" s="79"/>
      <c r="PY21" s="79"/>
      <c r="PZ21" s="79"/>
      <c r="QA21" s="79"/>
      <c r="QB21" s="79"/>
      <c r="QC21" s="79"/>
      <c r="QD21" s="79"/>
      <c r="QE21" s="79"/>
      <c r="QF21" s="79"/>
      <c r="QG21" s="79"/>
      <c r="QH21" s="79"/>
      <c r="QI21" s="79"/>
      <c r="QJ21" s="79"/>
      <c r="QK21" s="79"/>
      <c r="QL21" s="79"/>
      <c r="QM21" s="79"/>
      <c r="QN21" s="79"/>
      <c r="QO21" s="79"/>
      <c r="QP21" s="79"/>
      <c r="QQ21" s="79"/>
      <c r="QR21" s="79"/>
      <c r="QS21" s="79"/>
      <c r="QT21" s="79"/>
      <c r="QU21" s="79"/>
      <c r="QV21" s="79"/>
      <c r="QW21" s="79"/>
      <c r="QX21" s="79"/>
      <c r="QY21" s="79"/>
      <c r="QZ21" s="79"/>
      <c r="RA21" s="79"/>
      <c r="RB21" s="79"/>
      <c r="RC21" s="79"/>
      <c r="RD21" s="79"/>
      <c r="RE21" s="79"/>
      <c r="RF21" s="79"/>
      <c r="RG21" s="79"/>
      <c r="RH21" s="79"/>
      <c r="RI21" s="79"/>
      <c r="RJ21" s="79"/>
      <c r="RK21" s="79"/>
      <c r="RL21" s="79"/>
      <c r="RM21" s="79"/>
      <c r="RN21" s="79"/>
      <c r="RO21" s="79"/>
      <c r="RP21" s="79"/>
      <c r="RQ21" s="79"/>
      <c r="RR21" s="79"/>
      <c r="RS21" s="79"/>
      <c r="RT21" s="79"/>
      <c r="RU21" s="79"/>
      <c r="RV21" s="79"/>
      <c r="RW21" s="79"/>
      <c r="RX21" s="79"/>
      <c r="RY21" s="79"/>
      <c r="RZ21" s="79"/>
      <c r="SA21" s="79"/>
      <c r="SB21" s="79"/>
      <c r="SC21" s="79"/>
      <c r="SD21" s="79"/>
      <c r="SE21" s="79"/>
      <c r="SF21" s="79"/>
      <c r="SG21" s="79"/>
      <c r="SH21" s="79"/>
      <c r="SI21" s="79"/>
      <c r="SJ21" s="79"/>
    </row>
    <row r="22" spans="2:504" x14ac:dyDescent="0.25">
      <c r="B22" s="49" t="str">
        <f>'Pay App 1'!B67</f>
        <v>01 35 00</v>
      </c>
      <c r="C22" s="25" t="str">
        <f>'Pay App 1'!C67</f>
        <v>Construction Management Fee</v>
      </c>
      <c r="D22" s="82">
        <f t="shared" si="8"/>
        <v>0</v>
      </c>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79"/>
      <c r="AG22" s="79"/>
      <c r="AH22" s="79"/>
      <c r="AI22" s="79"/>
      <c r="AJ22" s="79"/>
      <c r="AK22" s="79"/>
      <c r="AL22" s="79"/>
      <c r="AM22" s="79"/>
      <c r="AN22" s="79"/>
      <c r="AO22" s="79"/>
      <c r="AP22" s="79"/>
      <c r="AQ22" s="79"/>
      <c r="AR22" s="79"/>
      <c r="AS22" s="79"/>
      <c r="AT22" s="79"/>
      <c r="AU22" s="79"/>
      <c r="AV22" s="79"/>
      <c r="AW22" s="79"/>
      <c r="AX22" s="79"/>
      <c r="AY22" s="79"/>
      <c r="AZ22" s="79"/>
      <c r="BA22" s="79"/>
      <c r="BB22" s="79"/>
      <c r="BC22" s="79"/>
      <c r="BD22" s="79"/>
      <c r="BE22" s="79"/>
      <c r="BF22" s="79"/>
      <c r="BG22" s="79"/>
      <c r="BH22" s="79"/>
      <c r="BI22" s="79"/>
      <c r="BJ22" s="79"/>
      <c r="BK22" s="79"/>
      <c r="BL22" s="79"/>
      <c r="BM22" s="79"/>
      <c r="BN22" s="79"/>
      <c r="BO22" s="79"/>
      <c r="BP22" s="79"/>
      <c r="BQ22" s="79"/>
      <c r="BR22" s="79"/>
      <c r="BS22" s="79"/>
      <c r="BT22" s="79"/>
      <c r="BU22" s="79"/>
      <c r="BV22" s="79"/>
      <c r="BW22" s="79"/>
      <c r="BX22" s="79"/>
      <c r="BY22" s="79"/>
      <c r="BZ22" s="79"/>
      <c r="CA22" s="79"/>
      <c r="CB22" s="79"/>
      <c r="CC22" s="79"/>
      <c r="CD22" s="79"/>
      <c r="CE22" s="79"/>
      <c r="CF22" s="79"/>
      <c r="CG22" s="79"/>
      <c r="CH22" s="79"/>
      <c r="CI22" s="79"/>
      <c r="CJ22" s="79"/>
      <c r="CK22" s="79"/>
      <c r="CL22" s="79"/>
      <c r="CM22" s="79"/>
      <c r="CN22" s="79"/>
      <c r="CO22" s="79"/>
      <c r="CP22" s="79"/>
      <c r="CQ22" s="79"/>
      <c r="CR22" s="79"/>
      <c r="CS22" s="79"/>
      <c r="CT22" s="79"/>
      <c r="CU22" s="79"/>
      <c r="CV22" s="79"/>
      <c r="CW22" s="79"/>
      <c r="CX22" s="79"/>
      <c r="CY22" s="79"/>
      <c r="CZ22" s="79"/>
      <c r="DA22" s="79"/>
      <c r="DB22" s="79"/>
      <c r="DC22" s="79"/>
      <c r="DD22" s="79"/>
      <c r="DE22" s="79"/>
      <c r="DF22" s="79"/>
      <c r="DG22" s="79"/>
      <c r="DH22" s="79"/>
      <c r="DI22" s="79"/>
      <c r="DJ22" s="79"/>
      <c r="DK22" s="79"/>
      <c r="DL22" s="79"/>
      <c r="DM22" s="79"/>
      <c r="DN22" s="79"/>
      <c r="DO22" s="79"/>
      <c r="DP22" s="79"/>
      <c r="DQ22" s="79"/>
      <c r="DR22" s="79"/>
      <c r="DS22" s="79"/>
      <c r="DT22" s="79"/>
      <c r="DU22" s="79"/>
      <c r="DV22" s="79"/>
      <c r="DW22" s="79"/>
      <c r="DX22" s="79"/>
      <c r="DY22" s="79"/>
      <c r="DZ22" s="79"/>
      <c r="EA22" s="79"/>
      <c r="EB22" s="79"/>
      <c r="EC22" s="79"/>
      <c r="ED22" s="79"/>
      <c r="EE22" s="79"/>
      <c r="EF22" s="79"/>
      <c r="EG22" s="79"/>
      <c r="EH22" s="79"/>
      <c r="EI22" s="79"/>
      <c r="EJ22" s="79"/>
      <c r="EK22" s="79"/>
      <c r="EL22" s="79"/>
      <c r="EM22" s="79"/>
      <c r="EN22" s="79"/>
      <c r="EO22" s="79"/>
      <c r="EP22" s="79"/>
      <c r="EQ22" s="79"/>
      <c r="ER22" s="79"/>
      <c r="ES22" s="79"/>
      <c r="ET22" s="79"/>
      <c r="EU22" s="79"/>
      <c r="EV22" s="79"/>
      <c r="EW22" s="79"/>
      <c r="EX22" s="79"/>
      <c r="EY22" s="79"/>
      <c r="EZ22" s="79"/>
      <c r="FA22" s="79"/>
      <c r="FB22" s="79"/>
      <c r="FC22" s="79"/>
      <c r="FD22" s="79"/>
      <c r="FE22" s="79"/>
      <c r="FF22" s="79"/>
      <c r="FG22" s="79"/>
      <c r="FH22" s="79"/>
      <c r="FI22" s="79"/>
      <c r="FJ22" s="79"/>
      <c r="FK22" s="79"/>
      <c r="FL22" s="79"/>
      <c r="FM22" s="79"/>
      <c r="FN22" s="79"/>
      <c r="FO22" s="79"/>
      <c r="FP22" s="79"/>
      <c r="FQ22" s="79"/>
      <c r="FR22" s="79"/>
      <c r="FS22" s="79"/>
      <c r="FT22" s="79"/>
      <c r="FU22" s="79"/>
      <c r="FV22" s="79"/>
      <c r="FW22" s="79"/>
      <c r="FX22" s="79"/>
      <c r="FY22" s="79"/>
      <c r="FZ22" s="79"/>
      <c r="GA22" s="79"/>
      <c r="GB22" s="79"/>
      <c r="GC22" s="79"/>
      <c r="GD22" s="79"/>
      <c r="GE22" s="79"/>
      <c r="GF22" s="79"/>
      <c r="GG22" s="79"/>
      <c r="GH22" s="79"/>
      <c r="GI22" s="79"/>
      <c r="GJ22" s="79"/>
      <c r="GK22" s="79"/>
      <c r="GL22" s="79"/>
      <c r="GM22" s="79"/>
      <c r="GN22" s="79"/>
      <c r="GO22" s="79"/>
      <c r="GP22" s="79"/>
      <c r="GQ22" s="79"/>
      <c r="GR22" s="79"/>
      <c r="GS22" s="79"/>
      <c r="GT22" s="79"/>
      <c r="GU22" s="79"/>
      <c r="GV22" s="79"/>
      <c r="GW22" s="79"/>
      <c r="GX22" s="79"/>
      <c r="GY22" s="79"/>
      <c r="GZ22" s="79"/>
      <c r="HA22" s="79"/>
      <c r="HB22" s="79"/>
      <c r="HC22" s="79"/>
      <c r="HD22" s="79"/>
      <c r="HE22" s="79"/>
      <c r="HF22" s="79"/>
      <c r="HG22" s="79"/>
      <c r="HH22" s="79"/>
      <c r="HI22" s="79"/>
      <c r="HJ22" s="79"/>
      <c r="HK22" s="79"/>
      <c r="HL22" s="79"/>
      <c r="HM22" s="79"/>
      <c r="HN22" s="79"/>
      <c r="HO22" s="79"/>
      <c r="HP22" s="79"/>
      <c r="HQ22" s="79"/>
      <c r="HR22" s="79"/>
      <c r="HS22" s="79"/>
      <c r="HT22" s="79"/>
      <c r="HU22" s="79"/>
      <c r="HV22" s="79"/>
      <c r="HW22" s="79"/>
      <c r="HX22" s="79"/>
      <c r="HY22" s="79"/>
      <c r="HZ22" s="79"/>
      <c r="IA22" s="79"/>
      <c r="IB22" s="79"/>
      <c r="IC22" s="79"/>
      <c r="ID22" s="79"/>
      <c r="IE22" s="79"/>
      <c r="IF22" s="79"/>
      <c r="IG22" s="79"/>
      <c r="IH22" s="79"/>
      <c r="II22" s="79"/>
      <c r="IJ22" s="79"/>
      <c r="IK22" s="79"/>
      <c r="IL22" s="79"/>
      <c r="IM22" s="79"/>
      <c r="IN22" s="79"/>
      <c r="IO22" s="79"/>
      <c r="IP22" s="79"/>
      <c r="IQ22" s="79"/>
      <c r="IR22" s="79"/>
      <c r="IS22" s="79"/>
      <c r="IT22" s="79"/>
      <c r="IU22" s="79"/>
      <c r="IV22" s="79"/>
      <c r="IW22" s="79"/>
      <c r="IX22" s="79"/>
      <c r="IY22" s="79"/>
      <c r="IZ22" s="79"/>
      <c r="JA22" s="79"/>
      <c r="JB22" s="79"/>
      <c r="JC22" s="79"/>
      <c r="JD22" s="79"/>
      <c r="JE22" s="79"/>
      <c r="JF22" s="79"/>
      <c r="JG22" s="79"/>
      <c r="JH22" s="79"/>
      <c r="JI22" s="79"/>
      <c r="JJ22" s="79"/>
      <c r="JK22" s="79"/>
      <c r="JL22" s="79"/>
      <c r="JM22" s="79"/>
      <c r="JN22" s="79"/>
      <c r="JO22" s="79"/>
      <c r="JP22" s="79"/>
      <c r="JQ22" s="79"/>
      <c r="JR22" s="79"/>
      <c r="JS22" s="79"/>
      <c r="JT22" s="79"/>
      <c r="JU22" s="79"/>
      <c r="JV22" s="79"/>
      <c r="JW22" s="79"/>
      <c r="JX22" s="79"/>
      <c r="JY22" s="79"/>
      <c r="JZ22" s="79"/>
      <c r="KA22" s="79"/>
      <c r="KB22" s="79"/>
      <c r="KC22" s="79"/>
      <c r="KD22" s="79"/>
      <c r="KE22" s="79"/>
      <c r="KF22" s="79"/>
      <c r="KG22" s="79"/>
      <c r="KH22" s="79"/>
      <c r="KI22" s="79"/>
      <c r="KJ22" s="79"/>
      <c r="KK22" s="79"/>
      <c r="KL22" s="79"/>
      <c r="KM22" s="79"/>
      <c r="KN22" s="79"/>
      <c r="KO22" s="79"/>
      <c r="KP22" s="79"/>
      <c r="KQ22" s="79"/>
      <c r="KR22" s="79"/>
      <c r="KS22" s="79"/>
      <c r="KT22" s="79"/>
      <c r="KU22" s="79"/>
      <c r="KV22" s="79"/>
      <c r="KW22" s="79"/>
      <c r="KX22" s="79"/>
      <c r="KY22" s="79"/>
      <c r="KZ22" s="79"/>
      <c r="LA22" s="79"/>
      <c r="LB22" s="79"/>
      <c r="LC22" s="79"/>
      <c r="LD22" s="79"/>
      <c r="LE22" s="79"/>
      <c r="LF22" s="79"/>
      <c r="LG22" s="79"/>
      <c r="LH22" s="79"/>
      <c r="LI22" s="79"/>
      <c r="LJ22" s="79"/>
      <c r="LK22" s="79"/>
      <c r="LL22" s="79"/>
      <c r="LM22" s="79"/>
      <c r="LN22" s="79"/>
      <c r="LO22" s="79"/>
      <c r="LP22" s="79"/>
      <c r="LQ22" s="79"/>
      <c r="LR22" s="79"/>
      <c r="LS22" s="79"/>
      <c r="LT22" s="79"/>
      <c r="LU22" s="79"/>
      <c r="LV22" s="79"/>
      <c r="LW22" s="79"/>
      <c r="LX22" s="79"/>
      <c r="LY22" s="79"/>
      <c r="LZ22" s="79"/>
      <c r="MA22" s="79"/>
      <c r="MB22" s="79"/>
      <c r="MC22" s="79"/>
      <c r="MD22" s="79"/>
      <c r="ME22" s="79"/>
      <c r="MF22" s="79"/>
      <c r="MG22" s="79"/>
      <c r="MH22" s="79"/>
      <c r="MI22" s="79"/>
      <c r="MJ22" s="79"/>
      <c r="MK22" s="79"/>
      <c r="ML22" s="79"/>
      <c r="MM22" s="79"/>
      <c r="MN22" s="79"/>
      <c r="MO22" s="79"/>
      <c r="MP22" s="79"/>
      <c r="MQ22" s="79"/>
      <c r="MR22" s="79"/>
      <c r="MS22" s="79"/>
      <c r="MT22" s="79"/>
      <c r="MU22" s="79"/>
      <c r="MV22" s="79"/>
      <c r="MW22" s="79"/>
      <c r="MX22" s="79"/>
      <c r="MY22" s="79"/>
      <c r="MZ22" s="79"/>
      <c r="NA22" s="79"/>
      <c r="NB22" s="79"/>
      <c r="NC22" s="79"/>
      <c r="ND22" s="79"/>
      <c r="NE22" s="79"/>
      <c r="NF22" s="79"/>
      <c r="NG22" s="79"/>
      <c r="NH22" s="79"/>
      <c r="NI22" s="79"/>
      <c r="NJ22" s="79"/>
      <c r="NK22" s="79"/>
      <c r="NL22" s="79"/>
      <c r="NM22" s="79"/>
      <c r="NN22" s="79"/>
      <c r="NO22" s="79"/>
      <c r="NP22" s="79"/>
      <c r="NQ22" s="79"/>
      <c r="NR22" s="79"/>
      <c r="NS22" s="79"/>
      <c r="NT22" s="79"/>
      <c r="NU22" s="79"/>
      <c r="NV22" s="79"/>
      <c r="NW22" s="79"/>
      <c r="NX22" s="79"/>
      <c r="NY22" s="79"/>
      <c r="NZ22" s="79"/>
      <c r="OA22" s="79"/>
      <c r="OB22" s="79"/>
      <c r="OC22" s="79"/>
      <c r="OD22" s="79"/>
      <c r="OE22" s="79"/>
      <c r="OF22" s="79"/>
      <c r="OG22" s="79"/>
      <c r="OH22" s="79"/>
      <c r="OI22" s="79"/>
      <c r="OJ22" s="79"/>
      <c r="OK22" s="79"/>
      <c r="OL22" s="79"/>
      <c r="OM22" s="79"/>
      <c r="ON22" s="79"/>
      <c r="OO22" s="79"/>
      <c r="OP22" s="79"/>
      <c r="OQ22" s="79"/>
      <c r="OR22" s="79"/>
      <c r="OS22" s="79"/>
      <c r="OT22" s="79"/>
      <c r="OU22" s="79"/>
      <c r="OV22" s="79"/>
      <c r="OW22" s="79"/>
      <c r="OX22" s="79"/>
      <c r="OY22" s="79"/>
      <c r="OZ22" s="79"/>
      <c r="PA22" s="79"/>
      <c r="PB22" s="79"/>
      <c r="PC22" s="79"/>
      <c r="PD22" s="79"/>
      <c r="PE22" s="79"/>
      <c r="PF22" s="79"/>
      <c r="PG22" s="79"/>
      <c r="PH22" s="79"/>
      <c r="PI22" s="79"/>
      <c r="PJ22" s="79"/>
      <c r="PK22" s="79"/>
      <c r="PL22" s="79"/>
      <c r="PM22" s="79"/>
      <c r="PN22" s="79"/>
      <c r="PO22" s="79"/>
      <c r="PP22" s="79"/>
      <c r="PQ22" s="79"/>
      <c r="PR22" s="79"/>
      <c r="PS22" s="79"/>
      <c r="PT22" s="79"/>
      <c r="PU22" s="79"/>
      <c r="PV22" s="79"/>
      <c r="PW22" s="79"/>
      <c r="PX22" s="79"/>
      <c r="PY22" s="79"/>
      <c r="PZ22" s="79"/>
      <c r="QA22" s="79"/>
      <c r="QB22" s="79"/>
      <c r="QC22" s="79"/>
      <c r="QD22" s="79"/>
      <c r="QE22" s="79"/>
      <c r="QF22" s="79"/>
      <c r="QG22" s="79"/>
      <c r="QH22" s="79"/>
      <c r="QI22" s="79"/>
      <c r="QJ22" s="79"/>
      <c r="QK22" s="79"/>
      <c r="QL22" s="79"/>
      <c r="QM22" s="79"/>
      <c r="QN22" s="79"/>
      <c r="QO22" s="79"/>
      <c r="QP22" s="79"/>
      <c r="QQ22" s="79"/>
      <c r="QR22" s="79"/>
      <c r="QS22" s="79"/>
      <c r="QT22" s="79"/>
      <c r="QU22" s="79"/>
      <c r="QV22" s="79"/>
      <c r="QW22" s="79"/>
      <c r="QX22" s="79"/>
      <c r="QY22" s="79"/>
      <c r="QZ22" s="79"/>
      <c r="RA22" s="79"/>
      <c r="RB22" s="79"/>
      <c r="RC22" s="79"/>
      <c r="RD22" s="79"/>
      <c r="RE22" s="79"/>
      <c r="RF22" s="79"/>
      <c r="RG22" s="79"/>
      <c r="RH22" s="79"/>
      <c r="RI22" s="79"/>
      <c r="RJ22" s="79"/>
      <c r="RK22" s="79"/>
      <c r="RL22" s="79"/>
      <c r="RM22" s="79"/>
      <c r="RN22" s="79"/>
      <c r="RO22" s="79"/>
      <c r="RP22" s="79"/>
      <c r="RQ22" s="79"/>
      <c r="RR22" s="79"/>
      <c r="RS22" s="79"/>
      <c r="RT22" s="79"/>
      <c r="RU22" s="79"/>
      <c r="RV22" s="79"/>
      <c r="RW22" s="79"/>
      <c r="RX22" s="79"/>
      <c r="RY22" s="79"/>
      <c r="RZ22" s="79"/>
      <c r="SA22" s="79"/>
      <c r="SB22" s="79"/>
      <c r="SC22" s="79"/>
      <c r="SD22" s="79"/>
      <c r="SE22" s="79"/>
      <c r="SF22" s="79"/>
      <c r="SG22" s="79"/>
      <c r="SH22" s="79"/>
      <c r="SI22" s="79"/>
      <c r="SJ22" s="79"/>
    </row>
    <row r="23" spans="2:504" x14ac:dyDescent="0.25">
      <c r="B23" s="49" t="str">
        <f>'Pay App 1'!B68</f>
        <v>01 36 00</v>
      </c>
      <c r="C23" s="25" t="str">
        <f>'Pay App 1'!C68</f>
        <v>Contingency</v>
      </c>
      <c r="D23" s="82">
        <f t="shared" si="8"/>
        <v>0</v>
      </c>
      <c r="E23" s="79"/>
      <c r="F23" s="79"/>
      <c r="G23" s="79"/>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79"/>
      <c r="BZ23" s="79"/>
      <c r="CA23" s="79"/>
      <c r="CB23" s="79"/>
      <c r="CC23" s="79"/>
      <c r="CD23" s="79"/>
      <c r="CE23" s="79"/>
      <c r="CF23" s="79"/>
      <c r="CG23" s="79"/>
      <c r="CH23" s="79"/>
      <c r="CI23" s="79"/>
      <c r="CJ23" s="79"/>
      <c r="CK23" s="79"/>
      <c r="CL23" s="79"/>
      <c r="CM23" s="79"/>
      <c r="CN23" s="79"/>
      <c r="CO23" s="79"/>
      <c r="CP23" s="79"/>
      <c r="CQ23" s="79"/>
      <c r="CR23" s="79"/>
      <c r="CS23" s="79"/>
      <c r="CT23" s="79"/>
      <c r="CU23" s="79"/>
      <c r="CV23" s="79"/>
      <c r="CW23" s="79"/>
      <c r="CX23" s="79"/>
      <c r="CY23" s="79"/>
      <c r="CZ23" s="79"/>
      <c r="DA23" s="79"/>
      <c r="DB23" s="79"/>
      <c r="DC23" s="79"/>
      <c r="DD23" s="79"/>
      <c r="DE23" s="79"/>
      <c r="DF23" s="79"/>
      <c r="DG23" s="79"/>
      <c r="DH23" s="79"/>
      <c r="DI23" s="79"/>
      <c r="DJ23" s="79"/>
      <c r="DK23" s="79"/>
      <c r="DL23" s="79"/>
      <c r="DM23" s="79"/>
      <c r="DN23" s="79"/>
      <c r="DO23" s="79"/>
      <c r="DP23" s="79"/>
      <c r="DQ23" s="79"/>
      <c r="DR23" s="79"/>
      <c r="DS23" s="79"/>
      <c r="DT23" s="79"/>
      <c r="DU23" s="79"/>
      <c r="DV23" s="79"/>
      <c r="DW23" s="79"/>
      <c r="DX23" s="79"/>
      <c r="DY23" s="79"/>
      <c r="DZ23" s="79"/>
      <c r="EA23" s="79"/>
      <c r="EB23" s="79"/>
      <c r="EC23" s="79"/>
      <c r="ED23" s="79"/>
      <c r="EE23" s="79"/>
      <c r="EF23" s="79"/>
      <c r="EG23" s="79"/>
      <c r="EH23" s="79"/>
      <c r="EI23" s="79"/>
      <c r="EJ23" s="79"/>
      <c r="EK23" s="79"/>
      <c r="EL23" s="79"/>
      <c r="EM23" s="79"/>
      <c r="EN23" s="79"/>
      <c r="EO23" s="79"/>
      <c r="EP23" s="79"/>
      <c r="EQ23" s="79"/>
      <c r="ER23" s="79"/>
      <c r="ES23" s="79"/>
      <c r="ET23" s="79"/>
      <c r="EU23" s="79"/>
      <c r="EV23" s="79"/>
      <c r="EW23" s="79"/>
      <c r="EX23" s="79"/>
      <c r="EY23" s="79"/>
      <c r="EZ23" s="79"/>
      <c r="FA23" s="79"/>
      <c r="FB23" s="79"/>
      <c r="FC23" s="79"/>
      <c r="FD23" s="79"/>
      <c r="FE23" s="79"/>
      <c r="FF23" s="79"/>
      <c r="FG23" s="79"/>
      <c r="FH23" s="79"/>
      <c r="FI23" s="79"/>
      <c r="FJ23" s="79"/>
      <c r="FK23" s="79"/>
      <c r="FL23" s="79"/>
      <c r="FM23" s="79"/>
      <c r="FN23" s="79"/>
      <c r="FO23" s="79"/>
      <c r="FP23" s="79"/>
      <c r="FQ23" s="79"/>
      <c r="FR23" s="79"/>
      <c r="FS23" s="79"/>
      <c r="FT23" s="79"/>
      <c r="FU23" s="79"/>
      <c r="FV23" s="79"/>
      <c r="FW23" s="79"/>
      <c r="FX23" s="79"/>
      <c r="FY23" s="79"/>
      <c r="FZ23" s="79"/>
      <c r="GA23" s="79"/>
      <c r="GB23" s="79"/>
      <c r="GC23" s="79"/>
      <c r="GD23" s="79"/>
      <c r="GE23" s="79"/>
      <c r="GF23" s="79"/>
      <c r="GG23" s="79"/>
      <c r="GH23" s="79"/>
      <c r="GI23" s="79"/>
      <c r="GJ23" s="79"/>
      <c r="GK23" s="79"/>
      <c r="GL23" s="79"/>
      <c r="GM23" s="79"/>
      <c r="GN23" s="79"/>
      <c r="GO23" s="79"/>
      <c r="GP23" s="79"/>
      <c r="GQ23" s="79"/>
      <c r="GR23" s="79"/>
      <c r="GS23" s="79"/>
      <c r="GT23" s="79"/>
      <c r="GU23" s="79"/>
      <c r="GV23" s="79"/>
      <c r="GW23" s="79"/>
      <c r="GX23" s="79"/>
      <c r="GY23" s="79"/>
      <c r="GZ23" s="79"/>
      <c r="HA23" s="79"/>
      <c r="HB23" s="79"/>
      <c r="HC23" s="79"/>
      <c r="HD23" s="79"/>
      <c r="HE23" s="79"/>
      <c r="HF23" s="79"/>
      <c r="HG23" s="79"/>
      <c r="HH23" s="79"/>
      <c r="HI23" s="79"/>
      <c r="HJ23" s="79"/>
      <c r="HK23" s="79"/>
      <c r="HL23" s="79"/>
      <c r="HM23" s="79"/>
      <c r="HN23" s="79"/>
      <c r="HO23" s="79"/>
      <c r="HP23" s="79"/>
      <c r="HQ23" s="79"/>
      <c r="HR23" s="79"/>
      <c r="HS23" s="79"/>
      <c r="HT23" s="79"/>
      <c r="HU23" s="79"/>
      <c r="HV23" s="79"/>
      <c r="HW23" s="79"/>
      <c r="HX23" s="79"/>
      <c r="HY23" s="79"/>
      <c r="HZ23" s="79"/>
      <c r="IA23" s="79"/>
      <c r="IB23" s="79"/>
      <c r="IC23" s="79"/>
      <c r="ID23" s="79"/>
      <c r="IE23" s="79"/>
      <c r="IF23" s="79"/>
      <c r="IG23" s="79"/>
      <c r="IH23" s="79"/>
      <c r="II23" s="79"/>
      <c r="IJ23" s="79"/>
      <c r="IK23" s="79"/>
      <c r="IL23" s="79"/>
      <c r="IM23" s="79"/>
      <c r="IN23" s="79"/>
      <c r="IO23" s="79"/>
      <c r="IP23" s="79"/>
      <c r="IQ23" s="79"/>
      <c r="IR23" s="79"/>
      <c r="IS23" s="79"/>
      <c r="IT23" s="79"/>
      <c r="IU23" s="79"/>
      <c r="IV23" s="79"/>
      <c r="IW23" s="79"/>
      <c r="IX23" s="79"/>
      <c r="IY23" s="79"/>
      <c r="IZ23" s="79"/>
      <c r="JA23" s="79"/>
      <c r="JB23" s="79"/>
      <c r="JC23" s="79"/>
      <c r="JD23" s="79"/>
      <c r="JE23" s="79"/>
      <c r="JF23" s="79"/>
      <c r="JG23" s="79"/>
      <c r="JH23" s="79"/>
      <c r="JI23" s="79"/>
      <c r="JJ23" s="79"/>
      <c r="JK23" s="79"/>
      <c r="JL23" s="79"/>
      <c r="JM23" s="79"/>
      <c r="JN23" s="79"/>
      <c r="JO23" s="79"/>
      <c r="JP23" s="79"/>
      <c r="JQ23" s="79"/>
      <c r="JR23" s="79"/>
      <c r="JS23" s="79"/>
      <c r="JT23" s="79"/>
      <c r="JU23" s="79"/>
      <c r="JV23" s="79"/>
      <c r="JW23" s="79"/>
      <c r="JX23" s="79"/>
      <c r="JY23" s="79"/>
      <c r="JZ23" s="79"/>
      <c r="KA23" s="79"/>
      <c r="KB23" s="79"/>
      <c r="KC23" s="79"/>
      <c r="KD23" s="79"/>
      <c r="KE23" s="79"/>
      <c r="KF23" s="79"/>
      <c r="KG23" s="79"/>
      <c r="KH23" s="79"/>
      <c r="KI23" s="79"/>
      <c r="KJ23" s="79"/>
      <c r="KK23" s="79"/>
      <c r="KL23" s="79"/>
      <c r="KM23" s="79"/>
      <c r="KN23" s="79"/>
      <c r="KO23" s="79"/>
      <c r="KP23" s="79"/>
      <c r="KQ23" s="79"/>
      <c r="KR23" s="79"/>
      <c r="KS23" s="79"/>
      <c r="KT23" s="79"/>
      <c r="KU23" s="79"/>
      <c r="KV23" s="79"/>
      <c r="KW23" s="79"/>
      <c r="KX23" s="79"/>
      <c r="KY23" s="79"/>
      <c r="KZ23" s="79"/>
      <c r="LA23" s="79"/>
      <c r="LB23" s="79"/>
      <c r="LC23" s="79"/>
      <c r="LD23" s="79"/>
      <c r="LE23" s="79"/>
      <c r="LF23" s="79"/>
      <c r="LG23" s="79"/>
      <c r="LH23" s="79"/>
      <c r="LI23" s="79"/>
      <c r="LJ23" s="79"/>
      <c r="LK23" s="79"/>
      <c r="LL23" s="79"/>
      <c r="LM23" s="79"/>
      <c r="LN23" s="79"/>
      <c r="LO23" s="79"/>
      <c r="LP23" s="79"/>
      <c r="LQ23" s="79"/>
      <c r="LR23" s="79"/>
      <c r="LS23" s="79"/>
      <c r="LT23" s="79"/>
      <c r="LU23" s="79"/>
      <c r="LV23" s="79"/>
      <c r="LW23" s="79"/>
      <c r="LX23" s="79"/>
      <c r="LY23" s="79"/>
      <c r="LZ23" s="79"/>
      <c r="MA23" s="79"/>
      <c r="MB23" s="79"/>
      <c r="MC23" s="79"/>
      <c r="MD23" s="79"/>
      <c r="ME23" s="79"/>
      <c r="MF23" s="79"/>
      <c r="MG23" s="79"/>
      <c r="MH23" s="79"/>
      <c r="MI23" s="79"/>
      <c r="MJ23" s="79"/>
      <c r="MK23" s="79"/>
      <c r="ML23" s="79"/>
      <c r="MM23" s="79"/>
      <c r="MN23" s="79"/>
      <c r="MO23" s="79"/>
      <c r="MP23" s="79"/>
      <c r="MQ23" s="79"/>
      <c r="MR23" s="79"/>
      <c r="MS23" s="79"/>
      <c r="MT23" s="79"/>
      <c r="MU23" s="79"/>
      <c r="MV23" s="79"/>
      <c r="MW23" s="79"/>
      <c r="MX23" s="79"/>
      <c r="MY23" s="79"/>
      <c r="MZ23" s="79"/>
      <c r="NA23" s="79"/>
      <c r="NB23" s="79"/>
      <c r="NC23" s="79"/>
      <c r="ND23" s="79"/>
      <c r="NE23" s="79"/>
      <c r="NF23" s="79"/>
      <c r="NG23" s="79"/>
      <c r="NH23" s="79"/>
      <c r="NI23" s="79"/>
      <c r="NJ23" s="79"/>
      <c r="NK23" s="79"/>
      <c r="NL23" s="79"/>
      <c r="NM23" s="79"/>
      <c r="NN23" s="79"/>
      <c r="NO23" s="79"/>
      <c r="NP23" s="79"/>
      <c r="NQ23" s="79"/>
      <c r="NR23" s="79"/>
      <c r="NS23" s="79"/>
      <c r="NT23" s="79"/>
      <c r="NU23" s="79"/>
      <c r="NV23" s="79"/>
      <c r="NW23" s="79"/>
      <c r="NX23" s="79"/>
      <c r="NY23" s="79"/>
      <c r="NZ23" s="79"/>
      <c r="OA23" s="79"/>
      <c r="OB23" s="79"/>
      <c r="OC23" s="79"/>
      <c r="OD23" s="79"/>
      <c r="OE23" s="79"/>
      <c r="OF23" s="79"/>
      <c r="OG23" s="79"/>
      <c r="OH23" s="79"/>
      <c r="OI23" s="79"/>
      <c r="OJ23" s="79"/>
      <c r="OK23" s="79"/>
      <c r="OL23" s="79"/>
      <c r="OM23" s="79"/>
      <c r="ON23" s="79"/>
      <c r="OO23" s="79"/>
      <c r="OP23" s="79"/>
      <c r="OQ23" s="79"/>
      <c r="OR23" s="79"/>
      <c r="OS23" s="79"/>
      <c r="OT23" s="79"/>
      <c r="OU23" s="79"/>
      <c r="OV23" s="79"/>
      <c r="OW23" s="79"/>
      <c r="OX23" s="79"/>
      <c r="OY23" s="79"/>
      <c r="OZ23" s="79"/>
      <c r="PA23" s="79"/>
      <c r="PB23" s="79"/>
      <c r="PC23" s="79"/>
      <c r="PD23" s="79"/>
      <c r="PE23" s="79"/>
      <c r="PF23" s="79"/>
      <c r="PG23" s="79"/>
      <c r="PH23" s="79"/>
      <c r="PI23" s="79"/>
      <c r="PJ23" s="79"/>
      <c r="PK23" s="79"/>
      <c r="PL23" s="79"/>
      <c r="PM23" s="79"/>
      <c r="PN23" s="79"/>
      <c r="PO23" s="79"/>
      <c r="PP23" s="79"/>
      <c r="PQ23" s="79"/>
      <c r="PR23" s="79"/>
      <c r="PS23" s="79"/>
      <c r="PT23" s="79"/>
      <c r="PU23" s="79"/>
      <c r="PV23" s="79"/>
      <c r="PW23" s="79"/>
      <c r="PX23" s="79"/>
      <c r="PY23" s="79"/>
      <c r="PZ23" s="79"/>
      <c r="QA23" s="79"/>
      <c r="QB23" s="79"/>
      <c r="QC23" s="79"/>
      <c r="QD23" s="79"/>
      <c r="QE23" s="79"/>
      <c r="QF23" s="79"/>
      <c r="QG23" s="79"/>
      <c r="QH23" s="79"/>
      <c r="QI23" s="79"/>
      <c r="QJ23" s="79"/>
      <c r="QK23" s="79"/>
      <c r="QL23" s="79"/>
      <c r="QM23" s="79"/>
      <c r="QN23" s="79"/>
      <c r="QO23" s="79"/>
      <c r="QP23" s="79"/>
      <c r="QQ23" s="79"/>
      <c r="QR23" s="79"/>
      <c r="QS23" s="79"/>
      <c r="QT23" s="79"/>
      <c r="QU23" s="79"/>
      <c r="QV23" s="79"/>
      <c r="QW23" s="79"/>
      <c r="QX23" s="79"/>
      <c r="QY23" s="79"/>
      <c r="QZ23" s="79"/>
      <c r="RA23" s="79"/>
      <c r="RB23" s="79"/>
      <c r="RC23" s="79"/>
      <c r="RD23" s="79"/>
      <c r="RE23" s="79"/>
      <c r="RF23" s="79"/>
      <c r="RG23" s="79"/>
      <c r="RH23" s="79"/>
      <c r="RI23" s="79"/>
      <c r="RJ23" s="79"/>
      <c r="RK23" s="79"/>
      <c r="RL23" s="79"/>
      <c r="RM23" s="79"/>
      <c r="RN23" s="79"/>
      <c r="RO23" s="79"/>
      <c r="RP23" s="79"/>
      <c r="RQ23" s="79"/>
      <c r="RR23" s="79"/>
      <c r="RS23" s="79"/>
      <c r="RT23" s="79"/>
      <c r="RU23" s="79"/>
      <c r="RV23" s="79"/>
      <c r="RW23" s="79"/>
      <c r="RX23" s="79"/>
      <c r="RY23" s="79"/>
      <c r="RZ23" s="79"/>
      <c r="SA23" s="79"/>
      <c r="SB23" s="79"/>
      <c r="SC23" s="79"/>
      <c r="SD23" s="79"/>
      <c r="SE23" s="79"/>
      <c r="SF23" s="79"/>
      <c r="SG23" s="79"/>
      <c r="SH23" s="79"/>
      <c r="SI23" s="79"/>
      <c r="SJ23" s="79"/>
    </row>
    <row r="24" spans="2:504" x14ac:dyDescent="0.25">
      <c r="B24" s="49" t="str">
        <f>'Pay App 1'!B69</f>
        <v>01 37 00</v>
      </c>
      <c r="C24" s="25" t="str">
        <f>'Pay App 1'!C69</f>
        <v>Weather Allowance (All Trades)</v>
      </c>
      <c r="D24" s="82">
        <f t="shared" si="8"/>
        <v>0</v>
      </c>
      <c r="E24" s="79"/>
      <c r="F24" s="79"/>
      <c r="G24" s="79"/>
      <c r="H24" s="79"/>
      <c r="I24" s="79"/>
      <c r="J24" s="79"/>
      <c r="K24" s="79"/>
      <c r="L24" s="79"/>
      <c r="M24" s="79"/>
      <c r="N24" s="79"/>
      <c r="O24" s="79"/>
      <c r="P24" s="79"/>
      <c r="Q24" s="79"/>
      <c r="R24" s="79"/>
      <c r="S24" s="79"/>
      <c r="T24" s="79"/>
      <c r="U24" s="79"/>
      <c r="V24" s="79"/>
      <c r="W24" s="79"/>
      <c r="X24" s="79"/>
      <c r="Y24" s="79"/>
      <c r="Z24" s="79"/>
      <c r="AA24" s="79"/>
      <c r="AB24" s="79"/>
      <c r="AC24" s="79"/>
      <c r="AD24" s="79"/>
      <c r="AE24" s="79"/>
      <c r="AF24" s="79"/>
      <c r="AG24" s="79"/>
      <c r="AH24" s="79"/>
      <c r="AI24" s="79"/>
      <c r="AJ24" s="79"/>
      <c r="AK24" s="79"/>
      <c r="AL24" s="79"/>
      <c r="AM24" s="79"/>
      <c r="AN24" s="79"/>
      <c r="AO24" s="79"/>
      <c r="AP24" s="79"/>
      <c r="AQ24" s="79"/>
      <c r="AR24" s="79"/>
      <c r="AS24" s="79"/>
      <c r="AT24" s="79"/>
      <c r="AU24" s="79"/>
      <c r="AV24" s="79"/>
      <c r="AW24" s="79"/>
      <c r="AX24" s="79"/>
      <c r="AY24" s="79"/>
      <c r="AZ24" s="79"/>
      <c r="BA24" s="79"/>
      <c r="BB24" s="79"/>
      <c r="BC24" s="79"/>
      <c r="BD24" s="79"/>
      <c r="BE24" s="79"/>
      <c r="BF24" s="79"/>
      <c r="BG24" s="79"/>
      <c r="BH24" s="79"/>
      <c r="BI24" s="79"/>
      <c r="BJ24" s="79"/>
      <c r="BK24" s="79"/>
      <c r="BL24" s="79"/>
      <c r="BM24" s="79"/>
      <c r="BN24" s="79"/>
      <c r="BO24" s="79"/>
      <c r="BP24" s="79"/>
      <c r="BQ24" s="79"/>
      <c r="BR24" s="79"/>
      <c r="BS24" s="79"/>
      <c r="BT24" s="79"/>
      <c r="BU24" s="79"/>
      <c r="BV24" s="79"/>
      <c r="BW24" s="79"/>
      <c r="BX24" s="79"/>
      <c r="BY24" s="79"/>
      <c r="BZ24" s="79"/>
      <c r="CA24" s="79"/>
      <c r="CB24" s="79"/>
      <c r="CC24" s="79"/>
      <c r="CD24" s="79"/>
      <c r="CE24" s="79"/>
      <c r="CF24" s="79"/>
      <c r="CG24" s="79"/>
      <c r="CH24" s="79"/>
      <c r="CI24" s="79"/>
      <c r="CJ24" s="79"/>
      <c r="CK24" s="79"/>
      <c r="CL24" s="79"/>
      <c r="CM24" s="79"/>
      <c r="CN24" s="79"/>
      <c r="CO24" s="79"/>
      <c r="CP24" s="79"/>
      <c r="CQ24" s="79"/>
      <c r="CR24" s="79"/>
      <c r="CS24" s="79"/>
      <c r="CT24" s="79"/>
      <c r="CU24" s="79"/>
      <c r="CV24" s="79"/>
      <c r="CW24" s="79"/>
      <c r="CX24" s="79"/>
      <c r="CY24" s="79"/>
      <c r="CZ24" s="79"/>
      <c r="DA24" s="79"/>
      <c r="DB24" s="79"/>
      <c r="DC24" s="79"/>
      <c r="DD24" s="79"/>
      <c r="DE24" s="79"/>
      <c r="DF24" s="79"/>
      <c r="DG24" s="79"/>
      <c r="DH24" s="79"/>
      <c r="DI24" s="79"/>
      <c r="DJ24" s="79"/>
      <c r="DK24" s="79"/>
      <c r="DL24" s="79"/>
      <c r="DM24" s="79"/>
      <c r="DN24" s="79"/>
      <c r="DO24" s="79"/>
      <c r="DP24" s="79"/>
      <c r="DQ24" s="79"/>
      <c r="DR24" s="79"/>
      <c r="DS24" s="79"/>
      <c r="DT24" s="79"/>
      <c r="DU24" s="79"/>
      <c r="DV24" s="79"/>
      <c r="DW24" s="79"/>
      <c r="DX24" s="79"/>
      <c r="DY24" s="79"/>
      <c r="DZ24" s="79"/>
      <c r="EA24" s="79"/>
      <c r="EB24" s="79"/>
      <c r="EC24" s="79"/>
      <c r="ED24" s="79"/>
      <c r="EE24" s="79"/>
      <c r="EF24" s="79"/>
      <c r="EG24" s="79"/>
      <c r="EH24" s="79"/>
      <c r="EI24" s="79"/>
      <c r="EJ24" s="79"/>
      <c r="EK24" s="79"/>
      <c r="EL24" s="79"/>
      <c r="EM24" s="79"/>
      <c r="EN24" s="79"/>
      <c r="EO24" s="79"/>
      <c r="EP24" s="79"/>
      <c r="EQ24" s="79"/>
      <c r="ER24" s="79"/>
      <c r="ES24" s="79"/>
      <c r="ET24" s="79"/>
      <c r="EU24" s="79"/>
      <c r="EV24" s="79"/>
      <c r="EW24" s="79"/>
      <c r="EX24" s="79"/>
      <c r="EY24" s="79"/>
      <c r="EZ24" s="79"/>
      <c r="FA24" s="79"/>
      <c r="FB24" s="79"/>
      <c r="FC24" s="79"/>
      <c r="FD24" s="79"/>
      <c r="FE24" s="79"/>
      <c r="FF24" s="79"/>
      <c r="FG24" s="79"/>
      <c r="FH24" s="79"/>
      <c r="FI24" s="79"/>
      <c r="FJ24" s="79"/>
      <c r="FK24" s="79"/>
      <c r="FL24" s="79"/>
      <c r="FM24" s="79"/>
      <c r="FN24" s="79"/>
      <c r="FO24" s="79"/>
      <c r="FP24" s="79"/>
      <c r="FQ24" s="79"/>
      <c r="FR24" s="79"/>
      <c r="FS24" s="79"/>
      <c r="FT24" s="79"/>
      <c r="FU24" s="79"/>
      <c r="FV24" s="79"/>
      <c r="FW24" s="79"/>
      <c r="FX24" s="79"/>
      <c r="FY24" s="79"/>
      <c r="FZ24" s="79"/>
      <c r="GA24" s="79"/>
      <c r="GB24" s="79"/>
      <c r="GC24" s="79"/>
      <c r="GD24" s="79"/>
      <c r="GE24" s="79"/>
      <c r="GF24" s="79"/>
      <c r="GG24" s="79"/>
      <c r="GH24" s="79"/>
      <c r="GI24" s="79"/>
      <c r="GJ24" s="79"/>
      <c r="GK24" s="79"/>
      <c r="GL24" s="79"/>
      <c r="GM24" s="79"/>
      <c r="GN24" s="79"/>
      <c r="GO24" s="79"/>
      <c r="GP24" s="79"/>
      <c r="GQ24" s="79"/>
      <c r="GR24" s="79"/>
      <c r="GS24" s="79"/>
      <c r="GT24" s="79"/>
      <c r="GU24" s="79"/>
      <c r="GV24" s="79"/>
      <c r="GW24" s="79"/>
      <c r="GX24" s="79"/>
      <c r="GY24" s="79"/>
      <c r="GZ24" s="79"/>
      <c r="HA24" s="79"/>
      <c r="HB24" s="79"/>
      <c r="HC24" s="79"/>
      <c r="HD24" s="79"/>
      <c r="HE24" s="79"/>
      <c r="HF24" s="79"/>
      <c r="HG24" s="79"/>
      <c r="HH24" s="79"/>
      <c r="HI24" s="79"/>
      <c r="HJ24" s="79"/>
      <c r="HK24" s="79"/>
      <c r="HL24" s="79"/>
      <c r="HM24" s="79"/>
      <c r="HN24" s="79"/>
      <c r="HO24" s="79"/>
      <c r="HP24" s="79"/>
      <c r="HQ24" s="79"/>
      <c r="HR24" s="79"/>
      <c r="HS24" s="79"/>
      <c r="HT24" s="79"/>
      <c r="HU24" s="79"/>
      <c r="HV24" s="79"/>
      <c r="HW24" s="79"/>
      <c r="HX24" s="79"/>
      <c r="HY24" s="79"/>
      <c r="HZ24" s="79"/>
      <c r="IA24" s="79"/>
      <c r="IB24" s="79"/>
      <c r="IC24" s="79"/>
      <c r="ID24" s="79"/>
      <c r="IE24" s="79"/>
      <c r="IF24" s="79"/>
      <c r="IG24" s="79"/>
      <c r="IH24" s="79"/>
      <c r="II24" s="79"/>
      <c r="IJ24" s="79"/>
      <c r="IK24" s="79"/>
      <c r="IL24" s="79"/>
      <c r="IM24" s="79"/>
      <c r="IN24" s="79"/>
      <c r="IO24" s="79"/>
      <c r="IP24" s="79"/>
      <c r="IQ24" s="79"/>
      <c r="IR24" s="79"/>
      <c r="IS24" s="79"/>
      <c r="IT24" s="79"/>
      <c r="IU24" s="79"/>
      <c r="IV24" s="79"/>
      <c r="IW24" s="79"/>
      <c r="IX24" s="79"/>
      <c r="IY24" s="79"/>
      <c r="IZ24" s="79"/>
      <c r="JA24" s="79"/>
      <c r="JB24" s="79"/>
      <c r="JC24" s="79"/>
      <c r="JD24" s="79"/>
      <c r="JE24" s="79"/>
      <c r="JF24" s="79"/>
      <c r="JG24" s="79"/>
      <c r="JH24" s="79"/>
      <c r="JI24" s="79"/>
      <c r="JJ24" s="79"/>
      <c r="JK24" s="79"/>
      <c r="JL24" s="79"/>
      <c r="JM24" s="79"/>
      <c r="JN24" s="79"/>
      <c r="JO24" s="79"/>
      <c r="JP24" s="79"/>
      <c r="JQ24" s="79"/>
      <c r="JR24" s="79"/>
      <c r="JS24" s="79"/>
      <c r="JT24" s="79"/>
      <c r="JU24" s="79"/>
      <c r="JV24" s="79"/>
      <c r="JW24" s="79"/>
      <c r="JX24" s="79"/>
      <c r="JY24" s="79"/>
      <c r="JZ24" s="79"/>
      <c r="KA24" s="79"/>
      <c r="KB24" s="79"/>
      <c r="KC24" s="79"/>
      <c r="KD24" s="79"/>
      <c r="KE24" s="79"/>
      <c r="KF24" s="79"/>
      <c r="KG24" s="79"/>
      <c r="KH24" s="79"/>
      <c r="KI24" s="79"/>
      <c r="KJ24" s="79"/>
      <c r="KK24" s="79"/>
      <c r="KL24" s="79"/>
      <c r="KM24" s="79"/>
      <c r="KN24" s="79"/>
      <c r="KO24" s="79"/>
      <c r="KP24" s="79"/>
      <c r="KQ24" s="79"/>
      <c r="KR24" s="79"/>
      <c r="KS24" s="79"/>
      <c r="KT24" s="79"/>
      <c r="KU24" s="79"/>
      <c r="KV24" s="79"/>
      <c r="KW24" s="79"/>
      <c r="KX24" s="79"/>
      <c r="KY24" s="79"/>
      <c r="KZ24" s="79"/>
      <c r="LA24" s="79"/>
      <c r="LB24" s="79"/>
      <c r="LC24" s="79"/>
      <c r="LD24" s="79"/>
      <c r="LE24" s="79"/>
      <c r="LF24" s="79"/>
      <c r="LG24" s="79"/>
      <c r="LH24" s="79"/>
      <c r="LI24" s="79"/>
      <c r="LJ24" s="79"/>
      <c r="LK24" s="79"/>
      <c r="LL24" s="79"/>
      <c r="LM24" s="79"/>
      <c r="LN24" s="79"/>
      <c r="LO24" s="79"/>
      <c r="LP24" s="79"/>
      <c r="LQ24" s="79"/>
      <c r="LR24" s="79"/>
      <c r="LS24" s="79"/>
      <c r="LT24" s="79"/>
      <c r="LU24" s="79"/>
      <c r="LV24" s="79"/>
      <c r="LW24" s="79"/>
      <c r="LX24" s="79"/>
      <c r="LY24" s="79"/>
      <c r="LZ24" s="79"/>
      <c r="MA24" s="79"/>
      <c r="MB24" s="79"/>
      <c r="MC24" s="79"/>
      <c r="MD24" s="79"/>
      <c r="ME24" s="79"/>
      <c r="MF24" s="79"/>
      <c r="MG24" s="79"/>
      <c r="MH24" s="79"/>
      <c r="MI24" s="79"/>
      <c r="MJ24" s="79"/>
      <c r="MK24" s="79"/>
      <c r="ML24" s="79"/>
      <c r="MM24" s="79"/>
      <c r="MN24" s="79"/>
      <c r="MO24" s="79"/>
      <c r="MP24" s="79"/>
      <c r="MQ24" s="79"/>
      <c r="MR24" s="79"/>
      <c r="MS24" s="79"/>
      <c r="MT24" s="79"/>
      <c r="MU24" s="79"/>
      <c r="MV24" s="79"/>
      <c r="MW24" s="79"/>
      <c r="MX24" s="79"/>
      <c r="MY24" s="79"/>
      <c r="MZ24" s="79"/>
      <c r="NA24" s="79"/>
      <c r="NB24" s="79"/>
      <c r="NC24" s="79"/>
      <c r="ND24" s="79"/>
      <c r="NE24" s="79"/>
      <c r="NF24" s="79"/>
      <c r="NG24" s="79"/>
      <c r="NH24" s="79"/>
      <c r="NI24" s="79"/>
      <c r="NJ24" s="79"/>
      <c r="NK24" s="79"/>
      <c r="NL24" s="79"/>
      <c r="NM24" s="79"/>
      <c r="NN24" s="79"/>
      <c r="NO24" s="79"/>
      <c r="NP24" s="79"/>
      <c r="NQ24" s="79"/>
      <c r="NR24" s="79"/>
      <c r="NS24" s="79"/>
      <c r="NT24" s="79"/>
      <c r="NU24" s="79"/>
      <c r="NV24" s="79"/>
      <c r="NW24" s="79"/>
      <c r="NX24" s="79"/>
      <c r="NY24" s="79"/>
      <c r="NZ24" s="79"/>
      <c r="OA24" s="79"/>
      <c r="OB24" s="79"/>
      <c r="OC24" s="79"/>
      <c r="OD24" s="79"/>
      <c r="OE24" s="79"/>
      <c r="OF24" s="79"/>
      <c r="OG24" s="79"/>
      <c r="OH24" s="79"/>
      <c r="OI24" s="79"/>
      <c r="OJ24" s="79"/>
      <c r="OK24" s="79"/>
      <c r="OL24" s="79"/>
      <c r="OM24" s="79"/>
      <c r="ON24" s="79"/>
      <c r="OO24" s="79"/>
      <c r="OP24" s="79"/>
      <c r="OQ24" s="79"/>
      <c r="OR24" s="79"/>
      <c r="OS24" s="79"/>
      <c r="OT24" s="79"/>
      <c r="OU24" s="79"/>
      <c r="OV24" s="79"/>
      <c r="OW24" s="79"/>
      <c r="OX24" s="79"/>
      <c r="OY24" s="79"/>
      <c r="OZ24" s="79"/>
      <c r="PA24" s="79"/>
      <c r="PB24" s="79"/>
      <c r="PC24" s="79"/>
      <c r="PD24" s="79"/>
      <c r="PE24" s="79"/>
      <c r="PF24" s="79"/>
      <c r="PG24" s="79"/>
      <c r="PH24" s="79"/>
      <c r="PI24" s="79"/>
      <c r="PJ24" s="79"/>
      <c r="PK24" s="79"/>
      <c r="PL24" s="79"/>
      <c r="PM24" s="79"/>
      <c r="PN24" s="79"/>
      <c r="PO24" s="79"/>
      <c r="PP24" s="79"/>
      <c r="PQ24" s="79"/>
      <c r="PR24" s="79"/>
      <c r="PS24" s="79"/>
      <c r="PT24" s="79"/>
      <c r="PU24" s="79"/>
      <c r="PV24" s="79"/>
      <c r="PW24" s="79"/>
      <c r="PX24" s="79"/>
      <c r="PY24" s="79"/>
      <c r="PZ24" s="79"/>
      <c r="QA24" s="79"/>
      <c r="QB24" s="79"/>
      <c r="QC24" s="79"/>
      <c r="QD24" s="79"/>
      <c r="QE24" s="79"/>
      <c r="QF24" s="79"/>
      <c r="QG24" s="79"/>
      <c r="QH24" s="79"/>
      <c r="QI24" s="79"/>
      <c r="QJ24" s="79"/>
      <c r="QK24" s="79"/>
      <c r="QL24" s="79"/>
      <c r="QM24" s="79"/>
      <c r="QN24" s="79"/>
      <c r="QO24" s="79"/>
      <c r="QP24" s="79"/>
      <c r="QQ24" s="79"/>
      <c r="QR24" s="79"/>
      <c r="QS24" s="79"/>
      <c r="QT24" s="79"/>
      <c r="QU24" s="79"/>
      <c r="QV24" s="79"/>
      <c r="QW24" s="79"/>
      <c r="QX24" s="79"/>
      <c r="QY24" s="79"/>
      <c r="QZ24" s="79"/>
      <c r="RA24" s="79"/>
      <c r="RB24" s="79"/>
      <c r="RC24" s="79"/>
      <c r="RD24" s="79"/>
      <c r="RE24" s="79"/>
      <c r="RF24" s="79"/>
      <c r="RG24" s="79"/>
      <c r="RH24" s="79"/>
      <c r="RI24" s="79"/>
      <c r="RJ24" s="79"/>
      <c r="RK24" s="79"/>
      <c r="RL24" s="79"/>
      <c r="RM24" s="79"/>
      <c r="RN24" s="79"/>
      <c r="RO24" s="79"/>
      <c r="RP24" s="79"/>
      <c r="RQ24" s="79"/>
      <c r="RR24" s="79"/>
      <c r="RS24" s="79"/>
      <c r="RT24" s="79"/>
      <c r="RU24" s="79"/>
      <c r="RV24" s="79"/>
      <c r="RW24" s="79"/>
      <c r="RX24" s="79"/>
      <c r="RY24" s="79"/>
      <c r="RZ24" s="79"/>
      <c r="SA24" s="79"/>
      <c r="SB24" s="79"/>
      <c r="SC24" s="79"/>
      <c r="SD24" s="79"/>
      <c r="SE24" s="79"/>
      <c r="SF24" s="79"/>
      <c r="SG24" s="79"/>
      <c r="SH24" s="79"/>
      <c r="SI24" s="79"/>
      <c r="SJ24" s="79"/>
    </row>
    <row r="25" spans="2:504" x14ac:dyDescent="0.25">
      <c r="B25" s="49" t="str">
        <f>'Pay App 1'!B70</f>
        <v>01 74 23</v>
      </c>
      <c r="C25" s="25" t="str">
        <f>'Pay App 1'!C70</f>
        <v>Cleaning (Final)</v>
      </c>
      <c r="D25" s="82">
        <f t="shared" si="8"/>
        <v>0</v>
      </c>
      <c r="E25" s="79"/>
      <c r="F25" s="79"/>
      <c r="G25" s="79"/>
      <c r="H25" s="79"/>
      <c r="I25" s="79"/>
      <c r="J25" s="79"/>
      <c r="K25" s="79"/>
      <c r="L25" s="79"/>
      <c r="M25" s="79"/>
      <c r="N25" s="79"/>
      <c r="O25" s="79"/>
      <c r="P25" s="79"/>
      <c r="Q25" s="79"/>
      <c r="R25" s="79"/>
      <c r="S25" s="79"/>
      <c r="T25" s="79"/>
      <c r="U25" s="79"/>
      <c r="V25" s="79"/>
      <c r="W25" s="79"/>
      <c r="X25" s="79"/>
      <c r="Y25" s="79"/>
      <c r="Z25" s="79"/>
      <c r="AA25" s="79"/>
      <c r="AB25" s="79"/>
      <c r="AC25" s="79"/>
      <c r="AD25" s="79"/>
      <c r="AE25" s="79"/>
      <c r="AF25" s="79"/>
      <c r="AG25" s="79"/>
      <c r="AH25" s="79"/>
      <c r="AI25" s="79"/>
      <c r="AJ25" s="79"/>
      <c r="AK25" s="79"/>
      <c r="AL25" s="79"/>
      <c r="AM25" s="79"/>
      <c r="AN25" s="79"/>
      <c r="AO25" s="79"/>
      <c r="AP25" s="79"/>
      <c r="AQ25" s="79"/>
      <c r="AR25" s="79"/>
      <c r="AS25" s="79"/>
      <c r="AT25" s="79"/>
      <c r="AU25" s="79"/>
      <c r="AV25" s="79"/>
      <c r="AW25" s="79"/>
      <c r="AX25" s="79"/>
      <c r="AY25" s="79"/>
      <c r="AZ25" s="79"/>
      <c r="BA25" s="79"/>
      <c r="BB25" s="79"/>
      <c r="BC25" s="79"/>
      <c r="BD25" s="79"/>
      <c r="BE25" s="79"/>
      <c r="BF25" s="79"/>
      <c r="BG25" s="79"/>
      <c r="BH25" s="79"/>
      <c r="BI25" s="79"/>
      <c r="BJ25" s="79"/>
      <c r="BK25" s="79"/>
      <c r="BL25" s="79"/>
      <c r="BM25" s="79"/>
      <c r="BN25" s="79"/>
      <c r="BO25" s="79"/>
      <c r="BP25" s="79"/>
      <c r="BQ25" s="79"/>
      <c r="BR25" s="79"/>
      <c r="BS25" s="79"/>
      <c r="BT25" s="79"/>
      <c r="BU25" s="79"/>
      <c r="BV25" s="79"/>
      <c r="BW25" s="79"/>
      <c r="BX25" s="79"/>
      <c r="BY25" s="79"/>
      <c r="BZ25" s="79"/>
      <c r="CA25" s="79"/>
      <c r="CB25" s="79"/>
      <c r="CC25" s="79"/>
      <c r="CD25" s="79"/>
      <c r="CE25" s="79"/>
      <c r="CF25" s="79"/>
      <c r="CG25" s="79"/>
      <c r="CH25" s="79"/>
      <c r="CI25" s="79"/>
      <c r="CJ25" s="79"/>
      <c r="CK25" s="79"/>
      <c r="CL25" s="79"/>
      <c r="CM25" s="79"/>
      <c r="CN25" s="79"/>
      <c r="CO25" s="79"/>
      <c r="CP25" s="79"/>
      <c r="CQ25" s="79"/>
      <c r="CR25" s="79"/>
      <c r="CS25" s="79"/>
      <c r="CT25" s="79"/>
      <c r="CU25" s="79"/>
      <c r="CV25" s="79"/>
      <c r="CW25" s="79"/>
      <c r="CX25" s="79"/>
      <c r="CY25" s="79"/>
      <c r="CZ25" s="79"/>
      <c r="DA25" s="79"/>
      <c r="DB25" s="79"/>
      <c r="DC25" s="79"/>
      <c r="DD25" s="79"/>
      <c r="DE25" s="79"/>
      <c r="DF25" s="79"/>
      <c r="DG25" s="79"/>
      <c r="DH25" s="79"/>
      <c r="DI25" s="79"/>
      <c r="DJ25" s="79"/>
      <c r="DK25" s="79"/>
      <c r="DL25" s="79"/>
      <c r="DM25" s="79"/>
      <c r="DN25" s="79"/>
      <c r="DO25" s="79"/>
      <c r="DP25" s="79"/>
      <c r="DQ25" s="79"/>
      <c r="DR25" s="79"/>
      <c r="DS25" s="79"/>
      <c r="DT25" s="79"/>
      <c r="DU25" s="79"/>
      <c r="DV25" s="79"/>
      <c r="DW25" s="79"/>
      <c r="DX25" s="79"/>
      <c r="DY25" s="79"/>
      <c r="DZ25" s="79"/>
      <c r="EA25" s="79"/>
      <c r="EB25" s="79"/>
      <c r="EC25" s="79"/>
      <c r="ED25" s="79"/>
      <c r="EE25" s="79"/>
      <c r="EF25" s="79"/>
      <c r="EG25" s="79"/>
      <c r="EH25" s="79"/>
      <c r="EI25" s="79"/>
      <c r="EJ25" s="79"/>
      <c r="EK25" s="79"/>
      <c r="EL25" s="79"/>
      <c r="EM25" s="79"/>
      <c r="EN25" s="79"/>
      <c r="EO25" s="79"/>
      <c r="EP25" s="79"/>
      <c r="EQ25" s="79"/>
      <c r="ER25" s="79"/>
      <c r="ES25" s="79"/>
      <c r="ET25" s="79"/>
      <c r="EU25" s="79"/>
      <c r="EV25" s="79"/>
      <c r="EW25" s="79"/>
      <c r="EX25" s="79"/>
      <c r="EY25" s="79"/>
      <c r="EZ25" s="79"/>
      <c r="FA25" s="79"/>
      <c r="FB25" s="79"/>
      <c r="FC25" s="79"/>
      <c r="FD25" s="79"/>
      <c r="FE25" s="79"/>
      <c r="FF25" s="79"/>
      <c r="FG25" s="79"/>
      <c r="FH25" s="79"/>
      <c r="FI25" s="79"/>
      <c r="FJ25" s="79"/>
      <c r="FK25" s="79"/>
      <c r="FL25" s="79"/>
      <c r="FM25" s="79"/>
      <c r="FN25" s="79"/>
      <c r="FO25" s="79"/>
      <c r="FP25" s="79"/>
      <c r="FQ25" s="79"/>
      <c r="FR25" s="79"/>
      <c r="FS25" s="79"/>
      <c r="FT25" s="79"/>
      <c r="FU25" s="79"/>
      <c r="FV25" s="79"/>
      <c r="FW25" s="79"/>
      <c r="FX25" s="79"/>
      <c r="FY25" s="79"/>
      <c r="FZ25" s="79"/>
      <c r="GA25" s="79"/>
      <c r="GB25" s="79"/>
      <c r="GC25" s="79"/>
      <c r="GD25" s="79"/>
      <c r="GE25" s="79"/>
      <c r="GF25" s="79"/>
      <c r="GG25" s="79"/>
      <c r="GH25" s="79"/>
      <c r="GI25" s="79"/>
      <c r="GJ25" s="79"/>
      <c r="GK25" s="79"/>
      <c r="GL25" s="79"/>
      <c r="GM25" s="79"/>
      <c r="GN25" s="79"/>
      <c r="GO25" s="79"/>
      <c r="GP25" s="79"/>
      <c r="GQ25" s="79"/>
      <c r="GR25" s="79"/>
      <c r="GS25" s="79"/>
      <c r="GT25" s="79"/>
      <c r="GU25" s="79"/>
      <c r="GV25" s="79"/>
      <c r="GW25" s="79"/>
      <c r="GX25" s="79"/>
      <c r="GY25" s="79"/>
      <c r="GZ25" s="79"/>
      <c r="HA25" s="79"/>
      <c r="HB25" s="79"/>
      <c r="HC25" s="79"/>
      <c r="HD25" s="79"/>
      <c r="HE25" s="79"/>
      <c r="HF25" s="79"/>
      <c r="HG25" s="79"/>
      <c r="HH25" s="79"/>
      <c r="HI25" s="79"/>
      <c r="HJ25" s="79"/>
      <c r="HK25" s="79"/>
      <c r="HL25" s="79"/>
      <c r="HM25" s="79"/>
      <c r="HN25" s="79"/>
      <c r="HO25" s="79"/>
      <c r="HP25" s="79"/>
      <c r="HQ25" s="79"/>
      <c r="HR25" s="79"/>
      <c r="HS25" s="79"/>
      <c r="HT25" s="79"/>
      <c r="HU25" s="79"/>
      <c r="HV25" s="79"/>
      <c r="HW25" s="79"/>
      <c r="HX25" s="79"/>
      <c r="HY25" s="79"/>
      <c r="HZ25" s="79"/>
      <c r="IA25" s="79"/>
      <c r="IB25" s="79"/>
      <c r="IC25" s="79"/>
      <c r="ID25" s="79"/>
      <c r="IE25" s="79"/>
      <c r="IF25" s="79"/>
      <c r="IG25" s="79"/>
      <c r="IH25" s="79"/>
      <c r="II25" s="79"/>
      <c r="IJ25" s="79"/>
      <c r="IK25" s="79"/>
      <c r="IL25" s="79"/>
      <c r="IM25" s="79"/>
      <c r="IN25" s="79"/>
      <c r="IO25" s="79"/>
      <c r="IP25" s="79"/>
      <c r="IQ25" s="79"/>
      <c r="IR25" s="79"/>
      <c r="IS25" s="79"/>
      <c r="IT25" s="79"/>
      <c r="IU25" s="79"/>
      <c r="IV25" s="79"/>
      <c r="IW25" s="79"/>
      <c r="IX25" s="79"/>
      <c r="IY25" s="79"/>
      <c r="IZ25" s="79"/>
      <c r="JA25" s="79"/>
      <c r="JB25" s="79"/>
      <c r="JC25" s="79"/>
      <c r="JD25" s="79"/>
      <c r="JE25" s="79"/>
      <c r="JF25" s="79"/>
      <c r="JG25" s="79"/>
      <c r="JH25" s="79"/>
      <c r="JI25" s="79"/>
      <c r="JJ25" s="79"/>
      <c r="JK25" s="79"/>
      <c r="JL25" s="79"/>
      <c r="JM25" s="79"/>
      <c r="JN25" s="79"/>
      <c r="JO25" s="79"/>
      <c r="JP25" s="79"/>
      <c r="JQ25" s="79"/>
      <c r="JR25" s="79"/>
      <c r="JS25" s="79"/>
      <c r="JT25" s="79"/>
      <c r="JU25" s="79"/>
      <c r="JV25" s="79"/>
      <c r="JW25" s="79"/>
      <c r="JX25" s="79"/>
      <c r="JY25" s="79"/>
      <c r="JZ25" s="79"/>
      <c r="KA25" s="79"/>
      <c r="KB25" s="79"/>
      <c r="KC25" s="79"/>
      <c r="KD25" s="79"/>
      <c r="KE25" s="79"/>
      <c r="KF25" s="79"/>
      <c r="KG25" s="79"/>
      <c r="KH25" s="79"/>
      <c r="KI25" s="79"/>
      <c r="KJ25" s="79"/>
      <c r="KK25" s="79"/>
      <c r="KL25" s="79"/>
      <c r="KM25" s="79"/>
      <c r="KN25" s="79"/>
      <c r="KO25" s="79"/>
      <c r="KP25" s="79"/>
      <c r="KQ25" s="79"/>
      <c r="KR25" s="79"/>
      <c r="KS25" s="79"/>
      <c r="KT25" s="79"/>
      <c r="KU25" s="79"/>
      <c r="KV25" s="79"/>
      <c r="KW25" s="79"/>
      <c r="KX25" s="79"/>
      <c r="KY25" s="79"/>
      <c r="KZ25" s="79"/>
      <c r="LA25" s="79"/>
      <c r="LB25" s="79"/>
      <c r="LC25" s="79"/>
      <c r="LD25" s="79"/>
      <c r="LE25" s="79"/>
      <c r="LF25" s="79"/>
      <c r="LG25" s="79"/>
      <c r="LH25" s="79"/>
      <c r="LI25" s="79"/>
      <c r="LJ25" s="79"/>
      <c r="LK25" s="79"/>
      <c r="LL25" s="79"/>
      <c r="LM25" s="79"/>
      <c r="LN25" s="79"/>
      <c r="LO25" s="79"/>
      <c r="LP25" s="79"/>
      <c r="LQ25" s="79"/>
      <c r="LR25" s="79"/>
      <c r="LS25" s="79"/>
      <c r="LT25" s="79"/>
      <c r="LU25" s="79"/>
      <c r="LV25" s="79"/>
      <c r="LW25" s="79"/>
      <c r="LX25" s="79"/>
      <c r="LY25" s="79"/>
      <c r="LZ25" s="79"/>
      <c r="MA25" s="79"/>
      <c r="MB25" s="79"/>
      <c r="MC25" s="79"/>
      <c r="MD25" s="79"/>
      <c r="ME25" s="79"/>
      <c r="MF25" s="79"/>
      <c r="MG25" s="79"/>
      <c r="MH25" s="79"/>
      <c r="MI25" s="79"/>
      <c r="MJ25" s="79"/>
      <c r="MK25" s="79"/>
      <c r="ML25" s="79"/>
      <c r="MM25" s="79"/>
      <c r="MN25" s="79"/>
      <c r="MO25" s="79"/>
      <c r="MP25" s="79"/>
      <c r="MQ25" s="79"/>
      <c r="MR25" s="79"/>
      <c r="MS25" s="79"/>
      <c r="MT25" s="79"/>
      <c r="MU25" s="79"/>
      <c r="MV25" s="79"/>
      <c r="MW25" s="79"/>
      <c r="MX25" s="79"/>
      <c r="MY25" s="79"/>
      <c r="MZ25" s="79"/>
      <c r="NA25" s="79"/>
      <c r="NB25" s="79"/>
      <c r="NC25" s="79"/>
      <c r="ND25" s="79"/>
      <c r="NE25" s="79"/>
      <c r="NF25" s="79"/>
      <c r="NG25" s="79"/>
      <c r="NH25" s="79"/>
      <c r="NI25" s="79"/>
      <c r="NJ25" s="79"/>
      <c r="NK25" s="79"/>
      <c r="NL25" s="79"/>
      <c r="NM25" s="79"/>
      <c r="NN25" s="79"/>
      <c r="NO25" s="79"/>
      <c r="NP25" s="79"/>
      <c r="NQ25" s="79"/>
      <c r="NR25" s="79"/>
      <c r="NS25" s="79"/>
      <c r="NT25" s="79"/>
      <c r="NU25" s="79"/>
      <c r="NV25" s="79"/>
      <c r="NW25" s="79"/>
      <c r="NX25" s="79"/>
      <c r="NY25" s="79"/>
      <c r="NZ25" s="79"/>
      <c r="OA25" s="79"/>
      <c r="OB25" s="79"/>
      <c r="OC25" s="79"/>
      <c r="OD25" s="79"/>
      <c r="OE25" s="79"/>
      <c r="OF25" s="79"/>
      <c r="OG25" s="79"/>
      <c r="OH25" s="79"/>
      <c r="OI25" s="79"/>
      <c r="OJ25" s="79"/>
      <c r="OK25" s="79"/>
      <c r="OL25" s="79"/>
      <c r="OM25" s="79"/>
      <c r="ON25" s="79"/>
      <c r="OO25" s="79"/>
      <c r="OP25" s="79"/>
      <c r="OQ25" s="79"/>
      <c r="OR25" s="79"/>
      <c r="OS25" s="79"/>
      <c r="OT25" s="79"/>
      <c r="OU25" s="79"/>
      <c r="OV25" s="79"/>
      <c r="OW25" s="79"/>
      <c r="OX25" s="79"/>
      <c r="OY25" s="79"/>
      <c r="OZ25" s="79"/>
      <c r="PA25" s="79"/>
      <c r="PB25" s="79"/>
      <c r="PC25" s="79"/>
      <c r="PD25" s="79"/>
      <c r="PE25" s="79"/>
      <c r="PF25" s="79"/>
      <c r="PG25" s="79"/>
      <c r="PH25" s="79"/>
      <c r="PI25" s="79"/>
      <c r="PJ25" s="79"/>
      <c r="PK25" s="79"/>
      <c r="PL25" s="79"/>
      <c r="PM25" s="79"/>
      <c r="PN25" s="79"/>
      <c r="PO25" s="79"/>
      <c r="PP25" s="79"/>
      <c r="PQ25" s="79"/>
      <c r="PR25" s="79"/>
      <c r="PS25" s="79"/>
      <c r="PT25" s="79"/>
      <c r="PU25" s="79"/>
      <c r="PV25" s="79"/>
      <c r="PW25" s="79"/>
      <c r="PX25" s="79"/>
      <c r="PY25" s="79"/>
      <c r="PZ25" s="79"/>
      <c r="QA25" s="79"/>
      <c r="QB25" s="79"/>
      <c r="QC25" s="79"/>
      <c r="QD25" s="79"/>
      <c r="QE25" s="79"/>
      <c r="QF25" s="79"/>
      <c r="QG25" s="79"/>
      <c r="QH25" s="79"/>
      <c r="QI25" s="79"/>
      <c r="QJ25" s="79"/>
      <c r="QK25" s="79"/>
      <c r="QL25" s="79"/>
      <c r="QM25" s="79"/>
      <c r="QN25" s="79"/>
      <c r="QO25" s="79"/>
      <c r="QP25" s="79"/>
      <c r="QQ25" s="79"/>
      <c r="QR25" s="79"/>
      <c r="QS25" s="79"/>
      <c r="QT25" s="79"/>
      <c r="QU25" s="79"/>
      <c r="QV25" s="79"/>
      <c r="QW25" s="79"/>
      <c r="QX25" s="79"/>
      <c r="QY25" s="79"/>
      <c r="QZ25" s="79"/>
      <c r="RA25" s="79"/>
      <c r="RB25" s="79"/>
      <c r="RC25" s="79"/>
      <c r="RD25" s="79"/>
      <c r="RE25" s="79"/>
      <c r="RF25" s="79"/>
      <c r="RG25" s="79"/>
      <c r="RH25" s="79"/>
      <c r="RI25" s="79"/>
      <c r="RJ25" s="79"/>
      <c r="RK25" s="79"/>
      <c r="RL25" s="79"/>
      <c r="RM25" s="79"/>
      <c r="RN25" s="79"/>
      <c r="RO25" s="79"/>
      <c r="RP25" s="79"/>
      <c r="RQ25" s="79"/>
      <c r="RR25" s="79"/>
      <c r="RS25" s="79"/>
      <c r="RT25" s="79"/>
      <c r="RU25" s="79"/>
      <c r="RV25" s="79"/>
      <c r="RW25" s="79"/>
      <c r="RX25" s="79"/>
      <c r="RY25" s="79"/>
      <c r="RZ25" s="79"/>
      <c r="SA25" s="79"/>
      <c r="SB25" s="79"/>
      <c r="SC25" s="79"/>
      <c r="SD25" s="79"/>
      <c r="SE25" s="79"/>
      <c r="SF25" s="79"/>
      <c r="SG25" s="79"/>
      <c r="SH25" s="79"/>
      <c r="SI25" s="79"/>
      <c r="SJ25" s="79"/>
    </row>
    <row r="26" spans="2:504" x14ac:dyDescent="0.25">
      <c r="B26" s="35" t="str">
        <f>'Pay App 1'!B71</f>
        <v>02 21 00</v>
      </c>
      <c r="C26" s="27" t="str">
        <f>'Pay App 1'!C71</f>
        <v>Survey/Engineering</v>
      </c>
      <c r="D26" s="82">
        <f t="shared" si="8"/>
        <v>0</v>
      </c>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c r="BG26" s="79"/>
      <c r="BH26" s="79"/>
      <c r="BI26" s="79"/>
      <c r="BJ26" s="79"/>
      <c r="BK26" s="79"/>
      <c r="BL26" s="79"/>
      <c r="BM26" s="79"/>
      <c r="BN26" s="79"/>
      <c r="BO26" s="79"/>
      <c r="BP26" s="79"/>
      <c r="BQ26" s="79"/>
      <c r="BR26" s="79"/>
      <c r="BS26" s="79"/>
      <c r="BT26" s="79"/>
      <c r="BU26" s="79"/>
      <c r="BV26" s="79"/>
      <c r="BW26" s="79"/>
      <c r="BX26" s="79"/>
      <c r="BY26" s="79"/>
      <c r="BZ26" s="79"/>
      <c r="CA26" s="79"/>
      <c r="CB26" s="79"/>
      <c r="CC26" s="79"/>
      <c r="CD26" s="79"/>
      <c r="CE26" s="79"/>
      <c r="CF26" s="79"/>
      <c r="CG26" s="79"/>
      <c r="CH26" s="79"/>
      <c r="CI26" s="79"/>
      <c r="CJ26" s="79"/>
      <c r="CK26" s="79"/>
      <c r="CL26" s="79"/>
      <c r="CM26" s="79"/>
      <c r="CN26" s="79"/>
      <c r="CO26" s="79"/>
      <c r="CP26" s="79"/>
      <c r="CQ26" s="79"/>
      <c r="CR26" s="79"/>
      <c r="CS26" s="79"/>
      <c r="CT26" s="79"/>
      <c r="CU26" s="79"/>
      <c r="CV26" s="79"/>
      <c r="CW26" s="79"/>
      <c r="CX26" s="79"/>
      <c r="CY26" s="79"/>
      <c r="CZ26" s="79"/>
      <c r="DA26" s="79"/>
      <c r="DB26" s="79"/>
      <c r="DC26" s="79"/>
      <c r="DD26" s="79"/>
      <c r="DE26" s="79"/>
      <c r="DF26" s="79"/>
      <c r="DG26" s="79"/>
      <c r="DH26" s="79"/>
      <c r="DI26" s="79"/>
      <c r="DJ26" s="79"/>
      <c r="DK26" s="79"/>
      <c r="DL26" s="79"/>
      <c r="DM26" s="79"/>
      <c r="DN26" s="79"/>
      <c r="DO26" s="79"/>
      <c r="DP26" s="79"/>
      <c r="DQ26" s="79"/>
      <c r="DR26" s="79"/>
      <c r="DS26" s="79"/>
      <c r="DT26" s="79"/>
      <c r="DU26" s="79"/>
      <c r="DV26" s="79"/>
      <c r="DW26" s="79"/>
      <c r="DX26" s="79"/>
      <c r="DY26" s="79"/>
      <c r="DZ26" s="79"/>
      <c r="EA26" s="79"/>
      <c r="EB26" s="79"/>
      <c r="EC26" s="79"/>
      <c r="ED26" s="79"/>
      <c r="EE26" s="79"/>
      <c r="EF26" s="79"/>
      <c r="EG26" s="79"/>
      <c r="EH26" s="79"/>
      <c r="EI26" s="79"/>
      <c r="EJ26" s="79"/>
      <c r="EK26" s="79"/>
      <c r="EL26" s="79"/>
      <c r="EM26" s="79"/>
      <c r="EN26" s="79"/>
      <c r="EO26" s="79"/>
      <c r="EP26" s="79"/>
      <c r="EQ26" s="79"/>
      <c r="ER26" s="79"/>
      <c r="ES26" s="79"/>
      <c r="ET26" s="79"/>
      <c r="EU26" s="79"/>
      <c r="EV26" s="79"/>
      <c r="EW26" s="79"/>
      <c r="EX26" s="79"/>
      <c r="EY26" s="79"/>
      <c r="EZ26" s="79"/>
      <c r="FA26" s="79"/>
      <c r="FB26" s="79"/>
      <c r="FC26" s="79"/>
      <c r="FD26" s="79"/>
      <c r="FE26" s="79"/>
      <c r="FF26" s="79"/>
      <c r="FG26" s="79"/>
      <c r="FH26" s="79"/>
      <c r="FI26" s="79"/>
      <c r="FJ26" s="79"/>
      <c r="FK26" s="79"/>
      <c r="FL26" s="79"/>
      <c r="FM26" s="79"/>
      <c r="FN26" s="79"/>
      <c r="FO26" s="79"/>
      <c r="FP26" s="79"/>
      <c r="FQ26" s="79"/>
      <c r="FR26" s="79"/>
      <c r="FS26" s="79"/>
      <c r="FT26" s="79"/>
      <c r="FU26" s="79"/>
      <c r="FV26" s="79"/>
      <c r="FW26" s="79"/>
      <c r="FX26" s="79"/>
      <c r="FY26" s="79"/>
      <c r="FZ26" s="79"/>
      <c r="GA26" s="79"/>
      <c r="GB26" s="79"/>
      <c r="GC26" s="79"/>
      <c r="GD26" s="79"/>
      <c r="GE26" s="79"/>
      <c r="GF26" s="79"/>
      <c r="GG26" s="79"/>
      <c r="GH26" s="79"/>
      <c r="GI26" s="79"/>
      <c r="GJ26" s="79"/>
      <c r="GK26" s="79"/>
      <c r="GL26" s="79"/>
      <c r="GM26" s="79"/>
      <c r="GN26" s="79"/>
      <c r="GO26" s="79"/>
      <c r="GP26" s="79"/>
      <c r="GQ26" s="79"/>
      <c r="GR26" s="79"/>
      <c r="GS26" s="79"/>
      <c r="GT26" s="79"/>
      <c r="GU26" s="79"/>
      <c r="GV26" s="79"/>
      <c r="GW26" s="79"/>
      <c r="GX26" s="79"/>
      <c r="GY26" s="79"/>
      <c r="GZ26" s="79"/>
      <c r="HA26" s="79"/>
      <c r="HB26" s="79"/>
      <c r="HC26" s="79"/>
      <c r="HD26" s="79"/>
      <c r="HE26" s="79"/>
      <c r="HF26" s="79"/>
      <c r="HG26" s="79"/>
      <c r="HH26" s="79"/>
      <c r="HI26" s="79"/>
      <c r="HJ26" s="79"/>
      <c r="HK26" s="79"/>
      <c r="HL26" s="79"/>
      <c r="HM26" s="79"/>
      <c r="HN26" s="79"/>
      <c r="HO26" s="79"/>
      <c r="HP26" s="79"/>
      <c r="HQ26" s="79"/>
      <c r="HR26" s="79"/>
      <c r="HS26" s="79"/>
      <c r="HT26" s="79"/>
      <c r="HU26" s="79"/>
      <c r="HV26" s="79"/>
      <c r="HW26" s="79"/>
      <c r="HX26" s="79"/>
      <c r="HY26" s="79"/>
      <c r="HZ26" s="79"/>
      <c r="IA26" s="79"/>
      <c r="IB26" s="79"/>
      <c r="IC26" s="79"/>
      <c r="ID26" s="79"/>
      <c r="IE26" s="79"/>
      <c r="IF26" s="79"/>
      <c r="IG26" s="79"/>
      <c r="IH26" s="79"/>
      <c r="II26" s="79"/>
      <c r="IJ26" s="79"/>
      <c r="IK26" s="79"/>
      <c r="IL26" s="79"/>
      <c r="IM26" s="79"/>
      <c r="IN26" s="79"/>
      <c r="IO26" s="79"/>
      <c r="IP26" s="79"/>
      <c r="IQ26" s="79"/>
      <c r="IR26" s="79"/>
      <c r="IS26" s="79"/>
      <c r="IT26" s="79"/>
      <c r="IU26" s="79"/>
      <c r="IV26" s="79"/>
      <c r="IW26" s="79"/>
      <c r="IX26" s="79"/>
      <c r="IY26" s="79"/>
      <c r="IZ26" s="79"/>
      <c r="JA26" s="79"/>
      <c r="JB26" s="79"/>
      <c r="JC26" s="79"/>
      <c r="JD26" s="79"/>
      <c r="JE26" s="79"/>
      <c r="JF26" s="79"/>
      <c r="JG26" s="79"/>
      <c r="JH26" s="79"/>
      <c r="JI26" s="79"/>
      <c r="JJ26" s="79"/>
      <c r="JK26" s="79"/>
      <c r="JL26" s="79"/>
      <c r="JM26" s="79"/>
      <c r="JN26" s="79"/>
      <c r="JO26" s="79"/>
      <c r="JP26" s="79"/>
      <c r="JQ26" s="79"/>
      <c r="JR26" s="79"/>
      <c r="JS26" s="79"/>
      <c r="JT26" s="79"/>
      <c r="JU26" s="79"/>
      <c r="JV26" s="79"/>
      <c r="JW26" s="79"/>
      <c r="JX26" s="79"/>
      <c r="JY26" s="79"/>
      <c r="JZ26" s="79"/>
      <c r="KA26" s="79"/>
      <c r="KB26" s="79"/>
      <c r="KC26" s="79"/>
      <c r="KD26" s="79"/>
      <c r="KE26" s="79"/>
      <c r="KF26" s="79"/>
      <c r="KG26" s="79"/>
      <c r="KH26" s="79"/>
      <c r="KI26" s="79"/>
      <c r="KJ26" s="79"/>
      <c r="KK26" s="79"/>
      <c r="KL26" s="79"/>
      <c r="KM26" s="79"/>
      <c r="KN26" s="79"/>
      <c r="KO26" s="79"/>
      <c r="KP26" s="79"/>
      <c r="KQ26" s="79"/>
      <c r="KR26" s="79"/>
      <c r="KS26" s="79"/>
      <c r="KT26" s="79"/>
      <c r="KU26" s="79"/>
      <c r="KV26" s="79"/>
      <c r="KW26" s="79"/>
      <c r="KX26" s="79"/>
      <c r="KY26" s="79"/>
      <c r="KZ26" s="79"/>
      <c r="LA26" s="79"/>
      <c r="LB26" s="79"/>
      <c r="LC26" s="79"/>
      <c r="LD26" s="79"/>
      <c r="LE26" s="79"/>
      <c r="LF26" s="79"/>
      <c r="LG26" s="79"/>
      <c r="LH26" s="79"/>
      <c r="LI26" s="79"/>
      <c r="LJ26" s="79"/>
      <c r="LK26" s="79"/>
      <c r="LL26" s="79"/>
      <c r="LM26" s="79"/>
      <c r="LN26" s="79"/>
      <c r="LO26" s="79"/>
      <c r="LP26" s="79"/>
      <c r="LQ26" s="79"/>
      <c r="LR26" s="79"/>
      <c r="LS26" s="79"/>
      <c r="LT26" s="79"/>
      <c r="LU26" s="79"/>
      <c r="LV26" s="79"/>
      <c r="LW26" s="79"/>
      <c r="LX26" s="79"/>
      <c r="LY26" s="79"/>
      <c r="LZ26" s="79"/>
      <c r="MA26" s="79"/>
      <c r="MB26" s="79"/>
      <c r="MC26" s="79"/>
      <c r="MD26" s="79"/>
      <c r="ME26" s="79"/>
      <c r="MF26" s="79"/>
      <c r="MG26" s="79"/>
      <c r="MH26" s="79"/>
      <c r="MI26" s="79"/>
      <c r="MJ26" s="79"/>
      <c r="MK26" s="79"/>
      <c r="ML26" s="79"/>
      <c r="MM26" s="79"/>
      <c r="MN26" s="79"/>
      <c r="MO26" s="79"/>
      <c r="MP26" s="79"/>
      <c r="MQ26" s="79"/>
      <c r="MR26" s="79"/>
      <c r="MS26" s="79"/>
      <c r="MT26" s="79"/>
      <c r="MU26" s="79"/>
      <c r="MV26" s="79"/>
      <c r="MW26" s="79"/>
      <c r="MX26" s="79"/>
      <c r="MY26" s="79"/>
      <c r="MZ26" s="79"/>
      <c r="NA26" s="79"/>
      <c r="NB26" s="79"/>
      <c r="NC26" s="79"/>
      <c r="ND26" s="79"/>
      <c r="NE26" s="79"/>
      <c r="NF26" s="79"/>
      <c r="NG26" s="79"/>
      <c r="NH26" s="79"/>
      <c r="NI26" s="79"/>
      <c r="NJ26" s="79"/>
      <c r="NK26" s="79"/>
      <c r="NL26" s="79"/>
      <c r="NM26" s="79"/>
      <c r="NN26" s="79"/>
      <c r="NO26" s="79"/>
      <c r="NP26" s="79"/>
      <c r="NQ26" s="79"/>
      <c r="NR26" s="79"/>
      <c r="NS26" s="79"/>
      <c r="NT26" s="79"/>
      <c r="NU26" s="79"/>
      <c r="NV26" s="79"/>
      <c r="NW26" s="79"/>
      <c r="NX26" s="79"/>
      <c r="NY26" s="79"/>
      <c r="NZ26" s="79"/>
      <c r="OA26" s="79"/>
      <c r="OB26" s="79"/>
      <c r="OC26" s="79"/>
      <c r="OD26" s="79"/>
      <c r="OE26" s="79"/>
      <c r="OF26" s="79"/>
      <c r="OG26" s="79"/>
      <c r="OH26" s="79"/>
      <c r="OI26" s="79"/>
      <c r="OJ26" s="79"/>
      <c r="OK26" s="79"/>
      <c r="OL26" s="79"/>
      <c r="OM26" s="79"/>
      <c r="ON26" s="79"/>
      <c r="OO26" s="79"/>
      <c r="OP26" s="79"/>
      <c r="OQ26" s="79"/>
      <c r="OR26" s="79"/>
      <c r="OS26" s="79"/>
      <c r="OT26" s="79"/>
      <c r="OU26" s="79"/>
      <c r="OV26" s="79"/>
      <c r="OW26" s="79"/>
      <c r="OX26" s="79"/>
      <c r="OY26" s="79"/>
      <c r="OZ26" s="79"/>
      <c r="PA26" s="79"/>
      <c r="PB26" s="79"/>
      <c r="PC26" s="79"/>
      <c r="PD26" s="79"/>
      <c r="PE26" s="79"/>
      <c r="PF26" s="79"/>
      <c r="PG26" s="79"/>
      <c r="PH26" s="79"/>
      <c r="PI26" s="79"/>
      <c r="PJ26" s="79"/>
      <c r="PK26" s="79"/>
      <c r="PL26" s="79"/>
      <c r="PM26" s="79"/>
      <c r="PN26" s="79"/>
      <c r="PO26" s="79"/>
      <c r="PP26" s="79"/>
      <c r="PQ26" s="79"/>
      <c r="PR26" s="79"/>
      <c r="PS26" s="79"/>
      <c r="PT26" s="79"/>
      <c r="PU26" s="79"/>
      <c r="PV26" s="79"/>
      <c r="PW26" s="79"/>
      <c r="PX26" s="79"/>
      <c r="PY26" s="79"/>
      <c r="PZ26" s="79"/>
      <c r="QA26" s="79"/>
      <c r="QB26" s="79"/>
      <c r="QC26" s="79"/>
      <c r="QD26" s="79"/>
      <c r="QE26" s="79"/>
      <c r="QF26" s="79"/>
      <c r="QG26" s="79"/>
      <c r="QH26" s="79"/>
      <c r="QI26" s="79"/>
      <c r="QJ26" s="79"/>
      <c r="QK26" s="79"/>
      <c r="QL26" s="79"/>
      <c r="QM26" s="79"/>
      <c r="QN26" s="79"/>
      <c r="QO26" s="79"/>
      <c r="QP26" s="79"/>
      <c r="QQ26" s="79"/>
      <c r="QR26" s="79"/>
      <c r="QS26" s="79"/>
      <c r="QT26" s="79"/>
      <c r="QU26" s="79"/>
      <c r="QV26" s="79"/>
      <c r="QW26" s="79"/>
      <c r="QX26" s="79"/>
      <c r="QY26" s="79"/>
      <c r="QZ26" s="79"/>
      <c r="RA26" s="79"/>
      <c r="RB26" s="79"/>
      <c r="RC26" s="79"/>
      <c r="RD26" s="79"/>
      <c r="RE26" s="79"/>
      <c r="RF26" s="79"/>
      <c r="RG26" s="79"/>
      <c r="RH26" s="79"/>
      <c r="RI26" s="79"/>
      <c r="RJ26" s="79"/>
      <c r="RK26" s="79"/>
      <c r="RL26" s="79"/>
      <c r="RM26" s="79"/>
      <c r="RN26" s="79"/>
      <c r="RO26" s="79"/>
      <c r="RP26" s="79"/>
      <c r="RQ26" s="79"/>
      <c r="RR26" s="79"/>
      <c r="RS26" s="79"/>
      <c r="RT26" s="79"/>
      <c r="RU26" s="79"/>
      <c r="RV26" s="79"/>
      <c r="RW26" s="79"/>
      <c r="RX26" s="79"/>
      <c r="RY26" s="79"/>
      <c r="RZ26" s="79"/>
      <c r="SA26" s="79"/>
      <c r="SB26" s="79"/>
      <c r="SC26" s="79"/>
      <c r="SD26" s="79"/>
      <c r="SE26" s="79"/>
      <c r="SF26" s="79"/>
      <c r="SG26" s="79"/>
      <c r="SH26" s="79"/>
      <c r="SI26" s="79"/>
      <c r="SJ26" s="79"/>
    </row>
    <row r="27" spans="2:504" x14ac:dyDescent="0.25">
      <c r="B27" s="35" t="str">
        <f>'Pay App 1'!B72</f>
        <v>02 41 00</v>
      </c>
      <c r="C27" s="27" t="str">
        <f>'Pay App 1'!C72</f>
        <v>Demolition</v>
      </c>
      <c r="D27" s="82">
        <f t="shared" si="8"/>
        <v>0</v>
      </c>
      <c r="E27" s="79"/>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79"/>
      <c r="AS27" s="79"/>
      <c r="AT27" s="79"/>
      <c r="AU27" s="79"/>
      <c r="AV27" s="79"/>
      <c r="AW27" s="79"/>
      <c r="AX27" s="79"/>
      <c r="AY27" s="79"/>
      <c r="AZ27" s="79"/>
      <c r="BA27" s="79"/>
      <c r="BB27" s="79"/>
      <c r="BC27" s="79"/>
      <c r="BD27" s="79"/>
      <c r="BE27" s="79"/>
      <c r="BF27" s="79"/>
      <c r="BG27" s="79"/>
      <c r="BH27" s="79"/>
      <c r="BI27" s="79"/>
      <c r="BJ27" s="79"/>
      <c r="BK27" s="79"/>
      <c r="BL27" s="79"/>
      <c r="BM27" s="79"/>
      <c r="BN27" s="79"/>
      <c r="BO27" s="79"/>
      <c r="BP27" s="79"/>
      <c r="BQ27" s="79"/>
      <c r="BR27" s="79"/>
      <c r="BS27" s="79"/>
      <c r="BT27" s="79"/>
      <c r="BU27" s="79"/>
      <c r="BV27" s="79"/>
      <c r="BW27" s="79"/>
      <c r="BX27" s="79"/>
      <c r="BY27" s="79"/>
      <c r="BZ27" s="79"/>
      <c r="CA27" s="79"/>
      <c r="CB27" s="79"/>
      <c r="CC27" s="79"/>
      <c r="CD27" s="79"/>
      <c r="CE27" s="79"/>
      <c r="CF27" s="79"/>
      <c r="CG27" s="79"/>
      <c r="CH27" s="79"/>
      <c r="CI27" s="79"/>
      <c r="CJ27" s="79"/>
      <c r="CK27" s="79"/>
      <c r="CL27" s="79"/>
      <c r="CM27" s="79"/>
      <c r="CN27" s="79"/>
      <c r="CO27" s="79"/>
      <c r="CP27" s="79"/>
      <c r="CQ27" s="79"/>
      <c r="CR27" s="79"/>
      <c r="CS27" s="79"/>
      <c r="CT27" s="79"/>
      <c r="CU27" s="79"/>
      <c r="CV27" s="79"/>
      <c r="CW27" s="79"/>
      <c r="CX27" s="79"/>
      <c r="CY27" s="79"/>
      <c r="CZ27" s="79"/>
      <c r="DA27" s="79"/>
      <c r="DB27" s="79"/>
      <c r="DC27" s="79"/>
      <c r="DD27" s="79"/>
      <c r="DE27" s="79"/>
      <c r="DF27" s="79"/>
      <c r="DG27" s="79"/>
      <c r="DH27" s="79"/>
      <c r="DI27" s="79"/>
      <c r="DJ27" s="79"/>
      <c r="DK27" s="79"/>
      <c r="DL27" s="79"/>
      <c r="DM27" s="79"/>
      <c r="DN27" s="79"/>
      <c r="DO27" s="79"/>
      <c r="DP27" s="79"/>
      <c r="DQ27" s="79"/>
      <c r="DR27" s="79"/>
      <c r="DS27" s="79"/>
      <c r="DT27" s="79"/>
      <c r="DU27" s="79"/>
      <c r="DV27" s="79"/>
      <c r="DW27" s="79"/>
      <c r="DX27" s="79"/>
      <c r="DY27" s="79"/>
      <c r="DZ27" s="79"/>
      <c r="EA27" s="79"/>
      <c r="EB27" s="79"/>
      <c r="EC27" s="79"/>
      <c r="ED27" s="79"/>
      <c r="EE27" s="79"/>
      <c r="EF27" s="79"/>
      <c r="EG27" s="79"/>
      <c r="EH27" s="79"/>
      <c r="EI27" s="79"/>
      <c r="EJ27" s="79"/>
      <c r="EK27" s="79"/>
      <c r="EL27" s="79"/>
      <c r="EM27" s="79"/>
      <c r="EN27" s="79"/>
      <c r="EO27" s="79"/>
      <c r="EP27" s="79"/>
      <c r="EQ27" s="79"/>
      <c r="ER27" s="79"/>
      <c r="ES27" s="79"/>
      <c r="ET27" s="79"/>
      <c r="EU27" s="79"/>
      <c r="EV27" s="79"/>
      <c r="EW27" s="79"/>
      <c r="EX27" s="79"/>
      <c r="EY27" s="79"/>
      <c r="EZ27" s="79"/>
      <c r="FA27" s="79"/>
      <c r="FB27" s="79"/>
      <c r="FC27" s="79"/>
      <c r="FD27" s="79"/>
      <c r="FE27" s="79"/>
      <c r="FF27" s="79"/>
      <c r="FG27" s="79"/>
      <c r="FH27" s="79"/>
      <c r="FI27" s="79"/>
      <c r="FJ27" s="79"/>
      <c r="FK27" s="79"/>
      <c r="FL27" s="79"/>
      <c r="FM27" s="79"/>
      <c r="FN27" s="79"/>
      <c r="FO27" s="79"/>
      <c r="FP27" s="79"/>
      <c r="FQ27" s="79"/>
      <c r="FR27" s="79"/>
      <c r="FS27" s="79"/>
      <c r="FT27" s="79"/>
      <c r="FU27" s="79"/>
      <c r="FV27" s="79"/>
      <c r="FW27" s="79"/>
      <c r="FX27" s="79"/>
      <c r="FY27" s="79"/>
      <c r="FZ27" s="79"/>
      <c r="GA27" s="79"/>
      <c r="GB27" s="79"/>
      <c r="GC27" s="79"/>
      <c r="GD27" s="79"/>
      <c r="GE27" s="79"/>
      <c r="GF27" s="79"/>
      <c r="GG27" s="79"/>
      <c r="GH27" s="79"/>
      <c r="GI27" s="79"/>
      <c r="GJ27" s="79"/>
      <c r="GK27" s="79"/>
      <c r="GL27" s="79"/>
      <c r="GM27" s="79"/>
      <c r="GN27" s="79"/>
      <c r="GO27" s="79"/>
      <c r="GP27" s="79"/>
      <c r="GQ27" s="79"/>
      <c r="GR27" s="79"/>
      <c r="GS27" s="79"/>
      <c r="GT27" s="79"/>
      <c r="GU27" s="79"/>
      <c r="GV27" s="79"/>
      <c r="GW27" s="79"/>
      <c r="GX27" s="79"/>
      <c r="GY27" s="79"/>
      <c r="GZ27" s="79"/>
      <c r="HA27" s="79"/>
      <c r="HB27" s="79"/>
      <c r="HC27" s="79"/>
      <c r="HD27" s="79"/>
      <c r="HE27" s="79"/>
      <c r="HF27" s="79"/>
      <c r="HG27" s="79"/>
      <c r="HH27" s="79"/>
      <c r="HI27" s="79"/>
      <c r="HJ27" s="79"/>
      <c r="HK27" s="79"/>
      <c r="HL27" s="79"/>
      <c r="HM27" s="79"/>
      <c r="HN27" s="79"/>
      <c r="HO27" s="79"/>
      <c r="HP27" s="79"/>
      <c r="HQ27" s="79"/>
      <c r="HR27" s="79"/>
      <c r="HS27" s="79"/>
      <c r="HT27" s="79"/>
      <c r="HU27" s="79"/>
      <c r="HV27" s="79"/>
      <c r="HW27" s="79"/>
      <c r="HX27" s="79"/>
      <c r="HY27" s="79"/>
      <c r="HZ27" s="79"/>
      <c r="IA27" s="79"/>
      <c r="IB27" s="79"/>
      <c r="IC27" s="79"/>
      <c r="ID27" s="79"/>
      <c r="IE27" s="79"/>
      <c r="IF27" s="79"/>
      <c r="IG27" s="79"/>
      <c r="IH27" s="79"/>
      <c r="II27" s="79"/>
      <c r="IJ27" s="79"/>
      <c r="IK27" s="79"/>
      <c r="IL27" s="79"/>
      <c r="IM27" s="79"/>
      <c r="IN27" s="79"/>
      <c r="IO27" s="79"/>
      <c r="IP27" s="79"/>
      <c r="IQ27" s="79"/>
      <c r="IR27" s="79"/>
      <c r="IS27" s="79"/>
      <c r="IT27" s="79"/>
      <c r="IU27" s="79"/>
      <c r="IV27" s="79"/>
      <c r="IW27" s="79"/>
      <c r="IX27" s="79"/>
      <c r="IY27" s="79"/>
      <c r="IZ27" s="79"/>
      <c r="JA27" s="79"/>
      <c r="JB27" s="79"/>
      <c r="JC27" s="79"/>
      <c r="JD27" s="79"/>
      <c r="JE27" s="79"/>
      <c r="JF27" s="79"/>
      <c r="JG27" s="79"/>
      <c r="JH27" s="79"/>
      <c r="JI27" s="79"/>
      <c r="JJ27" s="79"/>
      <c r="JK27" s="79"/>
      <c r="JL27" s="79"/>
      <c r="JM27" s="79"/>
      <c r="JN27" s="79"/>
      <c r="JO27" s="79"/>
      <c r="JP27" s="79"/>
      <c r="JQ27" s="79"/>
      <c r="JR27" s="79"/>
      <c r="JS27" s="79"/>
      <c r="JT27" s="79"/>
      <c r="JU27" s="79"/>
      <c r="JV27" s="79"/>
      <c r="JW27" s="79"/>
      <c r="JX27" s="79"/>
      <c r="JY27" s="79"/>
      <c r="JZ27" s="79"/>
      <c r="KA27" s="79"/>
      <c r="KB27" s="79"/>
      <c r="KC27" s="79"/>
      <c r="KD27" s="79"/>
      <c r="KE27" s="79"/>
      <c r="KF27" s="79"/>
      <c r="KG27" s="79"/>
      <c r="KH27" s="79"/>
      <c r="KI27" s="79"/>
      <c r="KJ27" s="79"/>
      <c r="KK27" s="79"/>
      <c r="KL27" s="79"/>
      <c r="KM27" s="79"/>
      <c r="KN27" s="79"/>
      <c r="KO27" s="79"/>
      <c r="KP27" s="79"/>
      <c r="KQ27" s="79"/>
      <c r="KR27" s="79"/>
      <c r="KS27" s="79"/>
      <c r="KT27" s="79"/>
      <c r="KU27" s="79"/>
      <c r="KV27" s="79"/>
      <c r="KW27" s="79"/>
      <c r="KX27" s="79"/>
      <c r="KY27" s="79"/>
      <c r="KZ27" s="79"/>
      <c r="LA27" s="79"/>
      <c r="LB27" s="79"/>
      <c r="LC27" s="79"/>
      <c r="LD27" s="79"/>
      <c r="LE27" s="79"/>
      <c r="LF27" s="79"/>
      <c r="LG27" s="79"/>
      <c r="LH27" s="79"/>
      <c r="LI27" s="79"/>
      <c r="LJ27" s="79"/>
      <c r="LK27" s="79"/>
      <c r="LL27" s="79"/>
      <c r="LM27" s="79"/>
      <c r="LN27" s="79"/>
      <c r="LO27" s="79"/>
      <c r="LP27" s="79"/>
      <c r="LQ27" s="79"/>
      <c r="LR27" s="79"/>
      <c r="LS27" s="79"/>
      <c r="LT27" s="79"/>
      <c r="LU27" s="79"/>
      <c r="LV27" s="79"/>
      <c r="LW27" s="79"/>
      <c r="LX27" s="79"/>
      <c r="LY27" s="79"/>
      <c r="LZ27" s="79"/>
      <c r="MA27" s="79"/>
      <c r="MB27" s="79"/>
      <c r="MC27" s="79"/>
      <c r="MD27" s="79"/>
      <c r="ME27" s="79"/>
      <c r="MF27" s="79"/>
      <c r="MG27" s="79"/>
      <c r="MH27" s="79"/>
      <c r="MI27" s="79"/>
      <c r="MJ27" s="79"/>
      <c r="MK27" s="79"/>
      <c r="ML27" s="79"/>
      <c r="MM27" s="79"/>
      <c r="MN27" s="79"/>
      <c r="MO27" s="79"/>
      <c r="MP27" s="79"/>
      <c r="MQ27" s="79"/>
      <c r="MR27" s="79"/>
      <c r="MS27" s="79"/>
      <c r="MT27" s="79"/>
      <c r="MU27" s="79"/>
      <c r="MV27" s="79"/>
      <c r="MW27" s="79"/>
      <c r="MX27" s="79"/>
      <c r="MY27" s="79"/>
      <c r="MZ27" s="79"/>
      <c r="NA27" s="79"/>
      <c r="NB27" s="79"/>
      <c r="NC27" s="79"/>
      <c r="ND27" s="79"/>
      <c r="NE27" s="79"/>
      <c r="NF27" s="79"/>
      <c r="NG27" s="79"/>
      <c r="NH27" s="79"/>
      <c r="NI27" s="79"/>
      <c r="NJ27" s="79"/>
      <c r="NK27" s="79"/>
      <c r="NL27" s="79"/>
      <c r="NM27" s="79"/>
      <c r="NN27" s="79"/>
      <c r="NO27" s="79"/>
      <c r="NP27" s="79"/>
      <c r="NQ27" s="79"/>
      <c r="NR27" s="79"/>
      <c r="NS27" s="79"/>
      <c r="NT27" s="79"/>
      <c r="NU27" s="79"/>
      <c r="NV27" s="79"/>
      <c r="NW27" s="79"/>
      <c r="NX27" s="79"/>
      <c r="NY27" s="79"/>
      <c r="NZ27" s="79"/>
      <c r="OA27" s="79"/>
      <c r="OB27" s="79"/>
      <c r="OC27" s="79"/>
      <c r="OD27" s="79"/>
      <c r="OE27" s="79"/>
      <c r="OF27" s="79"/>
      <c r="OG27" s="79"/>
      <c r="OH27" s="79"/>
      <c r="OI27" s="79"/>
      <c r="OJ27" s="79"/>
      <c r="OK27" s="79"/>
      <c r="OL27" s="79"/>
      <c r="OM27" s="79"/>
      <c r="ON27" s="79"/>
      <c r="OO27" s="79"/>
      <c r="OP27" s="79"/>
      <c r="OQ27" s="79"/>
      <c r="OR27" s="79"/>
      <c r="OS27" s="79"/>
      <c r="OT27" s="79"/>
      <c r="OU27" s="79"/>
      <c r="OV27" s="79"/>
      <c r="OW27" s="79"/>
      <c r="OX27" s="79"/>
      <c r="OY27" s="79"/>
      <c r="OZ27" s="79"/>
      <c r="PA27" s="79"/>
      <c r="PB27" s="79"/>
      <c r="PC27" s="79"/>
      <c r="PD27" s="79"/>
      <c r="PE27" s="79"/>
      <c r="PF27" s="79"/>
      <c r="PG27" s="79"/>
      <c r="PH27" s="79"/>
      <c r="PI27" s="79"/>
      <c r="PJ27" s="79"/>
      <c r="PK27" s="79"/>
      <c r="PL27" s="79"/>
      <c r="PM27" s="79"/>
      <c r="PN27" s="79"/>
      <c r="PO27" s="79"/>
      <c r="PP27" s="79"/>
      <c r="PQ27" s="79"/>
      <c r="PR27" s="79"/>
      <c r="PS27" s="79"/>
      <c r="PT27" s="79"/>
      <c r="PU27" s="79"/>
      <c r="PV27" s="79"/>
      <c r="PW27" s="79"/>
      <c r="PX27" s="79"/>
      <c r="PY27" s="79"/>
      <c r="PZ27" s="79"/>
      <c r="QA27" s="79"/>
      <c r="QB27" s="79"/>
      <c r="QC27" s="79"/>
      <c r="QD27" s="79"/>
      <c r="QE27" s="79"/>
      <c r="QF27" s="79"/>
      <c r="QG27" s="79"/>
      <c r="QH27" s="79"/>
      <c r="QI27" s="79"/>
      <c r="QJ27" s="79"/>
      <c r="QK27" s="79"/>
      <c r="QL27" s="79"/>
      <c r="QM27" s="79"/>
      <c r="QN27" s="79"/>
      <c r="QO27" s="79"/>
      <c r="QP27" s="79"/>
      <c r="QQ27" s="79"/>
      <c r="QR27" s="79"/>
      <c r="QS27" s="79"/>
      <c r="QT27" s="79"/>
      <c r="QU27" s="79"/>
      <c r="QV27" s="79"/>
      <c r="QW27" s="79"/>
      <c r="QX27" s="79"/>
      <c r="QY27" s="79"/>
      <c r="QZ27" s="79"/>
      <c r="RA27" s="79"/>
      <c r="RB27" s="79"/>
      <c r="RC27" s="79"/>
      <c r="RD27" s="79"/>
      <c r="RE27" s="79"/>
      <c r="RF27" s="79"/>
      <c r="RG27" s="79"/>
      <c r="RH27" s="79"/>
      <c r="RI27" s="79"/>
      <c r="RJ27" s="79"/>
      <c r="RK27" s="79"/>
      <c r="RL27" s="79"/>
      <c r="RM27" s="79"/>
      <c r="RN27" s="79"/>
      <c r="RO27" s="79"/>
      <c r="RP27" s="79"/>
      <c r="RQ27" s="79"/>
      <c r="RR27" s="79"/>
      <c r="RS27" s="79"/>
      <c r="RT27" s="79"/>
      <c r="RU27" s="79"/>
      <c r="RV27" s="79"/>
      <c r="RW27" s="79"/>
      <c r="RX27" s="79"/>
      <c r="RY27" s="79"/>
      <c r="RZ27" s="79"/>
      <c r="SA27" s="79"/>
      <c r="SB27" s="79"/>
      <c r="SC27" s="79"/>
      <c r="SD27" s="79"/>
      <c r="SE27" s="79"/>
      <c r="SF27" s="79"/>
      <c r="SG27" s="79"/>
      <c r="SH27" s="79"/>
      <c r="SI27" s="79"/>
      <c r="SJ27" s="79"/>
    </row>
    <row r="28" spans="2:504" x14ac:dyDescent="0.25">
      <c r="B28" s="35" t="str">
        <f>'Pay App 1'!B73</f>
        <v>02 82 00</v>
      </c>
      <c r="C28" s="29" t="str">
        <f>'Pay App 1'!C73</f>
        <v>Asbestos Abatement</v>
      </c>
      <c r="D28" s="82">
        <f t="shared" si="8"/>
        <v>0</v>
      </c>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79"/>
      <c r="AS28" s="79"/>
      <c r="AT28" s="79"/>
      <c r="AU28" s="79"/>
      <c r="AV28" s="79"/>
      <c r="AW28" s="79"/>
      <c r="AX28" s="79"/>
      <c r="AY28" s="79"/>
      <c r="AZ28" s="79"/>
      <c r="BA28" s="79"/>
      <c r="BB28" s="79"/>
      <c r="BC28" s="79"/>
      <c r="BD28" s="79"/>
      <c r="BE28" s="79"/>
      <c r="BF28" s="79"/>
      <c r="BG28" s="79"/>
      <c r="BH28" s="79"/>
      <c r="BI28" s="79"/>
      <c r="BJ28" s="79"/>
      <c r="BK28" s="79"/>
      <c r="BL28" s="79"/>
      <c r="BM28" s="79"/>
      <c r="BN28" s="79"/>
      <c r="BO28" s="79"/>
      <c r="BP28" s="79"/>
      <c r="BQ28" s="79"/>
      <c r="BR28" s="79"/>
      <c r="BS28" s="79"/>
      <c r="BT28" s="79"/>
      <c r="BU28" s="79"/>
      <c r="BV28" s="79"/>
      <c r="BW28" s="79"/>
      <c r="BX28" s="79"/>
      <c r="BY28" s="79"/>
      <c r="BZ28" s="79"/>
      <c r="CA28" s="79"/>
      <c r="CB28" s="79"/>
      <c r="CC28" s="79"/>
      <c r="CD28" s="79"/>
      <c r="CE28" s="79"/>
      <c r="CF28" s="79"/>
      <c r="CG28" s="79"/>
      <c r="CH28" s="79"/>
      <c r="CI28" s="79"/>
      <c r="CJ28" s="79"/>
      <c r="CK28" s="79"/>
      <c r="CL28" s="79"/>
      <c r="CM28" s="79"/>
      <c r="CN28" s="79"/>
      <c r="CO28" s="79"/>
      <c r="CP28" s="79"/>
      <c r="CQ28" s="79"/>
      <c r="CR28" s="79"/>
      <c r="CS28" s="79"/>
      <c r="CT28" s="79"/>
      <c r="CU28" s="79"/>
      <c r="CV28" s="79"/>
      <c r="CW28" s="79"/>
      <c r="CX28" s="79"/>
      <c r="CY28" s="79"/>
      <c r="CZ28" s="79"/>
      <c r="DA28" s="79"/>
      <c r="DB28" s="79"/>
      <c r="DC28" s="79"/>
      <c r="DD28" s="79"/>
      <c r="DE28" s="79"/>
      <c r="DF28" s="79"/>
      <c r="DG28" s="79"/>
      <c r="DH28" s="79"/>
      <c r="DI28" s="79"/>
      <c r="DJ28" s="79"/>
      <c r="DK28" s="79"/>
      <c r="DL28" s="79"/>
      <c r="DM28" s="79"/>
      <c r="DN28" s="79"/>
      <c r="DO28" s="79"/>
      <c r="DP28" s="79"/>
      <c r="DQ28" s="79"/>
      <c r="DR28" s="79"/>
      <c r="DS28" s="79"/>
      <c r="DT28" s="79"/>
      <c r="DU28" s="79"/>
      <c r="DV28" s="79"/>
      <c r="DW28" s="79"/>
      <c r="DX28" s="79"/>
      <c r="DY28" s="79"/>
      <c r="DZ28" s="79"/>
      <c r="EA28" s="79"/>
      <c r="EB28" s="79"/>
      <c r="EC28" s="79"/>
      <c r="ED28" s="79"/>
      <c r="EE28" s="79"/>
      <c r="EF28" s="79"/>
      <c r="EG28" s="79"/>
      <c r="EH28" s="79"/>
      <c r="EI28" s="79"/>
      <c r="EJ28" s="79"/>
      <c r="EK28" s="79"/>
      <c r="EL28" s="79"/>
      <c r="EM28" s="79"/>
      <c r="EN28" s="79"/>
      <c r="EO28" s="79"/>
      <c r="EP28" s="79"/>
      <c r="EQ28" s="79"/>
      <c r="ER28" s="79"/>
      <c r="ES28" s="79"/>
      <c r="ET28" s="79"/>
      <c r="EU28" s="79"/>
      <c r="EV28" s="79"/>
      <c r="EW28" s="79"/>
      <c r="EX28" s="79"/>
      <c r="EY28" s="79"/>
      <c r="EZ28" s="79"/>
      <c r="FA28" s="79"/>
      <c r="FB28" s="79"/>
      <c r="FC28" s="79"/>
      <c r="FD28" s="79"/>
      <c r="FE28" s="79"/>
      <c r="FF28" s="79"/>
      <c r="FG28" s="79"/>
      <c r="FH28" s="79"/>
      <c r="FI28" s="79"/>
      <c r="FJ28" s="79"/>
      <c r="FK28" s="79"/>
      <c r="FL28" s="79"/>
      <c r="FM28" s="79"/>
      <c r="FN28" s="79"/>
      <c r="FO28" s="79"/>
      <c r="FP28" s="79"/>
      <c r="FQ28" s="79"/>
      <c r="FR28" s="79"/>
      <c r="FS28" s="79"/>
      <c r="FT28" s="79"/>
      <c r="FU28" s="79"/>
      <c r="FV28" s="79"/>
      <c r="FW28" s="79"/>
      <c r="FX28" s="79"/>
      <c r="FY28" s="79"/>
      <c r="FZ28" s="79"/>
      <c r="GA28" s="79"/>
      <c r="GB28" s="79"/>
      <c r="GC28" s="79"/>
      <c r="GD28" s="79"/>
      <c r="GE28" s="79"/>
      <c r="GF28" s="79"/>
      <c r="GG28" s="79"/>
      <c r="GH28" s="79"/>
      <c r="GI28" s="79"/>
      <c r="GJ28" s="79"/>
      <c r="GK28" s="79"/>
      <c r="GL28" s="79"/>
      <c r="GM28" s="79"/>
      <c r="GN28" s="79"/>
      <c r="GO28" s="79"/>
      <c r="GP28" s="79"/>
      <c r="GQ28" s="79"/>
      <c r="GR28" s="79"/>
      <c r="GS28" s="79"/>
      <c r="GT28" s="79"/>
      <c r="GU28" s="79"/>
      <c r="GV28" s="79"/>
      <c r="GW28" s="79"/>
      <c r="GX28" s="79"/>
      <c r="GY28" s="79"/>
      <c r="GZ28" s="79"/>
      <c r="HA28" s="79"/>
      <c r="HB28" s="79"/>
      <c r="HC28" s="79"/>
      <c r="HD28" s="79"/>
      <c r="HE28" s="79"/>
      <c r="HF28" s="79"/>
      <c r="HG28" s="79"/>
      <c r="HH28" s="79"/>
      <c r="HI28" s="79"/>
      <c r="HJ28" s="79"/>
      <c r="HK28" s="79"/>
      <c r="HL28" s="79"/>
      <c r="HM28" s="79"/>
      <c r="HN28" s="79"/>
      <c r="HO28" s="79"/>
      <c r="HP28" s="79"/>
      <c r="HQ28" s="79"/>
      <c r="HR28" s="79"/>
      <c r="HS28" s="79"/>
      <c r="HT28" s="79"/>
      <c r="HU28" s="79"/>
      <c r="HV28" s="79"/>
      <c r="HW28" s="79"/>
      <c r="HX28" s="79"/>
      <c r="HY28" s="79"/>
      <c r="HZ28" s="79"/>
      <c r="IA28" s="79"/>
      <c r="IB28" s="79"/>
      <c r="IC28" s="79"/>
      <c r="ID28" s="79"/>
      <c r="IE28" s="79"/>
      <c r="IF28" s="79"/>
      <c r="IG28" s="79"/>
      <c r="IH28" s="79"/>
      <c r="II28" s="79"/>
      <c r="IJ28" s="79"/>
      <c r="IK28" s="79"/>
      <c r="IL28" s="79"/>
      <c r="IM28" s="79"/>
      <c r="IN28" s="79"/>
      <c r="IO28" s="79"/>
      <c r="IP28" s="79"/>
      <c r="IQ28" s="79"/>
      <c r="IR28" s="79"/>
      <c r="IS28" s="79"/>
      <c r="IT28" s="79"/>
      <c r="IU28" s="79"/>
      <c r="IV28" s="79"/>
      <c r="IW28" s="79"/>
      <c r="IX28" s="79"/>
      <c r="IY28" s="79"/>
      <c r="IZ28" s="79"/>
      <c r="JA28" s="79"/>
      <c r="JB28" s="79"/>
      <c r="JC28" s="79"/>
      <c r="JD28" s="79"/>
      <c r="JE28" s="79"/>
      <c r="JF28" s="79"/>
      <c r="JG28" s="79"/>
      <c r="JH28" s="79"/>
      <c r="JI28" s="79"/>
      <c r="JJ28" s="79"/>
      <c r="JK28" s="79"/>
      <c r="JL28" s="79"/>
      <c r="JM28" s="79"/>
      <c r="JN28" s="79"/>
      <c r="JO28" s="79"/>
      <c r="JP28" s="79"/>
      <c r="JQ28" s="79"/>
      <c r="JR28" s="79"/>
      <c r="JS28" s="79"/>
      <c r="JT28" s="79"/>
      <c r="JU28" s="79"/>
      <c r="JV28" s="79"/>
      <c r="JW28" s="79"/>
      <c r="JX28" s="79"/>
      <c r="JY28" s="79"/>
      <c r="JZ28" s="79"/>
      <c r="KA28" s="79"/>
      <c r="KB28" s="79"/>
      <c r="KC28" s="79"/>
      <c r="KD28" s="79"/>
      <c r="KE28" s="79"/>
      <c r="KF28" s="79"/>
      <c r="KG28" s="79"/>
      <c r="KH28" s="79"/>
      <c r="KI28" s="79"/>
      <c r="KJ28" s="79"/>
      <c r="KK28" s="79"/>
      <c r="KL28" s="79"/>
      <c r="KM28" s="79"/>
      <c r="KN28" s="79"/>
      <c r="KO28" s="79"/>
      <c r="KP28" s="79"/>
      <c r="KQ28" s="79"/>
      <c r="KR28" s="79"/>
      <c r="KS28" s="79"/>
      <c r="KT28" s="79"/>
      <c r="KU28" s="79"/>
      <c r="KV28" s="79"/>
      <c r="KW28" s="79"/>
      <c r="KX28" s="79"/>
      <c r="KY28" s="79"/>
      <c r="KZ28" s="79"/>
      <c r="LA28" s="79"/>
      <c r="LB28" s="79"/>
      <c r="LC28" s="79"/>
      <c r="LD28" s="79"/>
      <c r="LE28" s="79"/>
      <c r="LF28" s="79"/>
      <c r="LG28" s="79"/>
      <c r="LH28" s="79"/>
      <c r="LI28" s="79"/>
      <c r="LJ28" s="79"/>
      <c r="LK28" s="79"/>
      <c r="LL28" s="79"/>
      <c r="LM28" s="79"/>
      <c r="LN28" s="79"/>
      <c r="LO28" s="79"/>
      <c r="LP28" s="79"/>
      <c r="LQ28" s="79"/>
      <c r="LR28" s="79"/>
      <c r="LS28" s="79"/>
      <c r="LT28" s="79"/>
      <c r="LU28" s="79"/>
      <c r="LV28" s="79"/>
      <c r="LW28" s="79"/>
      <c r="LX28" s="79"/>
      <c r="LY28" s="79"/>
      <c r="LZ28" s="79"/>
      <c r="MA28" s="79"/>
      <c r="MB28" s="79"/>
      <c r="MC28" s="79"/>
      <c r="MD28" s="79"/>
      <c r="ME28" s="79"/>
      <c r="MF28" s="79"/>
      <c r="MG28" s="79"/>
      <c r="MH28" s="79"/>
      <c r="MI28" s="79"/>
      <c r="MJ28" s="79"/>
      <c r="MK28" s="79"/>
      <c r="ML28" s="79"/>
      <c r="MM28" s="79"/>
      <c r="MN28" s="79"/>
      <c r="MO28" s="79"/>
      <c r="MP28" s="79"/>
      <c r="MQ28" s="79"/>
      <c r="MR28" s="79"/>
      <c r="MS28" s="79"/>
      <c r="MT28" s="79"/>
      <c r="MU28" s="79"/>
      <c r="MV28" s="79"/>
      <c r="MW28" s="79"/>
      <c r="MX28" s="79"/>
      <c r="MY28" s="79"/>
      <c r="MZ28" s="79"/>
      <c r="NA28" s="79"/>
      <c r="NB28" s="79"/>
      <c r="NC28" s="79"/>
      <c r="ND28" s="79"/>
      <c r="NE28" s="79"/>
      <c r="NF28" s="79"/>
      <c r="NG28" s="79"/>
      <c r="NH28" s="79"/>
      <c r="NI28" s="79"/>
      <c r="NJ28" s="79"/>
      <c r="NK28" s="79"/>
      <c r="NL28" s="79"/>
      <c r="NM28" s="79"/>
      <c r="NN28" s="79"/>
      <c r="NO28" s="79"/>
      <c r="NP28" s="79"/>
      <c r="NQ28" s="79"/>
      <c r="NR28" s="79"/>
      <c r="NS28" s="79"/>
      <c r="NT28" s="79"/>
      <c r="NU28" s="79"/>
      <c r="NV28" s="79"/>
      <c r="NW28" s="79"/>
      <c r="NX28" s="79"/>
      <c r="NY28" s="79"/>
      <c r="NZ28" s="79"/>
      <c r="OA28" s="79"/>
      <c r="OB28" s="79"/>
      <c r="OC28" s="79"/>
      <c r="OD28" s="79"/>
      <c r="OE28" s="79"/>
      <c r="OF28" s="79"/>
      <c r="OG28" s="79"/>
      <c r="OH28" s="79"/>
      <c r="OI28" s="79"/>
      <c r="OJ28" s="79"/>
      <c r="OK28" s="79"/>
      <c r="OL28" s="79"/>
      <c r="OM28" s="79"/>
      <c r="ON28" s="79"/>
      <c r="OO28" s="79"/>
      <c r="OP28" s="79"/>
      <c r="OQ28" s="79"/>
      <c r="OR28" s="79"/>
      <c r="OS28" s="79"/>
      <c r="OT28" s="79"/>
      <c r="OU28" s="79"/>
      <c r="OV28" s="79"/>
      <c r="OW28" s="79"/>
      <c r="OX28" s="79"/>
      <c r="OY28" s="79"/>
      <c r="OZ28" s="79"/>
      <c r="PA28" s="79"/>
      <c r="PB28" s="79"/>
      <c r="PC28" s="79"/>
      <c r="PD28" s="79"/>
      <c r="PE28" s="79"/>
      <c r="PF28" s="79"/>
      <c r="PG28" s="79"/>
      <c r="PH28" s="79"/>
      <c r="PI28" s="79"/>
      <c r="PJ28" s="79"/>
      <c r="PK28" s="79"/>
      <c r="PL28" s="79"/>
      <c r="PM28" s="79"/>
      <c r="PN28" s="79"/>
      <c r="PO28" s="79"/>
      <c r="PP28" s="79"/>
      <c r="PQ28" s="79"/>
      <c r="PR28" s="79"/>
      <c r="PS28" s="79"/>
      <c r="PT28" s="79"/>
      <c r="PU28" s="79"/>
      <c r="PV28" s="79"/>
      <c r="PW28" s="79"/>
      <c r="PX28" s="79"/>
      <c r="PY28" s="79"/>
      <c r="PZ28" s="79"/>
      <c r="QA28" s="79"/>
      <c r="QB28" s="79"/>
      <c r="QC28" s="79"/>
      <c r="QD28" s="79"/>
      <c r="QE28" s="79"/>
      <c r="QF28" s="79"/>
      <c r="QG28" s="79"/>
      <c r="QH28" s="79"/>
      <c r="QI28" s="79"/>
      <c r="QJ28" s="79"/>
      <c r="QK28" s="79"/>
      <c r="QL28" s="79"/>
      <c r="QM28" s="79"/>
      <c r="QN28" s="79"/>
      <c r="QO28" s="79"/>
      <c r="QP28" s="79"/>
      <c r="QQ28" s="79"/>
      <c r="QR28" s="79"/>
      <c r="QS28" s="79"/>
      <c r="QT28" s="79"/>
      <c r="QU28" s="79"/>
      <c r="QV28" s="79"/>
      <c r="QW28" s="79"/>
      <c r="QX28" s="79"/>
      <c r="QY28" s="79"/>
      <c r="QZ28" s="79"/>
      <c r="RA28" s="79"/>
      <c r="RB28" s="79"/>
      <c r="RC28" s="79"/>
      <c r="RD28" s="79"/>
      <c r="RE28" s="79"/>
      <c r="RF28" s="79"/>
      <c r="RG28" s="79"/>
      <c r="RH28" s="79"/>
      <c r="RI28" s="79"/>
      <c r="RJ28" s="79"/>
      <c r="RK28" s="79"/>
      <c r="RL28" s="79"/>
      <c r="RM28" s="79"/>
      <c r="RN28" s="79"/>
      <c r="RO28" s="79"/>
      <c r="RP28" s="79"/>
      <c r="RQ28" s="79"/>
      <c r="RR28" s="79"/>
      <c r="RS28" s="79"/>
      <c r="RT28" s="79"/>
      <c r="RU28" s="79"/>
      <c r="RV28" s="79"/>
      <c r="RW28" s="79"/>
      <c r="RX28" s="79"/>
      <c r="RY28" s="79"/>
      <c r="RZ28" s="79"/>
      <c r="SA28" s="79"/>
      <c r="SB28" s="79"/>
      <c r="SC28" s="79"/>
      <c r="SD28" s="79"/>
      <c r="SE28" s="79"/>
      <c r="SF28" s="79"/>
      <c r="SG28" s="79"/>
      <c r="SH28" s="79"/>
      <c r="SI28" s="79"/>
      <c r="SJ28" s="79"/>
    </row>
    <row r="29" spans="2:504" x14ac:dyDescent="0.25">
      <c r="B29" s="36" t="str">
        <f>'Pay App 1'!B74</f>
        <v>03 00 00</v>
      </c>
      <c r="C29" s="30" t="str">
        <f>'Pay App 1'!C74</f>
        <v>Building Concrete</v>
      </c>
      <c r="D29" s="82">
        <f t="shared" si="8"/>
        <v>0</v>
      </c>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79"/>
      <c r="BA29" s="79"/>
      <c r="BB29" s="79"/>
      <c r="BC29" s="79"/>
      <c r="BD29" s="79"/>
      <c r="BE29" s="79"/>
      <c r="BF29" s="79"/>
      <c r="BG29" s="79"/>
      <c r="BH29" s="79"/>
      <c r="BI29" s="79"/>
      <c r="BJ29" s="79"/>
      <c r="BK29" s="79"/>
      <c r="BL29" s="79"/>
      <c r="BM29" s="79"/>
      <c r="BN29" s="79"/>
      <c r="BO29" s="79"/>
      <c r="BP29" s="79"/>
      <c r="BQ29" s="79"/>
      <c r="BR29" s="79"/>
      <c r="BS29" s="79"/>
      <c r="BT29" s="79"/>
      <c r="BU29" s="79"/>
      <c r="BV29" s="79"/>
      <c r="BW29" s="79"/>
      <c r="BX29" s="79"/>
      <c r="BY29" s="79"/>
      <c r="BZ29" s="79"/>
      <c r="CA29" s="79"/>
      <c r="CB29" s="79"/>
      <c r="CC29" s="79"/>
      <c r="CD29" s="79"/>
      <c r="CE29" s="79"/>
      <c r="CF29" s="79"/>
      <c r="CG29" s="79"/>
      <c r="CH29" s="79"/>
      <c r="CI29" s="79"/>
      <c r="CJ29" s="79"/>
      <c r="CK29" s="79"/>
      <c r="CL29" s="79"/>
      <c r="CM29" s="79"/>
      <c r="CN29" s="79"/>
      <c r="CO29" s="79"/>
      <c r="CP29" s="79"/>
      <c r="CQ29" s="79"/>
      <c r="CR29" s="79"/>
      <c r="CS29" s="79"/>
      <c r="CT29" s="79"/>
      <c r="CU29" s="79"/>
      <c r="CV29" s="79"/>
      <c r="CW29" s="79"/>
      <c r="CX29" s="79"/>
      <c r="CY29" s="79"/>
      <c r="CZ29" s="79"/>
      <c r="DA29" s="79"/>
      <c r="DB29" s="79"/>
      <c r="DC29" s="79"/>
      <c r="DD29" s="79"/>
      <c r="DE29" s="79"/>
      <c r="DF29" s="79"/>
      <c r="DG29" s="79"/>
      <c r="DH29" s="79"/>
      <c r="DI29" s="79"/>
      <c r="DJ29" s="79"/>
      <c r="DK29" s="79"/>
      <c r="DL29" s="79"/>
      <c r="DM29" s="79"/>
      <c r="DN29" s="79"/>
      <c r="DO29" s="79"/>
      <c r="DP29" s="79"/>
      <c r="DQ29" s="79"/>
      <c r="DR29" s="79"/>
      <c r="DS29" s="79"/>
      <c r="DT29" s="79"/>
      <c r="DU29" s="79"/>
      <c r="DV29" s="79"/>
      <c r="DW29" s="79"/>
      <c r="DX29" s="79"/>
      <c r="DY29" s="79"/>
      <c r="DZ29" s="79"/>
      <c r="EA29" s="79"/>
      <c r="EB29" s="79"/>
      <c r="EC29" s="79"/>
      <c r="ED29" s="79"/>
      <c r="EE29" s="79"/>
      <c r="EF29" s="79"/>
      <c r="EG29" s="79"/>
      <c r="EH29" s="79"/>
      <c r="EI29" s="79"/>
      <c r="EJ29" s="79"/>
      <c r="EK29" s="79"/>
      <c r="EL29" s="79"/>
      <c r="EM29" s="79"/>
      <c r="EN29" s="79"/>
      <c r="EO29" s="79"/>
      <c r="EP29" s="79"/>
      <c r="EQ29" s="79"/>
      <c r="ER29" s="79"/>
      <c r="ES29" s="79"/>
      <c r="ET29" s="79"/>
      <c r="EU29" s="79"/>
      <c r="EV29" s="79"/>
      <c r="EW29" s="79"/>
      <c r="EX29" s="79"/>
      <c r="EY29" s="79"/>
      <c r="EZ29" s="79"/>
      <c r="FA29" s="79"/>
      <c r="FB29" s="79"/>
      <c r="FC29" s="79"/>
      <c r="FD29" s="79"/>
      <c r="FE29" s="79"/>
      <c r="FF29" s="79"/>
      <c r="FG29" s="79"/>
      <c r="FH29" s="79"/>
      <c r="FI29" s="79"/>
      <c r="FJ29" s="79"/>
      <c r="FK29" s="79"/>
      <c r="FL29" s="79"/>
      <c r="FM29" s="79"/>
      <c r="FN29" s="79"/>
      <c r="FO29" s="79"/>
      <c r="FP29" s="79"/>
      <c r="FQ29" s="79"/>
      <c r="FR29" s="79"/>
      <c r="FS29" s="79"/>
      <c r="FT29" s="79"/>
      <c r="FU29" s="79"/>
      <c r="FV29" s="79"/>
      <c r="FW29" s="79"/>
      <c r="FX29" s="79"/>
      <c r="FY29" s="79"/>
      <c r="FZ29" s="79"/>
      <c r="GA29" s="79"/>
      <c r="GB29" s="79"/>
      <c r="GC29" s="79"/>
      <c r="GD29" s="79"/>
      <c r="GE29" s="79"/>
      <c r="GF29" s="79"/>
      <c r="GG29" s="79"/>
      <c r="GH29" s="79"/>
      <c r="GI29" s="79"/>
      <c r="GJ29" s="79"/>
      <c r="GK29" s="79"/>
      <c r="GL29" s="79"/>
      <c r="GM29" s="79"/>
      <c r="GN29" s="79"/>
      <c r="GO29" s="79"/>
      <c r="GP29" s="79"/>
      <c r="GQ29" s="79"/>
      <c r="GR29" s="79"/>
      <c r="GS29" s="79"/>
      <c r="GT29" s="79"/>
      <c r="GU29" s="79"/>
      <c r="GV29" s="79"/>
      <c r="GW29" s="79"/>
      <c r="GX29" s="79"/>
      <c r="GY29" s="79"/>
      <c r="GZ29" s="79"/>
      <c r="HA29" s="79"/>
      <c r="HB29" s="79"/>
      <c r="HC29" s="79"/>
      <c r="HD29" s="79"/>
      <c r="HE29" s="79"/>
      <c r="HF29" s="79"/>
      <c r="HG29" s="79"/>
      <c r="HH29" s="79"/>
      <c r="HI29" s="79"/>
      <c r="HJ29" s="79"/>
      <c r="HK29" s="79"/>
      <c r="HL29" s="79"/>
      <c r="HM29" s="79"/>
      <c r="HN29" s="79"/>
      <c r="HO29" s="79"/>
      <c r="HP29" s="79"/>
      <c r="HQ29" s="79"/>
      <c r="HR29" s="79"/>
      <c r="HS29" s="79"/>
      <c r="HT29" s="79"/>
      <c r="HU29" s="79"/>
      <c r="HV29" s="79"/>
      <c r="HW29" s="79"/>
      <c r="HX29" s="79"/>
      <c r="HY29" s="79"/>
      <c r="HZ29" s="79"/>
      <c r="IA29" s="79"/>
      <c r="IB29" s="79"/>
      <c r="IC29" s="79"/>
      <c r="ID29" s="79"/>
      <c r="IE29" s="79"/>
      <c r="IF29" s="79"/>
      <c r="IG29" s="79"/>
      <c r="IH29" s="79"/>
      <c r="II29" s="79"/>
      <c r="IJ29" s="79"/>
      <c r="IK29" s="79"/>
      <c r="IL29" s="79"/>
      <c r="IM29" s="79"/>
      <c r="IN29" s="79"/>
      <c r="IO29" s="79"/>
      <c r="IP29" s="79"/>
      <c r="IQ29" s="79"/>
      <c r="IR29" s="79"/>
      <c r="IS29" s="79"/>
      <c r="IT29" s="79"/>
      <c r="IU29" s="79"/>
      <c r="IV29" s="79"/>
      <c r="IW29" s="79"/>
      <c r="IX29" s="79"/>
      <c r="IY29" s="79"/>
      <c r="IZ29" s="79"/>
      <c r="JA29" s="79"/>
      <c r="JB29" s="79"/>
      <c r="JC29" s="79"/>
      <c r="JD29" s="79"/>
      <c r="JE29" s="79"/>
      <c r="JF29" s="79"/>
      <c r="JG29" s="79"/>
      <c r="JH29" s="79"/>
      <c r="JI29" s="79"/>
      <c r="JJ29" s="79"/>
      <c r="JK29" s="79"/>
      <c r="JL29" s="79"/>
      <c r="JM29" s="79"/>
      <c r="JN29" s="79"/>
      <c r="JO29" s="79"/>
      <c r="JP29" s="79"/>
      <c r="JQ29" s="79"/>
      <c r="JR29" s="79"/>
      <c r="JS29" s="79"/>
      <c r="JT29" s="79"/>
      <c r="JU29" s="79"/>
      <c r="JV29" s="79"/>
      <c r="JW29" s="79"/>
      <c r="JX29" s="79"/>
      <c r="JY29" s="79"/>
      <c r="JZ29" s="79"/>
      <c r="KA29" s="79"/>
      <c r="KB29" s="79"/>
      <c r="KC29" s="79"/>
      <c r="KD29" s="79"/>
      <c r="KE29" s="79"/>
      <c r="KF29" s="79"/>
      <c r="KG29" s="79"/>
      <c r="KH29" s="79"/>
      <c r="KI29" s="79"/>
      <c r="KJ29" s="79"/>
      <c r="KK29" s="79"/>
      <c r="KL29" s="79"/>
      <c r="KM29" s="79"/>
      <c r="KN29" s="79"/>
      <c r="KO29" s="79"/>
      <c r="KP29" s="79"/>
      <c r="KQ29" s="79"/>
      <c r="KR29" s="79"/>
      <c r="KS29" s="79"/>
      <c r="KT29" s="79"/>
      <c r="KU29" s="79"/>
      <c r="KV29" s="79"/>
      <c r="KW29" s="79"/>
      <c r="KX29" s="79"/>
      <c r="KY29" s="79"/>
      <c r="KZ29" s="79"/>
      <c r="LA29" s="79"/>
      <c r="LB29" s="79"/>
      <c r="LC29" s="79"/>
      <c r="LD29" s="79"/>
      <c r="LE29" s="79"/>
      <c r="LF29" s="79"/>
      <c r="LG29" s="79"/>
      <c r="LH29" s="79"/>
      <c r="LI29" s="79"/>
      <c r="LJ29" s="79"/>
      <c r="LK29" s="79"/>
      <c r="LL29" s="79"/>
      <c r="LM29" s="79"/>
      <c r="LN29" s="79"/>
      <c r="LO29" s="79"/>
      <c r="LP29" s="79"/>
      <c r="LQ29" s="79"/>
      <c r="LR29" s="79"/>
      <c r="LS29" s="79"/>
      <c r="LT29" s="79"/>
      <c r="LU29" s="79"/>
      <c r="LV29" s="79"/>
      <c r="LW29" s="79"/>
      <c r="LX29" s="79"/>
      <c r="LY29" s="79"/>
      <c r="LZ29" s="79"/>
      <c r="MA29" s="79"/>
      <c r="MB29" s="79"/>
      <c r="MC29" s="79"/>
      <c r="MD29" s="79"/>
      <c r="ME29" s="79"/>
      <c r="MF29" s="79"/>
      <c r="MG29" s="79"/>
      <c r="MH29" s="79"/>
      <c r="MI29" s="79"/>
      <c r="MJ29" s="79"/>
      <c r="MK29" s="79"/>
      <c r="ML29" s="79"/>
      <c r="MM29" s="79"/>
      <c r="MN29" s="79"/>
      <c r="MO29" s="79"/>
      <c r="MP29" s="79"/>
      <c r="MQ29" s="79"/>
      <c r="MR29" s="79"/>
      <c r="MS29" s="79"/>
      <c r="MT29" s="79"/>
      <c r="MU29" s="79"/>
      <c r="MV29" s="79"/>
      <c r="MW29" s="79"/>
      <c r="MX29" s="79"/>
      <c r="MY29" s="79"/>
      <c r="MZ29" s="79"/>
      <c r="NA29" s="79"/>
      <c r="NB29" s="79"/>
      <c r="NC29" s="79"/>
      <c r="ND29" s="79"/>
      <c r="NE29" s="79"/>
      <c r="NF29" s="79"/>
      <c r="NG29" s="79"/>
      <c r="NH29" s="79"/>
      <c r="NI29" s="79"/>
      <c r="NJ29" s="79"/>
      <c r="NK29" s="79"/>
      <c r="NL29" s="79"/>
      <c r="NM29" s="79"/>
      <c r="NN29" s="79"/>
      <c r="NO29" s="79"/>
      <c r="NP29" s="79"/>
      <c r="NQ29" s="79"/>
      <c r="NR29" s="79"/>
      <c r="NS29" s="79"/>
      <c r="NT29" s="79"/>
      <c r="NU29" s="79"/>
      <c r="NV29" s="79"/>
      <c r="NW29" s="79"/>
      <c r="NX29" s="79"/>
      <c r="NY29" s="79"/>
      <c r="NZ29" s="79"/>
      <c r="OA29" s="79"/>
      <c r="OB29" s="79"/>
      <c r="OC29" s="79"/>
      <c r="OD29" s="79"/>
      <c r="OE29" s="79"/>
      <c r="OF29" s="79"/>
      <c r="OG29" s="79"/>
      <c r="OH29" s="79"/>
      <c r="OI29" s="79"/>
      <c r="OJ29" s="79"/>
      <c r="OK29" s="79"/>
      <c r="OL29" s="79"/>
      <c r="OM29" s="79"/>
      <c r="ON29" s="79"/>
      <c r="OO29" s="79"/>
      <c r="OP29" s="79"/>
      <c r="OQ29" s="79"/>
      <c r="OR29" s="79"/>
      <c r="OS29" s="79"/>
      <c r="OT29" s="79"/>
      <c r="OU29" s="79"/>
      <c r="OV29" s="79"/>
      <c r="OW29" s="79"/>
      <c r="OX29" s="79"/>
      <c r="OY29" s="79"/>
      <c r="OZ29" s="79"/>
      <c r="PA29" s="79"/>
      <c r="PB29" s="79"/>
      <c r="PC29" s="79"/>
      <c r="PD29" s="79"/>
      <c r="PE29" s="79"/>
      <c r="PF29" s="79"/>
      <c r="PG29" s="79"/>
      <c r="PH29" s="79"/>
      <c r="PI29" s="79"/>
      <c r="PJ29" s="79"/>
      <c r="PK29" s="79"/>
      <c r="PL29" s="79"/>
      <c r="PM29" s="79"/>
      <c r="PN29" s="79"/>
      <c r="PO29" s="79"/>
      <c r="PP29" s="79"/>
      <c r="PQ29" s="79"/>
      <c r="PR29" s="79"/>
      <c r="PS29" s="79"/>
      <c r="PT29" s="79"/>
      <c r="PU29" s="79"/>
      <c r="PV29" s="79"/>
      <c r="PW29" s="79"/>
      <c r="PX29" s="79"/>
      <c r="PY29" s="79"/>
      <c r="PZ29" s="79"/>
      <c r="QA29" s="79"/>
      <c r="QB29" s="79"/>
      <c r="QC29" s="79"/>
      <c r="QD29" s="79"/>
      <c r="QE29" s="79"/>
      <c r="QF29" s="79"/>
      <c r="QG29" s="79"/>
      <c r="QH29" s="79"/>
      <c r="QI29" s="79"/>
      <c r="QJ29" s="79"/>
      <c r="QK29" s="79"/>
      <c r="QL29" s="79"/>
      <c r="QM29" s="79"/>
      <c r="QN29" s="79"/>
      <c r="QO29" s="79"/>
      <c r="QP29" s="79"/>
      <c r="QQ29" s="79"/>
      <c r="QR29" s="79"/>
      <c r="QS29" s="79"/>
      <c r="QT29" s="79"/>
      <c r="QU29" s="79"/>
      <c r="QV29" s="79"/>
      <c r="QW29" s="79"/>
      <c r="QX29" s="79"/>
      <c r="QY29" s="79"/>
      <c r="QZ29" s="79"/>
      <c r="RA29" s="79"/>
      <c r="RB29" s="79"/>
      <c r="RC29" s="79"/>
      <c r="RD29" s="79"/>
      <c r="RE29" s="79"/>
      <c r="RF29" s="79"/>
      <c r="RG29" s="79"/>
      <c r="RH29" s="79"/>
      <c r="RI29" s="79"/>
      <c r="RJ29" s="79"/>
      <c r="RK29" s="79"/>
      <c r="RL29" s="79"/>
      <c r="RM29" s="79"/>
      <c r="RN29" s="79"/>
      <c r="RO29" s="79"/>
      <c r="RP29" s="79"/>
      <c r="RQ29" s="79"/>
      <c r="RR29" s="79"/>
      <c r="RS29" s="79"/>
      <c r="RT29" s="79"/>
      <c r="RU29" s="79"/>
      <c r="RV29" s="79"/>
      <c r="RW29" s="79"/>
      <c r="RX29" s="79"/>
      <c r="RY29" s="79"/>
      <c r="RZ29" s="79"/>
      <c r="SA29" s="79"/>
      <c r="SB29" s="79"/>
      <c r="SC29" s="79"/>
      <c r="SD29" s="79"/>
      <c r="SE29" s="79"/>
      <c r="SF29" s="79"/>
      <c r="SG29" s="79"/>
      <c r="SH29" s="79"/>
      <c r="SI29" s="79"/>
      <c r="SJ29" s="79"/>
    </row>
    <row r="30" spans="2:504" x14ac:dyDescent="0.25">
      <c r="B30" s="36" t="str">
        <f>'Pay App 1'!B75</f>
        <v>03 20 00</v>
      </c>
      <c r="C30" s="30" t="str">
        <f>'Pay App 1'!C75</f>
        <v>Building Concrete Reinforcing</v>
      </c>
      <c r="D30" s="82">
        <f t="shared" si="8"/>
        <v>0</v>
      </c>
      <c r="E30" s="79"/>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c r="CA30" s="79"/>
      <c r="CB30" s="79"/>
      <c r="CC30" s="79"/>
      <c r="CD30" s="79"/>
      <c r="CE30" s="79"/>
      <c r="CF30" s="79"/>
      <c r="CG30" s="79"/>
      <c r="CH30" s="79"/>
      <c r="CI30" s="79"/>
      <c r="CJ30" s="79"/>
      <c r="CK30" s="79"/>
      <c r="CL30" s="79"/>
      <c r="CM30" s="79"/>
      <c r="CN30" s="79"/>
      <c r="CO30" s="79"/>
      <c r="CP30" s="79"/>
      <c r="CQ30" s="79"/>
      <c r="CR30" s="79"/>
      <c r="CS30" s="79"/>
      <c r="CT30" s="79"/>
      <c r="CU30" s="79"/>
      <c r="CV30" s="79"/>
      <c r="CW30" s="79"/>
      <c r="CX30" s="79"/>
      <c r="CY30" s="79"/>
      <c r="CZ30" s="79"/>
      <c r="DA30" s="79"/>
      <c r="DB30" s="79"/>
      <c r="DC30" s="79"/>
      <c r="DD30" s="79"/>
      <c r="DE30" s="79"/>
      <c r="DF30" s="79"/>
      <c r="DG30" s="79"/>
      <c r="DH30" s="79"/>
      <c r="DI30" s="79"/>
      <c r="DJ30" s="79"/>
      <c r="DK30" s="79"/>
      <c r="DL30" s="79"/>
      <c r="DM30" s="79"/>
      <c r="DN30" s="79"/>
      <c r="DO30" s="79"/>
      <c r="DP30" s="79"/>
      <c r="DQ30" s="79"/>
      <c r="DR30" s="79"/>
      <c r="DS30" s="79"/>
      <c r="DT30" s="79"/>
      <c r="DU30" s="79"/>
      <c r="DV30" s="79"/>
      <c r="DW30" s="79"/>
      <c r="DX30" s="79"/>
      <c r="DY30" s="79"/>
      <c r="DZ30" s="79"/>
      <c r="EA30" s="79"/>
      <c r="EB30" s="79"/>
      <c r="EC30" s="79"/>
      <c r="ED30" s="79"/>
      <c r="EE30" s="79"/>
      <c r="EF30" s="79"/>
      <c r="EG30" s="79"/>
      <c r="EH30" s="79"/>
      <c r="EI30" s="79"/>
      <c r="EJ30" s="79"/>
      <c r="EK30" s="79"/>
      <c r="EL30" s="79"/>
      <c r="EM30" s="79"/>
      <c r="EN30" s="79"/>
      <c r="EO30" s="79"/>
      <c r="EP30" s="79"/>
      <c r="EQ30" s="79"/>
      <c r="ER30" s="79"/>
      <c r="ES30" s="79"/>
      <c r="ET30" s="79"/>
      <c r="EU30" s="79"/>
      <c r="EV30" s="79"/>
      <c r="EW30" s="79"/>
      <c r="EX30" s="79"/>
      <c r="EY30" s="79"/>
      <c r="EZ30" s="79"/>
      <c r="FA30" s="79"/>
      <c r="FB30" s="79"/>
      <c r="FC30" s="79"/>
      <c r="FD30" s="79"/>
      <c r="FE30" s="79"/>
      <c r="FF30" s="79"/>
      <c r="FG30" s="79"/>
      <c r="FH30" s="79"/>
      <c r="FI30" s="79"/>
      <c r="FJ30" s="79"/>
      <c r="FK30" s="79"/>
      <c r="FL30" s="79"/>
      <c r="FM30" s="79"/>
      <c r="FN30" s="79"/>
      <c r="FO30" s="79"/>
      <c r="FP30" s="79"/>
      <c r="FQ30" s="79"/>
      <c r="FR30" s="79"/>
      <c r="FS30" s="79"/>
      <c r="FT30" s="79"/>
      <c r="FU30" s="79"/>
      <c r="FV30" s="79"/>
      <c r="FW30" s="79"/>
      <c r="FX30" s="79"/>
      <c r="FY30" s="79"/>
      <c r="FZ30" s="79"/>
      <c r="GA30" s="79"/>
      <c r="GB30" s="79"/>
      <c r="GC30" s="79"/>
      <c r="GD30" s="79"/>
      <c r="GE30" s="79"/>
      <c r="GF30" s="79"/>
      <c r="GG30" s="79"/>
      <c r="GH30" s="79"/>
      <c r="GI30" s="79"/>
      <c r="GJ30" s="79"/>
      <c r="GK30" s="79"/>
      <c r="GL30" s="79"/>
      <c r="GM30" s="79"/>
      <c r="GN30" s="79"/>
      <c r="GO30" s="79"/>
      <c r="GP30" s="79"/>
      <c r="GQ30" s="79"/>
      <c r="GR30" s="79"/>
      <c r="GS30" s="79"/>
      <c r="GT30" s="79"/>
      <c r="GU30" s="79"/>
      <c r="GV30" s="79"/>
      <c r="GW30" s="79"/>
      <c r="GX30" s="79"/>
      <c r="GY30" s="79"/>
      <c r="GZ30" s="79"/>
      <c r="HA30" s="79"/>
      <c r="HB30" s="79"/>
      <c r="HC30" s="79"/>
      <c r="HD30" s="79"/>
      <c r="HE30" s="79"/>
      <c r="HF30" s="79"/>
      <c r="HG30" s="79"/>
      <c r="HH30" s="79"/>
      <c r="HI30" s="79"/>
      <c r="HJ30" s="79"/>
      <c r="HK30" s="79"/>
      <c r="HL30" s="79"/>
      <c r="HM30" s="79"/>
      <c r="HN30" s="79"/>
      <c r="HO30" s="79"/>
      <c r="HP30" s="79"/>
      <c r="HQ30" s="79"/>
      <c r="HR30" s="79"/>
      <c r="HS30" s="79"/>
      <c r="HT30" s="79"/>
      <c r="HU30" s="79"/>
      <c r="HV30" s="79"/>
      <c r="HW30" s="79"/>
      <c r="HX30" s="79"/>
      <c r="HY30" s="79"/>
      <c r="HZ30" s="79"/>
      <c r="IA30" s="79"/>
      <c r="IB30" s="79"/>
      <c r="IC30" s="79"/>
      <c r="ID30" s="79"/>
      <c r="IE30" s="79"/>
      <c r="IF30" s="79"/>
      <c r="IG30" s="79"/>
      <c r="IH30" s="79"/>
      <c r="II30" s="79"/>
      <c r="IJ30" s="79"/>
      <c r="IK30" s="79"/>
      <c r="IL30" s="79"/>
      <c r="IM30" s="79"/>
      <c r="IN30" s="79"/>
      <c r="IO30" s="79"/>
      <c r="IP30" s="79"/>
      <c r="IQ30" s="79"/>
      <c r="IR30" s="79"/>
      <c r="IS30" s="79"/>
      <c r="IT30" s="79"/>
      <c r="IU30" s="79"/>
      <c r="IV30" s="79"/>
      <c r="IW30" s="79"/>
      <c r="IX30" s="79"/>
      <c r="IY30" s="79"/>
      <c r="IZ30" s="79"/>
      <c r="JA30" s="79"/>
      <c r="JB30" s="79"/>
      <c r="JC30" s="79"/>
      <c r="JD30" s="79"/>
      <c r="JE30" s="79"/>
      <c r="JF30" s="79"/>
      <c r="JG30" s="79"/>
      <c r="JH30" s="79"/>
      <c r="JI30" s="79"/>
      <c r="JJ30" s="79"/>
      <c r="JK30" s="79"/>
      <c r="JL30" s="79"/>
      <c r="JM30" s="79"/>
      <c r="JN30" s="79"/>
      <c r="JO30" s="79"/>
      <c r="JP30" s="79"/>
      <c r="JQ30" s="79"/>
      <c r="JR30" s="79"/>
      <c r="JS30" s="79"/>
      <c r="JT30" s="79"/>
      <c r="JU30" s="79"/>
      <c r="JV30" s="79"/>
      <c r="JW30" s="79"/>
      <c r="JX30" s="79"/>
      <c r="JY30" s="79"/>
      <c r="JZ30" s="79"/>
      <c r="KA30" s="79"/>
      <c r="KB30" s="79"/>
      <c r="KC30" s="79"/>
      <c r="KD30" s="79"/>
      <c r="KE30" s="79"/>
      <c r="KF30" s="79"/>
      <c r="KG30" s="79"/>
      <c r="KH30" s="79"/>
      <c r="KI30" s="79"/>
      <c r="KJ30" s="79"/>
      <c r="KK30" s="79"/>
      <c r="KL30" s="79"/>
      <c r="KM30" s="79"/>
      <c r="KN30" s="79"/>
      <c r="KO30" s="79"/>
      <c r="KP30" s="79"/>
      <c r="KQ30" s="79"/>
      <c r="KR30" s="79"/>
      <c r="KS30" s="79"/>
      <c r="KT30" s="79"/>
      <c r="KU30" s="79"/>
      <c r="KV30" s="79"/>
      <c r="KW30" s="79"/>
      <c r="KX30" s="79"/>
      <c r="KY30" s="79"/>
      <c r="KZ30" s="79"/>
      <c r="LA30" s="79"/>
      <c r="LB30" s="79"/>
      <c r="LC30" s="79"/>
      <c r="LD30" s="79"/>
      <c r="LE30" s="79"/>
      <c r="LF30" s="79"/>
      <c r="LG30" s="79"/>
      <c r="LH30" s="79"/>
      <c r="LI30" s="79"/>
      <c r="LJ30" s="79"/>
      <c r="LK30" s="79"/>
      <c r="LL30" s="79"/>
      <c r="LM30" s="79"/>
      <c r="LN30" s="79"/>
      <c r="LO30" s="79"/>
      <c r="LP30" s="79"/>
      <c r="LQ30" s="79"/>
      <c r="LR30" s="79"/>
      <c r="LS30" s="79"/>
      <c r="LT30" s="79"/>
      <c r="LU30" s="79"/>
      <c r="LV30" s="79"/>
      <c r="LW30" s="79"/>
      <c r="LX30" s="79"/>
      <c r="LY30" s="79"/>
      <c r="LZ30" s="79"/>
      <c r="MA30" s="79"/>
      <c r="MB30" s="79"/>
      <c r="MC30" s="79"/>
      <c r="MD30" s="79"/>
      <c r="ME30" s="79"/>
      <c r="MF30" s="79"/>
      <c r="MG30" s="79"/>
      <c r="MH30" s="79"/>
      <c r="MI30" s="79"/>
      <c r="MJ30" s="79"/>
      <c r="MK30" s="79"/>
      <c r="ML30" s="79"/>
      <c r="MM30" s="79"/>
      <c r="MN30" s="79"/>
      <c r="MO30" s="79"/>
      <c r="MP30" s="79"/>
      <c r="MQ30" s="79"/>
      <c r="MR30" s="79"/>
      <c r="MS30" s="79"/>
      <c r="MT30" s="79"/>
      <c r="MU30" s="79"/>
      <c r="MV30" s="79"/>
      <c r="MW30" s="79"/>
      <c r="MX30" s="79"/>
      <c r="MY30" s="79"/>
      <c r="MZ30" s="79"/>
      <c r="NA30" s="79"/>
      <c r="NB30" s="79"/>
      <c r="NC30" s="79"/>
      <c r="ND30" s="79"/>
      <c r="NE30" s="79"/>
      <c r="NF30" s="79"/>
      <c r="NG30" s="79"/>
      <c r="NH30" s="79"/>
      <c r="NI30" s="79"/>
      <c r="NJ30" s="79"/>
      <c r="NK30" s="79"/>
      <c r="NL30" s="79"/>
      <c r="NM30" s="79"/>
      <c r="NN30" s="79"/>
      <c r="NO30" s="79"/>
      <c r="NP30" s="79"/>
      <c r="NQ30" s="79"/>
      <c r="NR30" s="79"/>
      <c r="NS30" s="79"/>
      <c r="NT30" s="79"/>
      <c r="NU30" s="79"/>
      <c r="NV30" s="79"/>
      <c r="NW30" s="79"/>
      <c r="NX30" s="79"/>
      <c r="NY30" s="79"/>
      <c r="NZ30" s="79"/>
      <c r="OA30" s="79"/>
      <c r="OB30" s="79"/>
      <c r="OC30" s="79"/>
      <c r="OD30" s="79"/>
      <c r="OE30" s="79"/>
      <c r="OF30" s="79"/>
      <c r="OG30" s="79"/>
      <c r="OH30" s="79"/>
      <c r="OI30" s="79"/>
      <c r="OJ30" s="79"/>
      <c r="OK30" s="79"/>
      <c r="OL30" s="79"/>
      <c r="OM30" s="79"/>
      <c r="ON30" s="79"/>
      <c r="OO30" s="79"/>
      <c r="OP30" s="79"/>
      <c r="OQ30" s="79"/>
      <c r="OR30" s="79"/>
      <c r="OS30" s="79"/>
      <c r="OT30" s="79"/>
      <c r="OU30" s="79"/>
      <c r="OV30" s="79"/>
      <c r="OW30" s="79"/>
      <c r="OX30" s="79"/>
      <c r="OY30" s="79"/>
      <c r="OZ30" s="79"/>
      <c r="PA30" s="79"/>
      <c r="PB30" s="79"/>
      <c r="PC30" s="79"/>
      <c r="PD30" s="79"/>
      <c r="PE30" s="79"/>
      <c r="PF30" s="79"/>
      <c r="PG30" s="79"/>
      <c r="PH30" s="79"/>
      <c r="PI30" s="79"/>
      <c r="PJ30" s="79"/>
      <c r="PK30" s="79"/>
      <c r="PL30" s="79"/>
      <c r="PM30" s="79"/>
      <c r="PN30" s="79"/>
      <c r="PO30" s="79"/>
      <c r="PP30" s="79"/>
      <c r="PQ30" s="79"/>
      <c r="PR30" s="79"/>
      <c r="PS30" s="79"/>
      <c r="PT30" s="79"/>
      <c r="PU30" s="79"/>
      <c r="PV30" s="79"/>
      <c r="PW30" s="79"/>
      <c r="PX30" s="79"/>
      <c r="PY30" s="79"/>
      <c r="PZ30" s="79"/>
      <c r="QA30" s="79"/>
      <c r="QB30" s="79"/>
      <c r="QC30" s="79"/>
      <c r="QD30" s="79"/>
      <c r="QE30" s="79"/>
      <c r="QF30" s="79"/>
      <c r="QG30" s="79"/>
      <c r="QH30" s="79"/>
      <c r="QI30" s="79"/>
      <c r="QJ30" s="79"/>
      <c r="QK30" s="79"/>
      <c r="QL30" s="79"/>
      <c r="QM30" s="79"/>
      <c r="QN30" s="79"/>
      <c r="QO30" s="79"/>
      <c r="QP30" s="79"/>
      <c r="QQ30" s="79"/>
      <c r="QR30" s="79"/>
      <c r="QS30" s="79"/>
      <c r="QT30" s="79"/>
      <c r="QU30" s="79"/>
      <c r="QV30" s="79"/>
      <c r="QW30" s="79"/>
      <c r="QX30" s="79"/>
      <c r="QY30" s="79"/>
      <c r="QZ30" s="79"/>
      <c r="RA30" s="79"/>
      <c r="RB30" s="79"/>
      <c r="RC30" s="79"/>
      <c r="RD30" s="79"/>
      <c r="RE30" s="79"/>
      <c r="RF30" s="79"/>
      <c r="RG30" s="79"/>
      <c r="RH30" s="79"/>
      <c r="RI30" s="79"/>
      <c r="RJ30" s="79"/>
      <c r="RK30" s="79"/>
      <c r="RL30" s="79"/>
      <c r="RM30" s="79"/>
      <c r="RN30" s="79"/>
      <c r="RO30" s="79"/>
      <c r="RP30" s="79"/>
      <c r="RQ30" s="79"/>
      <c r="RR30" s="79"/>
      <c r="RS30" s="79"/>
      <c r="RT30" s="79"/>
      <c r="RU30" s="79"/>
      <c r="RV30" s="79"/>
      <c r="RW30" s="79"/>
      <c r="RX30" s="79"/>
      <c r="RY30" s="79"/>
      <c r="RZ30" s="79"/>
      <c r="SA30" s="79"/>
      <c r="SB30" s="79"/>
      <c r="SC30" s="79"/>
      <c r="SD30" s="79"/>
      <c r="SE30" s="79"/>
      <c r="SF30" s="79"/>
      <c r="SG30" s="79"/>
      <c r="SH30" s="79"/>
      <c r="SI30" s="79"/>
      <c r="SJ30" s="79"/>
    </row>
    <row r="31" spans="2:504" x14ac:dyDescent="0.25">
      <c r="B31" s="36" t="str">
        <f>'Pay App 1'!B76</f>
        <v>03 40 00</v>
      </c>
      <c r="C31" s="30" t="str">
        <f>'Pay App 1'!C76</f>
        <v>Precast</v>
      </c>
      <c r="D31" s="82">
        <f t="shared" si="8"/>
        <v>0</v>
      </c>
      <c r="E31" s="79"/>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c r="CA31" s="79"/>
      <c r="CB31" s="79"/>
      <c r="CC31" s="79"/>
      <c r="CD31" s="79"/>
      <c r="CE31" s="79"/>
      <c r="CF31" s="79"/>
      <c r="CG31" s="79"/>
      <c r="CH31" s="79"/>
      <c r="CI31" s="79"/>
      <c r="CJ31" s="79"/>
      <c r="CK31" s="79"/>
      <c r="CL31" s="79"/>
      <c r="CM31" s="79"/>
      <c r="CN31" s="79"/>
      <c r="CO31" s="79"/>
      <c r="CP31" s="79"/>
      <c r="CQ31" s="79"/>
      <c r="CR31" s="79"/>
      <c r="CS31" s="79"/>
      <c r="CT31" s="79"/>
      <c r="CU31" s="79"/>
      <c r="CV31" s="79"/>
      <c r="CW31" s="79"/>
      <c r="CX31" s="79"/>
      <c r="CY31" s="79"/>
      <c r="CZ31" s="79"/>
      <c r="DA31" s="79"/>
      <c r="DB31" s="79"/>
      <c r="DC31" s="79"/>
      <c r="DD31" s="79"/>
      <c r="DE31" s="79"/>
      <c r="DF31" s="79"/>
      <c r="DG31" s="79"/>
      <c r="DH31" s="79"/>
      <c r="DI31" s="79"/>
      <c r="DJ31" s="79"/>
      <c r="DK31" s="79"/>
      <c r="DL31" s="79"/>
      <c r="DM31" s="79"/>
      <c r="DN31" s="79"/>
      <c r="DO31" s="79"/>
      <c r="DP31" s="79"/>
      <c r="DQ31" s="79"/>
      <c r="DR31" s="79"/>
      <c r="DS31" s="79"/>
      <c r="DT31" s="79"/>
      <c r="DU31" s="79"/>
      <c r="DV31" s="79"/>
      <c r="DW31" s="79"/>
      <c r="DX31" s="79"/>
      <c r="DY31" s="79"/>
      <c r="DZ31" s="79"/>
      <c r="EA31" s="79"/>
      <c r="EB31" s="79"/>
      <c r="EC31" s="79"/>
      <c r="ED31" s="79"/>
      <c r="EE31" s="79"/>
      <c r="EF31" s="79"/>
      <c r="EG31" s="79"/>
      <c r="EH31" s="79"/>
      <c r="EI31" s="79"/>
      <c r="EJ31" s="79"/>
      <c r="EK31" s="79"/>
      <c r="EL31" s="79"/>
      <c r="EM31" s="79"/>
      <c r="EN31" s="79"/>
      <c r="EO31" s="79"/>
      <c r="EP31" s="79"/>
      <c r="EQ31" s="79"/>
      <c r="ER31" s="79"/>
      <c r="ES31" s="79"/>
      <c r="ET31" s="79"/>
      <c r="EU31" s="79"/>
      <c r="EV31" s="79"/>
      <c r="EW31" s="79"/>
      <c r="EX31" s="79"/>
      <c r="EY31" s="79"/>
      <c r="EZ31" s="79"/>
      <c r="FA31" s="79"/>
      <c r="FB31" s="79"/>
      <c r="FC31" s="79"/>
      <c r="FD31" s="79"/>
      <c r="FE31" s="79"/>
      <c r="FF31" s="79"/>
      <c r="FG31" s="79"/>
      <c r="FH31" s="79"/>
      <c r="FI31" s="79"/>
      <c r="FJ31" s="79"/>
      <c r="FK31" s="79"/>
      <c r="FL31" s="79"/>
      <c r="FM31" s="79"/>
      <c r="FN31" s="79"/>
      <c r="FO31" s="79"/>
      <c r="FP31" s="79"/>
      <c r="FQ31" s="79"/>
      <c r="FR31" s="79"/>
      <c r="FS31" s="79"/>
      <c r="FT31" s="79"/>
      <c r="FU31" s="79"/>
      <c r="FV31" s="79"/>
      <c r="FW31" s="79"/>
      <c r="FX31" s="79"/>
      <c r="FY31" s="79"/>
      <c r="FZ31" s="79"/>
      <c r="GA31" s="79"/>
      <c r="GB31" s="79"/>
      <c r="GC31" s="79"/>
      <c r="GD31" s="79"/>
      <c r="GE31" s="79"/>
      <c r="GF31" s="79"/>
      <c r="GG31" s="79"/>
      <c r="GH31" s="79"/>
      <c r="GI31" s="79"/>
      <c r="GJ31" s="79"/>
      <c r="GK31" s="79"/>
      <c r="GL31" s="79"/>
      <c r="GM31" s="79"/>
      <c r="GN31" s="79"/>
      <c r="GO31" s="79"/>
      <c r="GP31" s="79"/>
      <c r="GQ31" s="79"/>
      <c r="GR31" s="79"/>
      <c r="GS31" s="79"/>
      <c r="GT31" s="79"/>
      <c r="GU31" s="79"/>
      <c r="GV31" s="79"/>
      <c r="GW31" s="79"/>
      <c r="GX31" s="79"/>
      <c r="GY31" s="79"/>
      <c r="GZ31" s="79"/>
      <c r="HA31" s="79"/>
      <c r="HB31" s="79"/>
      <c r="HC31" s="79"/>
      <c r="HD31" s="79"/>
      <c r="HE31" s="79"/>
      <c r="HF31" s="79"/>
      <c r="HG31" s="79"/>
      <c r="HH31" s="79"/>
      <c r="HI31" s="79"/>
      <c r="HJ31" s="79"/>
      <c r="HK31" s="79"/>
      <c r="HL31" s="79"/>
      <c r="HM31" s="79"/>
      <c r="HN31" s="79"/>
      <c r="HO31" s="79"/>
      <c r="HP31" s="79"/>
      <c r="HQ31" s="79"/>
      <c r="HR31" s="79"/>
      <c r="HS31" s="79"/>
      <c r="HT31" s="79"/>
      <c r="HU31" s="79"/>
      <c r="HV31" s="79"/>
      <c r="HW31" s="79"/>
      <c r="HX31" s="79"/>
      <c r="HY31" s="79"/>
      <c r="HZ31" s="79"/>
      <c r="IA31" s="79"/>
      <c r="IB31" s="79"/>
      <c r="IC31" s="79"/>
      <c r="ID31" s="79"/>
      <c r="IE31" s="79"/>
      <c r="IF31" s="79"/>
      <c r="IG31" s="79"/>
      <c r="IH31" s="79"/>
      <c r="II31" s="79"/>
      <c r="IJ31" s="79"/>
      <c r="IK31" s="79"/>
      <c r="IL31" s="79"/>
      <c r="IM31" s="79"/>
      <c r="IN31" s="79"/>
      <c r="IO31" s="79"/>
      <c r="IP31" s="79"/>
      <c r="IQ31" s="79"/>
      <c r="IR31" s="79"/>
      <c r="IS31" s="79"/>
      <c r="IT31" s="79"/>
      <c r="IU31" s="79"/>
      <c r="IV31" s="79"/>
      <c r="IW31" s="79"/>
      <c r="IX31" s="79"/>
      <c r="IY31" s="79"/>
      <c r="IZ31" s="79"/>
      <c r="JA31" s="79"/>
      <c r="JB31" s="79"/>
      <c r="JC31" s="79"/>
      <c r="JD31" s="79"/>
      <c r="JE31" s="79"/>
      <c r="JF31" s="79"/>
      <c r="JG31" s="79"/>
      <c r="JH31" s="79"/>
      <c r="JI31" s="79"/>
      <c r="JJ31" s="79"/>
      <c r="JK31" s="79"/>
      <c r="JL31" s="79"/>
      <c r="JM31" s="79"/>
      <c r="JN31" s="79"/>
      <c r="JO31" s="79"/>
      <c r="JP31" s="79"/>
      <c r="JQ31" s="79"/>
      <c r="JR31" s="79"/>
      <c r="JS31" s="79"/>
      <c r="JT31" s="79"/>
      <c r="JU31" s="79"/>
      <c r="JV31" s="79"/>
      <c r="JW31" s="79"/>
      <c r="JX31" s="79"/>
      <c r="JY31" s="79"/>
      <c r="JZ31" s="79"/>
      <c r="KA31" s="79"/>
      <c r="KB31" s="79"/>
      <c r="KC31" s="79"/>
      <c r="KD31" s="79"/>
      <c r="KE31" s="79"/>
      <c r="KF31" s="79"/>
      <c r="KG31" s="79"/>
      <c r="KH31" s="79"/>
      <c r="KI31" s="79"/>
      <c r="KJ31" s="79"/>
      <c r="KK31" s="79"/>
      <c r="KL31" s="79"/>
      <c r="KM31" s="79"/>
      <c r="KN31" s="79"/>
      <c r="KO31" s="79"/>
      <c r="KP31" s="79"/>
      <c r="KQ31" s="79"/>
      <c r="KR31" s="79"/>
      <c r="KS31" s="79"/>
      <c r="KT31" s="79"/>
      <c r="KU31" s="79"/>
      <c r="KV31" s="79"/>
      <c r="KW31" s="79"/>
      <c r="KX31" s="79"/>
      <c r="KY31" s="79"/>
      <c r="KZ31" s="79"/>
      <c r="LA31" s="79"/>
      <c r="LB31" s="79"/>
      <c r="LC31" s="79"/>
      <c r="LD31" s="79"/>
      <c r="LE31" s="79"/>
      <c r="LF31" s="79"/>
      <c r="LG31" s="79"/>
      <c r="LH31" s="79"/>
      <c r="LI31" s="79"/>
      <c r="LJ31" s="79"/>
      <c r="LK31" s="79"/>
      <c r="LL31" s="79"/>
      <c r="LM31" s="79"/>
      <c r="LN31" s="79"/>
      <c r="LO31" s="79"/>
      <c r="LP31" s="79"/>
      <c r="LQ31" s="79"/>
      <c r="LR31" s="79"/>
      <c r="LS31" s="79"/>
      <c r="LT31" s="79"/>
      <c r="LU31" s="79"/>
      <c r="LV31" s="79"/>
      <c r="LW31" s="79"/>
      <c r="LX31" s="79"/>
      <c r="LY31" s="79"/>
      <c r="LZ31" s="79"/>
      <c r="MA31" s="79"/>
      <c r="MB31" s="79"/>
      <c r="MC31" s="79"/>
      <c r="MD31" s="79"/>
      <c r="ME31" s="79"/>
      <c r="MF31" s="79"/>
      <c r="MG31" s="79"/>
      <c r="MH31" s="79"/>
      <c r="MI31" s="79"/>
      <c r="MJ31" s="79"/>
      <c r="MK31" s="79"/>
      <c r="ML31" s="79"/>
      <c r="MM31" s="79"/>
      <c r="MN31" s="79"/>
      <c r="MO31" s="79"/>
      <c r="MP31" s="79"/>
      <c r="MQ31" s="79"/>
      <c r="MR31" s="79"/>
      <c r="MS31" s="79"/>
      <c r="MT31" s="79"/>
      <c r="MU31" s="79"/>
      <c r="MV31" s="79"/>
      <c r="MW31" s="79"/>
      <c r="MX31" s="79"/>
      <c r="MY31" s="79"/>
      <c r="MZ31" s="79"/>
      <c r="NA31" s="79"/>
      <c r="NB31" s="79"/>
      <c r="NC31" s="79"/>
      <c r="ND31" s="79"/>
      <c r="NE31" s="79"/>
      <c r="NF31" s="79"/>
      <c r="NG31" s="79"/>
      <c r="NH31" s="79"/>
      <c r="NI31" s="79"/>
      <c r="NJ31" s="79"/>
      <c r="NK31" s="79"/>
      <c r="NL31" s="79"/>
      <c r="NM31" s="79"/>
      <c r="NN31" s="79"/>
      <c r="NO31" s="79"/>
      <c r="NP31" s="79"/>
      <c r="NQ31" s="79"/>
      <c r="NR31" s="79"/>
      <c r="NS31" s="79"/>
      <c r="NT31" s="79"/>
      <c r="NU31" s="79"/>
      <c r="NV31" s="79"/>
      <c r="NW31" s="79"/>
      <c r="NX31" s="79"/>
      <c r="NY31" s="79"/>
      <c r="NZ31" s="79"/>
      <c r="OA31" s="79"/>
      <c r="OB31" s="79"/>
      <c r="OC31" s="79"/>
      <c r="OD31" s="79"/>
      <c r="OE31" s="79"/>
      <c r="OF31" s="79"/>
      <c r="OG31" s="79"/>
      <c r="OH31" s="79"/>
      <c r="OI31" s="79"/>
      <c r="OJ31" s="79"/>
      <c r="OK31" s="79"/>
      <c r="OL31" s="79"/>
      <c r="OM31" s="79"/>
      <c r="ON31" s="79"/>
      <c r="OO31" s="79"/>
      <c r="OP31" s="79"/>
      <c r="OQ31" s="79"/>
      <c r="OR31" s="79"/>
      <c r="OS31" s="79"/>
      <c r="OT31" s="79"/>
      <c r="OU31" s="79"/>
      <c r="OV31" s="79"/>
      <c r="OW31" s="79"/>
      <c r="OX31" s="79"/>
      <c r="OY31" s="79"/>
      <c r="OZ31" s="79"/>
      <c r="PA31" s="79"/>
      <c r="PB31" s="79"/>
      <c r="PC31" s="79"/>
      <c r="PD31" s="79"/>
      <c r="PE31" s="79"/>
      <c r="PF31" s="79"/>
      <c r="PG31" s="79"/>
      <c r="PH31" s="79"/>
      <c r="PI31" s="79"/>
      <c r="PJ31" s="79"/>
      <c r="PK31" s="79"/>
      <c r="PL31" s="79"/>
      <c r="PM31" s="79"/>
      <c r="PN31" s="79"/>
      <c r="PO31" s="79"/>
      <c r="PP31" s="79"/>
      <c r="PQ31" s="79"/>
      <c r="PR31" s="79"/>
      <c r="PS31" s="79"/>
      <c r="PT31" s="79"/>
      <c r="PU31" s="79"/>
      <c r="PV31" s="79"/>
      <c r="PW31" s="79"/>
      <c r="PX31" s="79"/>
      <c r="PY31" s="79"/>
      <c r="PZ31" s="79"/>
      <c r="QA31" s="79"/>
      <c r="QB31" s="79"/>
      <c r="QC31" s="79"/>
      <c r="QD31" s="79"/>
      <c r="QE31" s="79"/>
      <c r="QF31" s="79"/>
      <c r="QG31" s="79"/>
      <c r="QH31" s="79"/>
      <c r="QI31" s="79"/>
      <c r="QJ31" s="79"/>
      <c r="QK31" s="79"/>
      <c r="QL31" s="79"/>
      <c r="QM31" s="79"/>
      <c r="QN31" s="79"/>
      <c r="QO31" s="79"/>
      <c r="QP31" s="79"/>
      <c r="QQ31" s="79"/>
      <c r="QR31" s="79"/>
      <c r="QS31" s="79"/>
      <c r="QT31" s="79"/>
      <c r="QU31" s="79"/>
      <c r="QV31" s="79"/>
      <c r="QW31" s="79"/>
      <c r="QX31" s="79"/>
      <c r="QY31" s="79"/>
      <c r="QZ31" s="79"/>
      <c r="RA31" s="79"/>
      <c r="RB31" s="79"/>
      <c r="RC31" s="79"/>
      <c r="RD31" s="79"/>
      <c r="RE31" s="79"/>
      <c r="RF31" s="79"/>
      <c r="RG31" s="79"/>
      <c r="RH31" s="79"/>
      <c r="RI31" s="79"/>
      <c r="RJ31" s="79"/>
      <c r="RK31" s="79"/>
      <c r="RL31" s="79"/>
      <c r="RM31" s="79"/>
      <c r="RN31" s="79"/>
      <c r="RO31" s="79"/>
      <c r="RP31" s="79"/>
      <c r="RQ31" s="79"/>
      <c r="RR31" s="79"/>
      <c r="RS31" s="79"/>
      <c r="RT31" s="79"/>
      <c r="RU31" s="79"/>
      <c r="RV31" s="79"/>
      <c r="RW31" s="79"/>
      <c r="RX31" s="79"/>
      <c r="RY31" s="79"/>
      <c r="RZ31" s="79"/>
      <c r="SA31" s="79"/>
      <c r="SB31" s="79"/>
      <c r="SC31" s="79"/>
      <c r="SD31" s="79"/>
      <c r="SE31" s="79"/>
      <c r="SF31" s="79"/>
      <c r="SG31" s="79"/>
      <c r="SH31" s="79"/>
      <c r="SI31" s="79"/>
      <c r="SJ31" s="79"/>
    </row>
    <row r="32" spans="2:504" x14ac:dyDescent="0.25">
      <c r="B32" s="38" t="str">
        <f>'Pay App 1'!B77</f>
        <v>04 00 00</v>
      </c>
      <c r="C32" s="31" t="str">
        <f>'Pay App 1'!C77</f>
        <v>Masonry</v>
      </c>
      <c r="D32" s="82">
        <f t="shared" si="8"/>
        <v>0</v>
      </c>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c r="AF32" s="79"/>
      <c r="AG32" s="79"/>
      <c r="AH32" s="79"/>
      <c r="AI32" s="79"/>
      <c r="AJ32" s="79"/>
      <c r="AK32" s="79"/>
      <c r="AL32" s="79"/>
      <c r="AM32" s="79"/>
      <c r="AN32" s="79"/>
      <c r="AO32" s="79"/>
      <c r="AP32" s="79"/>
      <c r="AQ32" s="79"/>
      <c r="AR32" s="79"/>
      <c r="AS32" s="79"/>
      <c r="AT32" s="79"/>
      <c r="AU32" s="79"/>
      <c r="AV32" s="79"/>
      <c r="AW32" s="79"/>
      <c r="AX32" s="79"/>
      <c r="AY32" s="79"/>
      <c r="AZ32" s="79"/>
      <c r="BA32" s="79"/>
      <c r="BB32" s="79"/>
      <c r="BC32" s="79"/>
      <c r="BD32" s="79"/>
      <c r="BE32" s="79"/>
      <c r="BF32" s="79"/>
      <c r="BG32" s="79"/>
      <c r="BH32" s="79"/>
      <c r="BI32" s="79"/>
      <c r="BJ32" s="79"/>
      <c r="BK32" s="79"/>
      <c r="BL32" s="79"/>
      <c r="BM32" s="79"/>
      <c r="BN32" s="79"/>
      <c r="BO32" s="79"/>
      <c r="BP32" s="79"/>
      <c r="BQ32" s="79"/>
      <c r="BR32" s="79"/>
      <c r="BS32" s="79"/>
      <c r="BT32" s="79"/>
      <c r="BU32" s="79"/>
      <c r="BV32" s="79"/>
      <c r="BW32" s="79"/>
      <c r="BX32" s="79"/>
      <c r="BY32" s="79"/>
      <c r="BZ32" s="79"/>
      <c r="CA32" s="79"/>
      <c r="CB32" s="79"/>
      <c r="CC32" s="79"/>
      <c r="CD32" s="79"/>
      <c r="CE32" s="79"/>
      <c r="CF32" s="79"/>
      <c r="CG32" s="79"/>
      <c r="CH32" s="79"/>
      <c r="CI32" s="79"/>
      <c r="CJ32" s="79"/>
      <c r="CK32" s="79"/>
      <c r="CL32" s="79"/>
      <c r="CM32" s="79"/>
      <c r="CN32" s="79"/>
      <c r="CO32" s="79"/>
      <c r="CP32" s="79"/>
      <c r="CQ32" s="79"/>
      <c r="CR32" s="79"/>
      <c r="CS32" s="79"/>
      <c r="CT32" s="79"/>
      <c r="CU32" s="79"/>
      <c r="CV32" s="79"/>
      <c r="CW32" s="79"/>
      <c r="CX32" s="79"/>
      <c r="CY32" s="79"/>
      <c r="CZ32" s="79"/>
      <c r="DA32" s="79"/>
      <c r="DB32" s="79"/>
      <c r="DC32" s="79"/>
      <c r="DD32" s="79"/>
      <c r="DE32" s="79"/>
      <c r="DF32" s="79"/>
      <c r="DG32" s="79"/>
      <c r="DH32" s="79"/>
      <c r="DI32" s="79"/>
      <c r="DJ32" s="79"/>
      <c r="DK32" s="79"/>
      <c r="DL32" s="79"/>
      <c r="DM32" s="79"/>
      <c r="DN32" s="79"/>
      <c r="DO32" s="79"/>
      <c r="DP32" s="79"/>
      <c r="DQ32" s="79"/>
      <c r="DR32" s="79"/>
      <c r="DS32" s="79"/>
      <c r="DT32" s="79"/>
      <c r="DU32" s="79"/>
      <c r="DV32" s="79"/>
      <c r="DW32" s="79"/>
      <c r="DX32" s="79"/>
      <c r="DY32" s="79"/>
      <c r="DZ32" s="79"/>
      <c r="EA32" s="79"/>
      <c r="EB32" s="79"/>
      <c r="EC32" s="79"/>
      <c r="ED32" s="79"/>
      <c r="EE32" s="79"/>
      <c r="EF32" s="79"/>
      <c r="EG32" s="79"/>
      <c r="EH32" s="79"/>
      <c r="EI32" s="79"/>
      <c r="EJ32" s="79"/>
      <c r="EK32" s="79"/>
      <c r="EL32" s="79"/>
      <c r="EM32" s="79"/>
      <c r="EN32" s="79"/>
      <c r="EO32" s="79"/>
      <c r="EP32" s="79"/>
      <c r="EQ32" s="79"/>
      <c r="ER32" s="79"/>
      <c r="ES32" s="79"/>
      <c r="ET32" s="79"/>
      <c r="EU32" s="79"/>
      <c r="EV32" s="79"/>
      <c r="EW32" s="79"/>
      <c r="EX32" s="79"/>
      <c r="EY32" s="79"/>
      <c r="EZ32" s="79"/>
      <c r="FA32" s="79"/>
      <c r="FB32" s="79"/>
      <c r="FC32" s="79"/>
      <c r="FD32" s="79"/>
      <c r="FE32" s="79"/>
      <c r="FF32" s="79"/>
      <c r="FG32" s="79"/>
      <c r="FH32" s="79"/>
      <c r="FI32" s="79"/>
      <c r="FJ32" s="79"/>
      <c r="FK32" s="79"/>
      <c r="FL32" s="79"/>
      <c r="FM32" s="79"/>
      <c r="FN32" s="79"/>
      <c r="FO32" s="79"/>
      <c r="FP32" s="79"/>
      <c r="FQ32" s="79"/>
      <c r="FR32" s="79"/>
      <c r="FS32" s="79"/>
      <c r="FT32" s="79"/>
      <c r="FU32" s="79"/>
      <c r="FV32" s="79"/>
      <c r="FW32" s="79"/>
      <c r="FX32" s="79"/>
      <c r="FY32" s="79"/>
      <c r="FZ32" s="79"/>
      <c r="GA32" s="79"/>
      <c r="GB32" s="79"/>
      <c r="GC32" s="79"/>
      <c r="GD32" s="79"/>
      <c r="GE32" s="79"/>
      <c r="GF32" s="79"/>
      <c r="GG32" s="79"/>
      <c r="GH32" s="79"/>
      <c r="GI32" s="79"/>
      <c r="GJ32" s="79"/>
      <c r="GK32" s="79"/>
      <c r="GL32" s="79"/>
      <c r="GM32" s="79"/>
      <c r="GN32" s="79"/>
      <c r="GO32" s="79"/>
      <c r="GP32" s="79"/>
      <c r="GQ32" s="79"/>
      <c r="GR32" s="79"/>
      <c r="GS32" s="79"/>
      <c r="GT32" s="79"/>
      <c r="GU32" s="79"/>
      <c r="GV32" s="79"/>
      <c r="GW32" s="79"/>
      <c r="GX32" s="79"/>
      <c r="GY32" s="79"/>
      <c r="GZ32" s="79"/>
      <c r="HA32" s="79"/>
      <c r="HB32" s="79"/>
      <c r="HC32" s="79"/>
      <c r="HD32" s="79"/>
      <c r="HE32" s="79"/>
      <c r="HF32" s="79"/>
      <c r="HG32" s="79"/>
      <c r="HH32" s="79"/>
      <c r="HI32" s="79"/>
      <c r="HJ32" s="79"/>
      <c r="HK32" s="79"/>
      <c r="HL32" s="79"/>
      <c r="HM32" s="79"/>
      <c r="HN32" s="79"/>
      <c r="HO32" s="79"/>
      <c r="HP32" s="79"/>
      <c r="HQ32" s="79"/>
      <c r="HR32" s="79"/>
      <c r="HS32" s="79"/>
      <c r="HT32" s="79"/>
      <c r="HU32" s="79"/>
      <c r="HV32" s="79"/>
      <c r="HW32" s="79"/>
      <c r="HX32" s="79"/>
      <c r="HY32" s="79"/>
      <c r="HZ32" s="79"/>
      <c r="IA32" s="79"/>
      <c r="IB32" s="79"/>
      <c r="IC32" s="79"/>
      <c r="ID32" s="79"/>
      <c r="IE32" s="79"/>
      <c r="IF32" s="79"/>
      <c r="IG32" s="79"/>
      <c r="IH32" s="79"/>
      <c r="II32" s="79"/>
      <c r="IJ32" s="79"/>
      <c r="IK32" s="79"/>
      <c r="IL32" s="79"/>
      <c r="IM32" s="79"/>
      <c r="IN32" s="79"/>
      <c r="IO32" s="79"/>
      <c r="IP32" s="79"/>
      <c r="IQ32" s="79"/>
      <c r="IR32" s="79"/>
      <c r="IS32" s="79"/>
      <c r="IT32" s="79"/>
      <c r="IU32" s="79"/>
      <c r="IV32" s="79"/>
      <c r="IW32" s="79"/>
      <c r="IX32" s="79"/>
      <c r="IY32" s="79"/>
      <c r="IZ32" s="79"/>
      <c r="JA32" s="79"/>
      <c r="JB32" s="79"/>
      <c r="JC32" s="79"/>
      <c r="JD32" s="79"/>
      <c r="JE32" s="79"/>
      <c r="JF32" s="79"/>
      <c r="JG32" s="79"/>
      <c r="JH32" s="79"/>
      <c r="JI32" s="79"/>
      <c r="JJ32" s="79"/>
      <c r="JK32" s="79"/>
      <c r="JL32" s="79"/>
      <c r="JM32" s="79"/>
      <c r="JN32" s="79"/>
      <c r="JO32" s="79"/>
      <c r="JP32" s="79"/>
      <c r="JQ32" s="79"/>
      <c r="JR32" s="79"/>
      <c r="JS32" s="79"/>
      <c r="JT32" s="79"/>
      <c r="JU32" s="79"/>
      <c r="JV32" s="79"/>
      <c r="JW32" s="79"/>
      <c r="JX32" s="79"/>
      <c r="JY32" s="79"/>
      <c r="JZ32" s="79"/>
      <c r="KA32" s="79"/>
      <c r="KB32" s="79"/>
      <c r="KC32" s="79"/>
      <c r="KD32" s="79"/>
      <c r="KE32" s="79"/>
      <c r="KF32" s="79"/>
      <c r="KG32" s="79"/>
      <c r="KH32" s="79"/>
      <c r="KI32" s="79"/>
      <c r="KJ32" s="79"/>
      <c r="KK32" s="79"/>
      <c r="KL32" s="79"/>
      <c r="KM32" s="79"/>
      <c r="KN32" s="79"/>
      <c r="KO32" s="79"/>
      <c r="KP32" s="79"/>
      <c r="KQ32" s="79"/>
      <c r="KR32" s="79"/>
      <c r="KS32" s="79"/>
      <c r="KT32" s="79"/>
      <c r="KU32" s="79"/>
      <c r="KV32" s="79"/>
      <c r="KW32" s="79"/>
      <c r="KX32" s="79"/>
      <c r="KY32" s="79"/>
      <c r="KZ32" s="79"/>
      <c r="LA32" s="79"/>
      <c r="LB32" s="79"/>
      <c r="LC32" s="79"/>
      <c r="LD32" s="79"/>
      <c r="LE32" s="79"/>
      <c r="LF32" s="79"/>
      <c r="LG32" s="79"/>
      <c r="LH32" s="79"/>
      <c r="LI32" s="79"/>
      <c r="LJ32" s="79"/>
      <c r="LK32" s="79"/>
      <c r="LL32" s="79"/>
      <c r="LM32" s="79"/>
      <c r="LN32" s="79"/>
      <c r="LO32" s="79"/>
      <c r="LP32" s="79"/>
      <c r="LQ32" s="79"/>
      <c r="LR32" s="79"/>
      <c r="LS32" s="79"/>
      <c r="LT32" s="79"/>
      <c r="LU32" s="79"/>
      <c r="LV32" s="79"/>
      <c r="LW32" s="79"/>
      <c r="LX32" s="79"/>
      <c r="LY32" s="79"/>
      <c r="LZ32" s="79"/>
      <c r="MA32" s="79"/>
      <c r="MB32" s="79"/>
      <c r="MC32" s="79"/>
      <c r="MD32" s="79"/>
      <c r="ME32" s="79"/>
      <c r="MF32" s="79"/>
      <c r="MG32" s="79"/>
      <c r="MH32" s="79"/>
      <c r="MI32" s="79"/>
      <c r="MJ32" s="79"/>
      <c r="MK32" s="79"/>
      <c r="ML32" s="79"/>
      <c r="MM32" s="79"/>
      <c r="MN32" s="79"/>
      <c r="MO32" s="79"/>
      <c r="MP32" s="79"/>
      <c r="MQ32" s="79"/>
      <c r="MR32" s="79"/>
      <c r="MS32" s="79"/>
      <c r="MT32" s="79"/>
      <c r="MU32" s="79"/>
      <c r="MV32" s="79"/>
      <c r="MW32" s="79"/>
      <c r="MX32" s="79"/>
      <c r="MY32" s="79"/>
      <c r="MZ32" s="79"/>
      <c r="NA32" s="79"/>
      <c r="NB32" s="79"/>
      <c r="NC32" s="79"/>
      <c r="ND32" s="79"/>
      <c r="NE32" s="79"/>
      <c r="NF32" s="79"/>
      <c r="NG32" s="79"/>
      <c r="NH32" s="79"/>
      <c r="NI32" s="79"/>
      <c r="NJ32" s="79"/>
      <c r="NK32" s="79"/>
      <c r="NL32" s="79"/>
      <c r="NM32" s="79"/>
      <c r="NN32" s="79"/>
      <c r="NO32" s="79"/>
      <c r="NP32" s="79"/>
      <c r="NQ32" s="79"/>
      <c r="NR32" s="79"/>
      <c r="NS32" s="79"/>
      <c r="NT32" s="79"/>
      <c r="NU32" s="79"/>
      <c r="NV32" s="79"/>
      <c r="NW32" s="79"/>
      <c r="NX32" s="79"/>
      <c r="NY32" s="79"/>
      <c r="NZ32" s="79"/>
      <c r="OA32" s="79"/>
      <c r="OB32" s="79"/>
      <c r="OC32" s="79"/>
      <c r="OD32" s="79"/>
      <c r="OE32" s="79"/>
      <c r="OF32" s="79"/>
      <c r="OG32" s="79"/>
      <c r="OH32" s="79"/>
      <c r="OI32" s="79"/>
      <c r="OJ32" s="79"/>
      <c r="OK32" s="79"/>
      <c r="OL32" s="79"/>
      <c r="OM32" s="79"/>
      <c r="ON32" s="79"/>
      <c r="OO32" s="79"/>
      <c r="OP32" s="79"/>
      <c r="OQ32" s="79"/>
      <c r="OR32" s="79"/>
      <c r="OS32" s="79"/>
      <c r="OT32" s="79"/>
      <c r="OU32" s="79"/>
      <c r="OV32" s="79"/>
      <c r="OW32" s="79"/>
      <c r="OX32" s="79"/>
      <c r="OY32" s="79"/>
      <c r="OZ32" s="79"/>
      <c r="PA32" s="79"/>
      <c r="PB32" s="79"/>
      <c r="PC32" s="79"/>
      <c r="PD32" s="79"/>
      <c r="PE32" s="79"/>
      <c r="PF32" s="79"/>
      <c r="PG32" s="79"/>
      <c r="PH32" s="79"/>
      <c r="PI32" s="79"/>
      <c r="PJ32" s="79"/>
      <c r="PK32" s="79"/>
      <c r="PL32" s="79"/>
      <c r="PM32" s="79"/>
      <c r="PN32" s="79"/>
      <c r="PO32" s="79"/>
      <c r="PP32" s="79"/>
      <c r="PQ32" s="79"/>
      <c r="PR32" s="79"/>
      <c r="PS32" s="79"/>
      <c r="PT32" s="79"/>
      <c r="PU32" s="79"/>
      <c r="PV32" s="79"/>
      <c r="PW32" s="79"/>
      <c r="PX32" s="79"/>
      <c r="PY32" s="79"/>
      <c r="PZ32" s="79"/>
      <c r="QA32" s="79"/>
      <c r="QB32" s="79"/>
      <c r="QC32" s="79"/>
      <c r="QD32" s="79"/>
      <c r="QE32" s="79"/>
      <c r="QF32" s="79"/>
      <c r="QG32" s="79"/>
      <c r="QH32" s="79"/>
      <c r="QI32" s="79"/>
      <c r="QJ32" s="79"/>
      <c r="QK32" s="79"/>
      <c r="QL32" s="79"/>
      <c r="QM32" s="79"/>
      <c r="QN32" s="79"/>
      <c r="QO32" s="79"/>
      <c r="QP32" s="79"/>
      <c r="QQ32" s="79"/>
      <c r="QR32" s="79"/>
      <c r="QS32" s="79"/>
      <c r="QT32" s="79"/>
      <c r="QU32" s="79"/>
      <c r="QV32" s="79"/>
      <c r="QW32" s="79"/>
      <c r="QX32" s="79"/>
      <c r="QY32" s="79"/>
      <c r="QZ32" s="79"/>
      <c r="RA32" s="79"/>
      <c r="RB32" s="79"/>
      <c r="RC32" s="79"/>
      <c r="RD32" s="79"/>
      <c r="RE32" s="79"/>
      <c r="RF32" s="79"/>
      <c r="RG32" s="79"/>
      <c r="RH32" s="79"/>
      <c r="RI32" s="79"/>
      <c r="RJ32" s="79"/>
      <c r="RK32" s="79"/>
      <c r="RL32" s="79"/>
      <c r="RM32" s="79"/>
      <c r="RN32" s="79"/>
      <c r="RO32" s="79"/>
      <c r="RP32" s="79"/>
      <c r="RQ32" s="79"/>
      <c r="RR32" s="79"/>
      <c r="RS32" s="79"/>
      <c r="RT32" s="79"/>
      <c r="RU32" s="79"/>
      <c r="RV32" s="79"/>
      <c r="RW32" s="79"/>
      <c r="RX32" s="79"/>
      <c r="RY32" s="79"/>
      <c r="RZ32" s="79"/>
      <c r="SA32" s="79"/>
      <c r="SB32" s="79"/>
      <c r="SC32" s="79"/>
      <c r="SD32" s="79"/>
      <c r="SE32" s="79"/>
      <c r="SF32" s="79"/>
      <c r="SG32" s="79"/>
      <c r="SH32" s="79"/>
      <c r="SI32" s="79"/>
      <c r="SJ32" s="79"/>
    </row>
    <row r="33" spans="2:504" x14ac:dyDescent="0.25">
      <c r="B33" s="38" t="str">
        <f>'Pay App 1'!B78</f>
        <v>04 05 19</v>
      </c>
      <c r="C33" s="31" t="str">
        <f>'Pay App 1'!C78</f>
        <v>Masonry Reinforcing</v>
      </c>
      <c r="D33" s="82">
        <f t="shared" si="8"/>
        <v>0</v>
      </c>
      <c r="E33" s="79"/>
      <c r="F33" s="79"/>
      <c r="G33" s="79"/>
      <c r="H33" s="79"/>
      <c r="I33" s="79"/>
      <c r="J33" s="79"/>
      <c r="K33" s="79"/>
      <c r="L33" s="79"/>
      <c r="M33" s="79"/>
      <c r="N33" s="79"/>
      <c r="O33" s="79"/>
      <c r="P33" s="79"/>
      <c r="Q33" s="79"/>
      <c r="R33" s="79"/>
      <c r="S33" s="79"/>
      <c r="T33" s="79"/>
      <c r="U33" s="79"/>
      <c r="V33" s="79"/>
      <c r="W33" s="79"/>
      <c r="X33" s="79"/>
      <c r="Y33" s="79"/>
      <c r="Z33" s="79"/>
      <c r="AA33" s="79"/>
      <c r="AB33" s="79"/>
      <c r="AC33" s="79"/>
      <c r="AD33" s="79"/>
      <c r="AE33" s="79"/>
      <c r="AF33" s="79"/>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79"/>
      <c r="CK33" s="79"/>
      <c r="CL33" s="79"/>
      <c r="CM33" s="79"/>
      <c r="CN33" s="79"/>
      <c r="CO33" s="79"/>
      <c r="CP33" s="79"/>
      <c r="CQ33" s="79"/>
      <c r="CR33" s="79"/>
      <c r="CS33" s="79"/>
      <c r="CT33" s="79"/>
      <c r="CU33" s="79"/>
      <c r="CV33" s="79"/>
      <c r="CW33" s="79"/>
      <c r="CX33" s="79"/>
      <c r="CY33" s="79"/>
      <c r="CZ33" s="79"/>
      <c r="DA33" s="79"/>
      <c r="DB33" s="79"/>
      <c r="DC33" s="79"/>
      <c r="DD33" s="79"/>
      <c r="DE33" s="79"/>
      <c r="DF33" s="79"/>
      <c r="DG33" s="79"/>
      <c r="DH33" s="79"/>
      <c r="DI33" s="79"/>
      <c r="DJ33" s="79"/>
      <c r="DK33" s="79"/>
      <c r="DL33" s="79"/>
      <c r="DM33" s="79"/>
      <c r="DN33" s="79"/>
      <c r="DO33" s="79"/>
      <c r="DP33" s="79"/>
      <c r="DQ33" s="79"/>
      <c r="DR33" s="79"/>
      <c r="DS33" s="79"/>
      <c r="DT33" s="79"/>
      <c r="DU33" s="79"/>
      <c r="DV33" s="79"/>
      <c r="DW33" s="79"/>
      <c r="DX33" s="79"/>
      <c r="DY33" s="79"/>
      <c r="DZ33" s="79"/>
      <c r="EA33" s="79"/>
      <c r="EB33" s="79"/>
      <c r="EC33" s="79"/>
      <c r="ED33" s="79"/>
      <c r="EE33" s="79"/>
      <c r="EF33" s="79"/>
      <c r="EG33" s="79"/>
      <c r="EH33" s="79"/>
      <c r="EI33" s="79"/>
      <c r="EJ33" s="79"/>
      <c r="EK33" s="79"/>
      <c r="EL33" s="79"/>
      <c r="EM33" s="79"/>
      <c r="EN33" s="79"/>
      <c r="EO33" s="79"/>
      <c r="EP33" s="79"/>
      <c r="EQ33" s="79"/>
      <c r="ER33" s="79"/>
      <c r="ES33" s="79"/>
      <c r="ET33" s="79"/>
      <c r="EU33" s="79"/>
      <c r="EV33" s="79"/>
      <c r="EW33" s="79"/>
      <c r="EX33" s="79"/>
      <c r="EY33" s="79"/>
      <c r="EZ33" s="79"/>
      <c r="FA33" s="79"/>
      <c r="FB33" s="79"/>
      <c r="FC33" s="79"/>
      <c r="FD33" s="79"/>
      <c r="FE33" s="79"/>
      <c r="FF33" s="79"/>
      <c r="FG33" s="79"/>
      <c r="FH33" s="79"/>
      <c r="FI33" s="79"/>
      <c r="FJ33" s="79"/>
      <c r="FK33" s="79"/>
      <c r="FL33" s="79"/>
      <c r="FM33" s="79"/>
      <c r="FN33" s="79"/>
      <c r="FO33" s="79"/>
      <c r="FP33" s="79"/>
      <c r="FQ33" s="79"/>
      <c r="FR33" s="79"/>
      <c r="FS33" s="79"/>
      <c r="FT33" s="79"/>
      <c r="FU33" s="79"/>
      <c r="FV33" s="79"/>
      <c r="FW33" s="79"/>
      <c r="FX33" s="79"/>
      <c r="FY33" s="79"/>
      <c r="FZ33" s="79"/>
      <c r="GA33" s="79"/>
      <c r="GB33" s="79"/>
      <c r="GC33" s="79"/>
      <c r="GD33" s="79"/>
      <c r="GE33" s="79"/>
      <c r="GF33" s="79"/>
      <c r="GG33" s="79"/>
      <c r="GH33" s="79"/>
      <c r="GI33" s="79"/>
      <c r="GJ33" s="79"/>
      <c r="GK33" s="79"/>
      <c r="GL33" s="79"/>
      <c r="GM33" s="79"/>
      <c r="GN33" s="79"/>
      <c r="GO33" s="79"/>
      <c r="GP33" s="79"/>
      <c r="GQ33" s="79"/>
      <c r="GR33" s="79"/>
      <c r="GS33" s="79"/>
      <c r="GT33" s="79"/>
      <c r="GU33" s="79"/>
      <c r="GV33" s="79"/>
      <c r="GW33" s="79"/>
      <c r="GX33" s="79"/>
      <c r="GY33" s="79"/>
      <c r="GZ33" s="79"/>
      <c r="HA33" s="79"/>
      <c r="HB33" s="79"/>
      <c r="HC33" s="79"/>
      <c r="HD33" s="79"/>
      <c r="HE33" s="79"/>
      <c r="HF33" s="79"/>
      <c r="HG33" s="79"/>
      <c r="HH33" s="79"/>
      <c r="HI33" s="79"/>
      <c r="HJ33" s="79"/>
      <c r="HK33" s="79"/>
      <c r="HL33" s="79"/>
      <c r="HM33" s="79"/>
      <c r="HN33" s="79"/>
      <c r="HO33" s="79"/>
      <c r="HP33" s="79"/>
      <c r="HQ33" s="79"/>
      <c r="HR33" s="79"/>
      <c r="HS33" s="79"/>
      <c r="HT33" s="79"/>
      <c r="HU33" s="79"/>
      <c r="HV33" s="79"/>
      <c r="HW33" s="79"/>
      <c r="HX33" s="79"/>
      <c r="HY33" s="79"/>
      <c r="HZ33" s="79"/>
      <c r="IA33" s="79"/>
      <c r="IB33" s="79"/>
      <c r="IC33" s="79"/>
      <c r="ID33" s="79"/>
      <c r="IE33" s="79"/>
      <c r="IF33" s="79"/>
      <c r="IG33" s="79"/>
      <c r="IH33" s="79"/>
      <c r="II33" s="79"/>
      <c r="IJ33" s="79"/>
      <c r="IK33" s="79"/>
      <c r="IL33" s="79"/>
      <c r="IM33" s="79"/>
      <c r="IN33" s="79"/>
      <c r="IO33" s="79"/>
      <c r="IP33" s="79"/>
      <c r="IQ33" s="79"/>
      <c r="IR33" s="79"/>
      <c r="IS33" s="79"/>
      <c r="IT33" s="79"/>
      <c r="IU33" s="79"/>
      <c r="IV33" s="79"/>
      <c r="IW33" s="79"/>
      <c r="IX33" s="79"/>
      <c r="IY33" s="79"/>
      <c r="IZ33" s="79"/>
      <c r="JA33" s="79"/>
      <c r="JB33" s="79"/>
      <c r="JC33" s="79"/>
      <c r="JD33" s="79"/>
      <c r="JE33" s="79"/>
      <c r="JF33" s="79"/>
      <c r="JG33" s="79"/>
      <c r="JH33" s="79"/>
      <c r="JI33" s="79"/>
      <c r="JJ33" s="79"/>
      <c r="JK33" s="79"/>
      <c r="JL33" s="79"/>
      <c r="JM33" s="79"/>
      <c r="JN33" s="79"/>
      <c r="JO33" s="79"/>
      <c r="JP33" s="79"/>
      <c r="JQ33" s="79"/>
      <c r="JR33" s="79"/>
      <c r="JS33" s="79"/>
      <c r="JT33" s="79"/>
      <c r="JU33" s="79"/>
      <c r="JV33" s="79"/>
      <c r="JW33" s="79"/>
      <c r="JX33" s="79"/>
      <c r="JY33" s="79"/>
      <c r="JZ33" s="79"/>
      <c r="KA33" s="79"/>
      <c r="KB33" s="79"/>
      <c r="KC33" s="79"/>
      <c r="KD33" s="79"/>
      <c r="KE33" s="79"/>
      <c r="KF33" s="79"/>
      <c r="KG33" s="79"/>
      <c r="KH33" s="79"/>
      <c r="KI33" s="79"/>
      <c r="KJ33" s="79"/>
      <c r="KK33" s="79"/>
      <c r="KL33" s="79"/>
      <c r="KM33" s="79"/>
      <c r="KN33" s="79"/>
      <c r="KO33" s="79"/>
      <c r="KP33" s="79"/>
      <c r="KQ33" s="79"/>
      <c r="KR33" s="79"/>
      <c r="KS33" s="79"/>
      <c r="KT33" s="79"/>
      <c r="KU33" s="79"/>
      <c r="KV33" s="79"/>
      <c r="KW33" s="79"/>
      <c r="KX33" s="79"/>
      <c r="KY33" s="79"/>
      <c r="KZ33" s="79"/>
      <c r="LA33" s="79"/>
      <c r="LB33" s="79"/>
      <c r="LC33" s="79"/>
      <c r="LD33" s="79"/>
      <c r="LE33" s="79"/>
      <c r="LF33" s="79"/>
      <c r="LG33" s="79"/>
      <c r="LH33" s="79"/>
      <c r="LI33" s="79"/>
      <c r="LJ33" s="79"/>
      <c r="LK33" s="79"/>
      <c r="LL33" s="79"/>
      <c r="LM33" s="79"/>
      <c r="LN33" s="79"/>
      <c r="LO33" s="79"/>
      <c r="LP33" s="79"/>
      <c r="LQ33" s="79"/>
      <c r="LR33" s="79"/>
      <c r="LS33" s="79"/>
      <c r="LT33" s="79"/>
      <c r="LU33" s="79"/>
      <c r="LV33" s="79"/>
      <c r="LW33" s="79"/>
      <c r="LX33" s="79"/>
      <c r="LY33" s="79"/>
      <c r="LZ33" s="79"/>
      <c r="MA33" s="79"/>
      <c r="MB33" s="79"/>
      <c r="MC33" s="79"/>
      <c r="MD33" s="79"/>
      <c r="ME33" s="79"/>
      <c r="MF33" s="79"/>
      <c r="MG33" s="79"/>
      <c r="MH33" s="79"/>
      <c r="MI33" s="79"/>
      <c r="MJ33" s="79"/>
      <c r="MK33" s="79"/>
      <c r="ML33" s="79"/>
      <c r="MM33" s="79"/>
      <c r="MN33" s="79"/>
      <c r="MO33" s="79"/>
      <c r="MP33" s="79"/>
      <c r="MQ33" s="79"/>
      <c r="MR33" s="79"/>
      <c r="MS33" s="79"/>
      <c r="MT33" s="79"/>
      <c r="MU33" s="79"/>
      <c r="MV33" s="79"/>
      <c r="MW33" s="79"/>
      <c r="MX33" s="79"/>
      <c r="MY33" s="79"/>
      <c r="MZ33" s="79"/>
      <c r="NA33" s="79"/>
      <c r="NB33" s="79"/>
      <c r="NC33" s="79"/>
      <c r="ND33" s="79"/>
      <c r="NE33" s="79"/>
      <c r="NF33" s="79"/>
      <c r="NG33" s="79"/>
      <c r="NH33" s="79"/>
      <c r="NI33" s="79"/>
      <c r="NJ33" s="79"/>
      <c r="NK33" s="79"/>
      <c r="NL33" s="79"/>
      <c r="NM33" s="79"/>
      <c r="NN33" s="79"/>
      <c r="NO33" s="79"/>
      <c r="NP33" s="79"/>
      <c r="NQ33" s="79"/>
      <c r="NR33" s="79"/>
      <c r="NS33" s="79"/>
      <c r="NT33" s="79"/>
      <c r="NU33" s="79"/>
      <c r="NV33" s="79"/>
      <c r="NW33" s="79"/>
      <c r="NX33" s="79"/>
      <c r="NY33" s="79"/>
      <c r="NZ33" s="79"/>
      <c r="OA33" s="79"/>
      <c r="OB33" s="79"/>
      <c r="OC33" s="79"/>
      <c r="OD33" s="79"/>
      <c r="OE33" s="79"/>
      <c r="OF33" s="79"/>
      <c r="OG33" s="79"/>
      <c r="OH33" s="79"/>
      <c r="OI33" s="79"/>
      <c r="OJ33" s="79"/>
      <c r="OK33" s="79"/>
      <c r="OL33" s="79"/>
      <c r="OM33" s="79"/>
      <c r="ON33" s="79"/>
      <c r="OO33" s="79"/>
      <c r="OP33" s="79"/>
      <c r="OQ33" s="79"/>
      <c r="OR33" s="79"/>
      <c r="OS33" s="79"/>
      <c r="OT33" s="79"/>
      <c r="OU33" s="79"/>
      <c r="OV33" s="79"/>
      <c r="OW33" s="79"/>
      <c r="OX33" s="79"/>
      <c r="OY33" s="79"/>
      <c r="OZ33" s="79"/>
      <c r="PA33" s="79"/>
      <c r="PB33" s="79"/>
      <c r="PC33" s="79"/>
      <c r="PD33" s="79"/>
      <c r="PE33" s="79"/>
      <c r="PF33" s="79"/>
      <c r="PG33" s="79"/>
      <c r="PH33" s="79"/>
      <c r="PI33" s="79"/>
      <c r="PJ33" s="79"/>
      <c r="PK33" s="79"/>
      <c r="PL33" s="79"/>
      <c r="PM33" s="79"/>
      <c r="PN33" s="79"/>
      <c r="PO33" s="79"/>
      <c r="PP33" s="79"/>
      <c r="PQ33" s="79"/>
      <c r="PR33" s="79"/>
      <c r="PS33" s="79"/>
      <c r="PT33" s="79"/>
      <c r="PU33" s="79"/>
      <c r="PV33" s="79"/>
      <c r="PW33" s="79"/>
      <c r="PX33" s="79"/>
      <c r="PY33" s="79"/>
      <c r="PZ33" s="79"/>
      <c r="QA33" s="79"/>
      <c r="QB33" s="79"/>
      <c r="QC33" s="79"/>
      <c r="QD33" s="79"/>
      <c r="QE33" s="79"/>
      <c r="QF33" s="79"/>
      <c r="QG33" s="79"/>
      <c r="QH33" s="79"/>
      <c r="QI33" s="79"/>
      <c r="QJ33" s="79"/>
      <c r="QK33" s="79"/>
      <c r="QL33" s="79"/>
      <c r="QM33" s="79"/>
      <c r="QN33" s="79"/>
      <c r="QO33" s="79"/>
      <c r="QP33" s="79"/>
      <c r="QQ33" s="79"/>
      <c r="QR33" s="79"/>
      <c r="QS33" s="79"/>
      <c r="QT33" s="79"/>
      <c r="QU33" s="79"/>
      <c r="QV33" s="79"/>
      <c r="QW33" s="79"/>
      <c r="QX33" s="79"/>
      <c r="QY33" s="79"/>
      <c r="QZ33" s="79"/>
      <c r="RA33" s="79"/>
      <c r="RB33" s="79"/>
      <c r="RC33" s="79"/>
      <c r="RD33" s="79"/>
      <c r="RE33" s="79"/>
      <c r="RF33" s="79"/>
      <c r="RG33" s="79"/>
      <c r="RH33" s="79"/>
      <c r="RI33" s="79"/>
      <c r="RJ33" s="79"/>
      <c r="RK33" s="79"/>
      <c r="RL33" s="79"/>
      <c r="RM33" s="79"/>
      <c r="RN33" s="79"/>
      <c r="RO33" s="79"/>
      <c r="RP33" s="79"/>
      <c r="RQ33" s="79"/>
      <c r="RR33" s="79"/>
      <c r="RS33" s="79"/>
      <c r="RT33" s="79"/>
      <c r="RU33" s="79"/>
      <c r="RV33" s="79"/>
      <c r="RW33" s="79"/>
      <c r="RX33" s="79"/>
      <c r="RY33" s="79"/>
      <c r="RZ33" s="79"/>
      <c r="SA33" s="79"/>
      <c r="SB33" s="79"/>
      <c r="SC33" s="79"/>
      <c r="SD33" s="79"/>
      <c r="SE33" s="79"/>
      <c r="SF33" s="79"/>
      <c r="SG33" s="79"/>
      <c r="SH33" s="79"/>
      <c r="SI33" s="79"/>
      <c r="SJ33" s="79"/>
    </row>
    <row r="34" spans="2:504" x14ac:dyDescent="0.25">
      <c r="B34" s="40" t="str">
        <f>'Pay App 1'!B79</f>
        <v>05 10 00</v>
      </c>
      <c r="C34" s="32" t="str">
        <f>'Pay App 1'!C79</f>
        <v>Structural Steel/Misc. Steel Fab</v>
      </c>
      <c r="D34" s="82">
        <f t="shared" si="8"/>
        <v>0</v>
      </c>
      <c r="E34" s="80"/>
      <c r="F34" s="80"/>
      <c r="G34" s="80"/>
      <c r="H34" s="80"/>
      <c r="I34" s="80"/>
      <c r="J34" s="80"/>
      <c r="K34" s="80"/>
      <c r="L34" s="80"/>
      <c r="M34" s="80"/>
      <c r="N34" s="80"/>
      <c r="O34" s="80"/>
      <c r="P34" s="80"/>
      <c r="Q34" s="80"/>
      <c r="R34" s="80"/>
      <c r="S34" s="80"/>
      <c r="T34" s="80"/>
      <c r="U34" s="80"/>
      <c r="V34" s="80"/>
      <c r="W34" s="80"/>
      <c r="X34" s="80"/>
      <c r="Y34" s="80"/>
      <c r="Z34" s="80"/>
      <c r="AA34" s="80"/>
      <c r="AB34" s="80"/>
      <c r="AC34" s="80"/>
      <c r="AD34" s="80"/>
      <c r="AE34" s="80"/>
      <c r="AF34" s="80"/>
      <c r="AG34" s="80"/>
      <c r="AH34" s="80"/>
      <c r="AI34" s="80"/>
      <c r="AJ34" s="80"/>
      <c r="AK34" s="80"/>
      <c r="AL34" s="80"/>
      <c r="AM34" s="80"/>
      <c r="AN34" s="80"/>
      <c r="AO34" s="80"/>
      <c r="AP34" s="80"/>
      <c r="AQ34" s="80"/>
      <c r="AR34" s="80"/>
      <c r="AS34" s="80"/>
      <c r="AT34" s="80"/>
      <c r="AU34" s="80"/>
      <c r="AV34" s="80"/>
      <c r="AW34" s="80"/>
      <c r="AX34" s="80"/>
      <c r="AY34" s="80"/>
      <c r="AZ34" s="80"/>
      <c r="BA34" s="80"/>
      <c r="BB34" s="80"/>
      <c r="BC34" s="80"/>
      <c r="BD34" s="80"/>
      <c r="BE34" s="80"/>
      <c r="BF34" s="80"/>
      <c r="BG34" s="80"/>
      <c r="BH34" s="80"/>
      <c r="BI34" s="80"/>
      <c r="BJ34" s="80"/>
      <c r="BK34" s="80"/>
      <c r="BL34" s="80"/>
      <c r="BM34" s="80"/>
      <c r="BN34" s="80"/>
      <c r="BO34" s="80"/>
      <c r="BP34" s="80"/>
      <c r="BQ34" s="80"/>
      <c r="BR34" s="80"/>
      <c r="BS34" s="80"/>
      <c r="BT34" s="80"/>
      <c r="BU34" s="80"/>
      <c r="BV34" s="80"/>
      <c r="BW34" s="80"/>
      <c r="BX34" s="80"/>
      <c r="BY34" s="80"/>
      <c r="BZ34" s="80"/>
      <c r="CA34" s="80"/>
      <c r="CB34" s="80"/>
      <c r="CC34" s="80"/>
      <c r="CD34" s="80"/>
      <c r="CE34" s="80"/>
      <c r="CF34" s="80"/>
      <c r="CG34" s="80"/>
      <c r="CH34" s="80"/>
      <c r="CI34" s="80"/>
      <c r="CJ34" s="80"/>
      <c r="CK34" s="80"/>
      <c r="CL34" s="80"/>
      <c r="CM34" s="80"/>
      <c r="CN34" s="80"/>
      <c r="CO34" s="80"/>
      <c r="CP34" s="80"/>
      <c r="CQ34" s="80"/>
      <c r="CR34" s="80"/>
      <c r="CS34" s="80"/>
      <c r="CT34" s="80"/>
      <c r="CU34" s="80"/>
      <c r="CV34" s="80"/>
      <c r="CW34" s="80"/>
      <c r="CX34" s="80"/>
      <c r="CY34" s="80"/>
      <c r="CZ34" s="80"/>
      <c r="DA34" s="80"/>
      <c r="DB34" s="80"/>
      <c r="DC34" s="80"/>
      <c r="DD34" s="80"/>
      <c r="DE34" s="80"/>
      <c r="DF34" s="80"/>
      <c r="DG34" s="80"/>
      <c r="DH34" s="80"/>
      <c r="DI34" s="80"/>
      <c r="DJ34" s="80"/>
      <c r="DK34" s="80"/>
      <c r="DL34" s="80"/>
      <c r="DM34" s="80"/>
      <c r="DN34" s="80"/>
      <c r="DO34" s="80"/>
      <c r="DP34" s="80"/>
      <c r="DQ34" s="80"/>
      <c r="DR34" s="80"/>
      <c r="DS34" s="80"/>
      <c r="DT34" s="80"/>
      <c r="DU34" s="80"/>
      <c r="DV34" s="80"/>
      <c r="DW34" s="80"/>
      <c r="DX34" s="80"/>
      <c r="DY34" s="80"/>
      <c r="DZ34" s="80"/>
      <c r="EA34" s="80"/>
      <c r="EB34" s="80"/>
      <c r="EC34" s="80"/>
      <c r="ED34" s="80"/>
      <c r="EE34" s="80"/>
      <c r="EF34" s="80"/>
      <c r="EG34" s="80"/>
      <c r="EH34" s="80"/>
      <c r="EI34" s="80"/>
      <c r="EJ34" s="80"/>
      <c r="EK34" s="80"/>
      <c r="EL34" s="80"/>
      <c r="EM34" s="80"/>
      <c r="EN34" s="80"/>
      <c r="EO34" s="80"/>
      <c r="EP34" s="80"/>
      <c r="EQ34" s="80"/>
      <c r="ER34" s="80"/>
      <c r="ES34" s="80"/>
      <c r="ET34" s="80"/>
      <c r="EU34" s="80"/>
      <c r="EV34" s="80"/>
      <c r="EW34" s="80"/>
      <c r="EX34" s="80"/>
      <c r="EY34" s="80"/>
      <c r="EZ34" s="80"/>
      <c r="FA34" s="80"/>
      <c r="FB34" s="80"/>
      <c r="FC34" s="80"/>
      <c r="FD34" s="80"/>
      <c r="FE34" s="80"/>
      <c r="FF34" s="80"/>
      <c r="FG34" s="80"/>
      <c r="FH34" s="80"/>
      <c r="FI34" s="80"/>
      <c r="FJ34" s="80"/>
      <c r="FK34" s="80"/>
      <c r="FL34" s="80"/>
      <c r="FM34" s="80"/>
      <c r="FN34" s="80"/>
      <c r="FO34" s="80"/>
      <c r="FP34" s="80"/>
      <c r="FQ34" s="80"/>
      <c r="FR34" s="80"/>
      <c r="FS34" s="80"/>
      <c r="FT34" s="80"/>
      <c r="FU34" s="80"/>
      <c r="FV34" s="80"/>
      <c r="FW34" s="80"/>
      <c r="FX34" s="80"/>
      <c r="FY34" s="80"/>
      <c r="FZ34" s="80"/>
      <c r="GA34" s="80"/>
      <c r="GB34" s="80"/>
      <c r="GC34" s="80"/>
      <c r="GD34" s="80"/>
      <c r="GE34" s="80"/>
      <c r="GF34" s="80"/>
      <c r="GG34" s="80"/>
      <c r="GH34" s="80"/>
      <c r="GI34" s="80"/>
      <c r="GJ34" s="80"/>
      <c r="GK34" s="80"/>
      <c r="GL34" s="80"/>
      <c r="GM34" s="80"/>
      <c r="GN34" s="80"/>
      <c r="GO34" s="80"/>
      <c r="GP34" s="80"/>
      <c r="GQ34" s="80"/>
      <c r="GR34" s="80"/>
      <c r="GS34" s="80"/>
      <c r="GT34" s="80"/>
      <c r="GU34" s="80"/>
      <c r="GV34" s="80"/>
      <c r="GW34" s="80"/>
      <c r="GX34" s="80"/>
      <c r="GY34" s="80"/>
      <c r="GZ34" s="80"/>
      <c r="HA34" s="80"/>
      <c r="HB34" s="80"/>
      <c r="HC34" s="80"/>
      <c r="HD34" s="80"/>
      <c r="HE34" s="80"/>
      <c r="HF34" s="80"/>
      <c r="HG34" s="80"/>
      <c r="HH34" s="80"/>
      <c r="HI34" s="80"/>
      <c r="HJ34" s="80"/>
      <c r="HK34" s="80"/>
      <c r="HL34" s="80"/>
      <c r="HM34" s="80"/>
      <c r="HN34" s="80"/>
      <c r="HO34" s="80"/>
      <c r="HP34" s="80"/>
      <c r="HQ34" s="80"/>
      <c r="HR34" s="80"/>
      <c r="HS34" s="80"/>
      <c r="HT34" s="80"/>
      <c r="HU34" s="80"/>
      <c r="HV34" s="80"/>
      <c r="HW34" s="80"/>
      <c r="HX34" s="80"/>
      <c r="HY34" s="80"/>
      <c r="HZ34" s="80"/>
      <c r="IA34" s="80"/>
      <c r="IB34" s="80"/>
      <c r="IC34" s="80"/>
      <c r="ID34" s="80"/>
      <c r="IE34" s="80"/>
      <c r="IF34" s="80"/>
      <c r="IG34" s="80"/>
      <c r="IH34" s="80"/>
      <c r="II34" s="80"/>
      <c r="IJ34" s="80"/>
      <c r="IK34" s="80"/>
      <c r="IL34" s="80"/>
      <c r="IM34" s="80"/>
      <c r="IN34" s="80"/>
      <c r="IO34" s="80"/>
      <c r="IP34" s="80"/>
      <c r="IQ34" s="80"/>
      <c r="IR34" s="80"/>
      <c r="IS34" s="80"/>
      <c r="IT34" s="80"/>
      <c r="IU34" s="80"/>
      <c r="IV34" s="80"/>
      <c r="IW34" s="80"/>
      <c r="IX34" s="80"/>
      <c r="IY34" s="80"/>
      <c r="IZ34" s="80"/>
      <c r="JA34" s="80"/>
      <c r="JB34" s="80"/>
      <c r="JC34" s="80"/>
      <c r="JD34" s="80"/>
      <c r="JE34" s="80"/>
      <c r="JF34" s="80"/>
      <c r="JG34" s="80"/>
      <c r="JH34" s="80"/>
      <c r="JI34" s="80"/>
      <c r="JJ34" s="80"/>
      <c r="JK34" s="80"/>
      <c r="JL34" s="80"/>
      <c r="JM34" s="80"/>
      <c r="JN34" s="80"/>
      <c r="JO34" s="80"/>
      <c r="JP34" s="80"/>
      <c r="JQ34" s="80"/>
      <c r="JR34" s="80"/>
      <c r="JS34" s="80"/>
      <c r="JT34" s="80"/>
      <c r="JU34" s="80"/>
      <c r="JV34" s="80"/>
      <c r="JW34" s="80"/>
      <c r="JX34" s="80"/>
      <c r="JY34" s="80"/>
      <c r="JZ34" s="80"/>
      <c r="KA34" s="80"/>
      <c r="KB34" s="80"/>
      <c r="KC34" s="80"/>
      <c r="KD34" s="80"/>
      <c r="KE34" s="80"/>
      <c r="KF34" s="80"/>
      <c r="KG34" s="80"/>
      <c r="KH34" s="80"/>
      <c r="KI34" s="80"/>
      <c r="KJ34" s="80"/>
      <c r="KK34" s="80"/>
      <c r="KL34" s="80"/>
      <c r="KM34" s="80"/>
      <c r="KN34" s="80"/>
      <c r="KO34" s="80"/>
      <c r="KP34" s="80"/>
      <c r="KQ34" s="80"/>
      <c r="KR34" s="80"/>
      <c r="KS34" s="80"/>
      <c r="KT34" s="80"/>
      <c r="KU34" s="80"/>
      <c r="KV34" s="80"/>
      <c r="KW34" s="80"/>
      <c r="KX34" s="80"/>
      <c r="KY34" s="80"/>
      <c r="KZ34" s="80"/>
      <c r="LA34" s="80"/>
      <c r="LB34" s="80"/>
      <c r="LC34" s="80"/>
      <c r="LD34" s="80"/>
      <c r="LE34" s="80"/>
      <c r="LF34" s="80"/>
      <c r="LG34" s="80"/>
      <c r="LH34" s="80"/>
      <c r="LI34" s="80"/>
      <c r="LJ34" s="80"/>
      <c r="LK34" s="80"/>
      <c r="LL34" s="80"/>
      <c r="LM34" s="80"/>
      <c r="LN34" s="80"/>
      <c r="LO34" s="80"/>
      <c r="LP34" s="80"/>
      <c r="LQ34" s="80"/>
      <c r="LR34" s="80"/>
      <c r="LS34" s="80"/>
      <c r="LT34" s="80"/>
      <c r="LU34" s="80"/>
      <c r="LV34" s="80"/>
      <c r="LW34" s="80"/>
      <c r="LX34" s="80"/>
      <c r="LY34" s="80"/>
      <c r="LZ34" s="80"/>
      <c r="MA34" s="80"/>
      <c r="MB34" s="80"/>
      <c r="MC34" s="80"/>
      <c r="MD34" s="80"/>
      <c r="ME34" s="80"/>
      <c r="MF34" s="80"/>
      <c r="MG34" s="80"/>
      <c r="MH34" s="80"/>
      <c r="MI34" s="80"/>
      <c r="MJ34" s="80"/>
      <c r="MK34" s="80"/>
      <c r="ML34" s="80"/>
      <c r="MM34" s="80"/>
      <c r="MN34" s="80"/>
      <c r="MO34" s="80"/>
      <c r="MP34" s="80"/>
      <c r="MQ34" s="80"/>
      <c r="MR34" s="80"/>
      <c r="MS34" s="80"/>
      <c r="MT34" s="80"/>
      <c r="MU34" s="80"/>
      <c r="MV34" s="80"/>
      <c r="MW34" s="80"/>
      <c r="MX34" s="80"/>
      <c r="MY34" s="80"/>
      <c r="MZ34" s="80"/>
      <c r="NA34" s="80"/>
      <c r="NB34" s="80"/>
      <c r="NC34" s="80"/>
      <c r="ND34" s="80"/>
      <c r="NE34" s="80"/>
      <c r="NF34" s="80"/>
      <c r="NG34" s="80"/>
      <c r="NH34" s="80"/>
      <c r="NI34" s="80"/>
      <c r="NJ34" s="80"/>
      <c r="NK34" s="80"/>
      <c r="NL34" s="80"/>
      <c r="NM34" s="80"/>
      <c r="NN34" s="80"/>
      <c r="NO34" s="80"/>
      <c r="NP34" s="80"/>
      <c r="NQ34" s="80"/>
      <c r="NR34" s="80"/>
      <c r="NS34" s="80"/>
      <c r="NT34" s="80"/>
      <c r="NU34" s="80"/>
      <c r="NV34" s="80"/>
      <c r="NW34" s="80"/>
      <c r="NX34" s="80"/>
      <c r="NY34" s="80"/>
      <c r="NZ34" s="80"/>
      <c r="OA34" s="80"/>
      <c r="OB34" s="80"/>
      <c r="OC34" s="80"/>
      <c r="OD34" s="80"/>
      <c r="OE34" s="80"/>
      <c r="OF34" s="80"/>
      <c r="OG34" s="80"/>
      <c r="OH34" s="80"/>
      <c r="OI34" s="80"/>
      <c r="OJ34" s="80"/>
      <c r="OK34" s="80"/>
      <c r="OL34" s="80"/>
      <c r="OM34" s="80"/>
      <c r="ON34" s="80"/>
      <c r="OO34" s="80"/>
      <c r="OP34" s="80"/>
      <c r="OQ34" s="80"/>
      <c r="OR34" s="80"/>
      <c r="OS34" s="80"/>
      <c r="OT34" s="80"/>
      <c r="OU34" s="80"/>
      <c r="OV34" s="80"/>
      <c r="OW34" s="80"/>
      <c r="OX34" s="80"/>
      <c r="OY34" s="80"/>
      <c r="OZ34" s="80"/>
      <c r="PA34" s="80"/>
      <c r="PB34" s="80"/>
      <c r="PC34" s="80"/>
      <c r="PD34" s="80"/>
      <c r="PE34" s="80"/>
      <c r="PF34" s="80"/>
      <c r="PG34" s="80"/>
      <c r="PH34" s="80"/>
      <c r="PI34" s="80"/>
      <c r="PJ34" s="80"/>
      <c r="PK34" s="80"/>
      <c r="PL34" s="80"/>
      <c r="PM34" s="80"/>
      <c r="PN34" s="80"/>
      <c r="PO34" s="80"/>
      <c r="PP34" s="80"/>
      <c r="PQ34" s="80"/>
      <c r="PR34" s="80"/>
      <c r="PS34" s="80"/>
      <c r="PT34" s="80"/>
      <c r="PU34" s="80"/>
      <c r="PV34" s="80"/>
      <c r="PW34" s="80"/>
      <c r="PX34" s="80"/>
      <c r="PY34" s="80"/>
      <c r="PZ34" s="80"/>
      <c r="QA34" s="80"/>
      <c r="QB34" s="80"/>
      <c r="QC34" s="80"/>
      <c r="QD34" s="80"/>
      <c r="QE34" s="80"/>
      <c r="QF34" s="80"/>
      <c r="QG34" s="80"/>
      <c r="QH34" s="80"/>
      <c r="QI34" s="80"/>
      <c r="QJ34" s="80"/>
      <c r="QK34" s="80"/>
      <c r="QL34" s="80"/>
      <c r="QM34" s="80"/>
      <c r="QN34" s="80"/>
      <c r="QO34" s="80"/>
      <c r="QP34" s="80"/>
      <c r="QQ34" s="80"/>
      <c r="QR34" s="80"/>
      <c r="QS34" s="80"/>
      <c r="QT34" s="80"/>
      <c r="QU34" s="80"/>
      <c r="QV34" s="80"/>
      <c r="QW34" s="80"/>
      <c r="QX34" s="80"/>
      <c r="QY34" s="80"/>
      <c r="QZ34" s="80"/>
      <c r="RA34" s="80"/>
      <c r="RB34" s="80"/>
      <c r="RC34" s="80"/>
      <c r="RD34" s="80"/>
      <c r="RE34" s="80"/>
      <c r="RF34" s="80"/>
      <c r="RG34" s="80"/>
      <c r="RH34" s="80"/>
      <c r="RI34" s="80"/>
      <c r="RJ34" s="80"/>
      <c r="RK34" s="80"/>
      <c r="RL34" s="80"/>
      <c r="RM34" s="80"/>
      <c r="RN34" s="80"/>
      <c r="RO34" s="80"/>
      <c r="RP34" s="80"/>
      <c r="RQ34" s="80"/>
      <c r="RR34" s="80"/>
      <c r="RS34" s="80"/>
      <c r="RT34" s="80"/>
      <c r="RU34" s="80"/>
      <c r="RV34" s="80"/>
      <c r="RW34" s="80"/>
      <c r="RX34" s="80"/>
      <c r="RY34" s="80"/>
      <c r="RZ34" s="80"/>
      <c r="SA34" s="80"/>
      <c r="SB34" s="80"/>
      <c r="SC34" s="80"/>
      <c r="SD34" s="80"/>
      <c r="SE34" s="80"/>
      <c r="SF34" s="80"/>
      <c r="SG34" s="80"/>
      <c r="SH34" s="80"/>
      <c r="SI34" s="80"/>
      <c r="SJ34" s="80"/>
    </row>
    <row r="35" spans="2:504" x14ac:dyDescent="0.25">
      <c r="B35" s="40" t="str">
        <f>'Pay App 1'!B80</f>
        <v>05 20 00</v>
      </c>
      <c r="C35" s="32" t="str">
        <f>'Pay App 1'!C80</f>
        <v>Joists &amp; Deck</v>
      </c>
      <c r="D35" s="82">
        <f t="shared" si="8"/>
        <v>0</v>
      </c>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79"/>
      <c r="AL35" s="79"/>
      <c r="AM35" s="79"/>
      <c r="AN35" s="79"/>
      <c r="AO35" s="79"/>
      <c r="AP35" s="79"/>
      <c r="AQ35" s="79"/>
      <c r="AR35" s="79"/>
      <c r="AS35" s="79"/>
      <c r="AT35" s="79"/>
      <c r="AU35" s="79"/>
      <c r="AV35" s="79"/>
      <c r="AW35" s="79"/>
      <c r="AX35" s="79"/>
      <c r="AY35" s="79"/>
      <c r="AZ35" s="79"/>
      <c r="BA35" s="79"/>
      <c r="BB35" s="79"/>
      <c r="BC35" s="79"/>
      <c r="BD35" s="79"/>
      <c r="BE35" s="79"/>
      <c r="BF35" s="79"/>
      <c r="BG35" s="79"/>
      <c r="BH35" s="79"/>
      <c r="BI35" s="79"/>
      <c r="BJ35" s="79"/>
      <c r="BK35" s="79"/>
      <c r="BL35" s="79"/>
      <c r="BM35" s="79"/>
      <c r="BN35" s="79"/>
      <c r="BO35" s="79"/>
      <c r="BP35" s="79"/>
      <c r="BQ35" s="79"/>
      <c r="BR35" s="79"/>
      <c r="BS35" s="79"/>
      <c r="BT35" s="79"/>
      <c r="BU35" s="79"/>
      <c r="BV35" s="79"/>
      <c r="BW35" s="79"/>
      <c r="BX35" s="79"/>
      <c r="BY35" s="79"/>
      <c r="BZ35" s="79"/>
      <c r="CA35" s="79"/>
      <c r="CB35" s="79"/>
      <c r="CC35" s="79"/>
      <c r="CD35" s="79"/>
      <c r="CE35" s="79"/>
      <c r="CF35" s="79"/>
      <c r="CG35" s="79"/>
      <c r="CH35" s="79"/>
      <c r="CI35" s="79"/>
      <c r="CJ35" s="79"/>
      <c r="CK35" s="79"/>
      <c r="CL35" s="79"/>
      <c r="CM35" s="79"/>
      <c r="CN35" s="79"/>
      <c r="CO35" s="79"/>
      <c r="CP35" s="79"/>
      <c r="CQ35" s="79"/>
      <c r="CR35" s="79"/>
      <c r="CS35" s="79"/>
      <c r="CT35" s="79"/>
      <c r="CU35" s="79"/>
      <c r="CV35" s="79"/>
      <c r="CW35" s="79"/>
      <c r="CX35" s="79"/>
      <c r="CY35" s="79"/>
      <c r="CZ35" s="79"/>
      <c r="DA35" s="79"/>
      <c r="DB35" s="79"/>
      <c r="DC35" s="79"/>
      <c r="DD35" s="79"/>
      <c r="DE35" s="79"/>
      <c r="DF35" s="79"/>
      <c r="DG35" s="79"/>
      <c r="DH35" s="79"/>
      <c r="DI35" s="79"/>
      <c r="DJ35" s="79"/>
      <c r="DK35" s="79"/>
      <c r="DL35" s="79"/>
      <c r="DM35" s="79"/>
      <c r="DN35" s="79"/>
      <c r="DO35" s="79"/>
      <c r="DP35" s="79"/>
      <c r="DQ35" s="79"/>
      <c r="DR35" s="79"/>
      <c r="DS35" s="79"/>
      <c r="DT35" s="79"/>
      <c r="DU35" s="79"/>
      <c r="DV35" s="79"/>
      <c r="DW35" s="79"/>
      <c r="DX35" s="79"/>
      <c r="DY35" s="79"/>
      <c r="DZ35" s="79"/>
      <c r="EA35" s="79"/>
      <c r="EB35" s="79"/>
      <c r="EC35" s="79"/>
      <c r="ED35" s="79"/>
      <c r="EE35" s="79"/>
      <c r="EF35" s="79"/>
      <c r="EG35" s="79"/>
      <c r="EH35" s="79"/>
      <c r="EI35" s="79"/>
      <c r="EJ35" s="79"/>
      <c r="EK35" s="79"/>
      <c r="EL35" s="79"/>
      <c r="EM35" s="79"/>
      <c r="EN35" s="79"/>
      <c r="EO35" s="79"/>
      <c r="EP35" s="79"/>
      <c r="EQ35" s="79"/>
      <c r="ER35" s="79"/>
      <c r="ES35" s="79"/>
      <c r="ET35" s="79"/>
      <c r="EU35" s="79"/>
      <c r="EV35" s="79"/>
      <c r="EW35" s="79"/>
      <c r="EX35" s="79"/>
      <c r="EY35" s="79"/>
      <c r="EZ35" s="79"/>
      <c r="FA35" s="79"/>
      <c r="FB35" s="79"/>
      <c r="FC35" s="79"/>
      <c r="FD35" s="79"/>
      <c r="FE35" s="79"/>
      <c r="FF35" s="79"/>
      <c r="FG35" s="79"/>
      <c r="FH35" s="79"/>
      <c r="FI35" s="79"/>
      <c r="FJ35" s="79"/>
      <c r="FK35" s="79"/>
      <c r="FL35" s="79"/>
      <c r="FM35" s="79"/>
      <c r="FN35" s="79"/>
      <c r="FO35" s="79"/>
      <c r="FP35" s="79"/>
      <c r="FQ35" s="79"/>
      <c r="FR35" s="79"/>
      <c r="FS35" s="79"/>
      <c r="FT35" s="79"/>
      <c r="FU35" s="79"/>
      <c r="FV35" s="79"/>
      <c r="FW35" s="79"/>
      <c r="FX35" s="79"/>
      <c r="FY35" s="79"/>
      <c r="FZ35" s="79"/>
      <c r="GA35" s="79"/>
      <c r="GB35" s="79"/>
      <c r="GC35" s="79"/>
      <c r="GD35" s="79"/>
      <c r="GE35" s="79"/>
      <c r="GF35" s="79"/>
      <c r="GG35" s="79"/>
      <c r="GH35" s="79"/>
      <c r="GI35" s="79"/>
      <c r="GJ35" s="79"/>
      <c r="GK35" s="79"/>
      <c r="GL35" s="79"/>
      <c r="GM35" s="79"/>
      <c r="GN35" s="79"/>
      <c r="GO35" s="79"/>
      <c r="GP35" s="79"/>
      <c r="GQ35" s="79"/>
      <c r="GR35" s="79"/>
      <c r="GS35" s="79"/>
      <c r="GT35" s="79"/>
      <c r="GU35" s="79"/>
      <c r="GV35" s="79"/>
      <c r="GW35" s="79"/>
      <c r="GX35" s="79"/>
      <c r="GY35" s="79"/>
      <c r="GZ35" s="79"/>
      <c r="HA35" s="79"/>
      <c r="HB35" s="79"/>
      <c r="HC35" s="79"/>
      <c r="HD35" s="79"/>
      <c r="HE35" s="79"/>
      <c r="HF35" s="79"/>
      <c r="HG35" s="79"/>
      <c r="HH35" s="79"/>
      <c r="HI35" s="79"/>
      <c r="HJ35" s="79"/>
      <c r="HK35" s="79"/>
      <c r="HL35" s="79"/>
      <c r="HM35" s="79"/>
      <c r="HN35" s="79"/>
      <c r="HO35" s="79"/>
      <c r="HP35" s="79"/>
      <c r="HQ35" s="79"/>
      <c r="HR35" s="79"/>
      <c r="HS35" s="79"/>
      <c r="HT35" s="79"/>
      <c r="HU35" s="79"/>
      <c r="HV35" s="79"/>
      <c r="HW35" s="79"/>
      <c r="HX35" s="79"/>
      <c r="HY35" s="79"/>
      <c r="HZ35" s="79"/>
      <c r="IA35" s="79"/>
      <c r="IB35" s="79"/>
      <c r="IC35" s="79"/>
      <c r="ID35" s="79"/>
      <c r="IE35" s="79"/>
      <c r="IF35" s="79"/>
      <c r="IG35" s="79"/>
      <c r="IH35" s="79"/>
      <c r="II35" s="79"/>
      <c r="IJ35" s="79"/>
      <c r="IK35" s="79"/>
      <c r="IL35" s="79"/>
      <c r="IM35" s="79"/>
      <c r="IN35" s="79"/>
      <c r="IO35" s="79"/>
      <c r="IP35" s="79"/>
      <c r="IQ35" s="79"/>
      <c r="IR35" s="79"/>
      <c r="IS35" s="79"/>
      <c r="IT35" s="79"/>
      <c r="IU35" s="79"/>
      <c r="IV35" s="79"/>
      <c r="IW35" s="79"/>
      <c r="IX35" s="79"/>
      <c r="IY35" s="79"/>
      <c r="IZ35" s="79"/>
      <c r="JA35" s="79"/>
      <c r="JB35" s="79"/>
      <c r="JC35" s="79"/>
      <c r="JD35" s="79"/>
      <c r="JE35" s="79"/>
      <c r="JF35" s="79"/>
      <c r="JG35" s="79"/>
      <c r="JH35" s="79"/>
      <c r="JI35" s="79"/>
      <c r="JJ35" s="79"/>
      <c r="JK35" s="79"/>
      <c r="JL35" s="79"/>
      <c r="JM35" s="79"/>
      <c r="JN35" s="79"/>
      <c r="JO35" s="79"/>
      <c r="JP35" s="79"/>
      <c r="JQ35" s="79"/>
      <c r="JR35" s="79"/>
      <c r="JS35" s="79"/>
      <c r="JT35" s="79"/>
      <c r="JU35" s="79"/>
      <c r="JV35" s="79"/>
      <c r="JW35" s="79"/>
      <c r="JX35" s="79"/>
      <c r="JY35" s="79"/>
      <c r="JZ35" s="79"/>
      <c r="KA35" s="79"/>
      <c r="KB35" s="79"/>
      <c r="KC35" s="79"/>
      <c r="KD35" s="79"/>
      <c r="KE35" s="79"/>
      <c r="KF35" s="79"/>
      <c r="KG35" s="79"/>
      <c r="KH35" s="79"/>
      <c r="KI35" s="79"/>
      <c r="KJ35" s="79"/>
      <c r="KK35" s="79"/>
      <c r="KL35" s="79"/>
      <c r="KM35" s="79"/>
      <c r="KN35" s="79"/>
      <c r="KO35" s="79"/>
      <c r="KP35" s="79"/>
      <c r="KQ35" s="79"/>
      <c r="KR35" s="79"/>
      <c r="KS35" s="79"/>
      <c r="KT35" s="79"/>
      <c r="KU35" s="79"/>
      <c r="KV35" s="79"/>
      <c r="KW35" s="79"/>
      <c r="KX35" s="79"/>
      <c r="KY35" s="79"/>
      <c r="KZ35" s="79"/>
      <c r="LA35" s="79"/>
      <c r="LB35" s="79"/>
      <c r="LC35" s="79"/>
      <c r="LD35" s="79"/>
      <c r="LE35" s="79"/>
      <c r="LF35" s="79"/>
      <c r="LG35" s="79"/>
      <c r="LH35" s="79"/>
      <c r="LI35" s="79"/>
      <c r="LJ35" s="79"/>
      <c r="LK35" s="79"/>
      <c r="LL35" s="79"/>
      <c r="LM35" s="79"/>
      <c r="LN35" s="79"/>
      <c r="LO35" s="79"/>
      <c r="LP35" s="79"/>
      <c r="LQ35" s="79"/>
      <c r="LR35" s="79"/>
      <c r="LS35" s="79"/>
      <c r="LT35" s="79"/>
      <c r="LU35" s="79"/>
      <c r="LV35" s="79"/>
      <c r="LW35" s="79"/>
      <c r="LX35" s="79"/>
      <c r="LY35" s="79"/>
      <c r="LZ35" s="79"/>
      <c r="MA35" s="79"/>
      <c r="MB35" s="79"/>
      <c r="MC35" s="79"/>
      <c r="MD35" s="79"/>
      <c r="ME35" s="79"/>
      <c r="MF35" s="79"/>
      <c r="MG35" s="79"/>
      <c r="MH35" s="79"/>
      <c r="MI35" s="79"/>
      <c r="MJ35" s="79"/>
      <c r="MK35" s="79"/>
      <c r="ML35" s="79"/>
      <c r="MM35" s="79"/>
      <c r="MN35" s="79"/>
      <c r="MO35" s="79"/>
      <c r="MP35" s="79"/>
      <c r="MQ35" s="79"/>
      <c r="MR35" s="79"/>
      <c r="MS35" s="79"/>
      <c r="MT35" s="79"/>
      <c r="MU35" s="79"/>
      <c r="MV35" s="79"/>
      <c r="MW35" s="79"/>
      <c r="MX35" s="79"/>
      <c r="MY35" s="79"/>
      <c r="MZ35" s="79"/>
      <c r="NA35" s="79"/>
      <c r="NB35" s="79"/>
      <c r="NC35" s="79"/>
      <c r="ND35" s="79"/>
      <c r="NE35" s="79"/>
      <c r="NF35" s="79"/>
      <c r="NG35" s="79"/>
      <c r="NH35" s="79"/>
      <c r="NI35" s="79"/>
      <c r="NJ35" s="79"/>
      <c r="NK35" s="79"/>
      <c r="NL35" s="79"/>
      <c r="NM35" s="79"/>
      <c r="NN35" s="79"/>
      <c r="NO35" s="79"/>
      <c r="NP35" s="79"/>
      <c r="NQ35" s="79"/>
      <c r="NR35" s="79"/>
      <c r="NS35" s="79"/>
      <c r="NT35" s="79"/>
      <c r="NU35" s="79"/>
      <c r="NV35" s="79"/>
      <c r="NW35" s="79"/>
      <c r="NX35" s="79"/>
      <c r="NY35" s="79"/>
      <c r="NZ35" s="79"/>
      <c r="OA35" s="79"/>
      <c r="OB35" s="79"/>
      <c r="OC35" s="79"/>
      <c r="OD35" s="79"/>
      <c r="OE35" s="79"/>
      <c r="OF35" s="79"/>
      <c r="OG35" s="79"/>
      <c r="OH35" s="79"/>
      <c r="OI35" s="79"/>
      <c r="OJ35" s="79"/>
      <c r="OK35" s="79"/>
      <c r="OL35" s="79"/>
      <c r="OM35" s="79"/>
      <c r="ON35" s="79"/>
      <c r="OO35" s="79"/>
      <c r="OP35" s="79"/>
      <c r="OQ35" s="79"/>
      <c r="OR35" s="79"/>
      <c r="OS35" s="79"/>
      <c r="OT35" s="79"/>
      <c r="OU35" s="79"/>
      <c r="OV35" s="79"/>
      <c r="OW35" s="79"/>
      <c r="OX35" s="79"/>
      <c r="OY35" s="79"/>
      <c r="OZ35" s="79"/>
      <c r="PA35" s="79"/>
      <c r="PB35" s="79"/>
      <c r="PC35" s="79"/>
      <c r="PD35" s="79"/>
      <c r="PE35" s="79"/>
      <c r="PF35" s="79"/>
      <c r="PG35" s="79"/>
      <c r="PH35" s="79"/>
      <c r="PI35" s="79"/>
      <c r="PJ35" s="79"/>
      <c r="PK35" s="79"/>
      <c r="PL35" s="79"/>
      <c r="PM35" s="79"/>
      <c r="PN35" s="79"/>
      <c r="PO35" s="79"/>
      <c r="PP35" s="79"/>
      <c r="PQ35" s="79"/>
      <c r="PR35" s="79"/>
      <c r="PS35" s="79"/>
      <c r="PT35" s="79"/>
      <c r="PU35" s="79"/>
      <c r="PV35" s="79"/>
      <c r="PW35" s="79"/>
      <c r="PX35" s="79"/>
      <c r="PY35" s="79"/>
      <c r="PZ35" s="79"/>
      <c r="QA35" s="79"/>
      <c r="QB35" s="79"/>
      <c r="QC35" s="79"/>
      <c r="QD35" s="79"/>
      <c r="QE35" s="79"/>
      <c r="QF35" s="79"/>
      <c r="QG35" s="79"/>
      <c r="QH35" s="79"/>
      <c r="QI35" s="79"/>
      <c r="QJ35" s="79"/>
      <c r="QK35" s="79"/>
      <c r="QL35" s="79"/>
      <c r="QM35" s="79"/>
      <c r="QN35" s="79"/>
      <c r="QO35" s="79"/>
      <c r="QP35" s="79"/>
      <c r="QQ35" s="79"/>
      <c r="QR35" s="79"/>
      <c r="QS35" s="79"/>
      <c r="QT35" s="79"/>
      <c r="QU35" s="79"/>
      <c r="QV35" s="79"/>
      <c r="QW35" s="79"/>
      <c r="QX35" s="79"/>
      <c r="QY35" s="79"/>
      <c r="QZ35" s="79"/>
      <c r="RA35" s="79"/>
      <c r="RB35" s="79"/>
      <c r="RC35" s="79"/>
      <c r="RD35" s="79"/>
      <c r="RE35" s="79"/>
      <c r="RF35" s="79"/>
      <c r="RG35" s="79"/>
      <c r="RH35" s="79"/>
      <c r="RI35" s="79"/>
      <c r="RJ35" s="79"/>
      <c r="RK35" s="79"/>
      <c r="RL35" s="79"/>
      <c r="RM35" s="79"/>
      <c r="RN35" s="79"/>
      <c r="RO35" s="79"/>
      <c r="RP35" s="79"/>
      <c r="RQ35" s="79"/>
      <c r="RR35" s="79"/>
      <c r="RS35" s="79"/>
      <c r="RT35" s="79"/>
      <c r="RU35" s="79"/>
      <c r="RV35" s="79"/>
      <c r="RW35" s="79"/>
      <c r="RX35" s="79"/>
      <c r="RY35" s="79"/>
      <c r="RZ35" s="79"/>
      <c r="SA35" s="79"/>
      <c r="SB35" s="79"/>
      <c r="SC35" s="79"/>
      <c r="SD35" s="79"/>
      <c r="SE35" s="79"/>
      <c r="SF35" s="79"/>
      <c r="SG35" s="79"/>
      <c r="SH35" s="79"/>
      <c r="SI35" s="79"/>
      <c r="SJ35" s="79"/>
    </row>
    <row r="36" spans="2:504" x14ac:dyDescent="0.25">
      <c r="B36" s="40" t="str">
        <f>'Pay App 1'!B81</f>
        <v>05 70 00</v>
      </c>
      <c r="C36" s="32" t="str">
        <f>'Pay App 1'!C81</f>
        <v>Ornamental Metal</v>
      </c>
      <c r="D36" s="82">
        <f t="shared" si="8"/>
        <v>0</v>
      </c>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79"/>
      <c r="BR36" s="79"/>
      <c r="BS36" s="79"/>
      <c r="BT36" s="79"/>
      <c r="BU36" s="79"/>
      <c r="BV36" s="79"/>
      <c r="BW36" s="79"/>
      <c r="BX36" s="79"/>
      <c r="BY36" s="79"/>
      <c r="BZ36" s="79"/>
      <c r="CA36" s="79"/>
      <c r="CB36" s="79"/>
      <c r="CC36" s="79"/>
      <c r="CD36" s="79"/>
      <c r="CE36" s="79"/>
      <c r="CF36" s="79"/>
      <c r="CG36" s="79"/>
      <c r="CH36" s="79"/>
      <c r="CI36" s="79"/>
      <c r="CJ36" s="79"/>
      <c r="CK36" s="79"/>
      <c r="CL36" s="79"/>
      <c r="CM36" s="79"/>
      <c r="CN36" s="79"/>
      <c r="CO36" s="79"/>
      <c r="CP36" s="79"/>
      <c r="CQ36" s="79"/>
      <c r="CR36" s="79"/>
      <c r="CS36" s="79"/>
      <c r="CT36" s="79"/>
      <c r="CU36" s="79"/>
      <c r="CV36" s="79"/>
      <c r="CW36" s="79"/>
      <c r="CX36" s="79"/>
      <c r="CY36" s="79"/>
      <c r="CZ36" s="79"/>
      <c r="DA36" s="79"/>
      <c r="DB36" s="79"/>
      <c r="DC36" s="79"/>
      <c r="DD36" s="79"/>
      <c r="DE36" s="79"/>
      <c r="DF36" s="79"/>
      <c r="DG36" s="79"/>
      <c r="DH36" s="79"/>
      <c r="DI36" s="79"/>
      <c r="DJ36" s="79"/>
      <c r="DK36" s="79"/>
      <c r="DL36" s="79"/>
      <c r="DM36" s="79"/>
      <c r="DN36" s="79"/>
      <c r="DO36" s="79"/>
      <c r="DP36" s="79"/>
      <c r="DQ36" s="79"/>
      <c r="DR36" s="79"/>
      <c r="DS36" s="79"/>
      <c r="DT36" s="79"/>
      <c r="DU36" s="79"/>
      <c r="DV36" s="79"/>
      <c r="DW36" s="79"/>
      <c r="DX36" s="79"/>
      <c r="DY36" s="79"/>
      <c r="DZ36" s="79"/>
      <c r="EA36" s="79"/>
      <c r="EB36" s="79"/>
      <c r="EC36" s="79"/>
      <c r="ED36" s="79"/>
      <c r="EE36" s="79"/>
      <c r="EF36" s="79"/>
      <c r="EG36" s="79"/>
      <c r="EH36" s="79"/>
      <c r="EI36" s="79"/>
      <c r="EJ36" s="79"/>
      <c r="EK36" s="79"/>
      <c r="EL36" s="79"/>
      <c r="EM36" s="79"/>
      <c r="EN36" s="79"/>
      <c r="EO36" s="79"/>
      <c r="EP36" s="79"/>
      <c r="EQ36" s="79"/>
      <c r="ER36" s="79"/>
      <c r="ES36" s="79"/>
      <c r="ET36" s="79"/>
      <c r="EU36" s="79"/>
      <c r="EV36" s="79"/>
      <c r="EW36" s="79"/>
      <c r="EX36" s="79"/>
      <c r="EY36" s="79"/>
      <c r="EZ36" s="79"/>
      <c r="FA36" s="79"/>
      <c r="FB36" s="79"/>
      <c r="FC36" s="79"/>
      <c r="FD36" s="79"/>
      <c r="FE36" s="79"/>
      <c r="FF36" s="79"/>
      <c r="FG36" s="79"/>
      <c r="FH36" s="79"/>
      <c r="FI36" s="79"/>
      <c r="FJ36" s="79"/>
      <c r="FK36" s="79"/>
      <c r="FL36" s="79"/>
      <c r="FM36" s="79"/>
      <c r="FN36" s="79"/>
      <c r="FO36" s="79"/>
      <c r="FP36" s="79"/>
      <c r="FQ36" s="79"/>
      <c r="FR36" s="79"/>
      <c r="FS36" s="79"/>
      <c r="FT36" s="79"/>
      <c r="FU36" s="79"/>
      <c r="FV36" s="79"/>
      <c r="FW36" s="79"/>
      <c r="FX36" s="79"/>
      <c r="FY36" s="79"/>
      <c r="FZ36" s="79"/>
      <c r="GA36" s="79"/>
      <c r="GB36" s="79"/>
      <c r="GC36" s="79"/>
      <c r="GD36" s="79"/>
      <c r="GE36" s="79"/>
      <c r="GF36" s="79"/>
      <c r="GG36" s="79"/>
      <c r="GH36" s="79"/>
      <c r="GI36" s="79"/>
      <c r="GJ36" s="79"/>
      <c r="GK36" s="79"/>
      <c r="GL36" s="79"/>
      <c r="GM36" s="79"/>
      <c r="GN36" s="79"/>
      <c r="GO36" s="79"/>
      <c r="GP36" s="79"/>
      <c r="GQ36" s="79"/>
      <c r="GR36" s="79"/>
      <c r="GS36" s="79"/>
      <c r="GT36" s="79"/>
      <c r="GU36" s="79"/>
      <c r="GV36" s="79"/>
      <c r="GW36" s="79"/>
      <c r="GX36" s="79"/>
      <c r="GY36" s="79"/>
      <c r="GZ36" s="79"/>
      <c r="HA36" s="79"/>
      <c r="HB36" s="79"/>
      <c r="HC36" s="79"/>
      <c r="HD36" s="79"/>
      <c r="HE36" s="79"/>
      <c r="HF36" s="79"/>
      <c r="HG36" s="79"/>
      <c r="HH36" s="79"/>
      <c r="HI36" s="79"/>
      <c r="HJ36" s="79"/>
      <c r="HK36" s="79"/>
      <c r="HL36" s="79"/>
      <c r="HM36" s="79"/>
      <c r="HN36" s="79"/>
      <c r="HO36" s="79"/>
      <c r="HP36" s="79"/>
      <c r="HQ36" s="79"/>
      <c r="HR36" s="79"/>
      <c r="HS36" s="79"/>
      <c r="HT36" s="79"/>
      <c r="HU36" s="79"/>
      <c r="HV36" s="79"/>
      <c r="HW36" s="79"/>
      <c r="HX36" s="79"/>
      <c r="HY36" s="79"/>
      <c r="HZ36" s="79"/>
      <c r="IA36" s="79"/>
      <c r="IB36" s="79"/>
      <c r="IC36" s="79"/>
      <c r="ID36" s="79"/>
      <c r="IE36" s="79"/>
      <c r="IF36" s="79"/>
      <c r="IG36" s="79"/>
      <c r="IH36" s="79"/>
      <c r="II36" s="79"/>
      <c r="IJ36" s="79"/>
      <c r="IK36" s="79"/>
      <c r="IL36" s="79"/>
      <c r="IM36" s="79"/>
      <c r="IN36" s="79"/>
      <c r="IO36" s="79"/>
      <c r="IP36" s="79"/>
      <c r="IQ36" s="79"/>
      <c r="IR36" s="79"/>
      <c r="IS36" s="79"/>
      <c r="IT36" s="79"/>
      <c r="IU36" s="79"/>
      <c r="IV36" s="79"/>
      <c r="IW36" s="79"/>
      <c r="IX36" s="79"/>
      <c r="IY36" s="79"/>
      <c r="IZ36" s="79"/>
      <c r="JA36" s="79"/>
      <c r="JB36" s="79"/>
      <c r="JC36" s="79"/>
      <c r="JD36" s="79"/>
      <c r="JE36" s="79"/>
      <c r="JF36" s="79"/>
      <c r="JG36" s="79"/>
      <c r="JH36" s="79"/>
      <c r="JI36" s="79"/>
      <c r="JJ36" s="79"/>
      <c r="JK36" s="79"/>
      <c r="JL36" s="79"/>
      <c r="JM36" s="79"/>
      <c r="JN36" s="79"/>
      <c r="JO36" s="79"/>
      <c r="JP36" s="79"/>
      <c r="JQ36" s="79"/>
      <c r="JR36" s="79"/>
      <c r="JS36" s="79"/>
      <c r="JT36" s="79"/>
      <c r="JU36" s="79"/>
      <c r="JV36" s="79"/>
      <c r="JW36" s="79"/>
      <c r="JX36" s="79"/>
      <c r="JY36" s="79"/>
      <c r="JZ36" s="79"/>
      <c r="KA36" s="79"/>
      <c r="KB36" s="79"/>
      <c r="KC36" s="79"/>
      <c r="KD36" s="79"/>
      <c r="KE36" s="79"/>
      <c r="KF36" s="79"/>
      <c r="KG36" s="79"/>
      <c r="KH36" s="79"/>
      <c r="KI36" s="79"/>
      <c r="KJ36" s="79"/>
      <c r="KK36" s="79"/>
      <c r="KL36" s="79"/>
      <c r="KM36" s="79"/>
      <c r="KN36" s="79"/>
      <c r="KO36" s="79"/>
      <c r="KP36" s="79"/>
      <c r="KQ36" s="79"/>
      <c r="KR36" s="79"/>
      <c r="KS36" s="79"/>
      <c r="KT36" s="79"/>
      <c r="KU36" s="79"/>
      <c r="KV36" s="79"/>
      <c r="KW36" s="79"/>
      <c r="KX36" s="79"/>
      <c r="KY36" s="79"/>
      <c r="KZ36" s="79"/>
      <c r="LA36" s="79"/>
      <c r="LB36" s="79"/>
      <c r="LC36" s="79"/>
      <c r="LD36" s="79"/>
      <c r="LE36" s="79"/>
      <c r="LF36" s="79"/>
      <c r="LG36" s="79"/>
      <c r="LH36" s="79"/>
      <c r="LI36" s="79"/>
      <c r="LJ36" s="79"/>
      <c r="LK36" s="79"/>
      <c r="LL36" s="79"/>
      <c r="LM36" s="79"/>
      <c r="LN36" s="79"/>
      <c r="LO36" s="79"/>
      <c r="LP36" s="79"/>
      <c r="LQ36" s="79"/>
      <c r="LR36" s="79"/>
      <c r="LS36" s="79"/>
      <c r="LT36" s="79"/>
      <c r="LU36" s="79"/>
      <c r="LV36" s="79"/>
      <c r="LW36" s="79"/>
      <c r="LX36" s="79"/>
      <c r="LY36" s="79"/>
      <c r="LZ36" s="79"/>
      <c r="MA36" s="79"/>
      <c r="MB36" s="79"/>
      <c r="MC36" s="79"/>
      <c r="MD36" s="79"/>
      <c r="ME36" s="79"/>
      <c r="MF36" s="79"/>
      <c r="MG36" s="79"/>
      <c r="MH36" s="79"/>
      <c r="MI36" s="79"/>
      <c r="MJ36" s="79"/>
      <c r="MK36" s="79"/>
      <c r="ML36" s="79"/>
      <c r="MM36" s="79"/>
      <c r="MN36" s="79"/>
      <c r="MO36" s="79"/>
      <c r="MP36" s="79"/>
      <c r="MQ36" s="79"/>
      <c r="MR36" s="79"/>
      <c r="MS36" s="79"/>
      <c r="MT36" s="79"/>
      <c r="MU36" s="79"/>
      <c r="MV36" s="79"/>
      <c r="MW36" s="79"/>
      <c r="MX36" s="79"/>
      <c r="MY36" s="79"/>
      <c r="MZ36" s="79"/>
      <c r="NA36" s="79"/>
      <c r="NB36" s="79"/>
      <c r="NC36" s="79"/>
      <c r="ND36" s="79"/>
      <c r="NE36" s="79"/>
      <c r="NF36" s="79"/>
      <c r="NG36" s="79"/>
      <c r="NH36" s="79"/>
      <c r="NI36" s="79"/>
      <c r="NJ36" s="79"/>
      <c r="NK36" s="79"/>
      <c r="NL36" s="79"/>
      <c r="NM36" s="79"/>
      <c r="NN36" s="79"/>
      <c r="NO36" s="79"/>
      <c r="NP36" s="79"/>
      <c r="NQ36" s="79"/>
      <c r="NR36" s="79"/>
      <c r="NS36" s="79"/>
      <c r="NT36" s="79"/>
      <c r="NU36" s="79"/>
      <c r="NV36" s="79"/>
      <c r="NW36" s="79"/>
      <c r="NX36" s="79"/>
      <c r="NY36" s="79"/>
      <c r="NZ36" s="79"/>
      <c r="OA36" s="79"/>
      <c r="OB36" s="79"/>
      <c r="OC36" s="79"/>
      <c r="OD36" s="79"/>
      <c r="OE36" s="79"/>
      <c r="OF36" s="79"/>
      <c r="OG36" s="79"/>
      <c r="OH36" s="79"/>
      <c r="OI36" s="79"/>
      <c r="OJ36" s="79"/>
      <c r="OK36" s="79"/>
      <c r="OL36" s="79"/>
      <c r="OM36" s="79"/>
      <c r="ON36" s="79"/>
      <c r="OO36" s="79"/>
      <c r="OP36" s="79"/>
      <c r="OQ36" s="79"/>
      <c r="OR36" s="79"/>
      <c r="OS36" s="79"/>
      <c r="OT36" s="79"/>
      <c r="OU36" s="79"/>
      <c r="OV36" s="79"/>
      <c r="OW36" s="79"/>
      <c r="OX36" s="79"/>
      <c r="OY36" s="79"/>
      <c r="OZ36" s="79"/>
      <c r="PA36" s="79"/>
      <c r="PB36" s="79"/>
      <c r="PC36" s="79"/>
      <c r="PD36" s="79"/>
      <c r="PE36" s="79"/>
      <c r="PF36" s="79"/>
      <c r="PG36" s="79"/>
      <c r="PH36" s="79"/>
      <c r="PI36" s="79"/>
      <c r="PJ36" s="79"/>
      <c r="PK36" s="79"/>
      <c r="PL36" s="79"/>
      <c r="PM36" s="79"/>
      <c r="PN36" s="79"/>
      <c r="PO36" s="79"/>
      <c r="PP36" s="79"/>
      <c r="PQ36" s="79"/>
      <c r="PR36" s="79"/>
      <c r="PS36" s="79"/>
      <c r="PT36" s="79"/>
      <c r="PU36" s="79"/>
      <c r="PV36" s="79"/>
      <c r="PW36" s="79"/>
      <c r="PX36" s="79"/>
      <c r="PY36" s="79"/>
      <c r="PZ36" s="79"/>
      <c r="QA36" s="79"/>
      <c r="QB36" s="79"/>
      <c r="QC36" s="79"/>
      <c r="QD36" s="79"/>
      <c r="QE36" s="79"/>
      <c r="QF36" s="79"/>
      <c r="QG36" s="79"/>
      <c r="QH36" s="79"/>
      <c r="QI36" s="79"/>
      <c r="QJ36" s="79"/>
      <c r="QK36" s="79"/>
      <c r="QL36" s="79"/>
      <c r="QM36" s="79"/>
      <c r="QN36" s="79"/>
      <c r="QO36" s="79"/>
      <c r="QP36" s="79"/>
      <c r="QQ36" s="79"/>
      <c r="QR36" s="79"/>
      <c r="QS36" s="79"/>
      <c r="QT36" s="79"/>
      <c r="QU36" s="79"/>
      <c r="QV36" s="79"/>
      <c r="QW36" s="79"/>
      <c r="QX36" s="79"/>
      <c r="QY36" s="79"/>
      <c r="QZ36" s="79"/>
      <c r="RA36" s="79"/>
      <c r="RB36" s="79"/>
      <c r="RC36" s="79"/>
      <c r="RD36" s="79"/>
      <c r="RE36" s="79"/>
      <c r="RF36" s="79"/>
      <c r="RG36" s="79"/>
      <c r="RH36" s="79"/>
      <c r="RI36" s="79"/>
      <c r="RJ36" s="79"/>
      <c r="RK36" s="79"/>
      <c r="RL36" s="79"/>
      <c r="RM36" s="79"/>
      <c r="RN36" s="79"/>
      <c r="RO36" s="79"/>
      <c r="RP36" s="79"/>
      <c r="RQ36" s="79"/>
      <c r="RR36" s="79"/>
      <c r="RS36" s="79"/>
      <c r="RT36" s="79"/>
      <c r="RU36" s="79"/>
      <c r="RV36" s="79"/>
      <c r="RW36" s="79"/>
      <c r="RX36" s="79"/>
      <c r="RY36" s="79"/>
      <c r="RZ36" s="79"/>
      <c r="SA36" s="79"/>
      <c r="SB36" s="79"/>
      <c r="SC36" s="79"/>
      <c r="SD36" s="79"/>
      <c r="SE36" s="79"/>
      <c r="SF36" s="79"/>
      <c r="SG36" s="79"/>
      <c r="SH36" s="79"/>
      <c r="SI36" s="79"/>
      <c r="SJ36" s="79"/>
    </row>
    <row r="37" spans="2:504" x14ac:dyDescent="0.25">
      <c r="B37" s="48" t="str">
        <f>'Pay App 1'!B82</f>
        <v>06 10 00</v>
      </c>
      <c r="C37" s="33" t="str">
        <f>'Pay App 1'!C82</f>
        <v>Rough Carpentry</v>
      </c>
      <c r="D37" s="82">
        <f t="shared" si="8"/>
        <v>0</v>
      </c>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79"/>
      <c r="BR37" s="79"/>
      <c r="BS37" s="79"/>
      <c r="BT37" s="79"/>
      <c r="BU37" s="79"/>
      <c r="BV37" s="79"/>
      <c r="BW37" s="79"/>
      <c r="BX37" s="79"/>
      <c r="BY37" s="79"/>
      <c r="BZ37" s="79"/>
      <c r="CA37" s="79"/>
      <c r="CB37" s="79"/>
      <c r="CC37" s="79"/>
      <c r="CD37" s="79"/>
      <c r="CE37" s="79"/>
      <c r="CF37" s="79"/>
      <c r="CG37" s="79"/>
      <c r="CH37" s="79"/>
      <c r="CI37" s="79"/>
      <c r="CJ37" s="79"/>
      <c r="CK37" s="79"/>
      <c r="CL37" s="79"/>
      <c r="CM37" s="79"/>
      <c r="CN37" s="79"/>
      <c r="CO37" s="79"/>
      <c r="CP37" s="79"/>
      <c r="CQ37" s="79"/>
      <c r="CR37" s="79"/>
      <c r="CS37" s="79"/>
      <c r="CT37" s="79"/>
      <c r="CU37" s="79"/>
      <c r="CV37" s="79"/>
      <c r="CW37" s="79"/>
      <c r="CX37" s="79"/>
      <c r="CY37" s="79"/>
      <c r="CZ37" s="79"/>
      <c r="DA37" s="79"/>
      <c r="DB37" s="79"/>
      <c r="DC37" s="79"/>
      <c r="DD37" s="79"/>
      <c r="DE37" s="79"/>
      <c r="DF37" s="79"/>
      <c r="DG37" s="79"/>
      <c r="DH37" s="79"/>
      <c r="DI37" s="79"/>
      <c r="DJ37" s="79"/>
      <c r="DK37" s="79"/>
      <c r="DL37" s="79"/>
      <c r="DM37" s="79"/>
      <c r="DN37" s="79"/>
      <c r="DO37" s="79"/>
      <c r="DP37" s="79"/>
      <c r="DQ37" s="79"/>
      <c r="DR37" s="79"/>
      <c r="DS37" s="79"/>
      <c r="DT37" s="79"/>
      <c r="DU37" s="79"/>
      <c r="DV37" s="79"/>
      <c r="DW37" s="79"/>
      <c r="DX37" s="79"/>
      <c r="DY37" s="79"/>
      <c r="DZ37" s="79"/>
      <c r="EA37" s="79"/>
      <c r="EB37" s="79"/>
      <c r="EC37" s="79"/>
      <c r="ED37" s="79"/>
      <c r="EE37" s="79"/>
      <c r="EF37" s="79"/>
      <c r="EG37" s="79"/>
      <c r="EH37" s="79"/>
      <c r="EI37" s="79"/>
      <c r="EJ37" s="79"/>
      <c r="EK37" s="79"/>
      <c r="EL37" s="79"/>
      <c r="EM37" s="79"/>
      <c r="EN37" s="79"/>
      <c r="EO37" s="79"/>
      <c r="EP37" s="79"/>
      <c r="EQ37" s="79"/>
      <c r="ER37" s="79"/>
      <c r="ES37" s="79"/>
      <c r="ET37" s="79"/>
      <c r="EU37" s="79"/>
      <c r="EV37" s="79"/>
      <c r="EW37" s="79"/>
      <c r="EX37" s="79"/>
      <c r="EY37" s="79"/>
      <c r="EZ37" s="79"/>
      <c r="FA37" s="79"/>
      <c r="FB37" s="79"/>
      <c r="FC37" s="79"/>
      <c r="FD37" s="79"/>
      <c r="FE37" s="79"/>
      <c r="FF37" s="79"/>
      <c r="FG37" s="79"/>
      <c r="FH37" s="79"/>
      <c r="FI37" s="79"/>
      <c r="FJ37" s="79"/>
      <c r="FK37" s="79"/>
      <c r="FL37" s="79"/>
      <c r="FM37" s="79"/>
      <c r="FN37" s="79"/>
      <c r="FO37" s="79"/>
      <c r="FP37" s="79"/>
      <c r="FQ37" s="79"/>
      <c r="FR37" s="79"/>
      <c r="FS37" s="79"/>
      <c r="FT37" s="79"/>
      <c r="FU37" s="79"/>
      <c r="FV37" s="79"/>
      <c r="FW37" s="79"/>
      <c r="FX37" s="79"/>
      <c r="FY37" s="79"/>
      <c r="FZ37" s="79"/>
      <c r="GA37" s="79"/>
      <c r="GB37" s="79"/>
      <c r="GC37" s="79"/>
      <c r="GD37" s="79"/>
      <c r="GE37" s="79"/>
      <c r="GF37" s="79"/>
      <c r="GG37" s="79"/>
      <c r="GH37" s="79"/>
      <c r="GI37" s="79"/>
      <c r="GJ37" s="79"/>
      <c r="GK37" s="79"/>
      <c r="GL37" s="79"/>
      <c r="GM37" s="79"/>
      <c r="GN37" s="79"/>
      <c r="GO37" s="79"/>
      <c r="GP37" s="79"/>
      <c r="GQ37" s="79"/>
      <c r="GR37" s="79"/>
      <c r="GS37" s="79"/>
      <c r="GT37" s="79"/>
      <c r="GU37" s="79"/>
      <c r="GV37" s="79"/>
      <c r="GW37" s="79"/>
      <c r="GX37" s="79"/>
      <c r="GY37" s="79"/>
      <c r="GZ37" s="79"/>
      <c r="HA37" s="79"/>
      <c r="HB37" s="79"/>
      <c r="HC37" s="79"/>
      <c r="HD37" s="79"/>
      <c r="HE37" s="79"/>
      <c r="HF37" s="79"/>
      <c r="HG37" s="79"/>
      <c r="HH37" s="79"/>
      <c r="HI37" s="79"/>
      <c r="HJ37" s="79"/>
      <c r="HK37" s="79"/>
      <c r="HL37" s="79"/>
      <c r="HM37" s="79"/>
      <c r="HN37" s="79"/>
      <c r="HO37" s="79"/>
      <c r="HP37" s="79"/>
      <c r="HQ37" s="79"/>
      <c r="HR37" s="79"/>
      <c r="HS37" s="79"/>
      <c r="HT37" s="79"/>
      <c r="HU37" s="79"/>
      <c r="HV37" s="79"/>
      <c r="HW37" s="79"/>
      <c r="HX37" s="79"/>
      <c r="HY37" s="79"/>
      <c r="HZ37" s="79"/>
      <c r="IA37" s="79"/>
      <c r="IB37" s="79"/>
      <c r="IC37" s="79"/>
      <c r="ID37" s="79"/>
      <c r="IE37" s="79"/>
      <c r="IF37" s="79"/>
      <c r="IG37" s="79"/>
      <c r="IH37" s="79"/>
      <c r="II37" s="79"/>
      <c r="IJ37" s="79"/>
      <c r="IK37" s="79"/>
      <c r="IL37" s="79"/>
      <c r="IM37" s="79"/>
      <c r="IN37" s="79"/>
      <c r="IO37" s="79"/>
      <c r="IP37" s="79"/>
      <c r="IQ37" s="79"/>
      <c r="IR37" s="79"/>
      <c r="IS37" s="79"/>
      <c r="IT37" s="79"/>
      <c r="IU37" s="79"/>
      <c r="IV37" s="79"/>
      <c r="IW37" s="79"/>
      <c r="IX37" s="79"/>
      <c r="IY37" s="79"/>
      <c r="IZ37" s="79"/>
      <c r="JA37" s="79"/>
      <c r="JB37" s="79"/>
      <c r="JC37" s="79"/>
      <c r="JD37" s="79"/>
      <c r="JE37" s="79"/>
      <c r="JF37" s="79"/>
      <c r="JG37" s="79"/>
      <c r="JH37" s="79"/>
      <c r="JI37" s="79"/>
      <c r="JJ37" s="79"/>
      <c r="JK37" s="79"/>
      <c r="JL37" s="79"/>
      <c r="JM37" s="79"/>
      <c r="JN37" s="79"/>
      <c r="JO37" s="79"/>
      <c r="JP37" s="79"/>
      <c r="JQ37" s="79"/>
      <c r="JR37" s="79"/>
      <c r="JS37" s="79"/>
      <c r="JT37" s="79"/>
      <c r="JU37" s="79"/>
      <c r="JV37" s="79"/>
      <c r="JW37" s="79"/>
      <c r="JX37" s="79"/>
      <c r="JY37" s="79"/>
      <c r="JZ37" s="79"/>
      <c r="KA37" s="79"/>
      <c r="KB37" s="79"/>
      <c r="KC37" s="79"/>
      <c r="KD37" s="79"/>
      <c r="KE37" s="79"/>
      <c r="KF37" s="79"/>
      <c r="KG37" s="79"/>
      <c r="KH37" s="79"/>
      <c r="KI37" s="79"/>
      <c r="KJ37" s="79"/>
      <c r="KK37" s="79"/>
      <c r="KL37" s="79"/>
      <c r="KM37" s="79"/>
      <c r="KN37" s="79"/>
      <c r="KO37" s="79"/>
      <c r="KP37" s="79"/>
      <c r="KQ37" s="79"/>
      <c r="KR37" s="79"/>
      <c r="KS37" s="79"/>
      <c r="KT37" s="79"/>
      <c r="KU37" s="79"/>
      <c r="KV37" s="79"/>
      <c r="KW37" s="79"/>
      <c r="KX37" s="79"/>
      <c r="KY37" s="79"/>
      <c r="KZ37" s="79"/>
      <c r="LA37" s="79"/>
      <c r="LB37" s="79"/>
      <c r="LC37" s="79"/>
      <c r="LD37" s="79"/>
      <c r="LE37" s="79"/>
      <c r="LF37" s="79"/>
      <c r="LG37" s="79"/>
      <c r="LH37" s="79"/>
      <c r="LI37" s="79"/>
      <c r="LJ37" s="79"/>
      <c r="LK37" s="79"/>
      <c r="LL37" s="79"/>
      <c r="LM37" s="79"/>
      <c r="LN37" s="79"/>
      <c r="LO37" s="79"/>
      <c r="LP37" s="79"/>
      <c r="LQ37" s="79"/>
      <c r="LR37" s="79"/>
      <c r="LS37" s="79"/>
      <c r="LT37" s="79"/>
      <c r="LU37" s="79"/>
      <c r="LV37" s="79"/>
      <c r="LW37" s="79"/>
      <c r="LX37" s="79"/>
      <c r="LY37" s="79"/>
      <c r="LZ37" s="79"/>
      <c r="MA37" s="79"/>
      <c r="MB37" s="79"/>
      <c r="MC37" s="79"/>
      <c r="MD37" s="79"/>
      <c r="ME37" s="79"/>
      <c r="MF37" s="79"/>
      <c r="MG37" s="79"/>
      <c r="MH37" s="79"/>
      <c r="MI37" s="79"/>
      <c r="MJ37" s="79"/>
      <c r="MK37" s="79"/>
      <c r="ML37" s="79"/>
      <c r="MM37" s="79"/>
      <c r="MN37" s="79"/>
      <c r="MO37" s="79"/>
      <c r="MP37" s="79"/>
      <c r="MQ37" s="79"/>
      <c r="MR37" s="79"/>
      <c r="MS37" s="79"/>
      <c r="MT37" s="79"/>
      <c r="MU37" s="79"/>
      <c r="MV37" s="79"/>
      <c r="MW37" s="79"/>
      <c r="MX37" s="79"/>
      <c r="MY37" s="79"/>
      <c r="MZ37" s="79"/>
      <c r="NA37" s="79"/>
      <c r="NB37" s="79"/>
      <c r="NC37" s="79"/>
      <c r="ND37" s="79"/>
      <c r="NE37" s="79"/>
      <c r="NF37" s="79"/>
      <c r="NG37" s="79"/>
      <c r="NH37" s="79"/>
      <c r="NI37" s="79"/>
      <c r="NJ37" s="79"/>
      <c r="NK37" s="79"/>
      <c r="NL37" s="79"/>
      <c r="NM37" s="79"/>
      <c r="NN37" s="79"/>
      <c r="NO37" s="79"/>
      <c r="NP37" s="79"/>
      <c r="NQ37" s="79"/>
      <c r="NR37" s="79"/>
      <c r="NS37" s="79"/>
      <c r="NT37" s="79"/>
      <c r="NU37" s="79"/>
      <c r="NV37" s="79"/>
      <c r="NW37" s="79"/>
      <c r="NX37" s="79"/>
      <c r="NY37" s="79"/>
      <c r="NZ37" s="79"/>
      <c r="OA37" s="79"/>
      <c r="OB37" s="79"/>
      <c r="OC37" s="79"/>
      <c r="OD37" s="79"/>
      <c r="OE37" s="79"/>
      <c r="OF37" s="79"/>
      <c r="OG37" s="79"/>
      <c r="OH37" s="79"/>
      <c r="OI37" s="79"/>
      <c r="OJ37" s="79"/>
      <c r="OK37" s="79"/>
      <c r="OL37" s="79"/>
      <c r="OM37" s="79"/>
      <c r="ON37" s="79"/>
      <c r="OO37" s="79"/>
      <c r="OP37" s="79"/>
      <c r="OQ37" s="79"/>
      <c r="OR37" s="79"/>
      <c r="OS37" s="79"/>
      <c r="OT37" s="79"/>
      <c r="OU37" s="79"/>
      <c r="OV37" s="79"/>
      <c r="OW37" s="79"/>
      <c r="OX37" s="79"/>
      <c r="OY37" s="79"/>
      <c r="OZ37" s="79"/>
      <c r="PA37" s="79"/>
      <c r="PB37" s="79"/>
      <c r="PC37" s="79"/>
      <c r="PD37" s="79"/>
      <c r="PE37" s="79"/>
      <c r="PF37" s="79"/>
      <c r="PG37" s="79"/>
      <c r="PH37" s="79"/>
      <c r="PI37" s="79"/>
      <c r="PJ37" s="79"/>
      <c r="PK37" s="79"/>
      <c r="PL37" s="79"/>
      <c r="PM37" s="79"/>
      <c r="PN37" s="79"/>
      <c r="PO37" s="79"/>
      <c r="PP37" s="79"/>
      <c r="PQ37" s="79"/>
      <c r="PR37" s="79"/>
      <c r="PS37" s="79"/>
      <c r="PT37" s="79"/>
      <c r="PU37" s="79"/>
      <c r="PV37" s="79"/>
      <c r="PW37" s="79"/>
      <c r="PX37" s="79"/>
      <c r="PY37" s="79"/>
      <c r="PZ37" s="79"/>
      <c r="QA37" s="79"/>
      <c r="QB37" s="79"/>
      <c r="QC37" s="79"/>
      <c r="QD37" s="79"/>
      <c r="QE37" s="79"/>
      <c r="QF37" s="79"/>
      <c r="QG37" s="79"/>
      <c r="QH37" s="79"/>
      <c r="QI37" s="79"/>
      <c r="QJ37" s="79"/>
      <c r="QK37" s="79"/>
      <c r="QL37" s="79"/>
      <c r="QM37" s="79"/>
      <c r="QN37" s="79"/>
      <c r="QO37" s="79"/>
      <c r="QP37" s="79"/>
      <c r="QQ37" s="79"/>
      <c r="QR37" s="79"/>
      <c r="QS37" s="79"/>
      <c r="QT37" s="79"/>
      <c r="QU37" s="79"/>
      <c r="QV37" s="79"/>
      <c r="QW37" s="79"/>
      <c r="QX37" s="79"/>
      <c r="QY37" s="79"/>
      <c r="QZ37" s="79"/>
      <c r="RA37" s="79"/>
      <c r="RB37" s="79"/>
      <c r="RC37" s="79"/>
      <c r="RD37" s="79"/>
      <c r="RE37" s="79"/>
      <c r="RF37" s="79"/>
      <c r="RG37" s="79"/>
      <c r="RH37" s="79"/>
      <c r="RI37" s="79"/>
      <c r="RJ37" s="79"/>
      <c r="RK37" s="79"/>
      <c r="RL37" s="79"/>
      <c r="RM37" s="79"/>
      <c r="RN37" s="79"/>
      <c r="RO37" s="79"/>
      <c r="RP37" s="79"/>
      <c r="RQ37" s="79"/>
      <c r="RR37" s="79"/>
      <c r="RS37" s="79"/>
      <c r="RT37" s="79"/>
      <c r="RU37" s="79"/>
      <c r="RV37" s="79"/>
      <c r="RW37" s="79"/>
      <c r="RX37" s="79"/>
      <c r="RY37" s="79"/>
      <c r="RZ37" s="79"/>
      <c r="SA37" s="79"/>
      <c r="SB37" s="79"/>
      <c r="SC37" s="79"/>
      <c r="SD37" s="79"/>
      <c r="SE37" s="79"/>
      <c r="SF37" s="79"/>
      <c r="SG37" s="79"/>
      <c r="SH37" s="79"/>
      <c r="SI37" s="79"/>
      <c r="SJ37" s="79"/>
    </row>
    <row r="38" spans="2:504" x14ac:dyDescent="0.25">
      <c r="B38" s="48" t="str">
        <f>'Pay App 1'!B83</f>
        <v>06 40 00</v>
      </c>
      <c r="C38" s="33" t="str">
        <f>'Pay App 1'!C83</f>
        <v>Arch. Woodwork &amp; Finish Carp.</v>
      </c>
      <c r="D38" s="82">
        <f t="shared" si="8"/>
        <v>0</v>
      </c>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79"/>
      <c r="BR38" s="79"/>
      <c r="BS38" s="79"/>
      <c r="BT38" s="79"/>
      <c r="BU38" s="79"/>
      <c r="BV38" s="79"/>
      <c r="BW38" s="79"/>
      <c r="BX38" s="79"/>
      <c r="BY38" s="79"/>
      <c r="BZ38" s="79"/>
      <c r="CA38" s="79"/>
      <c r="CB38" s="79"/>
      <c r="CC38" s="79"/>
      <c r="CD38" s="79"/>
      <c r="CE38" s="79"/>
      <c r="CF38" s="79"/>
      <c r="CG38" s="79"/>
      <c r="CH38" s="79"/>
      <c r="CI38" s="79"/>
      <c r="CJ38" s="79"/>
      <c r="CK38" s="79"/>
      <c r="CL38" s="79"/>
      <c r="CM38" s="79"/>
      <c r="CN38" s="79"/>
      <c r="CO38" s="79"/>
      <c r="CP38" s="79"/>
      <c r="CQ38" s="79"/>
      <c r="CR38" s="79"/>
      <c r="CS38" s="79"/>
      <c r="CT38" s="79"/>
      <c r="CU38" s="79"/>
      <c r="CV38" s="79"/>
      <c r="CW38" s="79"/>
      <c r="CX38" s="79"/>
      <c r="CY38" s="79"/>
      <c r="CZ38" s="79"/>
      <c r="DA38" s="79"/>
      <c r="DB38" s="79"/>
      <c r="DC38" s="79"/>
      <c r="DD38" s="79"/>
      <c r="DE38" s="79"/>
      <c r="DF38" s="79"/>
      <c r="DG38" s="79"/>
      <c r="DH38" s="79"/>
      <c r="DI38" s="79"/>
      <c r="DJ38" s="79"/>
      <c r="DK38" s="79"/>
      <c r="DL38" s="79"/>
      <c r="DM38" s="79"/>
      <c r="DN38" s="79"/>
      <c r="DO38" s="79"/>
      <c r="DP38" s="79"/>
      <c r="DQ38" s="79"/>
      <c r="DR38" s="79"/>
      <c r="DS38" s="79"/>
      <c r="DT38" s="79"/>
      <c r="DU38" s="79"/>
      <c r="DV38" s="79"/>
      <c r="DW38" s="79"/>
      <c r="DX38" s="79"/>
      <c r="DY38" s="79"/>
      <c r="DZ38" s="79"/>
      <c r="EA38" s="79"/>
      <c r="EB38" s="79"/>
      <c r="EC38" s="79"/>
      <c r="ED38" s="79"/>
      <c r="EE38" s="79"/>
      <c r="EF38" s="79"/>
      <c r="EG38" s="79"/>
      <c r="EH38" s="79"/>
      <c r="EI38" s="79"/>
      <c r="EJ38" s="79"/>
      <c r="EK38" s="79"/>
      <c r="EL38" s="79"/>
      <c r="EM38" s="79"/>
      <c r="EN38" s="79"/>
      <c r="EO38" s="79"/>
      <c r="EP38" s="79"/>
      <c r="EQ38" s="79"/>
      <c r="ER38" s="79"/>
      <c r="ES38" s="79"/>
      <c r="ET38" s="79"/>
      <c r="EU38" s="79"/>
      <c r="EV38" s="79"/>
      <c r="EW38" s="79"/>
      <c r="EX38" s="79"/>
      <c r="EY38" s="79"/>
      <c r="EZ38" s="79"/>
      <c r="FA38" s="79"/>
      <c r="FB38" s="79"/>
      <c r="FC38" s="79"/>
      <c r="FD38" s="79"/>
      <c r="FE38" s="79"/>
      <c r="FF38" s="79"/>
      <c r="FG38" s="79"/>
      <c r="FH38" s="79"/>
      <c r="FI38" s="79"/>
      <c r="FJ38" s="79"/>
      <c r="FK38" s="79"/>
      <c r="FL38" s="79"/>
      <c r="FM38" s="79"/>
      <c r="FN38" s="79"/>
      <c r="FO38" s="79"/>
      <c r="FP38" s="79"/>
      <c r="FQ38" s="79"/>
      <c r="FR38" s="79"/>
      <c r="FS38" s="79"/>
      <c r="FT38" s="79"/>
      <c r="FU38" s="79"/>
      <c r="FV38" s="79"/>
      <c r="FW38" s="79"/>
      <c r="FX38" s="79"/>
      <c r="FY38" s="79"/>
      <c r="FZ38" s="79"/>
      <c r="GA38" s="79"/>
      <c r="GB38" s="79"/>
      <c r="GC38" s="79"/>
      <c r="GD38" s="79"/>
      <c r="GE38" s="79"/>
      <c r="GF38" s="79"/>
      <c r="GG38" s="79"/>
      <c r="GH38" s="79"/>
      <c r="GI38" s="79"/>
      <c r="GJ38" s="79"/>
      <c r="GK38" s="79"/>
      <c r="GL38" s="79"/>
      <c r="GM38" s="79"/>
      <c r="GN38" s="79"/>
      <c r="GO38" s="79"/>
      <c r="GP38" s="79"/>
      <c r="GQ38" s="79"/>
      <c r="GR38" s="79"/>
      <c r="GS38" s="79"/>
      <c r="GT38" s="79"/>
      <c r="GU38" s="79"/>
      <c r="GV38" s="79"/>
      <c r="GW38" s="79"/>
      <c r="GX38" s="79"/>
      <c r="GY38" s="79"/>
      <c r="GZ38" s="79"/>
      <c r="HA38" s="79"/>
      <c r="HB38" s="79"/>
      <c r="HC38" s="79"/>
      <c r="HD38" s="79"/>
      <c r="HE38" s="79"/>
      <c r="HF38" s="79"/>
      <c r="HG38" s="79"/>
      <c r="HH38" s="79"/>
      <c r="HI38" s="79"/>
      <c r="HJ38" s="79"/>
      <c r="HK38" s="79"/>
      <c r="HL38" s="79"/>
      <c r="HM38" s="79"/>
      <c r="HN38" s="79"/>
      <c r="HO38" s="79"/>
      <c r="HP38" s="79"/>
      <c r="HQ38" s="79"/>
      <c r="HR38" s="79"/>
      <c r="HS38" s="79"/>
      <c r="HT38" s="79"/>
      <c r="HU38" s="79"/>
      <c r="HV38" s="79"/>
      <c r="HW38" s="79"/>
      <c r="HX38" s="79"/>
      <c r="HY38" s="79"/>
      <c r="HZ38" s="79"/>
      <c r="IA38" s="79"/>
      <c r="IB38" s="79"/>
      <c r="IC38" s="79"/>
      <c r="ID38" s="79"/>
      <c r="IE38" s="79"/>
      <c r="IF38" s="79"/>
      <c r="IG38" s="79"/>
      <c r="IH38" s="79"/>
      <c r="II38" s="79"/>
      <c r="IJ38" s="79"/>
      <c r="IK38" s="79"/>
      <c r="IL38" s="79"/>
      <c r="IM38" s="79"/>
      <c r="IN38" s="79"/>
      <c r="IO38" s="79"/>
      <c r="IP38" s="79"/>
      <c r="IQ38" s="79"/>
      <c r="IR38" s="79"/>
      <c r="IS38" s="79"/>
      <c r="IT38" s="79"/>
      <c r="IU38" s="79"/>
      <c r="IV38" s="79"/>
      <c r="IW38" s="79"/>
      <c r="IX38" s="79"/>
      <c r="IY38" s="79"/>
      <c r="IZ38" s="79"/>
      <c r="JA38" s="79"/>
      <c r="JB38" s="79"/>
      <c r="JC38" s="79"/>
      <c r="JD38" s="79"/>
      <c r="JE38" s="79"/>
      <c r="JF38" s="79"/>
      <c r="JG38" s="79"/>
      <c r="JH38" s="79"/>
      <c r="JI38" s="79"/>
      <c r="JJ38" s="79"/>
      <c r="JK38" s="79"/>
      <c r="JL38" s="79"/>
      <c r="JM38" s="79"/>
      <c r="JN38" s="79"/>
      <c r="JO38" s="79"/>
      <c r="JP38" s="79"/>
      <c r="JQ38" s="79"/>
      <c r="JR38" s="79"/>
      <c r="JS38" s="79"/>
      <c r="JT38" s="79"/>
      <c r="JU38" s="79"/>
      <c r="JV38" s="79"/>
      <c r="JW38" s="79"/>
      <c r="JX38" s="79"/>
      <c r="JY38" s="79"/>
      <c r="JZ38" s="79"/>
      <c r="KA38" s="79"/>
      <c r="KB38" s="79"/>
      <c r="KC38" s="79"/>
      <c r="KD38" s="79"/>
      <c r="KE38" s="79"/>
      <c r="KF38" s="79"/>
      <c r="KG38" s="79"/>
      <c r="KH38" s="79"/>
      <c r="KI38" s="79"/>
      <c r="KJ38" s="79"/>
      <c r="KK38" s="79"/>
      <c r="KL38" s="79"/>
      <c r="KM38" s="79"/>
      <c r="KN38" s="79"/>
      <c r="KO38" s="79"/>
      <c r="KP38" s="79"/>
      <c r="KQ38" s="79"/>
      <c r="KR38" s="79"/>
      <c r="KS38" s="79"/>
      <c r="KT38" s="79"/>
      <c r="KU38" s="79"/>
      <c r="KV38" s="79"/>
      <c r="KW38" s="79"/>
      <c r="KX38" s="79"/>
      <c r="KY38" s="79"/>
      <c r="KZ38" s="79"/>
      <c r="LA38" s="79"/>
      <c r="LB38" s="79"/>
      <c r="LC38" s="79"/>
      <c r="LD38" s="79"/>
      <c r="LE38" s="79"/>
      <c r="LF38" s="79"/>
      <c r="LG38" s="79"/>
      <c r="LH38" s="79"/>
      <c r="LI38" s="79"/>
      <c r="LJ38" s="79"/>
      <c r="LK38" s="79"/>
      <c r="LL38" s="79"/>
      <c r="LM38" s="79"/>
      <c r="LN38" s="79"/>
      <c r="LO38" s="79"/>
      <c r="LP38" s="79"/>
      <c r="LQ38" s="79"/>
      <c r="LR38" s="79"/>
      <c r="LS38" s="79"/>
      <c r="LT38" s="79"/>
      <c r="LU38" s="79"/>
      <c r="LV38" s="79"/>
      <c r="LW38" s="79"/>
      <c r="LX38" s="79"/>
      <c r="LY38" s="79"/>
      <c r="LZ38" s="79"/>
      <c r="MA38" s="79"/>
      <c r="MB38" s="79"/>
      <c r="MC38" s="79"/>
      <c r="MD38" s="79"/>
      <c r="ME38" s="79"/>
      <c r="MF38" s="79"/>
      <c r="MG38" s="79"/>
      <c r="MH38" s="79"/>
      <c r="MI38" s="79"/>
      <c r="MJ38" s="79"/>
      <c r="MK38" s="79"/>
      <c r="ML38" s="79"/>
      <c r="MM38" s="79"/>
      <c r="MN38" s="79"/>
      <c r="MO38" s="79"/>
      <c r="MP38" s="79"/>
      <c r="MQ38" s="79"/>
      <c r="MR38" s="79"/>
      <c r="MS38" s="79"/>
      <c r="MT38" s="79"/>
      <c r="MU38" s="79"/>
      <c r="MV38" s="79"/>
      <c r="MW38" s="79"/>
      <c r="MX38" s="79"/>
      <c r="MY38" s="79"/>
      <c r="MZ38" s="79"/>
      <c r="NA38" s="79"/>
      <c r="NB38" s="79"/>
      <c r="NC38" s="79"/>
      <c r="ND38" s="79"/>
      <c r="NE38" s="79"/>
      <c r="NF38" s="79"/>
      <c r="NG38" s="79"/>
      <c r="NH38" s="79"/>
      <c r="NI38" s="79"/>
      <c r="NJ38" s="79"/>
      <c r="NK38" s="79"/>
      <c r="NL38" s="79"/>
      <c r="NM38" s="79"/>
      <c r="NN38" s="79"/>
      <c r="NO38" s="79"/>
      <c r="NP38" s="79"/>
      <c r="NQ38" s="79"/>
      <c r="NR38" s="79"/>
      <c r="NS38" s="79"/>
      <c r="NT38" s="79"/>
      <c r="NU38" s="79"/>
      <c r="NV38" s="79"/>
      <c r="NW38" s="79"/>
      <c r="NX38" s="79"/>
      <c r="NY38" s="79"/>
      <c r="NZ38" s="79"/>
      <c r="OA38" s="79"/>
      <c r="OB38" s="79"/>
      <c r="OC38" s="79"/>
      <c r="OD38" s="79"/>
      <c r="OE38" s="79"/>
      <c r="OF38" s="79"/>
      <c r="OG38" s="79"/>
      <c r="OH38" s="79"/>
      <c r="OI38" s="79"/>
      <c r="OJ38" s="79"/>
      <c r="OK38" s="79"/>
      <c r="OL38" s="79"/>
      <c r="OM38" s="79"/>
      <c r="ON38" s="79"/>
      <c r="OO38" s="79"/>
      <c r="OP38" s="79"/>
      <c r="OQ38" s="79"/>
      <c r="OR38" s="79"/>
      <c r="OS38" s="79"/>
      <c r="OT38" s="79"/>
      <c r="OU38" s="79"/>
      <c r="OV38" s="79"/>
      <c r="OW38" s="79"/>
      <c r="OX38" s="79"/>
      <c r="OY38" s="79"/>
      <c r="OZ38" s="79"/>
      <c r="PA38" s="79"/>
      <c r="PB38" s="79"/>
      <c r="PC38" s="79"/>
      <c r="PD38" s="79"/>
      <c r="PE38" s="79"/>
      <c r="PF38" s="79"/>
      <c r="PG38" s="79"/>
      <c r="PH38" s="79"/>
      <c r="PI38" s="79"/>
      <c r="PJ38" s="79"/>
      <c r="PK38" s="79"/>
      <c r="PL38" s="79"/>
      <c r="PM38" s="79"/>
      <c r="PN38" s="79"/>
      <c r="PO38" s="79"/>
      <c r="PP38" s="79"/>
      <c r="PQ38" s="79"/>
      <c r="PR38" s="79"/>
      <c r="PS38" s="79"/>
      <c r="PT38" s="79"/>
      <c r="PU38" s="79"/>
      <c r="PV38" s="79"/>
      <c r="PW38" s="79"/>
      <c r="PX38" s="79"/>
      <c r="PY38" s="79"/>
      <c r="PZ38" s="79"/>
      <c r="QA38" s="79"/>
      <c r="QB38" s="79"/>
      <c r="QC38" s="79"/>
      <c r="QD38" s="79"/>
      <c r="QE38" s="79"/>
      <c r="QF38" s="79"/>
      <c r="QG38" s="79"/>
      <c r="QH38" s="79"/>
      <c r="QI38" s="79"/>
      <c r="QJ38" s="79"/>
      <c r="QK38" s="79"/>
      <c r="QL38" s="79"/>
      <c r="QM38" s="79"/>
      <c r="QN38" s="79"/>
      <c r="QO38" s="79"/>
      <c r="QP38" s="79"/>
      <c r="QQ38" s="79"/>
      <c r="QR38" s="79"/>
      <c r="QS38" s="79"/>
      <c r="QT38" s="79"/>
      <c r="QU38" s="79"/>
      <c r="QV38" s="79"/>
      <c r="QW38" s="79"/>
      <c r="QX38" s="79"/>
      <c r="QY38" s="79"/>
      <c r="QZ38" s="79"/>
      <c r="RA38" s="79"/>
      <c r="RB38" s="79"/>
      <c r="RC38" s="79"/>
      <c r="RD38" s="79"/>
      <c r="RE38" s="79"/>
      <c r="RF38" s="79"/>
      <c r="RG38" s="79"/>
      <c r="RH38" s="79"/>
      <c r="RI38" s="79"/>
      <c r="RJ38" s="79"/>
      <c r="RK38" s="79"/>
      <c r="RL38" s="79"/>
      <c r="RM38" s="79"/>
      <c r="RN38" s="79"/>
      <c r="RO38" s="79"/>
      <c r="RP38" s="79"/>
      <c r="RQ38" s="79"/>
      <c r="RR38" s="79"/>
      <c r="RS38" s="79"/>
      <c r="RT38" s="79"/>
      <c r="RU38" s="79"/>
      <c r="RV38" s="79"/>
      <c r="RW38" s="79"/>
      <c r="RX38" s="79"/>
      <c r="RY38" s="79"/>
      <c r="RZ38" s="79"/>
      <c r="SA38" s="79"/>
      <c r="SB38" s="79"/>
      <c r="SC38" s="79"/>
      <c r="SD38" s="79"/>
      <c r="SE38" s="79"/>
      <c r="SF38" s="79"/>
      <c r="SG38" s="79"/>
      <c r="SH38" s="79"/>
      <c r="SI38" s="79"/>
      <c r="SJ38" s="79"/>
    </row>
    <row r="39" spans="2:504" x14ac:dyDescent="0.25">
      <c r="B39" s="49" t="str">
        <f>'Pay App 1'!B84</f>
        <v>07 10 00</v>
      </c>
      <c r="C39" s="34" t="str">
        <f>'Pay App 1'!C84</f>
        <v>Waterproofing/Water Repellents</v>
      </c>
      <c r="D39" s="82">
        <f t="shared" si="8"/>
        <v>0</v>
      </c>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79"/>
      <c r="BR39" s="79"/>
      <c r="BS39" s="79"/>
      <c r="BT39" s="79"/>
      <c r="BU39" s="79"/>
      <c r="BV39" s="79"/>
      <c r="BW39" s="79"/>
      <c r="BX39" s="79"/>
      <c r="BY39" s="79"/>
      <c r="BZ39" s="79"/>
      <c r="CA39" s="79"/>
      <c r="CB39" s="79"/>
      <c r="CC39" s="79"/>
      <c r="CD39" s="79"/>
      <c r="CE39" s="79"/>
      <c r="CF39" s="79"/>
      <c r="CG39" s="79"/>
      <c r="CH39" s="79"/>
      <c r="CI39" s="79"/>
      <c r="CJ39" s="79"/>
      <c r="CK39" s="79"/>
      <c r="CL39" s="79"/>
      <c r="CM39" s="79"/>
      <c r="CN39" s="79"/>
      <c r="CO39" s="79"/>
      <c r="CP39" s="79"/>
      <c r="CQ39" s="79"/>
      <c r="CR39" s="79"/>
      <c r="CS39" s="79"/>
      <c r="CT39" s="79"/>
      <c r="CU39" s="79"/>
      <c r="CV39" s="79"/>
      <c r="CW39" s="79"/>
      <c r="CX39" s="79"/>
      <c r="CY39" s="79"/>
      <c r="CZ39" s="79"/>
      <c r="DA39" s="79"/>
      <c r="DB39" s="79"/>
      <c r="DC39" s="79"/>
      <c r="DD39" s="79"/>
      <c r="DE39" s="79"/>
      <c r="DF39" s="79"/>
      <c r="DG39" s="79"/>
      <c r="DH39" s="79"/>
      <c r="DI39" s="79"/>
      <c r="DJ39" s="79"/>
      <c r="DK39" s="79"/>
      <c r="DL39" s="79"/>
      <c r="DM39" s="79"/>
      <c r="DN39" s="79"/>
      <c r="DO39" s="79"/>
      <c r="DP39" s="79"/>
      <c r="DQ39" s="79"/>
      <c r="DR39" s="79"/>
      <c r="DS39" s="79"/>
      <c r="DT39" s="79"/>
      <c r="DU39" s="79"/>
      <c r="DV39" s="79"/>
      <c r="DW39" s="79"/>
      <c r="DX39" s="79"/>
      <c r="DY39" s="79"/>
      <c r="DZ39" s="79"/>
      <c r="EA39" s="79"/>
      <c r="EB39" s="79"/>
      <c r="EC39" s="79"/>
      <c r="ED39" s="79"/>
      <c r="EE39" s="79"/>
      <c r="EF39" s="79"/>
      <c r="EG39" s="79"/>
      <c r="EH39" s="79"/>
      <c r="EI39" s="79"/>
      <c r="EJ39" s="79"/>
      <c r="EK39" s="79"/>
      <c r="EL39" s="79"/>
      <c r="EM39" s="79"/>
      <c r="EN39" s="79"/>
      <c r="EO39" s="79"/>
      <c r="EP39" s="79"/>
      <c r="EQ39" s="79"/>
      <c r="ER39" s="79"/>
      <c r="ES39" s="79"/>
      <c r="ET39" s="79"/>
      <c r="EU39" s="79"/>
      <c r="EV39" s="79"/>
      <c r="EW39" s="79"/>
      <c r="EX39" s="79"/>
      <c r="EY39" s="79"/>
      <c r="EZ39" s="79"/>
      <c r="FA39" s="79"/>
      <c r="FB39" s="79"/>
      <c r="FC39" s="79"/>
      <c r="FD39" s="79"/>
      <c r="FE39" s="79"/>
      <c r="FF39" s="79"/>
      <c r="FG39" s="79"/>
      <c r="FH39" s="79"/>
      <c r="FI39" s="79"/>
      <c r="FJ39" s="79"/>
      <c r="FK39" s="79"/>
      <c r="FL39" s="79"/>
      <c r="FM39" s="79"/>
      <c r="FN39" s="79"/>
      <c r="FO39" s="79"/>
      <c r="FP39" s="79"/>
      <c r="FQ39" s="79"/>
      <c r="FR39" s="79"/>
      <c r="FS39" s="79"/>
      <c r="FT39" s="79"/>
      <c r="FU39" s="79"/>
      <c r="FV39" s="79"/>
      <c r="FW39" s="79"/>
      <c r="FX39" s="79"/>
      <c r="FY39" s="79"/>
      <c r="FZ39" s="79"/>
      <c r="GA39" s="79"/>
      <c r="GB39" s="79"/>
      <c r="GC39" s="79"/>
      <c r="GD39" s="79"/>
      <c r="GE39" s="79"/>
      <c r="GF39" s="79"/>
      <c r="GG39" s="79"/>
      <c r="GH39" s="79"/>
      <c r="GI39" s="79"/>
      <c r="GJ39" s="79"/>
      <c r="GK39" s="79"/>
      <c r="GL39" s="79"/>
      <c r="GM39" s="79"/>
      <c r="GN39" s="79"/>
      <c r="GO39" s="79"/>
      <c r="GP39" s="79"/>
      <c r="GQ39" s="79"/>
      <c r="GR39" s="79"/>
      <c r="GS39" s="79"/>
      <c r="GT39" s="79"/>
      <c r="GU39" s="79"/>
      <c r="GV39" s="79"/>
      <c r="GW39" s="79"/>
      <c r="GX39" s="79"/>
      <c r="GY39" s="79"/>
      <c r="GZ39" s="79"/>
      <c r="HA39" s="79"/>
      <c r="HB39" s="79"/>
      <c r="HC39" s="79"/>
      <c r="HD39" s="79"/>
      <c r="HE39" s="79"/>
      <c r="HF39" s="79"/>
      <c r="HG39" s="79"/>
      <c r="HH39" s="79"/>
      <c r="HI39" s="79"/>
      <c r="HJ39" s="79"/>
      <c r="HK39" s="79"/>
      <c r="HL39" s="79"/>
      <c r="HM39" s="79"/>
      <c r="HN39" s="79"/>
      <c r="HO39" s="79"/>
      <c r="HP39" s="79"/>
      <c r="HQ39" s="79"/>
      <c r="HR39" s="79"/>
      <c r="HS39" s="79"/>
      <c r="HT39" s="79"/>
      <c r="HU39" s="79"/>
      <c r="HV39" s="79"/>
      <c r="HW39" s="79"/>
      <c r="HX39" s="79"/>
      <c r="HY39" s="79"/>
      <c r="HZ39" s="79"/>
      <c r="IA39" s="79"/>
      <c r="IB39" s="79"/>
      <c r="IC39" s="79"/>
      <c r="ID39" s="79"/>
      <c r="IE39" s="79"/>
      <c r="IF39" s="79"/>
      <c r="IG39" s="79"/>
      <c r="IH39" s="79"/>
      <c r="II39" s="79"/>
      <c r="IJ39" s="79"/>
      <c r="IK39" s="79"/>
      <c r="IL39" s="79"/>
      <c r="IM39" s="79"/>
      <c r="IN39" s="79"/>
      <c r="IO39" s="79"/>
      <c r="IP39" s="79"/>
      <c r="IQ39" s="79"/>
      <c r="IR39" s="79"/>
      <c r="IS39" s="79"/>
      <c r="IT39" s="79"/>
      <c r="IU39" s="79"/>
      <c r="IV39" s="79"/>
      <c r="IW39" s="79"/>
      <c r="IX39" s="79"/>
      <c r="IY39" s="79"/>
      <c r="IZ39" s="79"/>
      <c r="JA39" s="79"/>
      <c r="JB39" s="79"/>
      <c r="JC39" s="79"/>
      <c r="JD39" s="79"/>
      <c r="JE39" s="79"/>
      <c r="JF39" s="79"/>
      <c r="JG39" s="79"/>
      <c r="JH39" s="79"/>
      <c r="JI39" s="79"/>
      <c r="JJ39" s="79"/>
      <c r="JK39" s="79"/>
      <c r="JL39" s="79"/>
      <c r="JM39" s="79"/>
      <c r="JN39" s="79"/>
      <c r="JO39" s="79"/>
      <c r="JP39" s="79"/>
      <c r="JQ39" s="79"/>
      <c r="JR39" s="79"/>
      <c r="JS39" s="79"/>
      <c r="JT39" s="79"/>
      <c r="JU39" s="79"/>
      <c r="JV39" s="79"/>
      <c r="JW39" s="79"/>
      <c r="JX39" s="79"/>
      <c r="JY39" s="79"/>
      <c r="JZ39" s="79"/>
      <c r="KA39" s="79"/>
      <c r="KB39" s="79"/>
      <c r="KC39" s="79"/>
      <c r="KD39" s="79"/>
      <c r="KE39" s="79"/>
      <c r="KF39" s="79"/>
      <c r="KG39" s="79"/>
      <c r="KH39" s="79"/>
      <c r="KI39" s="79"/>
      <c r="KJ39" s="79"/>
      <c r="KK39" s="79"/>
      <c r="KL39" s="79"/>
      <c r="KM39" s="79"/>
      <c r="KN39" s="79"/>
      <c r="KO39" s="79"/>
      <c r="KP39" s="79"/>
      <c r="KQ39" s="79"/>
      <c r="KR39" s="79"/>
      <c r="KS39" s="79"/>
      <c r="KT39" s="79"/>
      <c r="KU39" s="79"/>
      <c r="KV39" s="79"/>
      <c r="KW39" s="79"/>
      <c r="KX39" s="79"/>
      <c r="KY39" s="79"/>
      <c r="KZ39" s="79"/>
      <c r="LA39" s="79"/>
      <c r="LB39" s="79"/>
      <c r="LC39" s="79"/>
      <c r="LD39" s="79"/>
      <c r="LE39" s="79"/>
      <c r="LF39" s="79"/>
      <c r="LG39" s="79"/>
      <c r="LH39" s="79"/>
      <c r="LI39" s="79"/>
      <c r="LJ39" s="79"/>
      <c r="LK39" s="79"/>
      <c r="LL39" s="79"/>
      <c r="LM39" s="79"/>
      <c r="LN39" s="79"/>
      <c r="LO39" s="79"/>
      <c r="LP39" s="79"/>
      <c r="LQ39" s="79"/>
      <c r="LR39" s="79"/>
      <c r="LS39" s="79"/>
      <c r="LT39" s="79"/>
      <c r="LU39" s="79"/>
      <c r="LV39" s="79"/>
      <c r="LW39" s="79"/>
      <c r="LX39" s="79"/>
      <c r="LY39" s="79"/>
      <c r="LZ39" s="79"/>
      <c r="MA39" s="79"/>
      <c r="MB39" s="79"/>
      <c r="MC39" s="79"/>
      <c r="MD39" s="79"/>
      <c r="ME39" s="79"/>
      <c r="MF39" s="79"/>
      <c r="MG39" s="79"/>
      <c r="MH39" s="79"/>
      <c r="MI39" s="79"/>
      <c r="MJ39" s="79"/>
      <c r="MK39" s="79"/>
      <c r="ML39" s="79"/>
      <c r="MM39" s="79"/>
      <c r="MN39" s="79"/>
      <c r="MO39" s="79"/>
      <c r="MP39" s="79"/>
      <c r="MQ39" s="79"/>
      <c r="MR39" s="79"/>
      <c r="MS39" s="79"/>
      <c r="MT39" s="79"/>
      <c r="MU39" s="79"/>
      <c r="MV39" s="79"/>
      <c r="MW39" s="79"/>
      <c r="MX39" s="79"/>
      <c r="MY39" s="79"/>
      <c r="MZ39" s="79"/>
      <c r="NA39" s="79"/>
      <c r="NB39" s="79"/>
      <c r="NC39" s="79"/>
      <c r="ND39" s="79"/>
      <c r="NE39" s="79"/>
      <c r="NF39" s="79"/>
      <c r="NG39" s="79"/>
      <c r="NH39" s="79"/>
      <c r="NI39" s="79"/>
      <c r="NJ39" s="79"/>
      <c r="NK39" s="79"/>
      <c r="NL39" s="79"/>
      <c r="NM39" s="79"/>
      <c r="NN39" s="79"/>
      <c r="NO39" s="79"/>
      <c r="NP39" s="79"/>
      <c r="NQ39" s="79"/>
      <c r="NR39" s="79"/>
      <c r="NS39" s="79"/>
      <c r="NT39" s="79"/>
      <c r="NU39" s="79"/>
      <c r="NV39" s="79"/>
      <c r="NW39" s="79"/>
      <c r="NX39" s="79"/>
      <c r="NY39" s="79"/>
      <c r="NZ39" s="79"/>
      <c r="OA39" s="79"/>
      <c r="OB39" s="79"/>
      <c r="OC39" s="79"/>
      <c r="OD39" s="79"/>
      <c r="OE39" s="79"/>
      <c r="OF39" s="79"/>
      <c r="OG39" s="79"/>
      <c r="OH39" s="79"/>
      <c r="OI39" s="79"/>
      <c r="OJ39" s="79"/>
      <c r="OK39" s="79"/>
      <c r="OL39" s="79"/>
      <c r="OM39" s="79"/>
      <c r="ON39" s="79"/>
      <c r="OO39" s="79"/>
      <c r="OP39" s="79"/>
      <c r="OQ39" s="79"/>
      <c r="OR39" s="79"/>
      <c r="OS39" s="79"/>
      <c r="OT39" s="79"/>
      <c r="OU39" s="79"/>
      <c r="OV39" s="79"/>
      <c r="OW39" s="79"/>
      <c r="OX39" s="79"/>
      <c r="OY39" s="79"/>
      <c r="OZ39" s="79"/>
      <c r="PA39" s="79"/>
      <c r="PB39" s="79"/>
      <c r="PC39" s="79"/>
      <c r="PD39" s="79"/>
      <c r="PE39" s="79"/>
      <c r="PF39" s="79"/>
      <c r="PG39" s="79"/>
      <c r="PH39" s="79"/>
      <c r="PI39" s="79"/>
      <c r="PJ39" s="79"/>
      <c r="PK39" s="79"/>
      <c r="PL39" s="79"/>
      <c r="PM39" s="79"/>
      <c r="PN39" s="79"/>
      <c r="PO39" s="79"/>
      <c r="PP39" s="79"/>
      <c r="PQ39" s="79"/>
      <c r="PR39" s="79"/>
      <c r="PS39" s="79"/>
      <c r="PT39" s="79"/>
      <c r="PU39" s="79"/>
      <c r="PV39" s="79"/>
      <c r="PW39" s="79"/>
      <c r="PX39" s="79"/>
      <c r="PY39" s="79"/>
      <c r="PZ39" s="79"/>
      <c r="QA39" s="79"/>
      <c r="QB39" s="79"/>
      <c r="QC39" s="79"/>
      <c r="QD39" s="79"/>
      <c r="QE39" s="79"/>
      <c r="QF39" s="79"/>
      <c r="QG39" s="79"/>
      <c r="QH39" s="79"/>
      <c r="QI39" s="79"/>
      <c r="QJ39" s="79"/>
      <c r="QK39" s="79"/>
      <c r="QL39" s="79"/>
      <c r="QM39" s="79"/>
      <c r="QN39" s="79"/>
      <c r="QO39" s="79"/>
      <c r="QP39" s="79"/>
      <c r="QQ39" s="79"/>
      <c r="QR39" s="79"/>
      <c r="QS39" s="79"/>
      <c r="QT39" s="79"/>
      <c r="QU39" s="79"/>
      <c r="QV39" s="79"/>
      <c r="QW39" s="79"/>
      <c r="QX39" s="79"/>
      <c r="QY39" s="79"/>
      <c r="QZ39" s="79"/>
      <c r="RA39" s="79"/>
      <c r="RB39" s="79"/>
      <c r="RC39" s="79"/>
      <c r="RD39" s="79"/>
      <c r="RE39" s="79"/>
      <c r="RF39" s="79"/>
      <c r="RG39" s="79"/>
      <c r="RH39" s="79"/>
      <c r="RI39" s="79"/>
      <c r="RJ39" s="79"/>
      <c r="RK39" s="79"/>
      <c r="RL39" s="79"/>
      <c r="RM39" s="79"/>
      <c r="RN39" s="79"/>
      <c r="RO39" s="79"/>
      <c r="RP39" s="79"/>
      <c r="RQ39" s="79"/>
      <c r="RR39" s="79"/>
      <c r="RS39" s="79"/>
      <c r="RT39" s="79"/>
      <c r="RU39" s="79"/>
      <c r="RV39" s="79"/>
      <c r="RW39" s="79"/>
      <c r="RX39" s="79"/>
      <c r="RY39" s="79"/>
      <c r="RZ39" s="79"/>
      <c r="SA39" s="79"/>
      <c r="SB39" s="79"/>
      <c r="SC39" s="79"/>
      <c r="SD39" s="79"/>
      <c r="SE39" s="79"/>
      <c r="SF39" s="79"/>
      <c r="SG39" s="79"/>
      <c r="SH39" s="79"/>
      <c r="SI39" s="79"/>
      <c r="SJ39" s="79"/>
    </row>
    <row r="40" spans="2:504" x14ac:dyDescent="0.25">
      <c r="B40" s="49" t="str">
        <f>'Pay App 1'!B85</f>
        <v>07 20 00</v>
      </c>
      <c r="C40" s="34" t="str">
        <f>'Pay App 1'!C85</f>
        <v>Insulation</v>
      </c>
      <c r="D40" s="82">
        <f t="shared" si="8"/>
        <v>0</v>
      </c>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79"/>
      <c r="BR40" s="79"/>
      <c r="BS40" s="79"/>
      <c r="BT40" s="79"/>
      <c r="BU40" s="79"/>
      <c r="BV40" s="79"/>
      <c r="BW40" s="79"/>
      <c r="BX40" s="79"/>
      <c r="BY40" s="79"/>
      <c r="BZ40" s="79"/>
      <c r="CA40" s="79"/>
      <c r="CB40" s="79"/>
      <c r="CC40" s="79"/>
      <c r="CD40" s="79"/>
      <c r="CE40" s="79"/>
      <c r="CF40" s="79"/>
      <c r="CG40" s="79"/>
      <c r="CH40" s="79"/>
      <c r="CI40" s="79"/>
      <c r="CJ40" s="79"/>
      <c r="CK40" s="79"/>
      <c r="CL40" s="79"/>
      <c r="CM40" s="79"/>
      <c r="CN40" s="79"/>
      <c r="CO40" s="79"/>
      <c r="CP40" s="79"/>
      <c r="CQ40" s="79"/>
      <c r="CR40" s="79"/>
      <c r="CS40" s="79"/>
      <c r="CT40" s="79"/>
      <c r="CU40" s="79"/>
      <c r="CV40" s="79"/>
      <c r="CW40" s="79"/>
      <c r="CX40" s="79"/>
      <c r="CY40" s="79"/>
      <c r="CZ40" s="79"/>
      <c r="DA40" s="79"/>
      <c r="DB40" s="79"/>
      <c r="DC40" s="79"/>
      <c r="DD40" s="79"/>
      <c r="DE40" s="79"/>
      <c r="DF40" s="79"/>
      <c r="DG40" s="79"/>
      <c r="DH40" s="79"/>
      <c r="DI40" s="79"/>
      <c r="DJ40" s="79"/>
      <c r="DK40" s="79"/>
      <c r="DL40" s="79"/>
      <c r="DM40" s="79"/>
      <c r="DN40" s="79"/>
      <c r="DO40" s="79"/>
      <c r="DP40" s="79"/>
      <c r="DQ40" s="79"/>
      <c r="DR40" s="79"/>
      <c r="DS40" s="79"/>
      <c r="DT40" s="79"/>
      <c r="DU40" s="79"/>
      <c r="DV40" s="79"/>
      <c r="DW40" s="79"/>
      <c r="DX40" s="79"/>
      <c r="DY40" s="79"/>
      <c r="DZ40" s="79"/>
      <c r="EA40" s="79"/>
      <c r="EB40" s="79"/>
      <c r="EC40" s="79"/>
      <c r="ED40" s="79"/>
      <c r="EE40" s="79"/>
      <c r="EF40" s="79"/>
      <c r="EG40" s="79"/>
      <c r="EH40" s="79"/>
      <c r="EI40" s="79"/>
      <c r="EJ40" s="79"/>
      <c r="EK40" s="79"/>
      <c r="EL40" s="79"/>
      <c r="EM40" s="79"/>
      <c r="EN40" s="79"/>
      <c r="EO40" s="79"/>
      <c r="EP40" s="79"/>
      <c r="EQ40" s="79"/>
      <c r="ER40" s="79"/>
      <c r="ES40" s="79"/>
      <c r="ET40" s="79"/>
      <c r="EU40" s="79"/>
      <c r="EV40" s="79"/>
      <c r="EW40" s="79"/>
      <c r="EX40" s="79"/>
      <c r="EY40" s="79"/>
      <c r="EZ40" s="79"/>
      <c r="FA40" s="79"/>
      <c r="FB40" s="79"/>
      <c r="FC40" s="79"/>
      <c r="FD40" s="79"/>
      <c r="FE40" s="79"/>
      <c r="FF40" s="79"/>
      <c r="FG40" s="79"/>
      <c r="FH40" s="79"/>
      <c r="FI40" s="79"/>
      <c r="FJ40" s="79"/>
      <c r="FK40" s="79"/>
      <c r="FL40" s="79"/>
      <c r="FM40" s="79"/>
      <c r="FN40" s="79"/>
      <c r="FO40" s="79"/>
      <c r="FP40" s="79"/>
      <c r="FQ40" s="79"/>
      <c r="FR40" s="79"/>
      <c r="FS40" s="79"/>
      <c r="FT40" s="79"/>
      <c r="FU40" s="79"/>
      <c r="FV40" s="79"/>
      <c r="FW40" s="79"/>
      <c r="FX40" s="79"/>
      <c r="FY40" s="79"/>
      <c r="FZ40" s="79"/>
      <c r="GA40" s="79"/>
      <c r="GB40" s="79"/>
      <c r="GC40" s="79"/>
      <c r="GD40" s="79"/>
      <c r="GE40" s="79"/>
      <c r="GF40" s="79"/>
      <c r="GG40" s="79"/>
      <c r="GH40" s="79"/>
      <c r="GI40" s="79"/>
      <c r="GJ40" s="79"/>
      <c r="GK40" s="79"/>
      <c r="GL40" s="79"/>
      <c r="GM40" s="79"/>
      <c r="GN40" s="79"/>
      <c r="GO40" s="79"/>
      <c r="GP40" s="79"/>
      <c r="GQ40" s="79"/>
      <c r="GR40" s="79"/>
      <c r="GS40" s="79"/>
      <c r="GT40" s="79"/>
      <c r="GU40" s="79"/>
      <c r="GV40" s="79"/>
      <c r="GW40" s="79"/>
      <c r="GX40" s="79"/>
      <c r="GY40" s="79"/>
      <c r="GZ40" s="79"/>
      <c r="HA40" s="79"/>
      <c r="HB40" s="79"/>
      <c r="HC40" s="79"/>
      <c r="HD40" s="79"/>
      <c r="HE40" s="79"/>
      <c r="HF40" s="79"/>
      <c r="HG40" s="79"/>
      <c r="HH40" s="79"/>
      <c r="HI40" s="79"/>
      <c r="HJ40" s="79"/>
      <c r="HK40" s="79"/>
      <c r="HL40" s="79"/>
      <c r="HM40" s="79"/>
      <c r="HN40" s="79"/>
      <c r="HO40" s="79"/>
      <c r="HP40" s="79"/>
      <c r="HQ40" s="79"/>
      <c r="HR40" s="79"/>
      <c r="HS40" s="79"/>
      <c r="HT40" s="79"/>
      <c r="HU40" s="79"/>
      <c r="HV40" s="79"/>
      <c r="HW40" s="79"/>
      <c r="HX40" s="79"/>
      <c r="HY40" s="79"/>
      <c r="HZ40" s="79"/>
      <c r="IA40" s="79"/>
      <c r="IB40" s="79"/>
      <c r="IC40" s="79"/>
      <c r="ID40" s="79"/>
      <c r="IE40" s="79"/>
      <c r="IF40" s="79"/>
      <c r="IG40" s="79"/>
      <c r="IH40" s="79"/>
      <c r="II40" s="79"/>
      <c r="IJ40" s="79"/>
      <c r="IK40" s="79"/>
      <c r="IL40" s="79"/>
      <c r="IM40" s="79"/>
      <c r="IN40" s="79"/>
      <c r="IO40" s="79"/>
      <c r="IP40" s="79"/>
      <c r="IQ40" s="79"/>
      <c r="IR40" s="79"/>
      <c r="IS40" s="79"/>
      <c r="IT40" s="79"/>
      <c r="IU40" s="79"/>
      <c r="IV40" s="79"/>
      <c r="IW40" s="79"/>
      <c r="IX40" s="79"/>
      <c r="IY40" s="79"/>
      <c r="IZ40" s="79"/>
      <c r="JA40" s="79"/>
      <c r="JB40" s="79"/>
      <c r="JC40" s="79"/>
      <c r="JD40" s="79"/>
      <c r="JE40" s="79"/>
      <c r="JF40" s="79"/>
      <c r="JG40" s="79"/>
      <c r="JH40" s="79"/>
      <c r="JI40" s="79"/>
      <c r="JJ40" s="79"/>
      <c r="JK40" s="79"/>
      <c r="JL40" s="79"/>
      <c r="JM40" s="79"/>
      <c r="JN40" s="79"/>
      <c r="JO40" s="79"/>
      <c r="JP40" s="79"/>
      <c r="JQ40" s="79"/>
      <c r="JR40" s="79"/>
      <c r="JS40" s="79"/>
      <c r="JT40" s="79"/>
      <c r="JU40" s="79"/>
      <c r="JV40" s="79"/>
      <c r="JW40" s="79"/>
      <c r="JX40" s="79"/>
      <c r="JY40" s="79"/>
      <c r="JZ40" s="79"/>
      <c r="KA40" s="79"/>
      <c r="KB40" s="79"/>
      <c r="KC40" s="79"/>
      <c r="KD40" s="79"/>
      <c r="KE40" s="79"/>
      <c r="KF40" s="79"/>
      <c r="KG40" s="79"/>
      <c r="KH40" s="79"/>
      <c r="KI40" s="79"/>
      <c r="KJ40" s="79"/>
      <c r="KK40" s="79"/>
      <c r="KL40" s="79"/>
      <c r="KM40" s="79"/>
      <c r="KN40" s="79"/>
      <c r="KO40" s="79"/>
      <c r="KP40" s="79"/>
      <c r="KQ40" s="79"/>
      <c r="KR40" s="79"/>
      <c r="KS40" s="79"/>
      <c r="KT40" s="79"/>
      <c r="KU40" s="79"/>
      <c r="KV40" s="79"/>
      <c r="KW40" s="79"/>
      <c r="KX40" s="79"/>
      <c r="KY40" s="79"/>
      <c r="KZ40" s="79"/>
      <c r="LA40" s="79"/>
      <c r="LB40" s="79"/>
      <c r="LC40" s="79"/>
      <c r="LD40" s="79"/>
      <c r="LE40" s="79"/>
      <c r="LF40" s="79"/>
      <c r="LG40" s="79"/>
      <c r="LH40" s="79"/>
      <c r="LI40" s="79"/>
      <c r="LJ40" s="79"/>
      <c r="LK40" s="79"/>
      <c r="LL40" s="79"/>
      <c r="LM40" s="79"/>
      <c r="LN40" s="79"/>
      <c r="LO40" s="79"/>
      <c r="LP40" s="79"/>
      <c r="LQ40" s="79"/>
      <c r="LR40" s="79"/>
      <c r="LS40" s="79"/>
      <c r="LT40" s="79"/>
      <c r="LU40" s="79"/>
      <c r="LV40" s="79"/>
      <c r="LW40" s="79"/>
      <c r="LX40" s="79"/>
      <c r="LY40" s="79"/>
      <c r="LZ40" s="79"/>
      <c r="MA40" s="79"/>
      <c r="MB40" s="79"/>
      <c r="MC40" s="79"/>
      <c r="MD40" s="79"/>
      <c r="ME40" s="79"/>
      <c r="MF40" s="79"/>
      <c r="MG40" s="79"/>
      <c r="MH40" s="79"/>
      <c r="MI40" s="79"/>
      <c r="MJ40" s="79"/>
      <c r="MK40" s="79"/>
      <c r="ML40" s="79"/>
      <c r="MM40" s="79"/>
      <c r="MN40" s="79"/>
      <c r="MO40" s="79"/>
      <c r="MP40" s="79"/>
      <c r="MQ40" s="79"/>
      <c r="MR40" s="79"/>
      <c r="MS40" s="79"/>
      <c r="MT40" s="79"/>
      <c r="MU40" s="79"/>
      <c r="MV40" s="79"/>
      <c r="MW40" s="79"/>
      <c r="MX40" s="79"/>
      <c r="MY40" s="79"/>
      <c r="MZ40" s="79"/>
      <c r="NA40" s="79"/>
      <c r="NB40" s="79"/>
      <c r="NC40" s="79"/>
      <c r="ND40" s="79"/>
      <c r="NE40" s="79"/>
      <c r="NF40" s="79"/>
      <c r="NG40" s="79"/>
      <c r="NH40" s="79"/>
      <c r="NI40" s="79"/>
      <c r="NJ40" s="79"/>
      <c r="NK40" s="79"/>
      <c r="NL40" s="79"/>
      <c r="NM40" s="79"/>
      <c r="NN40" s="79"/>
      <c r="NO40" s="79"/>
      <c r="NP40" s="79"/>
      <c r="NQ40" s="79"/>
      <c r="NR40" s="79"/>
      <c r="NS40" s="79"/>
      <c r="NT40" s="79"/>
      <c r="NU40" s="79"/>
      <c r="NV40" s="79"/>
      <c r="NW40" s="79"/>
      <c r="NX40" s="79"/>
      <c r="NY40" s="79"/>
      <c r="NZ40" s="79"/>
      <c r="OA40" s="79"/>
      <c r="OB40" s="79"/>
      <c r="OC40" s="79"/>
      <c r="OD40" s="79"/>
      <c r="OE40" s="79"/>
      <c r="OF40" s="79"/>
      <c r="OG40" s="79"/>
      <c r="OH40" s="79"/>
      <c r="OI40" s="79"/>
      <c r="OJ40" s="79"/>
      <c r="OK40" s="79"/>
      <c r="OL40" s="79"/>
      <c r="OM40" s="79"/>
      <c r="ON40" s="79"/>
      <c r="OO40" s="79"/>
      <c r="OP40" s="79"/>
      <c r="OQ40" s="79"/>
      <c r="OR40" s="79"/>
      <c r="OS40" s="79"/>
      <c r="OT40" s="79"/>
      <c r="OU40" s="79"/>
      <c r="OV40" s="79"/>
      <c r="OW40" s="79"/>
      <c r="OX40" s="79"/>
      <c r="OY40" s="79"/>
      <c r="OZ40" s="79"/>
      <c r="PA40" s="79"/>
      <c r="PB40" s="79"/>
      <c r="PC40" s="79"/>
      <c r="PD40" s="79"/>
      <c r="PE40" s="79"/>
      <c r="PF40" s="79"/>
      <c r="PG40" s="79"/>
      <c r="PH40" s="79"/>
      <c r="PI40" s="79"/>
      <c r="PJ40" s="79"/>
      <c r="PK40" s="79"/>
      <c r="PL40" s="79"/>
      <c r="PM40" s="79"/>
      <c r="PN40" s="79"/>
      <c r="PO40" s="79"/>
      <c r="PP40" s="79"/>
      <c r="PQ40" s="79"/>
      <c r="PR40" s="79"/>
      <c r="PS40" s="79"/>
      <c r="PT40" s="79"/>
      <c r="PU40" s="79"/>
      <c r="PV40" s="79"/>
      <c r="PW40" s="79"/>
      <c r="PX40" s="79"/>
      <c r="PY40" s="79"/>
      <c r="PZ40" s="79"/>
      <c r="QA40" s="79"/>
      <c r="QB40" s="79"/>
      <c r="QC40" s="79"/>
      <c r="QD40" s="79"/>
      <c r="QE40" s="79"/>
      <c r="QF40" s="79"/>
      <c r="QG40" s="79"/>
      <c r="QH40" s="79"/>
      <c r="QI40" s="79"/>
      <c r="QJ40" s="79"/>
      <c r="QK40" s="79"/>
      <c r="QL40" s="79"/>
      <c r="QM40" s="79"/>
      <c r="QN40" s="79"/>
      <c r="QO40" s="79"/>
      <c r="QP40" s="79"/>
      <c r="QQ40" s="79"/>
      <c r="QR40" s="79"/>
      <c r="QS40" s="79"/>
      <c r="QT40" s="79"/>
      <c r="QU40" s="79"/>
      <c r="QV40" s="79"/>
      <c r="QW40" s="79"/>
      <c r="QX40" s="79"/>
      <c r="QY40" s="79"/>
      <c r="QZ40" s="79"/>
      <c r="RA40" s="79"/>
      <c r="RB40" s="79"/>
      <c r="RC40" s="79"/>
      <c r="RD40" s="79"/>
      <c r="RE40" s="79"/>
      <c r="RF40" s="79"/>
      <c r="RG40" s="79"/>
      <c r="RH40" s="79"/>
      <c r="RI40" s="79"/>
      <c r="RJ40" s="79"/>
      <c r="RK40" s="79"/>
      <c r="RL40" s="79"/>
      <c r="RM40" s="79"/>
      <c r="RN40" s="79"/>
      <c r="RO40" s="79"/>
      <c r="RP40" s="79"/>
      <c r="RQ40" s="79"/>
      <c r="RR40" s="79"/>
      <c r="RS40" s="79"/>
      <c r="RT40" s="79"/>
      <c r="RU40" s="79"/>
      <c r="RV40" s="79"/>
      <c r="RW40" s="79"/>
      <c r="RX40" s="79"/>
      <c r="RY40" s="79"/>
      <c r="RZ40" s="79"/>
      <c r="SA40" s="79"/>
      <c r="SB40" s="79"/>
      <c r="SC40" s="79"/>
      <c r="SD40" s="79"/>
      <c r="SE40" s="79"/>
      <c r="SF40" s="79"/>
      <c r="SG40" s="79"/>
      <c r="SH40" s="79"/>
      <c r="SI40" s="79"/>
      <c r="SJ40" s="79"/>
    </row>
    <row r="41" spans="2:504" x14ac:dyDescent="0.25">
      <c r="B41" s="49" t="str">
        <f>'Pay App 1'!B86</f>
        <v>07 24 00</v>
      </c>
      <c r="C41" s="34" t="str">
        <f>'Pay App 1'!C86</f>
        <v>EIFS</v>
      </c>
      <c r="D41" s="82">
        <f t="shared" si="8"/>
        <v>0</v>
      </c>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79"/>
      <c r="BR41" s="79"/>
      <c r="BS41" s="79"/>
      <c r="BT41" s="79"/>
      <c r="BU41" s="79"/>
      <c r="BV41" s="79"/>
      <c r="BW41" s="79"/>
      <c r="BX41" s="79"/>
      <c r="BY41" s="79"/>
      <c r="BZ41" s="79"/>
      <c r="CA41" s="79"/>
      <c r="CB41" s="79"/>
      <c r="CC41" s="79"/>
      <c r="CD41" s="79"/>
      <c r="CE41" s="79"/>
      <c r="CF41" s="79"/>
      <c r="CG41" s="79"/>
      <c r="CH41" s="79"/>
      <c r="CI41" s="79"/>
      <c r="CJ41" s="79"/>
      <c r="CK41" s="79"/>
      <c r="CL41" s="79"/>
      <c r="CM41" s="79"/>
      <c r="CN41" s="79"/>
      <c r="CO41" s="79"/>
      <c r="CP41" s="79"/>
      <c r="CQ41" s="79"/>
      <c r="CR41" s="79"/>
      <c r="CS41" s="79"/>
      <c r="CT41" s="79"/>
      <c r="CU41" s="79"/>
      <c r="CV41" s="79"/>
      <c r="CW41" s="79"/>
      <c r="CX41" s="79"/>
      <c r="CY41" s="79"/>
      <c r="CZ41" s="79"/>
      <c r="DA41" s="79"/>
      <c r="DB41" s="79"/>
      <c r="DC41" s="79"/>
      <c r="DD41" s="79"/>
      <c r="DE41" s="79"/>
      <c r="DF41" s="79"/>
      <c r="DG41" s="79"/>
      <c r="DH41" s="79"/>
      <c r="DI41" s="79"/>
      <c r="DJ41" s="79"/>
      <c r="DK41" s="79"/>
      <c r="DL41" s="79"/>
      <c r="DM41" s="79"/>
      <c r="DN41" s="79"/>
      <c r="DO41" s="79"/>
      <c r="DP41" s="79"/>
      <c r="DQ41" s="79"/>
      <c r="DR41" s="79"/>
      <c r="DS41" s="79"/>
      <c r="DT41" s="79"/>
      <c r="DU41" s="79"/>
      <c r="DV41" s="79"/>
      <c r="DW41" s="79"/>
      <c r="DX41" s="79"/>
      <c r="DY41" s="79"/>
      <c r="DZ41" s="79"/>
      <c r="EA41" s="79"/>
      <c r="EB41" s="79"/>
      <c r="EC41" s="79"/>
      <c r="ED41" s="79"/>
      <c r="EE41" s="79"/>
      <c r="EF41" s="79"/>
      <c r="EG41" s="79"/>
      <c r="EH41" s="79"/>
      <c r="EI41" s="79"/>
      <c r="EJ41" s="79"/>
      <c r="EK41" s="79"/>
      <c r="EL41" s="79"/>
      <c r="EM41" s="79"/>
      <c r="EN41" s="79"/>
      <c r="EO41" s="79"/>
      <c r="EP41" s="79"/>
      <c r="EQ41" s="79"/>
      <c r="ER41" s="79"/>
      <c r="ES41" s="79"/>
      <c r="ET41" s="79"/>
      <c r="EU41" s="79"/>
      <c r="EV41" s="79"/>
      <c r="EW41" s="79"/>
      <c r="EX41" s="79"/>
      <c r="EY41" s="79"/>
      <c r="EZ41" s="79"/>
      <c r="FA41" s="79"/>
      <c r="FB41" s="79"/>
      <c r="FC41" s="79"/>
      <c r="FD41" s="79"/>
      <c r="FE41" s="79"/>
      <c r="FF41" s="79"/>
      <c r="FG41" s="79"/>
      <c r="FH41" s="79"/>
      <c r="FI41" s="79"/>
      <c r="FJ41" s="79"/>
      <c r="FK41" s="79"/>
      <c r="FL41" s="79"/>
      <c r="FM41" s="79"/>
      <c r="FN41" s="79"/>
      <c r="FO41" s="79"/>
      <c r="FP41" s="79"/>
      <c r="FQ41" s="79"/>
      <c r="FR41" s="79"/>
      <c r="FS41" s="79"/>
      <c r="FT41" s="79"/>
      <c r="FU41" s="79"/>
      <c r="FV41" s="79"/>
      <c r="FW41" s="79"/>
      <c r="FX41" s="79"/>
      <c r="FY41" s="79"/>
      <c r="FZ41" s="79"/>
      <c r="GA41" s="79"/>
      <c r="GB41" s="79"/>
      <c r="GC41" s="79"/>
      <c r="GD41" s="79"/>
      <c r="GE41" s="79"/>
      <c r="GF41" s="79"/>
      <c r="GG41" s="79"/>
      <c r="GH41" s="79"/>
      <c r="GI41" s="79"/>
      <c r="GJ41" s="79"/>
      <c r="GK41" s="79"/>
      <c r="GL41" s="79"/>
      <c r="GM41" s="79"/>
      <c r="GN41" s="79"/>
      <c r="GO41" s="79"/>
      <c r="GP41" s="79"/>
      <c r="GQ41" s="79"/>
      <c r="GR41" s="79"/>
      <c r="GS41" s="79"/>
      <c r="GT41" s="79"/>
      <c r="GU41" s="79"/>
      <c r="GV41" s="79"/>
      <c r="GW41" s="79"/>
      <c r="GX41" s="79"/>
      <c r="GY41" s="79"/>
      <c r="GZ41" s="79"/>
      <c r="HA41" s="79"/>
      <c r="HB41" s="79"/>
      <c r="HC41" s="79"/>
      <c r="HD41" s="79"/>
      <c r="HE41" s="79"/>
      <c r="HF41" s="79"/>
      <c r="HG41" s="79"/>
      <c r="HH41" s="79"/>
      <c r="HI41" s="79"/>
      <c r="HJ41" s="79"/>
      <c r="HK41" s="79"/>
      <c r="HL41" s="79"/>
      <c r="HM41" s="79"/>
      <c r="HN41" s="79"/>
      <c r="HO41" s="79"/>
      <c r="HP41" s="79"/>
      <c r="HQ41" s="79"/>
      <c r="HR41" s="79"/>
      <c r="HS41" s="79"/>
      <c r="HT41" s="79"/>
      <c r="HU41" s="79"/>
      <c r="HV41" s="79"/>
      <c r="HW41" s="79"/>
      <c r="HX41" s="79"/>
      <c r="HY41" s="79"/>
      <c r="HZ41" s="79"/>
      <c r="IA41" s="79"/>
      <c r="IB41" s="79"/>
      <c r="IC41" s="79"/>
      <c r="ID41" s="79"/>
      <c r="IE41" s="79"/>
      <c r="IF41" s="79"/>
      <c r="IG41" s="79"/>
      <c r="IH41" s="79"/>
      <c r="II41" s="79"/>
      <c r="IJ41" s="79"/>
      <c r="IK41" s="79"/>
      <c r="IL41" s="79"/>
      <c r="IM41" s="79"/>
      <c r="IN41" s="79"/>
      <c r="IO41" s="79"/>
      <c r="IP41" s="79"/>
      <c r="IQ41" s="79"/>
      <c r="IR41" s="79"/>
      <c r="IS41" s="79"/>
      <c r="IT41" s="79"/>
      <c r="IU41" s="79"/>
      <c r="IV41" s="79"/>
      <c r="IW41" s="79"/>
      <c r="IX41" s="79"/>
      <c r="IY41" s="79"/>
      <c r="IZ41" s="79"/>
      <c r="JA41" s="79"/>
      <c r="JB41" s="79"/>
      <c r="JC41" s="79"/>
      <c r="JD41" s="79"/>
      <c r="JE41" s="79"/>
      <c r="JF41" s="79"/>
      <c r="JG41" s="79"/>
      <c r="JH41" s="79"/>
      <c r="JI41" s="79"/>
      <c r="JJ41" s="79"/>
      <c r="JK41" s="79"/>
      <c r="JL41" s="79"/>
      <c r="JM41" s="79"/>
      <c r="JN41" s="79"/>
      <c r="JO41" s="79"/>
      <c r="JP41" s="79"/>
      <c r="JQ41" s="79"/>
      <c r="JR41" s="79"/>
      <c r="JS41" s="79"/>
      <c r="JT41" s="79"/>
      <c r="JU41" s="79"/>
      <c r="JV41" s="79"/>
      <c r="JW41" s="79"/>
      <c r="JX41" s="79"/>
      <c r="JY41" s="79"/>
      <c r="JZ41" s="79"/>
      <c r="KA41" s="79"/>
      <c r="KB41" s="79"/>
      <c r="KC41" s="79"/>
      <c r="KD41" s="79"/>
      <c r="KE41" s="79"/>
      <c r="KF41" s="79"/>
      <c r="KG41" s="79"/>
      <c r="KH41" s="79"/>
      <c r="KI41" s="79"/>
      <c r="KJ41" s="79"/>
      <c r="KK41" s="79"/>
      <c r="KL41" s="79"/>
      <c r="KM41" s="79"/>
      <c r="KN41" s="79"/>
      <c r="KO41" s="79"/>
      <c r="KP41" s="79"/>
      <c r="KQ41" s="79"/>
      <c r="KR41" s="79"/>
      <c r="KS41" s="79"/>
      <c r="KT41" s="79"/>
      <c r="KU41" s="79"/>
      <c r="KV41" s="79"/>
      <c r="KW41" s="79"/>
      <c r="KX41" s="79"/>
      <c r="KY41" s="79"/>
      <c r="KZ41" s="79"/>
      <c r="LA41" s="79"/>
      <c r="LB41" s="79"/>
      <c r="LC41" s="79"/>
      <c r="LD41" s="79"/>
      <c r="LE41" s="79"/>
      <c r="LF41" s="79"/>
      <c r="LG41" s="79"/>
      <c r="LH41" s="79"/>
      <c r="LI41" s="79"/>
      <c r="LJ41" s="79"/>
      <c r="LK41" s="79"/>
      <c r="LL41" s="79"/>
      <c r="LM41" s="79"/>
      <c r="LN41" s="79"/>
      <c r="LO41" s="79"/>
      <c r="LP41" s="79"/>
      <c r="LQ41" s="79"/>
      <c r="LR41" s="79"/>
      <c r="LS41" s="79"/>
      <c r="LT41" s="79"/>
      <c r="LU41" s="79"/>
      <c r="LV41" s="79"/>
      <c r="LW41" s="79"/>
      <c r="LX41" s="79"/>
      <c r="LY41" s="79"/>
      <c r="LZ41" s="79"/>
      <c r="MA41" s="79"/>
      <c r="MB41" s="79"/>
      <c r="MC41" s="79"/>
      <c r="MD41" s="79"/>
      <c r="ME41" s="79"/>
      <c r="MF41" s="79"/>
      <c r="MG41" s="79"/>
      <c r="MH41" s="79"/>
      <c r="MI41" s="79"/>
      <c r="MJ41" s="79"/>
      <c r="MK41" s="79"/>
      <c r="ML41" s="79"/>
      <c r="MM41" s="79"/>
      <c r="MN41" s="79"/>
      <c r="MO41" s="79"/>
      <c r="MP41" s="79"/>
      <c r="MQ41" s="79"/>
      <c r="MR41" s="79"/>
      <c r="MS41" s="79"/>
      <c r="MT41" s="79"/>
      <c r="MU41" s="79"/>
      <c r="MV41" s="79"/>
      <c r="MW41" s="79"/>
      <c r="MX41" s="79"/>
      <c r="MY41" s="79"/>
      <c r="MZ41" s="79"/>
      <c r="NA41" s="79"/>
      <c r="NB41" s="79"/>
      <c r="NC41" s="79"/>
      <c r="ND41" s="79"/>
      <c r="NE41" s="79"/>
      <c r="NF41" s="79"/>
      <c r="NG41" s="79"/>
      <c r="NH41" s="79"/>
      <c r="NI41" s="79"/>
      <c r="NJ41" s="79"/>
      <c r="NK41" s="79"/>
      <c r="NL41" s="79"/>
      <c r="NM41" s="79"/>
      <c r="NN41" s="79"/>
      <c r="NO41" s="79"/>
      <c r="NP41" s="79"/>
      <c r="NQ41" s="79"/>
      <c r="NR41" s="79"/>
      <c r="NS41" s="79"/>
      <c r="NT41" s="79"/>
      <c r="NU41" s="79"/>
      <c r="NV41" s="79"/>
      <c r="NW41" s="79"/>
      <c r="NX41" s="79"/>
      <c r="NY41" s="79"/>
      <c r="NZ41" s="79"/>
      <c r="OA41" s="79"/>
      <c r="OB41" s="79"/>
      <c r="OC41" s="79"/>
      <c r="OD41" s="79"/>
      <c r="OE41" s="79"/>
      <c r="OF41" s="79"/>
      <c r="OG41" s="79"/>
      <c r="OH41" s="79"/>
      <c r="OI41" s="79"/>
      <c r="OJ41" s="79"/>
      <c r="OK41" s="79"/>
      <c r="OL41" s="79"/>
      <c r="OM41" s="79"/>
      <c r="ON41" s="79"/>
      <c r="OO41" s="79"/>
      <c r="OP41" s="79"/>
      <c r="OQ41" s="79"/>
      <c r="OR41" s="79"/>
      <c r="OS41" s="79"/>
      <c r="OT41" s="79"/>
      <c r="OU41" s="79"/>
      <c r="OV41" s="79"/>
      <c r="OW41" s="79"/>
      <c r="OX41" s="79"/>
      <c r="OY41" s="79"/>
      <c r="OZ41" s="79"/>
      <c r="PA41" s="79"/>
      <c r="PB41" s="79"/>
      <c r="PC41" s="79"/>
      <c r="PD41" s="79"/>
      <c r="PE41" s="79"/>
      <c r="PF41" s="79"/>
      <c r="PG41" s="79"/>
      <c r="PH41" s="79"/>
      <c r="PI41" s="79"/>
      <c r="PJ41" s="79"/>
      <c r="PK41" s="79"/>
      <c r="PL41" s="79"/>
      <c r="PM41" s="79"/>
      <c r="PN41" s="79"/>
      <c r="PO41" s="79"/>
      <c r="PP41" s="79"/>
      <c r="PQ41" s="79"/>
      <c r="PR41" s="79"/>
      <c r="PS41" s="79"/>
      <c r="PT41" s="79"/>
      <c r="PU41" s="79"/>
      <c r="PV41" s="79"/>
      <c r="PW41" s="79"/>
      <c r="PX41" s="79"/>
      <c r="PY41" s="79"/>
      <c r="PZ41" s="79"/>
      <c r="QA41" s="79"/>
      <c r="QB41" s="79"/>
      <c r="QC41" s="79"/>
      <c r="QD41" s="79"/>
      <c r="QE41" s="79"/>
      <c r="QF41" s="79"/>
      <c r="QG41" s="79"/>
      <c r="QH41" s="79"/>
      <c r="QI41" s="79"/>
      <c r="QJ41" s="79"/>
      <c r="QK41" s="79"/>
      <c r="QL41" s="79"/>
      <c r="QM41" s="79"/>
      <c r="QN41" s="79"/>
      <c r="QO41" s="79"/>
      <c r="QP41" s="79"/>
      <c r="QQ41" s="79"/>
      <c r="QR41" s="79"/>
      <c r="QS41" s="79"/>
      <c r="QT41" s="79"/>
      <c r="QU41" s="79"/>
      <c r="QV41" s="79"/>
      <c r="QW41" s="79"/>
      <c r="QX41" s="79"/>
      <c r="QY41" s="79"/>
      <c r="QZ41" s="79"/>
      <c r="RA41" s="79"/>
      <c r="RB41" s="79"/>
      <c r="RC41" s="79"/>
      <c r="RD41" s="79"/>
      <c r="RE41" s="79"/>
      <c r="RF41" s="79"/>
      <c r="RG41" s="79"/>
      <c r="RH41" s="79"/>
      <c r="RI41" s="79"/>
      <c r="RJ41" s="79"/>
      <c r="RK41" s="79"/>
      <c r="RL41" s="79"/>
      <c r="RM41" s="79"/>
      <c r="RN41" s="79"/>
      <c r="RO41" s="79"/>
      <c r="RP41" s="79"/>
      <c r="RQ41" s="79"/>
      <c r="RR41" s="79"/>
      <c r="RS41" s="79"/>
      <c r="RT41" s="79"/>
      <c r="RU41" s="79"/>
      <c r="RV41" s="79"/>
      <c r="RW41" s="79"/>
      <c r="RX41" s="79"/>
      <c r="RY41" s="79"/>
      <c r="RZ41" s="79"/>
      <c r="SA41" s="79"/>
      <c r="SB41" s="79"/>
      <c r="SC41" s="79"/>
      <c r="SD41" s="79"/>
      <c r="SE41" s="79"/>
      <c r="SF41" s="79"/>
      <c r="SG41" s="79"/>
      <c r="SH41" s="79"/>
      <c r="SI41" s="79"/>
      <c r="SJ41" s="79"/>
    </row>
    <row r="42" spans="2:504" x14ac:dyDescent="0.25">
      <c r="B42" s="49" t="str">
        <f>'Pay App 1'!B87</f>
        <v>07 26 00</v>
      </c>
      <c r="C42" s="34" t="str">
        <f>'Pay App 1'!C87</f>
        <v>Vapor Retarders</v>
      </c>
      <c r="D42" s="82">
        <f t="shared" si="8"/>
        <v>0</v>
      </c>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79"/>
      <c r="BR42" s="79"/>
      <c r="BS42" s="79"/>
      <c r="BT42" s="79"/>
      <c r="BU42" s="79"/>
      <c r="BV42" s="79"/>
      <c r="BW42" s="79"/>
      <c r="BX42" s="79"/>
      <c r="BY42" s="79"/>
      <c r="BZ42" s="79"/>
      <c r="CA42" s="79"/>
      <c r="CB42" s="79"/>
      <c r="CC42" s="79"/>
      <c r="CD42" s="79"/>
      <c r="CE42" s="79"/>
      <c r="CF42" s="79"/>
      <c r="CG42" s="79"/>
      <c r="CH42" s="79"/>
      <c r="CI42" s="79"/>
      <c r="CJ42" s="79"/>
      <c r="CK42" s="79"/>
      <c r="CL42" s="79"/>
      <c r="CM42" s="79"/>
      <c r="CN42" s="79"/>
      <c r="CO42" s="79"/>
      <c r="CP42" s="79"/>
      <c r="CQ42" s="79"/>
      <c r="CR42" s="79"/>
      <c r="CS42" s="79"/>
      <c r="CT42" s="79"/>
      <c r="CU42" s="79"/>
      <c r="CV42" s="79"/>
      <c r="CW42" s="79"/>
      <c r="CX42" s="79"/>
      <c r="CY42" s="79"/>
      <c r="CZ42" s="79"/>
      <c r="DA42" s="79"/>
      <c r="DB42" s="79"/>
      <c r="DC42" s="79"/>
      <c r="DD42" s="79"/>
      <c r="DE42" s="79"/>
      <c r="DF42" s="79"/>
      <c r="DG42" s="79"/>
      <c r="DH42" s="79"/>
      <c r="DI42" s="79"/>
      <c r="DJ42" s="79"/>
      <c r="DK42" s="79"/>
      <c r="DL42" s="79"/>
      <c r="DM42" s="79"/>
      <c r="DN42" s="79"/>
      <c r="DO42" s="79"/>
      <c r="DP42" s="79"/>
      <c r="DQ42" s="79"/>
      <c r="DR42" s="79"/>
      <c r="DS42" s="79"/>
      <c r="DT42" s="79"/>
      <c r="DU42" s="79"/>
      <c r="DV42" s="79"/>
      <c r="DW42" s="79"/>
      <c r="DX42" s="79"/>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79"/>
      <c r="GA42" s="79"/>
      <c r="GB42" s="79"/>
      <c r="GC42" s="79"/>
      <c r="GD42" s="79"/>
      <c r="GE42" s="79"/>
      <c r="GF42" s="79"/>
      <c r="GG42" s="79"/>
      <c r="GH42" s="79"/>
      <c r="GI42" s="79"/>
      <c r="GJ42" s="79"/>
      <c r="GK42" s="79"/>
      <c r="GL42" s="79"/>
      <c r="GM42" s="79"/>
      <c r="GN42" s="79"/>
      <c r="GO42" s="79"/>
      <c r="GP42" s="79"/>
      <c r="GQ42" s="79"/>
      <c r="GR42" s="79"/>
      <c r="GS42" s="79"/>
      <c r="GT42" s="79"/>
      <c r="GU42" s="79"/>
      <c r="GV42" s="79"/>
      <c r="GW42" s="79"/>
      <c r="GX42" s="79"/>
      <c r="GY42" s="79"/>
      <c r="GZ42" s="79"/>
      <c r="HA42" s="79"/>
      <c r="HB42" s="79"/>
      <c r="HC42" s="79"/>
      <c r="HD42" s="79"/>
      <c r="HE42" s="79"/>
      <c r="HF42" s="79"/>
      <c r="HG42" s="79"/>
      <c r="HH42" s="79"/>
      <c r="HI42" s="79"/>
      <c r="HJ42" s="79"/>
      <c r="HK42" s="79"/>
      <c r="HL42" s="79"/>
      <c r="HM42" s="79"/>
      <c r="HN42" s="79"/>
      <c r="HO42" s="79"/>
      <c r="HP42" s="79"/>
      <c r="HQ42" s="79"/>
      <c r="HR42" s="79"/>
      <c r="HS42" s="79"/>
      <c r="HT42" s="79"/>
      <c r="HU42" s="79"/>
      <c r="HV42" s="79"/>
      <c r="HW42" s="79"/>
      <c r="HX42" s="79"/>
      <c r="HY42" s="79"/>
      <c r="HZ42" s="79"/>
      <c r="IA42" s="79"/>
      <c r="IB42" s="79"/>
      <c r="IC42" s="79"/>
      <c r="ID42" s="79"/>
      <c r="IE42" s="79"/>
      <c r="IF42" s="79"/>
      <c r="IG42" s="79"/>
      <c r="IH42" s="79"/>
      <c r="II42" s="79"/>
      <c r="IJ42" s="79"/>
      <c r="IK42" s="79"/>
      <c r="IL42" s="79"/>
      <c r="IM42" s="79"/>
      <c r="IN42" s="79"/>
      <c r="IO42" s="79"/>
      <c r="IP42" s="79"/>
      <c r="IQ42" s="79"/>
      <c r="IR42" s="79"/>
      <c r="IS42" s="79"/>
      <c r="IT42" s="79"/>
      <c r="IU42" s="79"/>
      <c r="IV42" s="79"/>
      <c r="IW42" s="79"/>
      <c r="IX42" s="79"/>
      <c r="IY42" s="79"/>
      <c r="IZ42" s="79"/>
      <c r="JA42" s="79"/>
      <c r="JB42" s="79"/>
      <c r="JC42" s="79"/>
      <c r="JD42" s="79"/>
      <c r="JE42" s="79"/>
      <c r="JF42" s="79"/>
      <c r="JG42" s="79"/>
      <c r="JH42" s="79"/>
      <c r="JI42" s="79"/>
      <c r="JJ42" s="79"/>
      <c r="JK42" s="79"/>
      <c r="JL42" s="79"/>
      <c r="JM42" s="79"/>
      <c r="JN42" s="79"/>
      <c r="JO42" s="79"/>
      <c r="JP42" s="79"/>
      <c r="JQ42" s="79"/>
      <c r="JR42" s="79"/>
      <c r="JS42" s="79"/>
      <c r="JT42" s="79"/>
      <c r="JU42" s="79"/>
      <c r="JV42" s="79"/>
      <c r="JW42" s="79"/>
      <c r="JX42" s="79"/>
      <c r="JY42" s="79"/>
      <c r="JZ42" s="79"/>
      <c r="KA42" s="79"/>
      <c r="KB42" s="79"/>
      <c r="KC42" s="79"/>
      <c r="KD42" s="79"/>
      <c r="KE42" s="79"/>
      <c r="KF42" s="79"/>
      <c r="KG42" s="79"/>
      <c r="KH42" s="79"/>
      <c r="KI42" s="79"/>
      <c r="KJ42" s="79"/>
      <c r="KK42" s="79"/>
      <c r="KL42" s="79"/>
      <c r="KM42" s="79"/>
      <c r="KN42" s="79"/>
      <c r="KO42" s="79"/>
      <c r="KP42" s="79"/>
      <c r="KQ42" s="79"/>
      <c r="KR42" s="79"/>
      <c r="KS42" s="79"/>
      <c r="KT42" s="79"/>
      <c r="KU42" s="79"/>
      <c r="KV42" s="79"/>
      <c r="KW42" s="79"/>
      <c r="KX42" s="79"/>
      <c r="KY42" s="79"/>
      <c r="KZ42" s="79"/>
      <c r="LA42" s="79"/>
      <c r="LB42" s="79"/>
      <c r="LC42" s="79"/>
      <c r="LD42" s="79"/>
      <c r="LE42" s="79"/>
      <c r="LF42" s="79"/>
      <c r="LG42" s="79"/>
      <c r="LH42" s="79"/>
      <c r="LI42" s="79"/>
      <c r="LJ42" s="79"/>
      <c r="LK42" s="79"/>
      <c r="LL42" s="79"/>
      <c r="LM42" s="79"/>
      <c r="LN42" s="79"/>
      <c r="LO42" s="79"/>
      <c r="LP42" s="79"/>
      <c r="LQ42" s="79"/>
      <c r="LR42" s="79"/>
      <c r="LS42" s="79"/>
      <c r="LT42" s="79"/>
      <c r="LU42" s="79"/>
      <c r="LV42" s="79"/>
      <c r="LW42" s="79"/>
      <c r="LX42" s="79"/>
      <c r="LY42" s="79"/>
      <c r="LZ42" s="79"/>
      <c r="MA42" s="79"/>
      <c r="MB42" s="79"/>
      <c r="MC42" s="79"/>
      <c r="MD42" s="79"/>
      <c r="ME42" s="79"/>
      <c r="MF42" s="79"/>
      <c r="MG42" s="79"/>
      <c r="MH42" s="79"/>
      <c r="MI42" s="79"/>
      <c r="MJ42" s="79"/>
      <c r="MK42" s="79"/>
      <c r="ML42" s="79"/>
      <c r="MM42" s="79"/>
      <c r="MN42" s="79"/>
      <c r="MO42" s="79"/>
      <c r="MP42" s="79"/>
      <c r="MQ42" s="79"/>
      <c r="MR42" s="79"/>
      <c r="MS42" s="79"/>
      <c r="MT42" s="79"/>
      <c r="MU42" s="79"/>
      <c r="MV42" s="79"/>
      <c r="MW42" s="79"/>
      <c r="MX42" s="79"/>
      <c r="MY42" s="79"/>
      <c r="MZ42" s="79"/>
      <c r="NA42" s="79"/>
      <c r="NB42" s="79"/>
      <c r="NC42" s="79"/>
      <c r="ND42" s="79"/>
      <c r="NE42" s="79"/>
      <c r="NF42" s="79"/>
      <c r="NG42" s="79"/>
      <c r="NH42" s="79"/>
      <c r="NI42" s="79"/>
      <c r="NJ42" s="79"/>
      <c r="NK42" s="79"/>
      <c r="NL42" s="79"/>
      <c r="NM42" s="79"/>
      <c r="NN42" s="79"/>
      <c r="NO42" s="79"/>
      <c r="NP42" s="79"/>
      <c r="NQ42" s="79"/>
      <c r="NR42" s="79"/>
      <c r="NS42" s="79"/>
      <c r="NT42" s="79"/>
      <c r="NU42" s="79"/>
      <c r="NV42" s="79"/>
      <c r="NW42" s="79"/>
      <c r="NX42" s="79"/>
      <c r="NY42" s="79"/>
      <c r="NZ42" s="79"/>
      <c r="OA42" s="79"/>
      <c r="OB42" s="79"/>
      <c r="OC42" s="79"/>
      <c r="OD42" s="79"/>
      <c r="OE42" s="79"/>
      <c r="OF42" s="79"/>
      <c r="OG42" s="79"/>
      <c r="OH42" s="79"/>
      <c r="OI42" s="79"/>
      <c r="OJ42" s="79"/>
      <c r="OK42" s="79"/>
      <c r="OL42" s="79"/>
      <c r="OM42" s="79"/>
      <c r="ON42" s="79"/>
      <c r="OO42" s="79"/>
      <c r="OP42" s="79"/>
      <c r="OQ42" s="79"/>
      <c r="OR42" s="79"/>
      <c r="OS42" s="79"/>
      <c r="OT42" s="79"/>
      <c r="OU42" s="79"/>
      <c r="OV42" s="79"/>
      <c r="OW42" s="79"/>
      <c r="OX42" s="79"/>
      <c r="OY42" s="79"/>
      <c r="OZ42" s="79"/>
      <c r="PA42" s="79"/>
      <c r="PB42" s="79"/>
      <c r="PC42" s="79"/>
      <c r="PD42" s="79"/>
      <c r="PE42" s="79"/>
      <c r="PF42" s="79"/>
      <c r="PG42" s="79"/>
      <c r="PH42" s="79"/>
      <c r="PI42" s="79"/>
      <c r="PJ42" s="79"/>
      <c r="PK42" s="79"/>
      <c r="PL42" s="79"/>
      <c r="PM42" s="79"/>
      <c r="PN42" s="79"/>
      <c r="PO42" s="79"/>
      <c r="PP42" s="79"/>
      <c r="PQ42" s="79"/>
      <c r="PR42" s="79"/>
      <c r="PS42" s="79"/>
      <c r="PT42" s="79"/>
      <c r="PU42" s="79"/>
      <c r="PV42" s="79"/>
      <c r="PW42" s="79"/>
      <c r="PX42" s="79"/>
      <c r="PY42" s="79"/>
      <c r="PZ42" s="79"/>
      <c r="QA42" s="79"/>
      <c r="QB42" s="79"/>
      <c r="QC42" s="79"/>
      <c r="QD42" s="79"/>
      <c r="QE42" s="79"/>
      <c r="QF42" s="79"/>
      <c r="QG42" s="79"/>
      <c r="QH42" s="79"/>
      <c r="QI42" s="79"/>
      <c r="QJ42" s="79"/>
      <c r="QK42" s="79"/>
      <c r="QL42" s="79"/>
      <c r="QM42" s="79"/>
      <c r="QN42" s="79"/>
      <c r="QO42" s="79"/>
      <c r="QP42" s="79"/>
      <c r="QQ42" s="79"/>
      <c r="QR42" s="79"/>
      <c r="QS42" s="79"/>
      <c r="QT42" s="79"/>
      <c r="QU42" s="79"/>
      <c r="QV42" s="79"/>
      <c r="QW42" s="79"/>
      <c r="QX42" s="79"/>
      <c r="QY42" s="79"/>
      <c r="QZ42" s="79"/>
      <c r="RA42" s="79"/>
      <c r="RB42" s="79"/>
      <c r="RC42" s="79"/>
      <c r="RD42" s="79"/>
      <c r="RE42" s="79"/>
      <c r="RF42" s="79"/>
      <c r="RG42" s="79"/>
      <c r="RH42" s="79"/>
      <c r="RI42" s="79"/>
      <c r="RJ42" s="79"/>
      <c r="RK42" s="79"/>
      <c r="RL42" s="79"/>
      <c r="RM42" s="79"/>
      <c r="RN42" s="79"/>
      <c r="RO42" s="79"/>
      <c r="RP42" s="79"/>
      <c r="RQ42" s="79"/>
      <c r="RR42" s="79"/>
      <c r="RS42" s="79"/>
      <c r="RT42" s="79"/>
      <c r="RU42" s="79"/>
      <c r="RV42" s="79"/>
      <c r="RW42" s="79"/>
      <c r="RX42" s="79"/>
      <c r="RY42" s="79"/>
      <c r="RZ42" s="79"/>
      <c r="SA42" s="79"/>
      <c r="SB42" s="79"/>
      <c r="SC42" s="79"/>
      <c r="SD42" s="79"/>
      <c r="SE42" s="79"/>
      <c r="SF42" s="79"/>
      <c r="SG42" s="79"/>
      <c r="SH42" s="79"/>
      <c r="SI42" s="79"/>
      <c r="SJ42" s="79"/>
    </row>
    <row r="43" spans="2:504" x14ac:dyDescent="0.25">
      <c r="B43" s="49" t="str">
        <f>'Pay App 1'!B88</f>
        <v>07 41 00</v>
      </c>
      <c r="C43" s="34" t="str">
        <f>'Pay App 1'!C88</f>
        <v>Roofing</v>
      </c>
      <c r="D43" s="82">
        <f t="shared" si="8"/>
        <v>0</v>
      </c>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79"/>
      <c r="BR43" s="79"/>
      <c r="BS43" s="79"/>
      <c r="BT43" s="79"/>
      <c r="BU43" s="79"/>
      <c r="BV43" s="79"/>
      <c r="BW43" s="79"/>
      <c r="BX43" s="79"/>
      <c r="BY43" s="79"/>
      <c r="BZ43" s="79"/>
      <c r="CA43" s="79"/>
      <c r="CB43" s="79"/>
      <c r="CC43" s="79"/>
      <c r="CD43" s="79"/>
      <c r="CE43" s="79"/>
      <c r="CF43" s="79"/>
      <c r="CG43" s="79"/>
      <c r="CH43" s="79"/>
      <c r="CI43" s="79"/>
      <c r="CJ43" s="79"/>
      <c r="CK43" s="79"/>
      <c r="CL43" s="79"/>
      <c r="CM43" s="79"/>
      <c r="CN43" s="79"/>
      <c r="CO43" s="79"/>
      <c r="CP43" s="79"/>
      <c r="CQ43" s="79"/>
      <c r="CR43" s="79"/>
      <c r="CS43" s="79"/>
      <c r="CT43" s="79"/>
      <c r="CU43" s="79"/>
      <c r="CV43" s="79"/>
      <c r="CW43" s="79"/>
      <c r="CX43" s="79"/>
      <c r="CY43" s="79"/>
      <c r="CZ43" s="79"/>
      <c r="DA43" s="79"/>
      <c r="DB43" s="79"/>
      <c r="DC43" s="79"/>
      <c r="DD43" s="79"/>
      <c r="DE43" s="79"/>
      <c r="DF43" s="79"/>
      <c r="DG43" s="79"/>
      <c r="DH43" s="79"/>
      <c r="DI43" s="79"/>
      <c r="DJ43" s="79"/>
      <c r="DK43" s="79"/>
      <c r="DL43" s="79"/>
      <c r="DM43" s="79"/>
      <c r="DN43" s="79"/>
      <c r="DO43" s="79"/>
      <c r="DP43" s="79"/>
      <c r="DQ43" s="79"/>
      <c r="DR43" s="79"/>
      <c r="DS43" s="79"/>
      <c r="DT43" s="79"/>
      <c r="DU43" s="79"/>
      <c r="DV43" s="79"/>
      <c r="DW43" s="79"/>
      <c r="DX43" s="79"/>
      <c r="DY43" s="79"/>
      <c r="DZ43" s="79"/>
      <c r="EA43" s="79"/>
      <c r="EB43" s="79"/>
      <c r="EC43" s="79"/>
      <c r="ED43" s="79"/>
      <c r="EE43" s="79"/>
      <c r="EF43" s="79"/>
      <c r="EG43" s="79"/>
      <c r="EH43" s="79"/>
      <c r="EI43" s="79"/>
      <c r="EJ43" s="79"/>
      <c r="EK43" s="79"/>
      <c r="EL43" s="79"/>
      <c r="EM43" s="79"/>
      <c r="EN43" s="79"/>
      <c r="EO43" s="79"/>
      <c r="EP43" s="79"/>
      <c r="EQ43" s="79"/>
      <c r="ER43" s="79"/>
      <c r="ES43" s="79"/>
      <c r="ET43" s="79"/>
      <c r="EU43" s="79"/>
      <c r="EV43" s="79"/>
      <c r="EW43" s="79"/>
      <c r="EX43" s="79"/>
      <c r="EY43" s="79"/>
      <c r="EZ43" s="79"/>
      <c r="FA43" s="79"/>
      <c r="FB43" s="79"/>
      <c r="FC43" s="79"/>
      <c r="FD43" s="79"/>
      <c r="FE43" s="79"/>
      <c r="FF43" s="79"/>
      <c r="FG43" s="79"/>
      <c r="FH43" s="79"/>
      <c r="FI43" s="79"/>
      <c r="FJ43" s="79"/>
      <c r="FK43" s="79"/>
      <c r="FL43" s="79"/>
      <c r="FM43" s="79"/>
      <c r="FN43" s="79"/>
      <c r="FO43" s="79"/>
      <c r="FP43" s="79"/>
      <c r="FQ43" s="79"/>
      <c r="FR43" s="79"/>
      <c r="FS43" s="79"/>
      <c r="FT43" s="79"/>
      <c r="FU43" s="79"/>
      <c r="FV43" s="79"/>
      <c r="FW43" s="79"/>
      <c r="FX43" s="79"/>
      <c r="FY43" s="79"/>
      <c r="FZ43" s="79"/>
      <c r="GA43" s="79"/>
      <c r="GB43" s="79"/>
      <c r="GC43" s="79"/>
      <c r="GD43" s="79"/>
      <c r="GE43" s="79"/>
      <c r="GF43" s="79"/>
      <c r="GG43" s="79"/>
      <c r="GH43" s="79"/>
      <c r="GI43" s="79"/>
      <c r="GJ43" s="79"/>
      <c r="GK43" s="79"/>
      <c r="GL43" s="79"/>
      <c r="GM43" s="79"/>
      <c r="GN43" s="79"/>
      <c r="GO43" s="79"/>
      <c r="GP43" s="79"/>
      <c r="GQ43" s="79"/>
      <c r="GR43" s="79"/>
      <c r="GS43" s="79"/>
      <c r="GT43" s="79"/>
      <c r="GU43" s="79"/>
      <c r="GV43" s="79"/>
      <c r="GW43" s="79"/>
      <c r="GX43" s="79"/>
      <c r="GY43" s="79"/>
      <c r="GZ43" s="79"/>
      <c r="HA43" s="79"/>
      <c r="HB43" s="79"/>
      <c r="HC43" s="79"/>
      <c r="HD43" s="79"/>
      <c r="HE43" s="79"/>
      <c r="HF43" s="79"/>
      <c r="HG43" s="79"/>
      <c r="HH43" s="79"/>
      <c r="HI43" s="79"/>
      <c r="HJ43" s="79"/>
      <c r="HK43" s="79"/>
      <c r="HL43" s="79"/>
      <c r="HM43" s="79"/>
      <c r="HN43" s="79"/>
      <c r="HO43" s="79"/>
      <c r="HP43" s="79"/>
      <c r="HQ43" s="79"/>
      <c r="HR43" s="79"/>
      <c r="HS43" s="79"/>
      <c r="HT43" s="79"/>
      <c r="HU43" s="79"/>
      <c r="HV43" s="79"/>
      <c r="HW43" s="79"/>
      <c r="HX43" s="79"/>
      <c r="HY43" s="79"/>
      <c r="HZ43" s="79"/>
      <c r="IA43" s="79"/>
      <c r="IB43" s="79"/>
      <c r="IC43" s="79"/>
      <c r="ID43" s="79"/>
      <c r="IE43" s="79"/>
      <c r="IF43" s="79"/>
      <c r="IG43" s="79"/>
      <c r="IH43" s="79"/>
      <c r="II43" s="79"/>
      <c r="IJ43" s="79"/>
      <c r="IK43" s="79"/>
      <c r="IL43" s="79"/>
      <c r="IM43" s="79"/>
      <c r="IN43" s="79"/>
      <c r="IO43" s="79"/>
      <c r="IP43" s="79"/>
      <c r="IQ43" s="79"/>
      <c r="IR43" s="79"/>
      <c r="IS43" s="79"/>
      <c r="IT43" s="79"/>
      <c r="IU43" s="79"/>
      <c r="IV43" s="79"/>
      <c r="IW43" s="79"/>
      <c r="IX43" s="79"/>
      <c r="IY43" s="79"/>
      <c r="IZ43" s="79"/>
      <c r="JA43" s="79"/>
      <c r="JB43" s="79"/>
      <c r="JC43" s="79"/>
      <c r="JD43" s="79"/>
      <c r="JE43" s="79"/>
      <c r="JF43" s="79"/>
      <c r="JG43" s="79"/>
      <c r="JH43" s="79"/>
      <c r="JI43" s="79"/>
      <c r="JJ43" s="79"/>
      <c r="JK43" s="79"/>
      <c r="JL43" s="79"/>
      <c r="JM43" s="79"/>
      <c r="JN43" s="79"/>
      <c r="JO43" s="79"/>
      <c r="JP43" s="79"/>
      <c r="JQ43" s="79"/>
      <c r="JR43" s="79"/>
      <c r="JS43" s="79"/>
      <c r="JT43" s="79"/>
      <c r="JU43" s="79"/>
      <c r="JV43" s="79"/>
      <c r="JW43" s="79"/>
      <c r="JX43" s="79"/>
      <c r="JY43" s="79"/>
      <c r="JZ43" s="79"/>
      <c r="KA43" s="79"/>
      <c r="KB43" s="79"/>
      <c r="KC43" s="79"/>
      <c r="KD43" s="79"/>
      <c r="KE43" s="79"/>
      <c r="KF43" s="79"/>
      <c r="KG43" s="79"/>
      <c r="KH43" s="79"/>
      <c r="KI43" s="79"/>
      <c r="KJ43" s="79"/>
      <c r="KK43" s="79"/>
      <c r="KL43" s="79"/>
      <c r="KM43" s="79"/>
      <c r="KN43" s="79"/>
      <c r="KO43" s="79"/>
      <c r="KP43" s="79"/>
      <c r="KQ43" s="79"/>
      <c r="KR43" s="79"/>
      <c r="KS43" s="79"/>
      <c r="KT43" s="79"/>
      <c r="KU43" s="79"/>
      <c r="KV43" s="79"/>
      <c r="KW43" s="79"/>
      <c r="KX43" s="79"/>
      <c r="KY43" s="79"/>
      <c r="KZ43" s="79"/>
      <c r="LA43" s="79"/>
      <c r="LB43" s="79"/>
      <c r="LC43" s="79"/>
      <c r="LD43" s="79"/>
      <c r="LE43" s="79"/>
      <c r="LF43" s="79"/>
      <c r="LG43" s="79"/>
      <c r="LH43" s="79"/>
      <c r="LI43" s="79"/>
      <c r="LJ43" s="79"/>
      <c r="LK43" s="79"/>
      <c r="LL43" s="79"/>
      <c r="LM43" s="79"/>
      <c r="LN43" s="79"/>
      <c r="LO43" s="79"/>
      <c r="LP43" s="79"/>
      <c r="LQ43" s="79"/>
      <c r="LR43" s="79"/>
      <c r="LS43" s="79"/>
      <c r="LT43" s="79"/>
      <c r="LU43" s="79"/>
      <c r="LV43" s="79"/>
      <c r="LW43" s="79"/>
      <c r="LX43" s="79"/>
      <c r="LY43" s="79"/>
      <c r="LZ43" s="79"/>
      <c r="MA43" s="79"/>
      <c r="MB43" s="79"/>
      <c r="MC43" s="79"/>
      <c r="MD43" s="79"/>
      <c r="ME43" s="79"/>
      <c r="MF43" s="79"/>
      <c r="MG43" s="79"/>
      <c r="MH43" s="79"/>
      <c r="MI43" s="79"/>
      <c r="MJ43" s="79"/>
      <c r="MK43" s="79"/>
      <c r="ML43" s="79"/>
      <c r="MM43" s="79"/>
      <c r="MN43" s="79"/>
      <c r="MO43" s="79"/>
      <c r="MP43" s="79"/>
      <c r="MQ43" s="79"/>
      <c r="MR43" s="79"/>
      <c r="MS43" s="79"/>
      <c r="MT43" s="79"/>
      <c r="MU43" s="79"/>
      <c r="MV43" s="79"/>
      <c r="MW43" s="79"/>
      <c r="MX43" s="79"/>
      <c r="MY43" s="79"/>
      <c r="MZ43" s="79"/>
      <c r="NA43" s="79"/>
      <c r="NB43" s="79"/>
      <c r="NC43" s="79"/>
      <c r="ND43" s="79"/>
      <c r="NE43" s="79"/>
      <c r="NF43" s="79"/>
      <c r="NG43" s="79"/>
      <c r="NH43" s="79"/>
      <c r="NI43" s="79"/>
      <c r="NJ43" s="79"/>
      <c r="NK43" s="79"/>
      <c r="NL43" s="79"/>
      <c r="NM43" s="79"/>
      <c r="NN43" s="79"/>
      <c r="NO43" s="79"/>
      <c r="NP43" s="79"/>
      <c r="NQ43" s="79"/>
      <c r="NR43" s="79"/>
      <c r="NS43" s="79"/>
      <c r="NT43" s="79"/>
      <c r="NU43" s="79"/>
      <c r="NV43" s="79"/>
      <c r="NW43" s="79"/>
      <c r="NX43" s="79"/>
      <c r="NY43" s="79"/>
      <c r="NZ43" s="79"/>
      <c r="OA43" s="79"/>
      <c r="OB43" s="79"/>
      <c r="OC43" s="79"/>
      <c r="OD43" s="79"/>
      <c r="OE43" s="79"/>
      <c r="OF43" s="79"/>
      <c r="OG43" s="79"/>
      <c r="OH43" s="79"/>
      <c r="OI43" s="79"/>
      <c r="OJ43" s="79"/>
      <c r="OK43" s="79"/>
      <c r="OL43" s="79"/>
      <c r="OM43" s="79"/>
      <c r="ON43" s="79"/>
      <c r="OO43" s="79"/>
      <c r="OP43" s="79"/>
      <c r="OQ43" s="79"/>
      <c r="OR43" s="79"/>
      <c r="OS43" s="79"/>
      <c r="OT43" s="79"/>
      <c r="OU43" s="79"/>
      <c r="OV43" s="79"/>
      <c r="OW43" s="79"/>
      <c r="OX43" s="79"/>
      <c r="OY43" s="79"/>
      <c r="OZ43" s="79"/>
      <c r="PA43" s="79"/>
      <c r="PB43" s="79"/>
      <c r="PC43" s="79"/>
      <c r="PD43" s="79"/>
      <c r="PE43" s="79"/>
      <c r="PF43" s="79"/>
      <c r="PG43" s="79"/>
      <c r="PH43" s="79"/>
      <c r="PI43" s="79"/>
      <c r="PJ43" s="79"/>
      <c r="PK43" s="79"/>
      <c r="PL43" s="79"/>
      <c r="PM43" s="79"/>
      <c r="PN43" s="79"/>
      <c r="PO43" s="79"/>
      <c r="PP43" s="79"/>
      <c r="PQ43" s="79"/>
      <c r="PR43" s="79"/>
      <c r="PS43" s="79"/>
      <c r="PT43" s="79"/>
      <c r="PU43" s="79"/>
      <c r="PV43" s="79"/>
      <c r="PW43" s="79"/>
      <c r="PX43" s="79"/>
      <c r="PY43" s="79"/>
      <c r="PZ43" s="79"/>
      <c r="QA43" s="79"/>
      <c r="QB43" s="79"/>
      <c r="QC43" s="79"/>
      <c r="QD43" s="79"/>
      <c r="QE43" s="79"/>
      <c r="QF43" s="79"/>
      <c r="QG43" s="79"/>
      <c r="QH43" s="79"/>
      <c r="QI43" s="79"/>
      <c r="QJ43" s="79"/>
      <c r="QK43" s="79"/>
      <c r="QL43" s="79"/>
      <c r="QM43" s="79"/>
      <c r="QN43" s="79"/>
      <c r="QO43" s="79"/>
      <c r="QP43" s="79"/>
      <c r="QQ43" s="79"/>
      <c r="QR43" s="79"/>
      <c r="QS43" s="79"/>
      <c r="QT43" s="79"/>
      <c r="QU43" s="79"/>
      <c r="QV43" s="79"/>
      <c r="QW43" s="79"/>
      <c r="QX43" s="79"/>
      <c r="QY43" s="79"/>
      <c r="QZ43" s="79"/>
      <c r="RA43" s="79"/>
      <c r="RB43" s="79"/>
      <c r="RC43" s="79"/>
      <c r="RD43" s="79"/>
      <c r="RE43" s="79"/>
      <c r="RF43" s="79"/>
      <c r="RG43" s="79"/>
      <c r="RH43" s="79"/>
      <c r="RI43" s="79"/>
      <c r="RJ43" s="79"/>
      <c r="RK43" s="79"/>
      <c r="RL43" s="79"/>
      <c r="RM43" s="79"/>
      <c r="RN43" s="79"/>
      <c r="RO43" s="79"/>
      <c r="RP43" s="79"/>
      <c r="RQ43" s="79"/>
      <c r="RR43" s="79"/>
      <c r="RS43" s="79"/>
      <c r="RT43" s="79"/>
      <c r="RU43" s="79"/>
      <c r="RV43" s="79"/>
      <c r="RW43" s="79"/>
      <c r="RX43" s="79"/>
      <c r="RY43" s="79"/>
      <c r="RZ43" s="79"/>
      <c r="SA43" s="79"/>
      <c r="SB43" s="79"/>
      <c r="SC43" s="79"/>
      <c r="SD43" s="79"/>
      <c r="SE43" s="79"/>
      <c r="SF43" s="79"/>
      <c r="SG43" s="79"/>
      <c r="SH43" s="79"/>
      <c r="SI43" s="79"/>
      <c r="SJ43" s="79"/>
    </row>
    <row r="44" spans="2:504" x14ac:dyDescent="0.25">
      <c r="B44" s="49" t="str">
        <f>'Pay App 1'!B89</f>
        <v>07 42 00</v>
      </c>
      <c r="C44" s="25" t="str">
        <f>'Pay App 1'!C89</f>
        <v>Metal Panels</v>
      </c>
      <c r="D44" s="82">
        <f t="shared" si="8"/>
        <v>0</v>
      </c>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79"/>
      <c r="CZ44" s="79"/>
      <c r="DA44" s="79"/>
      <c r="DB44" s="79"/>
      <c r="DC44" s="79"/>
      <c r="DD44" s="79"/>
      <c r="DE44" s="79"/>
      <c r="DF44" s="79"/>
      <c r="DG44" s="79"/>
      <c r="DH44" s="79"/>
      <c r="DI44" s="79"/>
      <c r="DJ44" s="79"/>
      <c r="DK44" s="79"/>
      <c r="DL44" s="79"/>
      <c r="DM44" s="79"/>
      <c r="DN44" s="79"/>
      <c r="DO44" s="79"/>
      <c r="DP44" s="79"/>
      <c r="DQ44" s="79"/>
      <c r="DR44" s="79"/>
      <c r="DS44" s="79"/>
      <c r="DT44" s="79"/>
      <c r="DU44" s="79"/>
      <c r="DV44" s="79"/>
      <c r="DW44" s="79"/>
      <c r="DX44" s="79"/>
      <c r="DY44" s="79"/>
      <c r="DZ44" s="79"/>
      <c r="EA44" s="79"/>
      <c r="EB44" s="79"/>
      <c r="EC44" s="79"/>
      <c r="ED44" s="79"/>
      <c r="EE44" s="79"/>
      <c r="EF44" s="79"/>
      <c r="EG44" s="79"/>
      <c r="EH44" s="79"/>
      <c r="EI44" s="79"/>
      <c r="EJ44" s="79"/>
      <c r="EK44" s="79"/>
      <c r="EL44" s="79"/>
      <c r="EM44" s="79"/>
      <c r="EN44" s="79"/>
      <c r="EO44" s="79"/>
      <c r="EP44" s="79"/>
      <c r="EQ44" s="79"/>
      <c r="ER44" s="79"/>
      <c r="ES44" s="79"/>
      <c r="ET44" s="79"/>
      <c r="EU44" s="79"/>
      <c r="EV44" s="79"/>
      <c r="EW44" s="79"/>
      <c r="EX44" s="79"/>
      <c r="EY44" s="79"/>
      <c r="EZ44" s="79"/>
      <c r="FA44" s="79"/>
      <c r="FB44" s="79"/>
      <c r="FC44" s="79"/>
      <c r="FD44" s="79"/>
      <c r="FE44" s="79"/>
      <c r="FF44" s="79"/>
      <c r="FG44" s="79"/>
      <c r="FH44" s="79"/>
      <c r="FI44" s="79"/>
      <c r="FJ44" s="79"/>
      <c r="FK44" s="79"/>
      <c r="FL44" s="79"/>
      <c r="FM44" s="79"/>
      <c r="FN44" s="79"/>
      <c r="FO44" s="79"/>
      <c r="FP44" s="79"/>
      <c r="FQ44" s="79"/>
      <c r="FR44" s="79"/>
      <c r="FS44" s="79"/>
      <c r="FT44" s="79"/>
      <c r="FU44" s="79"/>
      <c r="FV44" s="79"/>
      <c r="FW44" s="79"/>
      <c r="FX44" s="79"/>
      <c r="FY44" s="79"/>
      <c r="FZ44" s="79"/>
      <c r="GA44" s="79"/>
      <c r="GB44" s="79"/>
      <c r="GC44" s="79"/>
      <c r="GD44" s="79"/>
      <c r="GE44" s="79"/>
      <c r="GF44" s="79"/>
      <c r="GG44" s="79"/>
      <c r="GH44" s="79"/>
      <c r="GI44" s="79"/>
      <c r="GJ44" s="79"/>
      <c r="GK44" s="79"/>
      <c r="GL44" s="79"/>
      <c r="GM44" s="79"/>
      <c r="GN44" s="79"/>
      <c r="GO44" s="79"/>
      <c r="GP44" s="79"/>
      <c r="GQ44" s="79"/>
      <c r="GR44" s="79"/>
      <c r="GS44" s="79"/>
      <c r="GT44" s="79"/>
      <c r="GU44" s="79"/>
      <c r="GV44" s="79"/>
      <c r="GW44" s="79"/>
      <c r="GX44" s="79"/>
      <c r="GY44" s="79"/>
      <c r="GZ44" s="79"/>
      <c r="HA44" s="79"/>
      <c r="HB44" s="79"/>
      <c r="HC44" s="79"/>
      <c r="HD44" s="79"/>
      <c r="HE44" s="79"/>
      <c r="HF44" s="79"/>
      <c r="HG44" s="79"/>
      <c r="HH44" s="79"/>
      <c r="HI44" s="79"/>
      <c r="HJ44" s="79"/>
      <c r="HK44" s="79"/>
      <c r="HL44" s="79"/>
      <c r="HM44" s="79"/>
      <c r="HN44" s="79"/>
      <c r="HO44" s="79"/>
      <c r="HP44" s="79"/>
      <c r="HQ44" s="79"/>
      <c r="HR44" s="79"/>
      <c r="HS44" s="79"/>
      <c r="HT44" s="79"/>
      <c r="HU44" s="79"/>
      <c r="HV44" s="79"/>
      <c r="HW44" s="79"/>
      <c r="HX44" s="79"/>
      <c r="HY44" s="79"/>
      <c r="HZ44" s="79"/>
      <c r="IA44" s="79"/>
      <c r="IB44" s="79"/>
      <c r="IC44" s="79"/>
      <c r="ID44" s="79"/>
      <c r="IE44" s="79"/>
      <c r="IF44" s="79"/>
      <c r="IG44" s="79"/>
      <c r="IH44" s="79"/>
      <c r="II44" s="79"/>
      <c r="IJ44" s="79"/>
      <c r="IK44" s="79"/>
      <c r="IL44" s="79"/>
      <c r="IM44" s="79"/>
      <c r="IN44" s="79"/>
      <c r="IO44" s="79"/>
      <c r="IP44" s="79"/>
      <c r="IQ44" s="79"/>
      <c r="IR44" s="79"/>
      <c r="IS44" s="79"/>
      <c r="IT44" s="79"/>
      <c r="IU44" s="79"/>
      <c r="IV44" s="79"/>
      <c r="IW44" s="79"/>
      <c r="IX44" s="79"/>
      <c r="IY44" s="79"/>
      <c r="IZ44" s="79"/>
      <c r="JA44" s="79"/>
      <c r="JB44" s="79"/>
      <c r="JC44" s="79"/>
      <c r="JD44" s="79"/>
      <c r="JE44" s="79"/>
      <c r="JF44" s="79"/>
      <c r="JG44" s="79"/>
      <c r="JH44" s="79"/>
      <c r="JI44" s="79"/>
      <c r="JJ44" s="79"/>
      <c r="JK44" s="79"/>
      <c r="JL44" s="79"/>
      <c r="JM44" s="79"/>
      <c r="JN44" s="79"/>
      <c r="JO44" s="79"/>
      <c r="JP44" s="79"/>
      <c r="JQ44" s="79"/>
      <c r="JR44" s="79"/>
      <c r="JS44" s="79"/>
      <c r="JT44" s="79"/>
      <c r="JU44" s="79"/>
      <c r="JV44" s="79"/>
      <c r="JW44" s="79"/>
      <c r="JX44" s="79"/>
      <c r="JY44" s="79"/>
      <c r="JZ44" s="79"/>
      <c r="KA44" s="79"/>
      <c r="KB44" s="79"/>
      <c r="KC44" s="79"/>
      <c r="KD44" s="79"/>
      <c r="KE44" s="79"/>
      <c r="KF44" s="79"/>
      <c r="KG44" s="79"/>
      <c r="KH44" s="79"/>
      <c r="KI44" s="79"/>
      <c r="KJ44" s="79"/>
      <c r="KK44" s="79"/>
      <c r="KL44" s="79"/>
      <c r="KM44" s="79"/>
      <c r="KN44" s="79"/>
      <c r="KO44" s="79"/>
      <c r="KP44" s="79"/>
      <c r="KQ44" s="79"/>
      <c r="KR44" s="79"/>
      <c r="KS44" s="79"/>
      <c r="KT44" s="79"/>
      <c r="KU44" s="79"/>
      <c r="KV44" s="79"/>
      <c r="KW44" s="79"/>
      <c r="KX44" s="79"/>
      <c r="KY44" s="79"/>
      <c r="KZ44" s="79"/>
      <c r="LA44" s="79"/>
      <c r="LB44" s="79"/>
      <c r="LC44" s="79"/>
      <c r="LD44" s="79"/>
      <c r="LE44" s="79"/>
      <c r="LF44" s="79"/>
      <c r="LG44" s="79"/>
      <c r="LH44" s="79"/>
      <c r="LI44" s="79"/>
      <c r="LJ44" s="79"/>
      <c r="LK44" s="79"/>
      <c r="LL44" s="79"/>
      <c r="LM44" s="79"/>
      <c r="LN44" s="79"/>
      <c r="LO44" s="79"/>
      <c r="LP44" s="79"/>
      <c r="LQ44" s="79"/>
      <c r="LR44" s="79"/>
      <c r="LS44" s="79"/>
      <c r="LT44" s="79"/>
      <c r="LU44" s="79"/>
      <c r="LV44" s="79"/>
      <c r="LW44" s="79"/>
      <c r="LX44" s="79"/>
      <c r="LY44" s="79"/>
      <c r="LZ44" s="79"/>
      <c r="MA44" s="79"/>
      <c r="MB44" s="79"/>
      <c r="MC44" s="79"/>
      <c r="MD44" s="79"/>
      <c r="ME44" s="79"/>
      <c r="MF44" s="79"/>
      <c r="MG44" s="79"/>
      <c r="MH44" s="79"/>
      <c r="MI44" s="79"/>
      <c r="MJ44" s="79"/>
      <c r="MK44" s="79"/>
      <c r="ML44" s="79"/>
      <c r="MM44" s="79"/>
      <c r="MN44" s="79"/>
      <c r="MO44" s="79"/>
      <c r="MP44" s="79"/>
      <c r="MQ44" s="79"/>
      <c r="MR44" s="79"/>
      <c r="MS44" s="79"/>
      <c r="MT44" s="79"/>
      <c r="MU44" s="79"/>
      <c r="MV44" s="79"/>
      <c r="MW44" s="79"/>
      <c r="MX44" s="79"/>
      <c r="MY44" s="79"/>
      <c r="MZ44" s="79"/>
      <c r="NA44" s="79"/>
      <c r="NB44" s="79"/>
      <c r="NC44" s="79"/>
      <c r="ND44" s="79"/>
      <c r="NE44" s="79"/>
      <c r="NF44" s="79"/>
      <c r="NG44" s="79"/>
      <c r="NH44" s="79"/>
      <c r="NI44" s="79"/>
      <c r="NJ44" s="79"/>
      <c r="NK44" s="79"/>
      <c r="NL44" s="79"/>
      <c r="NM44" s="79"/>
      <c r="NN44" s="79"/>
      <c r="NO44" s="79"/>
      <c r="NP44" s="79"/>
      <c r="NQ44" s="79"/>
      <c r="NR44" s="79"/>
      <c r="NS44" s="79"/>
      <c r="NT44" s="79"/>
      <c r="NU44" s="79"/>
      <c r="NV44" s="79"/>
      <c r="NW44" s="79"/>
      <c r="NX44" s="79"/>
      <c r="NY44" s="79"/>
      <c r="NZ44" s="79"/>
      <c r="OA44" s="79"/>
      <c r="OB44" s="79"/>
      <c r="OC44" s="79"/>
      <c r="OD44" s="79"/>
      <c r="OE44" s="79"/>
      <c r="OF44" s="79"/>
      <c r="OG44" s="79"/>
      <c r="OH44" s="79"/>
      <c r="OI44" s="79"/>
      <c r="OJ44" s="79"/>
      <c r="OK44" s="79"/>
      <c r="OL44" s="79"/>
      <c r="OM44" s="79"/>
      <c r="ON44" s="79"/>
      <c r="OO44" s="79"/>
      <c r="OP44" s="79"/>
      <c r="OQ44" s="79"/>
      <c r="OR44" s="79"/>
      <c r="OS44" s="79"/>
      <c r="OT44" s="79"/>
      <c r="OU44" s="79"/>
      <c r="OV44" s="79"/>
      <c r="OW44" s="79"/>
      <c r="OX44" s="79"/>
      <c r="OY44" s="79"/>
      <c r="OZ44" s="79"/>
      <c r="PA44" s="79"/>
      <c r="PB44" s="79"/>
      <c r="PC44" s="79"/>
      <c r="PD44" s="79"/>
      <c r="PE44" s="79"/>
      <c r="PF44" s="79"/>
      <c r="PG44" s="79"/>
      <c r="PH44" s="79"/>
      <c r="PI44" s="79"/>
      <c r="PJ44" s="79"/>
      <c r="PK44" s="79"/>
      <c r="PL44" s="79"/>
      <c r="PM44" s="79"/>
      <c r="PN44" s="79"/>
      <c r="PO44" s="79"/>
      <c r="PP44" s="79"/>
      <c r="PQ44" s="79"/>
      <c r="PR44" s="79"/>
      <c r="PS44" s="79"/>
      <c r="PT44" s="79"/>
      <c r="PU44" s="79"/>
      <c r="PV44" s="79"/>
      <c r="PW44" s="79"/>
      <c r="PX44" s="79"/>
      <c r="PY44" s="79"/>
      <c r="PZ44" s="79"/>
      <c r="QA44" s="79"/>
      <c r="QB44" s="79"/>
      <c r="QC44" s="79"/>
      <c r="QD44" s="79"/>
      <c r="QE44" s="79"/>
      <c r="QF44" s="79"/>
      <c r="QG44" s="79"/>
      <c r="QH44" s="79"/>
      <c r="QI44" s="79"/>
      <c r="QJ44" s="79"/>
      <c r="QK44" s="79"/>
      <c r="QL44" s="79"/>
      <c r="QM44" s="79"/>
      <c r="QN44" s="79"/>
      <c r="QO44" s="79"/>
      <c r="QP44" s="79"/>
      <c r="QQ44" s="79"/>
      <c r="QR44" s="79"/>
      <c r="QS44" s="79"/>
      <c r="QT44" s="79"/>
      <c r="QU44" s="79"/>
      <c r="QV44" s="79"/>
      <c r="QW44" s="79"/>
      <c r="QX44" s="79"/>
      <c r="QY44" s="79"/>
      <c r="QZ44" s="79"/>
      <c r="RA44" s="79"/>
      <c r="RB44" s="79"/>
      <c r="RC44" s="79"/>
      <c r="RD44" s="79"/>
      <c r="RE44" s="79"/>
      <c r="RF44" s="79"/>
      <c r="RG44" s="79"/>
      <c r="RH44" s="79"/>
      <c r="RI44" s="79"/>
      <c r="RJ44" s="79"/>
      <c r="RK44" s="79"/>
      <c r="RL44" s="79"/>
      <c r="RM44" s="79"/>
      <c r="RN44" s="79"/>
      <c r="RO44" s="79"/>
      <c r="RP44" s="79"/>
      <c r="RQ44" s="79"/>
      <c r="RR44" s="79"/>
      <c r="RS44" s="79"/>
      <c r="RT44" s="79"/>
      <c r="RU44" s="79"/>
      <c r="RV44" s="79"/>
      <c r="RW44" s="79"/>
      <c r="RX44" s="79"/>
      <c r="RY44" s="79"/>
      <c r="RZ44" s="79"/>
      <c r="SA44" s="79"/>
      <c r="SB44" s="79"/>
      <c r="SC44" s="79"/>
      <c r="SD44" s="79"/>
      <c r="SE44" s="79"/>
      <c r="SF44" s="79"/>
      <c r="SG44" s="79"/>
      <c r="SH44" s="79"/>
      <c r="SI44" s="79"/>
      <c r="SJ44" s="79"/>
    </row>
    <row r="45" spans="2:504" x14ac:dyDescent="0.25">
      <c r="B45" s="49" t="str">
        <f>'Pay App 1'!B90</f>
        <v>07 60 00</v>
      </c>
      <c r="C45" s="25" t="str">
        <f>'Pay App 1'!C90</f>
        <v>Sheet Metal Flashing &amp; Trim</v>
      </c>
      <c r="D45" s="82">
        <f t="shared" si="8"/>
        <v>0</v>
      </c>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79"/>
      <c r="BR45" s="79"/>
      <c r="BS45" s="79"/>
      <c r="BT45" s="79"/>
      <c r="BU45" s="79"/>
      <c r="BV45" s="79"/>
      <c r="BW45" s="79"/>
      <c r="BX45" s="79"/>
      <c r="BY45" s="79"/>
      <c r="BZ45" s="79"/>
      <c r="CA45" s="79"/>
      <c r="CB45" s="79"/>
      <c r="CC45" s="79"/>
      <c r="CD45" s="79"/>
      <c r="CE45" s="79"/>
      <c r="CF45" s="79"/>
      <c r="CG45" s="79"/>
      <c r="CH45" s="79"/>
      <c r="CI45" s="79"/>
      <c r="CJ45" s="79"/>
      <c r="CK45" s="79"/>
      <c r="CL45" s="79"/>
      <c r="CM45" s="79"/>
      <c r="CN45" s="79"/>
      <c r="CO45" s="79"/>
      <c r="CP45" s="79"/>
      <c r="CQ45" s="79"/>
      <c r="CR45" s="79"/>
      <c r="CS45" s="79"/>
      <c r="CT45" s="79"/>
      <c r="CU45" s="79"/>
      <c r="CV45" s="79"/>
      <c r="CW45" s="79"/>
      <c r="CX45" s="79"/>
      <c r="CY45" s="79"/>
      <c r="CZ45" s="79"/>
      <c r="DA45" s="79"/>
      <c r="DB45" s="79"/>
      <c r="DC45" s="79"/>
      <c r="DD45" s="79"/>
      <c r="DE45" s="79"/>
      <c r="DF45" s="79"/>
      <c r="DG45" s="79"/>
      <c r="DH45" s="79"/>
      <c r="DI45" s="79"/>
      <c r="DJ45" s="79"/>
      <c r="DK45" s="79"/>
      <c r="DL45" s="79"/>
      <c r="DM45" s="79"/>
      <c r="DN45" s="79"/>
      <c r="DO45" s="79"/>
      <c r="DP45" s="79"/>
      <c r="DQ45" s="79"/>
      <c r="DR45" s="79"/>
      <c r="DS45" s="79"/>
      <c r="DT45" s="79"/>
      <c r="DU45" s="79"/>
      <c r="DV45" s="79"/>
      <c r="DW45" s="79"/>
      <c r="DX45" s="79"/>
      <c r="DY45" s="79"/>
      <c r="DZ45" s="79"/>
      <c r="EA45" s="79"/>
      <c r="EB45" s="79"/>
      <c r="EC45" s="79"/>
      <c r="ED45" s="79"/>
      <c r="EE45" s="79"/>
      <c r="EF45" s="79"/>
      <c r="EG45" s="79"/>
      <c r="EH45" s="79"/>
      <c r="EI45" s="79"/>
      <c r="EJ45" s="79"/>
      <c r="EK45" s="79"/>
      <c r="EL45" s="79"/>
      <c r="EM45" s="79"/>
      <c r="EN45" s="79"/>
      <c r="EO45" s="79"/>
      <c r="EP45" s="79"/>
      <c r="EQ45" s="79"/>
      <c r="ER45" s="79"/>
      <c r="ES45" s="79"/>
      <c r="ET45" s="79"/>
      <c r="EU45" s="79"/>
      <c r="EV45" s="79"/>
      <c r="EW45" s="79"/>
      <c r="EX45" s="79"/>
      <c r="EY45" s="79"/>
      <c r="EZ45" s="79"/>
      <c r="FA45" s="79"/>
      <c r="FB45" s="79"/>
      <c r="FC45" s="79"/>
      <c r="FD45" s="79"/>
      <c r="FE45" s="79"/>
      <c r="FF45" s="79"/>
      <c r="FG45" s="79"/>
      <c r="FH45" s="79"/>
      <c r="FI45" s="79"/>
      <c r="FJ45" s="79"/>
      <c r="FK45" s="79"/>
      <c r="FL45" s="79"/>
      <c r="FM45" s="79"/>
      <c r="FN45" s="79"/>
      <c r="FO45" s="79"/>
      <c r="FP45" s="79"/>
      <c r="FQ45" s="79"/>
      <c r="FR45" s="79"/>
      <c r="FS45" s="79"/>
      <c r="FT45" s="79"/>
      <c r="FU45" s="79"/>
      <c r="FV45" s="79"/>
      <c r="FW45" s="79"/>
      <c r="FX45" s="79"/>
      <c r="FY45" s="79"/>
      <c r="FZ45" s="79"/>
      <c r="GA45" s="79"/>
      <c r="GB45" s="79"/>
      <c r="GC45" s="79"/>
      <c r="GD45" s="79"/>
      <c r="GE45" s="79"/>
      <c r="GF45" s="79"/>
      <c r="GG45" s="79"/>
      <c r="GH45" s="79"/>
      <c r="GI45" s="79"/>
      <c r="GJ45" s="79"/>
      <c r="GK45" s="79"/>
      <c r="GL45" s="79"/>
      <c r="GM45" s="79"/>
      <c r="GN45" s="79"/>
      <c r="GO45" s="79"/>
      <c r="GP45" s="79"/>
      <c r="GQ45" s="79"/>
      <c r="GR45" s="79"/>
      <c r="GS45" s="79"/>
      <c r="GT45" s="79"/>
      <c r="GU45" s="79"/>
      <c r="GV45" s="79"/>
      <c r="GW45" s="79"/>
      <c r="GX45" s="79"/>
      <c r="GY45" s="79"/>
      <c r="GZ45" s="79"/>
      <c r="HA45" s="79"/>
      <c r="HB45" s="79"/>
      <c r="HC45" s="79"/>
      <c r="HD45" s="79"/>
      <c r="HE45" s="79"/>
      <c r="HF45" s="79"/>
      <c r="HG45" s="79"/>
      <c r="HH45" s="79"/>
      <c r="HI45" s="79"/>
      <c r="HJ45" s="79"/>
      <c r="HK45" s="79"/>
      <c r="HL45" s="79"/>
      <c r="HM45" s="79"/>
      <c r="HN45" s="79"/>
      <c r="HO45" s="79"/>
      <c r="HP45" s="79"/>
      <c r="HQ45" s="79"/>
      <c r="HR45" s="79"/>
      <c r="HS45" s="79"/>
      <c r="HT45" s="79"/>
      <c r="HU45" s="79"/>
      <c r="HV45" s="79"/>
      <c r="HW45" s="79"/>
      <c r="HX45" s="79"/>
      <c r="HY45" s="79"/>
      <c r="HZ45" s="79"/>
      <c r="IA45" s="79"/>
      <c r="IB45" s="79"/>
      <c r="IC45" s="79"/>
      <c r="ID45" s="79"/>
      <c r="IE45" s="79"/>
      <c r="IF45" s="79"/>
      <c r="IG45" s="79"/>
      <c r="IH45" s="79"/>
      <c r="II45" s="79"/>
      <c r="IJ45" s="79"/>
      <c r="IK45" s="79"/>
      <c r="IL45" s="79"/>
      <c r="IM45" s="79"/>
      <c r="IN45" s="79"/>
      <c r="IO45" s="79"/>
      <c r="IP45" s="79"/>
      <c r="IQ45" s="79"/>
      <c r="IR45" s="79"/>
      <c r="IS45" s="79"/>
      <c r="IT45" s="79"/>
      <c r="IU45" s="79"/>
      <c r="IV45" s="79"/>
      <c r="IW45" s="79"/>
      <c r="IX45" s="79"/>
      <c r="IY45" s="79"/>
      <c r="IZ45" s="79"/>
      <c r="JA45" s="79"/>
      <c r="JB45" s="79"/>
      <c r="JC45" s="79"/>
      <c r="JD45" s="79"/>
      <c r="JE45" s="79"/>
      <c r="JF45" s="79"/>
      <c r="JG45" s="79"/>
      <c r="JH45" s="79"/>
      <c r="JI45" s="79"/>
      <c r="JJ45" s="79"/>
      <c r="JK45" s="79"/>
      <c r="JL45" s="79"/>
      <c r="JM45" s="79"/>
      <c r="JN45" s="79"/>
      <c r="JO45" s="79"/>
      <c r="JP45" s="79"/>
      <c r="JQ45" s="79"/>
      <c r="JR45" s="79"/>
      <c r="JS45" s="79"/>
      <c r="JT45" s="79"/>
      <c r="JU45" s="79"/>
      <c r="JV45" s="79"/>
      <c r="JW45" s="79"/>
      <c r="JX45" s="79"/>
      <c r="JY45" s="79"/>
      <c r="JZ45" s="79"/>
      <c r="KA45" s="79"/>
      <c r="KB45" s="79"/>
      <c r="KC45" s="79"/>
      <c r="KD45" s="79"/>
      <c r="KE45" s="79"/>
      <c r="KF45" s="79"/>
      <c r="KG45" s="79"/>
      <c r="KH45" s="79"/>
      <c r="KI45" s="79"/>
      <c r="KJ45" s="79"/>
      <c r="KK45" s="79"/>
      <c r="KL45" s="79"/>
      <c r="KM45" s="79"/>
      <c r="KN45" s="79"/>
      <c r="KO45" s="79"/>
      <c r="KP45" s="79"/>
      <c r="KQ45" s="79"/>
      <c r="KR45" s="79"/>
      <c r="KS45" s="79"/>
      <c r="KT45" s="79"/>
      <c r="KU45" s="79"/>
      <c r="KV45" s="79"/>
      <c r="KW45" s="79"/>
      <c r="KX45" s="79"/>
      <c r="KY45" s="79"/>
      <c r="KZ45" s="79"/>
      <c r="LA45" s="79"/>
      <c r="LB45" s="79"/>
      <c r="LC45" s="79"/>
      <c r="LD45" s="79"/>
      <c r="LE45" s="79"/>
      <c r="LF45" s="79"/>
      <c r="LG45" s="79"/>
      <c r="LH45" s="79"/>
      <c r="LI45" s="79"/>
      <c r="LJ45" s="79"/>
      <c r="LK45" s="79"/>
      <c r="LL45" s="79"/>
      <c r="LM45" s="79"/>
      <c r="LN45" s="79"/>
      <c r="LO45" s="79"/>
      <c r="LP45" s="79"/>
      <c r="LQ45" s="79"/>
      <c r="LR45" s="79"/>
      <c r="LS45" s="79"/>
      <c r="LT45" s="79"/>
      <c r="LU45" s="79"/>
      <c r="LV45" s="79"/>
      <c r="LW45" s="79"/>
      <c r="LX45" s="79"/>
      <c r="LY45" s="79"/>
      <c r="LZ45" s="79"/>
      <c r="MA45" s="79"/>
      <c r="MB45" s="79"/>
      <c r="MC45" s="79"/>
      <c r="MD45" s="79"/>
      <c r="ME45" s="79"/>
      <c r="MF45" s="79"/>
      <c r="MG45" s="79"/>
      <c r="MH45" s="79"/>
      <c r="MI45" s="79"/>
      <c r="MJ45" s="79"/>
      <c r="MK45" s="79"/>
      <c r="ML45" s="79"/>
      <c r="MM45" s="79"/>
      <c r="MN45" s="79"/>
      <c r="MO45" s="79"/>
      <c r="MP45" s="79"/>
      <c r="MQ45" s="79"/>
      <c r="MR45" s="79"/>
      <c r="MS45" s="79"/>
      <c r="MT45" s="79"/>
      <c r="MU45" s="79"/>
      <c r="MV45" s="79"/>
      <c r="MW45" s="79"/>
      <c r="MX45" s="79"/>
      <c r="MY45" s="79"/>
      <c r="MZ45" s="79"/>
      <c r="NA45" s="79"/>
      <c r="NB45" s="79"/>
      <c r="NC45" s="79"/>
      <c r="ND45" s="79"/>
      <c r="NE45" s="79"/>
      <c r="NF45" s="79"/>
      <c r="NG45" s="79"/>
      <c r="NH45" s="79"/>
      <c r="NI45" s="79"/>
      <c r="NJ45" s="79"/>
      <c r="NK45" s="79"/>
      <c r="NL45" s="79"/>
      <c r="NM45" s="79"/>
      <c r="NN45" s="79"/>
      <c r="NO45" s="79"/>
      <c r="NP45" s="79"/>
      <c r="NQ45" s="79"/>
      <c r="NR45" s="79"/>
      <c r="NS45" s="79"/>
      <c r="NT45" s="79"/>
      <c r="NU45" s="79"/>
      <c r="NV45" s="79"/>
      <c r="NW45" s="79"/>
      <c r="NX45" s="79"/>
      <c r="NY45" s="79"/>
      <c r="NZ45" s="79"/>
      <c r="OA45" s="79"/>
      <c r="OB45" s="79"/>
      <c r="OC45" s="79"/>
      <c r="OD45" s="79"/>
      <c r="OE45" s="79"/>
      <c r="OF45" s="79"/>
      <c r="OG45" s="79"/>
      <c r="OH45" s="79"/>
      <c r="OI45" s="79"/>
      <c r="OJ45" s="79"/>
      <c r="OK45" s="79"/>
      <c r="OL45" s="79"/>
      <c r="OM45" s="79"/>
      <c r="ON45" s="79"/>
      <c r="OO45" s="79"/>
      <c r="OP45" s="79"/>
      <c r="OQ45" s="79"/>
      <c r="OR45" s="79"/>
      <c r="OS45" s="79"/>
      <c r="OT45" s="79"/>
      <c r="OU45" s="79"/>
      <c r="OV45" s="79"/>
      <c r="OW45" s="79"/>
      <c r="OX45" s="79"/>
      <c r="OY45" s="79"/>
      <c r="OZ45" s="79"/>
      <c r="PA45" s="79"/>
      <c r="PB45" s="79"/>
      <c r="PC45" s="79"/>
      <c r="PD45" s="79"/>
      <c r="PE45" s="79"/>
      <c r="PF45" s="79"/>
      <c r="PG45" s="79"/>
      <c r="PH45" s="79"/>
      <c r="PI45" s="79"/>
      <c r="PJ45" s="79"/>
      <c r="PK45" s="79"/>
      <c r="PL45" s="79"/>
      <c r="PM45" s="79"/>
      <c r="PN45" s="79"/>
      <c r="PO45" s="79"/>
      <c r="PP45" s="79"/>
      <c r="PQ45" s="79"/>
      <c r="PR45" s="79"/>
      <c r="PS45" s="79"/>
      <c r="PT45" s="79"/>
      <c r="PU45" s="79"/>
      <c r="PV45" s="79"/>
      <c r="PW45" s="79"/>
      <c r="PX45" s="79"/>
      <c r="PY45" s="79"/>
      <c r="PZ45" s="79"/>
      <c r="QA45" s="79"/>
      <c r="QB45" s="79"/>
      <c r="QC45" s="79"/>
      <c r="QD45" s="79"/>
      <c r="QE45" s="79"/>
      <c r="QF45" s="79"/>
      <c r="QG45" s="79"/>
      <c r="QH45" s="79"/>
      <c r="QI45" s="79"/>
      <c r="QJ45" s="79"/>
      <c r="QK45" s="79"/>
      <c r="QL45" s="79"/>
      <c r="QM45" s="79"/>
      <c r="QN45" s="79"/>
      <c r="QO45" s="79"/>
      <c r="QP45" s="79"/>
      <c r="QQ45" s="79"/>
      <c r="QR45" s="79"/>
      <c r="QS45" s="79"/>
      <c r="QT45" s="79"/>
      <c r="QU45" s="79"/>
      <c r="QV45" s="79"/>
      <c r="QW45" s="79"/>
      <c r="QX45" s="79"/>
      <c r="QY45" s="79"/>
      <c r="QZ45" s="79"/>
      <c r="RA45" s="79"/>
      <c r="RB45" s="79"/>
      <c r="RC45" s="79"/>
      <c r="RD45" s="79"/>
      <c r="RE45" s="79"/>
      <c r="RF45" s="79"/>
      <c r="RG45" s="79"/>
      <c r="RH45" s="79"/>
      <c r="RI45" s="79"/>
      <c r="RJ45" s="79"/>
      <c r="RK45" s="79"/>
      <c r="RL45" s="79"/>
      <c r="RM45" s="79"/>
      <c r="RN45" s="79"/>
      <c r="RO45" s="79"/>
      <c r="RP45" s="79"/>
      <c r="RQ45" s="79"/>
      <c r="RR45" s="79"/>
      <c r="RS45" s="79"/>
      <c r="RT45" s="79"/>
      <c r="RU45" s="79"/>
      <c r="RV45" s="79"/>
      <c r="RW45" s="79"/>
      <c r="RX45" s="79"/>
      <c r="RY45" s="79"/>
      <c r="RZ45" s="79"/>
      <c r="SA45" s="79"/>
      <c r="SB45" s="79"/>
      <c r="SC45" s="79"/>
      <c r="SD45" s="79"/>
      <c r="SE45" s="79"/>
      <c r="SF45" s="79"/>
      <c r="SG45" s="79"/>
      <c r="SH45" s="79"/>
      <c r="SI45" s="79"/>
      <c r="SJ45" s="79"/>
    </row>
    <row r="46" spans="2:504" x14ac:dyDescent="0.25">
      <c r="B46" s="49" t="str">
        <f>'Pay App 1'!B91</f>
        <v>07 80 00</v>
      </c>
      <c r="C46" s="25" t="str">
        <f>'Pay App 1'!C91</f>
        <v>Fireproofing</v>
      </c>
      <c r="D46" s="82">
        <f t="shared" si="8"/>
        <v>0</v>
      </c>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79"/>
      <c r="BR46" s="79"/>
      <c r="BS46" s="79"/>
      <c r="BT46" s="79"/>
      <c r="BU46" s="79"/>
      <c r="BV46" s="79"/>
      <c r="BW46" s="79"/>
      <c r="BX46" s="79"/>
      <c r="BY46" s="79"/>
      <c r="BZ46" s="79"/>
      <c r="CA46" s="79"/>
      <c r="CB46" s="79"/>
      <c r="CC46" s="79"/>
      <c r="CD46" s="79"/>
      <c r="CE46" s="79"/>
      <c r="CF46" s="79"/>
      <c r="CG46" s="79"/>
      <c r="CH46" s="79"/>
      <c r="CI46" s="79"/>
      <c r="CJ46" s="79"/>
      <c r="CK46" s="79"/>
      <c r="CL46" s="79"/>
      <c r="CM46" s="79"/>
      <c r="CN46" s="79"/>
      <c r="CO46" s="79"/>
      <c r="CP46" s="79"/>
      <c r="CQ46" s="79"/>
      <c r="CR46" s="79"/>
      <c r="CS46" s="79"/>
      <c r="CT46" s="79"/>
      <c r="CU46" s="79"/>
      <c r="CV46" s="79"/>
      <c r="CW46" s="79"/>
      <c r="CX46" s="79"/>
      <c r="CY46" s="79"/>
      <c r="CZ46" s="79"/>
      <c r="DA46" s="79"/>
      <c r="DB46" s="79"/>
      <c r="DC46" s="79"/>
      <c r="DD46" s="79"/>
      <c r="DE46" s="79"/>
      <c r="DF46" s="79"/>
      <c r="DG46" s="79"/>
      <c r="DH46" s="79"/>
      <c r="DI46" s="79"/>
      <c r="DJ46" s="79"/>
      <c r="DK46" s="79"/>
      <c r="DL46" s="79"/>
      <c r="DM46" s="79"/>
      <c r="DN46" s="79"/>
      <c r="DO46" s="79"/>
      <c r="DP46" s="79"/>
      <c r="DQ46" s="79"/>
      <c r="DR46" s="79"/>
      <c r="DS46" s="79"/>
      <c r="DT46" s="79"/>
      <c r="DU46" s="79"/>
      <c r="DV46" s="79"/>
      <c r="DW46" s="79"/>
      <c r="DX46" s="79"/>
      <c r="DY46" s="79"/>
      <c r="DZ46" s="79"/>
      <c r="EA46" s="79"/>
      <c r="EB46" s="79"/>
      <c r="EC46" s="79"/>
      <c r="ED46" s="79"/>
      <c r="EE46" s="79"/>
      <c r="EF46" s="79"/>
      <c r="EG46" s="79"/>
      <c r="EH46" s="79"/>
      <c r="EI46" s="79"/>
      <c r="EJ46" s="79"/>
      <c r="EK46" s="79"/>
      <c r="EL46" s="79"/>
      <c r="EM46" s="79"/>
      <c r="EN46" s="79"/>
      <c r="EO46" s="79"/>
      <c r="EP46" s="79"/>
      <c r="EQ46" s="79"/>
      <c r="ER46" s="79"/>
      <c r="ES46" s="79"/>
      <c r="ET46" s="79"/>
      <c r="EU46" s="79"/>
      <c r="EV46" s="79"/>
      <c r="EW46" s="79"/>
      <c r="EX46" s="79"/>
      <c r="EY46" s="79"/>
      <c r="EZ46" s="79"/>
      <c r="FA46" s="79"/>
      <c r="FB46" s="79"/>
      <c r="FC46" s="79"/>
      <c r="FD46" s="79"/>
      <c r="FE46" s="79"/>
      <c r="FF46" s="79"/>
      <c r="FG46" s="79"/>
      <c r="FH46" s="79"/>
      <c r="FI46" s="79"/>
      <c r="FJ46" s="79"/>
      <c r="FK46" s="79"/>
      <c r="FL46" s="79"/>
      <c r="FM46" s="79"/>
      <c r="FN46" s="79"/>
      <c r="FO46" s="79"/>
      <c r="FP46" s="79"/>
      <c r="FQ46" s="79"/>
      <c r="FR46" s="79"/>
      <c r="FS46" s="79"/>
      <c r="FT46" s="79"/>
      <c r="FU46" s="79"/>
      <c r="FV46" s="79"/>
      <c r="FW46" s="79"/>
      <c r="FX46" s="79"/>
      <c r="FY46" s="79"/>
      <c r="FZ46" s="79"/>
      <c r="GA46" s="79"/>
      <c r="GB46" s="79"/>
      <c r="GC46" s="79"/>
      <c r="GD46" s="79"/>
      <c r="GE46" s="79"/>
      <c r="GF46" s="79"/>
      <c r="GG46" s="79"/>
      <c r="GH46" s="79"/>
      <c r="GI46" s="79"/>
      <c r="GJ46" s="79"/>
      <c r="GK46" s="79"/>
      <c r="GL46" s="79"/>
      <c r="GM46" s="79"/>
      <c r="GN46" s="79"/>
      <c r="GO46" s="79"/>
      <c r="GP46" s="79"/>
      <c r="GQ46" s="79"/>
      <c r="GR46" s="79"/>
      <c r="GS46" s="79"/>
      <c r="GT46" s="79"/>
      <c r="GU46" s="79"/>
      <c r="GV46" s="79"/>
      <c r="GW46" s="79"/>
      <c r="GX46" s="79"/>
      <c r="GY46" s="79"/>
      <c r="GZ46" s="79"/>
      <c r="HA46" s="79"/>
      <c r="HB46" s="79"/>
      <c r="HC46" s="79"/>
      <c r="HD46" s="79"/>
      <c r="HE46" s="79"/>
      <c r="HF46" s="79"/>
      <c r="HG46" s="79"/>
      <c r="HH46" s="79"/>
      <c r="HI46" s="79"/>
      <c r="HJ46" s="79"/>
      <c r="HK46" s="79"/>
      <c r="HL46" s="79"/>
      <c r="HM46" s="79"/>
      <c r="HN46" s="79"/>
      <c r="HO46" s="79"/>
      <c r="HP46" s="79"/>
      <c r="HQ46" s="79"/>
      <c r="HR46" s="79"/>
      <c r="HS46" s="79"/>
      <c r="HT46" s="79"/>
      <c r="HU46" s="79"/>
      <c r="HV46" s="79"/>
      <c r="HW46" s="79"/>
      <c r="HX46" s="79"/>
      <c r="HY46" s="79"/>
      <c r="HZ46" s="79"/>
      <c r="IA46" s="79"/>
      <c r="IB46" s="79"/>
      <c r="IC46" s="79"/>
      <c r="ID46" s="79"/>
      <c r="IE46" s="79"/>
      <c r="IF46" s="79"/>
      <c r="IG46" s="79"/>
      <c r="IH46" s="79"/>
      <c r="II46" s="79"/>
      <c r="IJ46" s="79"/>
      <c r="IK46" s="79"/>
      <c r="IL46" s="79"/>
      <c r="IM46" s="79"/>
      <c r="IN46" s="79"/>
      <c r="IO46" s="79"/>
      <c r="IP46" s="79"/>
      <c r="IQ46" s="79"/>
      <c r="IR46" s="79"/>
      <c r="IS46" s="79"/>
      <c r="IT46" s="79"/>
      <c r="IU46" s="79"/>
      <c r="IV46" s="79"/>
      <c r="IW46" s="79"/>
      <c r="IX46" s="79"/>
      <c r="IY46" s="79"/>
      <c r="IZ46" s="79"/>
      <c r="JA46" s="79"/>
      <c r="JB46" s="79"/>
      <c r="JC46" s="79"/>
      <c r="JD46" s="79"/>
      <c r="JE46" s="79"/>
      <c r="JF46" s="79"/>
      <c r="JG46" s="79"/>
      <c r="JH46" s="79"/>
      <c r="JI46" s="79"/>
      <c r="JJ46" s="79"/>
      <c r="JK46" s="79"/>
      <c r="JL46" s="79"/>
      <c r="JM46" s="79"/>
      <c r="JN46" s="79"/>
      <c r="JO46" s="79"/>
      <c r="JP46" s="79"/>
      <c r="JQ46" s="79"/>
      <c r="JR46" s="79"/>
      <c r="JS46" s="79"/>
      <c r="JT46" s="79"/>
      <c r="JU46" s="79"/>
      <c r="JV46" s="79"/>
      <c r="JW46" s="79"/>
      <c r="JX46" s="79"/>
      <c r="JY46" s="79"/>
      <c r="JZ46" s="79"/>
      <c r="KA46" s="79"/>
      <c r="KB46" s="79"/>
      <c r="KC46" s="79"/>
      <c r="KD46" s="79"/>
      <c r="KE46" s="79"/>
      <c r="KF46" s="79"/>
      <c r="KG46" s="79"/>
      <c r="KH46" s="79"/>
      <c r="KI46" s="79"/>
      <c r="KJ46" s="79"/>
      <c r="KK46" s="79"/>
      <c r="KL46" s="79"/>
      <c r="KM46" s="79"/>
      <c r="KN46" s="79"/>
      <c r="KO46" s="79"/>
      <c r="KP46" s="79"/>
      <c r="KQ46" s="79"/>
      <c r="KR46" s="79"/>
      <c r="KS46" s="79"/>
      <c r="KT46" s="79"/>
      <c r="KU46" s="79"/>
      <c r="KV46" s="79"/>
      <c r="KW46" s="79"/>
      <c r="KX46" s="79"/>
      <c r="KY46" s="79"/>
      <c r="KZ46" s="79"/>
      <c r="LA46" s="79"/>
      <c r="LB46" s="79"/>
      <c r="LC46" s="79"/>
      <c r="LD46" s="79"/>
      <c r="LE46" s="79"/>
      <c r="LF46" s="79"/>
      <c r="LG46" s="79"/>
      <c r="LH46" s="79"/>
      <c r="LI46" s="79"/>
      <c r="LJ46" s="79"/>
      <c r="LK46" s="79"/>
      <c r="LL46" s="79"/>
      <c r="LM46" s="79"/>
      <c r="LN46" s="79"/>
      <c r="LO46" s="79"/>
      <c r="LP46" s="79"/>
      <c r="LQ46" s="79"/>
      <c r="LR46" s="79"/>
      <c r="LS46" s="79"/>
      <c r="LT46" s="79"/>
      <c r="LU46" s="79"/>
      <c r="LV46" s="79"/>
      <c r="LW46" s="79"/>
      <c r="LX46" s="79"/>
      <c r="LY46" s="79"/>
      <c r="LZ46" s="79"/>
      <c r="MA46" s="79"/>
      <c r="MB46" s="79"/>
      <c r="MC46" s="79"/>
      <c r="MD46" s="79"/>
      <c r="ME46" s="79"/>
      <c r="MF46" s="79"/>
      <c r="MG46" s="79"/>
      <c r="MH46" s="79"/>
      <c r="MI46" s="79"/>
      <c r="MJ46" s="79"/>
      <c r="MK46" s="79"/>
      <c r="ML46" s="79"/>
      <c r="MM46" s="79"/>
      <c r="MN46" s="79"/>
      <c r="MO46" s="79"/>
      <c r="MP46" s="79"/>
      <c r="MQ46" s="79"/>
      <c r="MR46" s="79"/>
      <c r="MS46" s="79"/>
      <c r="MT46" s="79"/>
      <c r="MU46" s="79"/>
      <c r="MV46" s="79"/>
      <c r="MW46" s="79"/>
      <c r="MX46" s="79"/>
      <c r="MY46" s="79"/>
      <c r="MZ46" s="79"/>
      <c r="NA46" s="79"/>
      <c r="NB46" s="79"/>
      <c r="NC46" s="79"/>
      <c r="ND46" s="79"/>
      <c r="NE46" s="79"/>
      <c r="NF46" s="79"/>
      <c r="NG46" s="79"/>
      <c r="NH46" s="79"/>
      <c r="NI46" s="79"/>
      <c r="NJ46" s="79"/>
      <c r="NK46" s="79"/>
      <c r="NL46" s="79"/>
      <c r="NM46" s="79"/>
      <c r="NN46" s="79"/>
      <c r="NO46" s="79"/>
      <c r="NP46" s="79"/>
      <c r="NQ46" s="79"/>
      <c r="NR46" s="79"/>
      <c r="NS46" s="79"/>
      <c r="NT46" s="79"/>
      <c r="NU46" s="79"/>
      <c r="NV46" s="79"/>
      <c r="NW46" s="79"/>
      <c r="NX46" s="79"/>
      <c r="NY46" s="79"/>
      <c r="NZ46" s="79"/>
      <c r="OA46" s="79"/>
      <c r="OB46" s="79"/>
      <c r="OC46" s="79"/>
      <c r="OD46" s="79"/>
      <c r="OE46" s="79"/>
      <c r="OF46" s="79"/>
      <c r="OG46" s="79"/>
      <c r="OH46" s="79"/>
      <c r="OI46" s="79"/>
      <c r="OJ46" s="79"/>
      <c r="OK46" s="79"/>
      <c r="OL46" s="79"/>
      <c r="OM46" s="79"/>
      <c r="ON46" s="79"/>
      <c r="OO46" s="79"/>
      <c r="OP46" s="79"/>
      <c r="OQ46" s="79"/>
      <c r="OR46" s="79"/>
      <c r="OS46" s="79"/>
      <c r="OT46" s="79"/>
      <c r="OU46" s="79"/>
      <c r="OV46" s="79"/>
      <c r="OW46" s="79"/>
      <c r="OX46" s="79"/>
      <c r="OY46" s="79"/>
      <c r="OZ46" s="79"/>
      <c r="PA46" s="79"/>
      <c r="PB46" s="79"/>
      <c r="PC46" s="79"/>
      <c r="PD46" s="79"/>
      <c r="PE46" s="79"/>
      <c r="PF46" s="79"/>
      <c r="PG46" s="79"/>
      <c r="PH46" s="79"/>
      <c r="PI46" s="79"/>
      <c r="PJ46" s="79"/>
      <c r="PK46" s="79"/>
      <c r="PL46" s="79"/>
      <c r="PM46" s="79"/>
      <c r="PN46" s="79"/>
      <c r="PO46" s="79"/>
      <c r="PP46" s="79"/>
      <c r="PQ46" s="79"/>
      <c r="PR46" s="79"/>
      <c r="PS46" s="79"/>
      <c r="PT46" s="79"/>
      <c r="PU46" s="79"/>
      <c r="PV46" s="79"/>
      <c r="PW46" s="79"/>
      <c r="PX46" s="79"/>
      <c r="PY46" s="79"/>
      <c r="PZ46" s="79"/>
      <c r="QA46" s="79"/>
      <c r="QB46" s="79"/>
      <c r="QC46" s="79"/>
      <c r="QD46" s="79"/>
      <c r="QE46" s="79"/>
      <c r="QF46" s="79"/>
      <c r="QG46" s="79"/>
      <c r="QH46" s="79"/>
      <c r="QI46" s="79"/>
      <c r="QJ46" s="79"/>
      <c r="QK46" s="79"/>
      <c r="QL46" s="79"/>
      <c r="QM46" s="79"/>
      <c r="QN46" s="79"/>
      <c r="QO46" s="79"/>
      <c r="QP46" s="79"/>
      <c r="QQ46" s="79"/>
      <c r="QR46" s="79"/>
      <c r="QS46" s="79"/>
      <c r="QT46" s="79"/>
      <c r="QU46" s="79"/>
      <c r="QV46" s="79"/>
      <c r="QW46" s="79"/>
      <c r="QX46" s="79"/>
      <c r="QY46" s="79"/>
      <c r="QZ46" s="79"/>
      <c r="RA46" s="79"/>
      <c r="RB46" s="79"/>
      <c r="RC46" s="79"/>
      <c r="RD46" s="79"/>
      <c r="RE46" s="79"/>
      <c r="RF46" s="79"/>
      <c r="RG46" s="79"/>
      <c r="RH46" s="79"/>
      <c r="RI46" s="79"/>
      <c r="RJ46" s="79"/>
      <c r="RK46" s="79"/>
      <c r="RL46" s="79"/>
      <c r="RM46" s="79"/>
      <c r="RN46" s="79"/>
      <c r="RO46" s="79"/>
      <c r="RP46" s="79"/>
      <c r="RQ46" s="79"/>
      <c r="RR46" s="79"/>
      <c r="RS46" s="79"/>
      <c r="RT46" s="79"/>
      <c r="RU46" s="79"/>
      <c r="RV46" s="79"/>
      <c r="RW46" s="79"/>
      <c r="RX46" s="79"/>
      <c r="RY46" s="79"/>
      <c r="RZ46" s="79"/>
      <c r="SA46" s="79"/>
      <c r="SB46" s="79"/>
      <c r="SC46" s="79"/>
      <c r="SD46" s="79"/>
      <c r="SE46" s="79"/>
      <c r="SF46" s="79"/>
      <c r="SG46" s="79"/>
      <c r="SH46" s="79"/>
      <c r="SI46" s="79"/>
      <c r="SJ46" s="79"/>
    </row>
    <row r="47" spans="2:504" x14ac:dyDescent="0.25">
      <c r="B47" s="49" t="str">
        <f>'Pay App 1'!B92</f>
        <v>07 90 00</v>
      </c>
      <c r="C47" s="25" t="str">
        <f>'Pay App 1'!C92</f>
        <v>Joint Sealants</v>
      </c>
      <c r="D47" s="82">
        <f t="shared" si="8"/>
        <v>0</v>
      </c>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79"/>
      <c r="BR47" s="79"/>
      <c r="BS47" s="79"/>
      <c r="BT47" s="79"/>
      <c r="BU47" s="79"/>
      <c r="BV47" s="79"/>
      <c r="BW47" s="79"/>
      <c r="BX47" s="79"/>
      <c r="BY47" s="79"/>
      <c r="BZ47" s="79"/>
      <c r="CA47" s="79"/>
      <c r="CB47" s="79"/>
      <c r="CC47" s="79"/>
      <c r="CD47" s="79"/>
      <c r="CE47" s="79"/>
      <c r="CF47" s="79"/>
      <c r="CG47" s="79"/>
      <c r="CH47" s="79"/>
      <c r="CI47" s="79"/>
      <c r="CJ47" s="79"/>
      <c r="CK47" s="79"/>
      <c r="CL47" s="79"/>
      <c r="CM47" s="79"/>
      <c r="CN47" s="79"/>
      <c r="CO47" s="79"/>
      <c r="CP47" s="79"/>
      <c r="CQ47" s="79"/>
      <c r="CR47" s="79"/>
      <c r="CS47" s="79"/>
      <c r="CT47" s="79"/>
      <c r="CU47" s="79"/>
      <c r="CV47" s="79"/>
      <c r="CW47" s="79"/>
      <c r="CX47" s="79"/>
      <c r="CY47" s="79"/>
      <c r="CZ47" s="79"/>
      <c r="DA47" s="79"/>
      <c r="DB47" s="79"/>
      <c r="DC47" s="79"/>
      <c r="DD47" s="79"/>
      <c r="DE47" s="79"/>
      <c r="DF47" s="79"/>
      <c r="DG47" s="79"/>
      <c r="DH47" s="79"/>
      <c r="DI47" s="79"/>
      <c r="DJ47" s="79"/>
      <c r="DK47" s="79"/>
      <c r="DL47" s="79"/>
      <c r="DM47" s="79"/>
      <c r="DN47" s="79"/>
      <c r="DO47" s="79"/>
      <c r="DP47" s="79"/>
      <c r="DQ47" s="79"/>
      <c r="DR47" s="79"/>
      <c r="DS47" s="79"/>
      <c r="DT47" s="79"/>
      <c r="DU47" s="79"/>
      <c r="DV47" s="79"/>
      <c r="DW47" s="79"/>
      <c r="DX47" s="79"/>
      <c r="DY47" s="79"/>
      <c r="DZ47" s="79"/>
      <c r="EA47" s="79"/>
      <c r="EB47" s="79"/>
      <c r="EC47" s="79"/>
      <c r="ED47" s="79"/>
      <c r="EE47" s="79"/>
      <c r="EF47" s="79"/>
      <c r="EG47" s="79"/>
      <c r="EH47" s="79"/>
      <c r="EI47" s="79"/>
      <c r="EJ47" s="79"/>
      <c r="EK47" s="79"/>
      <c r="EL47" s="79"/>
      <c r="EM47" s="79"/>
      <c r="EN47" s="79"/>
      <c r="EO47" s="79"/>
      <c r="EP47" s="79"/>
      <c r="EQ47" s="79"/>
      <c r="ER47" s="79"/>
      <c r="ES47" s="79"/>
      <c r="ET47" s="79"/>
      <c r="EU47" s="79"/>
      <c r="EV47" s="79"/>
      <c r="EW47" s="79"/>
      <c r="EX47" s="79"/>
      <c r="EY47" s="79"/>
      <c r="EZ47" s="79"/>
      <c r="FA47" s="79"/>
      <c r="FB47" s="79"/>
      <c r="FC47" s="79"/>
      <c r="FD47" s="79"/>
      <c r="FE47" s="79"/>
      <c r="FF47" s="79"/>
      <c r="FG47" s="79"/>
      <c r="FH47" s="79"/>
      <c r="FI47" s="79"/>
      <c r="FJ47" s="79"/>
      <c r="FK47" s="79"/>
      <c r="FL47" s="79"/>
      <c r="FM47" s="79"/>
      <c r="FN47" s="79"/>
      <c r="FO47" s="79"/>
      <c r="FP47" s="79"/>
      <c r="FQ47" s="79"/>
      <c r="FR47" s="79"/>
      <c r="FS47" s="79"/>
      <c r="FT47" s="79"/>
      <c r="FU47" s="79"/>
      <c r="FV47" s="79"/>
      <c r="FW47" s="79"/>
      <c r="FX47" s="79"/>
      <c r="FY47" s="79"/>
      <c r="FZ47" s="79"/>
      <c r="GA47" s="79"/>
      <c r="GB47" s="79"/>
      <c r="GC47" s="79"/>
      <c r="GD47" s="79"/>
      <c r="GE47" s="79"/>
      <c r="GF47" s="79"/>
      <c r="GG47" s="79"/>
      <c r="GH47" s="79"/>
      <c r="GI47" s="79"/>
      <c r="GJ47" s="79"/>
      <c r="GK47" s="79"/>
      <c r="GL47" s="79"/>
      <c r="GM47" s="79"/>
      <c r="GN47" s="79"/>
      <c r="GO47" s="79"/>
      <c r="GP47" s="79"/>
      <c r="GQ47" s="79"/>
      <c r="GR47" s="79"/>
      <c r="GS47" s="79"/>
      <c r="GT47" s="79"/>
      <c r="GU47" s="79"/>
      <c r="GV47" s="79"/>
      <c r="GW47" s="79"/>
      <c r="GX47" s="79"/>
      <c r="GY47" s="79"/>
      <c r="GZ47" s="79"/>
      <c r="HA47" s="79"/>
      <c r="HB47" s="79"/>
      <c r="HC47" s="79"/>
      <c r="HD47" s="79"/>
      <c r="HE47" s="79"/>
      <c r="HF47" s="79"/>
      <c r="HG47" s="79"/>
      <c r="HH47" s="79"/>
      <c r="HI47" s="79"/>
      <c r="HJ47" s="79"/>
      <c r="HK47" s="79"/>
      <c r="HL47" s="79"/>
      <c r="HM47" s="79"/>
      <c r="HN47" s="79"/>
      <c r="HO47" s="79"/>
      <c r="HP47" s="79"/>
      <c r="HQ47" s="79"/>
      <c r="HR47" s="79"/>
      <c r="HS47" s="79"/>
      <c r="HT47" s="79"/>
      <c r="HU47" s="79"/>
      <c r="HV47" s="79"/>
      <c r="HW47" s="79"/>
      <c r="HX47" s="79"/>
      <c r="HY47" s="79"/>
      <c r="HZ47" s="79"/>
      <c r="IA47" s="79"/>
      <c r="IB47" s="79"/>
      <c r="IC47" s="79"/>
      <c r="ID47" s="79"/>
      <c r="IE47" s="79"/>
      <c r="IF47" s="79"/>
      <c r="IG47" s="79"/>
      <c r="IH47" s="79"/>
      <c r="II47" s="79"/>
      <c r="IJ47" s="79"/>
      <c r="IK47" s="79"/>
      <c r="IL47" s="79"/>
      <c r="IM47" s="79"/>
      <c r="IN47" s="79"/>
      <c r="IO47" s="79"/>
      <c r="IP47" s="79"/>
      <c r="IQ47" s="79"/>
      <c r="IR47" s="79"/>
      <c r="IS47" s="79"/>
      <c r="IT47" s="79"/>
      <c r="IU47" s="79"/>
      <c r="IV47" s="79"/>
      <c r="IW47" s="79"/>
      <c r="IX47" s="79"/>
      <c r="IY47" s="79"/>
      <c r="IZ47" s="79"/>
      <c r="JA47" s="79"/>
      <c r="JB47" s="79"/>
      <c r="JC47" s="79"/>
      <c r="JD47" s="79"/>
      <c r="JE47" s="79"/>
      <c r="JF47" s="79"/>
      <c r="JG47" s="79"/>
      <c r="JH47" s="79"/>
      <c r="JI47" s="79"/>
      <c r="JJ47" s="79"/>
      <c r="JK47" s="79"/>
      <c r="JL47" s="79"/>
      <c r="JM47" s="79"/>
      <c r="JN47" s="79"/>
      <c r="JO47" s="79"/>
      <c r="JP47" s="79"/>
      <c r="JQ47" s="79"/>
      <c r="JR47" s="79"/>
      <c r="JS47" s="79"/>
      <c r="JT47" s="79"/>
      <c r="JU47" s="79"/>
      <c r="JV47" s="79"/>
      <c r="JW47" s="79"/>
      <c r="JX47" s="79"/>
      <c r="JY47" s="79"/>
      <c r="JZ47" s="79"/>
      <c r="KA47" s="79"/>
      <c r="KB47" s="79"/>
      <c r="KC47" s="79"/>
      <c r="KD47" s="79"/>
      <c r="KE47" s="79"/>
      <c r="KF47" s="79"/>
      <c r="KG47" s="79"/>
      <c r="KH47" s="79"/>
      <c r="KI47" s="79"/>
      <c r="KJ47" s="79"/>
      <c r="KK47" s="79"/>
      <c r="KL47" s="79"/>
      <c r="KM47" s="79"/>
      <c r="KN47" s="79"/>
      <c r="KO47" s="79"/>
      <c r="KP47" s="79"/>
      <c r="KQ47" s="79"/>
      <c r="KR47" s="79"/>
      <c r="KS47" s="79"/>
      <c r="KT47" s="79"/>
      <c r="KU47" s="79"/>
      <c r="KV47" s="79"/>
      <c r="KW47" s="79"/>
      <c r="KX47" s="79"/>
      <c r="KY47" s="79"/>
      <c r="KZ47" s="79"/>
      <c r="LA47" s="79"/>
      <c r="LB47" s="79"/>
      <c r="LC47" s="79"/>
      <c r="LD47" s="79"/>
      <c r="LE47" s="79"/>
      <c r="LF47" s="79"/>
      <c r="LG47" s="79"/>
      <c r="LH47" s="79"/>
      <c r="LI47" s="79"/>
      <c r="LJ47" s="79"/>
      <c r="LK47" s="79"/>
      <c r="LL47" s="79"/>
      <c r="LM47" s="79"/>
      <c r="LN47" s="79"/>
      <c r="LO47" s="79"/>
      <c r="LP47" s="79"/>
      <c r="LQ47" s="79"/>
      <c r="LR47" s="79"/>
      <c r="LS47" s="79"/>
      <c r="LT47" s="79"/>
      <c r="LU47" s="79"/>
      <c r="LV47" s="79"/>
      <c r="LW47" s="79"/>
      <c r="LX47" s="79"/>
      <c r="LY47" s="79"/>
      <c r="LZ47" s="79"/>
      <c r="MA47" s="79"/>
      <c r="MB47" s="79"/>
      <c r="MC47" s="79"/>
      <c r="MD47" s="79"/>
      <c r="ME47" s="79"/>
      <c r="MF47" s="79"/>
      <c r="MG47" s="79"/>
      <c r="MH47" s="79"/>
      <c r="MI47" s="79"/>
      <c r="MJ47" s="79"/>
      <c r="MK47" s="79"/>
      <c r="ML47" s="79"/>
      <c r="MM47" s="79"/>
      <c r="MN47" s="79"/>
      <c r="MO47" s="79"/>
      <c r="MP47" s="79"/>
      <c r="MQ47" s="79"/>
      <c r="MR47" s="79"/>
      <c r="MS47" s="79"/>
      <c r="MT47" s="79"/>
      <c r="MU47" s="79"/>
      <c r="MV47" s="79"/>
      <c r="MW47" s="79"/>
      <c r="MX47" s="79"/>
      <c r="MY47" s="79"/>
      <c r="MZ47" s="79"/>
      <c r="NA47" s="79"/>
      <c r="NB47" s="79"/>
      <c r="NC47" s="79"/>
      <c r="ND47" s="79"/>
      <c r="NE47" s="79"/>
      <c r="NF47" s="79"/>
      <c r="NG47" s="79"/>
      <c r="NH47" s="79"/>
      <c r="NI47" s="79"/>
      <c r="NJ47" s="79"/>
      <c r="NK47" s="79"/>
      <c r="NL47" s="79"/>
      <c r="NM47" s="79"/>
      <c r="NN47" s="79"/>
      <c r="NO47" s="79"/>
      <c r="NP47" s="79"/>
      <c r="NQ47" s="79"/>
      <c r="NR47" s="79"/>
      <c r="NS47" s="79"/>
      <c r="NT47" s="79"/>
      <c r="NU47" s="79"/>
      <c r="NV47" s="79"/>
      <c r="NW47" s="79"/>
      <c r="NX47" s="79"/>
      <c r="NY47" s="79"/>
      <c r="NZ47" s="79"/>
      <c r="OA47" s="79"/>
      <c r="OB47" s="79"/>
      <c r="OC47" s="79"/>
      <c r="OD47" s="79"/>
      <c r="OE47" s="79"/>
      <c r="OF47" s="79"/>
      <c r="OG47" s="79"/>
      <c r="OH47" s="79"/>
      <c r="OI47" s="79"/>
      <c r="OJ47" s="79"/>
      <c r="OK47" s="79"/>
      <c r="OL47" s="79"/>
      <c r="OM47" s="79"/>
      <c r="ON47" s="79"/>
      <c r="OO47" s="79"/>
      <c r="OP47" s="79"/>
      <c r="OQ47" s="79"/>
      <c r="OR47" s="79"/>
      <c r="OS47" s="79"/>
      <c r="OT47" s="79"/>
      <c r="OU47" s="79"/>
      <c r="OV47" s="79"/>
      <c r="OW47" s="79"/>
      <c r="OX47" s="79"/>
      <c r="OY47" s="79"/>
      <c r="OZ47" s="79"/>
      <c r="PA47" s="79"/>
      <c r="PB47" s="79"/>
      <c r="PC47" s="79"/>
      <c r="PD47" s="79"/>
      <c r="PE47" s="79"/>
      <c r="PF47" s="79"/>
      <c r="PG47" s="79"/>
      <c r="PH47" s="79"/>
      <c r="PI47" s="79"/>
      <c r="PJ47" s="79"/>
      <c r="PK47" s="79"/>
      <c r="PL47" s="79"/>
      <c r="PM47" s="79"/>
      <c r="PN47" s="79"/>
      <c r="PO47" s="79"/>
      <c r="PP47" s="79"/>
      <c r="PQ47" s="79"/>
      <c r="PR47" s="79"/>
      <c r="PS47" s="79"/>
      <c r="PT47" s="79"/>
      <c r="PU47" s="79"/>
      <c r="PV47" s="79"/>
      <c r="PW47" s="79"/>
      <c r="PX47" s="79"/>
      <c r="PY47" s="79"/>
      <c r="PZ47" s="79"/>
      <c r="QA47" s="79"/>
      <c r="QB47" s="79"/>
      <c r="QC47" s="79"/>
      <c r="QD47" s="79"/>
      <c r="QE47" s="79"/>
      <c r="QF47" s="79"/>
      <c r="QG47" s="79"/>
      <c r="QH47" s="79"/>
      <c r="QI47" s="79"/>
      <c r="QJ47" s="79"/>
      <c r="QK47" s="79"/>
      <c r="QL47" s="79"/>
      <c r="QM47" s="79"/>
      <c r="QN47" s="79"/>
      <c r="QO47" s="79"/>
      <c r="QP47" s="79"/>
      <c r="QQ47" s="79"/>
      <c r="QR47" s="79"/>
      <c r="QS47" s="79"/>
      <c r="QT47" s="79"/>
      <c r="QU47" s="79"/>
      <c r="QV47" s="79"/>
      <c r="QW47" s="79"/>
      <c r="QX47" s="79"/>
      <c r="QY47" s="79"/>
      <c r="QZ47" s="79"/>
      <c r="RA47" s="79"/>
      <c r="RB47" s="79"/>
      <c r="RC47" s="79"/>
      <c r="RD47" s="79"/>
      <c r="RE47" s="79"/>
      <c r="RF47" s="79"/>
      <c r="RG47" s="79"/>
      <c r="RH47" s="79"/>
      <c r="RI47" s="79"/>
      <c r="RJ47" s="79"/>
      <c r="RK47" s="79"/>
      <c r="RL47" s="79"/>
      <c r="RM47" s="79"/>
      <c r="RN47" s="79"/>
      <c r="RO47" s="79"/>
      <c r="RP47" s="79"/>
      <c r="RQ47" s="79"/>
      <c r="RR47" s="79"/>
      <c r="RS47" s="79"/>
      <c r="RT47" s="79"/>
      <c r="RU47" s="79"/>
      <c r="RV47" s="79"/>
      <c r="RW47" s="79"/>
      <c r="RX47" s="79"/>
      <c r="RY47" s="79"/>
      <c r="RZ47" s="79"/>
      <c r="SA47" s="79"/>
      <c r="SB47" s="79"/>
      <c r="SC47" s="79"/>
      <c r="SD47" s="79"/>
      <c r="SE47" s="79"/>
      <c r="SF47" s="79"/>
      <c r="SG47" s="79"/>
      <c r="SH47" s="79"/>
      <c r="SI47" s="79"/>
      <c r="SJ47" s="79"/>
    </row>
    <row r="48" spans="2:504" x14ac:dyDescent="0.25">
      <c r="B48" s="49" t="str">
        <f>'Pay App 1'!B93</f>
        <v>07 95 00</v>
      </c>
      <c r="C48" s="25" t="str">
        <f>'Pay App 1'!C93</f>
        <v>Expansion Joints</v>
      </c>
      <c r="D48" s="82">
        <f t="shared" si="8"/>
        <v>0</v>
      </c>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79"/>
      <c r="BR48" s="79"/>
      <c r="BS48" s="79"/>
      <c r="BT48" s="79"/>
      <c r="BU48" s="79"/>
      <c r="BV48" s="79"/>
      <c r="BW48" s="79"/>
      <c r="BX48" s="79"/>
      <c r="BY48" s="79"/>
      <c r="BZ48" s="79"/>
      <c r="CA48" s="79"/>
      <c r="CB48" s="79"/>
      <c r="CC48" s="79"/>
      <c r="CD48" s="79"/>
      <c r="CE48" s="79"/>
      <c r="CF48" s="79"/>
      <c r="CG48" s="79"/>
      <c r="CH48" s="79"/>
      <c r="CI48" s="79"/>
      <c r="CJ48" s="79"/>
      <c r="CK48" s="79"/>
      <c r="CL48" s="79"/>
      <c r="CM48" s="79"/>
      <c r="CN48" s="79"/>
      <c r="CO48" s="79"/>
      <c r="CP48" s="79"/>
      <c r="CQ48" s="79"/>
      <c r="CR48" s="79"/>
      <c r="CS48" s="79"/>
      <c r="CT48" s="79"/>
      <c r="CU48" s="79"/>
      <c r="CV48" s="79"/>
      <c r="CW48" s="79"/>
      <c r="CX48" s="79"/>
      <c r="CY48" s="79"/>
      <c r="CZ48" s="79"/>
      <c r="DA48" s="79"/>
      <c r="DB48" s="79"/>
      <c r="DC48" s="79"/>
      <c r="DD48" s="79"/>
      <c r="DE48" s="79"/>
      <c r="DF48" s="79"/>
      <c r="DG48" s="79"/>
      <c r="DH48" s="79"/>
      <c r="DI48" s="79"/>
      <c r="DJ48" s="79"/>
      <c r="DK48" s="79"/>
      <c r="DL48" s="79"/>
      <c r="DM48" s="79"/>
      <c r="DN48" s="79"/>
      <c r="DO48" s="79"/>
      <c r="DP48" s="79"/>
      <c r="DQ48" s="79"/>
      <c r="DR48" s="79"/>
      <c r="DS48" s="79"/>
      <c r="DT48" s="79"/>
      <c r="DU48" s="79"/>
      <c r="DV48" s="79"/>
      <c r="DW48" s="79"/>
      <c r="DX48" s="79"/>
      <c r="DY48" s="79"/>
      <c r="DZ48" s="79"/>
      <c r="EA48" s="79"/>
      <c r="EB48" s="79"/>
      <c r="EC48" s="79"/>
      <c r="ED48" s="79"/>
      <c r="EE48" s="79"/>
      <c r="EF48" s="79"/>
      <c r="EG48" s="79"/>
      <c r="EH48" s="79"/>
      <c r="EI48" s="79"/>
      <c r="EJ48" s="79"/>
      <c r="EK48" s="79"/>
      <c r="EL48" s="79"/>
      <c r="EM48" s="79"/>
      <c r="EN48" s="79"/>
      <c r="EO48" s="79"/>
      <c r="EP48" s="79"/>
      <c r="EQ48" s="79"/>
      <c r="ER48" s="79"/>
      <c r="ES48" s="79"/>
      <c r="ET48" s="79"/>
      <c r="EU48" s="79"/>
      <c r="EV48" s="79"/>
      <c r="EW48" s="79"/>
      <c r="EX48" s="79"/>
      <c r="EY48" s="79"/>
      <c r="EZ48" s="79"/>
      <c r="FA48" s="79"/>
      <c r="FB48" s="79"/>
      <c r="FC48" s="79"/>
      <c r="FD48" s="79"/>
      <c r="FE48" s="79"/>
      <c r="FF48" s="79"/>
      <c r="FG48" s="79"/>
      <c r="FH48" s="79"/>
      <c r="FI48" s="79"/>
      <c r="FJ48" s="79"/>
      <c r="FK48" s="79"/>
      <c r="FL48" s="79"/>
      <c r="FM48" s="79"/>
      <c r="FN48" s="79"/>
      <c r="FO48" s="79"/>
      <c r="FP48" s="79"/>
      <c r="FQ48" s="79"/>
      <c r="FR48" s="79"/>
      <c r="FS48" s="79"/>
      <c r="FT48" s="79"/>
      <c r="FU48" s="79"/>
      <c r="FV48" s="79"/>
      <c r="FW48" s="79"/>
      <c r="FX48" s="79"/>
      <c r="FY48" s="79"/>
      <c r="FZ48" s="79"/>
      <c r="GA48" s="79"/>
      <c r="GB48" s="79"/>
      <c r="GC48" s="79"/>
      <c r="GD48" s="79"/>
      <c r="GE48" s="79"/>
      <c r="GF48" s="79"/>
      <c r="GG48" s="79"/>
      <c r="GH48" s="79"/>
      <c r="GI48" s="79"/>
      <c r="GJ48" s="79"/>
      <c r="GK48" s="79"/>
      <c r="GL48" s="79"/>
      <c r="GM48" s="79"/>
      <c r="GN48" s="79"/>
      <c r="GO48" s="79"/>
      <c r="GP48" s="79"/>
      <c r="GQ48" s="79"/>
      <c r="GR48" s="79"/>
      <c r="GS48" s="79"/>
      <c r="GT48" s="79"/>
      <c r="GU48" s="79"/>
      <c r="GV48" s="79"/>
      <c r="GW48" s="79"/>
      <c r="GX48" s="79"/>
      <c r="GY48" s="79"/>
      <c r="GZ48" s="79"/>
      <c r="HA48" s="79"/>
      <c r="HB48" s="79"/>
      <c r="HC48" s="79"/>
      <c r="HD48" s="79"/>
      <c r="HE48" s="79"/>
      <c r="HF48" s="79"/>
      <c r="HG48" s="79"/>
      <c r="HH48" s="79"/>
      <c r="HI48" s="79"/>
      <c r="HJ48" s="79"/>
      <c r="HK48" s="79"/>
      <c r="HL48" s="79"/>
      <c r="HM48" s="79"/>
      <c r="HN48" s="79"/>
      <c r="HO48" s="79"/>
      <c r="HP48" s="79"/>
      <c r="HQ48" s="79"/>
      <c r="HR48" s="79"/>
      <c r="HS48" s="79"/>
      <c r="HT48" s="79"/>
      <c r="HU48" s="79"/>
      <c r="HV48" s="79"/>
      <c r="HW48" s="79"/>
      <c r="HX48" s="79"/>
      <c r="HY48" s="79"/>
      <c r="HZ48" s="79"/>
      <c r="IA48" s="79"/>
      <c r="IB48" s="79"/>
      <c r="IC48" s="79"/>
      <c r="ID48" s="79"/>
      <c r="IE48" s="79"/>
      <c r="IF48" s="79"/>
      <c r="IG48" s="79"/>
      <c r="IH48" s="79"/>
      <c r="II48" s="79"/>
      <c r="IJ48" s="79"/>
      <c r="IK48" s="79"/>
      <c r="IL48" s="79"/>
      <c r="IM48" s="79"/>
      <c r="IN48" s="79"/>
      <c r="IO48" s="79"/>
      <c r="IP48" s="79"/>
      <c r="IQ48" s="79"/>
      <c r="IR48" s="79"/>
      <c r="IS48" s="79"/>
      <c r="IT48" s="79"/>
      <c r="IU48" s="79"/>
      <c r="IV48" s="79"/>
      <c r="IW48" s="79"/>
      <c r="IX48" s="79"/>
      <c r="IY48" s="79"/>
      <c r="IZ48" s="79"/>
      <c r="JA48" s="79"/>
      <c r="JB48" s="79"/>
      <c r="JC48" s="79"/>
      <c r="JD48" s="79"/>
      <c r="JE48" s="79"/>
      <c r="JF48" s="79"/>
      <c r="JG48" s="79"/>
      <c r="JH48" s="79"/>
      <c r="JI48" s="79"/>
      <c r="JJ48" s="79"/>
      <c r="JK48" s="79"/>
      <c r="JL48" s="79"/>
      <c r="JM48" s="79"/>
      <c r="JN48" s="79"/>
      <c r="JO48" s="79"/>
      <c r="JP48" s="79"/>
      <c r="JQ48" s="79"/>
      <c r="JR48" s="79"/>
      <c r="JS48" s="79"/>
      <c r="JT48" s="79"/>
      <c r="JU48" s="79"/>
      <c r="JV48" s="79"/>
      <c r="JW48" s="79"/>
      <c r="JX48" s="79"/>
      <c r="JY48" s="79"/>
      <c r="JZ48" s="79"/>
      <c r="KA48" s="79"/>
      <c r="KB48" s="79"/>
      <c r="KC48" s="79"/>
      <c r="KD48" s="79"/>
      <c r="KE48" s="79"/>
      <c r="KF48" s="79"/>
      <c r="KG48" s="79"/>
      <c r="KH48" s="79"/>
      <c r="KI48" s="79"/>
      <c r="KJ48" s="79"/>
      <c r="KK48" s="79"/>
      <c r="KL48" s="79"/>
      <c r="KM48" s="79"/>
      <c r="KN48" s="79"/>
      <c r="KO48" s="79"/>
      <c r="KP48" s="79"/>
      <c r="KQ48" s="79"/>
      <c r="KR48" s="79"/>
      <c r="KS48" s="79"/>
      <c r="KT48" s="79"/>
      <c r="KU48" s="79"/>
      <c r="KV48" s="79"/>
      <c r="KW48" s="79"/>
      <c r="KX48" s="79"/>
      <c r="KY48" s="79"/>
      <c r="KZ48" s="79"/>
      <c r="LA48" s="79"/>
      <c r="LB48" s="79"/>
      <c r="LC48" s="79"/>
      <c r="LD48" s="79"/>
      <c r="LE48" s="79"/>
      <c r="LF48" s="79"/>
      <c r="LG48" s="79"/>
      <c r="LH48" s="79"/>
      <c r="LI48" s="79"/>
      <c r="LJ48" s="79"/>
      <c r="LK48" s="79"/>
      <c r="LL48" s="79"/>
      <c r="LM48" s="79"/>
      <c r="LN48" s="79"/>
      <c r="LO48" s="79"/>
      <c r="LP48" s="79"/>
      <c r="LQ48" s="79"/>
      <c r="LR48" s="79"/>
      <c r="LS48" s="79"/>
      <c r="LT48" s="79"/>
      <c r="LU48" s="79"/>
      <c r="LV48" s="79"/>
      <c r="LW48" s="79"/>
      <c r="LX48" s="79"/>
      <c r="LY48" s="79"/>
      <c r="LZ48" s="79"/>
      <c r="MA48" s="79"/>
      <c r="MB48" s="79"/>
      <c r="MC48" s="79"/>
      <c r="MD48" s="79"/>
      <c r="ME48" s="79"/>
      <c r="MF48" s="79"/>
      <c r="MG48" s="79"/>
      <c r="MH48" s="79"/>
      <c r="MI48" s="79"/>
      <c r="MJ48" s="79"/>
      <c r="MK48" s="79"/>
      <c r="ML48" s="79"/>
      <c r="MM48" s="79"/>
      <c r="MN48" s="79"/>
      <c r="MO48" s="79"/>
      <c r="MP48" s="79"/>
      <c r="MQ48" s="79"/>
      <c r="MR48" s="79"/>
      <c r="MS48" s="79"/>
      <c r="MT48" s="79"/>
      <c r="MU48" s="79"/>
      <c r="MV48" s="79"/>
      <c r="MW48" s="79"/>
      <c r="MX48" s="79"/>
      <c r="MY48" s="79"/>
      <c r="MZ48" s="79"/>
      <c r="NA48" s="79"/>
      <c r="NB48" s="79"/>
      <c r="NC48" s="79"/>
      <c r="ND48" s="79"/>
      <c r="NE48" s="79"/>
      <c r="NF48" s="79"/>
      <c r="NG48" s="79"/>
      <c r="NH48" s="79"/>
      <c r="NI48" s="79"/>
      <c r="NJ48" s="79"/>
      <c r="NK48" s="79"/>
      <c r="NL48" s="79"/>
      <c r="NM48" s="79"/>
      <c r="NN48" s="79"/>
      <c r="NO48" s="79"/>
      <c r="NP48" s="79"/>
      <c r="NQ48" s="79"/>
      <c r="NR48" s="79"/>
      <c r="NS48" s="79"/>
      <c r="NT48" s="79"/>
      <c r="NU48" s="79"/>
      <c r="NV48" s="79"/>
      <c r="NW48" s="79"/>
      <c r="NX48" s="79"/>
      <c r="NY48" s="79"/>
      <c r="NZ48" s="79"/>
      <c r="OA48" s="79"/>
      <c r="OB48" s="79"/>
      <c r="OC48" s="79"/>
      <c r="OD48" s="79"/>
      <c r="OE48" s="79"/>
      <c r="OF48" s="79"/>
      <c r="OG48" s="79"/>
      <c r="OH48" s="79"/>
      <c r="OI48" s="79"/>
      <c r="OJ48" s="79"/>
      <c r="OK48" s="79"/>
      <c r="OL48" s="79"/>
      <c r="OM48" s="79"/>
      <c r="ON48" s="79"/>
      <c r="OO48" s="79"/>
      <c r="OP48" s="79"/>
      <c r="OQ48" s="79"/>
      <c r="OR48" s="79"/>
      <c r="OS48" s="79"/>
      <c r="OT48" s="79"/>
      <c r="OU48" s="79"/>
      <c r="OV48" s="79"/>
      <c r="OW48" s="79"/>
      <c r="OX48" s="79"/>
      <c r="OY48" s="79"/>
      <c r="OZ48" s="79"/>
      <c r="PA48" s="79"/>
      <c r="PB48" s="79"/>
      <c r="PC48" s="79"/>
      <c r="PD48" s="79"/>
      <c r="PE48" s="79"/>
      <c r="PF48" s="79"/>
      <c r="PG48" s="79"/>
      <c r="PH48" s="79"/>
      <c r="PI48" s="79"/>
      <c r="PJ48" s="79"/>
      <c r="PK48" s="79"/>
      <c r="PL48" s="79"/>
      <c r="PM48" s="79"/>
      <c r="PN48" s="79"/>
      <c r="PO48" s="79"/>
      <c r="PP48" s="79"/>
      <c r="PQ48" s="79"/>
      <c r="PR48" s="79"/>
      <c r="PS48" s="79"/>
      <c r="PT48" s="79"/>
      <c r="PU48" s="79"/>
      <c r="PV48" s="79"/>
      <c r="PW48" s="79"/>
      <c r="PX48" s="79"/>
      <c r="PY48" s="79"/>
      <c r="PZ48" s="79"/>
      <c r="QA48" s="79"/>
      <c r="QB48" s="79"/>
      <c r="QC48" s="79"/>
      <c r="QD48" s="79"/>
      <c r="QE48" s="79"/>
      <c r="QF48" s="79"/>
      <c r="QG48" s="79"/>
      <c r="QH48" s="79"/>
      <c r="QI48" s="79"/>
      <c r="QJ48" s="79"/>
      <c r="QK48" s="79"/>
      <c r="QL48" s="79"/>
      <c r="QM48" s="79"/>
      <c r="QN48" s="79"/>
      <c r="QO48" s="79"/>
      <c r="QP48" s="79"/>
      <c r="QQ48" s="79"/>
      <c r="QR48" s="79"/>
      <c r="QS48" s="79"/>
      <c r="QT48" s="79"/>
      <c r="QU48" s="79"/>
      <c r="QV48" s="79"/>
      <c r="QW48" s="79"/>
      <c r="QX48" s="79"/>
      <c r="QY48" s="79"/>
      <c r="QZ48" s="79"/>
      <c r="RA48" s="79"/>
      <c r="RB48" s="79"/>
      <c r="RC48" s="79"/>
      <c r="RD48" s="79"/>
      <c r="RE48" s="79"/>
      <c r="RF48" s="79"/>
      <c r="RG48" s="79"/>
      <c r="RH48" s="79"/>
      <c r="RI48" s="79"/>
      <c r="RJ48" s="79"/>
      <c r="RK48" s="79"/>
      <c r="RL48" s="79"/>
      <c r="RM48" s="79"/>
      <c r="RN48" s="79"/>
      <c r="RO48" s="79"/>
      <c r="RP48" s="79"/>
      <c r="RQ48" s="79"/>
      <c r="RR48" s="79"/>
      <c r="RS48" s="79"/>
      <c r="RT48" s="79"/>
      <c r="RU48" s="79"/>
      <c r="RV48" s="79"/>
      <c r="RW48" s="79"/>
      <c r="RX48" s="79"/>
      <c r="RY48" s="79"/>
      <c r="RZ48" s="79"/>
      <c r="SA48" s="79"/>
      <c r="SB48" s="79"/>
      <c r="SC48" s="79"/>
      <c r="SD48" s="79"/>
      <c r="SE48" s="79"/>
      <c r="SF48" s="79"/>
      <c r="SG48" s="79"/>
      <c r="SH48" s="79"/>
      <c r="SI48" s="79"/>
      <c r="SJ48" s="79"/>
    </row>
    <row r="49" spans="2:504" x14ac:dyDescent="0.25">
      <c r="B49" s="35" t="str">
        <f>'Pay App 1'!B94</f>
        <v>08 10 00</v>
      </c>
      <c r="C49" s="27" t="str">
        <f>'Pay App 1'!C94</f>
        <v>Doors, Frames &amp; Hardware</v>
      </c>
      <c r="D49" s="82">
        <f t="shared" si="8"/>
        <v>0</v>
      </c>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79"/>
      <c r="BR49" s="79"/>
      <c r="BS49" s="79"/>
      <c r="BT49" s="79"/>
      <c r="BU49" s="79"/>
      <c r="BV49" s="79"/>
      <c r="BW49" s="79"/>
      <c r="BX49" s="79"/>
      <c r="BY49" s="79"/>
      <c r="BZ49" s="79"/>
      <c r="CA49" s="79"/>
      <c r="CB49" s="79"/>
      <c r="CC49" s="79"/>
      <c r="CD49" s="79"/>
      <c r="CE49" s="79"/>
      <c r="CF49" s="79"/>
      <c r="CG49" s="79"/>
      <c r="CH49" s="79"/>
      <c r="CI49" s="79"/>
      <c r="CJ49" s="79"/>
      <c r="CK49" s="79"/>
      <c r="CL49" s="79"/>
      <c r="CM49" s="79"/>
      <c r="CN49" s="79"/>
      <c r="CO49" s="79"/>
      <c r="CP49" s="79"/>
      <c r="CQ49" s="79"/>
      <c r="CR49" s="79"/>
      <c r="CS49" s="79"/>
      <c r="CT49" s="79"/>
      <c r="CU49" s="79"/>
      <c r="CV49" s="79"/>
      <c r="CW49" s="79"/>
      <c r="CX49" s="79"/>
      <c r="CY49" s="79"/>
      <c r="CZ49" s="79"/>
      <c r="DA49" s="79"/>
      <c r="DB49" s="79"/>
      <c r="DC49" s="79"/>
      <c r="DD49" s="79"/>
      <c r="DE49" s="79"/>
      <c r="DF49" s="79"/>
      <c r="DG49" s="79"/>
      <c r="DH49" s="79"/>
      <c r="DI49" s="79"/>
      <c r="DJ49" s="79"/>
      <c r="DK49" s="79"/>
      <c r="DL49" s="79"/>
      <c r="DM49" s="79"/>
      <c r="DN49" s="79"/>
      <c r="DO49" s="79"/>
      <c r="DP49" s="79"/>
      <c r="DQ49" s="79"/>
      <c r="DR49" s="79"/>
      <c r="DS49" s="79"/>
      <c r="DT49" s="79"/>
      <c r="DU49" s="79"/>
      <c r="DV49" s="79"/>
      <c r="DW49" s="79"/>
      <c r="DX49" s="79"/>
      <c r="DY49" s="79"/>
      <c r="DZ49" s="79"/>
      <c r="EA49" s="79"/>
      <c r="EB49" s="79"/>
      <c r="EC49" s="79"/>
      <c r="ED49" s="79"/>
      <c r="EE49" s="79"/>
      <c r="EF49" s="79"/>
      <c r="EG49" s="79"/>
      <c r="EH49" s="79"/>
      <c r="EI49" s="79"/>
      <c r="EJ49" s="79"/>
      <c r="EK49" s="79"/>
      <c r="EL49" s="79"/>
      <c r="EM49" s="79"/>
      <c r="EN49" s="79"/>
      <c r="EO49" s="79"/>
      <c r="EP49" s="79"/>
      <c r="EQ49" s="79"/>
      <c r="ER49" s="79"/>
      <c r="ES49" s="79"/>
      <c r="ET49" s="79"/>
      <c r="EU49" s="79"/>
      <c r="EV49" s="79"/>
      <c r="EW49" s="79"/>
      <c r="EX49" s="79"/>
      <c r="EY49" s="79"/>
      <c r="EZ49" s="79"/>
      <c r="FA49" s="79"/>
      <c r="FB49" s="79"/>
      <c r="FC49" s="79"/>
      <c r="FD49" s="79"/>
      <c r="FE49" s="79"/>
      <c r="FF49" s="79"/>
      <c r="FG49" s="79"/>
      <c r="FH49" s="79"/>
      <c r="FI49" s="79"/>
      <c r="FJ49" s="79"/>
      <c r="FK49" s="79"/>
      <c r="FL49" s="79"/>
      <c r="FM49" s="79"/>
      <c r="FN49" s="79"/>
      <c r="FO49" s="79"/>
      <c r="FP49" s="79"/>
      <c r="FQ49" s="79"/>
      <c r="FR49" s="79"/>
      <c r="FS49" s="79"/>
      <c r="FT49" s="79"/>
      <c r="FU49" s="79"/>
      <c r="FV49" s="79"/>
      <c r="FW49" s="79"/>
      <c r="FX49" s="79"/>
      <c r="FY49" s="79"/>
      <c r="FZ49" s="79"/>
      <c r="GA49" s="79"/>
      <c r="GB49" s="79"/>
      <c r="GC49" s="79"/>
      <c r="GD49" s="79"/>
      <c r="GE49" s="79"/>
      <c r="GF49" s="79"/>
      <c r="GG49" s="79"/>
      <c r="GH49" s="79"/>
      <c r="GI49" s="79"/>
      <c r="GJ49" s="79"/>
      <c r="GK49" s="79"/>
      <c r="GL49" s="79"/>
      <c r="GM49" s="79"/>
      <c r="GN49" s="79"/>
      <c r="GO49" s="79"/>
      <c r="GP49" s="79"/>
      <c r="GQ49" s="79"/>
      <c r="GR49" s="79"/>
      <c r="GS49" s="79"/>
      <c r="GT49" s="79"/>
      <c r="GU49" s="79"/>
      <c r="GV49" s="79"/>
      <c r="GW49" s="79"/>
      <c r="GX49" s="79"/>
      <c r="GY49" s="79"/>
      <c r="GZ49" s="79"/>
      <c r="HA49" s="79"/>
      <c r="HB49" s="79"/>
      <c r="HC49" s="79"/>
      <c r="HD49" s="79"/>
      <c r="HE49" s="79"/>
      <c r="HF49" s="79"/>
      <c r="HG49" s="79"/>
      <c r="HH49" s="79"/>
      <c r="HI49" s="79"/>
      <c r="HJ49" s="79"/>
      <c r="HK49" s="79"/>
      <c r="HL49" s="79"/>
      <c r="HM49" s="79"/>
      <c r="HN49" s="79"/>
      <c r="HO49" s="79"/>
      <c r="HP49" s="79"/>
      <c r="HQ49" s="79"/>
      <c r="HR49" s="79"/>
      <c r="HS49" s="79"/>
      <c r="HT49" s="79"/>
      <c r="HU49" s="79"/>
      <c r="HV49" s="79"/>
      <c r="HW49" s="79"/>
      <c r="HX49" s="79"/>
      <c r="HY49" s="79"/>
      <c r="HZ49" s="79"/>
      <c r="IA49" s="79"/>
      <c r="IB49" s="79"/>
      <c r="IC49" s="79"/>
      <c r="ID49" s="79"/>
      <c r="IE49" s="79"/>
      <c r="IF49" s="79"/>
      <c r="IG49" s="79"/>
      <c r="IH49" s="79"/>
      <c r="II49" s="79"/>
      <c r="IJ49" s="79"/>
      <c r="IK49" s="79"/>
      <c r="IL49" s="79"/>
      <c r="IM49" s="79"/>
      <c r="IN49" s="79"/>
      <c r="IO49" s="79"/>
      <c r="IP49" s="79"/>
      <c r="IQ49" s="79"/>
      <c r="IR49" s="79"/>
      <c r="IS49" s="79"/>
      <c r="IT49" s="79"/>
      <c r="IU49" s="79"/>
      <c r="IV49" s="79"/>
      <c r="IW49" s="79"/>
      <c r="IX49" s="79"/>
      <c r="IY49" s="79"/>
      <c r="IZ49" s="79"/>
      <c r="JA49" s="79"/>
      <c r="JB49" s="79"/>
      <c r="JC49" s="79"/>
      <c r="JD49" s="79"/>
      <c r="JE49" s="79"/>
      <c r="JF49" s="79"/>
      <c r="JG49" s="79"/>
      <c r="JH49" s="79"/>
      <c r="JI49" s="79"/>
      <c r="JJ49" s="79"/>
      <c r="JK49" s="79"/>
      <c r="JL49" s="79"/>
      <c r="JM49" s="79"/>
      <c r="JN49" s="79"/>
      <c r="JO49" s="79"/>
      <c r="JP49" s="79"/>
      <c r="JQ49" s="79"/>
      <c r="JR49" s="79"/>
      <c r="JS49" s="79"/>
      <c r="JT49" s="79"/>
      <c r="JU49" s="79"/>
      <c r="JV49" s="79"/>
      <c r="JW49" s="79"/>
      <c r="JX49" s="79"/>
      <c r="JY49" s="79"/>
      <c r="JZ49" s="79"/>
      <c r="KA49" s="79"/>
      <c r="KB49" s="79"/>
      <c r="KC49" s="79"/>
      <c r="KD49" s="79"/>
      <c r="KE49" s="79"/>
      <c r="KF49" s="79"/>
      <c r="KG49" s="79"/>
      <c r="KH49" s="79"/>
      <c r="KI49" s="79"/>
      <c r="KJ49" s="79"/>
      <c r="KK49" s="79"/>
      <c r="KL49" s="79"/>
      <c r="KM49" s="79"/>
      <c r="KN49" s="79"/>
      <c r="KO49" s="79"/>
      <c r="KP49" s="79"/>
      <c r="KQ49" s="79"/>
      <c r="KR49" s="79"/>
      <c r="KS49" s="79"/>
      <c r="KT49" s="79"/>
      <c r="KU49" s="79"/>
      <c r="KV49" s="79"/>
      <c r="KW49" s="79"/>
      <c r="KX49" s="79"/>
      <c r="KY49" s="79"/>
      <c r="KZ49" s="79"/>
      <c r="LA49" s="79"/>
      <c r="LB49" s="79"/>
      <c r="LC49" s="79"/>
      <c r="LD49" s="79"/>
      <c r="LE49" s="79"/>
      <c r="LF49" s="79"/>
      <c r="LG49" s="79"/>
      <c r="LH49" s="79"/>
      <c r="LI49" s="79"/>
      <c r="LJ49" s="79"/>
      <c r="LK49" s="79"/>
      <c r="LL49" s="79"/>
      <c r="LM49" s="79"/>
      <c r="LN49" s="79"/>
      <c r="LO49" s="79"/>
      <c r="LP49" s="79"/>
      <c r="LQ49" s="79"/>
      <c r="LR49" s="79"/>
      <c r="LS49" s="79"/>
      <c r="LT49" s="79"/>
      <c r="LU49" s="79"/>
      <c r="LV49" s="79"/>
      <c r="LW49" s="79"/>
      <c r="LX49" s="79"/>
      <c r="LY49" s="79"/>
      <c r="LZ49" s="79"/>
      <c r="MA49" s="79"/>
      <c r="MB49" s="79"/>
      <c r="MC49" s="79"/>
      <c r="MD49" s="79"/>
      <c r="ME49" s="79"/>
      <c r="MF49" s="79"/>
      <c r="MG49" s="79"/>
      <c r="MH49" s="79"/>
      <c r="MI49" s="79"/>
      <c r="MJ49" s="79"/>
      <c r="MK49" s="79"/>
      <c r="ML49" s="79"/>
      <c r="MM49" s="79"/>
      <c r="MN49" s="79"/>
      <c r="MO49" s="79"/>
      <c r="MP49" s="79"/>
      <c r="MQ49" s="79"/>
      <c r="MR49" s="79"/>
      <c r="MS49" s="79"/>
      <c r="MT49" s="79"/>
      <c r="MU49" s="79"/>
      <c r="MV49" s="79"/>
      <c r="MW49" s="79"/>
      <c r="MX49" s="79"/>
      <c r="MY49" s="79"/>
      <c r="MZ49" s="79"/>
      <c r="NA49" s="79"/>
      <c r="NB49" s="79"/>
      <c r="NC49" s="79"/>
      <c r="ND49" s="79"/>
      <c r="NE49" s="79"/>
      <c r="NF49" s="79"/>
      <c r="NG49" s="79"/>
      <c r="NH49" s="79"/>
      <c r="NI49" s="79"/>
      <c r="NJ49" s="79"/>
      <c r="NK49" s="79"/>
      <c r="NL49" s="79"/>
      <c r="NM49" s="79"/>
      <c r="NN49" s="79"/>
      <c r="NO49" s="79"/>
      <c r="NP49" s="79"/>
      <c r="NQ49" s="79"/>
      <c r="NR49" s="79"/>
      <c r="NS49" s="79"/>
      <c r="NT49" s="79"/>
      <c r="NU49" s="79"/>
      <c r="NV49" s="79"/>
      <c r="NW49" s="79"/>
      <c r="NX49" s="79"/>
      <c r="NY49" s="79"/>
      <c r="NZ49" s="79"/>
      <c r="OA49" s="79"/>
      <c r="OB49" s="79"/>
      <c r="OC49" s="79"/>
      <c r="OD49" s="79"/>
      <c r="OE49" s="79"/>
      <c r="OF49" s="79"/>
      <c r="OG49" s="79"/>
      <c r="OH49" s="79"/>
      <c r="OI49" s="79"/>
      <c r="OJ49" s="79"/>
      <c r="OK49" s="79"/>
      <c r="OL49" s="79"/>
      <c r="OM49" s="79"/>
      <c r="ON49" s="79"/>
      <c r="OO49" s="79"/>
      <c r="OP49" s="79"/>
      <c r="OQ49" s="79"/>
      <c r="OR49" s="79"/>
      <c r="OS49" s="79"/>
      <c r="OT49" s="79"/>
      <c r="OU49" s="79"/>
      <c r="OV49" s="79"/>
      <c r="OW49" s="79"/>
      <c r="OX49" s="79"/>
      <c r="OY49" s="79"/>
      <c r="OZ49" s="79"/>
      <c r="PA49" s="79"/>
      <c r="PB49" s="79"/>
      <c r="PC49" s="79"/>
      <c r="PD49" s="79"/>
      <c r="PE49" s="79"/>
      <c r="PF49" s="79"/>
      <c r="PG49" s="79"/>
      <c r="PH49" s="79"/>
      <c r="PI49" s="79"/>
      <c r="PJ49" s="79"/>
      <c r="PK49" s="79"/>
      <c r="PL49" s="79"/>
      <c r="PM49" s="79"/>
      <c r="PN49" s="79"/>
      <c r="PO49" s="79"/>
      <c r="PP49" s="79"/>
      <c r="PQ49" s="79"/>
      <c r="PR49" s="79"/>
      <c r="PS49" s="79"/>
      <c r="PT49" s="79"/>
      <c r="PU49" s="79"/>
      <c r="PV49" s="79"/>
      <c r="PW49" s="79"/>
      <c r="PX49" s="79"/>
      <c r="PY49" s="79"/>
      <c r="PZ49" s="79"/>
      <c r="QA49" s="79"/>
      <c r="QB49" s="79"/>
      <c r="QC49" s="79"/>
      <c r="QD49" s="79"/>
      <c r="QE49" s="79"/>
      <c r="QF49" s="79"/>
      <c r="QG49" s="79"/>
      <c r="QH49" s="79"/>
      <c r="QI49" s="79"/>
      <c r="QJ49" s="79"/>
      <c r="QK49" s="79"/>
      <c r="QL49" s="79"/>
      <c r="QM49" s="79"/>
      <c r="QN49" s="79"/>
      <c r="QO49" s="79"/>
      <c r="QP49" s="79"/>
      <c r="QQ49" s="79"/>
      <c r="QR49" s="79"/>
      <c r="QS49" s="79"/>
      <c r="QT49" s="79"/>
      <c r="QU49" s="79"/>
      <c r="QV49" s="79"/>
      <c r="QW49" s="79"/>
      <c r="QX49" s="79"/>
      <c r="QY49" s="79"/>
      <c r="QZ49" s="79"/>
      <c r="RA49" s="79"/>
      <c r="RB49" s="79"/>
      <c r="RC49" s="79"/>
      <c r="RD49" s="79"/>
      <c r="RE49" s="79"/>
      <c r="RF49" s="79"/>
      <c r="RG49" s="79"/>
      <c r="RH49" s="79"/>
      <c r="RI49" s="79"/>
      <c r="RJ49" s="79"/>
      <c r="RK49" s="79"/>
      <c r="RL49" s="79"/>
      <c r="RM49" s="79"/>
      <c r="RN49" s="79"/>
      <c r="RO49" s="79"/>
      <c r="RP49" s="79"/>
      <c r="RQ49" s="79"/>
      <c r="RR49" s="79"/>
      <c r="RS49" s="79"/>
      <c r="RT49" s="79"/>
      <c r="RU49" s="79"/>
      <c r="RV49" s="79"/>
      <c r="RW49" s="79"/>
      <c r="RX49" s="79"/>
      <c r="RY49" s="79"/>
      <c r="RZ49" s="79"/>
      <c r="SA49" s="79"/>
      <c r="SB49" s="79"/>
      <c r="SC49" s="79"/>
      <c r="SD49" s="79"/>
      <c r="SE49" s="79"/>
      <c r="SF49" s="79"/>
      <c r="SG49" s="79"/>
      <c r="SH49" s="79"/>
      <c r="SI49" s="79"/>
      <c r="SJ49" s="79"/>
    </row>
    <row r="50" spans="2:504" x14ac:dyDescent="0.25">
      <c r="B50" s="35" t="str">
        <f>'Pay App 1'!B95</f>
        <v>08 30 00</v>
      </c>
      <c r="C50" s="27" t="str">
        <f>'Pay App 1'!C95</f>
        <v>Specialty Doors</v>
      </c>
      <c r="D50" s="82">
        <f t="shared" si="8"/>
        <v>0</v>
      </c>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79"/>
      <c r="BR50" s="79"/>
      <c r="BS50" s="79"/>
      <c r="BT50" s="79"/>
      <c r="BU50" s="79"/>
      <c r="BV50" s="79"/>
      <c r="BW50" s="79"/>
      <c r="BX50" s="79"/>
      <c r="BY50" s="79"/>
      <c r="BZ50" s="79"/>
      <c r="CA50" s="79"/>
      <c r="CB50" s="79"/>
      <c r="CC50" s="79"/>
      <c r="CD50" s="79"/>
      <c r="CE50" s="79"/>
      <c r="CF50" s="79"/>
      <c r="CG50" s="79"/>
      <c r="CH50" s="79"/>
      <c r="CI50" s="79"/>
      <c r="CJ50" s="79"/>
      <c r="CK50" s="79"/>
      <c r="CL50" s="79"/>
      <c r="CM50" s="79"/>
      <c r="CN50" s="79"/>
      <c r="CO50" s="79"/>
      <c r="CP50" s="79"/>
      <c r="CQ50" s="79"/>
      <c r="CR50" s="79"/>
      <c r="CS50" s="79"/>
      <c r="CT50" s="79"/>
      <c r="CU50" s="79"/>
      <c r="CV50" s="79"/>
      <c r="CW50" s="79"/>
      <c r="CX50" s="79"/>
      <c r="CY50" s="79"/>
      <c r="CZ50" s="79"/>
      <c r="DA50" s="79"/>
      <c r="DB50" s="79"/>
      <c r="DC50" s="79"/>
      <c r="DD50" s="79"/>
      <c r="DE50" s="79"/>
      <c r="DF50" s="79"/>
      <c r="DG50" s="79"/>
      <c r="DH50" s="79"/>
      <c r="DI50" s="79"/>
      <c r="DJ50" s="79"/>
      <c r="DK50" s="79"/>
      <c r="DL50" s="79"/>
      <c r="DM50" s="79"/>
      <c r="DN50" s="79"/>
      <c r="DO50" s="79"/>
      <c r="DP50" s="79"/>
      <c r="DQ50" s="79"/>
      <c r="DR50" s="79"/>
      <c r="DS50" s="79"/>
      <c r="DT50" s="79"/>
      <c r="DU50" s="79"/>
      <c r="DV50" s="79"/>
      <c r="DW50" s="79"/>
      <c r="DX50" s="79"/>
      <c r="DY50" s="79"/>
      <c r="DZ50" s="79"/>
      <c r="EA50" s="79"/>
      <c r="EB50" s="79"/>
      <c r="EC50" s="79"/>
      <c r="ED50" s="79"/>
      <c r="EE50" s="79"/>
      <c r="EF50" s="79"/>
      <c r="EG50" s="79"/>
      <c r="EH50" s="79"/>
      <c r="EI50" s="79"/>
      <c r="EJ50" s="79"/>
      <c r="EK50" s="79"/>
      <c r="EL50" s="79"/>
      <c r="EM50" s="79"/>
      <c r="EN50" s="79"/>
      <c r="EO50" s="79"/>
      <c r="EP50" s="79"/>
      <c r="EQ50" s="79"/>
      <c r="ER50" s="79"/>
      <c r="ES50" s="79"/>
      <c r="ET50" s="79"/>
      <c r="EU50" s="79"/>
      <c r="EV50" s="79"/>
      <c r="EW50" s="79"/>
      <c r="EX50" s="79"/>
      <c r="EY50" s="79"/>
      <c r="EZ50" s="79"/>
      <c r="FA50" s="79"/>
      <c r="FB50" s="79"/>
      <c r="FC50" s="79"/>
      <c r="FD50" s="79"/>
      <c r="FE50" s="79"/>
      <c r="FF50" s="79"/>
      <c r="FG50" s="79"/>
      <c r="FH50" s="79"/>
      <c r="FI50" s="79"/>
      <c r="FJ50" s="79"/>
      <c r="FK50" s="79"/>
      <c r="FL50" s="79"/>
      <c r="FM50" s="79"/>
      <c r="FN50" s="79"/>
      <c r="FO50" s="79"/>
      <c r="FP50" s="79"/>
      <c r="FQ50" s="79"/>
      <c r="FR50" s="79"/>
      <c r="FS50" s="79"/>
      <c r="FT50" s="79"/>
      <c r="FU50" s="79"/>
      <c r="FV50" s="79"/>
      <c r="FW50" s="79"/>
      <c r="FX50" s="79"/>
      <c r="FY50" s="79"/>
      <c r="FZ50" s="79"/>
      <c r="GA50" s="79"/>
      <c r="GB50" s="79"/>
      <c r="GC50" s="79"/>
      <c r="GD50" s="79"/>
      <c r="GE50" s="79"/>
      <c r="GF50" s="79"/>
      <c r="GG50" s="79"/>
      <c r="GH50" s="79"/>
      <c r="GI50" s="79"/>
      <c r="GJ50" s="79"/>
      <c r="GK50" s="79"/>
      <c r="GL50" s="79"/>
      <c r="GM50" s="79"/>
      <c r="GN50" s="79"/>
      <c r="GO50" s="79"/>
      <c r="GP50" s="79"/>
      <c r="GQ50" s="79"/>
      <c r="GR50" s="79"/>
      <c r="GS50" s="79"/>
      <c r="GT50" s="79"/>
      <c r="GU50" s="79"/>
      <c r="GV50" s="79"/>
      <c r="GW50" s="79"/>
      <c r="GX50" s="79"/>
      <c r="GY50" s="79"/>
      <c r="GZ50" s="79"/>
      <c r="HA50" s="79"/>
      <c r="HB50" s="79"/>
      <c r="HC50" s="79"/>
      <c r="HD50" s="79"/>
      <c r="HE50" s="79"/>
      <c r="HF50" s="79"/>
      <c r="HG50" s="79"/>
      <c r="HH50" s="79"/>
      <c r="HI50" s="79"/>
      <c r="HJ50" s="79"/>
      <c r="HK50" s="79"/>
      <c r="HL50" s="79"/>
      <c r="HM50" s="79"/>
      <c r="HN50" s="79"/>
      <c r="HO50" s="79"/>
      <c r="HP50" s="79"/>
      <c r="HQ50" s="79"/>
      <c r="HR50" s="79"/>
      <c r="HS50" s="79"/>
      <c r="HT50" s="79"/>
      <c r="HU50" s="79"/>
      <c r="HV50" s="79"/>
      <c r="HW50" s="79"/>
      <c r="HX50" s="79"/>
      <c r="HY50" s="79"/>
      <c r="HZ50" s="79"/>
      <c r="IA50" s="79"/>
      <c r="IB50" s="79"/>
      <c r="IC50" s="79"/>
      <c r="ID50" s="79"/>
      <c r="IE50" s="79"/>
      <c r="IF50" s="79"/>
      <c r="IG50" s="79"/>
      <c r="IH50" s="79"/>
      <c r="II50" s="79"/>
      <c r="IJ50" s="79"/>
      <c r="IK50" s="79"/>
      <c r="IL50" s="79"/>
      <c r="IM50" s="79"/>
      <c r="IN50" s="79"/>
      <c r="IO50" s="79"/>
      <c r="IP50" s="79"/>
      <c r="IQ50" s="79"/>
      <c r="IR50" s="79"/>
      <c r="IS50" s="79"/>
      <c r="IT50" s="79"/>
      <c r="IU50" s="79"/>
      <c r="IV50" s="79"/>
      <c r="IW50" s="79"/>
      <c r="IX50" s="79"/>
      <c r="IY50" s="79"/>
      <c r="IZ50" s="79"/>
      <c r="JA50" s="79"/>
      <c r="JB50" s="79"/>
      <c r="JC50" s="79"/>
      <c r="JD50" s="79"/>
      <c r="JE50" s="79"/>
      <c r="JF50" s="79"/>
      <c r="JG50" s="79"/>
      <c r="JH50" s="79"/>
      <c r="JI50" s="79"/>
      <c r="JJ50" s="79"/>
      <c r="JK50" s="79"/>
      <c r="JL50" s="79"/>
      <c r="JM50" s="79"/>
      <c r="JN50" s="79"/>
      <c r="JO50" s="79"/>
      <c r="JP50" s="79"/>
      <c r="JQ50" s="79"/>
      <c r="JR50" s="79"/>
      <c r="JS50" s="79"/>
      <c r="JT50" s="79"/>
      <c r="JU50" s="79"/>
      <c r="JV50" s="79"/>
      <c r="JW50" s="79"/>
      <c r="JX50" s="79"/>
      <c r="JY50" s="79"/>
      <c r="JZ50" s="79"/>
      <c r="KA50" s="79"/>
      <c r="KB50" s="79"/>
      <c r="KC50" s="79"/>
      <c r="KD50" s="79"/>
      <c r="KE50" s="79"/>
      <c r="KF50" s="79"/>
      <c r="KG50" s="79"/>
      <c r="KH50" s="79"/>
      <c r="KI50" s="79"/>
      <c r="KJ50" s="79"/>
      <c r="KK50" s="79"/>
      <c r="KL50" s="79"/>
      <c r="KM50" s="79"/>
      <c r="KN50" s="79"/>
      <c r="KO50" s="79"/>
      <c r="KP50" s="79"/>
      <c r="KQ50" s="79"/>
      <c r="KR50" s="79"/>
      <c r="KS50" s="79"/>
      <c r="KT50" s="79"/>
      <c r="KU50" s="79"/>
      <c r="KV50" s="79"/>
      <c r="KW50" s="79"/>
      <c r="KX50" s="79"/>
      <c r="KY50" s="79"/>
      <c r="KZ50" s="79"/>
      <c r="LA50" s="79"/>
      <c r="LB50" s="79"/>
      <c r="LC50" s="79"/>
      <c r="LD50" s="79"/>
      <c r="LE50" s="79"/>
      <c r="LF50" s="79"/>
      <c r="LG50" s="79"/>
      <c r="LH50" s="79"/>
      <c r="LI50" s="79"/>
      <c r="LJ50" s="79"/>
      <c r="LK50" s="79"/>
      <c r="LL50" s="79"/>
      <c r="LM50" s="79"/>
      <c r="LN50" s="79"/>
      <c r="LO50" s="79"/>
      <c r="LP50" s="79"/>
      <c r="LQ50" s="79"/>
      <c r="LR50" s="79"/>
      <c r="LS50" s="79"/>
      <c r="LT50" s="79"/>
      <c r="LU50" s="79"/>
      <c r="LV50" s="79"/>
      <c r="LW50" s="79"/>
      <c r="LX50" s="79"/>
      <c r="LY50" s="79"/>
      <c r="LZ50" s="79"/>
      <c r="MA50" s="79"/>
      <c r="MB50" s="79"/>
      <c r="MC50" s="79"/>
      <c r="MD50" s="79"/>
      <c r="ME50" s="79"/>
      <c r="MF50" s="79"/>
      <c r="MG50" s="79"/>
      <c r="MH50" s="79"/>
      <c r="MI50" s="79"/>
      <c r="MJ50" s="79"/>
      <c r="MK50" s="79"/>
      <c r="ML50" s="79"/>
      <c r="MM50" s="79"/>
      <c r="MN50" s="79"/>
      <c r="MO50" s="79"/>
      <c r="MP50" s="79"/>
      <c r="MQ50" s="79"/>
      <c r="MR50" s="79"/>
      <c r="MS50" s="79"/>
      <c r="MT50" s="79"/>
      <c r="MU50" s="79"/>
      <c r="MV50" s="79"/>
      <c r="MW50" s="79"/>
      <c r="MX50" s="79"/>
      <c r="MY50" s="79"/>
      <c r="MZ50" s="79"/>
      <c r="NA50" s="79"/>
      <c r="NB50" s="79"/>
      <c r="NC50" s="79"/>
      <c r="ND50" s="79"/>
      <c r="NE50" s="79"/>
      <c r="NF50" s="79"/>
      <c r="NG50" s="79"/>
      <c r="NH50" s="79"/>
      <c r="NI50" s="79"/>
      <c r="NJ50" s="79"/>
      <c r="NK50" s="79"/>
      <c r="NL50" s="79"/>
      <c r="NM50" s="79"/>
      <c r="NN50" s="79"/>
      <c r="NO50" s="79"/>
      <c r="NP50" s="79"/>
      <c r="NQ50" s="79"/>
      <c r="NR50" s="79"/>
      <c r="NS50" s="79"/>
      <c r="NT50" s="79"/>
      <c r="NU50" s="79"/>
      <c r="NV50" s="79"/>
      <c r="NW50" s="79"/>
      <c r="NX50" s="79"/>
      <c r="NY50" s="79"/>
      <c r="NZ50" s="79"/>
      <c r="OA50" s="79"/>
      <c r="OB50" s="79"/>
      <c r="OC50" s="79"/>
      <c r="OD50" s="79"/>
      <c r="OE50" s="79"/>
      <c r="OF50" s="79"/>
      <c r="OG50" s="79"/>
      <c r="OH50" s="79"/>
      <c r="OI50" s="79"/>
      <c r="OJ50" s="79"/>
      <c r="OK50" s="79"/>
      <c r="OL50" s="79"/>
      <c r="OM50" s="79"/>
      <c r="ON50" s="79"/>
      <c r="OO50" s="79"/>
      <c r="OP50" s="79"/>
      <c r="OQ50" s="79"/>
      <c r="OR50" s="79"/>
      <c r="OS50" s="79"/>
      <c r="OT50" s="79"/>
      <c r="OU50" s="79"/>
      <c r="OV50" s="79"/>
      <c r="OW50" s="79"/>
      <c r="OX50" s="79"/>
      <c r="OY50" s="79"/>
      <c r="OZ50" s="79"/>
      <c r="PA50" s="79"/>
      <c r="PB50" s="79"/>
      <c r="PC50" s="79"/>
      <c r="PD50" s="79"/>
      <c r="PE50" s="79"/>
      <c r="PF50" s="79"/>
      <c r="PG50" s="79"/>
      <c r="PH50" s="79"/>
      <c r="PI50" s="79"/>
      <c r="PJ50" s="79"/>
      <c r="PK50" s="79"/>
      <c r="PL50" s="79"/>
      <c r="PM50" s="79"/>
      <c r="PN50" s="79"/>
      <c r="PO50" s="79"/>
      <c r="PP50" s="79"/>
      <c r="PQ50" s="79"/>
      <c r="PR50" s="79"/>
      <c r="PS50" s="79"/>
      <c r="PT50" s="79"/>
      <c r="PU50" s="79"/>
      <c r="PV50" s="79"/>
      <c r="PW50" s="79"/>
      <c r="PX50" s="79"/>
      <c r="PY50" s="79"/>
      <c r="PZ50" s="79"/>
      <c r="QA50" s="79"/>
      <c r="QB50" s="79"/>
      <c r="QC50" s="79"/>
      <c r="QD50" s="79"/>
      <c r="QE50" s="79"/>
      <c r="QF50" s="79"/>
      <c r="QG50" s="79"/>
      <c r="QH50" s="79"/>
      <c r="QI50" s="79"/>
      <c r="QJ50" s="79"/>
      <c r="QK50" s="79"/>
      <c r="QL50" s="79"/>
      <c r="QM50" s="79"/>
      <c r="QN50" s="79"/>
      <c r="QO50" s="79"/>
      <c r="QP50" s="79"/>
      <c r="QQ50" s="79"/>
      <c r="QR50" s="79"/>
      <c r="QS50" s="79"/>
      <c r="QT50" s="79"/>
      <c r="QU50" s="79"/>
      <c r="QV50" s="79"/>
      <c r="QW50" s="79"/>
      <c r="QX50" s="79"/>
      <c r="QY50" s="79"/>
      <c r="QZ50" s="79"/>
      <c r="RA50" s="79"/>
      <c r="RB50" s="79"/>
      <c r="RC50" s="79"/>
      <c r="RD50" s="79"/>
      <c r="RE50" s="79"/>
      <c r="RF50" s="79"/>
      <c r="RG50" s="79"/>
      <c r="RH50" s="79"/>
      <c r="RI50" s="79"/>
      <c r="RJ50" s="79"/>
      <c r="RK50" s="79"/>
      <c r="RL50" s="79"/>
      <c r="RM50" s="79"/>
      <c r="RN50" s="79"/>
      <c r="RO50" s="79"/>
      <c r="RP50" s="79"/>
      <c r="RQ50" s="79"/>
      <c r="RR50" s="79"/>
      <c r="RS50" s="79"/>
      <c r="RT50" s="79"/>
      <c r="RU50" s="79"/>
      <c r="RV50" s="79"/>
      <c r="RW50" s="79"/>
      <c r="RX50" s="79"/>
      <c r="RY50" s="79"/>
      <c r="RZ50" s="79"/>
      <c r="SA50" s="79"/>
      <c r="SB50" s="79"/>
      <c r="SC50" s="79"/>
      <c r="SD50" s="79"/>
      <c r="SE50" s="79"/>
      <c r="SF50" s="79"/>
      <c r="SG50" s="79"/>
      <c r="SH50" s="79"/>
      <c r="SI50" s="79"/>
      <c r="SJ50" s="79"/>
    </row>
    <row r="51" spans="2:504" x14ac:dyDescent="0.25">
      <c r="B51" s="35" t="str">
        <f>'Pay App 1'!B96</f>
        <v>08 33 00</v>
      </c>
      <c r="C51" s="27" t="str">
        <f>'Pay App 1'!C96</f>
        <v>Overhead Doors/Coiling Doors</v>
      </c>
      <c r="D51" s="82">
        <f t="shared" si="8"/>
        <v>0</v>
      </c>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79"/>
      <c r="BR51" s="79"/>
      <c r="BS51" s="79"/>
      <c r="BT51" s="79"/>
      <c r="BU51" s="79"/>
      <c r="BV51" s="79"/>
      <c r="BW51" s="79"/>
      <c r="BX51" s="79"/>
      <c r="BY51" s="79"/>
      <c r="BZ51" s="79"/>
      <c r="CA51" s="79"/>
      <c r="CB51" s="79"/>
      <c r="CC51" s="79"/>
      <c r="CD51" s="79"/>
      <c r="CE51" s="79"/>
      <c r="CF51" s="79"/>
      <c r="CG51" s="79"/>
      <c r="CH51" s="79"/>
      <c r="CI51" s="79"/>
      <c r="CJ51" s="79"/>
      <c r="CK51" s="79"/>
      <c r="CL51" s="79"/>
      <c r="CM51" s="79"/>
      <c r="CN51" s="79"/>
      <c r="CO51" s="79"/>
      <c r="CP51" s="79"/>
      <c r="CQ51" s="79"/>
      <c r="CR51" s="79"/>
      <c r="CS51" s="79"/>
      <c r="CT51" s="79"/>
      <c r="CU51" s="79"/>
      <c r="CV51" s="79"/>
      <c r="CW51" s="79"/>
      <c r="CX51" s="79"/>
      <c r="CY51" s="79"/>
      <c r="CZ51" s="79"/>
      <c r="DA51" s="79"/>
      <c r="DB51" s="79"/>
      <c r="DC51" s="79"/>
      <c r="DD51" s="79"/>
      <c r="DE51" s="79"/>
      <c r="DF51" s="79"/>
      <c r="DG51" s="79"/>
      <c r="DH51" s="79"/>
      <c r="DI51" s="79"/>
      <c r="DJ51" s="79"/>
      <c r="DK51" s="79"/>
      <c r="DL51" s="79"/>
      <c r="DM51" s="79"/>
      <c r="DN51" s="79"/>
      <c r="DO51" s="79"/>
      <c r="DP51" s="79"/>
      <c r="DQ51" s="79"/>
      <c r="DR51" s="79"/>
      <c r="DS51" s="79"/>
      <c r="DT51" s="79"/>
      <c r="DU51" s="79"/>
      <c r="DV51" s="79"/>
      <c r="DW51" s="79"/>
      <c r="DX51" s="79"/>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79"/>
      <c r="GA51" s="79"/>
      <c r="GB51" s="79"/>
      <c r="GC51" s="79"/>
      <c r="GD51" s="79"/>
      <c r="GE51" s="79"/>
      <c r="GF51" s="79"/>
      <c r="GG51" s="79"/>
      <c r="GH51" s="79"/>
      <c r="GI51" s="79"/>
      <c r="GJ51" s="79"/>
      <c r="GK51" s="79"/>
      <c r="GL51" s="79"/>
      <c r="GM51" s="79"/>
      <c r="GN51" s="79"/>
      <c r="GO51" s="79"/>
      <c r="GP51" s="79"/>
      <c r="GQ51" s="79"/>
      <c r="GR51" s="79"/>
      <c r="GS51" s="79"/>
      <c r="GT51" s="79"/>
      <c r="GU51" s="79"/>
      <c r="GV51" s="79"/>
      <c r="GW51" s="79"/>
      <c r="GX51" s="79"/>
      <c r="GY51" s="79"/>
      <c r="GZ51" s="79"/>
      <c r="HA51" s="79"/>
      <c r="HB51" s="79"/>
      <c r="HC51" s="79"/>
      <c r="HD51" s="79"/>
      <c r="HE51" s="79"/>
      <c r="HF51" s="79"/>
      <c r="HG51" s="79"/>
      <c r="HH51" s="79"/>
      <c r="HI51" s="79"/>
      <c r="HJ51" s="79"/>
      <c r="HK51" s="79"/>
      <c r="HL51" s="79"/>
      <c r="HM51" s="79"/>
      <c r="HN51" s="79"/>
      <c r="HO51" s="79"/>
      <c r="HP51" s="79"/>
      <c r="HQ51" s="79"/>
      <c r="HR51" s="79"/>
      <c r="HS51" s="79"/>
      <c r="HT51" s="79"/>
      <c r="HU51" s="79"/>
      <c r="HV51" s="79"/>
      <c r="HW51" s="79"/>
      <c r="HX51" s="79"/>
      <c r="HY51" s="79"/>
      <c r="HZ51" s="79"/>
      <c r="IA51" s="79"/>
      <c r="IB51" s="79"/>
      <c r="IC51" s="79"/>
      <c r="ID51" s="79"/>
      <c r="IE51" s="79"/>
      <c r="IF51" s="79"/>
      <c r="IG51" s="79"/>
      <c r="IH51" s="79"/>
      <c r="II51" s="79"/>
      <c r="IJ51" s="79"/>
      <c r="IK51" s="79"/>
      <c r="IL51" s="79"/>
      <c r="IM51" s="79"/>
      <c r="IN51" s="79"/>
      <c r="IO51" s="79"/>
      <c r="IP51" s="79"/>
      <c r="IQ51" s="79"/>
      <c r="IR51" s="79"/>
      <c r="IS51" s="79"/>
      <c r="IT51" s="79"/>
      <c r="IU51" s="79"/>
      <c r="IV51" s="79"/>
      <c r="IW51" s="79"/>
      <c r="IX51" s="79"/>
      <c r="IY51" s="79"/>
      <c r="IZ51" s="79"/>
      <c r="JA51" s="79"/>
      <c r="JB51" s="79"/>
      <c r="JC51" s="79"/>
      <c r="JD51" s="79"/>
      <c r="JE51" s="79"/>
      <c r="JF51" s="79"/>
      <c r="JG51" s="79"/>
      <c r="JH51" s="79"/>
      <c r="JI51" s="79"/>
      <c r="JJ51" s="79"/>
      <c r="JK51" s="79"/>
      <c r="JL51" s="79"/>
      <c r="JM51" s="79"/>
      <c r="JN51" s="79"/>
      <c r="JO51" s="79"/>
      <c r="JP51" s="79"/>
      <c r="JQ51" s="79"/>
      <c r="JR51" s="79"/>
      <c r="JS51" s="79"/>
      <c r="JT51" s="79"/>
      <c r="JU51" s="79"/>
      <c r="JV51" s="79"/>
      <c r="JW51" s="79"/>
      <c r="JX51" s="79"/>
      <c r="JY51" s="79"/>
      <c r="JZ51" s="79"/>
      <c r="KA51" s="79"/>
      <c r="KB51" s="79"/>
      <c r="KC51" s="79"/>
      <c r="KD51" s="79"/>
      <c r="KE51" s="79"/>
      <c r="KF51" s="79"/>
      <c r="KG51" s="79"/>
      <c r="KH51" s="79"/>
      <c r="KI51" s="79"/>
      <c r="KJ51" s="79"/>
      <c r="KK51" s="79"/>
      <c r="KL51" s="79"/>
      <c r="KM51" s="79"/>
      <c r="KN51" s="79"/>
      <c r="KO51" s="79"/>
      <c r="KP51" s="79"/>
      <c r="KQ51" s="79"/>
      <c r="KR51" s="79"/>
      <c r="KS51" s="79"/>
      <c r="KT51" s="79"/>
      <c r="KU51" s="79"/>
      <c r="KV51" s="79"/>
      <c r="KW51" s="79"/>
      <c r="KX51" s="79"/>
      <c r="KY51" s="79"/>
      <c r="KZ51" s="79"/>
      <c r="LA51" s="79"/>
      <c r="LB51" s="79"/>
      <c r="LC51" s="79"/>
      <c r="LD51" s="79"/>
      <c r="LE51" s="79"/>
      <c r="LF51" s="79"/>
      <c r="LG51" s="79"/>
      <c r="LH51" s="79"/>
      <c r="LI51" s="79"/>
      <c r="LJ51" s="79"/>
      <c r="LK51" s="79"/>
      <c r="LL51" s="79"/>
      <c r="LM51" s="79"/>
      <c r="LN51" s="79"/>
      <c r="LO51" s="79"/>
      <c r="LP51" s="79"/>
      <c r="LQ51" s="79"/>
      <c r="LR51" s="79"/>
      <c r="LS51" s="79"/>
      <c r="LT51" s="79"/>
      <c r="LU51" s="79"/>
      <c r="LV51" s="79"/>
      <c r="LW51" s="79"/>
      <c r="LX51" s="79"/>
      <c r="LY51" s="79"/>
      <c r="LZ51" s="79"/>
      <c r="MA51" s="79"/>
      <c r="MB51" s="79"/>
      <c r="MC51" s="79"/>
      <c r="MD51" s="79"/>
      <c r="ME51" s="79"/>
      <c r="MF51" s="79"/>
      <c r="MG51" s="79"/>
      <c r="MH51" s="79"/>
      <c r="MI51" s="79"/>
      <c r="MJ51" s="79"/>
      <c r="MK51" s="79"/>
      <c r="ML51" s="79"/>
      <c r="MM51" s="79"/>
      <c r="MN51" s="79"/>
      <c r="MO51" s="79"/>
      <c r="MP51" s="79"/>
      <c r="MQ51" s="79"/>
      <c r="MR51" s="79"/>
      <c r="MS51" s="79"/>
      <c r="MT51" s="79"/>
      <c r="MU51" s="79"/>
      <c r="MV51" s="79"/>
      <c r="MW51" s="79"/>
      <c r="MX51" s="79"/>
      <c r="MY51" s="79"/>
      <c r="MZ51" s="79"/>
      <c r="NA51" s="79"/>
      <c r="NB51" s="79"/>
      <c r="NC51" s="79"/>
      <c r="ND51" s="79"/>
      <c r="NE51" s="79"/>
      <c r="NF51" s="79"/>
      <c r="NG51" s="79"/>
      <c r="NH51" s="79"/>
      <c r="NI51" s="79"/>
      <c r="NJ51" s="79"/>
      <c r="NK51" s="79"/>
      <c r="NL51" s="79"/>
      <c r="NM51" s="79"/>
      <c r="NN51" s="79"/>
      <c r="NO51" s="79"/>
      <c r="NP51" s="79"/>
      <c r="NQ51" s="79"/>
      <c r="NR51" s="79"/>
      <c r="NS51" s="79"/>
      <c r="NT51" s="79"/>
      <c r="NU51" s="79"/>
      <c r="NV51" s="79"/>
      <c r="NW51" s="79"/>
      <c r="NX51" s="79"/>
      <c r="NY51" s="79"/>
      <c r="NZ51" s="79"/>
      <c r="OA51" s="79"/>
      <c r="OB51" s="79"/>
      <c r="OC51" s="79"/>
      <c r="OD51" s="79"/>
      <c r="OE51" s="79"/>
      <c r="OF51" s="79"/>
      <c r="OG51" s="79"/>
      <c r="OH51" s="79"/>
      <c r="OI51" s="79"/>
      <c r="OJ51" s="79"/>
      <c r="OK51" s="79"/>
      <c r="OL51" s="79"/>
      <c r="OM51" s="79"/>
      <c r="ON51" s="79"/>
      <c r="OO51" s="79"/>
      <c r="OP51" s="79"/>
      <c r="OQ51" s="79"/>
      <c r="OR51" s="79"/>
      <c r="OS51" s="79"/>
      <c r="OT51" s="79"/>
      <c r="OU51" s="79"/>
      <c r="OV51" s="79"/>
      <c r="OW51" s="79"/>
      <c r="OX51" s="79"/>
      <c r="OY51" s="79"/>
      <c r="OZ51" s="79"/>
      <c r="PA51" s="79"/>
      <c r="PB51" s="79"/>
      <c r="PC51" s="79"/>
      <c r="PD51" s="79"/>
      <c r="PE51" s="79"/>
      <c r="PF51" s="79"/>
      <c r="PG51" s="79"/>
      <c r="PH51" s="79"/>
      <c r="PI51" s="79"/>
      <c r="PJ51" s="79"/>
      <c r="PK51" s="79"/>
      <c r="PL51" s="79"/>
      <c r="PM51" s="79"/>
      <c r="PN51" s="79"/>
      <c r="PO51" s="79"/>
      <c r="PP51" s="79"/>
      <c r="PQ51" s="79"/>
      <c r="PR51" s="79"/>
      <c r="PS51" s="79"/>
      <c r="PT51" s="79"/>
      <c r="PU51" s="79"/>
      <c r="PV51" s="79"/>
      <c r="PW51" s="79"/>
      <c r="PX51" s="79"/>
      <c r="PY51" s="79"/>
      <c r="PZ51" s="79"/>
      <c r="QA51" s="79"/>
      <c r="QB51" s="79"/>
      <c r="QC51" s="79"/>
      <c r="QD51" s="79"/>
      <c r="QE51" s="79"/>
      <c r="QF51" s="79"/>
      <c r="QG51" s="79"/>
      <c r="QH51" s="79"/>
      <c r="QI51" s="79"/>
      <c r="QJ51" s="79"/>
      <c r="QK51" s="79"/>
      <c r="QL51" s="79"/>
      <c r="QM51" s="79"/>
      <c r="QN51" s="79"/>
      <c r="QO51" s="79"/>
      <c r="QP51" s="79"/>
      <c r="QQ51" s="79"/>
      <c r="QR51" s="79"/>
      <c r="QS51" s="79"/>
      <c r="QT51" s="79"/>
      <c r="QU51" s="79"/>
      <c r="QV51" s="79"/>
      <c r="QW51" s="79"/>
      <c r="QX51" s="79"/>
      <c r="QY51" s="79"/>
      <c r="QZ51" s="79"/>
      <c r="RA51" s="79"/>
      <c r="RB51" s="79"/>
      <c r="RC51" s="79"/>
      <c r="RD51" s="79"/>
      <c r="RE51" s="79"/>
      <c r="RF51" s="79"/>
      <c r="RG51" s="79"/>
      <c r="RH51" s="79"/>
      <c r="RI51" s="79"/>
      <c r="RJ51" s="79"/>
      <c r="RK51" s="79"/>
      <c r="RL51" s="79"/>
      <c r="RM51" s="79"/>
      <c r="RN51" s="79"/>
      <c r="RO51" s="79"/>
      <c r="RP51" s="79"/>
      <c r="RQ51" s="79"/>
      <c r="RR51" s="79"/>
      <c r="RS51" s="79"/>
      <c r="RT51" s="79"/>
      <c r="RU51" s="79"/>
      <c r="RV51" s="79"/>
      <c r="RW51" s="79"/>
      <c r="RX51" s="79"/>
      <c r="RY51" s="79"/>
      <c r="RZ51" s="79"/>
      <c r="SA51" s="79"/>
      <c r="SB51" s="79"/>
      <c r="SC51" s="79"/>
      <c r="SD51" s="79"/>
      <c r="SE51" s="79"/>
      <c r="SF51" s="79"/>
      <c r="SG51" s="79"/>
      <c r="SH51" s="79"/>
      <c r="SI51" s="79"/>
      <c r="SJ51" s="79"/>
    </row>
    <row r="52" spans="2:504" x14ac:dyDescent="0.25">
      <c r="B52" s="35" t="str">
        <f>'Pay App 1'!B97</f>
        <v>08 40 00</v>
      </c>
      <c r="C52" s="27" t="str">
        <f>'Pay App 1'!C97</f>
        <v>Curtain Wall, Glass &amp; Glazing</v>
      </c>
      <c r="D52" s="82">
        <f t="shared" si="8"/>
        <v>0</v>
      </c>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79"/>
      <c r="BR52" s="79"/>
      <c r="BS52" s="79"/>
      <c r="BT52" s="79"/>
      <c r="BU52" s="79"/>
      <c r="BV52" s="79"/>
      <c r="BW52" s="79"/>
      <c r="BX52" s="79"/>
      <c r="BY52" s="79"/>
      <c r="BZ52" s="79"/>
      <c r="CA52" s="79"/>
      <c r="CB52" s="79"/>
      <c r="CC52" s="79"/>
      <c r="CD52" s="79"/>
      <c r="CE52" s="79"/>
      <c r="CF52" s="79"/>
      <c r="CG52" s="79"/>
      <c r="CH52" s="79"/>
      <c r="CI52" s="79"/>
      <c r="CJ52" s="79"/>
      <c r="CK52" s="79"/>
      <c r="CL52" s="79"/>
      <c r="CM52" s="79"/>
      <c r="CN52" s="79"/>
      <c r="CO52" s="79"/>
      <c r="CP52" s="79"/>
      <c r="CQ52" s="79"/>
      <c r="CR52" s="79"/>
      <c r="CS52" s="79"/>
      <c r="CT52" s="79"/>
      <c r="CU52" s="79"/>
      <c r="CV52" s="79"/>
      <c r="CW52" s="79"/>
      <c r="CX52" s="79"/>
      <c r="CY52" s="79"/>
      <c r="CZ52" s="79"/>
      <c r="DA52" s="79"/>
      <c r="DB52" s="79"/>
      <c r="DC52" s="79"/>
      <c r="DD52" s="79"/>
      <c r="DE52" s="79"/>
      <c r="DF52" s="79"/>
      <c r="DG52" s="79"/>
      <c r="DH52" s="79"/>
      <c r="DI52" s="79"/>
      <c r="DJ52" s="79"/>
      <c r="DK52" s="79"/>
      <c r="DL52" s="79"/>
      <c r="DM52" s="79"/>
      <c r="DN52" s="79"/>
      <c r="DO52" s="79"/>
      <c r="DP52" s="79"/>
      <c r="DQ52" s="79"/>
      <c r="DR52" s="79"/>
      <c r="DS52" s="79"/>
      <c r="DT52" s="79"/>
      <c r="DU52" s="79"/>
      <c r="DV52" s="79"/>
      <c r="DW52" s="79"/>
      <c r="DX52" s="79"/>
      <c r="DY52" s="79"/>
      <c r="DZ52" s="79"/>
      <c r="EA52" s="79"/>
      <c r="EB52" s="79"/>
      <c r="EC52" s="79"/>
      <c r="ED52" s="79"/>
      <c r="EE52" s="79"/>
      <c r="EF52" s="79"/>
      <c r="EG52" s="79"/>
      <c r="EH52" s="79"/>
      <c r="EI52" s="79"/>
      <c r="EJ52" s="79"/>
      <c r="EK52" s="79"/>
      <c r="EL52" s="79"/>
      <c r="EM52" s="79"/>
      <c r="EN52" s="79"/>
      <c r="EO52" s="79"/>
      <c r="EP52" s="79"/>
      <c r="EQ52" s="79"/>
      <c r="ER52" s="79"/>
      <c r="ES52" s="79"/>
      <c r="ET52" s="79"/>
      <c r="EU52" s="79"/>
      <c r="EV52" s="79"/>
      <c r="EW52" s="79"/>
      <c r="EX52" s="79"/>
      <c r="EY52" s="79"/>
      <c r="EZ52" s="79"/>
      <c r="FA52" s="79"/>
      <c r="FB52" s="79"/>
      <c r="FC52" s="79"/>
      <c r="FD52" s="79"/>
      <c r="FE52" s="79"/>
      <c r="FF52" s="79"/>
      <c r="FG52" s="79"/>
      <c r="FH52" s="79"/>
      <c r="FI52" s="79"/>
      <c r="FJ52" s="79"/>
      <c r="FK52" s="79"/>
      <c r="FL52" s="79"/>
      <c r="FM52" s="79"/>
      <c r="FN52" s="79"/>
      <c r="FO52" s="79"/>
      <c r="FP52" s="79"/>
      <c r="FQ52" s="79"/>
      <c r="FR52" s="79"/>
      <c r="FS52" s="79"/>
      <c r="FT52" s="79"/>
      <c r="FU52" s="79"/>
      <c r="FV52" s="79"/>
      <c r="FW52" s="79"/>
      <c r="FX52" s="79"/>
      <c r="FY52" s="79"/>
      <c r="FZ52" s="79"/>
      <c r="GA52" s="79"/>
      <c r="GB52" s="79"/>
      <c r="GC52" s="79"/>
      <c r="GD52" s="79"/>
      <c r="GE52" s="79"/>
      <c r="GF52" s="79"/>
      <c r="GG52" s="79"/>
      <c r="GH52" s="79"/>
      <c r="GI52" s="79"/>
      <c r="GJ52" s="79"/>
      <c r="GK52" s="79"/>
      <c r="GL52" s="79"/>
      <c r="GM52" s="79"/>
      <c r="GN52" s="79"/>
      <c r="GO52" s="79"/>
      <c r="GP52" s="79"/>
      <c r="GQ52" s="79"/>
      <c r="GR52" s="79"/>
      <c r="GS52" s="79"/>
      <c r="GT52" s="79"/>
      <c r="GU52" s="79"/>
      <c r="GV52" s="79"/>
      <c r="GW52" s="79"/>
      <c r="GX52" s="79"/>
      <c r="GY52" s="79"/>
      <c r="GZ52" s="79"/>
      <c r="HA52" s="79"/>
      <c r="HB52" s="79"/>
      <c r="HC52" s="79"/>
      <c r="HD52" s="79"/>
      <c r="HE52" s="79"/>
      <c r="HF52" s="79"/>
      <c r="HG52" s="79"/>
      <c r="HH52" s="79"/>
      <c r="HI52" s="79"/>
      <c r="HJ52" s="79"/>
      <c r="HK52" s="79"/>
      <c r="HL52" s="79"/>
      <c r="HM52" s="79"/>
      <c r="HN52" s="79"/>
      <c r="HO52" s="79"/>
      <c r="HP52" s="79"/>
      <c r="HQ52" s="79"/>
      <c r="HR52" s="79"/>
      <c r="HS52" s="79"/>
      <c r="HT52" s="79"/>
      <c r="HU52" s="79"/>
      <c r="HV52" s="79"/>
      <c r="HW52" s="79"/>
      <c r="HX52" s="79"/>
      <c r="HY52" s="79"/>
      <c r="HZ52" s="79"/>
      <c r="IA52" s="79"/>
      <c r="IB52" s="79"/>
      <c r="IC52" s="79"/>
      <c r="ID52" s="79"/>
      <c r="IE52" s="79"/>
      <c r="IF52" s="79"/>
      <c r="IG52" s="79"/>
      <c r="IH52" s="79"/>
      <c r="II52" s="79"/>
      <c r="IJ52" s="79"/>
      <c r="IK52" s="79"/>
      <c r="IL52" s="79"/>
      <c r="IM52" s="79"/>
      <c r="IN52" s="79"/>
      <c r="IO52" s="79"/>
      <c r="IP52" s="79"/>
      <c r="IQ52" s="79"/>
      <c r="IR52" s="79"/>
      <c r="IS52" s="79"/>
      <c r="IT52" s="79"/>
      <c r="IU52" s="79"/>
      <c r="IV52" s="79"/>
      <c r="IW52" s="79"/>
      <c r="IX52" s="79"/>
      <c r="IY52" s="79"/>
      <c r="IZ52" s="79"/>
      <c r="JA52" s="79"/>
      <c r="JB52" s="79"/>
      <c r="JC52" s="79"/>
      <c r="JD52" s="79"/>
      <c r="JE52" s="79"/>
      <c r="JF52" s="79"/>
      <c r="JG52" s="79"/>
      <c r="JH52" s="79"/>
      <c r="JI52" s="79"/>
      <c r="JJ52" s="79"/>
      <c r="JK52" s="79"/>
      <c r="JL52" s="79"/>
      <c r="JM52" s="79"/>
      <c r="JN52" s="79"/>
      <c r="JO52" s="79"/>
      <c r="JP52" s="79"/>
      <c r="JQ52" s="79"/>
      <c r="JR52" s="79"/>
      <c r="JS52" s="79"/>
      <c r="JT52" s="79"/>
      <c r="JU52" s="79"/>
      <c r="JV52" s="79"/>
      <c r="JW52" s="79"/>
      <c r="JX52" s="79"/>
      <c r="JY52" s="79"/>
      <c r="JZ52" s="79"/>
      <c r="KA52" s="79"/>
      <c r="KB52" s="79"/>
      <c r="KC52" s="79"/>
      <c r="KD52" s="79"/>
      <c r="KE52" s="79"/>
      <c r="KF52" s="79"/>
      <c r="KG52" s="79"/>
      <c r="KH52" s="79"/>
      <c r="KI52" s="79"/>
      <c r="KJ52" s="79"/>
      <c r="KK52" s="79"/>
      <c r="KL52" s="79"/>
      <c r="KM52" s="79"/>
      <c r="KN52" s="79"/>
      <c r="KO52" s="79"/>
      <c r="KP52" s="79"/>
      <c r="KQ52" s="79"/>
      <c r="KR52" s="79"/>
      <c r="KS52" s="79"/>
      <c r="KT52" s="79"/>
      <c r="KU52" s="79"/>
      <c r="KV52" s="79"/>
      <c r="KW52" s="79"/>
      <c r="KX52" s="79"/>
      <c r="KY52" s="79"/>
      <c r="KZ52" s="79"/>
      <c r="LA52" s="79"/>
      <c r="LB52" s="79"/>
      <c r="LC52" s="79"/>
      <c r="LD52" s="79"/>
      <c r="LE52" s="79"/>
      <c r="LF52" s="79"/>
      <c r="LG52" s="79"/>
      <c r="LH52" s="79"/>
      <c r="LI52" s="79"/>
      <c r="LJ52" s="79"/>
      <c r="LK52" s="79"/>
      <c r="LL52" s="79"/>
      <c r="LM52" s="79"/>
      <c r="LN52" s="79"/>
      <c r="LO52" s="79"/>
      <c r="LP52" s="79"/>
      <c r="LQ52" s="79"/>
      <c r="LR52" s="79"/>
      <c r="LS52" s="79"/>
      <c r="LT52" s="79"/>
      <c r="LU52" s="79"/>
      <c r="LV52" s="79"/>
      <c r="LW52" s="79"/>
      <c r="LX52" s="79"/>
      <c r="LY52" s="79"/>
      <c r="LZ52" s="79"/>
      <c r="MA52" s="79"/>
      <c r="MB52" s="79"/>
      <c r="MC52" s="79"/>
      <c r="MD52" s="79"/>
      <c r="ME52" s="79"/>
      <c r="MF52" s="79"/>
      <c r="MG52" s="79"/>
      <c r="MH52" s="79"/>
      <c r="MI52" s="79"/>
      <c r="MJ52" s="79"/>
      <c r="MK52" s="79"/>
      <c r="ML52" s="79"/>
      <c r="MM52" s="79"/>
      <c r="MN52" s="79"/>
      <c r="MO52" s="79"/>
      <c r="MP52" s="79"/>
      <c r="MQ52" s="79"/>
      <c r="MR52" s="79"/>
      <c r="MS52" s="79"/>
      <c r="MT52" s="79"/>
      <c r="MU52" s="79"/>
      <c r="MV52" s="79"/>
      <c r="MW52" s="79"/>
      <c r="MX52" s="79"/>
      <c r="MY52" s="79"/>
      <c r="MZ52" s="79"/>
      <c r="NA52" s="79"/>
      <c r="NB52" s="79"/>
      <c r="NC52" s="79"/>
      <c r="ND52" s="79"/>
      <c r="NE52" s="79"/>
      <c r="NF52" s="79"/>
      <c r="NG52" s="79"/>
      <c r="NH52" s="79"/>
      <c r="NI52" s="79"/>
      <c r="NJ52" s="79"/>
      <c r="NK52" s="79"/>
      <c r="NL52" s="79"/>
      <c r="NM52" s="79"/>
      <c r="NN52" s="79"/>
      <c r="NO52" s="79"/>
      <c r="NP52" s="79"/>
      <c r="NQ52" s="79"/>
      <c r="NR52" s="79"/>
      <c r="NS52" s="79"/>
      <c r="NT52" s="79"/>
      <c r="NU52" s="79"/>
      <c r="NV52" s="79"/>
      <c r="NW52" s="79"/>
      <c r="NX52" s="79"/>
      <c r="NY52" s="79"/>
      <c r="NZ52" s="79"/>
      <c r="OA52" s="79"/>
      <c r="OB52" s="79"/>
      <c r="OC52" s="79"/>
      <c r="OD52" s="79"/>
      <c r="OE52" s="79"/>
      <c r="OF52" s="79"/>
      <c r="OG52" s="79"/>
      <c r="OH52" s="79"/>
      <c r="OI52" s="79"/>
      <c r="OJ52" s="79"/>
      <c r="OK52" s="79"/>
      <c r="OL52" s="79"/>
      <c r="OM52" s="79"/>
      <c r="ON52" s="79"/>
      <c r="OO52" s="79"/>
      <c r="OP52" s="79"/>
      <c r="OQ52" s="79"/>
      <c r="OR52" s="79"/>
      <c r="OS52" s="79"/>
      <c r="OT52" s="79"/>
      <c r="OU52" s="79"/>
      <c r="OV52" s="79"/>
      <c r="OW52" s="79"/>
      <c r="OX52" s="79"/>
      <c r="OY52" s="79"/>
      <c r="OZ52" s="79"/>
      <c r="PA52" s="79"/>
      <c r="PB52" s="79"/>
      <c r="PC52" s="79"/>
      <c r="PD52" s="79"/>
      <c r="PE52" s="79"/>
      <c r="PF52" s="79"/>
      <c r="PG52" s="79"/>
      <c r="PH52" s="79"/>
      <c r="PI52" s="79"/>
      <c r="PJ52" s="79"/>
      <c r="PK52" s="79"/>
      <c r="PL52" s="79"/>
      <c r="PM52" s="79"/>
      <c r="PN52" s="79"/>
      <c r="PO52" s="79"/>
      <c r="PP52" s="79"/>
      <c r="PQ52" s="79"/>
      <c r="PR52" s="79"/>
      <c r="PS52" s="79"/>
      <c r="PT52" s="79"/>
      <c r="PU52" s="79"/>
      <c r="PV52" s="79"/>
      <c r="PW52" s="79"/>
      <c r="PX52" s="79"/>
      <c r="PY52" s="79"/>
      <c r="PZ52" s="79"/>
      <c r="QA52" s="79"/>
      <c r="QB52" s="79"/>
      <c r="QC52" s="79"/>
      <c r="QD52" s="79"/>
      <c r="QE52" s="79"/>
      <c r="QF52" s="79"/>
      <c r="QG52" s="79"/>
      <c r="QH52" s="79"/>
      <c r="QI52" s="79"/>
      <c r="QJ52" s="79"/>
      <c r="QK52" s="79"/>
      <c r="QL52" s="79"/>
      <c r="QM52" s="79"/>
      <c r="QN52" s="79"/>
      <c r="QO52" s="79"/>
      <c r="QP52" s="79"/>
      <c r="QQ52" s="79"/>
      <c r="QR52" s="79"/>
      <c r="QS52" s="79"/>
      <c r="QT52" s="79"/>
      <c r="QU52" s="79"/>
      <c r="QV52" s="79"/>
      <c r="QW52" s="79"/>
      <c r="QX52" s="79"/>
      <c r="QY52" s="79"/>
      <c r="QZ52" s="79"/>
      <c r="RA52" s="79"/>
      <c r="RB52" s="79"/>
      <c r="RC52" s="79"/>
      <c r="RD52" s="79"/>
      <c r="RE52" s="79"/>
      <c r="RF52" s="79"/>
      <c r="RG52" s="79"/>
      <c r="RH52" s="79"/>
      <c r="RI52" s="79"/>
      <c r="RJ52" s="79"/>
      <c r="RK52" s="79"/>
      <c r="RL52" s="79"/>
      <c r="RM52" s="79"/>
      <c r="RN52" s="79"/>
      <c r="RO52" s="79"/>
      <c r="RP52" s="79"/>
      <c r="RQ52" s="79"/>
      <c r="RR52" s="79"/>
      <c r="RS52" s="79"/>
      <c r="RT52" s="79"/>
      <c r="RU52" s="79"/>
      <c r="RV52" s="79"/>
      <c r="RW52" s="79"/>
      <c r="RX52" s="79"/>
      <c r="RY52" s="79"/>
      <c r="RZ52" s="79"/>
      <c r="SA52" s="79"/>
      <c r="SB52" s="79"/>
      <c r="SC52" s="79"/>
      <c r="SD52" s="79"/>
      <c r="SE52" s="79"/>
      <c r="SF52" s="79"/>
      <c r="SG52" s="79"/>
      <c r="SH52" s="79"/>
      <c r="SI52" s="79"/>
      <c r="SJ52" s="79"/>
    </row>
    <row r="53" spans="2:504" x14ac:dyDescent="0.25">
      <c r="B53" s="35" t="str">
        <f>'Pay App 1'!B98</f>
        <v>08 60 00</v>
      </c>
      <c r="C53" s="27" t="str">
        <f>'Pay App 1'!C98</f>
        <v>Skylights</v>
      </c>
      <c r="D53" s="82">
        <f t="shared" si="8"/>
        <v>0</v>
      </c>
      <c r="E53" s="79"/>
      <c r="F53" s="79"/>
      <c r="G53" s="79"/>
      <c r="H53" s="79"/>
      <c r="I53" s="79"/>
      <c r="J53" s="79"/>
      <c r="K53" s="79"/>
      <c r="L53" s="79"/>
      <c r="M53" s="79"/>
      <c r="N53" s="79"/>
      <c r="O53" s="79"/>
      <c r="P53" s="79"/>
      <c r="Q53" s="79"/>
      <c r="R53" s="79"/>
      <c r="S53" s="79"/>
      <c r="T53" s="79"/>
      <c r="U53" s="79"/>
      <c r="V53" s="79"/>
      <c r="W53" s="79"/>
      <c r="X53" s="79"/>
      <c r="Y53" s="79"/>
      <c r="Z53" s="79"/>
      <c r="AA53" s="79"/>
      <c r="AB53" s="79"/>
      <c r="AC53" s="79"/>
      <c r="AD53" s="79"/>
      <c r="AE53" s="79"/>
      <c r="AF53" s="79"/>
      <c r="AG53" s="79"/>
      <c r="AH53" s="79"/>
      <c r="AI53" s="79"/>
      <c r="AJ53" s="79"/>
      <c r="AK53" s="79"/>
      <c r="AL53" s="79"/>
      <c r="AM53" s="79"/>
      <c r="AN53" s="79"/>
      <c r="AO53" s="79"/>
      <c r="AP53" s="79"/>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79"/>
      <c r="BP53" s="79"/>
      <c r="BQ53" s="79"/>
      <c r="BR53" s="79"/>
      <c r="BS53" s="79"/>
      <c r="BT53" s="79"/>
      <c r="BU53" s="79"/>
      <c r="BV53" s="79"/>
      <c r="BW53" s="79"/>
      <c r="BX53" s="79"/>
      <c r="BY53" s="79"/>
      <c r="BZ53" s="79"/>
      <c r="CA53" s="79"/>
      <c r="CB53" s="79"/>
      <c r="CC53" s="79"/>
      <c r="CD53" s="79"/>
      <c r="CE53" s="79"/>
      <c r="CF53" s="79"/>
      <c r="CG53" s="79"/>
      <c r="CH53" s="79"/>
      <c r="CI53" s="79"/>
      <c r="CJ53" s="79"/>
      <c r="CK53" s="79"/>
      <c r="CL53" s="79"/>
      <c r="CM53" s="79"/>
      <c r="CN53" s="79"/>
      <c r="CO53" s="79"/>
      <c r="CP53" s="79"/>
      <c r="CQ53" s="79"/>
      <c r="CR53" s="79"/>
      <c r="CS53" s="79"/>
      <c r="CT53" s="79"/>
      <c r="CU53" s="79"/>
      <c r="CV53" s="79"/>
      <c r="CW53" s="79"/>
      <c r="CX53" s="79"/>
      <c r="CY53" s="79"/>
      <c r="CZ53" s="79"/>
      <c r="DA53" s="79"/>
      <c r="DB53" s="79"/>
      <c r="DC53" s="79"/>
      <c r="DD53" s="79"/>
      <c r="DE53" s="79"/>
      <c r="DF53" s="79"/>
      <c r="DG53" s="79"/>
      <c r="DH53" s="79"/>
      <c r="DI53" s="79"/>
      <c r="DJ53" s="79"/>
      <c r="DK53" s="79"/>
      <c r="DL53" s="79"/>
      <c r="DM53" s="79"/>
      <c r="DN53" s="79"/>
      <c r="DO53" s="79"/>
      <c r="DP53" s="79"/>
      <c r="DQ53" s="79"/>
      <c r="DR53" s="79"/>
      <c r="DS53" s="79"/>
      <c r="DT53" s="79"/>
      <c r="DU53" s="79"/>
      <c r="DV53" s="79"/>
      <c r="DW53" s="79"/>
      <c r="DX53" s="79"/>
      <c r="DY53" s="79"/>
      <c r="DZ53" s="79"/>
      <c r="EA53" s="79"/>
      <c r="EB53" s="79"/>
      <c r="EC53" s="79"/>
      <c r="ED53" s="79"/>
      <c r="EE53" s="79"/>
      <c r="EF53" s="79"/>
      <c r="EG53" s="79"/>
      <c r="EH53" s="79"/>
      <c r="EI53" s="79"/>
      <c r="EJ53" s="79"/>
      <c r="EK53" s="79"/>
      <c r="EL53" s="79"/>
      <c r="EM53" s="79"/>
      <c r="EN53" s="79"/>
      <c r="EO53" s="79"/>
      <c r="EP53" s="79"/>
      <c r="EQ53" s="79"/>
      <c r="ER53" s="79"/>
      <c r="ES53" s="79"/>
      <c r="ET53" s="79"/>
      <c r="EU53" s="79"/>
      <c r="EV53" s="79"/>
      <c r="EW53" s="79"/>
      <c r="EX53" s="79"/>
      <c r="EY53" s="79"/>
      <c r="EZ53" s="79"/>
      <c r="FA53" s="79"/>
      <c r="FB53" s="79"/>
      <c r="FC53" s="79"/>
      <c r="FD53" s="79"/>
      <c r="FE53" s="79"/>
      <c r="FF53" s="79"/>
      <c r="FG53" s="79"/>
      <c r="FH53" s="79"/>
      <c r="FI53" s="79"/>
      <c r="FJ53" s="79"/>
      <c r="FK53" s="79"/>
      <c r="FL53" s="79"/>
      <c r="FM53" s="79"/>
      <c r="FN53" s="79"/>
      <c r="FO53" s="79"/>
      <c r="FP53" s="79"/>
      <c r="FQ53" s="79"/>
      <c r="FR53" s="79"/>
      <c r="FS53" s="79"/>
      <c r="FT53" s="79"/>
      <c r="FU53" s="79"/>
      <c r="FV53" s="79"/>
      <c r="FW53" s="79"/>
      <c r="FX53" s="79"/>
      <c r="FY53" s="79"/>
      <c r="FZ53" s="79"/>
      <c r="GA53" s="79"/>
      <c r="GB53" s="79"/>
      <c r="GC53" s="79"/>
      <c r="GD53" s="79"/>
      <c r="GE53" s="79"/>
      <c r="GF53" s="79"/>
      <c r="GG53" s="79"/>
      <c r="GH53" s="79"/>
      <c r="GI53" s="79"/>
      <c r="GJ53" s="79"/>
      <c r="GK53" s="79"/>
      <c r="GL53" s="79"/>
      <c r="GM53" s="79"/>
      <c r="GN53" s="79"/>
      <c r="GO53" s="79"/>
      <c r="GP53" s="79"/>
      <c r="GQ53" s="79"/>
      <c r="GR53" s="79"/>
      <c r="GS53" s="79"/>
      <c r="GT53" s="79"/>
      <c r="GU53" s="79"/>
      <c r="GV53" s="79"/>
      <c r="GW53" s="79"/>
      <c r="GX53" s="79"/>
      <c r="GY53" s="79"/>
      <c r="GZ53" s="79"/>
      <c r="HA53" s="79"/>
      <c r="HB53" s="79"/>
      <c r="HC53" s="79"/>
      <c r="HD53" s="79"/>
      <c r="HE53" s="79"/>
      <c r="HF53" s="79"/>
      <c r="HG53" s="79"/>
      <c r="HH53" s="79"/>
      <c r="HI53" s="79"/>
      <c r="HJ53" s="79"/>
      <c r="HK53" s="79"/>
      <c r="HL53" s="79"/>
      <c r="HM53" s="79"/>
      <c r="HN53" s="79"/>
      <c r="HO53" s="79"/>
      <c r="HP53" s="79"/>
      <c r="HQ53" s="79"/>
      <c r="HR53" s="79"/>
      <c r="HS53" s="79"/>
      <c r="HT53" s="79"/>
      <c r="HU53" s="79"/>
      <c r="HV53" s="79"/>
      <c r="HW53" s="79"/>
      <c r="HX53" s="79"/>
      <c r="HY53" s="79"/>
      <c r="HZ53" s="79"/>
      <c r="IA53" s="79"/>
      <c r="IB53" s="79"/>
      <c r="IC53" s="79"/>
      <c r="ID53" s="79"/>
      <c r="IE53" s="79"/>
      <c r="IF53" s="79"/>
      <c r="IG53" s="79"/>
      <c r="IH53" s="79"/>
      <c r="II53" s="79"/>
      <c r="IJ53" s="79"/>
      <c r="IK53" s="79"/>
      <c r="IL53" s="79"/>
      <c r="IM53" s="79"/>
      <c r="IN53" s="79"/>
      <c r="IO53" s="79"/>
      <c r="IP53" s="79"/>
      <c r="IQ53" s="79"/>
      <c r="IR53" s="79"/>
      <c r="IS53" s="79"/>
      <c r="IT53" s="79"/>
      <c r="IU53" s="79"/>
      <c r="IV53" s="79"/>
      <c r="IW53" s="79"/>
      <c r="IX53" s="79"/>
      <c r="IY53" s="79"/>
      <c r="IZ53" s="79"/>
      <c r="JA53" s="79"/>
      <c r="JB53" s="79"/>
      <c r="JC53" s="79"/>
      <c r="JD53" s="79"/>
      <c r="JE53" s="79"/>
      <c r="JF53" s="79"/>
      <c r="JG53" s="79"/>
      <c r="JH53" s="79"/>
      <c r="JI53" s="79"/>
      <c r="JJ53" s="79"/>
      <c r="JK53" s="79"/>
      <c r="JL53" s="79"/>
      <c r="JM53" s="79"/>
      <c r="JN53" s="79"/>
      <c r="JO53" s="79"/>
      <c r="JP53" s="79"/>
      <c r="JQ53" s="79"/>
      <c r="JR53" s="79"/>
      <c r="JS53" s="79"/>
      <c r="JT53" s="79"/>
      <c r="JU53" s="79"/>
      <c r="JV53" s="79"/>
      <c r="JW53" s="79"/>
      <c r="JX53" s="79"/>
      <c r="JY53" s="79"/>
      <c r="JZ53" s="79"/>
      <c r="KA53" s="79"/>
      <c r="KB53" s="79"/>
      <c r="KC53" s="79"/>
      <c r="KD53" s="79"/>
      <c r="KE53" s="79"/>
      <c r="KF53" s="79"/>
      <c r="KG53" s="79"/>
      <c r="KH53" s="79"/>
      <c r="KI53" s="79"/>
      <c r="KJ53" s="79"/>
      <c r="KK53" s="79"/>
      <c r="KL53" s="79"/>
      <c r="KM53" s="79"/>
      <c r="KN53" s="79"/>
      <c r="KO53" s="79"/>
      <c r="KP53" s="79"/>
      <c r="KQ53" s="79"/>
      <c r="KR53" s="79"/>
      <c r="KS53" s="79"/>
      <c r="KT53" s="79"/>
      <c r="KU53" s="79"/>
      <c r="KV53" s="79"/>
      <c r="KW53" s="79"/>
      <c r="KX53" s="79"/>
      <c r="KY53" s="79"/>
      <c r="KZ53" s="79"/>
      <c r="LA53" s="79"/>
      <c r="LB53" s="79"/>
      <c r="LC53" s="79"/>
      <c r="LD53" s="79"/>
      <c r="LE53" s="79"/>
      <c r="LF53" s="79"/>
      <c r="LG53" s="79"/>
      <c r="LH53" s="79"/>
      <c r="LI53" s="79"/>
      <c r="LJ53" s="79"/>
      <c r="LK53" s="79"/>
      <c r="LL53" s="79"/>
      <c r="LM53" s="79"/>
      <c r="LN53" s="79"/>
      <c r="LO53" s="79"/>
      <c r="LP53" s="79"/>
      <c r="LQ53" s="79"/>
      <c r="LR53" s="79"/>
      <c r="LS53" s="79"/>
      <c r="LT53" s="79"/>
      <c r="LU53" s="79"/>
      <c r="LV53" s="79"/>
      <c r="LW53" s="79"/>
      <c r="LX53" s="79"/>
      <c r="LY53" s="79"/>
      <c r="LZ53" s="79"/>
      <c r="MA53" s="79"/>
      <c r="MB53" s="79"/>
      <c r="MC53" s="79"/>
      <c r="MD53" s="79"/>
      <c r="ME53" s="79"/>
      <c r="MF53" s="79"/>
      <c r="MG53" s="79"/>
      <c r="MH53" s="79"/>
      <c r="MI53" s="79"/>
      <c r="MJ53" s="79"/>
      <c r="MK53" s="79"/>
      <c r="ML53" s="79"/>
      <c r="MM53" s="79"/>
      <c r="MN53" s="79"/>
      <c r="MO53" s="79"/>
      <c r="MP53" s="79"/>
      <c r="MQ53" s="79"/>
      <c r="MR53" s="79"/>
      <c r="MS53" s="79"/>
      <c r="MT53" s="79"/>
      <c r="MU53" s="79"/>
      <c r="MV53" s="79"/>
      <c r="MW53" s="79"/>
      <c r="MX53" s="79"/>
      <c r="MY53" s="79"/>
      <c r="MZ53" s="79"/>
      <c r="NA53" s="79"/>
      <c r="NB53" s="79"/>
      <c r="NC53" s="79"/>
      <c r="ND53" s="79"/>
      <c r="NE53" s="79"/>
      <c r="NF53" s="79"/>
      <c r="NG53" s="79"/>
      <c r="NH53" s="79"/>
      <c r="NI53" s="79"/>
      <c r="NJ53" s="79"/>
      <c r="NK53" s="79"/>
      <c r="NL53" s="79"/>
      <c r="NM53" s="79"/>
      <c r="NN53" s="79"/>
      <c r="NO53" s="79"/>
      <c r="NP53" s="79"/>
      <c r="NQ53" s="79"/>
      <c r="NR53" s="79"/>
      <c r="NS53" s="79"/>
      <c r="NT53" s="79"/>
      <c r="NU53" s="79"/>
      <c r="NV53" s="79"/>
      <c r="NW53" s="79"/>
      <c r="NX53" s="79"/>
      <c r="NY53" s="79"/>
      <c r="NZ53" s="79"/>
      <c r="OA53" s="79"/>
      <c r="OB53" s="79"/>
      <c r="OC53" s="79"/>
      <c r="OD53" s="79"/>
      <c r="OE53" s="79"/>
      <c r="OF53" s="79"/>
      <c r="OG53" s="79"/>
      <c r="OH53" s="79"/>
      <c r="OI53" s="79"/>
      <c r="OJ53" s="79"/>
      <c r="OK53" s="79"/>
      <c r="OL53" s="79"/>
      <c r="OM53" s="79"/>
      <c r="ON53" s="79"/>
      <c r="OO53" s="79"/>
      <c r="OP53" s="79"/>
      <c r="OQ53" s="79"/>
      <c r="OR53" s="79"/>
      <c r="OS53" s="79"/>
      <c r="OT53" s="79"/>
      <c r="OU53" s="79"/>
      <c r="OV53" s="79"/>
      <c r="OW53" s="79"/>
      <c r="OX53" s="79"/>
      <c r="OY53" s="79"/>
      <c r="OZ53" s="79"/>
      <c r="PA53" s="79"/>
      <c r="PB53" s="79"/>
      <c r="PC53" s="79"/>
      <c r="PD53" s="79"/>
      <c r="PE53" s="79"/>
      <c r="PF53" s="79"/>
      <c r="PG53" s="79"/>
      <c r="PH53" s="79"/>
      <c r="PI53" s="79"/>
      <c r="PJ53" s="79"/>
      <c r="PK53" s="79"/>
      <c r="PL53" s="79"/>
      <c r="PM53" s="79"/>
      <c r="PN53" s="79"/>
      <c r="PO53" s="79"/>
      <c r="PP53" s="79"/>
      <c r="PQ53" s="79"/>
      <c r="PR53" s="79"/>
      <c r="PS53" s="79"/>
      <c r="PT53" s="79"/>
      <c r="PU53" s="79"/>
      <c r="PV53" s="79"/>
      <c r="PW53" s="79"/>
      <c r="PX53" s="79"/>
      <c r="PY53" s="79"/>
      <c r="PZ53" s="79"/>
      <c r="QA53" s="79"/>
      <c r="QB53" s="79"/>
      <c r="QC53" s="79"/>
      <c r="QD53" s="79"/>
      <c r="QE53" s="79"/>
      <c r="QF53" s="79"/>
      <c r="QG53" s="79"/>
      <c r="QH53" s="79"/>
      <c r="QI53" s="79"/>
      <c r="QJ53" s="79"/>
      <c r="QK53" s="79"/>
      <c r="QL53" s="79"/>
      <c r="QM53" s="79"/>
      <c r="QN53" s="79"/>
      <c r="QO53" s="79"/>
      <c r="QP53" s="79"/>
      <c r="QQ53" s="79"/>
      <c r="QR53" s="79"/>
      <c r="QS53" s="79"/>
      <c r="QT53" s="79"/>
      <c r="QU53" s="79"/>
      <c r="QV53" s="79"/>
      <c r="QW53" s="79"/>
      <c r="QX53" s="79"/>
      <c r="QY53" s="79"/>
      <c r="QZ53" s="79"/>
      <c r="RA53" s="79"/>
      <c r="RB53" s="79"/>
      <c r="RC53" s="79"/>
      <c r="RD53" s="79"/>
      <c r="RE53" s="79"/>
      <c r="RF53" s="79"/>
      <c r="RG53" s="79"/>
      <c r="RH53" s="79"/>
      <c r="RI53" s="79"/>
      <c r="RJ53" s="79"/>
      <c r="RK53" s="79"/>
      <c r="RL53" s="79"/>
      <c r="RM53" s="79"/>
      <c r="RN53" s="79"/>
      <c r="RO53" s="79"/>
      <c r="RP53" s="79"/>
      <c r="RQ53" s="79"/>
      <c r="RR53" s="79"/>
      <c r="RS53" s="79"/>
      <c r="RT53" s="79"/>
      <c r="RU53" s="79"/>
      <c r="RV53" s="79"/>
      <c r="RW53" s="79"/>
      <c r="RX53" s="79"/>
      <c r="RY53" s="79"/>
      <c r="RZ53" s="79"/>
      <c r="SA53" s="79"/>
      <c r="SB53" s="79"/>
      <c r="SC53" s="79"/>
      <c r="SD53" s="79"/>
      <c r="SE53" s="79"/>
      <c r="SF53" s="79"/>
      <c r="SG53" s="79"/>
      <c r="SH53" s="79"/>
      <c r="SI53" s="79"/>
      <c r="SJ53" s="79"/>
    </row>
    <row r="54" spans="2:504" x14ac:dyDescent="0.25">
      <c r="B54" s="35" t="str">
        <f>'Pay App 1'!B99</f>
        <v>08 90 00</v>
      </c>
      <c r="C54" s="27" t="str">
        <f>'Pay App 1'!C99</f>
        <v>Louvers &amp; Vents</v>
      </c>
      <c r="D54" s="82">
        <f t="shared" si="8"/>
        <v>0</v>
      </c>
      <c r="E54" s="79"/>
      <c r="F54" s="79"/>
      <c r="G54" s="79"/>
      <c r="H54" s="79"/>
      <c r="I54" s="79"/>
      <c r="J54" s="79"/>
      <c r="K54" s="79"/>
      <c r="L54" s="79"/>
      <c r="M54" s="79"/>
      <c r="N54" s="79"/>
      <c r="O54" s="79"/>
      <c r="P54" s="79"/>
      <c r="Q54" s="79"/>
      <c r="R54" s="79"/>
      <c r="S54" s="79"/>
      <c r="T54" s="79"/>
      <c r="U54" s="79"/>
      <c r="V54" s="79"/>
      <c r="W54" s="79"/>
      <c r="X54" s="79"/>
      <c r="Y54" s="79"/>
      <c r="Z54" s="79"/>
      <c r="AA54" s="79"/>
      <c r="AB54" s="79"/>
      <c r="AC54" s="79"/>
      <c r="AD54" s="79"/>
      <c r="AE54" s="79"/>
      <c r="AF54" s="79"/>
      <c r="AG54" s="79"/>
      <c r="AH54" s="79"/>
      <c r="AI54" s="79"/>
      <c r="AJ54" s="79"/>
      <c r="AK54" s="79"/>
      <c r="AL54" s="79"/>
      <c r="AM54" s="79"/>
      <c r="AN54" s="79"/>
      <c r="AO54" s="79"/>
      <c r="AP54" s="79"/>
      <c r="AQ54" s="79"/>
      <c r="AR54" s="79"/>
      <c r="AS54" s="79"/>
      <c r="AT54" s="79"/>
      <c r="AU54" s="79"/>
      <c r="AV54" s="79"/>
      <c r="AW54" s="79"/>
      <c r="AX54" s="79"/>
      <c r="AY54" s="79"/>
      <c r="AZ54" s="79"/>
      <c r="BA54" s="79"/>
      <c r="BB54" s="79"/>
      <c r="BC54" s="79"/>
      <c r="BD54" s="79"/>
      <c r="BE54" s="79"/>
      <c r="BF54" s="79"/>
      <c r="BG54" s="79"/>
      <c r="BH54" s="79"/>
      <c r="BI54" s="79"/>
      <c r="BJ54" s="79"/>
      <c r="BK54" s="79"/>
      <c r="BL54" s="79"/>
      <c r="BM54" s="79"/>
      <c r="BN54" s="79"/>
      <c r="BO54" s="79"/>
      <c r="BP54" s="79"/>
      <c r="BQ54" s="79"/>
      <c r="BR54" s="79"/>
      <c r="BS54" s="79"/>
      <c r="BT54" s="79"/>
      <c r="BU54" s="79"/>
      <c r="BV54" s="79"/>
      <c r="BW54" s="79"/>
      <c r="BX54" s="79"/>
      <c r="BY54" s="79"/>
      <c r="BZ54" s="79"/>
      <c r="CA54" s="79"/>
      <c r="CB54" s="79"/>
      <c r="CC54" s="79"/>
      <c r="CD54" s="79"/>
      <c r="CE54" s="79"/>
      <c r="CF54" s="79"/>
      <c r="CG54" s="79"/>
      <c r="CH54" s="79"/>
      <c r="CI54" s="79"/>
      <c r="CJ54" s="79"/>
      <c r="CK54" s="79"/>
      <c r="CL54" s="79"/>
      <c r="CM54" s="79"/>
      <c r="CN54" s="79"/>
      <c r="CO54" s="79"/>
      <c r="CP54" s="79"/>
      <c r="CQ54" s="79"/>
      <c r="CR54" s="79"/>
      <c r="CS54" s="79"/>
      <c r="CT54" s="79"/>
      <c r="CU54" s="79"/>
      <c r="CV54" s="79"/>
      <c r="CW54" s="79"/>
      <c r="CX54" s="79"/>
      <c r="CY54" s="79"/>
      <c r="CZ54" s="79"/>
      <c r="DA54" s="79"/>
      <c r="DB54" s="79"/>
      <c r="DC54" s="79"/>
      <c r="DD54" s="79"/>
      <c r="DE54" s="79"/>
      <c r="DF54" s="79"/>
      <c r="DG54" s="79"/>
      <c r="DH54" s="79"/>
      <c r="DI54" s="79"/>
      <c r="DJ54" s="79"/>
      <c r="DK54" s="79"/>
      <c r="DL54" s="79"/>
      <c r="DM54" s="79"/>
      <c r="DN54" s="79"/>
      <c r="DO54" s="79"/>
      <c r="DP54" s="79"/>
      <c r="DQ54" s="79"/>
      <c r="DR54" s="79"/>
      <c r="DS54" s="79"/>
      <c r="DT54" s="79"/>
      <c r="DU54" s="79"/>
      <c r="DV54" s="79"/>
      <c r="DW54" s="79"/>
      <c r="DX54" s="79"/>
      <c r="DY54" s="79"/>
      <c r="DZ54" s="79"/>
      <c r="EA54" s="79"/>
      <c r="EB54" s="79"/>
      <c r="EC54" s="79"/>
      <c r="ED54" s="79"/>
      <c r="EE54" s="79"/>
      <c r="EF54" s="79"/>
      <c r="EG54" s="79"/>
      <c r="EH54" s="79"/>
      <c r="EI54" s="79"/>
      <c r="EJ54" s="79"/>
      <c r="EK54" s="79"/>
      <c r="EL54" s="79"/>
      <c r="EM54" s="79"/>
      <c r="EN54" s="79"/>
      <c r="EO54" s="79"/>
      <c r="EP54" s="79"/>
      <c r="EQ54" s="79"/>
      <c r="ER54" s="79"/>
      <c r="ES54" s="79"/>
      <c r="ET54" s="79"/>
      <c r="EU54" s="79"/>
      <c r="EV54" s="79"/>
      <c r="EW54" s="79"/>
      <c r="EX54" s="79"/>
      <c r="EY54" s="79"/>
      <c r="EZ54" s="79"/>
      <c r="FA54" s="79"/>
      <c r="FB54" s="79"/>
      <c r="FC54" s="79"/>
      <c r="FD54" s="79"/>
      <c r="FE54" s="79"/>
      <c r="FF54" s="79"/>
      <c r="FG54" s="79"/>
      <c r="FH54" s="79"/>
      <c r="FI54" s="79"/>
      <c r="FJ54" s="79"/>
      <c r="FK54" s="79"/>
      <c r="FL54" s="79"/>
      <c r="FM54" s="79"/>
      <c r="FN54" s="79"/>
      <c r="FO54" s="79"/>
      <c r="FP54" s="79"/>
      <c r="FQ54" s="79"/>
      <c r="FR54" s="79"/>
      <c r="FS54" s="79"/>
      <c r="FT54" s="79"/>
      <c r="FU54" s="79"/>
      <c r="FV54" s="79"/>
      <c r="FW54" s="79"/>
      <c r="FX54" s="79"/>
      <c r="FY54" s="79"/>
      <c r="FZ54" s="79"/>
      <c r="GA54" s="79"/>
      <c r="GB54" s="79"/>
      <c r="GC54" s="79"/>
      <c r="GD54" s="79"/>
      <c r="GE54" s="79"/>
      <c r="GF54" s="79"/>
      <c r="GG54" s="79"/>
      <c r="GH54" s="79"/>
      <c r="GI54" s="79"/>
      <c r="GJ54" s="79"/>
      <c r="GK54" s="79"/>
      <c r="GL54" s="79"/>
      <c r="GM54" s="79"/>
      <c r="GN54" s="79"/>
      <c r="GO54" s="79"/>
      <c r="GP54" s="79"/>
      <c r="GQ54" s="79"/>
      <c r="GR54" s="79"/>
      <c r="GS54" s="79"/>
      <c r="GT54" s="79"/>
      <c r="GU54" s="79"/>
      <c r="GV54" s="79"/>
      <c r="GW54" s="79"/>
      <c r="GX54" s="79"/>
      <c r="GY54" s="79"/>
      <c r="GZ54" s="79"/>
      <c r="HA54" s="79"/>
      <c r="HB54" s="79"/>
      <c r="HC54" s="79"/>
      <c r="HD54" s="79"/>
      <c r="HE54" s="79"/>
      <c r="HF54" s="79"/>
      <c r="HG54" s="79"/>
      <c r="HH54" s="79"/>
      <c r="HI54" s="79"/>
      <c r="HJ54" s="79"/>
      <c r="HK54" s="79"/>
      <c r="HL54" s="79"/>
      <c r="HM54" s="79"/>
      <c r="HN54" s="79"/>
      <c r="HO54" s="79"/>
      <c r="HP54" s="79"/>
      <c r="HQ54" s="79"/>
      <c r="HR54" s="79"/>
      <c r="HS54" s="79"/>
      <c r="HT54" s="79"/>
      <c r="HU54" s="79"/>
      <c r="HV54" s="79"/>
      <c r="HW54" s="79"/>
      <c r="HX54" s="79"/>
      <c r="HY54" s="79"/>
      <c r="HZ54" s="79"/>
      <c r="IA54" s="79"/>
      <c r="IB54" s="79"/>
      <c r="IC54" s="79"/>
      <c r="ID54" s="79"/>
      <c r="IE54" s="79"/>
      <c r="IF54" s="79"/>
      <c r="IG54" s="79"/>
      <c r="IH54" s="79"/>
      <c r="II54" s="79"/>
      <c r="IJ54" s="79"/>
      <c r="IK54" s="79"/>
      <c r="IL54" s="79"/>
      <c r="IM54" s="79"/>
      <c r="IN54" s="79"/>
      <c r="IO54" s="79"/>
      <c r="IP54" s="79"/>
      <c r="IQ54" s="79"/>
      <c r="IR54" s="79"/>
      <c r="IS54" s="79"/>
      <c r="IT54" s="79"/>
      <c r="IU54" s="79"/>
      <c r="IV54" s="79"/>
      <c r="IW54" s="79"/>
      <c r="IX54" s="79"/>
      <c r="IY54" s="79"/>
      <c r="IZ54" s="79"/>
      <c r="JA54" s="79"/>
      <c r="JB54" s="79"/>
      <c r="JC54" s="79"/>
      <c r="JD54" s="79"/>
      <c r="JE54" s="79"/>
      <c r="JF54" s="79"/>
      <c r="JG54" s="79"/>
      <c r="JH54" s="79"/>
      <c r="JI54" s="79"/>
      <c r="JJ54" s="79"/>
      <c r="JK54" s="79"/>
      <c r="JL54" s="79"/>
      <c r="JM54" s="79"/>
      <c r="JN54" s="79"/>
      <c r="JO54" s="79"/>
      <c r="JP54" s="79"/>
      <c r="JQ54" s="79"/>
      <c r="JR54" s="79"/>
      <c r="JS54" s="79"/>
      <c r="JT54" s="79"/>
      <c r="JU54" s="79"/>
      <c r="JV54" s="79"/>
      <c r="JW54" s="79"/>
      <c r="JX54" s="79"/>
      <c r="JY54" s="79"/>
      <c r="JZ54" s="79"/>
      <c r="KA54" s="79"/>
      <c r="KB54" s="79"/>
      <c r="KC54" s="79"/>
      <c r="KD54" s="79"/>
      <c r="KE54" s="79"/>
      <c r="KF54" s="79"/>
      <c r="KG54" s="79"/>
      <c r="KH54" s="79"/>
      <c r="KI54" s="79"/>
      <c r="KJ54" s="79"/>
      <c r="KK54" s="79"/>
      <c r="KL54" s="79"/>
      <c r="KM54" s="79"/>
      <c r="KN54" s="79"/>
      <c r="KO54" s="79"/>
      <c r="KP54" s="79"/>
      <c r="KQ54" s="79"/>
      <c r="KR54" s="79"/>
      <c r="KS54" s="79"/>
      <c r="KT54" s="79"/>
      <c r="KU54" s="79"/>
      <c r="KV54" s="79"/>
      <c r="KW54" s="79"/>
      <c r="KX54" s="79"/>
      <c r="KY54" s="79"/>
      <c r="KZ54" s="79"/>
      <c r="LA54" s="79"/>
      <c r="LB54" s="79"/>
      <c r="LC54" s="79"/>
      <c r="LD54" s="79"/>
      <c r="LE54" s="79"/>
      <c r="LF54" s="79"/>
      <c r="LG54" s="79"/>
      <c r="LH54" s="79"/>
      <c r="LI54" s="79"/>
      <c r="LJ54" s="79"/>
      <c r="LK54" s="79"/>
      <c r="LL54" s="79"/>
      <c r="LM54" s="79"/>
      <c r="LN54" s="79"/>
      <c r="LO54" s="79"/>
      <c r="LP54" s="79"/>
      <c r="LQ54" s="79"/>
      <c r="LR54" s="79"/>
      <c r="LS54" s="79"/>
      <c r="LT54" s="79"/>
      <c r="LU54" s="79"/>
      <c r="LV54" s="79"/>
      <c r="LW54" s="79"/>
      <c r="LX54" s="79"/>
      <c r="LY54" s="79"/>
      <c r="LZ54" s="79"/>
      <c r="MA54" s="79"/>
      <c r="MB54" s="79"/>
      <c r="MC54" s="79"/>
      <c r="MD54" s="79"/>
      <c r="ME54" s="79"/>
      <c r="MF54" s="79"/>
      <c r="MG54" s="79"/>
      <c r="MH54" s="79"/>
      <c r="MI54" s="79"/>
      <c r="MJ54" s="79"/>
      <c r="MK54" s="79"/>
      <c r="ML54" s="79"/>
      <c r="MM54" s="79"/>
      <c r="MN54" s="79"/>
      <c r="MO54" s="79"/>
      <c r="MP54" s="79"/>
      <c r="MQ54" s="79"/>
      <c r="MR54" s="79"/>
      <c r="MS54" s="79"/>
      <c r="MT54" s="79"/>
      <c r="MU54" s="79"/>
      <c r="MV54" s="79"/>
      <c r="MW54" s="79"/>
      <c r="MX54" s="79"/>
      <c r="MY54" s="79"/>
      <c r="MZ54" s="79"/>
      <c r="NA54" s="79"/>
      <c r="NB54" s="79"/>
      <c r="NC54" s="79"/>
      <c r="ND54" s="79"/>
      <c r="NE54" s="79"/>
      <c r="NF54" s="79"/>
      <c r="NG54" s="79"/>
      <c r="NH54" s="79"/>
      <c r="NI54" s="79"/>
      <c r="NJ54" s="79"/>
      <c r="NK54" s="79"/>
      <c r="NL54" s="79"/>
      <c r="NM54" s="79"/>
      <c r="NN54" s="79"/>
      <c r="NO54" s="79"/>
      <c r="NP54" s="79"/>
      <c r="NQ54" s="79"/>
      <c r="NR54" s="79"/>
      <c r="NS54" s="79"/>
      <c r="NT54" s="79"/>
      <c r="NU54" s="79"/>
      <c r="NV54" s="79"/>
      <c r="NW54" s="79"/>
      <c r="NX54" s="79"/>
      <c r="NY54" s="79"/>
      <c r="NZ54" s="79"/>
      <c r="OA54" s="79"/>
      <c r="OB54" s="79"/>
      <c r="OC54" s="79"/>
      <c r="OD54" s="79"/>
      <c r="OE54" s="79"/>
      <c r="OF54" s="79"/>
      <c r="OG54" s="79"/>
      <c r="OH54" s="79"/>
      <c r="OI54" s="79"/>
      <c r="OJ54" s="79"/>
      <c r="OK54" s="79"/>
      <c r="OL54" s="79"/>
      <c r="OM54" s="79"/>
      <c r="ON54" s="79"/>
      <c r="OO54" s="79"/>
      <c r="OP54" s="79"/>
      <c r="OQ54" s="79"/>
      <c r="OR54" s="79"/>
      <c r="OS54" s="79"/>
      <c r="OT54" s="79"/>
      <c r="OU54" s="79"/>
      <c r="OV54" s="79"/>
      <c r="OW54" s="79"/>
      <c r="OX54" s="79"/>
      <c r="OY54" s="79"/>
      <c r="OZ54" s="79"/>
      <c r="PA54" s="79"/>
      <c r="PB54" s="79"/>
      <c r="PC54" s="79"/>
      <c r="PD54" s="79"/>
      <c r="PE54" s="79"/>
      <c r="PF54" s="79"/>
      <c r="PG54" s="79"/>
      <c r="PH54" s="79"/>
      <c r="PI54" s="79"/>
      <c r="PJ54" s="79"/>
      <c r="PK54" s="79"/>
      <c r="PL54" s="79"/>
      <c r="PM54" s="79"/>
      <c r="PN54" s="79"/>
      <c r="PO54" s="79"/>
      <c r="PP54" s="79"/>
      <c r="PQ54" s="79"/>
      <c r="PR54" s="79"/>
      <c r="PS54" s="79"/>
      <c r="PT54" s="79"/>
      <c r="PU54" s="79"/>
      <c r="PV54" s="79"/>
      <c r="PW54" s="79"/>
      <c r="PX54" s="79"/>
      <c r="PY54" s="79"/>
      <c r="PZ54" s="79"/>
      <c r="QA54" s="79"/>
      <c r="QB54" s="79"/>
      <c r="QC54" s="79"/>
      <c r="QD54" s="79"/>
      <c r="QE54" s="79"/>
      <c r="QF54" s="79"/>
      <c r="QG54" s="79"/>
      <c r="QH54" s="79"/>
      <c r="QI54" s="79"/>
      <c r="QJ54" s="79"/>
      <c r="QK54" s="79"/>
      <c r="QL54" s="79"/>
      <c r="QM54" s="79"/>
      <c r="QN54" s="79"/>
      <c r="QO54" s="79"/>
      <c r="QP54" s="79"/>
      <c r="QQ54" s="79"/>
      <c r="QR54" s="79"/>
      <c r="QS54" s="79"/>
      <c r="QT54" s="79"/>
      <c r="QU54" s="79"/>
      <c r="QV54" s="79"/>
      <c r="QW54" s="79"/>
      <c r="QX54" s="79"/>
      <c r="QY54" s="79"/>
      <c r="QZ54" s="79"/>
      <c r="RA54" s="79"/>
      <c r="RB54" s="79"/>
      <c r="RC54" s="79"/>
      <c r="RD54" s="79"/>
      <c r="RE54" s="79"/>
      <c r="RF54" s="79"/>
      <c r="RG54" s="79"/>
      <c r="RH54" s="79"/>
      <c r="RI54" s="79"/>
      <c r="RJ54" s="79"/>
      <c r="RK54" s="79"/>
      <c r="RL54" s="79"/>
      <c r="RM54" s="79"/>
      <c r="RN54" s="79"/>
      <c r="RO54" s="79"/>
      <c r="RP54" s="79"/>
      <c r="RQ54" s="79"/>
      <c r="RR54" s="79"/>
      <c r="RS54" s="79"/>
      <c r="RT54" s="79"/>
      <c r="RU54" s="79"/>
      <c r="RV54" s="79"/>
      <c r="RW54" s="79"/>
      <c r="RX54" s="79"/>
      <c r="RY54" s="79"/>
      <c r="RZ54" s="79"/>
      <c r="SA54" s="79"/>
      <c r="SB54" s="79"/>
      <c r="SC54" s="79"/>
      <c r="SD54" s="79"/>
      <c r="SE54" s="79"/>
      <c r="SF54" s="79"/>
      <c r="SG54" s="79"/>
      <c r="SH54" s="79"/>
      <c r="SI54" s="79"/>
      <c r="SJ54" s="79"/>
    </row>
    <row r="55" spans="2:504" x14ac:dyDescent="0.25">
      <c r="B55" s="196" t="str">
        <f>'Pay App 1'!B100</f>
        <v>09 20 00</v>
      </c>
      <c r="C55" s="197" t="str">
        <f>'Pay App 1'!C100</f>
        <v>Gypsum Board Systems</v>
      </c>
      <c r="D55" s="82">
        <f t="shared" si="8"/>
        <v>0</v>
      </c>
      <c r="E55" s="79"/>
      <c r="F55" s="79"/>
      <c r="G55" s="79"/>
      <c r="H55" s="79"/>
      <c r="I55" s="79"/>
      <c r="J55" s="79"/>
      <c r="K55" s="79"/>
      <c r="L55" s="79"/>
      <c r="M55" s="79"/>
      <c r="N55" s="79"/>
      <c r="O55" s="79"/>
      <c r="P55" s="79"/>
      <c r="Q55" s="79"/>
      <c r="R55" s="79"/>
      <c r="S55" s="79"/>
      <c r="T55" s="79"/>
      <c r="U55" s="79"/>
      <c r="V55" s="79"/>
      <c r="W55" s="79"/>
      <c r="X55" s="79"/>
      <c r="Y55" s="79"/>
      <c r="Z55" s="79"/>
      <c r="AA55" s="79"/>
      <c r="AB55" s="79"/>
      <c r="AC55" s="79"/>
      <c r="AD55" s="79"/>
      <c r="AE55" s="79"/>
      <c r="AF55" s="79"/>
      <c r="AG55" s="79"/>
      <c r="AH55" s="79"/>
      <c r="AI55" s="79"/>
      <c r="AJ55" s="79"/>
      <c r="AK55" s="79"/>
      <c r="AL55" s="79"/>
      <c r="AM55" s="79"/>
      <c r="AN55" s="79"/>
      <c r="AO55" s="79"/>
      <c r="AP55" s="79"/>
      <c r="AQ55" s="79"/>
      <c r="AR55" s="79"/>
      <c r="AS55" s="79"/>
      <c r="AT55" s="79"/>
      <c r="AU55" s="79"/>
      <c r="AV55" s="79"/>
      <c r="AW55" s="79"/>
      <c r="AX55" s="79"/>
      <c r="AY55" s="79"/>
      <c r="AZ55" s="79"/>
      <c r="BA55" s="79"/>
      <c r="BB55" s="79"/>
      <c r="BC55" s="79"/>
      <c r="BD55" s="79"/>
      <c r="BE55" s="79"/>
      <c r="BF55" s="79"/>
      <c r="BG55" s="79"/>
      <c r="BH55" s="79"/>
      <c r="BI55" s="79"/>
      <c r="BJ55" s="79"/>
      <c r="BK55" s="79"/>
      <c r="BL55" s="79"/>
      <c r="BM55" s="79"/>
      <c r="BN55" s="79"/>
      <c r="BO55" s="79"/>
      <c r="BP55" s="79"/>
      <c r="BQ55" s="79"/>
      <c r="BR55" s="79"/>
      <c r="BS55" s="79"/>
      <c r="BT55" s="79"/>
      <c r="BU55" s="79"/>
      <c r="BV55" s="79"/>
      <c r="BW55" s="79"/>
      <c r="BX55" s="79"/>
      <c r="BY55" s="79"/>
      <c r="BZ55" s="79"/>
      <c r="CA55" s="79"/>
      <c r="CB55" s="79"/>
      <c r="CC55" s="79"/>
      <c r="CD55" s="79"/>
      <c r="CE55" s="79"/>
      <c r="CF55" s="79"/>
      <c r="CG55" s="79"/>
      <c r="CH55" s="79"/>
      <c r="CI55" s="79"/>
      <c r="CJ55" s="79"/>
      <c r="CK55" s="79"/>
      <c r="CL55" s="79"/>
      <c r="CM55" s="79"/>
      <c r="CN55" s="79"/>
      <c r="CO55" s="79"/>
      <c r="CP55" s="79"/>
      <c r="CQ55" s="79"/>
      <c r="CR55" s="79"/>
      <c r="CS55" s="79"/>
      <c r="CT55" s="79"/>
      <c r="CU55" s="79"/>
      <c r="CV55" s="79"/>
      <c r="CW55" s="79"/>
      <c r="CX55" s="79"/>
      <c r="CY55" s="79"/>
      <c r="CZ55" s="79"/>
      <c r="DA55" s="79"/>
      <c r="DB55" s="79"/>
      <c r="DC55" s="79"/>
      <c r="DD55" s="79"/>
      <c r="DE55" s="79"/>
      <c r="DF55" s="79"/>
      <c r="DG55" s="79"/>
      <c r="DH55" s="79"/>
      <c r="DI55" s="79"/>
      <c r="DJ55" s="79"/>
      <c r="DK55" s="79"/>
      <c r="DL55" s="79"/>
      <c r="DM55" s="79"/>
      <c r="DN55" s="79"/>
      <c r="DO55" s="79"/>
      <c r="DP55" s="79"/>
      <c r="DQ55" s="79"/>
      <c r="DR55" s="79"/>
      <c r="DS55" s="79"/>
      <c r="DT55" s="79"/>
      <c r="DU55" s="79"/>
      <c r="DV55" s="79"/>
      <c r="DW55" s="79"/>
      <c r="DX55" s="79"/>
      <c r="DY55" s="79"/>
      <c r="DZ55" s="79"/>
      <c r="EA55" s="79"/>
      <c r="EB55" s="79"/>
      <c r="EC55" s="79"/>
      <c r="ED55" s="79"/>
      <c r="EE55" s="79"/>
      <c r="EF55" s="79"/>
      <c r="EG55" s="79"/>
      <c r="EH55" s="79"/>
      <c r="EI55" s="79"/>
      <c r="EJ55" s="79"/>
      <c r="EK55" s="79"/>
      <c r="EL55" s="79"/>
      <c r="EM55" s="79"/>
      <c r="EN55" s="79"/>
      <c r="EO55" s="79"/>
      <c r="EP55" s="79"/>
      <c r="EQ55" s="79"/>
      <c r="ER55" s="79"/>
      <c r="ES55" s="79"/>
      <c r="ET55" s="79"/>
      <c r="EU55" s="79"/>
      <c r="EV55" s="79"/>
      <c r="EW55" s="79"/>
      <c r="EX55" s="79"/>
      <c r="EY55" s="79"/>
      <c r="EZ55" s="79"/>
      <c r="FA55" s="79"/>
      <c r="FB55" s="79"/>
      <c r="FC55" s="79"/>
      <c r="FD55" s="79"/>
      <c r="FE55" s="79"/>
      <c r="FF55" s="79"/>
      <c r="FG55" s="79"/>
      <c r="FH55" s="79"/>
      <c r="FI55" s="79"/>
      <c r="FJ55" s="79"/>
      <c r="FK55" s="79"/>
      <c r="FL55" s="79"/>
      <c r="FM55" s="79"/>
      <c r="FN55" s="79"/>
      <c r="FO55" s="79"/>
      <c r="FP55" s="79"/>
      <c r="FQ55" s="79"/>
      <c r="FR55" s="79"/>
      <c r="FS55" s="79"/>
      <c r="FT55" s="79"/>
      <c r="FU55" s="79"/>
      <c r="FV55" s="79"/>
      <c r="FW55" s="79"/>
      <c r="FX55" s="79"/>
      <c r="FY55" s="79"/>
      <c r="FZ55" s="79"/>
      <c r="GA55" s="79"/>
      <c r="GB55" s="79"/>
      <c r="GC55" s="79"/>
      <c r="GD55" s="79"/>
      <c r="GE55" s="79"/>
      <c r="GF55" s="79"/>
      <c r="GG55" s="79"/>
      <c r="GH55" s="79"/>
      <c r="GI55" s="79"/>
      <c r="GJ55" s="79"/>
      <c r="GK55" s="79"/>
      <c r="GL55" s="79"/>
      <c r="GM55" s="79"/>
      <c r="GN55" s="79"/>
      <c r="GO55" s="79"/>
      <c r="GP55" s="79"/>
      <c r="GQ55" s="79"/>
      <c r="GR55" s="79"/>
      <c r="GS55" s="79"/>
      <c r="GT55" s="79"/>
      <c r="GU55" s="79"/>
      <c r="GV55" s="79"/>
      <c r="GW55" s="79"/>
      <c r="GX55" s="79"/>
      <c r="GY55" s="79"/>
      <c r="GZ55" s="79"/>
      <c r="HA55" s="79"/>
      <c r="HB55" s="79"/>
      <c r="HC55" s="79"/>
      <c r="HD55" s="79"/>
      <c r="HE55" s="79"/>
      <c r="HF55" s="79"/>
      <c r="HG55" s="79"/>
      <c r="HH55" s="79"/>
      <c r="HI55" s="79"/>
      <c r="HJ55" s="79"/>
      <c r="HK55" s="79"/>
      <c r="HL55" s="79"/>
      <c r="HM55" s="79"/>
      <c r="HN55" s="79"/>
      <c r="HO55" s="79"/>
      <c r="HP55" s="79"/>
      <c r="HQ55" s="79"/>
      <c r="HR55" s="79"/>
      <c r="HS55" s="79"/>
      <c r="HT55" s="79"/>
      <c r="HU55" s="79"/>
      <c r="HV55" s="79"/>
      <c r="HW55" s="79"/>
      <c r="HX55" s="79"/>
      <c r="HY55" s="79"/>
      <c r="HZ55" s="79"/>
      <c r="IA55" s="79"/>
      <c r="IB55" s="79"/>
      <c r="IC55" s="79"/>
      <c r="ID55" s="79"/>
      <c r="IE55" s="79"/>
      <c r="IF55" s="79"/>
      <c r="IG55" s="79"/>
      <c r="IH55" s="79"/>
      <c r="II55" s="79"/>
      <c r="IJ55" s="79"/>
      <c r="IK55" s="79"/>
      <c r="IL55" s="79"/>
      <c r="IM55" s="79"/>
      <c r="IN55" s="79"/>
      <c r="IO55" s="79"/>
      <c r="IP55" s="79"/>
      <c r="IQ55" s="79"/>
      <c r="IR55" s="79"/>
      <c r="IS55" s="79"/>
      <c r="IT55" s="79"/>
      <c r="IU55" s="79"/>
      <c r="IV55" s="79"/>
      <c r="IW55" s="79"/>
      <c r="IX55" s="79"/>
      <c r="IY55" s="79"/>
      <c r="IZ55" s="79"/>
      <c r="JA55" s="79"/>
      <c r="JB55" s="79"/>
      <c r="JC55" s="79"/>
      <c r="JD55" s="79"/>
      <c r="JE55" s="79"/>
      <c r="JF55" s="79"/>
      <c r="JG55" s="79"/>
      <c r="JH55" s="79"/>
      <c r="JI55" s="79"/>
      <c r="JJ55" s="79"/>
      <c r="JK55" s="79"/>
      <c r="JL55" s="79"/>
      <c r="JM55" s="79"/>
      <c r="JN55" s="79"/>
      <c r="JO55" s="79"/>
      <c r="JP55" s="79"/>
      <c r="JQ55" s="79"/>
      <c r="JR55" s="79"/>
      <c r="JS55" s="79"/>
      <c r="JT55" s="79"/>
      <c r="JU55" s="79"/>
      <c r="JV55" s="79"/>
      <c r="JW55" s="79"/>
      <c r="JX55" s="79"/>
      <c r="JY55" s="79"/>
      <c r="JZ55" s="79"/>
      <c r="KA55" s="79"/>
      <c r="KB55" s="79"/>
      <c r="KC55" s="79"/>
      <c r="KD55" s="79"/>
      <c r="KE55" s="79"/>
      <c r="KF55" s="79"/>
      <c r="KG55" s="79"/>
      <c r="KH55" s="79"/>
      <c r="KI55" s="79"/>
      <c r="KJ55" s="79"/>
      <c r="KK55" s="79"/>
      <c r="KL55" s="79"/>
      <c r="KM55" s="79"/>
      <c r="KN55" s="79"/>
      <c r="KO55" s="79"/>
      <c r="KP55" s="79"/>
      <c r="KQ55" s="79"/>
      <c r="KR55" s="79"/>
      <c r="KS55" s="79"/>
      <c r="KT55" s="79"/>
      <c r="KU55" s="79"/>
      <c r="KV55" s="79"/>
      <c r="KW55" s="79"/>
      <c r="KX55" s="79"/>
      <c r="KY55" s="79"/>
      <c r="KZ55" s="79"/>
      <c r="LA55" s="79"/>
      <c r="LB55" s="79"/>
      <c r="LC55" s="79"/>
      <c r="LD55" s="79"/>
      <c r="LE55" s="79"/>
      <c r="LF55" s="79"/>
      <c r="LG55" s="79"/>
      <c r="LH55" s="79"/>
      <c r="LI55" s="79"/>
      <c r="LJ55" s="79"/>
      <c r="LK55" s="79"/>
      <c r="LL55" s="79"/>
      <c r="LM55" s="79"/>
      <c r="LN55" s="79"/>
      <c r="LO55" s="79"/>
      <c r="LP55" s="79"/>
      <c r="LQ55" s="79"/>
      <c r="LR55" s="79"/>
      <c r="LS55" s="79"/>
      <c r="LT55" s="79"/>
      <c r="LU55" s="79"/>
      <c r="LV55" s="79"/>
      <c r="LW55" s="79"/>
      <c r="LX55" s="79"/>
      <c r="LY55" s="79"/>
      <c r="LZ55" s="79"/>
      <c r="MA55" s="79"/>
      <c r="MB55" s="79"/>
      <c r="MC55" s="79"/>
      <c r="MD55" s="79"/>
      <c r="ME55" s="79"/>
      <c r="MF55" s="79"/>
      <c r="MG55" s="79"/>
      <c r="MH55" s="79"/>
      <c r="MI55" s="79"/>
      <c r="MJ55" s="79"/>
      <c r="MK55" s="79"/>
      <c r="ML55" s="79"/>
      <c r="MM55" s="79"/>
      <c r="MN55" s="79"/>
      <c r="MO55" s="79"/>
      <c r="MP55" s="79"/>
      <c r="MQ55" s="79"/>
      <c r="MR55" s="79"/>
      <c r="MS55" s="79"/>
      <c r="MT55" s="79"/>
      <c r="MU55" s="79"/>
      <c r="MV55" s="79"/>
      <c r="MW55" s="79"/>
      <c r="MX55" s="79"/>
      <c r="MY55" s="79"/>
      <c r="MZ55" s="79"/>
      <c r="NA55" s="79"/>
      <c r="NB55" s="79"/>
      <c r="NC55" s="79"/>
      <c r="ND55" s="79"/>
      <c r="NE55" s="79"/>
      <c r="NF55" s="79"/>
      <c r="NG55" s="79"/>
      <c r="NH55" s="79"/>
      <c r="NI55" s="79"/>
      <c r="NJ55" s="79"/>
      <c r="NK55" s="79"/>
      <c r="NL55" s="79"/>
      <c r="NM55" s="79"/>
      <c r="NN55" s="79"/>
      <c r="NO55" s="79"/>
      <c r="NP55" s="79"/>
      <c r="NQ55" s="79"/>
      <c r="NR55" s="79"/>
      <c r="NS55" s="79"/>
      <c r="NT55" s="79"/>
      <c r="NU55" s="79"/>
      <c r="NV55" s="79"/>
      <c r="NW55" s="79"/>
      <c r="NX55" s="79"/>
      <c r="NY55" s="79"/>
      <c r="NZ55" s="79"/>
      <c r="OA55" s="79"/>
      <c r="OB55" s="79"/>
      <c r="OC55" s="79"/>
      <c r="OD55" s="79"/>
      <c r="OE55" s="79"/>
      <c r="OF55" s="79"/>
      <c r="OG55" s="79"/>
      <c r="OH55" s="79"/>
      <c r="OI55" s="79"/>
      <c r="OJ55" s="79"/>
      <c r="OK55" s="79"/>
      <c r="OL55" s="79"/>
      <c r="OM55" s="79"/>
      <c r="ON55" s="79"/>
      <c r="OO55" s="79"/>
      <c r="OP55" s="79"/>
      <c r="OQ55" s="79"/>
      <c r="OR55" s="79"/>
      <c r="OS55" s="79"/>
      <c r="OT55" s="79"/>
      <c r="OU55" s="79"/>
      <c r="OV55" s="79"/>
      <c r="OW55" s="79"/>
      <c r="OX55" s="79"/>
      <c r="OY55" s="79"/>
      <c r="OZ55" s="79"/>
      <c r="PA55" s="79"/>
      <c r="PB55" s="79"/>
      <c r="PC55" s="79"/>
      <c r="PD55" s="79"/>
      <c r="PE55" s="79"/>
      <c r="PF55" s="79"/>
      <c r="PG55" s="79"/>
      <c r="PH55" s="79"/>
      <c r="PI55" s="79"/>
      <c r="PJ55" s="79"/>
      <c r="PK55" s="79"/>
      <c r="PL55" s="79"/>
      <c r="PM55" s="79"/>
      <c r="PN55" s="79"/>
      <c r="PO55" s="79"/>
      <c r="PP55" s="79"/>
      <c r="PQ55" s="79"/>
      <c r="PR55" s="79"/>
      <c r="PS55" s="79"/>
      <c r="PT55" s="79"/>
      <c r="PU55" s="79"/>
      <c r="PV55" s="79"/>
      <c r="PW55" s="79"/>
      <c r="PX55" s="79"/>
      <c r="PY55" s="79"/>
      <c r="PZ55" s="79"/>
      <c r="QA55" s="79"/>
      <c r="QB55" s="79"/>
      <c r="QC55" s="79"/>
      <c r="QD55" s="79"/>
      <c r="QE55" s="79"/>
      <c r="QF55" s="79"/>
      <c r="QG55" s="79"/>
      <c r="QH55" s="79"/>
      <c r="QI55" s="79"/>
      <c r="QJ55" s="79"/>
      <c r="QK55" s="79"/>
      <c r="QL55" s="79"/>
      <c r="QM55" s="79"/>
      <c r="QN55" s="79"/>
      <c r="QO55" s="79"/>
      <c r="QP55" s="79"/>
      <c r="QQ55" s="79"/>
      <c r="QR55" s="79"/>
      <c r="QS55" s="79"/>
      <c r="QT55" s="79"/>
      <c r="QU55" s="79"/>
      <c r="QV55" s="79"/>
      <c r="QW55" s="79"/>
      <c r="QX55" s="79"/>
      <c r="QY55" s="79"/>
      <c r="QZ55" s="79"/>
      <c r="RA55" s="79"/>
      <c r="RB55" s="79"/>
      <c r="RC55" s="79"/>
      <c r="RD55" s="79"/>
      <c r="RE55" s="79"/>
      <c r="RF55" s="79"/>
      <c r="RG55" s="79"/>
      <c r="RH55" s="79"/>
      <c r="RI55" s="79"/>
      <c r="RJ55" s="79"/>
      <c r="RK55" s="79"/>
      <c r="RL55" s="79"/>
      <c r="RM55" s="79"/>
      <c r="RN55" s="79"/>
      <c r="RO55" s="79"/>
      <c r="RP55" s="79"/>
      <c r="RQ55" s="79"/>
      <c r="RR55" s="79"/>
      <c r="RS55" s="79"/>
      <c r="RT55" s="79"/>
      <c r="RU55" s="79"/>
      <c r="RV55" s="79"/>
      <c r="RW55" s="79"/>
      <c r="RX55" s="79"/>
      <c r="RY55" s="79"/>
      <c r="RZ55" s="79"/>
      <c r="SA55" s="79"/>
      <c r="SB55" s="79"/>
      <c r="SC55" s="79"/>
      <c r="SD55" s="79"/>
      <c r="SE55" s="79"/>
      <c r="SF55" s="79"/>
      <c r="SG55" s="79"/>
      <c r="SH55" s="79"/>
      <c r="SI55" s="79"/>
      <c r="SJ55" s="79"/>
    </row>
    <row r="56" spans="2:504" x14ac:dyDescent="0.25">
      <c r="B56" s="36" t="str">
        <f>'Pay App 1'!B106</f>
        <v>09 30 00</v>
      </c>
      <c r="C56" s="37" t="str">
        <f>'Pay App 1'!C106</f>
        <v>Ceramic Tile</v>
      </c>
      <c r="D56" s="82">
        <f t="shared" si="8"/>
        <v>0</v>
      </c>
      <c r="E56" s="80"/>
      <c r="F56" s="80"/>
      <c r="G56" s="80"/>
      <c r="H56" s="80"/>
      <c r="I56" s="80"/>
      <c r="J56" s="80"/>
      <c r="K56" s="80"/>
      <c r="L56" s="80"/>
      <c r="M56" s="80"/>
      <c r="N56" s="80"/>
      <c r="O56" s="80"/>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c r="BO56" s="80"/>
      <c r="BP56" s="80"/>
      <c r="BQ56" s="80"/>
      <c r="BR56" s="80"/>
      <c r="BS56" s="80"/>
      <c r="BT56" s="80"/>
      <c r="BU56" s="80"/>
      <c r="BV56" s="80"/>
      <c r="BW56" s="80"/>
      <c r="BX56" s="80"/>
      <c r="BY56" s="80"/>
      <c r="BZ56" s="80"/>
      <c r="CA56" s="80"/>
      <c r="CB56" s="80"/>
      <c r="CC56" s="80"/>
      <c r="CD56" s="80"/>
      <c r="CE56" s="80"/>
      <c r="CF56" s="80"/>
      <c r="CG56" s="80"/>
      <c r="CH56" s="80"/>
      <c r="CI56" s="80"/>
      <c r="CJ56" s="80"/>
      <c r="CK56" s="80"/>
      <c r="CL56" s="80"/>
      <c r="CM56" s="80"/>
      <c r="CN56" s="80"/>
      <c r="CO56" s="80"/>
      <c r="CP56" s="80"/>
      <c r="CQ56" s="80"/>
      <c r="CR56" s="80"/>
      <c r="CS56" s="80"/>
      <c r="CT56" s="80"/>
      <c r="CU56" s="80"/>
      <c r="CV56" s="80"/>
      <c r="CW56" s="80"/>
      <c r="CX56" s="80"/>
      <c r="CY56" s="80"/>
      <c r="CZ56" s="80"/>
      <c r="DA56" s="80"/>
      <c r="DB56" s="80"/>
      <c r="DC56" s="80"/>
      <c r="DD56" s="80"/>
      <c r="DE56" s="80"/>
      <c r="DF56" s="80"/>
      <c r="DG56" s="80"/>
      <c r="DH56" s="80"/>
      <c r="DI56" s="80"/>
      <c r="DJ56" s="80"/>
      <c r="DK56" s="80"/>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80"/>
      <c r="GA56" s="80"/>
      <c r="GB56" s="80"/>
      <c r="GC56" s="80"/>
      <c r="GD56" s="80"/>
      <c r="GE56" s="80"/>
      <c r="GF56" s="80"/>
      <c r="GG56" s="80"/>
      <c r="GH56" s="80"/>
      <c r="GI56" s="80"/>
      <c r="GJ56" s="80"/>
      <c r="GK56" s="80"/>
      <c r="GL56" s="80"/>
      <c r="GM56" s="80"/>
      <c r="GN56" s="80"/>
      <c r="GO56" s="80"/>
      <c r="GP56" s="80"/>
      <c r="GQ56" s="80"/>
      <c r="GR56" s="80"/>
      <c r="GS56" s="80"/>
      <c r="GT56" s="80"/>
      <c r="GU56" s="80"/>
      <c r="GV56" s="80"/>
      <c r="GW56" s="80"/>
      <c r="GX56" s="80"/>
      <c r="GY56" s="80"/>
      <c r="GZ56" s="80"/>
      <c r="HA56" s="80"/>
      <c r="HB56" s="80"/>
      <c r="HC56" s="80"/>
      <c r="HD56" s="80"/>
      <c r="HE56" s="80"/>
      <c r="HF56" s="80"/>
      <c r="HG56" s="80"/>
      <c r="HH56" s="80"/>
      <c r="HI56" s="80"/>
      <c r="HJ56" s="80"/>
      <c r="HK56" s="80"/>
      <c r="HL56" s="80"/>
      <c r="HM56" s="80"/>
      <c r="HN56" s="80"/>
      <c r="HO56" s="80"/>
      <c r="HP56" s="80"/>
      <c r="HQ56" s="80"/>
      <c r="HR56" s="80"/>
      <c r="HS56" s="80"/>
      <c r="HT56" s="80"/>
      <c r="HU56" s="80"/>
      <c r="HV56" s="80"/>
      <c r="HW56" s="80"/>
      <c r="HX56" s="80"/>
      <c r="HY56" s="80"/>
      <c r="HZ56" s="80"/>
      <c r="IA56" s="80"/>
      <c r="IB56" s="80"/>
      <c r="IC56" s="80"/>
      <c r="ID56" s="80"/>
      <c r="IE56" s="80"/>
      <c r="IF56" s="80"/>
      <c r="IG56" s="80"/>
      <c r="IH56" s="80"/>
      <c r="II56" s="80"/>
      <c r="IJ56" s="80"/>
      <c r="IK56" s="80"/>
      <c r="IL56" s="80"/>
      <c r="IM56" s="80"/>
      <c r="IN56" s="80"/>
      <c r="IO56" s="80"/>
      <c r="IP56" s="80"/>
      <c r="IQ56" s="80"/>
      <c r="IR56" s="80"/>
      <c r="IS56" s="80"/>
      <c r="IT56" s="80"/>
      <c r="IU56" s="80"/>
      <c r="IV56" s="80"/>
      <c r="IW56" s="80"/>
      <c r="IX56" s="80"/>
      <c r="IY56" s="80"/>
      <c r="IZ56" s="80"/>
      <c r="JA56" s="80"/>
      <c r="JB56" s="80"/>
      <c r="JC56" s="80"/>
      <c r="JD56" s="80"/>
      <c r="JE56" s="80"/>
      <c r="JF56" s="80"/>
      <c r="JG56" s="80"/>
      <c r="JH56" s="80"/>
      <c r="JI56" s="80"/>
      <c r="JJ56" s="80"/>
      <c r="JK56" s="80"/>
      <c r="JL56" s="80"/>
      <c r="JM56" s="80"/>
      <c r="JN56" s="80"/>
      <c r="JO56" s="80"/>
      <c r="JP56" s="80"/>
      <c r="JQ56" s="80"/>
      <c r="JR56" s="80"/>
      <c r="JS56" s="80"/>
      <c r="JT56" s="80"/>
      <c r="JU56" s="80"/>
      <c r="JV56" s="80"/>
      <c r="JW56" s="80"/>
      <c r="JX56" s="80"/>
      <c r="JY56" s="80"/>
      <c r="JZ56" s="80"/>
      <c r="KA56" s="80"/>
      <c r="KB56" s="80"/>
      <c r="KC56" s="80"/>
      <c r="KD56" s="80"/>
      <c r="KE56" s="80"/>
      <c r="KF56" s="80"/>
      <c r="KG56" s="80"/>
      <c r="KH56" s="80"/>
      <c r="KI56" s="80"/>
      <c r="KJ56" s="80"/>
      <c r="KK56" s="80"/>
      <c r="KL56" s="80"/>
      <c r="KM56" s="80"/>
      <c r="KN56" s="80"/>
      <c r="KO56" s="80"/>
      <c r="KP56" s="80"/>
      <c r="KQ56" s="80"/>
      <c r="KR56" s="80"/>
      <c r="KS56" s="80"/>
      <c r="KT56" s="80"/>
      <c r="KU56" s="80"/>
      <c r="KV56" s="80"/>
      <c r="KW56" s="80"/>
      <c r="KX56" s="80"/>
      <c r="KY56" s="80"/>
      <c r="KZ56" s="80"/>
      <c r="LA56" s="80"/>
      <c r="LB56" s="80"/>
      <c r="LC56" s="80"/>
      <c r="LD56" s="80"/>
      <c r="LE56" s="80"/>
      <c r="LF56" s="80"/>
      <c r="LG56" s="80"/>
      <c r="LH56" s="80"/>
      <c r="LI56" s="80"/>
      <c r="LJ56" s="80"/>
      <c r="LK56" s="80"/>
      <c r="LL56" s="80"/>
      <c r="LM56" s="80"/>
      <c r="LN56" s="80"/>
      <c r="LO56" s="80"/>
      <c r="LP56" s="80"/>
      <c r="LQ56" s="80"/>
      <c r="LR56" s="80"/>
      <c r="LS56" s="80"/>
      <c r="LT56" s="80"/>
      <c r="LU56" s="80"/>
      <c r="LV56" s="80"/>
      <c r="LW56" s="80"/>
      <c r="LX56" s="80"/>
      <c r="LY56" s="80"/>
      <c r="LZ56" s="80"/>
      <c r="MA56" s="80"/>
      <c r="MB56" s="80"/>
      <c r="MC56" s="80"/>
      <c r="MD56" s="80"/>
      <c r="ME56" s="80"/>
      <c r="MF56" s="80"/>
      <c r="MG56" s="80"/>
      <c r="MH56" s="80"/>
      <c r="MI56" s="80"/>
      <c r="MJ56" s="80"/>
      <c r="MK56" s="80"/>
      <c r="ML56" s="80"/>
      <c r="MM56" s="80"/>
      <c r="MN56" s="80"/>
      <c r="MO56" s="80"/>
      <c r="MP56" s="80"/>
      <c r="MQ56" s="80"/>
      <c r="MR56" s="80"/>
      <c r="MS56" s="80"/>
      <c r="MT56" s="80"/>
      <c r="MU56" s="80"/>
      <c r="MV56" s="80"/>
      <c r="MW56" s="80"/>
      <c r="MX56" s="80"/>
      <c r="MY56" s="80"/>
      <c r="MZ56" s="80"/>
      <c r="NA56" s="80"/>
      <c r="NB56" s="80"/>
      <c r="NC56" s="80"/>
      <c r="ND56" s="80"/>
      <c r="NE56" s="80"/>
      <c r="NF56" s="80"/>
      <c r="NG56" s="80"/>
      <c r="NH56" s="80"/>
      <c r="NI56" s="80"/>
      <c r="NJ56" s="80"/>
      <c r="NK56" s="80"/>
      <c r="NL56" s="80"/>
      <c r="NM56" s="80"/>
      <c r="NN56" s="80"/>
      <c r="NO56" s="80"/>
      <c r="NP56" s="80"/>
      <c r="NQ56" s="80"/>
      <c r="NR56" s="80"/>
      <c r="NS56" s="80"/>
      <c r="NT56" s="80"/>
      <c r="NU56" s="80"/>
      <c r="NV56" s="80"/>
      <c r="NW56" s="80"/>
      <c r="NX56" s="80"/>
      <c r="NY56" s="80"/>
      <c r="NZ56" s="80"/>
      <c r="OA56" s="80"/>
      <c r="OB56" s="80"/>
      <c r="OC56" s="80"/>
      <c r="OD56" s="80"/>
      <c r="OE56" s="80"/>
      <c r="OF56" s="80"/>
      <c r="OG56" s="80"/>
      <c r="OH56" s="80"/>
      <c r="OI56" s="80"/>
      <c r="OJ56" s="80"/>
      <c r="OK56" s="80"/>
      <c r="OL56" s="80"/>
      <c r="OM56" s="80"/>
      <c r="ON56" s="80"/>
      <c r="OO56" s="80"/>
      <c r="OP56" s="80"/>
      <c r="OQ56" s="80"/>
      <c r="OR56" s="80"/>
      <c r="OS56" s="80"/>
      <c r="OT56" s="80"/>
      <c r="OU56" s="80"/>
      <c r="OV56" s="80"/>
      <c r="OW56" s="80"/>
      <c r="OX56" s="80"/>
      <c r="OY56" s="80"/>
      <c r="OZ56" s="80"/>
      <c r="PA56" s="80"/>
      <c r="PB56" s="80"/>
      <c r="PC56" s="80"/>
      <c r="PD56" s="80"/>
      <c r="PE56" s="80"/>
      <c r="PF56" s="80"/>
      <c r="PG56" s="80"/>
      <c r="PH56" s="80"/>
      <c r="PI56" s="80"/>
      <c r="PJ56" s="80"/>
      <c r="PK56" s="80"/>
      <c r="PL56" s="80"/>
      <c r="PM56" s="80"/>
      <c r="PN56" s="80"/>
      <c r="PO56" s="80"/>
      <c r="PP56" s="80"/>
      <c r="PQ56" s="80"/>
      <c r="PR56" s="80"/>
      <c r="PS56" s="80"/>
      <c r="PT56" s="80"/>
      <c r="PU56" s="80"/>
      <c r="PV56" s="80"/>
      <c r="PW56" s="80"/>
      <c r="PX56" s="80"/>
      <c r="PY56" s="80"/>
      <c r="PZ56" s="80"/>
      <c r="QA56" s="80"/>
      <c r="QB56" s="80"/>
      <c r="QC56" s="80"/>
      <c r="QD56" s="80"/>
      <c r="QE56" s="80"/>
      <c r="QF56" s="80"/>
      <c r="QG56" s="80"/>
      <c r="QH56" s="80"/>
      <c r="QI56" s="80"/>
      <c r="QJ56" s="80"/>
      <c r="QK56" s="80"/>
      <c r="QL56" s="80"/>
      <c r="QM56" s="80"/>
      <c r="QN56" s="80"/>
      <c r="QO56" s="80"/>
      <c r="QP56" s="80"/>
      <c r="QQ56" s="80"/>
      <c r="QR56" s="80"/>
      <c r="QS56" s="80"/>
      <c r="QT56" s="80"/>
      <c r="QU56" s="80"/>
      <c r="QV56" s="80"/>
      <c r="QW56" s="80"/>
      <c r="QX56" s="80"/>
      <c r="QY56" s="80"/>
      <c r="QZ56" s="80"/>
      <c r="RA56" s="80"/>
      <c r="RB56" s="80"/>
      <c r="RC56" s="80"/>
      <c r="RD56" s="80"/>
      <c r="RE56" s="80"/>
      <c r="RF56" s="80"/>
      <c r="RG56" s="80"/>
      <c r="RH56" s="80"/>
      <c r="RI56" s="80"/>
      <c r="RJ56" s="80"/>
      <c r="RK56" s="80"/>
      <c r="RL56" s="80"/>
      <c r="RM56" s="80"/>
      <c r="RN56" s="80"/>
      <c r="RO56" s="80"/>
      <c r="RP56" s="80"/>
      <c r="RQ56" s="80"/>
      <c r="RR56" s="80"/>
      <c r="RS56" s="80"/>
      <c r="RT56" s="80"/>
      <c r="RU56" s="80"/>
      <c r="RV56" s="80"/>
      <c r="RW56" s="80"/>
      <c r="RX56" s="80"/>
      <c r="RY56" s="80"/>
      <c r="RZ56" s="80"/>
      <c r="SA56" s="80"/>
      <c r="SB56" s="80"/>
      <c r="SC56" s="80"/>
      <c r="SD56" s="80"/>
      <c r="SE56" s="80"/>
      <c r="SF56" s="80"/>
      <c r="SG56" s="80"/>
      <c r="SH56" s="80"/>
      <c r="SI56" s="80"/>
      <c r="SJ56" s="80"/>
    </row>
    <row r="57" spans="2:504" x14ac:dyDescent="0.25">
      <c r="B57" s="36" t="str">
        <f>'Pay App 1'!B107</f>
        <v>09 51 00</v>
      </c>
      <c r="C57" s="37" t="str">
        <f>'Pay App 1'!C107</f>
        <v>Acoustical Ceilings</v>
      </c>
      <c r="D57" s="82">
        <f t="shared" si="8"/>
        <v>0</v>
      </c>
      <c r="E57" s="79"/>
      <c r="F57" s="79"/>
      <c r="G57" s="79"/>
      <c r="H57" s="79"/>
      <c r="I57" s="79"/>
      <c r="J57" s="79"/>
      <c r="K57" s="79"/>
      <c r="L57" s="79"/>
      <c r="M57" s="79"/>
      <c r="N57" s="79"/>
      <c r="O57" s="79"/>
      <c r="P57" s="79"/>
      <c r="Q57" s="79"/>
      <c r="R57" s="79"/>
      <c r="S57" s="79"/>
      <c r="T57" s="79"/>
      <c r="U57" s="79"/>
      <c r="V57" s="79"/>
      <c r="W57" s="79"/>
      <c r="X57" s="79"/>
      <c r="Y57" s="79"/>
      <c r="Z57" s="79"/>
      <c r="AA57" s="79"/>
      <c r="AB57" s="79"/>
      <c r="AC57" s="79"/>
      <c r="AD57" s="79"/>
      <c r="AE57" s="79"/>
      <c r="AF57" s="79"/>
      <c r="AG57" s="79"/>
      <c r="AH57" s="79"/>
      <c r="AI57" s="79"/>
      <c r="AJ57" s="79"/>
      <c r="AK57" s="79"/>
      <c r="AL57" s="79"/>
      <c r="AM57" s="79"/>
      <c r="AN57" s="79"/>
      <c r="AO57" s="79"/>
      <c r="AP57" s="79"/>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79"/>
      <c r="BP57" s="79"/>
      <c r="BQ57" s="79"/>
      <c r="BR57" s="79"/>
      <c r="BS57" s="79"/>
      <c r="BT57" s="79"/>
      <c r="BU57" s="79"/>
      <c r="BV57" s="79"/>
      <c r="BW57" s="79"/>
      <c r="BX57" s="79"/>
      <c r="BY57" s="79"/>
      <c r="BZ57" s="79"/>
      <c r="CA57" s="79"/>
      <c r="CB57" s="79"/>
      <c r="CC57" s="79"/>
      <c r="CD57" s="79"/>
      <c r="CE57" s="79"/>
      <c r="CF57" s="79"/>
      <c r="CG57" s="79"/>
      <c r="CH57" s="79"/>
      <c r="CI57" s="79"/>
      <c r="CJ57" s="79"/>
      <c r="CK57" s="79"/>
      <c r="CL57" s="79"/>
      <c r="CM57" s="79"/>
      <c r="CN57" s="79"/>
      <c r="CO57" s="79"/>
      <c r="CP57" s="79"/>
      <c r="CQ57" s="79"/>
      <c r="CR57" s="79"/>
      <c r="CS57" s="79"/>
      <c r="CT57" s="79"/>
      <c r="CU57" s="79"/>
      <c r="CV57" s="79"/>
      <c r="CW57" s="79"/>
      <c r="CX57" s="79"/>
      <c r="CY57" s="79"/>
      <c r="CZ57" s="79"/>
      <c r="DA57" s="79"/>
      <c r="DB57" s="79"/>
      <c r="DC57" s="79"/>
      <c r="DD57" s="79"/>
      <c r="DE57" s="79"/>
      <c r="DF57" s="79"/>
      <c r="DG57" s="79"/>
      <c r="DH57" s="79"/>
      <c r="DI57" s="79"/>
      <c r="DJ57" s="79"/>
      <c r="DK57" s="79"/>
      <c r="DL57" s="79"/>
      <c r="DM57" s="79"/>
      <c r="DN57" s="79"/>
      <c r="DO57" s="79"/>
      <c r="DP57" s="79"/>
      <c r="DQ57" s="79"/>
      <c r="DR57" s="79"/>
      <c r="DS57" s="79"/>
      <c r="DT57" s="79"/>
      <c r="DU57" s="79"/>
      <c r="DV57" s="79"/>
      <c r="DW57" s="79"/>
      <c r="DX57" s="79"/>
      <c r="DY57" s="79"/>
      <c r="DZ57" s="79"/>
      <c r="EA57" s="79"/>
      <c r="EB57" s="79"/>
      <c r="EC57" s="79"/>
      <c r="ED57" s="79"/>
      <c r="EE57" s="79"/>
      <c r="EF57" s="79"/>
      <c r="EG57" s="79"/>
      <c r="EH57" s="79"/>
      <c r="EI57" s="79"/>
      <c r="EJ57" s="79"/>
      <c r="EK57" s="79"/>
      <c r="EL57" s="79"/>
      <c r="EM57" s="79"/>
      <c r="EN57" s="79"/>
      <c r="EO57" s="79"/>
      <c r="EP57" s="79"/>
      <c r="EQ57" s="79"/>
      <c r="ER57" s="79"/>
      <c r="ES57" s="79"/>
      <c r="ET57" s="79"/>
      <c r="EU57" s="79"/>
      <c r="EV57" s="79"/>
      <c r="EW57" s="79"/>
      <c r="EX57" s="79"/>
      <c r="EY57" s="79"/>
      <c r="EZ57" s="79"/>
      <c r="FA57" s="79"/>
      <c r="FB57" s="79"/>
      <c r="FC57" s="79"/>
      <c r="FD57" s="79"/>
      <c r="FE57" s="79"/>
      <c r="FF57" s="79"/>
      <c r="FG57" s="79"/>
      <c r="FH57" s="79"/>
      <c r="FI57" s="79"/>
      <c r="FJ57" s="79"/>
      <c r="FK57" s="79"/>
      <c r="FL57" s="79"/>
      <c r="FM57" s="79"/>
      <c r="FN57" s="79"/>
      <c r="FO57" s="79"/>
      <c r="FP57" s="79"/>
      <c r="FQ57" s="79"/>
      <c r="FR57" s="79"/>
      <c r="FS57" s="79"/>
      <c r="FT57" s="79"/>
      <c r="FU57" s="79"/>
      <c r="FV57" s="79"/>
      <c r="FW57" s="79"/>
      <c r="FX57" s="79"/>
      <c r="FY57" s="79"/>
      <c r="FZ57" s="79"/>
      <c r="GA57" s="79"/>
      <c r="GB57" s="79"/>
      <c r="GC57" s="79"/>
      <c r="GD57" s="79"/>
      <c r="GE57" s="79"/>
      <c r="GF57" s="79"/>
      <c r="GG57" s="79"/>
      <c r="GH57" s="79"/>
      <c r="GI57" s="79"/>
      <c r="GJ57" s="79"/>
      <c r="GK57" s="79"/>
      <c r="GL57" s="79"/>
      <c r="GM57" s="79"/>
      <c r="GN57" s="79"/>
      <c r="GO57" s="79"/>
      <c r="GP57" s="79"/>
      <c r="GQ57" s="79"/>
      <c r="GR57" s="79"/>
      <c r="GS57" s="79"/>
      <c r="GT57" s="79"/>
      <c r="GU57" s="79"/>
      <c r="GV57" s="79"/>
      <c r="GW57" s="79"/>
      <c r="GX57" s="79"/>
      <c r="GY57" s="79"/>
      <c r="GZ57" s="79"/>
      <c r="HA57" s="79"/>
      <c r="HB57" s="79"/>
      <c r="HC57" s="79"/>
      <c r="HD57" s="79"/>
      <c r="HE57" s="79"/>
      <c r="HF57" s="79"/>
      <c r="HG57" s="79"/>
      <c r="HH57" s="79"/>
      <c r="HI57" s="79"/>
      <c r="HJ57" s="79"/>
      <c r="HK57" s="79"/>
      <c r="HL57" s="79"/>
      <c r="HM57" s="79"/>
      <c r="HN57" s="79"/>
      <c r="HO57" s="79"/>
      <c r="HP57" s="79"/>
      <c r="HQ57" s="79"/>
      <c r="HR57" s="79"/>
      <c r="HS57" s="79"/>
      <c r="HT57" s="79"/>
      <c r="HU57" s="79"/>
      <c r="HV57" s="79"/>
      <c r="HW57" s="79"/>
      <c r="HX57" s="79"/>
      <c r="HY57" s="79"/>
      <c r="HZ57" s="79"/>
      <c r="IA57" s="79"/>
      <c r="IB57" s="79"/>
      <c r="IC57" s="79"/>
      <c r="ID57" s="79"/>
      <c r="IE57" s="79"/>
      <c r="IF57" s="79"/>
      <c r="IG57" s="79"/>
      <c r="IH57" s="79"/>
      <c r="II57" s="79"/>
      <c r="IJ57" s="79"/>
      <c r="IK57" s="79"/>
      <c r="IL57" s="79"/>
      <c r="IM57" s="79"/>
      <c r="IN57" s="79"/>
      <c r="IO57" s="79"/>
      <c r="IP57" s="79"/>
      <c r="IQ57" s="79"/>
      <c r="IR57" s="79"/>
      <c r="IS57" s="79"/>
      <c r="IT57" s="79"/>
      <c r="IU57" s="79"/>
      <c r="IV57" s="79"/>
      <c r="IW57" s="79"/>
      <c r="IX57" s="79"/>
      <c r="IY57" s="79"/>
      <c r="IZ57" s="79"/>
      <c r="JA57" s="79"/>
      <c r="JB57" s="79"/>
      <c r="JC57" s="79"/>
      <c r="JD57" s="79"/>
      <c r="JE57" s="79"/>
      <c r="JF57" s="79"/>
      <c r="JG57" s="79"/>
      <c r="JH57" s="79"/>
      <c r="JI57" s="79"/>
      <c r="JJ57" s="79"/>
      <c r="JK57" s="79"/>
      <c r="JL57" s="79"/>
      <c r="JM57" s="79"/>
      <c r="JN57" s="79"/>
      <c r="JO57" s="79"/>
      <c r="JP57" s="79"/>
      <c r="JQ57" s="79"/>
      <c r="JR57" s="79"/>
      <c r="JS57" s="79"/>
      <c r="JT57" s="79"/>
      <c r="JU57" s="79"/>
      <c r="JV57" s="79"/>
      <c r="JW57" s="79"/>
      <c r="JX57" s="79"/>
      <c r="JY57" s="79"/>
      <c r="JZ57" s="79"/>
      <c r="KA57" s="79"/>
      <c r="KB57" s="79"/>
      <c r="KC57" s="79"/>
      <c r="KD57" s="79"/>
      <c r="KE57" s="79"/>
      <c r="KF57" s="79"/>
      <c r="KG57" s="79"/>
      <c r="KH57" s="79"/>
      <c r="KI57" s="79"/>
      <c r="KJ57" s="79"/>
      <c r="KK57" s="79"/>
      <c r="KL57" s="79"/>
      <c r="KM57" s="79"/>
      <c r="KN57" s="79"/>
      <c r="KO57" s="79"/>
      <c r="KP57" s="79"/>
      <c r="KQ57" s="79"/>
      <c r="KR57" s="79"/>
      <c r="KS57" s="79"/>
      <c r="KT57" s="79"/>
      <c r="KU57" s="79"/>
      <c r="KV57" s="79"/>
      <c r="KW57" s="79"/>
      <c r="KX57" s="79"/>
      <c r="KY57" s="79"/>
      <c r="KZ57" s="79"/>
      <c r="LA57" s="79"/>
      <c r="LB57" s="79"/>
      <c r="LC57" s="79"/>
      <c r="LD57" s="79"/>
      <c r="LE57" s="79"/>
      <c r="LF57" s="79"/>
      <c r="LG57" s="79"/>
      <c r="LH57" s="79"/>
      <c r="LI57" s="79"/>
      <c r="LJ57" s="79"/>
      <c r="LK57" s="79"/>
      <c r="LL57" s="79"/>
      <c r="LM57" s="79"/>
      <c r="LN57" s="79"/>
      <c r="LO57" s="79"/>
      <c r="LP57" s="79"/>
      <c r="LQ57" s="79"/>
      <c r="LR57" s="79"/>
      <c r="LS57" s="79"/>
      <c r="LT57" s="79"/>
      <c r="LU57" s="79"/>
      <c r="LV57" s="79"/>
      <c r="LW57" s="79"/>
      <c r="LX57" s="79"/>
      <c r="LY57" s="79"/>
      <c r="LZ57" s="79"/>
      <c r="MA57" s="79"/>
      <c r="MB57" s="79"/>
      <c r="MC57" s="79"/>
      <c r="MD57" s="79"/>
      <c r="ME57" s="79"/>
      <c r="MF57" s="79"/>
      <c r="MG57" s="79"/>
      <c r="MH57" s="79"/>
      <c r="MI57" s="79"/>
      <c r="MJ57" s="79"/>
      <c r="MK57" s="79"/>
      <c r="ML57" s="79"/>
      <c r="MM57" s="79"/>
      <c r="MN57" s="79"/>
      <c r="MO57" s="79"/>
      <c r="MP57" s="79"/>
      <c r="MQ57" s="79"/>
      <c r="MR57" s="79"/>
      <c r="MS57" s="79"/>
      <c r="MT57" s="79"/>
      <c r="MU57" s="79"/>
      <c r="MV57" s="79"/>
      <c r="MW57" s="79"/>
      <c r="MX57" s="79"/>
      <c r="MY57" s="79"/>
      <c r="MZ57" s="79"/>
      <c r="NA57" s="79"/>
      <c r="NB57" s="79"/>
      <c r="NC57" s="79"/>
      <c r="ND57" s="79"/>
      <c r="NE57" s="79"/>
      <c r="NF57" s="79"/>
      <c r="NG57" s="79"/>
      <c r="NH57" s="79"/>
      <c r="NI57" s="79"/>
      <c r="NJ57" s="79"/>
      <c r="NK57" s="79"/>
      <c r="NL57" s="79"/>
      <c r="NM57" s="79"/>
      <c r="NN57" s="79"/>
      <c r="NO57" s="79"/>
      <c r="NP57" s="79"/>
      <c r="NQ57" s="79"/>
      <c r="NR57" s="79"/>
      <c r="NS57" s="79"/>
      <c r="NT57" s="79"/>
      <c r="NU57" s="79"/>
      <c r="NV57" s="79"/>
      <c r="NW57" s="79"/>
      <c r="NX57" s="79"/>
      <c r="NY57" s="79"/>
      <c r="NZ57" s="79"/>
      <c r="OA57" s="79"/>
      <c r="OB57" s="79"/>
      <c r="OC57" s="79"/>
      <c r="OD57" s="79"/>
      <c r="OE57" s="79"/>
      <c r="OF57" s="79"/>
      <c r="OG57" s="79"/>
      <c r="OH57" s="79"/>
      <c r="OI57" s="79"/>
      <c r="OJ57" s="79"/>
      <c r="OK57" s="79"/>
      <c r="OL57" s="79"/>
      <c r="OM57" s="79"/>
      <c r="ON57" s="79"/>
      <c r="OO57" s="79"/>
      <c r="OP57" s="79"/>
      <c r="OQ57" s="79"/>
      <c r="OR57" s="79"/>
      <c r="OS57" s="79"/>
      <c r="OT57" s="79"/>
      <c r="OU57" s="79"/>
      <c r="OV57" s="79"/>
      <c r="OW57" s="79"/>
      <c r="OX57" s="79"/>
      <c r="OY57" s="79"/>
      <c r="OZ57" s="79"/>
      <c r="PA57" s="79"/>
      <c r="PB57" s="79"/>
      <c r="PC57" s="79"/>
      <c r="PD57" s="79"/>
      <c r="PE57" s="79"/>
      <c r="PF57" s="79"/>
      <c r="PG57" s="79"/>
      <c r="PH57" s="79"/>
      <c r="PI57" s="79"/>
      <c r="PJ57" s="79"/>
      <c r="PK57" s="79"/>
      <c r="PL57" s="79"/>
      <c r="PM57" s="79"/>
      <c r="PN57" s="79"/>
      <c r="PO57" s="79"/>
      <c r="PP57" s="79"/>
      <c r="PQ57" s="79"/>
      <c r="PR57" s="79"/>
      <c r="PS57" s="79"/>
      <c r="PT57" s="79"/>
      <c r="PU57" s="79"/>
      <c r="PV57" s="79"/>
      <c r="PW57" s="79"/>
      <c r="PX57" s="79"/>
      <c r="PY57" s="79"/>
      <c r="PZ57" s="79"/>
      <c r="QA57" s="79"/>
      <c r="QB57" s="79"/>
      <c r="QC57" s="79"/>
      <c r="QD57" s="79"/>
      <c r="QE57" s="79"/>
      <c r="QF57" s="79"/>
      <c r="QG57" s="79"/>
      <c r="QH57" s="79"/>
      <c r="QI57" s="79"/>
      <c r="QJ57" s="79"/>
      <c r="QK57" s="79"/>
      <c r="QL57" s="79"/>
      <c r="QM57" s="79"/>
      <c r="QN57" s="79"/>
      <c r="QO57" s="79"/>
      <c r="QP57" s="79"/>
      <c r="QQ57" s="79"/>
      <c r="QR57" s="79"/>
      <c r="QS57" s="79"/>
      <c r="QT57" s="79"/>
      <c r="QU57" s="79"/>
      <c r="QV57" s="79"/>
      <c r="QW57" s="79"/>
      <c r="QX57" s="79"/>
      <c r="QY57" s="79"/>
      <c r="QZ57" s="79"/>
      <c r="RA57" s="79"/>
      <c r="RB57" s="79"/>
      <c r="RC57" s="79"/>
      <c r="RD57" s="79"/>
      <c r="RE57" s="79"/>
      <c r="RF57" s="79"/>
      <c r="RG57" s="79"/>
      <c r="RH57" s="79"/>
      <c r="RI57" s="79"/>
      <c r="RJ57" s="79"/>
      <c r="RK57" s="79"/>
      <c r="RL57" s="79"/>
      <c r="RM57" s="79"/>
      <c r="RN57" s="79"/>
      <c r="RO57" s="79"/>
      <c r="RP57" s="79"/>
      <c r="RQ57" s="79"/>
      <c r="RR57" s="79"/>
      <c r="RS57" s="79"/>
      <c r="RT57" s="79"/>
      <c r="RU57" s="79"/>
      <c r="RV57" s="79"/>
      <c r="RW57" s="79"/>
      <c r="RX57" s="79"/>
      <c r="RY57" s="79"/>
      <c r="RZ57" s="79"/>
      <c r="SA57" s="79"/>
      <c r="SB57" s="79"/>
      <c r="SC57" s="79"/>
      <c r="SD57" s="79"/>
      <c r="SE57" s="79"/>
      <c r="SF57" s="79"/>
      <c r="SG57" s="79"/>
      <c r="SH57" s="79"/>
      <c r="SI57" s="79"/>
      <c r="SJ57" s="79"/>
    </row>
    <row r="58" spans="2:504" x14ac:dyDescent="0.25">
      <c r="B58" s="36" t="str">
        <f>'Pay App 1'!B108</f>
        <v>09 54 00</v>
      </c>
      <c r="C58" s="37" t="str">
        <f>'Pay App 1'!C108</f>
        <v>Specialty Ceilings</v>
      </c>
      <c r="D58" s="82">
        <f t="shared" si="8"/>
        <v>0</v>
      </c>
      <c r="E58" s="79"/>
      <c r="F58" s="79"/>
      <c r="G58" s="79"/>
      <c r="H58" s="79"/>
      <c r="I58" s="79"/>
      <c r="J58" s="79"/>
      <c r="K58" s="79"/>
      <c r="L58" s="79"/>
      <c r="M58" s="79"/>
      <c r="N58" s="79"/>
      <c r="O58" s="79"/>
      <c r="P58" s="79"/>
      <c r="Q58" s="79"/>
      <c r="R58" s="79"/>
      <c r="S58" s="79"/>
      <c r="T58" s="79"/>
      <c r="U58" s="79"/>
      <c r="V58" s="79"/>
      <c r="W58" s="79"/>
      <c r="X58" s="79"/>
      <c r="Y58" s="79"/>
      <c r="Z58" s="79"/>
      <c r="AA58" s="79"/>
      <c r="AB58" s="79"/>
      <c r="AC58" s="79"/>
      <c r="AD58" s="79"/>
      <c r="AE58" s="79"/>
      <c r="AF58" s="79"/>
      <c r="AG58" s="79"/>
      <c r="AH58" s="79"/>
      <c r="AI58" s="79"/>
      <c r="AJ58" s="79"/>
      <c r="AK58" s="79"/>
      <c r="AL58" s="79"/>
      <c r="AM58" s="79"/>
      <c r="AN58" s="79"/>
      <c r="AO58" s="79"/>
      <c r="AP58" s="79"/>
      <c r="AQ58" s="79"/>
      <c r="AR58" s="79"/>
      <c r="AS58" s="79"/>
      <c r="AT58" s="79"/>
      <c r="AU58" s="79"/>
      <c r="AV58" s="79"/>
      <c r="AW58" s="79"/>
      <c r="AX58" s="79"/>
      <c r="AY58" s="79"/>
      <c r="AZ58" s="79"/>
      <c r="BA58" s="79"/>
      <c r="BB58" s="79"/>
      <c r="BC58" s="79"/>
      <c r="BD58" s="79"/>
      <c r="BE58" s="79"/>
      <c r="BF58" s="79"/>
      <c r="BG58" s="79"/>
      <c r="BH58" s="79"/>
      <c r="BI58" s="79"/>
      <c r="BJ58" s="79"/>
      <c r="BK58" s="79"/>
      <c r="BL58" s="79"/>
      <c r="BM58" s="79"/>
      <c r="BN58" s="79"/>
      <c r="BO58" s="79"/>
      <c r="BP58" s="79"/>
      <c r="BQ58" s="79"/>
      <c r="BR58" s="79"/>
      <c r="BS58" s="79"/>
      <c r="BT58" s="79"/>
      <c r="BU58" s="79"/>
      <c r="BV58" s="79"/>
      <c r="BW58" s="79"/>
      <c r="BX58" s="79"/>
      <c r="BY58" s="79"/>
      <c r="BZ58" s="79"/>
      <c r="CA58" s="79"/>
      <c r="CB58" s="79"/>
      <c r="CC58" s="79"/>
      <c r="CD58" s="79"/>
      <c r="CE58" s="79"/>
      <c r="CF58" s="79"/>
      <c r="CG58" s="79"/>
      <c r="CH58" s="79"/>
      <c r="CI58" s="79"/>
      <c r="CJ58" s="79"/>
      <c r="CK58" s="79"/>
      <c r="CL58" s="79"/>
      <c r="CM58" s="79"/>
      <c r="CN58" s="79"/>
      <c r="CO58" s="79"/>
      <c r="CP58" s="79"/>
      <c r="CQ58" s="79"/>
      <c r="CR58" s="79"/>
      <c r="CS58" s="79"/>
      <c r="CT58" s="79"/>
      <c r="CU58" s="79"/>
      <c r="CV58" s="79"/>
      <c r="CW58" s="79"/>
      <c r="CX58" s="79"/>
      <c r="CY58" s="79"/>
      <c r="CZ58" s="79"/>
      <c r="DA58" s="79"/>
      <c r="DB58" s="79"/>
      <c r="DC58" s="79"/>
      <c r="DD58" s="79"/>
      <c r="DE58" s="79"/>
      <c r="DF58" s="79"/>
      <c r="DG58" s="79"/>
      <c r="DH58" s="79"/>
      <c r="DI58" s="79"/>
      <c r="DJ58" s="79"/>
      <c r="DK58" s="79"/>
      <c r="DL58" s="79"/>
      <c r="DM58" s="79"/>
      <c r="DN58" s="79"/>
      <c r="DO58" s="79"/>
      <c r="DP58" s="79"/>
      <c r="DQ58" s="79"/>
      <c r="DR58" s="79"/>
      <c r="DS58" s="79"/>
      <c r="DT58" s="79"/>
      <c r="DU58" s="79"/>
      <c r="DV58" s="79"/>
      <c r="DW58" s="79"/>
      <c r="DX58" s="79"/>
      <c r="DY58" s="79"/>
      <c r="DZ58" s="79"/>
      <c r="EA58" s="79"/>
      <c r="EB58" s="79"/>
      <c r="EC58" s="79"/>
      <c r="ED58" s="79"/>
      <c r="EE58" s="79"/>
      <c r="EF58" s="79"/>
      <c r="EG58" s="79"/>
      <c r="EH58" s="79"/>
      <c r="EI58" s="79"/>
      <c r="EJ58" s="79"/>
      <c r="EK58" s="79"/>
      <c r="EL58" s="79"/>
      <c r="EM58" s="79"/>
      <c r="EN58" s="79"/>
      <c r="EO58" s="79"/>
      <c r="EP58" s="79"/>
      <c r="EQ58" s="79"/>
      <c r="ER58" s="79"/>
      <c r="ES58" s="79"/>
      <c r="ET58" s="79"/>
      <c r="EU58" s="79"/>
      <c r="EV58" s="79"/>
      <c r="EW58" s="79"/>
      <c r="EX58" s="79"/>
      <c r="EY58" s="79"/>
      <c r="EZ58" s="79"/>
      <c r="FA58" s="79"/>
      <c r="FB58" s="79"/>
      <c r="FC58" s="79"/>
      <c r="FD58" s="79"/>
      <c r="FE58" s="79"/>
      <c r="FF58" s="79"/>
      <c r="FG58" s="79"/>
      <c r="FH58" s="79"/>
      <c r="FI58" s="79"/>
      <c r="FJ58" s="79"/>
      <c r="FK58" s="79"/>
      <c r="FL58" s="79"/>
      <c r="FM58" s="79"/>
      <c r="FN58" s="79"/>
      <c r="FO58" s="79"/>
      <c r="FP58" s="79"/>
      <c r="FQ58" s="79"/>
      <c r="FR58" s="79"/>
      <c r="FS58" s="79"/>
      <c r="FT58" s="79"/>
      <c r="FU58" s="79"/>
      <c r="FV58" s="79"/>
      <c r="FW58" s="79"/>
      <c r="FX58" s="79"/>
      <c r="FY58" s="79"/>
      <c r="FZ58" s="79"/>
      <c r="GA58" s="79"/>
      <c r="GB58" s="79"/>
      <c r="GC58" s="79"/>
      <c r="GD58" s="79"/>
      <c r="GE58" s="79"/>
      <c r="GF58" s="79"/>
      <c r="GG58" s="79"/>
      <c r="GH58" s="79"/>
      <c r="GI58" s="79"/>
      <c r="GJ58" s="79"/>
      <c r="GK58" s="79"/>
      <c r="GL58" s="79"/>
      <c r="GM58" s="79"/>
      <c r="GN58" s="79"/>
      <c r="GO58" s="79"/>
      <c r="GP58" s="79"/>
      <c r="GQ58" s="79"/>
      <c r="GR58" s="79"/>
      <c r="GS58" s="79"/>
      <c r="GT58" s="79"/>
      <c r="GU58" s="79"/>
      <c r="GV58" s="79"/>
      <c r="GW58" s="79"/>
      <c r="GX58" s="79"/>
      <c r="GY58" s="79"/>
      <c r="GZ58" s="79"/>
      <c r="HA58" s="79"/>
      <c r="HB58" s="79"/>
      <c r="HC58" s="79"/>
      <c r="HD58" s="79"/>
      <c r="HE58" s="79"/>
      <c r="HF58" s="79"/>
      <c r="HG58" s="79"/>
      <c r="HH58" s="79"/>
      <c r="HI58" s="79"/>
      <c r="HJ58" s="79"/>
      <c r="HK58" s="79"/>
      <c r="HL58" s="79"/>
      <c r="HM58" s="79"/>
      <c r="HN58" s="79"/>
      <c r="HO58" s="79"/>
      <c r="HP58" s="79"/>
      <c r="HQ58" s="79"/>
      <c r="HR58" s="79"/>
      <c r="HS58" s="79"/>
      <c r="HT58" s="79"/>
      <c r="HU58" s="79"/>
      <c r="HV58" s="79"/>
      <c r="HW58" s="79"/>
      <c r="HX58" s="79"/>
      <c r="HY58" s="79"/>
      <c r="HZ58" s="79"/>
      <c r="IA58" s="79"/>
      <c r="IB58" s="79"/>
      <c r="IC58" s="79"/>
      <c r="ID58" s="79"/>
      <c r="IE58" s="79"/>
      <c r="IF58" s="79"/>
      <c r="IG58" s="79"/>
      <c r="IH58" s="79"/>
      <c r="II58" s="79"/>
      <c r="IJ58" s="79"/>
      <c r="IK58" s="79"/>
      <c r="IL58" s="79"/>
      <c r="IM58" s="79"/>
      <c r="IN58" s="79"/>
      <c r="IO58" s="79"/>
      <c r="IP58" s="79"/>
      <c r="IQ58" s="79"/>
      <c r="IR58" s="79"/>
      <c r="IS58" s="79"/>
      <c r="IT58" s="79"/>
      <c r="IU58" s="79"/>
      <c r="IV58" s="79"/>
      <c r="IW58" s="79"/>
      <c r="IX58" s="79"/>
      <c r="IY58" s="79"/>
      <c r="IZ58" s="79"/>
      <c r="JA58" s="79"/>
      <c r="JB58" s="79"/>
      <c r="JC58" s="79"/>
      <c r="JD58" s="79"/>
      <c r="JE58" s="79"/>
      <c r="JF58" s="79"/>
      <c r="JG58" s="79"/>
      <c r="JH58" s="79"/>
      <c r="JI58" s="79"/>
      <c r="JJ58" s="79"/>
      <c r="JK58" s="79"/>
      <c r="JL58" s="79"/>
      <c r="JM58" s="79"/>
      <c r="JN58" s="79"/>
      <c r="JO58" s="79"/>
      <c r="JP58" s="79"/>
      <c r="JQ58" s="79"/>
      <c r="JR58" s="79"/>
      <c r="JS58" s="79"/>
      <c r="JT58" s="79"/>
      <c r="JU58" s="79"/>
      <c r="JV58" s="79"/>
      <c r="JW58" s="79"/>
      <c r="JX58" s="79"/>
      <c r="JY58" s="79"/>
      <c r="JZ58" s="79"/>
      <c r="KA58" s="79"/>
      <c r="KB58" s="79"/>
      <c r="KC58" s="79"/>
      <c r="KD58" s="79"/>
      <c r="KE58" s="79"/>
      <c r="KF58" s="79"/>
      <c r="KG58" s="79"/>
      <c r="KH58" s="79"/>
      <c r="KI58" s="79"/>
      <c r="KJ58" s="79"/>
      <c r="KK58" s="79"/>
      <c r="KL58" s="79"/>
      <c r="KM58" s="79"/>
      <c r="KN58" s="79"/>
      <c r="KO58" s="79"/>
      <c r="KP58" s="79"/>
      <c r="KQ58" s="79"/>
      <c r="KR58" s="79"/>
      <c r="KS58" s="79"/>
      <c r="KT58" s="79"/>
      <c r="KU58" s="79"/>
      <c r="KV58" s="79"/>
      <c r="KW58" s="79"/>
      <c r="KX58" s="79"/>
      <c r="KY58" s="79"/>
      <c r="KZ58" s="79"/>
      <c r="LA58" s="79"/>
      <c r="LB58" s="79"/>
      <c r="LC58" s="79"/>
      <c r="LD58" s="79"/>
      <c r="LE58" s="79"/>
      <c r="LF58" s="79"/>
      <c r="LG58" s="79"/>
      <c r="LH58" s="79"/>
      <c r="LI58" s="79"/>
      <c r="LJ58" s="79"/>
      <c r="LK58" s="79"/>
      <c r="LL58" s="79"/>
      <c r="LM58" s="79"/>
      <c r="LN58" s="79"/>
      <c r="LO58" s="79"/>
      <c r="LP58" s="79"/>
      <c r="LQ58" s="79"/>
      <c r="LR58" s="79"/>
      <c r="LS58" s="79"/>
      <c r="LT58" s="79"/>
      <c r="LU58" s="79"/>
      <c r="LV58" s="79"/>
      <c r="LW58" s="79"/>
      <c r="LX58" s="79"/>
      <c r="LY58" s="79"/>
      <c r="LZ58" s="79"/>
      <c r="MA58" s="79"/>
      <c r="MB58" s="79"/>
      <c r="MC58" s="79"/>
      <c r="MD58" s="79"/>
      <c r="ME58" s="79"/>
      <c r="MF58" s="79"/>
      <c r="MG58" s="79"/>
      <c r="MH58" s="79"/>
      <c r="MI58" s="79"/>
      <c r="MJ58" s="79"/>
      <c r="MK58" s="79"/>
      <c r="ML58" s="79"/>
      <c r="MM58" s="79"/>
      <c r="MN58" s="79"/>
      <c r="MO58" s="79"/>
      <c r="MP58" s="79"/>
      <c r="MQ58" s="79"/>
      <c r="MR58" s="79"/>
      <c r="MS58" s="79"/>
      <c r="MT58" s="79"/>
      <c r="MU58" s="79"/>
      <c r="MV58" s="79"/>
      <c r="MW58" s="79"/>
      <c r="MX58" s="79"/>
      <c r="MY58" s="79"/>
      <c r="MZ58" s="79"/>
      <c r="NA58" s="79"/>
      <c r="NB58" s="79"/>
      <c r="NC58" s="79"/>
      <c r="ND58" s="79"/>
      <c r="NE58" s="79"/>
      <c r="NF58" s="79"/>
      <c r="NG58" s="79"/>
      <c r="NH58" s="79"/>
      <c r="NI58" s="79"/>
      <c r="NJ58" s="79"/>
      <c r="NK58" s="79"/>
      <c r="NL58" s="79"/>
      <c r="NM58" s="79"/>
      <c r="NN58" s="79"/>
      <c r="NO58" s="79"/>
      <c r="NP58" s="79"/>
      <c r="NQ58" s="79"/>
      <c r="NR58" s="79"/>
      <c r="NS58" s="79"/>
      <c r="NT58" s="79"/>
      <c r="NU58" s="79"/>
      <c r="NV58" s="79"/>
      <c r="NW58" s="79"/>
      <c r="NX58" s="79"/>
      <c r="NY58" s="79"/>
      <c r="NZ58" s="79"/>
      <c r="OA58" s="79"/>
      <c r="OB58" s="79"/>
      <c r="OC58" s="79"/>
      <c r="OD58" s="79"/>
      <c r="OE58" s="79"/>
      <c r="OF58" s="79"/>
      <c r="OG58" s="79"/>
      <c r="OH58" s="79"/>
      <c r="OI58" s="79"/>
      <c r="OJ58" s="79"/>
      <c r="OK58" s="79"/>
      <c r="OL58" s="79"/>
      <c r="OM58" s="79"/>
      <c r="ON58" s="79"/>
      <c r="OO58" s="79"/>
      <c r="OP58" s="79"/>
      <c r="OQ58" s="79"/>
      <c r="OR58" s="79"/>
      <c r="OS58" s="79"/>
      <c r="OT58" s="79"/>
      <c r="OU58" s="79"/>
      <c r="OV58" s="79"/>
      <c r="OW58" s="79"/>
      <c r="OX58" s="79"/>
      <c r="OY58" s="79"/>
      <c r="OZ58" s="79"/>
      <c r="PA58" s="79"/>
      <c r="PB58" s="79"/>
      <c r="PC58" s="79"/>
      <c r="PD58" s="79"/>
      <c r="PE58" s="79"/>
      <c r="PF58" s="79"/>
      <c r="PG58" s="79"/>
      <c r="PH58" s="79"/>
      <c r="PI58" s="79"/>
      <c r="PJ58" s="79"/>
      <c r="PK58" s="79"/>
      <c r="PL58" s="79"/>
      <c r="PM58" s="79"/>
      <c r="PN58" s="79"/>
      <c r="PO58" s="79"/>
      <c r="PP58" s="79"/>
      <c r="PQ58" s="79"/>
      <c r="PR58" s="79"/>
      <c r="PS58" s="79"/>
      <c r="PT58" s="79"/>
      <c r="PU58" s="79"/>
      <c r="PV58" s="79"/>
      <c r="PW58" s="79"/>
      <c r="PX58" s="79"/>
      <c r="PY58" s="79"/>
      <c r="PZ58" s="79"/>
      <c r="QA58" s="79"/>
      <c r="QB58" s="79"/>
      <c r="QC58" s="79"/>
      <c r="QD58" s="79"/>
      <c r="QE58" s="79"/>
      <c r="QF58" s="79"/>
      <c r="QG58" s="79"/>
      <c r="QH58" s="79"/>
      <c r="QI58" s="79"/>
      <c r="QJ58" s="79"/>
      <c r="QK58" s="79"/>
      <c r="QL58" s="79"/>
      <c r="QM58" s="79"/>
      <c r="QN58" s="79"/>
      <c r="QO58" s="79"/>
      <c r="QP58" s="79"/>
      <c r="QQ58" s="79"/>
      <c r="QR58" s="79"/>
      <c r="QS58" s="79"/>
      <c r="QT58" s="79"/>
      <c r="QU58" s="79"/>
      <c r="QV58" s="79"/>
      <c r="QW58" s="79"/>
      <c r="QX58" s="79"/>
      <c r="QY58" s="79"/>
      <c r="QZ58" s="79"/>
      <c r="RA58" s="79"/>
      <c r="RB58" s="79"/>
      <c r="RC58" s="79"/>
      <c r="RD58" s="79"/>
      <c r="RE58" s="79"/>
      <c r="RF58" s="79"/>
      <c r="RG58" s="79"/>
      <c r="RH58" s="79"/>
      <c r="RI58" s="79"/>
      <c r="RJ58" s="79"/>
      <c r="RK58" s="79"/>
      <c r="RL58" s="79"/>
      <c r="RM58" s="79"/>
      <c r="RN58" s="79"/>
      <c r="RO58" s="79"/>
      <c r="RP58" s="79"/>
      <c r="RQ58" s="79"/>
      <c r="RR58" s="79"/>
      <c r="RS58" s="79"/>
      <c r="RT58" s="79"/>
      <c r="RU58" s="79"/>
      <c r="RV58" s="79"/>
      <c r="RW58" s="79"/>
      <c r="RX58" s="79"/>
      <c r="RY58" s="79"/>
      <c r="RZ58" s="79"/>
      <c r="SA58" s="79"/>
      <c r="SB58" s="79"/>
      <c r="SC58" s="79"/>
      <c r="SD58" s="79"/>
      <c r="SE58" s="79"/>
      <c r="SF58" s="79"/>
      <c r="SG58" s="79"/>
      <c r="SH58" s="79"/>
      <c r="SI58" s="79"/>
      <c r="SJ58" s="79"/>
    </row>
    <row r="59" spans="2:504" x14ac:dyDescent="0.25">
      <c r="B59" s="36" t="str">
        <f>'Pay App 1'!B109</f>
        <v>09 60 00</v>
      </c>
      <c r="C59" s="37" t="str">
        <f>'Pay App 1'!C109</f>
        <v>Floor Coverings</v>
      </c>
      <c r="D59" s="82">
        <f t="shared" si="8"/>
        <v>0</v>
      </c>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c r="AF59" s="79"/>
      <c r="AG59" s="79"/>
      <c r="AH59" s="79"/>
      <c r="AI59" s="79"/>
      <c r="AJ59" s="79"/>
      <c r="AK59" s="79"/>
      <c r="AL59" s="79"/>
      <c r="AM59" s="79"/>
      <c r="AN59" s="79"/>
      <c r="AO59" s="79"/>
      <c r="AP59" s="79"/>
      <c r="AQ59" s="79"/>
      <c r="AR59" s="79"/>
      <c r="AS59" s="79"/>
      <c r="AT59" s="79"/>
      <c r="AU59" s="79"/>
      <c r="AV59" s="79"/>
      <c r="AW59" s="79"/>
      <c r="AX59" s="79"/>
      <c r="AY59" s="79"/>
      <c r="AZ59" s="79"/>
      <c r="BA59" s="79"/>
      <c r="BB59" s="79"/>
      <c r="BC59" s="79"/>
      <c r="BD59" s="79"/>
      <c r="BE59" s="79"/>
      <c r="BF59" s="79"/>
      <c r="BG59" s="79"/>
      <c r="BH59" s="79"/>
      <c r="BI59" s="79"/>
      <c r="BJ59" s="79"/>
      <c r="BK59" s="79"/>
      <c r="BL59" s="79"/>
      <c r="BM59" s="79"/>
      <c r="BN59" s="79"/>
      <c r="BO59" s="79"/>
      <c r="BP59" s="79"/>
      <c r="BQ59" s="79"/>
      <c r="BR59" s="79"/>
      <c r="BS59" s="79"/>
      <c r="BT59" s="79"/>
      <c r="BU59" s="79"/>
      <c r="BV59" s="79"/>
      <c r="BW59" s="79"/>
      <c r="BX59" s="79"/>
      <c r="BY59" s="79"/>
      <c r="BZ59" s="79"/>
      <c r="CA59" s="79"/>
      <c r="CB59" s="79"/>
      <c r="CC59" s="79"/>
      <c r="CD59" s="79"/>
      <c r="CE59" s="79"/>
      <c r="CF59" s="79"/>
      <c r="CG59" s="79"/>
      <c r="CH59" s="79"/>
      <c r="CI59" s="79"/>
      <c r="CJ59" s="79"/>
      <c r="CK59" s="79"/>
      <c r="CL59" s="79"/>
      <c r="CM59" s="79"/>
      <c r="CN59" s="79"/>
      <c r="CO59" s="79"/>
      <c r="CP59" s="79"/>
      <c r="CQ59" s="79"/>
      <c r="CR59" s="79"/>
      <c r="CS59" s="79"/>
      <c r="CT59" s="79"/>
      <c r="CU59" s="79"/>
      <c r="CV59" s="79"/>
      <c r="CW59" s="79"/>
      <c r="CX59" s="79"/>
      <c r="CY59" s="79"/>
      <c r="CZ59" s="79"/>
      <c r="DA59" s="79"/>
      <c r="DB59" s="79"/>
      <c r="DC59" s="79"/>
      <c r="DD59" s="79"/>
      <c r="DE59" s="79"/>
      <c r="DF59" s="79"/>
      <c r="DG59" s="79"/>
      <c r="DH59" s="79"/>
      <c r="DI59" s="79"/>
      <c r="DJ59" s="79"/>
      <c r="DK59" s="79"/>
      <c r="DL59" s="79"/>
      <c r="DM59" s="79"/>
      <c r="DN59" s="79"/>
      <c r="DO59" s="79"/>
      <c r="DP59" s="79"/>
      <c r="DQ59" s="79"/>
      <c r="DR59" s="79"/>
      <c r="DS59" s="79"/>
      <c r="DT59" s="79"/>
      <c r="DU59" s="79"/>
      <c r="DV59" s="79"/>
      <c r="DW59" s="79"/>
      <c r="DX59" s="79"/>
      <c r="DY59" s="79"/>
      <c r="DZ59" s="79"/>
      <c r="EA59" s="79"/>
      <c r="EB59" s="79"/>
      <c r="EC59" s="79"/>
      <c r="ED59" s="79"/>
      <c r="EE59" s="79"/>
      <c r="EF59" s="79"/>
      <c r="EG59" s="79"/>
      <c r="EH59" s="79"/>
      <c r="EI59" s="79"/>
      <c r="EJ59" s="79"/>
      <c r="EK59" s="79"/>
      <c r="EL59" s="79"/>
      <c r="EM59" s="79"/>
      <c r="EN59" s="79"/>
      <c r="EO59" s="79"/>
      <c r="EP59" s="79"/>
      <c r="EQ59" s="79"/>
      <c r="ER59" s="79"/>
      <c r="ES59" s="79"/>
      <c r="ET59" s="79"/>
      <c r="EU59" s="79"/>
      <c r="EV59" s="79"/>
      <c r="EW59" s="79"/>
      <c r="EX59" s="79"/>
      <c r="EY59" s="79"/>
      <c r="EZ59" s="79"/>
      <c r="FA59" s="79"/>
      <c r="FB59" s="79"/>
      <c r="FC59" s="79"/>
      <c r="FD59" s="79"/>
      <c r="FE59" s="79"/>
      <c r="FF59" s="79"/>
      <c r="FG59" s="79"/>
      <c r="FH59" s="79"/>
      <c r="FI59" s="79"/>
      <c r="FJ59" s="79"/>
      <c r="FK59" s="79"/>
      <c r="FL59" s="79"/>
      <c r="FM59" s="79"/>
      <c r="FN59" s="79"/>
      <c r="FO59" s="79"/>
      <c r="FP59" s="79"/>
      <c r="FQ59" s="79"/>
      <c r="FR59" s="79"/>
      <c r="FS59" s="79"/>
      <c r="FT59" s="79"/>
      <c r="FU59" s="79"/>
      <c r="FV59" s="79"/>
      <c r="FW59" s="79"/>
      <c r="FX59" s="79"/>
      <c r="FY59" s="79"/>
      <c r="FZ59" s="79"/>
      <c r="GA59" s="79"/>
      <c r="GB59" s="79"/>
      <c r="GC59" s="79"/>
      <c r="GD59" s="79"/>
      <c r="GE59" s="79"/>
      <c r="GF59" s="79"/>
      <c r="GG59" s="79"/>
      <c r="GH59" s="79"/>
      <c r="GI59" s="79"/>
      <c r="GJ59" s="79"/>
      <c r="GK59" s="79"/>
      <c r="GL59" s="79"/>
      <c r="GM59" s="79"/>
      <c r="GN59" s="79"/>
      <c r="GO59" s="79"/>
      <c r="GP59" s="79"/>
      <c r="GQ59" s="79"/>
      <c r="GR59" s="79"/>
      <c r="GS59" s="79"/>
      <c r="GT59" s="79"/>
      <c r="GU59" s="79"/>
      <c r="GV59" s="79"/>
      <c r="GW59" s="79"/>
      <c r="GX59" s="79"/>
      <c r="GY59" s="79"/>
      <c r="GZ59" s="79"/>
      <c r="HA59" s="79"/>
      <c r="HB59" s="79"/>
      <c r="HC59" s="79"/>
      <c r="HD59" s="79"/>
      <c r="HE59" s="79"/>
      <c r="HF59" s="79"/>
      <c r="HG59" s="79"/>
      <c r="HH59" s="79"/>
      <c r="HI59" s="79"/>
      <c r="HJ59" s="79"/>
      <c r="HK59" s="79"/>
      <c r="HL59" s="79"/>
      <c r="HM59" s="79"/>
      <c r="HN59" s="79"/>
      <c r="HO59" s="79"/>
      <c r="HP59" s="79"/>
      <c r="HQ59" s="79"/>
      <c r="HR59" s="79"/>
      <c r="HS59" s="79"/>
      <c r="HT59" s="79"/>
      <c r="HU59" s="79"/>
      <c r="HV59" s="79"/>
      <c r="HW59" s="79"/>
      <c r="HX59" s="79"/>
      <c r="HY59" s="79"/>
      <c r="HZ59" s="79"/>
      <c r="IA59" s="79"/>
      <c r="IB59" s="79"/>
      <c r="IC59" s="79"/>
      <c r="ID59" s="79"/>
      <c r="IE59" s="79"/>
      <c r="IF59" s="79"/>
      <c r="IG59" s="79"/>
      <c r="IH59" s="79"/>
      <c r="II59" s="79"/>
      <c r="IJ59" s="79"/>
      <c r="IK59" s="79"/>
      <c r="IL59" s="79"/>
      <c r="IM59" s="79"/>
      <c r="IN59" s="79"/>
      <c r="IO59" s="79"/>
      <c r="IP59" s="79"/>
      <c r="IQ59" s="79"/>
      <c r="IR59" s="79"/>
      <c r="IS59" s="79"/>
      <c r="IT59" s="79"/>
      <c r="IU59" s="79"/>
      <c r="IV59" s="79"/>
      <c r="IW59" s="79"/>
      <c r="IX59" s="79"/>
      <c r="IY59" s="79"/>
      <c r="IZ59" s="79"/>
      <c r="JA59" s="79"/>
      <c r="JB59" s="79"/>
      <c r="JC59" s="79"/>
      <c r="JD59" s="79"/>
      <c r="JE59" s="79"/>
      <c r="JF59" s="79"/>
      <c r="JG59" s="79"/>
      <c r="JH59" s="79"/>
      <c r="JI59" s="79"/>
      <c r="JJ59" s="79"/>
      <c r="JK59" s="79"/>
      <c r="JL59" s="79"/>
      <c r="JM59" s="79"/>
      <c r="JN59" s="79"/>
      <c r="JO59" s="79"/>
      <c r="JP59" s="79"/>
      <c r="JQ59" s="79"/>
      <c r="JR59" s="79"/>
      <c r="JS59" s="79"/>
      <c r="JT59" s="79"/>
      <c r="JU59" s="79"/>
      <c r="JV59" s="79"/>
      <c r="JW59" s="79"/>
      <c r="JX59" s="79"/>
      <c r="JY59" s="79"/>
      <c r="JZ59" s="79"/>
      <c r="KA59" s="79"/>
      <c r="KB59" s="79"/>
      <c r="KC59" s="79"/>
      <c r="KD59" s="79"/>
      <c r="KE59" s="79"/>
      <c r="KF59" s="79"/>
      <c r="KG59" s="79"/>
      <c r="KH59" s="79"/>
      <c r="KI59" s="79"/>
      <c r="KJ59" s="79"/>
      <c r="KK59" s="79"/>
      <c r="KL59" s="79"/>
      <c r="KM59" s="79"/>
      <c r="KN59" s="79"/>
      <c r="KO59" s="79"/>
      <c r="KP59" s="79"/>
      <c r="KQ59" s="79"/>
      <c r="KR59" s="79"/>
      <c r="KS59" s="79"/>
      <c r="KT59" s="79"/>
      <c r="KU59" s="79"/>
      <c r="KV59" s="79"/>
      <c r="KW59" s="79"/>
      <c r="KX59" s="79"/>
      <c r="KY59" s="79"/>
      <c r="KZ59" s="79"/>
      <c r="LA59" s="79"/>
      <c r="LB59" s="79"/>
      <c r="LC59" s="79"/>
      <c r="LD59" s="79"/>
      <c r="LE59" s="79"/>
      <c r="LF59" s="79"/>
      <c r="LG59" s="79"/>
      <c r="LH59" s="79"/>
      <c r="LI59" s="79"/>
      <c r="LJ59" s="79"/>
      <c r="LK59" s="79"/>
      <c r="LL59" s="79"/>
      <c r="LM59" s="79"/>
      <c r="LN59" s="79"/>
      <c r="LO59" s="79"/>
      <c r="LP59" s="79"/>
      <c r="LQ59" s="79"/>
      <c r="LR59" s="79"/>
      <c r="LS59" s="79"/>
      <c r="LT59" s="79"/>
      <c r="LU59" s="79"/>
      <c r="LV59" s="79"/>
      <c r="LW59" s="79"/>
      <c r="LX59" s="79"/>
      <c r="LY59" s="79"/>
      <c r="LZ59" s="79"/>
      <c r="MA59" s="79"/>
      <c r="MB59" s="79"/>
      <c r="MC59" s="79"/>
      <c r="MD59" s="79"/>
      <c r="ME59" s="79"/>
      <c r="MF59" s="79"/>
      <c r="MG59" s="79"/>
      <c r="MH59" s="79"/>
      <c r="MI59" s="79"/>
      <c r="MJ59" s="79"/>
      <c r="MK59" s="79"/>
      <c r="ML59" s="79"/>
      <c r="MM59" s="79"/>
      <c r="MN59" s="79"/>
      <c r="MO59" s="79"/>
      <c r="MP59" s="79"/>
      <c r="MQ59" s="79"/>
      <c r="MR59" s="79"/>
      <c r="MS59" s="79"/>
      <c r="MT59" s="79"/>
      <c r="MU59" s="79"/>
      <c r="MV59" s="79"/>
      <c r="MW59" s="79"/>
      <c r="MX59" s="79"/>
      <c r="MY59" s="79"/>
      <c r="MZ59" s="79"/>
      <c r="NA59" s="79"/>
      <c r="NB59" s="79"/>
      <c r="NC59" s="79"/>
      <c r="ND59" s="79"/>
      <c r="NE59" s="79"/>
      <c r="NF59" s="79"/>
      <c r="NG59" s="79"/>
      <c r="NH59" s="79"/>
      <c r="NI59" s="79"/>
      <c r="NJ59" s="79"/>
      <c r="NK59" s="79"/>
      <c r="NL59" s="79"/>
      <c r="NM59" s="79"/>
      <c r="NN59" s="79"/>
      <c r="NO59" s="79"/>
      <c r="NP59" s="79"/>
      <c r="NQ59" s="79"/>
      <c r="NR59" s="79"/>
      <c r="NS59" s="79"/>
      <c r="NT59" s="79"/>
      <c r="NU59" s="79"/>
      <c r="NV59" s="79"/>
      <c r="NW59" s="79"/>
      <c r="NX59" s="79"/>
      <c r="NY59" s="79"/>
      <c r="NZ59" s="79"/>
      <c r="OA59" s="79"/>
      <c r="OB59" s="79"/>
      <c r="OC59" s="79"/>
      <c r="OD59" s="79"/>
      <c r="OE59" s="79"/>
      <c r="OF59" s="79"/>
      <c r="OG59" s="79"/>
      <c r="OH59" s="79"/>
      <c r="OI59" s="79"/>
      <c r="OJ59" s="79"/>
      <c r="OK59" s="79"/>
      <c r="OL59" s="79"/>
      <c r="OM59" s="79"/>
      <c r="ON59" s="79"/>
      <c r="OO59" s="79"/>
      <c r="OP59" s="79"/>
      <c r="OQ59" s="79"/>
      <c r="OR59" s="79"/>
      <c r="OS59" s="79"/>
      <c r="OT59" s="79"/>
      <c r="OU59" s="79"/>
      <c r="OV59" s="79"/>
      <c r="OW59" s="79"/>
      <c r="OX59" s="79"/>
      <c r="OY59" s="79"/>
      <c r="OZ59" s="79"/>
      <c r="PA59" s="79"/>
      <c r="PB59" s="79"/>
      <c r="PC59" s="79"/>
      <c r="PD59" s="79"/>
      <c r="PE59" s="79"/>
      <c r="PF59" s="79"/>
      <c r="PG59" s="79"/>
      <c r="PH59" s="79"/>
      <c r="PI59" s="79"/>
      <c r="PJ59" s="79"/>
      <c r="PK59" s="79"/>
      <c r="PL59" s="79"/>
      <c r="PM59" s="79"/>
      <c r="PN59" s="79"/>
      <c r="PO59" s="79"/>
      <c r="PP59" s="79"/>
      <c r="PQ59" s="79"/>
      <c r="PR59" s="79"/>
      <c r="PS59" s="79"/>
      <c r="PT59" s="79"/>
      <c r="PU59" s="79"/>
      <c r="PV59" s="79"/>
      <c r="PW59" s="79"/>
      <c r="PX59" s="79"/>
      <c r="PY59" s="79"/>
      <c r="PZ59" s="79"/>
      <c r="QA59" s="79"/>
      <c r="QB59" s="79"/>
      <c r="QC59" s="79"/>
      <c r="QD59" s="79"/>
      <c r="QE59" s="79"/>
      <c r="QF59" s="79"/>
      <c r="QG59" s="79"/>
      <c r="QH59" s="79"/>
      <c r="QI59" s="79"/>
      <c r="QJ59" s="79"/>
      <c r="QK59" s="79"/>
      <c r="QL59" s="79"/>
      <c r="QM59" s="79"/>
      <c r="QN59" s="79"/>
      <c r="QO59" s="79"/>
      <c r="QP59" s="79"/>
      <c r="QQ59" s="79"/>
      <c r="QR59" s="79"/>
      <c r="QS59" s="79"/>
      <c r="QT59" s="79"/>
      <c r="QU59" s="79"/>
      <c r="QV59" s="79"/>
      <c r="QW59" s="79"/>
      <c r="QX59" s="79"/>
      <c r="QY59" s="79"/>
      <c r="QZ59" s="79"/>
      <c r="RA59" s="79"/>
      <c r="RB59" s="79"/>
      <c r="RC59" s="79"/>
      <c r="RD59" s="79"/>
      <c r="RE59" s="79"/>
      <c r="RF59" s="79"/>
      <c r="RG59" s="79"/>
      <c r="RH59" s="79"/>
      <c r="RI59" s="79"/>
      <c r="RJ59" s="79"/>
      <c r="RK59" s="79"/>
      <c r="RL59" s="79"/>
      <c r="RM59" s="79"/>
      <c r="RN59" s="79"/>
      <c r="RO59" s="79"/>
      <c r="RP59" s="79"/>
      <c r="RQ59" s="79"/>
      <c r="RR59" s="79"/>
      <c r="RS59" s="79"/>
      <c r="RT59" s="79"/>
      <c r="RU59" s="79"/>
      <c r="RV59" s="79"/>
      <c r="RW59" s="79"/>
      <c r="RX59" s="79"/>
      <c r="RY59" s="79"/>
      <c r="RZ59" s="79"/>
      <c r="SA59" s="79"/>
      <c r="SB59" s="79"/>
      <c r="SC59" s="79"/>
      <c r="SD59" s="79"/>
      <c r="SE59" s="79"/>
      <c r="SF59" s="79"/>
      <c r="SG59" s="79"/>
      <c r="SH59" s="79"/>
      <c r="SI59" s="79"/>
      <c r="SJ59" s="79"/>
    </row>
    <row r="60" spans="2:504" x14ac:dyDescent="0.25">
      <c r="B60" s="36" t="str">
        <f>'Pay App 1'!B110</f>
        <v>09 62 00</v>
      </c>
      <c r="C60" s="37" t="str">
        <f>'Pay App 1'!C110</f>
        <v>Specialty Flooring</v>
      </c>
      <c r="D60" s="82">
        <f t="shared" si="8"/>
        <v>0</v>
      </c>
      <c r="E60" s="79"/>
      <c r="F60" s="79"/>
      <c r="G60" s="79"/>
      <c r="H60" s="79"/>
      <c r="I60" s="79"/>
      <c r="J60" s="79"/>
      <c r="K60" s="79"/>
      <c r="L60" s="79"/>
      <c r="M60" s="79"/>
      <c r="N60" s="79"/>
      <c r="O60" s="79"/>
      <c r="P60" s="79"/>
      <c r="Q60" s="79"/>
      <c r="R60" s="79"/>
      <c r="S60" s="79"/>
      <c r="T60" s="79"/>
      <c r="U60" s="79"/>
      <c r="V60" s="79"/>
      <c r="W60" s="79"/>
      <c r="X60" s="79"/>
      <c r="Y60" s="79"/>
      <c r="Z60" s="79"/>
      <c r="AA60" s="79"/>
      <c r="AB60" s="79"/>
      <c r="AC60" s="79"/>
      <c r="AD60" s="79"/>
      <c r="AE60" s="79"/>
      <c r="AF60" s="79"/>
      <c r="AG60" s="79"/>
      <c r="AH60" s="79"/>
      <c r="AI60" s="79"/>
      <c r="AJ60" s="79"/>
      <c r="AK60" s="79"/>
      <c r="AL60" s="79"/>
      <c r="AM60" s="79"/>
      <c r="AN60" s="79"/>
      <c r="AO60" s="79"/>
      <c r="AP60" s="79"/>
      <c r="AQ60" s="79"/>
      <c r="AR60" s="79"/>
      <c r="AS60" s="79"/>
      <c r="AT60" s="79"/>
      <c r="AU60" s="79"/>
      <c r="AV60" s="79"/>
      <c r="AW60" s="79"/>
      <c r="AX60" s="79"/>
      <c r="AY60" s="79"/>
      <c r="AZ60" s="79"/>
      <c r="BA60" s="79"/>
      <c r="BB60" s="79"/>
      <c r="BC60" s="79"/>
      <c r="BD60" s="79"/>
      <c r="BE60" s="79"/>
      <c r="BF60" s="79"/>
      <c r="BG60" s="79"/>
      <c r="BH60" s="79"/>
      <c r="BI60" s="79"/>
      <c r="BJ60" s="79"/>
      <c r="BK60" s="79"/>
      <c r="BL60" s="79"/>
      <c r="BM60" s="79"/>
      <c r="BN60" s="79"/>
      <c r="BO60" s="79"/>
      <c r="BP60" s="79"/>
      <c r="BQ60" s="79"/>
      <c r="BR60" s="79"/>
      <c r="BS60" s="79"/>
      <c r="BT60" s="79"/>
      <c r="BU60" s="79"/>
      <c r="BV60" s="79"/>
      <c r="BW60" s="79"/>
      <c r="BX60" s="79"/>
      <c r="BY60" s="79"/>
      <c r="BZ60" s="79"/>
      <c r="CA60" s="79"/>
      <c r="CB60" s="79"/>
      <c r="CC60" s="79"/>
      <c r="CD60" s="79"/>
      <c r="CE60" s="79"/>
      <c r="CF60" s="79"/>
      <c r="CG60" s="79"/>
      <c r="CH60" s="79"/>
      <c r="CI60" s="79"/>
      <c r="CJ60" s="79"/>
      <c r="CK60" s="79"/>
      <c r="CL60" s="79"/>
      <c r="CM60" s="79"/>
      <c r="CN60" s="79"/>
      <c r="CO60" s="79"/>
      <c r="CP60" s="79"/>
      <c r="CQ60" s="79"/>
      <c r="CR60" s="79"/>
      <c r="CS60" s="79"/>
      <c r="CT60" s="79"/>
      <c r="CU60" s="79"/>
      <c r="CV60" s="79"/>
      <c r="CW60" s="79"/>
      <c r="CX60" s="79"/>
      <c r="CY60" s="79"/>
      <c r="CZ60" s="79"/>
      <c r="DA60" s="79"/>
      <c r="DB60" s="79"/>
      <c r="DC60" s="79"/>
      <c r="DD60" s="79"/>
      <c r="DE60" s="79"/>
      <c r="DF60" s="79"/>
      <c r="DG60" s="79"/>
      <c r="DH60" s="79"/>
      <c r="DI60" s="79"/>
      <c r="DJ60" s="79"/>
      <c r="DK60" s="79"/>
      <c r="DL60" s="79"/>
      <c r="DM60" s="79"/>
      <c r="DN60" s="79"/>
      <c r="DO60" s="79"/>
      <c r="DP60" s="79"/>
      <c r="DQ60" s="79"/>
      <c r="DR60" s="79"/>
      <c r="DS60" s="79"/>
      <c r="DT60" s="79"/>
      <c r="DU60" s="79"/>
      <c r="DV60" s="79"/>
      <c r="DW60" s="79"/>
      <c r="DX60" s="79"/>
      <c r="DY60" s="79"/>
      <c r="DZ60" s="79"/>
      <c r="EA60" s="79"/>
      <c r="EB60" s="79"/>
      <c r="EC60" s="79"/>
      <c r="ED60" s="79"/>
      <c r="EE60" s="79"/>
      <c r="EF60" s="79"/>
      <c r="EG60" s="79"/>
      <c r="EH60" s="79"/>
      <c r="EI60" s="79"/>
      <c r="EJ60" s="79"/>
      <c r="EK60" s="79"/>
      <c r="EL60" s="79"/>
      <c r="EM60" s="79"/>
      <c r="EN60" s="79"/>
      <c r="EO60" s="79"/>
      <c r="EP60" s="79"/>
      <c r="EQ60" s="79"/>
      <c r="ER60" s="79"/>
      <c r="ES60" s="79"/>
      <c r="ET60" s="79"/>
      <c r="EU60" s="79"/>
      <c r="EV60" s="79"/>
      <c r="EW60" s="79"/>
      <c r="EX60" s="79"/>
      <c r="EY60" s="79"/>
      <c r="EZ60" s="79"/>
      <c r="FA60" s="79"/>
      <c r="FB60" s="79"/>
      <c r="FC60" s="79"/>
      <c r="FD60" s="79"/>
      <c r="FE60" s="79"/>
      <c r="FF60" s="79"/>
      <c r="FG60" s="79"/>
      <c r="FH60" s="79"/>
      <c r="FI60" s="79"/>
      <c r="FJ60" s="79"/>
      <c r="FK60" s="79"/>
      <c r="FL60" s="79"/>
      <c r="FM60" s="79"/>
      <c r="FN60" s="79"/>
      <c r="FO60" s="79"/>
      <c r="FP60" s="79"/>
      <c r="FQ60" s="79"/>
      <c r="FR60" s="79"/>
      <c r="FS60" s="79"/>
      <c r="FT60" s="79"/>
      <c r="FU60" s="79"/>
      <c r="FV60" s="79"/>
      <c r="FW60" s="79"/>
      <c r="FX60" s="79"/>
      <c r="FY60" s="79"/>
      <c r="FZ60" s="79"/>
      <c r="GA60" s="79"/>
      <c r="GB60" s="79"/>
      <c r="GC60" s="79"/>
      <c r="GD60" s="79"/>
      <c r="GE60" s="79"/>
      <c r="GF60" s="79"/>
      <c r="GG60" s="79"/>
      <c r="GH60" s="79"/>
      <c r="GI60" s="79"/>
      <c r="GJ60" s="79"/>
      <c r="GK60" s="79"/>
      <c r="GL60" s="79"/>
      <c r="GM60" s="79"/>
      <c r="GN60" s="79"/>
      <c r="GO60" s="79"/>
      <c r="GP60" s="79"/>
      <c r="GQ60" s="79"/>
      <c r="GR60" s="79"/>
      <c r="GS60" s="79"/>
      <c r="GT60" s="79"/>
      <c r="GU60" s="79"/>
      <c r="GV60" s="79"/>
      <c r="GW60" s="79"/>
      <c r="GX60" s="79"/>
      <c r="GY60" s="79"/>
      <c r="GZ60" s="79"/>
      <c r="HA60" s="79"/>
      <c r="HB60" s="79"/>
      <c r="HC60" s="79"/>
      <c r="HD60" s="79"/>
      <c r="HE60" s="79"/>
      <c r="HF60" s="79"/>
      <c r="HG60" s="79"/>
      <c r="HH60" s="79"/>
      <c r="HI60" s="79"/>
      <c r="HJ60" s="79"/>
      <c r="HK60" s="79"/>
      <c r="HL60" s="79"/>
      <c r="HM60" s="79"/>
      <c r="HN60" s="79"/>
      <c r="HO60" s="79"/>
      <c r="HP60" s="79"/>
      <c r="HQ60" s="79"/>
      <c r="HR60" s="79"/>
      <c r="HS60" s="79"/>
      <c r="HT60" s="79"/>
      <c r="HU60" s="79"/>
      <c r="HV60" s="79"/>
      <c r="HW60" s="79"/>
      <c r="HX60" s="79"/>
      <c r="HY60" s="79"/>
      <c r="HZ60" s="79"/>
      <c r="IA60" s="79"/>
      <c r="IB60" s="79"/>
      <c r="IC60" s="79"/>
      <c r="ID60" s="79"/>
      <c r="IE60" s="79"/>
      <c r="IF60" s="79"/>
      <c r="IG60" s="79"/>
      <c r="IH60" s="79"/>
      <c r="II60" s="79"/>
      <c r="IJ60" s="79"/>
      <c r="IK60" s="79"/>
      <c r="IL60" s="79"/>
      <c r="IM60" s="79"/>
      <c r="IN60" s="79"/>
      <c r="IO60" s="79"/>
      <c r="IP60" s="79"/>
      <c r="IQ60" s="79"/>
      <c r="IR60" s="79"/>
      <c r="IS60" s="79"/>
      <c r="IT60" s="79"/>
      <c r="IU60" s="79"/>
      <c r="IV60" s="79"/>
      <c r="IW60" s="79"/>
      <c r="IX60" s="79"/>
      <c r="IY60" s="79"/>
      <c r="IZ60" s="79"/>
      <c r="JA60" s="79"/>
      <c r="JB60" s="79"/>
      <c r="JC60" s="79"/>
      <c r="JD60" s="79"/>
      <c r="JE60" s="79"/>
      <c r="JF60" s="79"/>
      <c r="JG60" s="79"/>
      <c r="JH60" s="79"/>
      <c r="JI60" s="79"/>
      <c r="JJ60" s="79"/>
      <c r="JK60" s="79"/>
      <c r="JL60" s="79"/>
      <c r="JM60" s="79"/>
      <c r="JN60" s="79"/>
      <c r="JO60" s="79"/>
      <c r="JP60" s="79"/>
      <c r="JQ60" s="79"/>
      <c r="JR60" s="79"/>
      <c r="JS60" s="79"/>
      <c r="JT60" s="79"/>
      <c r="JU60" s="79"/>
      <c r="JV60" s="79"/>
      <c r="JW60" s="79"/>
      <c r="JX60" s="79"/>
      <c r="JY60" s="79"/>
      <c r="JZ60" s="79"/>
      <c r="KA60" s="79"/>
      <c r="KB60" s="79"/>
      <c r="KC60" s="79"/>
      <c r="KD60" s="79"/>
      <c r="KE60" s="79"/>
      <c r="KF60" s="79"/>
      <c r="KG60" s="79"/>
      <c r="KH60" s="79"/>
      <c r="KI60" s="79"/>
      <c r="KJ60" s="79"/>
      <c r="KK60" s="79"/>
      <c r="KL60" s="79"/>
      <c r="KM60" s="79"/>
      <c r="KN60" s="79"/>
      <c r="KO60" s="79"/>
      <c r="KP60" s="79"/>
      <c r="KQ60" s="79"/>
      <c r="KR60" s="79"/>
      <c r="KS60" s="79"/>
      <c r="KT60" s="79"/>
      <c r="KU60" s="79"/>
      <c r="KV60" s="79"/>
      <c r="KW60" s="79"/>
      <c r="KX60" s="79"/>
      <c r="KY60" s="79"/>
      <c r="KZ60" s="79"/>
      <c r="LA60" s="79"/>
      <c r="LB60" s="79"/>
      <c r="LC60" s="79"/>
      <c r="LD60" s="79"/>
      <c r="LE60" s="79"/>
      <c r="LF60" s="79"/>
      <c r="LG60" s="79"/>
      <c r="LH60" s="79"/>
      <c r="LI60" s="79"/>
      <c r="LJ60" s="79"/>
      <c r="LK60" s="79"/>
      <c r="LL60" s="79"/>
      <c r="LM60" s="79"/>
      <c r="LN60" s="79"/>
      <c r="LO60" s="79"/>
      <c r="LP60" s="79"/>
      <c r="LQ60" s="79"/>
      <c r="LR60" s="79"/>
      <c r="LS60" s="79"/>
      <c r="LT60" s="79"/>
      <c r="LU60" s="79"/>
      <c r="LV60" s="79"/>
      <c r="LW60" s="79"/>
      <c r="LX60" s="79"/>
      <c r="LY60" s="79"/>
      <c r="LZ60" s="79"/>
      <c r="MA60" s="79"/>
      <c r="MB60" s="79"/>
      <c r="MC60" s="79"/>
      <c r="MD60" s="79"/>
      <c r="ME60" s="79"/>
      <c r="MF60" s="79"/>
      <c r="MG60" s="79"/>
      <c r="MH60" s="79"/>
      <c r="MI60" s="79"/>
      <c r="MJ60" s="79"/>
      <c r="MK60" s="79"/>
      <c r="ML60" s="79"/>
      <c r="MM60" s="79"/>
      <c r="MN60" s="79"/>
      <c r="MO60" s="79"/>
      <c r="MP60" s="79"/>
      <c r="MQ60" s="79"/>
      <c r="MR60" s="79"/>
      <c r="MS60" s="79"/>
      <c r="MT60" s="79"/>
      <c r="MU60" s="79"/>
      <c r="MV60" s="79"/>
      <c r="MW60" s="79"/>
      <c r="MX60" s="79"/>
      <c r="MY60" s="79"/>
      <c r="MZ60" s="79"/>
      <c r="NA60" s="79"/>
      <c r="NB60" s="79"/>
      <c r="NC60" s="79"/>
      <c r="ND60" s="79"/>
      <c r="NE60" s="79"/>
      <c r="NF60" s="79"/>
      <c r="NG60" s="79"/>
      <c r="NH60" s="79"/>
      <c r="NI60" s="79"/>
      <c r="NJ60" s="79"/>
      <c r="NK60" s="79"/>
      <c r="NL60" s="79"/>
      <c r="NM60" s="79"/>
      <c r="NN60" s="79"/>
      <c r="NO60" s="79"/>
      <c r="NP60" s="79"/>
      <c r="NQ60" s="79"/>
      <c r="NR60" s="79"/>
      <c r="NS60" s="79"/>
      <c r="NT60" s="79"/>
      <c r="NU60" s="79"/>
      <c r="NV60" s="79"/>
      <c r="NW60" s="79"/>
      <c r="NX60" s="79"/>
      <c r="NY60" s="79"/>
      <c r="NZ60" s="79"/>
      <c r="OA60" s="79"/>
      <c r="OB60" s="79"/>
      <c r="OC60" s="79"/>
      <c r="OD60" s="79"/>
      <c r="OE60" s="79"/>
      <c r="OF60" s="79"/>
      <c r="OG60" s="79"/>
      <c r="OH60" s="79"/>
      <c r="OI60" s="79"/>
      <c r="OJ60" s="79"/>
      <c r="OK60" s="79"/>
      <c r="OL60" s="79"/>
      <c r="OM60" s="79"/>
      <c r="ON60" s="79"/>
      <c r="OO60" s="79"/>
      <c r="OP60" s="79"/>
      <c r="OQ60" s="79"/>
      <c r="OR60" s="79"/>
      <c r="OS60" s="79"/>
      <c r="OT60" s="79"/>
      <c r="OU60" s="79"/>
      <c r="OV60" s="79"/>
      <c r="OW60" s="79"/>
      <c r="OX60" s="79"/>
      <c r="OY60" s="79"/>
      <c r="OZ60" s="79"/>
      <c r="PA60" s="79"/>
      <c r="PB60" s="79"/>
      <c r="PC60" s="79"/>
      <c r="PD60" s="79"/>
      <c r="PE60" s="79"/>
      <c r="PF60" s="79"/>
      <c r="PG60" s="79"/>
      <c r="PH60" s="79"/>
      <c r="PI60" s="79"/>
      <c r="PJ60" s="79"/>
      <c r="PK60" s="79"/>
      <c r="PL60" s="79"/>
      <c r="PM60" s="79"/>
      <c r="PN60" s="79"/>
      <c r="PO60" s="79"/>
      <c r="PP60" s="79"/>
      <c r="PQ60" s="79"/>
      <c r="PR60" s="79"/>
      <c r="PS60" s="79"/>
      <c r="PT60" s="79"/>
      <c r="PU60" s="79"/>
      <c r="PV60" s="79"/>
      <c r="PW60" s="79"/>
      <c r="PX60" s="79"/>
      <c r="PY60" s="79"/>
      <c r="PZ60" s="79"/>
      <c r="QA60" s="79"/>
      <c r="QB60" s="79"/>
      <c r="QC60" s="79"/>
      <c r="QD60" s="79"/>
      <c r="QE60" s="79"/>
      <c r="QF60" s="79"/>
      <c r="QG60" s="79"/>
      <c r="QH60" s="79"/>
      <c r="QI60" s="79"/>
      <c r="QJ60" s="79"/>
      <c r="QK60" s="79"/>
      <c r="QL60" s="79"/>
      <c r="QM60" s="79"/>
      <c r="QN60" s="79"/>
      <c r="QO60" s="79"/>
      <c r="QP60" s="79"/>
      <c r="QQ60" s="79"/>
      <c r="QR60" s="79"/>
      <c r="QS60" s="79"/>
      <c r="QT60" s="79"/>
      <c r="QU60" s="79"/>
      <c r="QV60" s="79"/>
      <c r="QW60" s="79"/>
      <c r="QX60" s="79"/>
      <c r="QY60" s="79"/>
      <c r="QZ60" s="79"/>
      <c r="RA60" s="79"/>
      <c r="RB60" s="79"/>
      <c r="RC60" s="79"/>
      <c r="RD60" s="79"/>
      <c r="RE60" s="79"/>
      <c r="RF60" s="79"/>
      <c r="RG60" s="79"/>
      <c r="RH60" s="79"/>
      <c r="RI60" s="79"/>
      <c r="RJ60" s="79"/>
      <c r="RK60" s="79"/>
      <c r="RL60" s="79"/>
      <c r="RM60" s="79"/>
      <c r="RN60" s="79"/>
      <c r="RO60" s="79"/>
      <c r="RP60" s="79"/>
      <c r="RQ60" s="79"/>
      <c r="RR60" s="79"/>
      <c r="RS60" s="79"/>
      <c r="RT60" s="79"/>
      <c r="RU60" s="79"/>
      <c r="RV60" s="79"/>
      <c r="RW60" s="79"/>
      <c r="RX60" s="79"/>
      <c r="RY60" s="79"/>
      <c r="RZ60" s="79"/>
      <c r="SA60" s="79"/>
      <c r="SB60" s="79"/>
      <c r="SC60" s="79"/>
      <c r="SD60" s="79"/>
      <c r="SE60" s="79"/>
      <c r="SF60" s="79"/>
      <c r="SG60" s="79"/>
      <c r="SH60" s="79"/>
      <c r="SI60" s="79"/>
      <c r="SJ60" s="79"/>
    </row>
    <row r="61" spans="2:504" x14ac:dyDescent="0.25">
      <c r="B61" s="36" t="str">
        <f>'Pay App 1'!B111</f>
        <v>09 70 00</v>
      </c>
      <c r="C61" s="37" t="str">
        <f>'Pay App 1'!C111</f>
        <v>Wall Coverings</v>
      </c>
      <c r="D61" s="82">
        <f t="shared" si="8"/>
        <v>0</v>
      </c>
      <c r="E61" s="79"/>
      <c r="F61" s="79"/>
      <c r="G61" s="79"/>
      <c r="H61" s="79"/>
      <c r="I61" s="79"/>
      <c r="J61" s="79"/>
      <c r="K61" s="79"/>
      <c r="L61" s="79"/>
      <c r="M61" s="79"/>
      <c r="N61" s="79"/>
      <c r="O61" s="79"/>
      <c r="P61" s="79"/>
      <c r="Q61" s="79"/>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79"/>
      <c r="BK61" s="79"/>
      <c r="BL61" s="79"/>
      <c r="BM61" s="79"/>
      <c r="BN61" s="79"/>
      <c r="BO61" s="79"/>
      <c r="BP61" s="79"/>
      <c r="BQ61" s="79"/>
      <c r="BR61" s="79"/>
      <c r="BS61" s="79"/>
      <c r="BT61" s="79"/>
      <c r="BU61" s="79"/>
      <c r="BV61" s="79"/>
      <c r="BW61" s="79"/>
      <c r="BX61" s="79"/>
      <c r="BY61" s="79"/>
      <c r="BZ61" s="79"/>
      <c r="CA61" s="79"/>
      <c r="CB61" s="79"/>
      <c r="CC61" s="79"/>
      <c r="CD61" s="79"/>
      <c r="CE61" s="79"/>
      <c r="CF61" s="79"/>
      <c r="CG61" s="79"/>
      <c r="CH61" s="79"/>
      <c r="CI61" s="79"/>
      <c r="CJ61" s="79"/>
      <c r="CK61" s="79"/>
      <c r="CL61" s="79"/>
      <c r="CM61" s="79"/>
      <c r="CN61" s="79"/>
      <c r="CO61" s="79"/>
      <c r="CP61" s="79"/>
      <c r="CQ61" s="79"/>
      <c r="CR61" s="79"/>
      <c r="CS61" s="79"/>
      <c r="CT61" s="79"/>
      <c r="CU61" s="79"/>
      <c r="CV61" s="79"/>
      <c r="CW61" s="79"/>
      <c r="CX61" s="79"/>
      <c r="CY61" s="79"/>
      <c r="CZ61" s="79"/>
      <c r="DA61" s="79"/>
      <c r="DB61" s="79"/>
      <c r="DC61" s="79"/>
      <c r="DD61" s="79"/>
      <c r="DE61" s="79"/>
      <c r="DF61" s="79"/>
      <c r="DG61" s="79"/>
      <c r="DH61" s="79"/>
      <c r="DI61" s="79"/>
      <c r="DJ61" s="79"/>
      <c r="DK61" s="79"/>
      <c r="DL61" s="79"/>
      <c r="DM61" s="79"/>
      <c r="DN61" s="79"/>
      <c r="DO61" s="79"/>
      <c r="DP61" s="79"/>
      <c r="DQ61" s="79"/>
      <c r="DR61" s="79"/>
      <c r="DS61" s="79"/>
      <c r="DT61" s="79"/>
      <c r="DU61" s="79"/>
      <c r="DV61" s="79"/>
      <c r="DW61" s="79"/>
      <c r="DX61" s="79"/>
      <c r="DY61" s="79"/>
      <c r="DZ61" s="79"/>
      <c r="EA61" s="79"/>
      <c r="EB61" s="79"/>
      <c r="EC61" s="79"/>
      <c r="ED61" s="79"/>
      <c r="EE61" s="79"/>
      <c r="EF61" s="79"/>
      <c r="EG61" s="79"/>
      <c r="EH61" s="79"/>
      <c r="EI61" s="79"/>
      <c r="EJ61" s="79"/>
      <c r="EK61" s="79"/>
      <c r="EL61" s="79"/>
      <c r="EM61" s="79"/>
      <c r="EN61" s="79"/>
      <c r="EO61" s="79"/>
      <c r="EP61" s="79"/>
      <c r="EQ61" s="79"/>
      <c r="ER61" s="79"/>
      <c r="ES61" s="79"/>
      <c r="ET61" s="79"/>
      <c r="EU61" s="79"/>
      <c r="EV61" s="79"/>
      <c r="EW61" s="79"/>
      <c r="EX61" s="79"/>
      <c r="EY61" s="79"/>
      <c r="EZ61" s="79"/>
      <c r="FA61" s="79"/>
      <c r="FB61" s="79"/>
      <c r="FC61" s="79"/>
      <c r="FD61" s="79"/>
      <c r="FE61" s="79"/>
      <c r="FF61" s="79"/>
      <c r="FG61" s="79"/>
      <c r="FH61" s="79"/>
      <c r="FI61" s="79"/>
      <c r="FJ61" s="79"/>
      <c r="FK61" s="79"/>
      <c r="FL61" s="79"/>
      <c r="FM61" s="79"/>
      <c r="FN61" s="79"/>
      <c r="FO61" s="79"/>
      <c r="FP61" s="79"/>
      <c r="FQ61" s="79"/>
      <c r="FR61" s="79"/>
      <c r="FS61" s="79"/>
      <c r="FT61" s="79"/>
      <c r="FU61" s="79"/>
      <c r="FV61" s="79"/>
      <c r="FW61" s="79"/>
      <c r="FX61" s="79"/>
      <c r="FY61" s="79"/>
      <c r="FZ61" s="79"/>
      <c r="GA61" s="79"/>
      <c r="GB61" s="79"/>
      <c r="GC61" s="79"/>
      <c r="GD61" s="79"/>
      <c r="GE61" s="79"/>
      <c r="GF61" s="79"/>
      <c r="GG61" s="79"/>
      <c r="GH61" s="79"/>
      <c r="GI61" s="79"/>
      <c r="GJ61" s="79"/>
      <c r="GK61" s="79"/>
      <c r="GL61" s="79"/>
      <c r="GM61" s="79"/>
      <c r="GN61" s="79"/>
      <c r="GO61" s="79"/>
      <c r="GP61" s="79"/>
      <c r="GQ61" s="79"/>
      <c r="GR61" s="79"/>
      <c r="GS61" s="79"/>
      <c r="GT61" s="79"/>
      <c r="GU61" s="79"/>
      <c r="GV61" s="79"/>
      <c r="GW61" s="79"/>
      <c r="GX61" s="79"/>
      <c r="GY61" s="79"/>
      <c r="GZ61" s="79"/>
      <c r="HA61" s="79"/>
      <c r="HB61" s="79"/>
      <c r="HC61" s="79"/>
      <c r="HD61" s="79"/>
      <c r="HE61" s="79"/>
      <c r="HF61" s="79"/>
      <c r="HG61" s="79"/>
      <c r="HH61" s="79"/>
      <c r="HI61" s="79"/>
      <c r="HJ61" s="79"/>
      <c r="HK61" s="79"/>
      <c r="HL61" s="79"/>
      <c r="HM61" s="79"/>
      <c r="HN61" s="79"/>
      <c r="HO61" s="79"/>
      <c r="HP61" s="79"/>
      <c r="HQ61" s="79"/>
      <c r="HR61" s="79"/>
      <c r="HS61" s="79"/>
      <c r="HT61" s="79"/>
      <c r="HU61" s="79"/>
      <c r="HV61" s="79"/>
      <c r="HW61" s="79"/>
      <c r="HX61" s="79"/>
      <c r="HY61" s="79"/>
      <c r="HZ61" s="79"/>
      <c r="IA61" s="79"/>
      <c r="IB61" s="79"/>
      <c r="IC61" s="79"/>
      <c r="ID61" s="79"/>
      <c r="IE61" s="79"/>
      <c r="IF61" s="79"/>
      <c r="IG61" s="79"/>
      <c r="IH61" s="79"/>
      <c r="II61" s="79"/>
      <c r="IJ61" s="79"/>
      <c r="IK61" s="79"/>
      <c r="IL61" s="79"/>
      <c r="IM61" s="79"/>
      <c r="IN61" s="79"/>
      <c r="IO61" s="79"/>
      <c r="IP61" s="79"/>
      <c r="IQ61" s="79"/>
      <c r="IR61" s="79"/>
      <c r="IS61" s="79"/>
      <c r="IT61" s="79"/>
      <c r="IU61" s="79"/>
      <c r="IV61" s="79"/>
      <c r="IW61" s="79"/>
      <c r="IX61" s="79"/>
      <c r="IY61" s="79"/>
      <c r="IZ61" s="79"/>
      <c r="JA61" s="79"/>
      <c r="JB61" s="79"/>
      <c r="JC61" s="79"/>
      <c r="JD61" s="79"/>
      <c r="JE61" s="79"/>
      <c r="JF61" s="79"/>
      <c r="JG61" s="79"/>
      <c r="JH61" s="79"/>
      <c r="JI61" s="79"/>
      <c r="JJ61" s="79"/>
      <c r="JK61" s="79"/>
      <c r="JL61" s="79"/>
      <c r="JM61" s="79"/>
      <c r="JN61" s="79"/>
      <c r="JO61" s="79"/>
      <c r="JP61" s="79"/>
      <c r="JQ61" s="79"/>
      <c r="JR61" s="79"/>
      <c r="JS61" s="79"/>
      <c r="JT61" s="79"/>
      <c r="JU61" s="79"/>
      <c r="JV61" s="79"/>
      <c r="JW61" s="79"/>
      <c r="JX61" s="79"/>
      <c r="JY61" s="79"/>
      <c r="JZ61" s="79"/>
      <c r="KA61" s="79"/>
      <c r="KB61" s="79"/>
      <c r="KC61" s="79"/>
      <c r="KD61" s="79"/>
      <c r="KE61" s="79"/>
      <c r="KF61" s="79"/>
      <c r="KG61" s="79"/>
      <c r="KH61" s="79"/>
      <c r="KI61" s="79"/>
      <c r="KJ61" s="79"/>
      <c r="KK61" s="79"/>
      <c r="KL61" s="79"/>
      <c r="KM61" s="79"/>
      <c r="KN61" s="79"/>
      <c r="KO61" s="79"/>
      <c r="KP61" s="79"/>
      <c r="KQ61" s="79"/>
      <c r="KR61" s="79"/>
      <c r="KS61" s="79"/>
      <c r="KT61" s="79"/>
      <c r="KU61" s="79"/>
      <c r="KV61" s="79"/>
      <c r="KW61" s="79"/>
      <c r="KX61" s="79"/>
      <c r="KY61" s="79"/>
      <c r="KZ61" s="79"/>
      <c r="LA61" s="79"/>
      <c r="LB61" s="79"/>
      <c r="LC61" s="79"/>
      <c r="LD61" s="79"/>
      <c r="LE61" s="79"/>
      <c r="LF61" s="79"/>
      <c r="LG61" s="79"/>
      <c r="LH61" s="79"/>
      <c r="LI61" s="79"/>
      <c r="LJ61" s="79"/>
      <c r="LK61" s="79"/>
      <c r="LL61" s="79"/>
      <c r="LM61" s="79"/>
      <c r="LN61" s="79"/>
      <c r="LO61" s="79"/>
      <c r="LP61" s="79"/>
      <c r="LQ61" s="79"/>
      <c r="LR61" s="79"/>
      <c r="LS61" s="79"/>
      <c r="LT61" s="79"/>
      <c r="LU61" s="79"/>
      <c r="LV61" s="79"/>
      <c r="LW61" s="79"/>
      <c r="LX61" s="79"/>
      <c r="LY61" s="79"/>
      <c r="LZ61" s="79"/>
      <c r="MA61" s="79"/>
      <c r="MB61" s="79"/>
      <c r="MC61" s="79"/>
      <c r="MD61" s="79"/>
      <c r="ME61" s="79"/>
      <c r="MF61" s="79"/>
      <c r="MG61" s="79"/>
      <c r="MH61" s="79"/>
      <c r="MI61" s="79"/>
      <c r="MJ61" s="79"/>
      <c r="MK61" s="79"/>
      <c r="ML61" s="79"/>
      <c r="MM61" s="79"/>
      <c r="MN61" s="79"/>
      <c r="MO61" s="79"/>
      <c r="MP61" s="79"/>
      <c r="MQ61" s="79"/>
      <c r="MR61" s="79"/>
      <c r="MS61" s="79"/>
      <c r="MT61" s="79"/>
      <c r="MU61" s="79"/>
      <c r="MV61" s="79"/>
      <c r="MW61" s="79"/>
      <c r="MX61" s="79"/>
      <c r="MY61" s="79"/>
      <c r="MZ61" s="79"/>
      <c r="NA61" s="79"/>
      <c r="NB61" s="79"/>
      <c r="NC61" s="79"/>
      <c r="ND61" s="79"/>
      <c r="NE61" s="79"/>
      <c r="NF61" s="79"/>
      <c r="NG61" s="79"/>
      <c r="NH61" s="79"/>
      <c r="NI61" s="79"/>
      <c r="NJ61" s="79"/>
      <c r="NK61" s="79"/>
      <c r="NL61" s="79"/>
      <c r="NM61" s="79"/>
      <c r="NN61" s="79"/>
      <c r="NO61" s="79"/>
      <c r="NP61" s="79"/>
      <c r="NQ61" s="79"/>
      <c r="NR61" s="79"/>
      <c r="NS61" s="79"/>
      <c r="NT61" s="79"/>
      <c r="NU61" s="79"/>
      <c r="NV61" s="79"/>
      <c r="NW61" s="79"/>
      <c r="NX61" s="79"/>
      <c r="NY61" s="79"/>
      <c r="NZ61" s="79"/>
      <c r="OA61" s="79"/>
      <c r="OB61" s="79"/>
      <c r="OC61" s="79"/>
      <c r="OD61" s="79"/>
      <c r="OE61" s="79"/>
      <c r="OF61" s="79"/>
      <c r="OG61" s="79"/>
      <c r="OH61" s="79"/>
      <c r="OI61" s="79"/>
      <c r="OJ61" s="79"/>
      <c r="OK61" s="79"/>
      <c r="OL61" s="79"/>
      <c r="OM61" s="79"/>
      <c r="ON61" s="79"/>
      <c r="OO61" s="79"/>
      <c r="OP61" s="79"/>
      <c r="OQ61" s="79"/>
      <c r="OR61" s="79"/>
      <c r="OS61" s="79"/>
      <c r="OT61" s="79"/>
      <c r="OU61" s="79"/>
      <c r="OV61" s="79"/>
      <c r="OW61" s="79"/>
      <c r="OX61" s="79"/>
      <c r="OY61" s="79"/>
      <c r="OZ61" s="79"/>
      <c r="PA61" s="79"/>
      <c r="PB61" s="79"/>
      <c r="PC61" s="79"/>
      <c r="PD61" s="79"/>
      <c r="PE61" s="79"/>
      <c r="PF61" s="79"/>
      <c r="PG61" s="79"/>
      <c r="PH61" s="79"/>
      <c r="PI61" s="79"/>
      <c r="PJ61" s="79"/>
      <c r="PK61" s="79"/>
      <c r="PL61" s="79"/>
      <c r="PM61" s="79"/>
      <c r="PN61" s="79"/>
      <c r="PO61" s="79"/>
      <c r="PP61" s="79"/>
      <c r="PQ61" s="79"/>
      <c r="PR61" s="79"/>
      <c r="PS61" s="79"/>
      <c r="PT61" s="79"/>
      <c r="PU61" s="79"/>
      <c r="PV61" s="79"/>
      <c r="PW61" s="79"/>
      <c r="PX61" s="79"/>
      <c r="PY61" s="79"/>
      <c r="PZ61" s="79"/>
      <c r="QA61" s="79"/>
      <c r="QB61" s="79"/>
      <c r="QC61" s="79"/>
      <c r="QD61" s="79"/>
      <c r="QE61" s="79"/>
      <c r="QF61" s="79"/>
      <c r="QG61" s="79"/>
      <c r="QH61" s="79"/>
      <c r="QI61" s="79"/>
      <c r="QJ61" s="79"/>
      <c r="QK61" s="79"/>
      <c r="QL61" s="79"/>
      <c r="QM61" s="79"/>
      <c r="QN61" s="79"/>
      <c r="QO61" s="79"/>
      <c r="QP61" s="79"/>
      <c r="QQ61" s="79"/>
      <c r="QR61" s="79"/>
      <c r="QS61" s="79"/>
      <c r="QT61" s="79"/>
      <c r="QU61" s="79"/>
      <c r="QV61" s="79"/>
      <c r="QW61" s="79"/>
      <c r="QX61" s="79"/>
      <c r="QY61" s="79"/>
      <c r="QZ61" s="79"/>
      <c r="RA61" s="79"/>
      <c r="RB61" s="79"/>
      <c r="RC61" s="79"/>
      <c r="RD61" s="79"/>
      <c r="RE61" s="79"/>
      <c r="RF61" s="79"/>
      <c r="RG61" s="79"/>
      <c r="RH61" s="79"/>
      <c r="RI61" s="79"/>
      <c r="RJ61" s="79"/>
      <c r="RK61" s="79"/>
      <c r="RL61" s="79"/>
      <c r="RM61" s="79"/>
      <c r="RN61" s="79"/>
      <c r="RO61" s="79"/>
      <c r="RP61" s="79"/>
      <c r="RQ61" s="79"/>
      <c r="RR61" s="79"/>
      <c r="RS61" s="79"/>
      <c r="RT61" s="79"/>
      <c r="RU61" s="79"/>
      <c r="RV61" s="79"/>
      <c r="RW61" s="79"/>
      <c r="RX61" s="79"/>
      <c r="RY61" s="79"/>
      <c r="RZ61" s="79"/>
      <c r="SA61" s="79"/>
      <c r="SB61" s="79"/>
      <c r="SC61" s="79"/>
      <c r="SD61" s="79"/>
      <c r="SE61" s="79"/>
      <c r="SF61" s="79"/>
      <c r="SG61" s="79"/>
      <c r="SH61" s="79"/>
      <c r="SI61" s="79"/>
      <c r="SJ61" s="79"/>
    </row>
    <row r="62" spans="2:504" x14ac:dyDescent="0.25">
      <c r="B62" s="36" t="str">
        <f>'Pay App 1'!B112</f>
        <v>09 90 00</v>
      </c>
      <c r="C62" s="37" t="str">
        <f>'Pay App 1'!C112</f>
        <v>Painting</v>
      </c>
      <c r="D62" s="82">
        <f t="shared" si="8"/>
        <v>0</v>
      </c>
      <c r="E62" s="79"/>
      <c r="F62" s="79"/>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79"/>
      <c r="NF62" s="79"/>
      <c r="NG62" s="79"/>
      <c r="NH62" s="79"/>
      <c r="NI62" s="79"/>
      <c r="NJ62" s="79"/>
      <c r="NK62" s="79"/>
      <c r="NL62" s="79"/>
      <c r="NM62" s="79"/>
      <c r="NN62" s="79"/>
      <c r="NO62" s="79"/>
      <c r="NP62" s="79"/>
      <c r="NQ62" s="79"/>
      <c r="NR62" s="79"/>
      <c r="NS62" s="79"/>
      <c r="NT62" s="79"/>
      <c r="NU62" s="79"/>
      <c r="NV62" s="79"/>
      <c r="NW62" s="79"/>
      <c r="NX62" s="79"/>
      <c r="NY62" s="79"/>
      <c r="NZ62" s="79"/>
      <c r="OA62" s="79"/>
      <c r="OB62" s="79"/>
      <c r="OC62" s="79"/>
      <c r="OD62" s="79"/>
      <c r="OE62" s="79"/>
      <c r="OF62" s="79"/>
      <c r="OG62" s="79"/>
      <c r="OH62" s="79"/>
      <c r="OI62" s="79"/>
      <c r="OJ62" s="79"/>
      <c r="OK62" s="79"/>
      <c r="OL62" s="79"/>
      <c r="OM62" s="79"/>
      <c r="ON62" s="79"/>
      <c r="OO62" s="79"/>
      <c r="OP62" s="79"/>
      <c r="OQ62" s="79"/>
      <c r="OR62" s="79"/>
      <c r="OS62" s="79"/>
      <c r="OT62" s="79"/>
      <c r="OU62" s="79"/>
      <c r="OV62" s="79"/>
      <c r="OW62" s="79"/>
      <c r="OX62" s="79"/>
      <c r="OY62" s="79"/>
      <c r="OZ62" s="79"/>
      <c r="PA62" s="79"/>
      <c r="PB62" s="79"/>
      <c r="PC62" s="79"/>
      <c r="PD62" s="79"/>
      <c r="PE62" s="79"/>
      <c r="PF62" s="79"/>
      <c r="PG62" s="79"/>
      <c r="PH62" s="79"/>
      <c r="PI62" s="79"/>
      <c r="PJ62" s="79"/>
      <c r="PK62" s="79"/>
      <c r="PL62" s="79"/>
      <c r="PM62" s="79"/>
      <c r="PN62" s="79"/>
      <c r="PO62" s="79"/>
      <c r="PP62" s="79"/>
      <c r="PQ62" s="79"/>
      <c r="PR62" s="79"/>
      <c r="PS62" s="79"/>
      <c r="PT62" s="79"/>
      <c r="PU62" s="79"/>
      <c r="PV62" s="79"/>
      <c r="PW62" s="79"/>
      <c r="PX62" s="79"/>
      <c r="PY62" s="79"/>
      <c r="PZ62" s="79"/>
      <c r="QA62" s="79"/>
      <c r="QB62" s="79"/>
      <c r="QC62" s="79"/>
      <c r="QD62" s="79"/>
      <c r="QE62" s="79"/>
      <c r="QF62" s="79"/>
      <c r="QG62" s="79"/>
      <c r="QH62" s="79"/>
      <c r="QI62" s="79"/>
      <c r="QJ62" s="79"/>
      <c r="QK62" s="79"/>
      <c r="QL62" s="79"/>
      <c r="QM62" s="79"/>
      <c r="QN62" s="79"/>
      <c r="QO62" s="79"/>
      <c r="QP62" s="79"/>
      <c r="QQ62" s="79"/>
      <c r="QR62" s="79"/>
      <c r="QS62" s="79"/>
      <c r="QT62" s="79"/>
      <c r="QU62" s="79"/>
      <c r="QV62" s="79"/>
      <c r="QW62" s="79"/>
      <c r="QX62" s="79"/>
      <c r="QY62" s="79"/>
      <c r="QZ62" s="79"/>
      <c r="RA62" s="79"/>
      <c r="RB62" s="79"/>
      <c r="RC62" s="79"/>
      <c r="RD62" s="79"/>
      <c r="RE62" s="79"/>
      <c r="RF62" s="79"/>
      <c r="RG62" s="79"/>
      <c r="RH62" s="79"/>
      <c r="RI62" s="79"/>
      <c r="RJ62" s="79"/>
      <c r="RK62" s="79"/>
      <c r="RL62" s="79"/>
      <c r="RM62" s="79"/>
      <c r="RN62" s="79"/>
      <c r="RO62" s="79"/>
      <c r="RP62" s="79"/>
      <c r="RQ62" s="79"/>
      <c r="RR62" s="79"/>
      <c r="RS62" s="79"/>
      <c r="RT62" s="79"/>
      <c r="RU62" s="79"/>
      <c r="RV62" s="79"/>
      <c r="RW62" s="79"/>
      <c r="RX62" s="79"/>
      <c r="RY62" s="79"/>
      <c r="RZ62" s="79"/>
      <c r="SA62" s="79"/>
      <c r="SB62" s="79"/>
      <c r="SC62" s="79"/>
      <c r="SD62" s="79"/>
      <c r="SE62" s="79"/>
      <c r="SF62" s="79"/>
      <c r="SG62" s="79"/>
      <c r="SH62" s="79"/>
      <c r="SI62" s="79"/>
      <c r="SJ62" s="79"/>
    </row>
    <row r="63" spans="2:504" x14ac:dyDescent="0.25">
      <c r="B63" s="38" t="str">
        <f>'Pay App 1'!B113</f>
        <v>10 00 00</v>
      </c>
      <c r="C63" s="39" t="str">
        <f>'Pay App 1'!C113</f>
        <v>Specialties</v>
      </c>
      <c r="D63" s="82">
        <f t="shared" si="8"/>
        <v>0</v>
      </c>
      <c r="E63" s="79"/>
      <c r="F63" s="79"/>
      <c r="G63" s="79"/>
      <c r="H63" s="79"/>
      <c r="I63" s="79"/>
      <c r="J63" s="79"/>
      <c r="K63" s="79"/>
      <c r="L63" s="79"/>
      <c r="M63" s="79"/>
      <c r="N63" s="79"/>
      <c r="O63" s="79"/>
      <c r="P63" s="79"/>
      <c r="Q63" s="79"/>
      <c r="R63" s="79"/>
      <c r="S63" s="79"/>
      <c r="T63" s="79"/>
      <c r="U63" s="79"/>
      <c r="V63" s="79"/>
      <c r="W63" s="79"/>
      <c r="X63" s="79"/>
      <c r="Y63" s="79"/>
      <c r="Z63" s="79"/>
      <c r="AA63" s="79"/>
      <c r="AB63" s="79"/>
      <c r="AC63" s="79"/>
      <c r="AD63" s="79"/>
      <c r="AE63" s="79"/>
      <c r="AF63" s="79"/>
      <c r="AG63" s="79"/>
      <c r="AH63" s="79"/>
      <c r="AI63" s="79"/>
      <c r="AJ63" s="79"/>
      <c r="AK63" s="79"/>
      <c r="AL63" s="79"/>
      <c r="AM63" s="79"/>
      <c r="AN63" s="79"/>
      <c r="AO63" s="79"/>
      <c r="AP63" s="79"/>
      <c r="AQ63" s="79"/>
      <c r="AR63" s="79"/>
      <c r="AS63" s="79"/>
      <c r="AT63" s="79"/>
      <c r="AU63" s="79"/>
      <c r="AV63" s="79"/>
      <c r="AW63" s="79"/>
      <c r="AX63" s="79"/>
      <c r="AY63" s="79"/>
      <c r="AZ63" s="79"/>
      <c r="BA63" s="79"/>
      <c r="BB63" s="79"/>
      <c r="BC63" s="79"/>
      <c r="BD63" s="79"/>
      <c r="BE63" s="79"/>
      <c r="BF63" s="79"/>
      <c r="BG63" s="79"/>
      <c r="BH63" s="79"/>
      <c r="BI63" s="79"/>
      <c r="BJ63" s="79"/>
      <c r="BK63" s="79"/>
      <c r="BL63" s="79"/>
      <c r="BM63" s="79"/>
      <c r="BN63" s="79"/>
      <c r="BO63" s="79"/>
      <c r="BP63" s="79"/>
      <c r="BQ63" s="79"/>
      <c r="BR63" s="79"/>
      <c r="BS63" s="79"/>
      <c r="BT63" s="79"/>
      <c r="BU63" s="79"/>
      <c r="BV63" s="79"/>
      <c r="BW63" s="79"/>
      <c r="BX63" s="79"/>
      <c r="BY63" s="79"/>
      <c r="BZ63" s="79"/>
      <c r="CA63" s="79"/>
      <c r="CB63" s="79"/>
      <c r="CC63" s="79"/>
      <c r="CD63" s="79"/>
      <c r="CE63" s="79"/>
      <c r="CF63" s="79"/>
      <c r="CG63" s="79"/>
      <c r="CH63" s="79"/>
      <c r="CI63" s="79"/>
      <c r="CJ63" s="79"/>
      <c r="CK63" s="79"/>
      <c r="CL63" s="79"/>
      <c r="CM63" s="79"/>
      <c r="CN63" s="79"/>
      <c r="CO63" s="79"/>
      <c r="CP63" s="79"/>
      <c r="CQ63" s="79"/>
      <c r="CR63" s="79"/>
      <c r="CS63" s="79"/>
      <c r="CT63" s="79"/>
      <c r="CU63" s="79"/>
      <c r="CV63" s="79"/>
      <c r="CW63" s="79"/>
      <c r="CX63" s="79"/>
      <c r="CY63" s="79"/>
      <c r="CZ63" s="79"/>
      <c r="DA63" s="79"/>
      <c r="DB63" s="79"/>
      <c r="DC63" s="79"/>
      <c r="DD63" s="79"/>
      <c r="DE63" s="79"/>
      <c r="DF63" s="79"/>
      <c r="DG63" s="79"/>
      <c r="DH63" s="79"/>
      <c r="DI63" s="79"/>
      <c r="DJ63" s="79"/>
      <c r="DK63" s="79"/>
      <c r="DL63" s="79"/>
      <c r="DM63" s="79"/>
      <c r="DN63" s="79"/>
      <c r="DO63" s="79"/>
      <c r="DP63" s="79"/>
      <c r="DQ63" s="79"/>
      <c r="DR63" s="79"/>
      <c r="DS63" s="79"/>
      <c r="DT63" s="79"/>
      <c r="DU63" s="79"/>
      <c r="DV63" s="79"/>
      <c r="DW63" s="79"/>
      <c r="DX63" s="79"/>
      <c r="DY63" s="79"/>
      <c r="DZ63" s="79"/>
      <c r="EA63" s="79"/>
      <c r="EB63" s="79"/>
      <c r="EC63" s="79"/>
      <c r="ED63" s="79"/>
      <c r="EE63" s="79"/>
      <c r="EF63" s="79"/>
      <c r="EG63" s="79"/>
      <c r="EH63" s="79"/>
      <c r="EI63" s="79"/>
      <c r="EJ63" s="79"/>
      <c r="EK63" s="79"/>
      <c r="EL63" s="79"/>
      <c r="EM63" s="79"/>
      <c r="EN63" s="79"/>
      <c r="EO63" s="79"/>
      <c r="EP63" s="79"/>
      <c r="EQ63" s="79"/>
      <c r="ER63" s="79"/>
      <c r="ES63" s="79"/>
      <c r="ET63" s="79"/>
      <c r="EU63" s="79"/>
      <c r="EV63" s="79"/>
      <c r="EW63" s="79"/>
      <c r="EX63" s="79"/>
      <c r="EY63" s="79"/>
      <c r="EZ63" s="79"/>
      <c r="FA63" s="79"/>
      <c r="FB63" s="79"/>
      <c r="FC63" s="79"/>
      <c r="FD63" s="79"/>
      <c r="FE63" s="79"/>
      <c r="FF63" s="79"/>
      <c r="FG63" s="79"/>
      <c r="FH63" s="79"/>
      <c r="FI63" s="79"/>
      <c r="FJ63" s="79"/>
      <c r="FK63" s="79"/>
      <c r="FL63" s="79"/>
      <c r="FM63" s="79"/>
      <c r="FN63" s="79"/>
      <c r="FO63" s="79"/>
      <c r="FP63" s="79"/>
      <c r="FQ63" s="79"/>
      <c r="FR63" s="79"/>
      <c r="FS63" s="79"/>
      <c r="FT63" s="79"/>
      <c r="FU63" s="79"/>
      <c r="FV63" s="79"/>
      <c r="FW63" s="79"/>
      <c r="FX63" s="79"/>
      <c r="FY63" s="79"/>
      <c r="FZ63" s="79"/>
      <c r="GA63" s="79"/>
      <c r="GB63" s="79"/>
      <c r="GC63" s="79"/>
      <c r="GD63" s="79"/>
      <c r="GE63" s="79"/>
      <c r="GF63" s="79"/>
      <c r="GG63" s="79"/>
      <c r="GH63" s="79"/>
      <c r="GI63" s="79"/>
      <c r="GJ63" s="79"/>
      <c r="GK63" s="79"/>
      <c r="GL63" s="79"/>
      <c r="GM63" s="79"/>
      <c r="GN63" s="79"/>
      <c r="GO63" s="79"/>
      <c r="GP63" s="79"/>
      <c r="GQ63" s="79"/>
      <c r="GR63" s="79"/>
      <c r="GS63" s="79"/>
      <c r="GT63" s="79"/>
      <c r="GU63" s="79"/>
      <c r="GV63" s="79"/>
      <c r="GW63" s="79"/>
      <c r="GX63" s="79"/>
      <c r="GY63" s="79"/>
      <c r="GZ63" s="79"/>
      <c r="HA63" s="79"/>
      <c r="HB63" s="79"/>
      <c r="HC63" s="79"/>
      <c r="HD63" s="79"/>
      <c r="HE63" s="79"/>
      <c r="HF63" s="79"/>
      <c r="HG63" s="79"/>
      <c r="HH63" s="79"/>
      <c r="HI63" s="79"/>
      <c r="HJ63" s="79"/>
      <c r="HK63" s="79"/>
      <c r="HL63" s="79"/>
      <c r="HM63" s="79"/>
      <c r="HN63" s="79"/>
      <c r="HO63" s="79"/>
      <c r="HP63" s="79"/>
      <c r="HQ63" s="79"/>
      <c r="HR63" s="79"/>
      <c r="HS63" s="79"/>
      <c r="HT63" s="79"/>
      <c r="HU63" s="79"/>
      <c r="HV63" s="79"/>
      <c r="HW63" s="79"/>
      <c r="HX63" s="79"/>
      <c r="HY63" s="79"/>
      <c r="HZ63" s="79"/>
      <c r="IA63" s="79"/>
      <c r="IB63" s="79"/>
      <c r="IC63" s="79"/>
      <c r="ID63" s="79"/>
      <c r="IE63" s="79"/>
      <c r="IF63" s="79"/>
      <c r="IG63" s="79"/>
      <c r="IH63" s="79"/>
      <c r="II63" s="79"/>
      <c r="IJ63" s="79"/>
      <c r="IK63" s="79"/>
      <c r="IL63" s="79"/>
      <c r="IM63" s="79"/>
      <c r="IN63" s="79"/>
      <c r="IO63" s="79"/>
      <c r="IP63" s="79"/>
      <c r="IQ63" s="79"/>
      <c r="IR63" s="79"/>
      <c r="IS63" s="79"/>
      <c r="IT63" s="79"/>
      <c r="IU63" s="79"/>
      <c r="IV63" s="79"/>
      <c r="IW63" s="79"/>
      <c r="IX63" s="79"/>
      <c r="IY63" s="79"/>
      <c r="IZ63" s="79"/>
      <c r="JA63" s="79"/>
      <c r="JB63" s="79"/>
      <c r="JC63" s="79"/>
      <c r="JD63" s="79"/>
      <c r="JE63" s="79"/>
      <c r="JF63" s="79"/>
      <c r="JG63" s="79"/>
      <c r="JH63" s="79"/>
      <c r="JI63" s="79"/>
      <c r="JJ63" s="79"/>
      <c r="JK63" s="79"/>
      <c r="JL63" s="79"/>
      <c r="JM63" s="79"/>
      <c r="JN63" s="79"/>
      <c r="JO63" s="79"/>
      <c r="JP63" s="79"/>
      <c r="JQ63" s="79"/>
      <c r="JR63" s="79"/>
      <c r="JS63" s="79"/>
      <c r="JT63" s="79"/>
      <c r="JU63" s="79"/>
      <c r="JV63" s="79"/>
      <c r="JW63" s="79"/>
      <c r="JX63" s="79"/>
      <c r="JY63" s="79"/>
      <c r="JZ63" s="79"/>
      <c r="KA63" s="79"/>
      <c r="KB63" s="79"/>
      <c r="KC63" s="79"/>
      <c r="KD63" s="79"/>
      <c r="KE63" s="79"/>
      <c r="KF63" s="79"/>
      <c r="KG63" s="79"/>
      <c r="KH63" s="79"/>
      <c r="KI63" s="79"/>
      <c r="KJ63" s="79"/>
      <c r="KK63" s="79"/>
      <c r="KL63" s="79"/>
      <c r="KM63" s="79"/>
      <c r="KN63" s="79"/>
      <c r="KO63" s="79"/>
      <c r="KP63" s="79"/>
      <c r="KQ63" s="79"/>
      <c r="KR63" s="79"/>
      <c r="KS63" s="79"/>
      <c r="KT63" s="79"/>
      <c r="KU63" s="79"/>
      <c r="KV63" s="79"/>
      <c r="KW63" s="79"/>
      <c r="KX63" s="79"/>
      <c r="KY63" s="79"/>
      <c r="KZ63" s="79"/>
      <c r="LA63" s="79"/>
      <c r="LB63" s="79"/>
      <c r="LC63" s="79"/>
      <c r="LD63" s="79"/>
      <c r="LE63" s="79"/>
      <c r="LF63" s="79"/>
      <c r="LG63" s="79"/>
      <c r="LH63" s="79"/>
      <c r="LI63" s="79"/>
      <c r="LJ63" s="79"/>
      <c r="LK63" s="79"/>
      <c r="LL63" s="79"/>
      <c r="LM63" s="79"/>
      <c r="LN63" s="79"/>
      <c r="LO63" s="79"/>
      <c r="LP63" s="79"/>
      <c r="LQ63" s="79"/>
      <c r="LR63" s="79"/>
      <c r="LS63" s="79"/>
      <c r="LT63" s="79"/>
      <c r="LU63" s="79"/>
      <c r="LV63" s="79"/>
      <c r="LW63" s="79"/>
      <c r="LX63" s="79"/>
      <c r="LY63" s="79"/>
      <c r="LZ63" s="79"/>
      <c r="MA63" s="79"/>
      <c r="MB63" s="79"/>
      <c r="MC63" s="79"/>
      <c r="MD63" s="79"/>
      <c r="ME63" s="79"/>
      <c r="MF63" s="79"/>
      <c r="MG63" s="79"/>
      <c r="MH63" s="79"/>
      <c r="MI63" s="79"/>
      <c r="MJ63" s="79"/>
      <c r="MK63" s="79"/>
      <c r="ML63" s="79"/>
      <c r="MM63" s="79"/>
      <c r="MN63" s="79"/>
      <c r="MO63" s="79"/>
      <c r="MP63" s="79"/>
      <c r="MQ63" s="79"/>
      <c r="MR63" s="79"/>
      <c r="MS63" s="79"/>
      <c r="MT63" s="79"/>
      <c r="MU63" s="79"/>
      <c r="MV63" s="79"/>
      <c r="MW63" s="79"/>
      <c r="MX63" s="79"/>
      <c r="MY63" s="79"/>
      <c r="MZ63" s="79"/>
      <c r="NA63" s="79"/>
      <c r="NB63" s="79"/>
      <c r="NC63" s="79"/>
      <c r="ND63" s="79"/>
      <c r="NE63" s="79"/>
      <c r="NF63" s="79"/>
      <c r="NG63" s="79"/>
      <c r="NH63" s="79"/>
      <c r="NI63" s="79"/>
      <c r="NJ63" s="79"/>
      <c r="NK63" s="79"/>
      <c r="NL63" s="79"/>
      <c r="NM63" s="79"/>
      <c r="NN63" s="79"/>
      <c r="NO63" s="79"/>
      <c r="NP63" s="79"/>
      <c r="NQ63" s="79"/>
      <c r="NR63" s="79"/>
      <c r="NS63" s="79"/>
      <c r="NT63" s="79"/>
      <c r="NU63" s="79"/>
      <c r="NV63" s="79"/>
      <c r="NW63" s="79"/>
      <c r="NX63" s="79"/>
      <c r="NY63" s="79"/>
      <c r="NZ63" s="79"/>
      <c r="OA63" s="79"/>
      <c r="OB63" s="79"/>
      <c r="OC63" s="79"/>
      <c r="OD63" s="79"/>
      <c r="OE63" s="79"/>
      <c r="OF63" s="79"/>
      <c r="OG63" s="79"/>
      <c r="OH63" s="79"/>
      <c r="OI63" s="79"/>
      <c r="OJ63" s="79"/>
      <c r="OK63" s="79"/>
      <c r="OL63" s="79"/>
      <c r="OM63" s="79"/>
      <c r="ON63" s="79"/>
      <c r="OO63" s="79"/>
      <c r="OP63" s="79"/>
      <c r="OQ63" s="79"/>
      <c r="OR63" s="79"/>
      <c r="OS63" s="79"/>
      <c r="OT63" s="79"/>
      <c r="OU63" s="79"/>
      <c r="OV63" s="79"/>
      <c r="OW63" s="79"/>
      <c r="OX63" s="79"/>
      <c r="OY63" s="79"/>
      <c r="OZ63" s="79"/>
      <c r="PA63" s="79"/>
      <c r="PB63" s="79"/>
      <c r="PC63" s="79"/>
      <c r="PD63" s="79"/>
      <c r="PE63" s="79"/>
      <c r="PF63" s="79"/>
      <c r="PG63" s="79"/>
      <c r="PH63" s="79"/>
      <c r="PI63" s="79"/>
      <c r="PJ63" s="79"/>
      <c r="PK63" s="79"/>
      <c r="PL63" s="79"/>
      <c r="PM63" s="79"/>
      <c r="PN63" s="79"/>
      <c r="PO63" s="79"/>
      <c r="PP63" s="79"/>
      <c r="PQ63" s="79"/>
      <c r="PR63" s="79"/>
      <c r="PS63" s="79"/>
      <c r="PT63" s="79"/>
      <c r="PU63" s="79"/>
      <c r="PV63" s="79"/>
      <c r="PW63" s="79"/>
      <c r="PX63" s="79"/>
      <c r="PY63" s="79"/>
      <c r="PZ63" s="79"/>
      <c r="QA63" s="79"/>
      <c r="QB63" s="79"/>
      <c r="QC63" s="79"/>
      <c r="QD63" s="79"/>
      <c r="QE63" s="79"/>
      <c r="QF63" s="79"/>
      <c r="QG63" s="79"/>
      <c r="QH63" s="79"/>
      <c r="QI63" s="79"/>
      <c r="QJ63" s="79"/>
      <c r="QK63" s="79"/>
      <c r="QL63" s="79"/>
      <c r="QM63" s="79"/>
      <c r="QN63" s="79"/>
      <c r="QO63" s="79"/>
      <c r="QP63" s="79"/>
      <c r="QQ63" s="79"/>
      <c r="QR63" s="79"/>
      <c r="QS63" s="79"/>
      <c r="QT63" s="79"/>
      <c r="QU63" s="79"/>
      <c r="QV63" s="79"/>
      <c r="QW63" s="79"/>
      <c r="QX63" s="79"/>
      <c r="QY63" s="79"/>
      <c r="QZ63" s="79"/>
      <c r="RA63" s="79"/>
      <c r="RB63" s="79"/>
      <c r="RC63" s="79"/>
      <c r="RD63" s="79"/>
      <c r="RE63" s="79"/>
      <c r="RF63" s="79"/>
      <c r="RG63" s="79"/>
      <c r="RH63" s="79"/>
      <c r="RI63" s="79"/>
      <c r="RJ63" s="79"/>
      <c r="RK63" s="79"/>
      <c r="RL63" s="79"/>
      <c r="RM63" s="79"/>
      <c r="RN63" s="79"/>
      <c r="RO63" s="79"/>
      <c r="RP63" s="79"/>
      <c r="RQ63" s="79"/>
      <c r="RR63" s="79"/>
      <c r="RS63" s="79"/>
      <c r="RT63" s="79"/>
      <c r="RU63" s="79"/>
      <c r="RV63" s="79"/>
      <c r="RW63" s="79"/>
      <c r="RX63" s="79"/>
      <c r="RY63" s="79"/>
      <c r="RZ63" s="79"/>
      <c r="SA63" s="79"/>
      <c r="SB63" s="79"/>
      <c r="SC63" s="79"/>
      <c r="SD63" s="79"/>
      <c r="SE63" s="79"/>
      <c r="SF63" s="79"/>
      <c r="SG63" s="79"/>
      <c r="SH63" s="79"/>
      <c r="SI63" s="79"/>
      <c r="SJ63" s="79"/>
    </row>
    <row r="64" spans="2:504" x14ac:dyDescent="0.25">
      <c r="B64" s="38" t="str">
        <f>'Pay App 1'!B114</f>
        <v>10 14 14</v>
      </c>
      <c r="C64" s="39" t="str">
        <f>'Pay App 1'!C114</f>
        <v>Exterior Signage</v>
      </c>
      <c r="D64" s="82">
        <f t="shared" si="8"/>
        <v>0</v>
      </c>
      <c r="E64" s="79"/>
      <c r="F64" s="79"/>
      <c r="G64" s="79"/>
      <c r="H64" s="79"/>
      <c r="I64" s="79"/>
      <c r="J64" s="79"/>
      <c r="K64" s="79"/>
      <c r="L64" s="79"/>
      <c r="M64" s="79"/>
      <c r="N64" s="79"/>
      <c r="O64" s="79"/>
      <c r="P64" s="79"/>
      <c r="Q64" s="79"/>
      <c r="R64" s="79"/>
      <c r="S64" s="79"/>
      <c r="T64" s="79"/>
      <c r="U64" s="79"/>
      <c r="V64" s="79"/>
      <c r="W64" s="79"/>
      <c r="X64" s="79"/>
      <c r="Y64" s="79"/>
      <c r="Z64" s="79"/>
      <c r="AA64" s="79"/>
      <c r="AB64" s="79"/>
      <c r="AC64" s="79"/>
      <c r="AD64" s="79"/>
      <c r="AE64" s="79"/>
      <c r="AF64" s="79"/>
      <c r="AG64" s="79"/>
      <c r="AH64" s="79"/>
      <c r="AI64" s="79"/>
      <c r="AJ64" s="79"/>
      <c r="AK64" s="79"/>
      <c r="AL64" s="79"/>
      <c r="AM64" s="79"/>
      <c r="AN64" s="79"/>
      <c r="AO64" s="79"/>
      <c r="AP64" s="79"/>
      <c r="AQ64" s="79"/>
      <c r="AR64" s="79"/>
      <c r="AS64" s="79"/>
      <c r="AT64" s="79"/>
      <c r="AU64" s="79"/>
      <c r="AV64" s="79"/>
      <c r="AW64" s="79"/>
      <c r="AX64" s="79"/>
      <c r="AY64" s="79"/>
      <c r="AZ64" s="79"/>
      <c r="BA64" s="79"/>
      <c r="BB64" s="79"/>
      <c r="BC64" s="79"/>
      <c r="BD64" s="79"/>
      <c r="BE64" s="79"/>
      <c r="BF64" s="79"/>
      <c r="BG64" s="79"/>
      <c r="BH64" s="79"/>
      <c r="BI64" s="79"/>
      <c r="BJ64" s="79"/>
      <c r="BK64" s="79"/>
      <c r="BL64" s="79"/>
      <c r="BM64" s="79"/>
      <c r="BN64" s="79"/>
      <c r="BO64" s="79"/>
      <c r="BP64" s="79"/>
      <c r="BQ64" s="79"/>
      <c r="BR64" s="79"/>
      <c r="BS64" s="79"/>
      <c r="BT64" s="79"/>
      <c r="BU64" s="79"/>
      <c r="BV64" s="79"/>
      <c r="BW64" s="79"/>
      <c r="BX64" s="79"/>
      <c r="BY64" s="79"/>
      <c r="BZ64" s="79"/>
      <c r="CA64" s="79"/>
      <c r="CB64" s="79"/>
      <c r="CC64" s="79"/>
      <c r="CD64" s="79"/>
      <c r="CE64" s="79"/>
      <c r="CF64" s="79"/>
      <c r="CG64" s="79"/>
      <c r="CH64" s="79"/>
      <c r="CI64" s="79"/>
      <c r="CJ64" s="79"/>
      <c r="CK64" s="79"/>
      <c r="CL64" s="79"/>
      <c r="CM64" s="79"/>
      <c r="CN64" s="79"/>
      <c r="CO64" s="79"/>
      <c r="CP64" s="79"/>
      <c r="CQ64" s="79"/>
      <c r="CR64" s="79"/>
      <c r="CS64" s="79"/>
      <c r="CT64" s="79"/>
      <c r="CU64" s="79"/>
      <c r="CV64" s="79"/>
      <c r="CW64" s="79"/>
      <c r="CX64" s="79"/>
      <c r="CY64" s="79"/>
      <c r="CZ64" s="79"/>
      <c r="DA64" s="79"/>
      <c r="DB64" s="79"/>
      <c r="DC64" s="79"/>
      <c r="DD64" s="79"/>
      <c r="DE64" s="79"/>
      <c r="DF64" s="79"/>
      <c r="DG64" s="79"/>
      <c r="DH64" s="79"/>
      <c r="DI64" s="79"/>
      <c r="DJ64" s="79"/>
      <c r="DK64" s="79"/>
      <c r="DL64" s="79"/>
      <c r="DM64" s="79"/>
      <c r="DN64" s="79"/>
      <c r="DO64" s="79"/>
      <c r="DP64" s="79"/>
      <c r="DQ64" s="79"/>
      <c r="DR64" s="79"/>
      <c r="DS64" s="79"/>
      <c r="DT64" s="79"/>
      <c r="DU64" s="79"/>
      <c r="DV64" s="79"/>
      <c r="DW64" s="79"/>
      <c r="DX64" s="79"/>
      <c r="DY64" s="79"/>
      <c r="DZ64" s="79"/>
      <c r="EA64" s="79"/>
      <c r="EB64" s="79"/>
      <c r="EC64" s="79"/>
      <c r="ED64" s="79"/>
      <c r="EE64" s="79"/>
      <c r="EF64" s="79"/>
      <c r="EG64" s="79"/>
      <c r="EH64" s="79"/>
      <c r="EI64" s="79"/>
      <c r="EJ64" s="79"/>
      <c r="EK64" s="79"/>
      <c r="EL64" s="79"/>
      <c r="EM64" s="79"/>
      <c r="EN64" s="79"/>
      <c r="EO64" s="79"/>
      <c r="EP64" s="79"/>
      <c r="EQ64" s="79"/>
      <c r="ER64" s="79"/>
      <c r="ES64" s="79"/>
      <c r="ET64" s="79"/>
      <c r="EU64" s="79"/>
      <c r="EV64" s="79"/>
      <c r="EW64" s="79"/>
      <c r="EX64" s="79"/>
      <c r="EY64" s="79"/>
      <c r="EZ64" s="79"/>
      <c r="FA64" s="79"/>
      <c r="FB64" s="79"/>
      <c r="FC64" s="79"/>
      <c r="FD64" s="79"/>
      <c r="FE64" s="79"/>
      <c r="FF64" s="79"/>
      <c r="FG64" s="79"/>
      <c r="FH64" s="79"/>
      <c r="FI64" s="79"/>
      <c r="FJ64" s="79"/>
      <c r="FK64" s="79"/>
      <c r="FL64" s="79"/>
      <c r="FM64" s="79"/>
      <c r="FN64" s="79"/>
      <c r="FO64" s="79"/>
      <c r="FP64" s="79"/>
      <c r="FQ64" s="79"/>
      <c r="FR64" s="79"/>
      <c r="FS64" s="79"/>
      <c r="FT64" s="79"/>
      <c r="FU64" s="79"/>
      <c r="FV64" s="79"/>
      <c r="FW64" s="79"/>
      <c r="FX64" s="79"/>
      <c r="FY64" s="79"/>
      <c r="FZ64" s="79"/>
      <c r="GA64" s="79"/>
      <c r="GB64" s="79"/>
      <c r="GC64" s="79"/>
      <c r="GD64" s="79"/>
      <c r="GE64" s="79"/>
      <c r="GF64" s="79"/>
      <c r="GG64" s="79"/>
      <c r="GH64" s="79"/>
      <c r="GI64" s="79"/>
      <c r="GJ64" s="79"/>
      <c r="GK64" s="79"/>
      <c r="GL64" s="79"/>
      <c r="GM64" s="79"/>
      <c r="GN64" s="79"/>
      <c r="GO64" s="79"/>
      <c r="GP64" s="79"/>
      <c r="GQ64" s="79"/>
      <c r="GR64" s="79"/>
      <c r="GS64" s="79"/>
      <c r="GT64" s="79"/>
      <c r="GU64" s="79"/>
      <c r="GV64" s="79"/>
      <c r="GW64" s="79"/>
      <c r="GX64" s="79"/>
      <c r="GY64" s="79"/>
      <c r="GZ64" s="79"/>
      <c r="HA64" s="79"/>
      <c r="HB64" s="79"/>
      <c r="HC64" s="79"/>
      <c r="HD64" s="79"/>
      <c r="HE64" s="79"/>
      <c r="HF64" s="79"/>
      <c r="HG64" s="79"/>
      <c r="HH64" s="79"/>
      <c r="HI64" s="79"/>
      <c r="HJ64" s="79"/>
      <c r="HK64" s="79"/>
      <c r="HL64" s="79"/>
      <c r="HM64" s="79"/>
      <c r="HN64" s="79"/>
      <c r="HO64" s="79"/>
      <c r="HP64" s="79"/>
      <c r="HQ64" s="79"/>
      <c r="HR64" s="79"/>
      <c r="HS64" s="79"/>
      <c r="HT64" s="79"/>
      <c r="HU64" s="79"/>
      <c r="HV64" s="79"/>
      <c r="HW64" s="79"/>
      <c r="HX64" s="79"/>
      <c r="HY64" s="79"/>
      <c r="HZ64" s="79"/>
      <c r="IA64" s="79"/>
      <c r="IB64" s="79"/>
      <c r="IC64" s="79"/>
      <c r="ID64" s="79"/>
      <c r="IE64" s="79"/>
      <c r="IF64" s="79"/>
      <c r="IG64" s="79"/>
      <c r="IH64" s="79"/>
      <c r="II64" s="79"/>
      <c r="IJ64" s="79"/>
      <c r="IK64" s="79"/>
      <c r="IL64" s="79"/>
      <c r="IM64" s="79"/>
      <c r="IN64" s="79"/>
      <c r="IO64" s="79"/>
      <c r="IP64" s="79"/>
      <c r="IQ64" s="79"/>
      <c r="IR64" s="79"/>
      <c r="IS64" s="79"/>
      <c r="IT64" s="79"/>
      <c r="IU64" s="79"/>
      <c r="IV64" s="79"/>
      <c r="IW64" s="79"/>
      <c r="IX64" s="79"/>
      <c r="IY64" s="79"/>
      <c r="IZ64" s="79"/>
      <c r="JA64" s="79"/>
      <c r="JB64" s="79"/>
      <c r="JC64" s="79"/>
      <c r="JD64" s="79"/>
      <c r="JE64" s="79"/>
      <c r="JF64" s="79"/>
      <c r="JG64" s="79"/>
      <c r="JH64" s="79"/>
      <c r="JI64" s="79"/>
      <c r="JJ64" s="79"/>
      <c r="JK64" s="79"/>
      <c r="JL64" s="79"/>
      <c r="JM64" s="79"/>
      <c r="JN64" s="79"/>
      <c r="JO64" s="79"/>
      <c r="JP64" s="79"/>
      <c r="JQ64" s="79"/>
      <c r="JR64" s="79"/>
      <c r="JS64" s="79"/>
      <c r="JT64" s="79"/>
      <c r="JU64" s="79"/>
      <c r="JV64" s="79"/>
      <c r="JW64" s="79"/>
      <c r="JX64" s="79"/>
      <c r="JY64" s="79"/>
      <c r="JZ64" s="79"/>
      <c r="KA64" s="79"/>
      <c r="KB64" s="79"/>
      <c r="KC64" s="79"/>
      <c r="KD64" s="79"/>
      <c r="KE64" s="79"/>
      <c r="KF64" s="79"/>
      <c r="KG64" s="79"/>
      <c r="KH64" s="79"/>
      <c r="KI64" s="79"/>
      <c r="KJ64" s="79"/>
      <c r="KK64" s="79"/>
      <c r="KL64" s="79"/>
      <c r="KM64" s="79"/>
      <c r="KN64" s="79"/>
      <c r="KO64" s="79"/>
      <c r="KP64" s="79"/>
      <c r="KQ64" s="79"/>
      <c r="KR64" s="79"/>
      <c r="KS64" s="79"/>
      <c r="KT64" s="79"/>
      <c r="KU64" s="79"/>
      <c r="KV64" s="79"/>
      <c r="KW64" s="79"/>
      <c r="KX64" s="79"/>
      <c r="KY64" s="79"/>
      <c r="KZ64" s="79"/>
      <c r="LA64" s="79"/>
      <c r="LB64" s="79"/>
      <c r="LC64" s="79"/>
      <c r="LD64" s="79"/>
      <c r="LE64" s="79"/>
      <c r="LF64" s="79"/>
      <c r="LG64" s="79"/>
      <c r="LH64" s="79"/>
      <c r="LI64" s="79"/>
      <c r="LJ64" s="79"/>
      <c r="LK64" s="79"/>
      <c r="LL64" s="79"/>
      <c r="LM64" s="79"/>
      <c r="LN64" s="79"/>
      <c r="LO64" s="79"/>
      <c r="LP64" s="79"/>
      <c r="LQ64" s="79"/>
      <c r="LR64" s="79"/>
      <c r="LS64" s="79"/>
      <c r="LT64" s="79"/>
      <c r="LU64" s="79"/>
      <c r="LV64" s="79"/>
      <c r="LW64" s="79"/>
      <c r="LX64" s="79"/>
      <c r="LY64" s="79"/>
      <c r="LZ64" s="79"/>
      <c r="MA64" s="79"/>
      <c r="MB64" s="79"/>
      <c r="MC64" s="79"/>
      <c r="MD64" s="79"/>
      <c r="ME64" s="79"/>
      <c r="MF64" s="79"/>
      <c r="MG64" s="79"/>
      <c r="MH64" s="79"/>
      <c r="MI64" s="79"/>
      <c r="MJ64" s="79"/>
      <c r="MK64" s="79"/>
      <c r="ML64" s="79"/>
      <c r="MM64" s="79"/>
      <c r="MN64" s="79"/>
      <c r="MO64" s="79"/>
      <c r="MP64" s="79"/>
      <c r="MQ64" s="79"/>
      <c r="MR64" s="79"/>
      <c r="MS64" s="79"/>
      <c r="MT64" s="79"/>
      <c r="MU64" s="79"/>
      <c r="MV64" s="79"/>
      <c r="MW64" s="79"/>
      <c r="MX64" s="79"/>
      <c r="MY64" s="79"/>
      <c r="MZ64" s="79"/>
      <c r="NA64" s="79"/>
      <c r="NB64" s="79"/>
      <c r="NC64" s="79"/>
      <c r="ND64" s="79"/>
      <c r="NE64" s="79"/>
      <c r="NF64" s="79"/>
      <c r="NG64" s="79"/>
      <c r="NH64" s="79"/>
      <c r="NI64" s="79"/>
      <c r="NJ64" s="79"/>
      <c r="NK64" s="79"/>
      <c r="NL64" s="79"/>
      <c r="NM64" s="79"/>
      <c r="NN64" s="79"/>
      <c r="NO64" s="79"/>
      <c r="NP64" s="79"/>
      <c r="NQ64" s="79"/>
      <c r="NR64" s="79"/>
      <c r="NS64" s="79"/>
      <c r="NT64" s="79"/>
      <c r="NU64" s="79"/>
      <c r="NV64" s="79"/>
      <c r="NW64" s="79"/>
      <c r="NX64" s="79"/>
      <c r="NY64" s="79"/>
      <c r="NZ64" s="79"/>
      <c r="OA64" s="79"/>
      <c r="OB64" s="79"/>
      <c r="OC64" s="79"/>
      <c r="OD64" s="79"/>
      <c r="OE64" s="79"/>
      <c r="OF64" s="79"/>
      <c r="OG64" s="79"/>
      <c r="OH64" s="79"/>
      <c r="OI64" s="79"/>
      <c r="OJ64" s="79"/>
      <c r="OK64" s="79"/>
      <c r="OL64" s="79"/>
      <c r="OM64" s="79"/>
      <c r="ON64" s="79"/>
      <c r="OO64" s="79"/>
      <c r="OP64" s="79"/>
      <c r="OQ64" s="79"/>
      <c r="OR64" s="79"/>
      <c r="OS64" s="79"/>
      <c r="OT64" s="79"/>
      <c r="OU64" s="79"/>
      <c r="OV64" s="79"/>
      <c r="OW64" s="79"/>
      <c r="OX64" s="79"/>
      <c r="OY64" s="79"/>
      <c r="OZ64" s="79"/>
      <c r="PA64" s="79"/>
      <c r="PB64" s="79"/>
      <c r="PC64" s="79"/>
      <c r="PD64" s="79"/>
      <c r="PE64" s="79"/>
      <c r="PF64" s="79"/>
      <c r="PG64" s="79"/>
      <c r="PH64" s="79"/>
      <c r="PI64" s="79"/>
      <c r="PJ64" s="79"/>
      <c r="PK64" s="79"/>
      <c r="PL64" s="79"/>
      <c r="PM64" s="79"/>
      <c r="PN64" s="79"/>
      <c r="PO64" s="79"/>
      <c r="PP64" s="79"/>
      <c r="PQ64" s="79"/>
      <c r="PR64" s="79"/>
      <c r="PS64" s="79"/>
      <c r="PT64" s="79"/>
      <c r="PU64" s="79"/>
      <c r="PV64" s="79"/>
      <c r="PW64" s="79"/>
      <c r="PX64" s="79"/>
      <c r="PY64" s="79"/>
      <c r="PZ64" s="79"/>
      <c r="QA64" s="79"/>
      <c r="QB64" s="79"/>
      <c r="QC64" s="79"/>
      <c r="QD64" s="79"/>
      <c r="QE64" s="79"/>
      <c r="QF64" s="79"/>
      <c r="QG64" s="79"/>
      <c r="QH64" s="79"/>
      <c r="QI64" s="79"/>
      <c r="QJ64" s="79"/>
      <c r="QK64" s="79"/>
      <c r="QL64" s="79"/>
      <c r="QM64" s="79"/>
      <c r="QN64" s="79"/>
      <c r="QO64" s="79"/>
      <c r="QP64" s="79"/>
      <c r="QQ64" s="79"/>
      <c r="QR64" s="79"/>
      <c r="QS64" s="79"/>
      <c r="QT64" s="79"/>
      <c r="QU64" s="79"/>
      <c r="QV64" s="79"/>
      <c r="QW64" s="79"/>
      <c r="QX64" s="79"/>
      <c r="QY64" s="79"/>
      <c r="QZ64" s="79"/>
      <c r="RA64" s="79"/>
      <c r="RB64" s="79"/>
      <c r="RC64" s="79"/>
      <c r="RD64" s="79"/>
      <c r="RE64" s="79"/>
      <c r="RF64" s="79"/>
      <c r="RG64" s="79"/>
      <c r="RH64" s="79"/>
      <c r="RI64" s="79"/>
      <c r="RJ64" s="79"/>
      <c r="RK64" s="79"/>
      <c r="RL64" s="79"/>
      <c r="RM64" s="79"/>
      <c r="RN64" s="79"/>
      <c r="RO64" s="79"/>
      <c r="RP64" s="79"/>
      <c r="RQ64" s="79"/>
      <c r="RR64" s="79"/>
      <c r="RS64" s="79"/>
      <c r="RT64" s="79"/>
      <c r="RU64" s="79"/>
      <c r="RV64" s="79"/>
      <c r="RW64" s="79"/>
      <c r="RX64" s="79"/>
      <c r="RY64" s="79"/>
      <c r="RZ64" s="79"/>
      <c r="SA64" s="79"/>
      <c r="SB64" s="79"/>
      <c r="SC64" s="79"/>
      <c r="SD64" s="79"/>
      <c r="SE64" s="79"/>
      <c r="SF64" s="79"/>
      <c r="SG64" s="79"/>
      <c r="SH64" s="79"/>
      <c r="SI64" s="79"/>
      <c r="SJ64" s="79"/>
    </row>
    <row r="65" spans="2:504" x14ac:dyDescent="0.25">
      <c r="B65" s="38" t="str">
        <f>'Pay App 1'!B115</f>
        <v>10 14 15</v>
      </c>
      <c r="C65" s="39" t="str">
        <f>'Pay App 1'!C115</f>
        <v>Interior Signage</v>
      </c>
      <c r="D65" s="82">
        <f t="shared" si="8"/>
        <v>0</v>
      </c>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c r="AL65" s="79"/>
      <c r="AM65" s="79"/>
      <c r="AN65" s="79"/>
      <c r="AO65" s="79"/>
      <c r="AP65" s="79"/>
      <c r="AQ65" s="79"/>
      <c r="AR65" s="79"/>
      <c r="AS65" s="79"/>
      <c r="AT65" s="79"/>
      <c r="AU65" s="79"/>
      <c r="AV65" s="79"/>
      <c r="AW65" s="79"/>
      <c r="AX65" s="79"/>
      <c r="AY65" s="79"/>
      <c r="AZ65" s="79"/>
      <c r="BA65" s="79"/>
      <c r="BB65" s="79"/>
      <c r="BC65" s="79"/>
      <c r="BD65" s="79"/>
      <c r="BE65" s="79"/>
      <c r="BF65" s="79"/>
      <c r="BG65" s="79"/>
      <c r="BH65" s="79"/>
      <c r="BI65" s="79"/>
      <c r="BJ65" s="79"/>
      <c r="BK65" s="79"/>
      <c r="BL65" s="79"/>
      <c r="BM65" s="79"/>
      <c r="BN65" s="79"/>
      <c r="BO65" s="79"/>
      <c r="BP65" s="79"/>
      <c r="BQ65" s="79"/>
      <c r="BR65" s="79"/>
      <c r="BS65" s="79"/>
      <c r="BT65" s="79"/>
      <c r="BU65" s="79"/>
      <c r="BV65" s="79"/>
      <c r="BW65" s="79"/>
      <c r="BX65" s="79"/>
      <c r="BY65" s="79"/>
      <c r="BZ65" s="79"/>
      <c r="CA65" s="79"/>
      <c r="CB65" s="79"/>
      <c r="CC65" s="79"/>
      <c r="CD65" s="79"/>
      <c r="CE65" s="79"/>
      <c r="CF65" s="79"/>
      <c r="CG65" s="79"/>
      <c r="CH65" s="79"/>
      <c r="CI65" s="79"/>
      <c r="CJ65" s="79"/>
      <c r="CK65" s="79"/>
      <c r="CL65" s="79"/>
      <c r="CM65" s="79"/>
      <c r="CN65" s="79"/>
      <c r="CO65" s="79"/>
      <c r="CP65" s="79"/>
      <c r="CQ65" s="79"/>
      <c r="CR65" s="79"/>
      <c r="CS65" s="79"/>
      <c r="CT65" s="79"/>
      <c r="CU65" s="79"/>
      <c r="CV65" s="79"/>
      <c r="CW65" s="79"/>
      <c r="CX65" s="79"/>
      <c r="CY65" s="79"/>
      <c r="CZ65" s="79"/>
      <c r="DA65" s="79"/>
      <c r="DB65" s="79"/>
      <c r="DC65" s="79"/>
      <c r="DD65" s="79"/>
      <c r="DE65" s="79"/>
      <c r="DF65" s="79"/>
      <c r="DG65" s="79"/>
      <c r="DH65" s="79"/>
      <c r="DI65" s="79"/>
      <c r="DJ65" s="79"/>
      <c r="DK65" s="79"/>
      <c r="DL65" s="79"/>
      <c r="DM65" s="79"/>
      <c r="DN65" s="79"/>
      <c r="DO65" s="79"/>
      <c r="DP65" s="79"/>
      <c r="DQ65" s="79"/>
      <c r="DR65" s="79"/>
      <c r="DS65" s="79"/>
      <c r="DT65" s="79"/>
      <c r="DU65" s="79"/>
      <c r="DV65" s="79"/>
      <c r="DW65" s="79"/>
      <c r="DX65" s="79"/>
      <c r="DY65" s="79"/>
      <c r="DZ65" s="79"/>
      <c r="EA65" s="79"/>
      <c r="EB65" s="79"/>
      <c r="EC65" s="79"/>
      <c r="ED65" s="79"/>
      <c r="EE65" s="79"/>
      <c r="EF65" s="79"/>
      <c r="EG65" s="79"/>
      <c r="EH65" s="79"/>
      <c r="EI65" s="79"/>
      <c r="EJ65" s="79"/>
      <c r="EK65" s="79"/>
      <c r="EL65" s="79"/>
      <c r="EM65" s="79"/>
      <c r="EN65" s="79"/>
      <c r="EO65" s="79"/>
      <c r="EP65" s="79"/>
      <c r="EQ65" s="79"/>
      <c r="ER65" s="79"/>
      <c r="ES65" s="79"/>
      <c r="ET65" s="79"/>
      <c r="EU65" s="79"/>
      <c r="EV65" s="79"/>
      <c r="EW65" s="79"/>
      <c r="EX65" s="79"/>
      <c r="EY65" s="79"/>
      <c r="EZ65" s="79"/>
      <c r="FA65" s="79"/>
      <c r="FB65" s="79"/>
      <c r="FC65" s="79"/>
      <c r="FD65" s="79"/>
      <c r="FE65" s="79"/>
      <c r="FF65" s="79"/>
      <c r="FG65" s="79"/>
      <c r="FH65" s="79"/>
      <c r="FI65" s="79"/>
      <c r="FJ65" s="79"/>
      <c r="FK65" s="79"/>
      <c r="FL65" s="79"/>
      <c r="FM65" s="79"/>
      <c r="FN65" s="79"/>
      <c r="FO65" s="79"/>
      <c r="FP65" s="79"/>
      <c r="FQ65" s="79"/>
      <c r="FR65" s="79"/>
      <c r="FS65" s="79"/>
      <c r="FT65" s="79"/>
      <c r="FU65" s="79"/>
      <c r="FV65" s="79"/>
      <c r="FW65" s="79"/>
      <c r="FX65" s="79"/>
      <c r="FY65" s="79"/>
      <c r="FZ65" s="79"/>
      <c r="GA65" s="79"/>
      <c r="GB65" s="79"/>
      <c r="GC65" s="79"/>
      <c r="GD65" s="79"/>
      <c r="GE65" s="79"/>
      <c r="GF65" s="79"/>
      <c r="GG65" s="79"/>
      <c r="GH65" s="79"/>
      <c r="GI65" s="79"/>
      <c r="GJ65" s="79"/>
      <c r="GK65" s="79"/>
      <c r="GL65" s="79"/>
      <c r="GM65" s="79"/>
      <c r="GN65" s="79"/>
      <c r="GO65" s="79"/>
      <c r="GP65" s="79"/>
      <c r="GQ65" s="79"/>
      <c r="GR65" s="79"/>
      <c r="GS65" s="79"/>
      <c r="GT65" s="79"/>
      <c r="GU65" s="79"/>
      <c r="GV65" s="79"/>
      <c r="GW65" s="79"/>
      <c r="GX65" s="79"/>
      <c r="GY65" s="79"/>
      <c r="GZ65" s="79"/>
      <c r="HA65" s="79"/>
      <c r="HB65" s="79"/>
      <c r="HC65" s="79"/>
      <c r="HD65" s="79"/>
      <c r="HE65" s="79"/>
      <c r="HF65" s="79"/>
      <c r="HG65" s="79"/>
      <c r="HH65" s="79"/>
      <c r="HI65" s="79"/>
      <c r="HJ65" s="79"/>
      <c r="HK65" s="79"/>
      <c r="HL65" s="79"/>
      <c r="HM65" s="79"/>
      <c r="HN65" s="79"/>
      <c r="HO65" s="79"/>
      <c r="HP65" s="79"/>
      <c r="HQ65" s="79"/>
      <c r="HR65" s="79"/>
      <c r="HS65" s="79"/>
      <c r="HT65" s="79"/>
      <c r="HU65" s="79"/>
      <c r="HV65" s="79"/>
      <c r="HW65" s="79"/>
      <c r="HX65" s="79"/>
      <c r="HY65" s="79"/>
      <c r="HZ65" s="79"/>
      <c r="IA65" s="79"/>
      <c r="IB65" s="79"/>
      <c r="IC65" s="79"/>
      <c r="ID65" s="79"/>
      <c r="IE65" s="79"/>
      <c r="IF65" s="79"/>
      <c r="IG65" s="79"/>
      <c r="IH65" s="79"/>
      <c r="II65" s="79"/>
      <c r="IJ65" s="79"/>
      <c r="IK65" s="79"/>
      <c r="IL65" s="79"/>
      <c r="IM65" s="79"/>
      <c r="IN65" s="79"/>
      <c r="IO65" s="79"/>
      <c r="IP65" s="79"/>
      <c r="IQ65" s="79"/>
      <c r="IR65" s="79"/>
      <c r="IS65" s="79"/>
      <c r="IT65" s="79"/>
      <c r="IU65" s="79"/>
      <c r="IV65" s="79"/>
      <c r="IW65" s="79"/>
      <c r="IX65" s="79"/>
      <c r="IY65" s="79"/>
      <c r="IZ65" s="79"/>
      <c r="JA65" s="79"/>
      <c r="JB65" s="79"/>
      <c r="JC65" s="79"/>
      <c r="JD65" s="79"/>
      <c r="JE65" s="79"/>
      <c r="JF65" s="79"/>
      <c r="JG65" s="79"/>
      <c r="JH65" s="79"/>
      <c r="JI65" s="79"/>
      <c r="JJ65" s="79"/>
      <c r="JK65" s="79"/>
      <c r="JL65" s="79"/>
      <c r="JM65" s="79"/>
      <c r="JN65" s="79"/>
      <c r="JO65" s="79"/>
      <c r="JP65" s="79"/>
      <c r="JQ65" s="79"/>
      <c r="JR65" s="79"/>
      <c r="JS65" s="79"/>
      <c r="JT65" s="79"/>
      <c r="JU65" s="79"/>
      <c r="JV65" s="79"/>
      <c r="JW65" s="79"/>
      <c r="JX65" s="79"/>
      <c r="JY65" s="79"/>
      <c r="JZ65" s="79"/>
      <c r="KA65" s="79"/>
      <c r="KB65" s="79"/>
      <c r="KC65" s="79"/>
      <c r="KD65" s="79"/>
      <c r="KE65" s="79"/>
      <c r="KF65" s="79"/>
      <c r="KG65" s="79"/>
      <c r="KH65" s="79"/>
      <c r="KI65" s="79"/>
      <c r="KJ65" s="79"/>
      <c r="KK65" s="79"/>
      <c r="KL65" s="79"/>
      <c r="KM65" s="79"/>
      <c r="KN65" s="79"/>
      <c r="KO65" s="79"/>
      <c r="KP65" s="79"/>
      <c r="KQ65" s="79"/>
      <c r="KR65" s="79"/>
      <c r="KS65" s="79"/>
      <c r="KT65" s="79"/>
      <c r="KU65" s="79"/>
      <c r="KV65" s="79"/>
      <c r="KW65" s="79"/>
      <c r="KX65" s="79"/>
      <c r="KY65" s="79"/>
      <c r="KZ65" s="79"/>
      <c r="LA65" s="79"/>
      <c r="LB65" s="79"/>
      <c r="LC65" s="79"/>
      <c r="LD65" s="79"/>
      <c r="LE65" s="79"/>
      <c r="LF65" s="79"/>
      <c r="LG65" s="79"/>
      <c r="LH65" s="79"/>
      <c r="LI65" s="79"/>
      <c r="LJ65" s="79"/>
      <c r="LK65" s="79"/>
      <c r="LL65" s="79"/>
      <c r="LM65" s="79"/>
      <c r="LN65" s="79"/>
      <c r="LO65" s="79"/>
      <c r="LP65" s="79"/>
      <c r="LQ65" s="79"/>
      <c r="LR65" s="79"/>
      <c r="LS65" s="79"/>
      <c r="LT65" s="79"/>
      <c r="LU65" s="79"/>
      <c r="LV65" s="79"/>
      <c r="LW65" s="79"/>
      <c r="LX65" s="79"/>
      <c r="LY65" s="79"/>
      <c r="LZ65" s="79"/>
      <c r="MA65" s="79"/>
      <c r="MB65" s="79"/>
      <c r="MC65" s="79"/>
      <c r="MD65" s="79"/>
      <c r="ME65" s="79"/>
      <c r="MF65" s="79"/>
      <c r="MG65" s="79"/>
      <c r="MH65" s="79"/>
      <c r="MI65" s="79"/>
      <c r="MJ65" s="79"/>
      <c r="MK65" s="79"/>
      <c r="ML65" s="79"/>
      <c r="MM65" s="79"/>
      <c r="MN65" s="79"/>
      <c r="MO65" s="79"/>
      <c r="MP65" s="79"/>
      <c r="MQ65" s="79"/>
      <c r="MR65" s="79"/>
      <c r="MS65" s="79"/>
      <c r="MT65" s="79"/>
      <c r="MU65" s="79"/>
      <c r="MV65" s="79"/>
      <c r="MW65" s="79"/>
      <c r="MX65" s="79"/>
      <c r="MY65" s="79"/>
      <c r="MZ65" s="79"/>
      <c r="NA65" s="79"/>
      <c r="NB65" s="79"/>
      <c r="NC65" s="79"/>
      <c r="ND65" s="79"/>
      <c r="NE65" s="79"/>
      <c r="NF65" s="79"/>
      <c r="NG65" s="79"/>
      <c r="NH65" s="79"/>
      <c r="NI65" s="79"/>
      <c r="NJ65" s="79"/>
      <c r="NK65" s="79"/>
      <c r="NL65" s="79"/>
      <c r="NM65" s="79"/>
      <c r="NN65" s="79"/>
      <c r="NO65" s="79"/>
      <c r="NP65" s="79"/>
      <c r="NQ65" s="79"/>
      <c r="NR65" s="79"/>
      <c r="NS65" s="79"/>
      <c r="NT65" s="79"/>
      <c r="NU65" s="79"/>
      <c r="NV65" s="79"/>
      <c r="NW65" s="79"/>
      <c r="NX65" s="79"/>
      <c r="NY65" s="79"/>
      <c r="NZ65" s="79"/>
      <c r="OA65" s="79"/>
      <c r="OB65" s="79"/>
      <c r="OC65" s="79"/>
      <c r="OD65" s="79"/>
      <c r="OE65" s="79"/>
      <c r="OF65" s="79"/>
      <c r="OG65" s="79"/>
      <c r="OH65" s="79"/>
      <c r="OI65" s="79"/>
      <c r="OJ65" s="79"/>
      <c r="OK65" s="79"/>
      <c r="OL65" s="79"/>
      <c r="OM65" s="79"/>
      <c r="ON65" s="79"/>
      <c r="OO65" s="79"/>
      <c r="OP65" s="79"/>
      <c r="OQ65" s="79"/>
      <c r="OR65" s="79"/>
      <c r="OS65" s="79"/>
      <c r="OT65" s="79"/>
      <c r="OU65" s="79"/>
      <c r="OV65" s="79"/>
      <c r="OW65" s="79"/>
      <c r="OX65" s="79"/>
      <c r="OY65" s="79"/>
      <c r="OZ65" s="79"/>
      <c r="PA65" s="79"/>
      <c r="PB65" s="79"/>
      <c r="PC65" s="79"/>
      <c r="PD65" s="79"/>
      <c r="PE65" s="79"/>
      <c r="PF65" s="79"/>
      <c r="PG65" s="79"/>
      <c r="PH65" s="79"/>
      <c r="PI65" s="79"/>
      <c r="PJ65" s="79"/>
      <c r="PK65" s="79"/>
      <c r="PL65" s="79"/>
      <c r="PM65" s="79"/>
      <c r="PN65" s="79"/>
      <c r="PO65" s="79"/>
      <c r="PP65" s="79"/>
      <c r="PQ65" s="79"/>
      <c r="PR65" s="79"/>
      <c r="PS65" s="79"/>
      <c r="PT65" s="79"/>
      <c r="PU65" s="79"/>
      <c r="PV65" s="79"/>
      <c r="PW65" s="79"/>
      <c r="PX65" s="79"/>
      <c r="PY65" s="79"/>
      <c r="PZ65" s="79"/>
      <c r="QA65" s="79"/>
      <c r="QB65" s="79"/>
      <c r="QC65" s="79"/>
      <c r="QD65" s="79"/>
      <c r="QE65" s="79"/>
      <c r="QF65" s="79"/>
      <c r="QG65" s="79"/>
      <c r="QH65" s="79"/>
      <c r="QI65" s="79"/>
      <c r="QJ65" s="79"/>
      <c r="QK65" s="79"/>
      <c r="QL65" s="79"/>
      <c r="QM65" s="79"/>
      <c r="QN65" s="79"/>
      <c r="QO65" s="79"/>
      <c r="QP65" s="79"/>
      <c r="QQ65" s="79"/>
      <c r="QR65" s="79"/>
      <c r="QS65" s="79"/>
      <c r="QT65" s="79"/>
      <c r="QU65" s="79"/>
      <c r="QV65" s="79"/>
      <c r="QW65" s="79"/>
      <c r="QX65" s="79"/>
      <c r="QY65" s="79"/>
      <c r="QZ65" s="79"/>
      <c r="RA65" s="79"/>
      <c r="RB65" s="79"/>
      <c r="RC65" s="79"/>
      <c r="RD65" s="79"/>
      <c r="RE65" s="79"/>
      <c r="RF65" s="79"/>
      <c r="RG65" s="79"/>
      <c r="RH65" s="79"/>
      <c r="RI65" s="79"/>
      <c r="RJ65" s="79"/>
      <c r="RK65" s="79"/>
      <c r="RL65" s="79"/>
      <c r="RM65" s="79"/>
      <c r="RN65" s="79"/>
      <c r="RO65" s="79"/>
      <c r="RP65" s="79"/>
      <c r="RQ65" s="79"/>
      <c r="RR65" s="79"/>
      <c r="RS65" s="79"/>
      <c r="RT65" s="79"/>
      <c r="RU65" s="79"/>
      <c r="RV65" s="79"/>
      <c r="RW65" s="79"/>
      <c r="RX65" s="79"/>
      <c r="RY65" s="79"/>
      <c r="RZ65" s="79"/>
      <c r="SA65" s="79"/>
      <c r="SB65" s="79"/>
      <c r="SC65" s="79"/>
      <c r="SD65" s="79"/>
      <c r="SE65" s="79"/>
      <c r="SF65" s="79"/>
      <c r="SG65" s="79"/>
      <c r="SH65" s="79"/>
      <c r="SI65" s="79"/>
      <c r="SJ65" s="79"/>
    </row>
    <row r="66" spans="2:504" x14ac:dyDescent="0.25">
      <c r="B66" s="40" t="str">
        <f>'Pay App 1'!B116</f>
        <v>11 13 00</v>
      </c>
      <c r="C66" s="41" t="str">
        <f>'Pay App 1'!C116</f>
        <v>Dock Equipment</v>
      </c>
      <c r="D66" s="82">
        <f t="shared" si="8"/>
        <v>0</v>
      </c>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79"/>
      <c r="AI66" s="79"/>
      <c r="AJ66" s="79"/>
      <c r="AK66" s="79"/>
      <c r="AL66" s="79"/>
      <c r="AM66" s="79"/>
      <c r="AN66" s="79"/>
      <c r="AO66" s="79"/>
      <c r="AP66" s="79"/>
      <c r="AQ66" s="79"/>
      <c r="AR66" s="79"/>
      <c r="AS66" s="79"/>
      <c r="AT66" s="79"/>
      <c r="AU66" s="79"/>
      <c r="AV66" s="79"/>
      <c r="AW66" s="79"/>
      <c r="AX66" s="79"/>
      <c r="AY66" s="79"/>
      <c r="AZ66" s="79"/>
      <c r="BA66" s="79"/>
      <c r="BB66" s="79"/>
      <c r="BC66" s="79"/>
      <c r="BD66" s="79"/>
      <c r="BE66" s="79"/>
      <c r="BF66" s="79"/>
      <c r="BG66" s="79"/>
      <c r="BH66" s="79"/>
      <c r="BI66" s="79"/>
      <c r="BJ66" s="79"/>
      <c r="BK66" s="79"/>
      <c r="BL66" s="79"/>
      <c r="BM66" s="79"/>
      <c r="BN66" s="79"/>
      <c r="BO66" s="79"/>
      <c r="BP66" s="79"/>
      <c r="BQ66" s="79"/>
      <c r="BR66" s="79"/>
      <c r="BS66" s="79"/>
      <c r="BT66" s="79"/>
      <c r="BU66" s="79"/>
      <c r="BV66" s="79"/>
      <c r="BW66" s="79"/>
      <c r="BX66" s="79"/>
      <c r="BY66" s="79"/>
      <c r="BZ66" s="79"/>
      <c r="CA66" s="79"/>
      <c r="CB66" s="79"/>
      <c r="CC66" s="79"/>
      <c r="CD66" s="79"/>
      <c r="CE66" s="79"/>
      <c r="CF66" s="79"/>
      <c r="CG66" s="79"/>
      <c r="CH66" s="79"/>
      <c r="CI66" s="79"/>
      <c r="CJ66" s="79"/>
      <c r="CK66" s="79"/>
      <c r="CL66" s="79"/>
      <c r="CM66" s="79"/>
      <c r="CN66" s="79"/>
      <c r="CO66" s="79"/>
      <c r="CP66" s="79"/>
      <c r="CQ66" s="79"/>
      <c r="CR66" s="79"/>
      <c r="CS66" s="79"/>
      <c r="CT66" s="79"/>
      <c r="CU66" s="79"/>
      <c r="CV66" s="79"/>
      <c r="CW66" s="79"/>
      <c r="CX66" s="79"/>
      <c r="CY66" s="79"/>
      <c r="CZ66" s="79"/>
      <c r="DA66" s="79"/>
      <c r="DB66" s="79"/>
      <c r="DC66" s="79"/>
      <c r="DD66" s="79"/>
      <c r="DE66" s="79"/>
      <c r="DF66" s="79"/>
      <c r="DG66" s="79"/>
      <c r="DH66" s="79"/>
      <c r="DI66" s="79"/>
      <c r="DJ66" s="79"/>
      <c r="DK66" s="79"/>
      <c r="DL66" s="79"/>
      <c r="DM66" s="79"/>
      <c r="DN66" s="79"/>
      <c r="DO66" s="79"/>
      <c r="DP66" s="79"/>
      <c r="DQ66" s="79"/>
      <c r="DR66" s="79"/>
      <c r="DS66" s="79"/>
      <c r="DT66" s="79"/>
      <c r="DU66" s="79"/>
      <c r="DV66" s="79"/>
      <c r="DW66" s="79"/>
      <c r="DX66" s="79"/>
      <c r="DY66" s="79"/>
      <c r="DZ66" s="79"/>
      <c r="EA66" s="79"/>
      <c r="EB66" s="79"/>
      <c r="EC66" s="79"/>
      <c r="ED66" s="79"/>
      <c r="EE66" s="79"/>
      <c r="EF66" s="79"/>
      <c r="EG66" s="79"/>
      <c r="EH66" s="79"/>
      <c r="EI66" s="79"/>
      <c r="EJ66" s="79"/>
      <c r="EK66" s="79"/>
      <c r="EL66" s="79"/>
      <c r="EM66" s="79"/>
      <c r="EN66" s="79"/>
      <c r="EO66" s="79"/>
      <c r="EP66" s="79"/>
      <c r="EQ66" s="79"/>
      <c r="ER66" s="79"/>
      <c r="ES66" s="79"/>
      <c r="ET66" s="79"/>
      <c r="EU66" s="79"/>
      <c r="EV66" s="79"/>
      <c r="EW66" s="79"/>
      <c r="EX66" s="79"/>
      <c r="EY66" s="79"/>
      <c r="EZ66" s="79"/>
      <c r="FA66" s="79"/>
      <c r="FB66" s="79"/>
      <c r="FC66" s="79"/>
      <c r="FD66" s="79"/>
      <c r="FE66" s="79"/>
      <c r="FF66" s="79"/>
      <c r="FG66" s="79"/>
      <c r="FH66" s="79"/>
      <c r="FI66" s="79"/>
      <c r="FJ66" s="79"/>
      <c r="FK66" s="79"/>
      <c r="FL66" s="79"/>
      <c r="FM66" s="79"/>
      <c r="FN66" s="79"/>
      <c r="FO66" s="79"/>
      <c r="FP66" s="79"/>
      <c r="FQ66" s="79"/>
      <c r="FR66" s="79"/>
      <c r="FS66" s="79"/>
      <c r="FT66" s="79"/>
      <c r="FU66" s="79"/>
      <c r="FV66" s="79"/>
      <c r="FW66" s="79"/>
      <c r="FX66" s="79"/>
      <c r="FY66" s="79"/>
      <c r="FZ66" s="79"/>
      <c r="GA66" s="79"/>
      <c r="GB66" s="79"/>
      <c r="GC66" s="79"/>
      <c r="GD66" s="79"/>
      <c r="GE66" s="79"/>
      <c r="GF66" s="79"/>
      <c r="GG66" s="79"/>
      <c r="GH66" s="79"/>
      <c r="GI66" s="79"/>
      <c r="GJ66" s="79"/>
      <c r="GK66" s="79"/>
      <c r="GL66" s="79"/>
      <c r="GM66" s="79"/>
      <c r="GN66" s="79"/>
      <c r="GO66" s="79"/>
      <c r="GP66" s="79"/>
      <c r="GQ66" s="79"/>
      <c r="GR66" s="79"/>
      <c r="GS66" s="79"/>
      <c r="GT66" s="79"/>
      <c r="GU66" s="79"/>
      <c r="GV66" s="79"/>
      <c r="GW66" s="79"/>
      <c r="GX66" s="79"/>
      <c r="GY66" s="79"/>
      <c r="GZ66" s="79"/>
      <c r="HA66" s="79"/>
      <c r="HB66" s="79"/>
      <c r="HC66" s="79"/>
      <c r="HD66" s="79"/>
      <c r="HE66" s="79"/>
      <c r="HF66" s="79"/>
      <c r="HG66" s="79"/>
      <c r="HH66" s="79"/>
      <c r="HI66" s="79"/>
      <c r="HJ66" s="79"/>
      <c r="HK66" s="79"/>
      <c r="HL66" s="79"/>
      <c r="HM66" s="79"/>
      <c r="HN66" s="79"/>
      <c r="HO66" s="79"/>
      <c r="HP66" s="79"/>
      <c r="HQ66" s="79"/>
      <c r="HR66" s="79"/>
      <c r="HS66" s="79"/>
      <c r="HT66" s="79"/>
      <c r="HU66" s="79"/>
      <c r="HV66" s="79"/>
      <c r="HW66" s="79"/>
      <c r="HX66" s="79"/>
      <c r="HY66" s="79"/>
      <c r="HZ66" s="79"/>
      <c r="IA66" s="79"/>
      <c r="IB66" s="79"/>
      <c r="IC66" s="79"/>
      <c r="ID66" s="79"/>
      <c r="IE66" s="79"/>
      <c r="IF66" s="79"/>
      <c r="IG66" s="79"/>
      <c r="IH66" s="79"/>
      <c r="II66" s="79"/>
      <c r="IJ66" s="79"/>
      <c r="IK66" s="79"/>
      <c r="IL66" s="79"/>
      <c r="IM66" s="79"/>
      <c r="IN66" s="79"/>
      <c r="IO66" s="79"/>
      <c r="IP66" s="79"/>
      <c r="IQ66" s="79"/>
      <c r="IR66" s="79"/>
      <c r="IS66" s="79"/>
      <c r="IT66" s="79"/>
      <c r="IU66" s="79"/>
      <c r="IV66" s="79"/>
      <c r="IW66" s="79"/>
      <c r="IX66" s="79"/>
      <c r="IY66" s="79"/>
      <c r="IZ66" s="79"/>
      <c r="JA66" s="79"/>
      <c r="JB66" s="79"/>
      <c r="JC66" s="79"/>
      <c r="JD66" s="79"/>
      <c r="JE66" s="79"/>
      <c r="JF66" s="79"/>
      <c r="JG66" s="79"/>
      <c r="JH66" s="79"/>
      <c r="JI66" s="79"/>
      <c r="JJ66" s="79"/>
      <c r="JK66" s="79"/>
      <c r="JL66" s="79"/>
      <c r="JM66" s="79"/>
      <c r="JN66" s="79"/>
      <c r="JO66" s="79"/>
      <c r="JP66" s="79"/>
      <c r="JQ66" s="79"/>
      <c r="JR66" s="79"/>
      <c r="JS66" s="79"/>
      <c r="JT66" s="79"/>
      <c r="JU66" s="79"/>
      <c r="JV66" s="79"/>
      <c r="JW66" s="79"/>
      <c r="JX66" s="79"/>
      <c r="JY66" s="79"/>
      <c r="JZ66" s="79"/>
      <c r="KA66" s="79"/>
      <c r="KB66" s="79"/>
      <c r="KC66" s="79"/>
      <c r="KD66" s="79"/>
      <c r="KE66" s="79"/>
      <c r="KF66" s="79"/>
      <c r="KG66" s="79"/>
      <c r="KH66" s="79"/>
      <c r="KI66" s="79"/>
      <c r="KJ66" s="79"/>
      <c r="KK66" s="79"/>
      <c r="KL66" s="79"/>
      <c r="KM66" s="79"/>
      <c r="KN66" s="79"/>
      <c r="KO66" s="79"/>
      <c r="KP66" s="79"/>
      <c r="KQ66" s="79"/>
      <c r="KR66" s="79"/>
      <c r="KS66" s="79"/>
      <c r="KT66" s="79"/>
      <c r="KU66" s="79"/>
      <c r="KV66" s="79"/>
      <c r="KW66" s="79"/>
      <c r="KX66" s="79"/>
      <c r="KY66" s="79"/>
      <c r="KZ66" s="79"/>
      <c r="LA66" s="79"/>
      <c r="LB66" s="79"/>
      <c r="LC66" s="79"/>
      <c r="LD66" s="79"/>
      <c r="LE66" s="79"/>
      <c r="LF66" s="79"/>
      <c r="LG66" s="79"/>
      <c r="LH66" s="79"/>
      <c r="LI66" s="79"/>
      <c r="LJ66" s="79"/>
      <c r="LK66" s="79"/>
      <c r="LL66" s="79"/>
      <c r="LM66" s="79"/>
      <c r="LN66" s="79"/>
      <c r="LO66" s="79"/>
      <c r="LP66" s="79"/>
      <c r="LQ66" s="79"/>
      <c r="LR66" s="79"/>
      <c r="LS66" s="79"/>
      <c r="LT66" s="79"/>
      <c r="LU66" s="79"/>
      <c r="LV66" s="79"/>
      <c r="LW66" s="79"/>
      <c r="LX66" s="79"/>
      <c r="LY66" s="79"/>
      <c r="LZ66" s="79"/>
      <c r="MA66" s="79"/>
      <c r="MB66" s="79"/>
      <c r="MC66" s="79"/>
      <c r="MD66" s="79"/>
      <c r="ME66" s="79"/>
      <c r="MF66" s="79"/>
      <c r="MG66" s="79"/>
      <c r="MH66" s="79"/>
      <c r="MI66" s="79"/>
      <c r="MJ66" s="79"/>
      <c r="MK66" s="79"/>
      <c r="ML66" s="79"/>
      <c r="MM66" s="79"/>
      <c r="MN66" s="79"/>
      <c r="MO66" s="79"/>
      <c r="MP66" s="79"/>
      <c r="MQ66" s="79"/>
      <c r="MR66" s="79"/>
      <c r="MS66" s="79"/>
      <c r="MT66" s="79"/>
      <c r="MU66" s="79"/>
      <c r="MV66" s="79"/>
      <c r="MW66" s="79"/>
      <c r="MX66" s="79"/>
      <c r="MY66" s="79"/>
      <c r="MZ66" s="79"/>
      <c r="NA66" s="79"/>
      <c r="NB66" s="79"/>
      <c r="NC66" s="79"/>
      <c r="ND66" s="79"/>
      <c r="NE66" s="79"/>
      <c r="NF66" s="79"/>
      <c r="NG66" s="79"/>
      <c r="NH66" s="79"/>
      <c r="NI66" s="79"/>
      <c r="NJ66" s="79"/>
      <c r="NK66" s="79"/>
      <c r="NL66" s="79"/>
      <c r="NM66" s="79"/>
      <c r="NN66" s="79"/>
      <c r="NO66" s="79"/>
      <c r="NP66" s="79"/>
      <c r="NQ66" s="79"/>
      <c r="NR66" s="79"/>
      <c r="NS66" s="79"/>
      <c r="NT66" s="79"/>
      <c r="NU66" s="79"/>
      <c r="NV66" s="79"/>
      <c r="NW66" s="79"/>
      <c r="NX66" s="79"/>
      <c r="NY66" s="79"/>
      <c r="NZ66" s="79"/>
      <c r="OA66" s="79"/>
      <c r="OB66" s="79"/>
      <c r="OC66" s="79"/>
      <c r="OD66" s="79"/>
      <c r="OE66" s="79"/>
      <c r="OF66" s="79"/>
      <c r="OG66" s="79"/>
      <c r="OH66" s="79"/>
      <c r="OI66" s="79"/>
      <c r="OJ66" s="79"/>
      <c r="OK66" s="79"/>
      <c r="OL66" s="79"/>
      <c r="OM66" s="79"/>
      <c r="ON66" s="79"/>
      <c r="OO66" s="79"/>
      <c r="OP66" s="79"/>
      <c r="OQ66" s="79"/>
      <c r="OR66" s="79"/>
      <c r="OS66" s="79"/>
      <c r="OT66" s="79"/>
      <c r="OU66" s="79"/>
      <c r="OV66" s="79"/>
      <c r="OW66" s="79"/>
      <c r="OX66" s="79"/>
      <c r="OY66" s="79"/>
      <c r="OZ66" s="79"/>
      <c r="PA66" s="79"/>
      <c r="PB66" s="79"/>
      <c r="PC66" s="79"/>
      <c r="PD66" s="79"/>
      <c r="PE66" s="79"/>
      <c r="PF66" s="79"/>
      <c r="PG66" s="79"/>
      <c r="PH66" s="79"/>
      <c r="PI66" s="79"/>
      <c r="PJ66" s="79"/>
      <c r="PK66" s="79"/>
      <c r="PL66" s="79"/>
      <c r="PM66" s="79"/>
      <c r="PN66" s="79"/>
      <c r="PO66" s="79"/>
      <c r="PP66" s="79"/>
      <c r="PQ66" s="79"/>
      <c r="PR66" s="79"/>
      <c r="PS66" s="79"/>
      <c r="PT66" s="79"/>
      <c r="PU66" s="79"/>
      <c r="PV66" s="79"/>
      <c r="PW66" s="79"/>
      <c r="PX66" s="79"/>
      <c r="PY66" s="79"/>
      <c r="PZ66" s="79"/>
      <c r="QA66" s="79"/>
      <c r="QB66" s="79"/>
      <c r="QC66" s="79"/>
      <c r="QD66" s="79"/>
      <c r="QE66" s="79"/>
      <c r="QF66" s="79"/>
      <c r="QG66" s="79"/>
      <c r="QH66" s="79"/>
      <c r="QI66" s="79"/>
      <c r="QJ66" s="79"/>
      <c r="QK66" s="79"/>
      <c r="QL66" s="79"/>
      <c r="QM66" s="79"/>
      <c r="QN66" s="79"/>
      <c r="QO66" s="79"/>
      <c r="QP66" s="79"/>
      <c r="QQ66" s="79"/>
      <c r="QR66" s="79"/>
      <c r="QS66" s="79"/>
      <c r="QT66" s="79"/>
      <c r="QU66" s="79"/>
      <c r="QV66" s="79"/>
      <c r="QW66" s="79"/>
      <c r="QX66" s="79"/>
      <c r="QY66" s="79"/>
      <c r="QZ66" s="79"/>
      <c r="RA66" s="79"/>
      <c r="RB66" s="79"/>
      <c r="RC66" s="79"/>
      <c r="RD66" s="79"/>
      <c r="RE66" s="79"/>
      <c r="RF66" s="79"/>
      <c r="RG66" s="79"/>
      <c r="RH66" s="79"/>
      <c r="RI66" s="79"/>
      <c r="RJ66" s="79"/>
      <c r="RK66" s="79"/>
      <c r="RL66" s="79"/>
      <c r="RM66" s="79"/>
      <c r="RN66" s="79"/>
      <c r="RO66" s="79"/>
      <c r="RP66" s="79"/>
      <c r="RQ66" s="79"/>
      <c r="RR66" s="79"/>
      <c r="RS66" s="79"/>
      <c r="RT66" s="79"/>
      <c r="RU66" s="79"/>
      <c r="RV66" s="79"/>
      <c r="RW66" s="79"/>
      <c r="RX66" s="79"/>
      <c r="RY66" s="79"/>
      <c r="RZ66" s="79"/>
      <c r="SA66" s="79"/>
      <c r="SB66" s="79"/>
      <c r="SC66" s="79"/>
      <c r="SD66" s="79"/>
      <c r="SE66" s="79"/>
      <c r="SF66" s="79"/>
      <c r="SG66" s="79"/>
      <c r="SH66" s="79"/>
      <c r="SI66" s="79"/>
      <c r="SJ66" s="79"/>
    </row>
    <row r="67" spans="2:504" x14ac:dyDescent="0.25">
      <c r="B67" s="40" t="str">
        <f>'Pay App 1'!B117</f>
        <v>11 40 00</v>
      </c>
      <c r="C67" s="41" t="str">
        <f>'Pay App 1'!C117</f>
        <v>Food Service Equipment</v>
      </c>
      <c r="D67" s="82">
        <f t="shared" si="8"/>
        <v>0</v>
      </c>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79"/>
      <c r="AE67" s="79"/>
      <c r="AF67" s="79"/>
      <c r="AG67" s="79"/>
      <c r="AH67" s="79"/>
      <c r="AI67" s="79"/>
      <c r="AJ67" s="79"/>
      <c r="AK67" s="79"/>
      <c r="AL67" s="79"/>
      <c r="AM67" s="79"/>
      <c r="AN67" s="79"/>
      <c r="AO67" s="79"/>
      <c r="AP67" s="79"/>
      <c r="AQ67" s="79"/>
      <c r="AR67" s="79"/>
      <c r="AS67" s="79"/>
      <c r="AT67" s="79"/>
      <c r="AU67" s="79"/>
      <c r="AV67" s="79"/>
      <c r="AW67" s="79"/>
      <c r="AX67" s="79"/>
      <c r="AY67" s="79"/>
      <c r="AZ67" s="79"/>
      <c r="BA67" s="79"/>
      <c r="BB67" s="79"/>
      <c r="BC67" s="79"/>
      <c r="BD67" s="79"/>
      <c r="BE67" s="79"/>
      <c r="BF67" s="79"/>
      <c r="BG67" s="79"/>
      <c r="BH67" s="79"/>
      <c r="BI67" s="79"/>
      <c r="BJ67" s="79"/>
      <c r="BK67" s="79"/>
      <c r="BL67" s="79"/>
      <c r="BM67" s="79"/>
      <c r="BN67" s="79"/>
      <c r="BO67" s="79"/>
      <c r="BP67" s="79"/>
      <c r="BQ67" s="79"/>
      <c r="BR67" s="79"/>
      <c r="BS67" s="79"/>
      <c r="BT67" s="79"/>
      <c r="BU67" s="79"/>
      <c r="BV67" s="79"/>
      <c r="BW67" s="79"/>
      <c r="BX67" s="79"/>
      <c r="BY67" s="79"/>
      <c r="BZ67" s="79"/>
      <c r="CA67" s="79"/>
      <c r="CB67" s="79"/>
      <c r="CC67" s="79"/>
      <c r="CD67" s="79"/>
      <c r="CE67" s="79"/>
      <c r="CF67" s="79"/>
      <c r="CG67" s="79"/>
      <c r="CH67" s="79"/>
      <c r="CI67" s="79"/>
      <c r="CJ67" s="79"/>
      <c r="CK67" s="79"/>
      <c r="CL67" s="79"/>
      <c r="CM67" s="79"/>
      <c r="CN67" s="79"/>
      <c r="CO67" s="79"/>
      <c r="CP67" s="79"/>
      <c r="CQ67" s="79"/>
      <c r="CR67" s="79"/>
      <c r="CS67" s="79"/>
      <c r="CT67" s="79"/>
      <c r="CU67" s="79"/>
      <c r="CV67" s="79"/>
      <c r="CW67" s="79"/>
      <c r="CX67" s="79"/>
      <c r="CY67" s="79"/>
      <c r="CZ67" s="79"/>
      <c r="DA67" s="79"/>
      <c r="DB67" s="79"/>
      <c r="DC67" s="79"/>
      <c r="DD67" s="79"/>
      <c r="DE67" s="79"/>
      <c r="DF67" s="79"/>
      <c r="DG67" s="79"/>
      <c r="DH67" s="79"/>
      <c r="DI67" s="79"/>
      <c r="DJ67" s="79"/>
      <c r="DK67" s="79"/>
      <c r="DL67" s="79"/>
      <c r="DM67" s="79"/>
      <c r="DN67" s="79"/>
      <c r="DO67" s="79"/>
      <c r="DP67" s="79"/>
      <c r="DQ67" s="79"/>
      <c r="DR67" s="79"/>
      <c r="DS67" s="79"/>
      <c r="DT67" s="79"/>
      <c r="DU67" s="79"/>
      <c r="DV67" s="79"/>
      <c r="DW67" s="79"/>
      <c r="DX67" s="79"/>
      <c r="DY67" s="79"/>
      <c r="DZ67" s="79"/>
      <c r="EA67" s="79"/>
      <c r="EB67" s="79"/>
      <c r="EC67" s="79"/>
      <c r="ED67" s="79"/>
      <c r="EE67" s="79"/>
      <c r="EF67" s="79"/>
      <c r="EG67" s="79"/>
      <c r="EH67" s="79"/>
      <c r="EI67" s="79"/>
      <c r="EJ67" s="79"/>
      <c r="EK67" s="79"/>
      <c r="EL67" s="79"/>
      <c r="EM67" s="79"/>
      <c r="EN67" s="79"/>
      <c r="EO67" s="79"/>
      <c r="EP67" s="79"/>
      <c r="EQ67" s="79"/>
      <c r="ER67" s="79"/>
      <c r="ES67" s="79"/>
      <c r="ET67" s="79"/>
      <c r="EU67" s="79"/>
      <c r="EV67" s="79"/>
      <c r="EW67" s="79"/>
      <c r="EX67" s="79"/>
      <c r="EY67" s="79"/>
      <c r="EZ67" s="79"/>
      <c r="FA67" s="79"/>
      <c r="FB67" s="79"/>
      <c r="FC67" s="79"/>
      <c r="FD67" s="79"/>
      <c r="FE67" s="79"/>
      <c r="FF67" s="79"/>
      <c r="FG67" s="79"/>
      <c r="FH67" s="79"/>
      <c r="FI67" s="79"/>
      <c r="FJ67" s="79"/>
      <c r="FK67" s="79"/>
      <c r="FL67" s="79"/>
      <c r="FM67" s="79"/>
      <c r="FN67" s="79"/>
      <c r="FO67" s="79"/>
      <c r="FP67" s="79"/>
      <c r="FQ67" s="79"/>
      <c r="FR67" s="79"/>
      <c r="FS67" s="79"/>
      <c r="FT67" s="79"/>
      <c r="FU67" s="79"/>
      <c r="FV67" s="79"/>
      <c r="FW67" s="79"/>
      <c r="FX67" s="79"/>
      <c r="FY67" s="79"/>
      <c r="FZ67" s="79"/>
      <c r="GA67" s="79"/>
      <c r="GB67" s="79"/>
      <c r="GC67" s="79"/>
      <c r="GD67" s="79"/>
      <c r="GE67" s="79"/>
      <c r="GF67" s="79"/>
      <c r="GG67" s="79"/>
      <c r="GH67" s="79"/>
      <c r="GI67" s="79"/>
      <c r="GJ67" s="79"/>
      <c r="GK67" s="79"/>
      <c r="GL67" s="79"/>
      <c r="GM67" s="79"/>
      <c r="GN67" s="79"/>
      <c r="GO67" s="79"/>
      <c r="GP67" s="79"/>
      <c r="GQ67" s="79"/>
      <c r="GR67" s="79"/>
      <c r="GS67" s="79"/>
      <c r="GT67" s="79"/>
      <c r="GU67" s="79"/>
      <c r="GV67" s="79"/>
      <c r="GW67" s="79"/>
      <c r="GX67" s="79"/>
      <c r="GY67" s="79"/>
      <c r="GZ67" s="79"/>
      <c r="HA67" s="79"/>
      <c r="HB67" s="79"/>
      <c r="HC67" s="79"/>
      <c r="HD67" s="79"/>
      <c r="HE67" s="79"/>
      <c r="HF67" s="79"/>
      <c r="HG67" s="79"/>
      <c r="HH67" s="79"/>
      <c r="HI67" s="79"/>
      <c r="HJ67" s="79"/>
      <c r="HK67" s="79"/>
      <c r="HL67" s="79"/>
      <c r="HM67" s="79"/>
      <c r="HN67" s="79"/>
      <c r="HO67" s="79"/>
      <c r="HP67" s="79"/>
      <c r="HQ67" s="79"/>
      <c r="HR67" s="79"/>
      <c r="HS67" s="79"/>
      <c r="HT67" s="79"/>
      <c r="HU67" s="79"/>
      <c r="HV67" s="79"/>
      <c r="HW67" s="79"/>
      <c r="HX67" s="79"/>
      <c r="HY67" s="79"/>
      <c r="HZ67" s="79"/>
      <c r="IA67" s="79"/>
      <c r="IB67" s="79"/>
      <c r="IC67" s="79"/>
      <c r="ID67" s="79"/>
      <c r="IE67" s="79"/>
      <c r="IF67" s="79"/>
      <c r="IG67" s="79"/>
      <c r="IH67" s="79"/>
      <c r="II67" s="79"/>
      <c r="IJ67" s="79"/>
      <c r="IK67" s="79"/>
      <c r="IL67" s="79"/>
      <c r="IM67" s="79"/>
      <c r="IN67" s="79"/>
      <c r="IO67" s="79"/>
      <c r="IP67" s="79"/>
      <c r="IQ67" s="79"/>
      <c r="IR67" s="79"/>
      <c r="IS67" s="79"/>
      <c r="IT67" s="79"/>
      <c r="IU67" s="79"/>
      <c r="IV67" s="79"/>
      <c r="IW67" s="79"/>
      <c r="IX67" s="79"/>
      <c r="IY67" s="79"/>
      <c r="IZ67" s="79"/>
      <c r="JA67" s="79"/>
      <c r="JB67" s="79"/>
      <c r="JC67" s="79"/>
      <c r="JD67" s="79"/>
      <c r="JE67" s="79"/>
      <c r="JF67" s="79"/>
      <c r="JG67" s="79"/>
      <c r="JH67" s="79"/>
      <c r="JI67" s="79"/>
      <c r="JJ67" s="79"/>
      <c r="JK67" s="79"/>
      <c r="JL67" s="79"/>
      <c r="JM67" s="79"/>
      <c r="JN67" s="79"/>
      <c r="JO67" s="79"/>
      <c r="JP67" s="79"/>
      <c r="JQ67" s="79"/>
      <c r="JR67" s="79"/>
      <c r="JS67" s="79"/>
      <c r="JT67" s="79"/>
      <c r="JU67" s="79"/>
      <c r="JV67" s="79"/>
      <c r="JW67" s="79"/>
      <c r="JX67" s="79"/>
      <c r="JY67" s="79"/>
      <c r="JZ67" s="79"/>
      <c r="KA67" s="79"/>
      <c r="KB67" s="79"/>
      <c r="KC67" s="79"/>
      <c r="KD67" s="79"/>
      <c r="KE67" s="79"/>
      <c r="KF67" s="79"/>
      <c r="KG67" s="79"/>
      <c r="KH67" s="79"/>
      <c r="KI67" s="79"/>
      <c r="KJ67" s="79"/>
      <c r="KK67" s="79"/>
      <c r="KL67" s="79"/>
      <c r="KM67" s="79"/>
      <c r="KN67" s="79"/>
      <c r="KO67" s="79"/>
      <c r="KP67" s="79"/>
      <c r="KQ67" s="79"/>
      <c r="KR67" s="79"/>
      <c r="KS67" s="79"/>
      <c r="KT67" s="79"/>
      <c r="KU67" s="79"/>
      <c r="KV67" s="79"/>
      <c r="KW67" s="79"/>
      <c r="KX67" s="79"/>
      <c r="KY67" s="79"/>
      <c r="KZ67" s="79"/>
      <c r="LA67" s="79"/>
      <c r="LB67" s="79"/>
      <c r="LC67" s="79"/>
      <c r="LD67" s="79"/>
      <c r="LE67" s="79"/>
      <c r="LF67" s="79"/>
      <c r="LG67" s="79"/>
      <c r="LH67" s="79"/>
      <c r="LI67" s="79"/>
      <c r="LJ67" s="79"/>
      <c r="LK67" s="79"/>
      <c r="LL67" s="79"/>
      <c r="LM67" s="79"/>
      <c r="LN67" s="79"/>
      <c r="LO67" s="79"/>
      <c r="LP67" s="79"/>
      <c r="LQ67" s="79"/>
      <c r="LR67" s="79"/>
      <c r="LS67" s="79"/>
      <c r="LT67" s="79"/>
      <c r="LU67" s="79"/>
      <c r="LV67" s="79"/>
      <c r="LW67" s="79"/>
      <c r="LX67" s="79"/>
      <c r="LY67" s="79"/>
      <c r="LZ67" s="79"/>
      <c r="MA67" s="79"/>
      <c r="MB67" s="79"/>
      <c r="MC67" s="79"/>
      <c r="MD67" s="79"/>
      <c r="ME67" s="79"/>
      <c r="MF67" s="79"/>
      <c r="MG67" s="79"/>
      <c r="MH67" s="79"/>
      <c r="MI67" s="79"/>
      <c r="MJ67" s="79"/>
      <c r="MK67" s="79"/>
      <c r="ML67" s="79"/>
      <c r="MM67" s="79"/>
      <c r="MN67" s="79"/>
      <c r="MO67" s="79"/>
      <c r="MP67" s="79"/>
      <c r="MQ67" s="79"/>
      <c r="MR67" s="79"/>
      <c r="MS67" s="79"/>
      <c r="MT67" s="79"/>
      <c r="MU67" s="79"/>
      <c r="MV67" s="79"/>
      <c r="MW67" s="79"/>
      <c r="MX67" s="79"/>
      <c r="MY67" s="79"/>
      <c r="MZ67" s="79"/>
      <c r="NA67" s="79"/>
      <c r="NB67" s="79"/>
      <c r="NC67" s="79"/>
      <c r="ND67" s="79"/>
      <c r="NE67" s="79"/>
      <c r="NF67" s="79"/>
      <c r="NG67" s="79"/>
      <c r="NH67" s="79"/>
      <c r="NI67" s="79"/>
      <c r="NJ67" s="79"/>
      <c r="NK67" s="79"/>
      <c r="NL67" s="79"/>
      <c r="NM67" s="79"/>
      <c r="NN67" s="79"/>
      <c r="NO67" s="79"/>
      <c r="NP67" s="79"/>
      <c r="NQ67" s="79"/>
      <c r="NR67" s="79"/>
      <c r="NS67" s="79"/>
      <c r="NT67" s="79"/>
      <c r="NU67" s="79"/>
      <c r="NV67" s="79"/>
      <c r="NW67" s="79"/>
      <c r="NX67" s="79"/>
      <c r="NY67" s="79"/>
      <c r="NZ67" s="79"/>
      <c r="OA67" s="79"/>
      <c r="OB67" s="79"/>
      <c r="OC67" s="79"/>
      <c r="OD67" s="79"/>
      <c r="OE67" s="79"/>
      <c r="OF67" s="79"/>
      <c r="OG67" s="79"/>
      <c r="OH67" s="79"/>
      <c r="OI67" s="79"/>
      <c r="OJ67" s="79"/>
      <c r="OK67" s="79"/>
      <c r="OL67" s="79"/>
      <c r="OM67" s="79"/>
      <c r="ON67" s="79"/>
      <c r="OO67" s="79"/>
      <c r="OP67" s="79"/>
      <c r="OQ67" s="79"/>
      <c r="OR67" s="79"/>
      <c r="OS67" s="79"/>
      <c r="OT67" s="79"/>
      <c r="OU67" s="79"/>
      <c r="OV67" s="79"/>
      <c r="OW67" s="79"/>
      <c r="OX67" s="79"/>
      <c r="OY67" s="79"/>
      <c r="OZ67" s="79"/>
      <c r="PA67" s="79"/>
      <c r="PB67" s="79"/>
      <c r="PC67" s="79"/>
      <c r="PD67" s="79"/>
      <c r="PE67" s="79"/>
      <c r="PF67" s="79"/>
      <c r="PG67" s="79"/>
      <c r="PH67" s="79"/>
      <c r="PI67" s="79"/>
      <c r="PJ67" s="79"/>
      <c r="PK67" s="79"/>
      <c r="PL67" s="79"/>
      <c r="PM67" s="79"/>
      <c r="PN67" s="79"/>
      <c r="PO67" s="79"/>
      <c r="PP67" s="79"/>
      <c r="PQ67" s="79"/>
      <c r="PR67" s="79"/>
      <c r="PS67" s="79"/>
      <c r="PT67" s="79"/>
      <c r="PU67" s="79"/>
      <c r="PV67" s="79"/>
      <c r="PW67" s="79"/>
      <c r="PX67" s="79"/>
      <c r="PY67" s="79"/>
      <c r="PZ67" s="79"/>
      <c r="QA67" s="79"/>
      <c r="QB67" s="79"/>
      <c r="QC67" s="79"/>
      <c r="QD67" s="79"/>
      <c r="QE67" s="79"/>
      <c r="QF67" s="79"/>
      <c r="QG67" s="79"/>
      <c r="QH67" s="79"/>
      <c r="QI67" s="79"/>
      <c r="QJ67" s="79"/>
      <c r="QK67" s="79"/>
      <c r="QL67" s="79"/>
      <c r="QM67" s="79"/>
      <c r="QN67" s="79"/>
      <c r="QO67" s="79"/>
      <c r="QP67" s="79"/>
      <c r="QQ67" s="79"/>
      <c r="QR67" s="79"/>
      <c r="QS67" s="79"/>
      <c r="QT67" s="79"/>
      <c r="QU67" s="79"/>
      <c r="QV67" s="79"/>
      <c r="QW67" s="79"/>
      <c r="QX67" s="79"/>
      <c r="QY67" s="79"/>
      <c r="QZ67" s="79"/>
      <c r="RA67" s="79"/>
      <c r="RB67" s="79"/>
      <c r="RC67" s="79"/>
      <c r="RD67" s="79"/>
      <c r="RE67" s="79"/>
      <c r="RF67" s="79"/>
      <c r="RG67" s="79"/>
      <c r="RH67" s="79"/>
      <c r="RI67" s="79"/>
      <c r="RJ67" s="79"/>
      <c r="RK67" s="79"/>
      <c r="RL67" s="79"/>
      <c r="RM67" s="79"/>
      <c r="RN67" s="79"/>
      <c r="RO67" s="79"/>
      <c r="RP67" s="79"/>
      <c r="RQ67" s="79"/>
      <c r="RR67" s="79"/>
      <c r="RS67" s="79"/>
      <c r="RT67" s="79"/>
      <c r="RU67" s="79"/>
      <c r="RV67" s="79"/>
      <c r="RW67" s="79"/>
      <c r="RX67" s="79"/>
      <c r="RY67" s="79"/>
      <c r="RZ67" s="79"/>
      <c r="SA67" s="79"/>
      <c r="SB67" s="79"/>
      <c r="SC67" s="79"/>
      <c r="SD67" s="79"/>
      <c r="SE67" s="79"/>
      <c r="SF67" s="79"/>
      <c r="SG67" s="79"/>
      <c r="SH67" s="79"/>
      <c r="SI67" s="79"/>
      <c r="SJ67" s="79"/>
    </row>
    <row r="68" spans="2:504" x14ac:dyDescent="0.25">
      <c r="B68" s="40" t="str">
        <f>'Pay App 1'!B118</f>
        <v>11 53 00</v>
      </c>
      <c r="C68" s="41" t="str">
        <f>'Pay App 1'!C118</f>
        <v>Lab/Mechanical Equipment</v>
      </c>
      <c r="D68" s="82">
        <f t="shared" si="8"/>
        <v>0</v>
      </c>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79"/>
      <c r="AE68" s="79"/>
      <c r="AF68" s="79"/>
      <c r="AG68" s="79"/>
      <c r="AH68" s="79"/>
      <c r="AI68" s="79"/>
      <c r="AJ68" s="79"/>
      <c r="AK68" s="79"/>
      <c r="AL68" s="79"/>
      <c r="AM68" s="79"/>
      <c r="AN68" s="79"/>
      <c r="AO68" s="79"/>
      <c r="AP68" s="79"/>
      <c r="AQ68" s="79"/>
      <c r="AR68" s="79"/>
      <c r="AS68" s="79"/>
      <c r="AT68" s="79"/>
      <c r="AU68" s="79"/>
      <c r="AV68" s="79"/>
      <c r="AW68" s="79"/>
      <c r="AX68" s="79"/>
      <c r="AY68" s="79"/>
      <c r="AZ68" s="79"/>
      <c r="BA68" s="79"/>
      <c r="BB68" s="79"/>
      <c r="BC68" s="79"/>
      <c r="BD68" s="79"/>
      <c r="BE68" s="79"/>
      <c r="BF68" s="79"/>
      <c r="BG68" s="79"/>
      <c r="BH68" s="79"/>
      <c r="BI68" s="79"/>
      <c r="BJ68" s="79"/>
      <c r="BK68" s="79"/>
      <c r="BL68" s="79"/>
      <c r="BM68" s="79"/>
      <c r="BN68" s="79"/>
      <c r="BO68" s="79"/>
      <c r="BP68" s="79"/>
      <c r="BQ68" s="79"/>
      <c r="BR68" s="79"/>
      <c r="BS68" s="79"/>
      <c r="BT68" s="79"/>
      <c r="BU68" s="79"/>
      <c r="BV68" s="79"/>
      <c r="BW68" s="79"/>
      <c r="BX68" s="79"/>
      <c r="BY68" s="79"/>
      <c r="BZ68" s="79"/>
      <c r="CA68" s="79"/>
      <c r="CB68" s="79"/>
      <c r="CC68" s="79"/>
      <c r="CD68" s="79"/>
      <c r="CE68" s="79"/>
      <c r="CF68" s="79"/>
      <c r="CG68" s="79"/>
      <c r="CH68" s="79"/>
      <c r="CI68" s="79"/>
      <c r="CJ68" s="79"/>
      <c r="CK68" s="79"/>
      <c r="CL68" s="79"/>
      <c r="CM68" s="79"/>
      <c r="CN68" s="79"/>
      <c r="CO68" s="79"/>
      <c r="CP68" s="79"/>
      <c r="CQ68" s="79"/>
      <c r="CR68" s="79"/>
      <c r="CS68" s="79"/>
      <c r="CT68" s="79"/>
      <c r="CU68" s="79"/>
      <c r="CV68" s="79"/>
      <c r="CW68" s="79"/>
      <c r="CX68" s="79"/>
      <c r="CY68" s="79"/>
      <c r="CZ68" s="79"/>
      <c r="DA68" s="79"/>
      <c r="DB68" s="79"/>
      <c r="DC68" s="79"/>
      <c r="DD68" s="79"/>
      <c r="DE68" s="79"/>
      <c r="DF68" s="79"/>
      <c r="DG68" s="79"/>
      <c r="DH68" s="79"/>
      <c r="DI68" s="79"/>
      <c r="DJ68" s="79"/>
      <c r="DK68" s="79"/>
      <c r="DL68" s="79"/>
      <c r="DM68" s="79"/>
      <c r="DN68" s="79"/>
      <c r="DO68" s="79"/>
      <c r="DP68" s="79"/>
      <c r="DQ68" s="79"/>
      <c r="DR68" s="79"/>
      <c r="DS68" s="79"/>
      <c r="DT68" s="79"/>
      <c r="DU68" s="79"/>
      <c r="DV68" s="79"/>
      <c r="DW68" s="79"/>
      <c r="DX68" s="79"/>
      <c r="DY68" s="79"/>
      <c r="DZ68" s="79"/>
      <c r="EA68" s="79"/>
      <c r="EB68" s="79"/>
      <c r="EC68" s="79"/>
      <c r="ED68" s="79"/>
      <c r="EE68" s="79"/>
      <c r="EF68" s="79"/>
      <c r="EG68" s="79"/>
      <c r="EH68" s="79"/>
      <c r="EI68" s="79"/>
      <c r="EJ68" s="79"/>
      <c r="EK68" s="79"/>
      <c r="EL68" s="79"/>
      <c r="EM68" s="79"/>
      <c r="EN68" s="79"/>
      <c r="EO68" s="79"/>
      <c r="EP68" s="79"/>
      <c r="EQ68" s="79"/>
      <c r="ER68" s="79"/>
      <c r="ES68" s="79"/>
      <c r="ET68" s="79"/>
      <c r="EU68" s="79"/>
      <c r="EV68" s="79"/>
      <c r="EW68" s="79"/>
      <c r="EX68" s="79"/>
      <c r="EY68" s="79"/>
      <c r="EZ68" s="79"/>
      <c r="FA68" s="79"/>
      <c r="FB68" s="79"/>
      <c r="FC68" s="79"/>
      <c r="FD68" s="79"/>
      <c r="FE68" s="79"/>
      <c r="FF68" s="79"/>
      <c r="FG68" s="79"/>
      <c r="FH68" s="79"/>
      <c r="FI68" s="79"/>
      <c r="FJ68" s="79"/>
      <c r="FK68" s="79"/>
      <c r="FL68" s="79"/>
      <c r="FM68" s="79"/>
      <c r="FN68" s="79"/>
      <c r="FO68" s="79"/>
      <c r="FP68" s="79"/>
      <c r="FQ68" s="79"/>
      <c r="FR68" s="79"/>
      <c r="FS68" s="79"/>
      <c r="FT68" s="79"/>
      <c r="FU68" s="79"/>
      <c r="FV68" s="79"/>
      <c r="FW68" s="79"/>
      <c r="FX68" s="79"/>
      <c r="FY68" s="79"/>
      <c r="FZ68" s="79"/>
      <c r="GA68" s="79"/>
      <c r="GB68" s="79"/>
      <c r="GC68" s="79"/>
      <c r="GD68" s="79"/>
      <c r="GE68" s="79"/>
      <c r="GF68" s="79"/>
      <c r="GG68" s="79"/>
      <c r="GH68" s="79"/>
      <c r="GI68" s="79"/>
      <c r="GJ68" s="79"/>
      <c r="GK68" s="79"/>
      <c r="GL68" s="79"/>
      <c r="GM68" s="79"/>
      <c r="GN68" s="79"/>
      <c r="GO68" s="79"/>
      <c r="GP68" s="79"/>
      <c r="GQ68" s="79"/>
      <c r="GR68" s="79"/>
      <c r="GS68" s="79"/>
      <c r="GT68" s="79"/>
      <c r="GU68" s="79"/>
      <c r="GV68" s="79"/>
      <c r="GW68" s="79"/>
      <c r="GX68" s="79"/>
      <c r="GY68" s="79"/>
      <c r="GZ68" s="79"/>
      <c r="HA68" s="79"/>
      <c r="HB68" s="79"/>
      <c r="HC68" s="79"/>
      <c r="HD68" s="79"/>
      <c r="HE68" s="79"/>
      <c r="HF68" s="79"/>
      <c r="HG68" s="79"/>
      <c r="HH68" s="79"/>
      <c r="HI68" s="79"/>
      <c r="HJ68" s="79"/>
      <c r="HK68" s="79"/>
      <c r="HL68" s="79"/>
      <c r="HM68" s="79"/>
      <c r="HN68" s="79"/>
      <c r="HO68" s="79"/>
      <c r="HP68" s="79"/>
      <c r="HQ68" s="79"/>
      <c r="HR68" s="79"/>
      <c r="HS68" s="79"/>
      <c r="HT68" s="79"/>
      <c r="HU68" s="79"/>
      <c r="HV68" s="79"/>
      <c r="HW68" s="79"/>
      <c r="HX68" s="79"/>
      <c r="HY68" s="79"/>
      <c r="HZ68" s="79"/>
      <c r="IA68" s="79"/>
      <c r="IB68" s="79"/>
      <c r="IC68" s="79"/>
      <c r="ID68" s="79"/>
      <c r="IE68" s="79"/>
      <c r="IF68" s="79"/>
      <c r="IG68" s="79"/>
      <c r="IH68" s="79"/>
      <c r="II68" s="79"/>
      <c r="IJ68" s="79"/>
      <c r="IK68" s="79"/>
      <c r="IL68" s="79"/>
      <c r="IM68" s="79"/>
      <c r="IN68" s="79"/>
      <c r="IO68" s="79"/>
      <c r="IP68" s="79"/>
      <c r="IQ68" s="79"/>
      <c r="IR68" s="79"/>
      <c r="IS68" s="79"/>
      <c r="IT68" s="79"/>
      <c r="IU68" s="79"/>
      <c r="IV68" s="79"/>
      <c r="IW68" s="79"/>
      <c r="IX68" s="79"/>
      <c r="IY68" s="79"/>
      <c r="IZ68" s="79"/>
      <c r="JA68" s="79"/>
      <c r="JB68" s="79"/>
      <c r="JC68" s="79"/>
      <c r="JD68" s="79"/>
      <c r="JE68" s="79"/>
      <c r="JF68" s="79"/>
      <c r="JG68" s="79"/>
      <c r="JH68" s="79"/>
      <c r="JI68" s="79"/>
      <c r="JJ68" s="79"/>
      <c r="JK68" s="79"/>
      <c r="JL68" s="79"/>
      <c r="JM68" s="79"/>
      <c r="JN68" s="79"/>
      <c r="JO68" s="79"/>
      <c r="JP68" s="79"/>
      <c r="JQ68" s="79"/>
      <c r="JR68" s="79"/>
      <c r="JS68" s="79"/>
      <c r="JT68" s="79"/>
      <c r="JU68" s="79"/>
      <c r="JV68" s="79"/>
      <c r="JW68" s="79"/>
      <c r="JX68" s="79"/>
      <c r="JY68" s="79"/>
      <c r="JZ68" s="79"/>
      <c r="KA68" s="79"/>
      <c r="KB68" s="79"/>
      <c r="KC68" s="79"/>
      <c r="KD68" s="79"/>
      <c r="KE68" s="79"/>
      <c r="KF68" s="79"/>
      <c r="KG68" s="79"/>
      <c r="KH68" s="79"/>
      <c r="KI68" s="79"/>
      <c r="KJ68" s="79"/>
      <c r="KK68" s="79"/>
      <c r="KL68" s="79"/>
      <c r="KM68" s="79"/>
      <c r="KN68" s="79"/>
      <c r="KO68" s="79"/>
      <c r="KP68" s="79"/>
      <c r="KQ68" s="79"/>
      <c r="KR68" s="79"/>
      <c r="KS68" s="79"/>
      <c r="KT68" s="79"/>
      <c r="KU68" s="79"/>
      <c r="KV68" s="79"/>
      <c r="KW68" s="79"/>
      <c r="KX68" s="79"/>
      <c r="KY68" s="79"/>
      <c r="KZ68" s="79"/>
      <c r="LA68" s="79"/>
      <c r="LB68" s="79"/>
      <c r="LC68" s="79"/>
      <c r="LD68" s="79"/>
      <c r="LE68" s="79"/>
      <c r="LF68" s="79"/>
      <c r="LG68" s="79"/>
      <c r="LH68" s="79"/>
      <c r="LI68" s="79"/>
      <c r="LJ68" s="79"/>
      <c r="LK68" s="79"/>
      <c r="LL68" s="79"/>
      <c r="LM68" s="79"/>
      <c r="LN68" s="79"/>
      <c r="LO68" s="79"/>
      <c r="LP68" s="79"/>
      <c r="LQ68" s="79"/>
      <c r="LR68" s="79"/>
      <c r="LS68" s="79"/>
      <c r="LT68" s="79"/>
      <c r="LU68" s="79"/>
      <c r="LV68" s="79"/>
      <c r="LW68" s="79"/>
      <c r="LX68" s="79"/>
      <c r="LY68" s="79"/>
      <c r="LZ68" s="79"/>
      <c r="MA68" s="79"/>
      <c r="MB68" s="79"/>
      <c r="MC68" s="79"/>
      <c r="MD68" s="79"/>
      <c r="ME68" s="79"/>
      <c r="MF68" s="79"/>
      <c r="MG68" s="79"/>
      <c r="MH68" s="79"/>
      <c r="MI68" s="79"/>
      <c r="MJ68" s="79"/>
      <c r="MK68" s="79"/>
      <c r="ML68" s="79"/>
      <c r="MM68" s="79"/>
      <c r="MN68" s="79"/>
      <c r="MO68" s="79"/>
      <c r="MP68" s="79"/>
      <c r="MQ68" s="79"/>
      <c r="MR68" s="79"/>
      <c r="MS68" s="79"/>
      <c r="MT68" s="79"/>
      <c r="MU68" s="79"/>
      <c r="MV68" s="79"/>
      <c r="MW68" s="79"/>
      <c r="MX68" s="79"/>
      <c r="MY68" s="79"/>
      <c r="MZ68" s="79"/>
      <c r="NA68" s="79"/>
      <c r="NB68" s="79"/>
      <c r="NC68" s="79"/>
      <c r="ND68" s="79"/>
      <c r="NE68" s="79"/>
      <c r="NF68" s="79"/>
      <c r="NG68" s="79"/>
      <c r="NH68" s="79"/>
      <c r="NI68" s="79"/>
      <c r="NJ68" s="79"/>
      <c r="NK68" s="79"/>
      <c r="NL68" s="79"/>
      <c r="NM68" s="79"/>
      <c r="NN68" s="79"/>
      <c r="NO68" s="79"/>
      <c r="NP68" s="79"/>
      <c r="NQ68" s="79"/>
      <c r="NR68" s="79"/>
      <c r="NS68" s="79"/>
      <c r="NT68" s="79"/>
      <c r="NU68" s="79"/>
      <c r="NV68" s="79"/>
      <c r="NW68" s="79"/>
      <c r="NX68" s="79"/>
      <c r="NY68" s="79"/>
      <c r="NZ68" s="79"/>
      <c r="OA68" s="79"/>
      <c r="OB68" s="79"/>
      <c r="OC68" s="79"/>
      <c r="OD68" s="79"/>
      <c r="OE68" s="79"/>
      <c r="OF68" s="79"/>
      <c r="OG68" s="79"/>
      <c r="OH68" s="79"/>
      <c r="OI68" s="79"/>
      <c r="OJ68" s="79"/>
      <c r="OK68" s="79"/>
      <c r="OL68" s="79"/>
      <c r="OM68" s="79"/>
      <c r="ON68" s="79"/>
      <c r="OO68" s="79"/>
      <c r="OP68" s="79"/>
      <c r="OQ68" s="79"/>
      <c r="OR68" s="79"/>
      <c r="OS68" s="79"/>
      <c r="OT68" s="79"/>
      <c r="OU68" s="79"/>
      <c r="OV68" s="79"/>
      <c r="OW68" s="79"/>
      <c r="OX68" s="79"/>
      <c r="OY68" s="79"/>
      <c r="OZ68" s="79"/>
      <c r="PA68" s="79"/>
      <c r="PB68" s="79"/>
      <c r="PC68" s="79"/>
      <c r="PD68" s="79"/>
      <c r="PE68" s="79"/>
      <c r="PF68" s="79"/>
      <c r="PG68" s="79"/>
      <c r="PH68" s="79"/>
      <c r="PI68" s="79"/>
      <c r="PJ68" s="79"/>
      <c r="PK68" s="79"/>
      <c r="PL68" s="79"/>
      <c r="PM68" s="79"/>
      <c r="PN68" s="79"/>
      <c r="PO68" s="79"/>
      <c r="PP68" s="79"/>
      <c r="PQ68" s="79"/>
      <c r="PR68" s="79"/>
      <c r="PS68" s="79"/>
      <c r="PT68" s="79"/>
      <c r="PU68" s="79"/>
      <c r="PV68" s="79"/>
      <c r="PW68" s="79"/>
      <c r="PX68" s="79"/>
      <c r="PY68" s="79"/>
      <c r="PZ68" s="79"/>
      <c r="QA68" s="79"/>
      <c r="QB68" s="79"/>
      <c r="QC68" s="79"/>
      <c r="QD68" s="79"/>
      <c r="QE68" s="79"/>
      <c r="QF68" s="79"/>
      <c r="QG68" s="79"/>
      <c r="QH68" s="79"/>
      <c r="QI68" s="79"/>
      <c r="QJ68" s="79"/>
      <c r="QK68" s="79"/>
      <c r="QL68" s="79"/>
      <c r="QM68" s="79"/>
      <c r="QN68" s="79"/>
      <c r="QO68" s="79"/>
      <c r="QP68" s="79"/>
      <c r="QQ68" s="79"/>
      <c r="QR68" s="79"/>
      <c r="QS68" s="79"/>
      <c r="QT68" s="79"/>
      <c r="QU68" s="79"/>
      <c r="QV68" s="79"/>
      <c r="QW68" s="79"/>
      <c r="QX68" s="79"/>
      <c r="QY68" s="79"/>
      <c r="QZ68" s="79"/>
      <c r="RA68" s="79"/>
      <c r="RB68" s="79"/>
      <c r="RC68" s="79"/>
      <c r="RD68" s="79"/>
      <c r="RE68" s="79"/>
      <c r="RF68" s="79"/>
      <c r="RG68" s="79"/>
      <c r="RH68" s="79"/>
      <c r="RI68" s="79"/>
      <c r="RJ68" s="79"/>
      <c r="RK68" s="79"/>
      <c r="RL68" s="79"/>
      <c r="RM68" s="79"/>
      <c r="RN68" s="79"/>
      <c r="RO68" s="79"/>
      <c r="RP68" s="79"/>
      <c r="RQ68" s="79"/>
      <c r="RR68" s="79"/>
      <c r="RS68" s="79"/>
      <c r="RT68" s="79"/>
      <c r="RU68" s="79"/>
      <c r="RV68" s="79"/>
      <c r="RW68" s="79"/>
      <c r="RX68" s="79"/>
      <c r="RY68" s="79"/>
      <c r="RZ68" s="79"/>
      <c r="SA68" s="79"/>
      <c r="SB68" s="79"/>
      <c r="SC68" s="79"/>
      <c r="SD68" s="79"/>
      <c r="SE68" s="79"/>
      <c r="SF68" s="79"/>
      <c r="SG68" s="79"/>
      <c r="SH68" s="79"/>
      <c r="SI68" s="79"/>
      <c r="SJ68" s="79"/>
    </row>
    <row r="69" spans="2:504" x14ac:dyDescent="0.25">
      <c r="B69" s="40" t="str">
        <f>'Pay App 1'!B119</f>
        <v>11 66 00</v>
      </c>
      <c r="C69" s="41" t="str">
        <f>'Pay App 1'!C119</f>
        <v>Athletic Equipment</v>
      </c>
      <c r="D69" s="82">
        <f t="shared" si="8"/>
        <v>0</v>
      </c>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79"/>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79"/>
      <c r="BE69" s="79"/>
      <c r="BF69" s="79"/>
      <c r="BG69" s="79"/>
      <c r="BH69" s="79"/>
      <c r="BI69" s="79"/>
      <c r="BJ69" s="79"/>
      <c r="BK69" s="79"/>
      <c r="BL69" s="79"/>
      <c r="BM69" s="79"/>
      <c r="BN69" s="79"/>
      <c r="BO69" s="79"/>
      <c r="BP69" s="79"/>
      <c r="BQ69" s="79"/>
      <c r="BR69" s="79"/>
      <c r="BS69" s="79"/>
      <c r="BT69" s="79"/>
      <c r="BU69" s="79"/>
      <c r="BV69" s="79"/>
      <c r="BW69" s="79"/>
      <c r="BX69" s="79"/>
      <c r="BY69" s="79"/>
      <c r="BZ69" s="79"/>
      <c r="CA69" s="79"/>
      <c r="CB69" s="79"/>
      <c r="CC69" s="79"/>
      <c r="CD69" s="79"/>
      <c r="CE69" s="79"/>
      <c r="CF69" s="79"/>
      <c r="CG69" s="79"/>
      <c r="CH69" s="79"/>
      <c r="CI69" s="79"/>
      <c r="CJ69" s="79"/>
      <c r="CK69" s="79"/>
      <c r="CL69" s="79"/>
      <c r="CM69" s="79"/>
      <c r="CN69" s="79"/>
      <c r="CO69" s="79"/>
      <c r="CP69" s="79"/>
      <c r="CQ69" s="79"/>
      <c r="CR69" s="79"/>
      <c r="CS69" s="79"/>
      <c r="CT69" s="79"/>
      <c r="CU69" s="79"/>
      <c r="CV69" s="79"/>
      <c r="CW69" s="79"/>
      <c r="CX69" s="79"/>
      <c r="CY69" s="79"/>
      <c r="CZ69" s="79"/>
      <c r="DA69" s="79"/>
      <c r="DB69" s="79"/>
      <c r="DC69" s="79"/>
      <c r="DD69" s="79"/>
      <c r="DE69" s="79"/>
      <c r="DF69" s="79"/>
      <c r="DG69" s="79"/>
      <c r="DH69" s="79"/>
      <c r="DI69" s="79"/>
      <c r="DJ69" s="79"/>
      <c r="DK69" s="79"/>
      <c r="DL69" s="79"/>
      <c r="DM69" s="79"/>
      <c r="DN69" s="79"/>
      <c r="DO69" s="79"/>
      <c r="DP69" s="79"/>
      <c r="DQ69" s="79"/>
      <c r="DR69" s="79"/>
      <c r="DS69" s="79"/>
      <c r="DT69" s="79"/>
      <c r="DU69" s="79"/>
      <c r="DV69" s="79"/>
      <c r="DW69" s="79"/>
      <c r="DX69" s="79"/>
      <c r="DY69" s="79"/>
      <c r="DZ69" s="79"/>
      <c r="EA69" s="79"/>
      <c r="EB69" s="79"/>
      <c r="EC69" s="79"/>
      <c r="ED69" s="79"/>
      <c r="EE69" s="79"/>
      <c r="EF69" s="79"/>
      <c r="EG69" s="79"/>
      <c r="EH69" s="79"/>
      <c r="EI69" s="79"/>
      <c r="EJ69" s="79"/>
      <c r="EK69" s="79"/>
      <c r="EL69" s="79"/>
      <c r="EM69" s="79"/>
      <c r="EN69" s="79"/>
      <c r="EO69" s="79"/>
      <c r="EP69" s="79"/>
      <c r="EQ69" s="79"/>
      <c r="ER69" s="79"/>
      <c r="ES69" s="79"/>
      <c r="ET69" s="79"/>
      <c r="EU69" s="79"/>
      <c r="EV69" s="79"/>
      <c r="EW69" s="79"/>
      <c r="EX69" s="79"/>
      <c r="EY69" s="79"/>
      <c r="EZ69" s="79"/>
      <c r="FA69" s="79"/>
      <c r="FB69" s="79"/>
      <c r="FC69" s="79"/>
      <c r="FD69" s="79"/>
      <c r="FE69" s="79"/>
      <c r="FF69" s="79"/>
      <c r="FG69" s="79"/>
      <c r="FH69" s="79"/>
      <c r="FI69" s="79"/>
      <c r="FJ69" s="79"/>
      <c r="FK69" s="79"/>
      <c r="FL69" s="79"/>
      <c r="FM69" s="79"/>
      <c r="FN69" s="79"/>
      <c r="FO69" s="79"/>
      <c r="FP69" s="79"/>
      <c r="FQ69" s="79"/>
      <c r="FR69" s="79"/>
      <c r="FS69" s="79"/>
      <c r="FT69" s="79"/>
      <c r="FU69" s="79"/>
      <c r="FV69" s="79"/>
      <c r="FW69" s="79"/>
      <c r="FX69" s="79"/>
      <c r="FY69" s="79"/>
      <c r="FZ69" s="79"/>
      <c r="GA69" s="79"/>
      <c r="GB69" s="79"/>
      <c r="GC69" s="79"/>
      <c r="GD69" s="79"/>
      <c r="GE69" s="79"/>
      <c r="GF69" s="79"/>
      <c r="GG69" s="79"/>
      <c r="GH69" s="79"/>
      <c r="GI69" s="79"/>
      <c r="GJ69" s="79"/>
      <c r="GK69" s="79"/>
      <c r="GL69" s="79"/>
      <c r="GM69" s="79"/>
      <c r="GN69" s="79"/>
      <c r="GO69" s="79"/>
      <c r="GP69" s="79"/>
      <c r="GQ69" s="79"/>
      <c r="GR69" s="79"/>
      <c r="GS69" s="79"/>
      <c r="GT69" s="79"/>
      <c r="GU69" s="79"/>
      <c r="GV69" s="79"/>
      <c r="GW69" s="79"/>
      <c r="GX69" s="79"/>
      <c r="GY69" s="79"/>
      <c r="GZ69" s="79"/>
      <c r="HA69" s="79"/>
      <c r="HB69" s="79"/>
      <c r="HC69" s="79"/>
      <c r="HD69" s="79"/>
      <c r="HE69" s="79"/>
      <c r="HF69" s="79"/>
      <c r="HG69" s="79"/>
      <c r="HH69" s="79"/>
      <c r="HI69" s="79"/>
      <c r="HJ69" s="79"/>
      <c r="HK69" s="79"/>
      <c r="HL69" s="79"/>
      <c r="HM69" s="79"/>
      <c r="HN69" s="79"/>
      <c r="HO69" s="79"/>
      <c r="HP69" s="79"/>
      <c r="HQ69" s="79"/>
      <c r="HR69" s="79"/>
      <c r="HS69" s="79"/>
      <c r="HT69" s="79"/>
      <c r="HU69" s="79"/>
      <c r="HV69" s="79"/>
      <c r="HW69" s="79"/>
      <c r="HX69" s="79"/>
      <c r="HY69" s="79"/>
      <c r="HZ69" s="79"/>
      <c r="IA69" s="79"/>
      <c r="IB69" s="79"/>
      <c r="IC69" s="79"/>
      <c r="ID69" s="79"/>
      <c r="IE69" s="79"/>
      <c r="IF69" s="79"/>
      <c r="IG69" s="79"/>
      <c r="IH69" s="79"/>
      <c r="II69" s="79"/>
      <c r="IJ69" s="79"/>
      <c r="IK69" s="79"/>
      <c r="IL69" s="79"/>
      <c r="IM69" s="79"/>
      <c r="IN69" s="79"/>
      <c r="IO69" s="79"/>
      <c r="IP69" s="79"/>
      <c r="IQ69" s="79"/>
      <c r="IR69" s="79"/>
      <c r="IS69" s="79"/>
      <c r="IT69" s="79"/>
      <c r="IU69" s="79"/>
      <c r="IV69" s="79"/>
      <c r="IW69" s="79"/>
      <c r="IX69" s="79"/>
      <c r="IY69" s="79"/>
      <c r="IZ69" s="79"/>
      <c r="JA69" s="79"/>
      <c r="JB69" s="79"/>
      <c r="JC69" s="79"/>
      <c r="JD69" s="79"/>
      <c r="JE69" s="79"/>
      <c r="JF69" s="79"/>
      <c r="JG69" s="79"/>
      <c r="JH69" s="79"/>
      <c r="JI69" s="79"/>
      <c r="JJ69" s="79"/>
      <c r="JK69" s="79"/>
      <c r="JL69" s="79"/>
      <c r="JM69" s="79"/>
      <c r="JN69" s="79"/>
      <c r="JO69" s="79"/>
      <c r="JP69" s="79"/>
      <c r="JQ69" s="79"/>
      <c r="JR69" s="79"/>
      <c r="JS69" s="79"/>
      <c r="JT69" s="79"/>
      <c r="JU69" s="79"/>
      <c r="JV69" s="79"/>
      <c r="JW69" s="79"/>
      <c r="JX69" s="79"/>
      <c r="JY69" s="79"/>
      <c r="JZ69" s="79"/>
      <c r="KA69" s="79"/>
      <c r="KB69" s="79"/>
      <c r="KC69" s="79"/>
      <c r="KD69" s="79"/>
      <c r="KE69" s="79"/>
      <c r="KF69" s="79"/>
      <c r="KG69" s="79"/>
      <c r="KH69" s="79"/>
      <c r="KI69" s="79"/>
      <c r="KJ69" s="79"/>
      <c r="KK69" s="79"/>
      <c r="KL69" s="79"/>
      <c r="KM69" s="79"/>
      <c r="KN69" s="79"/>
      <c r="KO69" s="79"/>
      <c r="KP69" s="79"/>
      <c r="KQ69" s="79"/>
      <c r="KR69" s="79"/>
      <c r="KS69" s="79"/>
      <c r="KT69" s="79"/>
      <c r="KU69" s="79"/>
      <c r="KV69" s="79"/>
      <c r="KW69" s="79"/>
      <c r="KX69" s="79"/>
      <c r="KY69" s="79"/>
      <c r="KZ69" s="79"/>
      <c r="LA69" s="79"/>
      <c r="LB69" s="79"/>
      <c r="LC69" s="79"/>
      <c r="LD69" s="79"/>
      <c r="LE69" s="79"/>
      <c r="LF69" s="79"/>
      <c r="LG69" s="79"/>
      <c r="LH69" s="79"/>
      <c r="LI69" s="79"/>
      <c r="LJ69" s="79"/>
      <c r="LK69" s="79"/>
      <c r="LL69" s="79"/>
      <c r="LM69" s="79"/>
      <c r="LN69" s="79"/>
      <c r="LO69" s="79"/>
      <c r="LP69" s="79"/>
      <c r="LQ69" s="79"/>
      <c r="LR69" s="79"/>
      <c r="LS69" s="79"/>
      <c r="LT69" s="79"/>
      <c r="LU69" s="79"/>
      <c r="LV69" s="79"/>
      <c r="LW69" s="79"/>
      <c r="LX69" s="79"/>
      <c r="LY69" s="79"/>
      <c r="LZ69" s="79"/>
      <c r="MA69" s="79"/>
      <c r="MB69" s="79"/>
      <c r="MC69" s="79"/>
      <c r="MD69" s="79"/>
      <c r="ME69" s="79"/>
      <c r="MF69" s="79"/>
      <c r="MG69" s="79"/>
      <c r="MH69" s="79"/>
      <c r="MI69" s="79"/>
      <c r="MJ69" s="79"/>
      <c r="MK69" s="79"/>
      <c r="ML69" s="79"/>
      <c r="MM69" s="79"/>
      <c r="MN69" s="79"/>
      <c r="MO69" s="79"/>
      <c r="MP69" s="79"/>
      <c r="MQ69" s="79"/>
      <c r="MR69" s="79"/>
      <c r="MS69" s="79"/>
      <c r="MT69" s="79"/>
      <c r="MU69" s="79"/>
      <c r="MV69" s="79"/>
      <c r="MW69" s="79"/>
      <c r="MX69" s="79"/>
      <c r="MY69" s="79"/>
      <c r="MZ69" s="79"/>
      <c r="NA69" s="79"/>
      <c r="NB69" s="79"/>
      <c r="NC69" s="79"/>
      <c r="ND69" s="79"/>
      <c r="NE69" s="79"/>
      <c r="NF69" s="79"/>
      <c r="NG69" s="79"/>
      <c r="NH69" s="79"/>
      <c r="NI69" s="79"/>
      <c r="NJ69" s="79"/>
      <c r="NK69" s="79"/>
      <c r="NL69" s="79"/>
      <c r="NM69" s="79"/>
      <c r="NN69" s="79"/>
      <c r="NO69" s="79"/>
      <c r="NP69" s="79"/>
      <c r="NQ69" s="79"/>
      <c r="NR69" s="79"/>
      <c r="NS69" s="79"/>
      <c r="NT69" s="79"/>
      <c r="NU69" s="79"/>
      <c r="NV69" s="79"/>
      <c r="NW69" s="79"/>
      <c r="NX69" s="79"/>
      <c r="NY69" s="79"/>
      <c r="NZ69" s="79"/>
      <c r="OA69" s="79"/>
      <c r="OB69" s="79"/>
      <c r="OC69" s="79"/>
      <c r="OD69" s="79"/>
      <c r="OE69" s="79"/>
      <c r="OF69" s="79"/>
      <c r="OG69" s="79"/>
      <c r="OH69" s="79"/>
      <c r="OI69" s="79"/>
      <c r="OJ69" s="79"/>
      <c r="OK69" s="79"/>
      <c r="OL69" s="79"/>
      <c r="OM69" s="79"/>
      <c r="ON69" s="79"/>
      <c r="OO69" s="79"/>
      <c r="OP69" s="79"/>
      <c r="OQ69" s="79"/>
      <c r="OR69" s="79"/>
      <c r="OS69" s="79"/>
      <c r="OT69" s="79"/>
      <c r="OU69" s="79"/>
      <c r="OV69" s="79"/>
      <c r="OW69" s="79"/>
      <c r="OX69" s="79"/>
      <c r="OY69" s="79"/>
      <c r="OZ69" s="79"/>
      <c r="PA69" s="79"/>
      <c r="PB69" s="79"/>
      <c r="PC69" s="79"/>
      <c r="PD69" s="79"/>
      <c r="PE69" s="79"/>
      <c r="PF69" s="79"/>
      <c r="PG69" s="79"/>
      <c r="PH69" s="79"/>
      <c r="PI69" s="79"/>
      <c r="PJ69" s="79"/>
      <c r="PK69" s="79"/>
      <c r="PL69" s="79"/>
      <c r="PM69" s="79"/>
      <c r="PN69" s="79"/>
      <c r="PO69" s="79"/>
      <c r="PP69" s="79"/>
      <c r="PQ69" s="79"/>
      <c r="PR69" s="79"/>
      <c r="PS69" s="79"/>
      <c r="PT69" s="79"/>
      <c r="PU69" s="79"/>
      <c r="PV69" s="79"/>
      <c r="PW69" s="79"/>
      <c r="PX69" s="79"/>
      <c r="PY69" s="79"/>
      <c r="PZ69" s="79"/>
      <c r="QA69" s="79"/>
      <c r="QB69" s="79"/>
      <c r="QC69" s="79"/>
      <c r="QD69" s="79"/>
      <c r="QE69" s="79"/>
      <c r="QF69" s="79"/>
      <c r="QG69" s="79"/>
      <c r="QH69" s="79"/>
      <c r="QI69" s="79"/>
      <c r="QJ69" s="79"/>
      <c r="QK69" s="79"/>
      <c r="QL69" s="79"/>
      <c r="QM69" s="79"/>
      <c r="QN69" s="79"/>
      <c r="QO69" s="79"/>
      <c r="QP69" s="79"/>
      <c r="QQ69" s="79"/>
      <c r="QR69" s="79"/>
      <c r="QS69" s="79"/>
      <c r="QT69" s="79"/>
      <c r="QU69" s="79"/>
      <c r="QV69" s="79"/>
      <c r="QW69" s="79"/>
      <c r="QX69" s="79"/>
      <c r="QY69" s="79"/>
      <c r="QZ69" s="79"/>
      <c r="RA69" s="79"/>
      <c r="RB69" s="79"/>
      <c r="RC69" s="79"/>
      <c r="RD69" s="79"/>
      <c r="RE69" s="79"/>
      <c r="RF69" s="79"/>
      <c r="RG69" s="79"/>
      <c r="RH69" s="79"/>
      <c r="RI69" s="79"/>
      <c r="RJ69" s="79"/>
      <c r="RK69" s="79"/>
      <c r="RL69" s="79"/>
      <c r="RM69" s="79"/>
      <c r="RN69" s="79"/>
      <c r="RO69" s="79"/>
      <c r="RP69" s="79"/>
      <c r="RQ69" s="79"/>
      <c r="RR69" s="79"/>
      <c r="RS69" s="79"/>
      <c r="RT69" s="79"/>
      <c r="RU69" s="79"/>
      <c r="RV69" s="79"/>
      <c r="RW69" s="79"/>
      <c r="RX69" s="79"/>
      <c r="RY69" s="79"/>
      <c r="RZ69" s="79"/>
      <c r="SA69" s="79"/>
      <c r="SB69" s="79"/>
      <c r="SC69" s="79"/>
      <c r="SD69" s="79"/>
      <c r="SE69" s="79"/>
      <c r="SF69" s="79"/>
      <c r="SG69" s="79"/>
      <c r="SH69" s="79"/>
      <c r="SI69" s="79"/>
      <c r="SJ69" s="79"/>
    </row>
    <row r="70" spans="2:504" x14ac:dyDescent="0.25">
      <c r="B70" s="40" t="str">
        <f>'Pay App 1'!B120</f>
        <v>11 90 00</v>
      </c>
      <c r="C70" s="41" t="str">
        <f>'Pay App 1'!C120</f>
        <v>Equipment (other)</v>
      </c>
      <c r="D70" s="82">
        <f t="shared" si="8"/>
        <v>0</v>
      </c>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79"/>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79"/>
      <c r="BE70" s="79"/>
      <c r="BF70" s="79"/>
      <c r="BG70" s="79"/>
      <c r="BH70" s="79"/>
      <c r="BI70" s="79"/>
      <c r="BJ70" s="79"/>
      <c r="BK70" s="79"/>
      <c r="BL70" s="79"/>
      <c r="BM70" s="79"/>
      <c r="BN70" s="79"/>
      <c r="BO70" s="79"/>
      <c r="BP70" s="79"/>
      <c r="BQ70" s="79"/>
      <c r="BR70" s="79"/>
      <c r="BS70" s="79"/>
      <c r="BT70" s="79"/>
      <c r="BU70" s="79"/>
      <c r="BV70" s="79"/>
      <c r="BW70" s="79"/>
      <c r="BX70" s="79"/>
      <c r="BY70" s="79"/>
      <c r="BZ70" s="79"/>
      <c r="CA70" s="79"/>
      <c r="CB70" s="79"/>
      <c r="CC70" s="79"/>
      <c r="CD70" s="79"/>
      <c r="CE70" s="79"/>
      <c r="CF70" s="79"/>
      <c r="CG70" s="79"/>
      <c r="CH70" s="79"/>
      <c r="CI70" s="79"/>
      <c r="CJ70" s="79"/>
      <c r="CK70" s="79"/>
      <c r="CL70" s="79"/>
      <c r="CM70" s="79"/>
      <c r="CN70" s="79"/>
      <c r="CO70" s="79"/>
      <c r="CP70" s="79"/>
      <c r="CQ70" s="79"/>
      <c r="CR70" s="79"/>
      <c r="CS70" s="79"/>
      <c r="CT70" s="79"/>
      <c r="CU70" s="79"/>
      <c r="CV70" s="79"/>
      <c r="CW70" s="79"/>
      <c r="CX70" s="79"/>
      <c r="CY70" s="79"/>
      <c r="CZ70" s="79"/>
      <c r="DA70" s="79"/>
      <c r="DB70" s="79"/>
      <c r="DC70" s="79"/>
      <c r="DD70" s="79"/>
      <c r="DE70" s="79"/>
      <c r="DF70" s="79"/>
      <c r="DG70" s="79"/>
      <c r="DH70" s="79"/>
      <c r="DI70" s="79"/>
      <c r="DJ70" s="79"/>
      <c r="DK70" s="79"/>
      <c r="DL70" s="79"/>
      <c r="DM70" s="79"/>
      <c r="DN70" s="79"/>
      <c r="DO70" s="79"/>
      <c r="DP70" s="79"/>
      <c r="DQ70" s="79"/>
      <c r="DR70" s="79"/>
      <c r="DS70" s="79"/>
      <c r="DT70" s="79"/>
      <c r="DU70" s="79"/>
      <c r="DV70" s="79"/>
      <c r="DW70" s="79"/>
      <c r="DX70" s="79"/>
      <c r="DY70" s="79"/>
      <c r="DZ70" s="79"/>
      <c r="EA70" s="79"/>
      <c r="EB70" s="79"/>
      <c r="EC70" s="79"/>
      <c r="ED70" s="79"/>
      <c r="EE70" s="79"/>
      <c r="EF70" s="79"/>
      <c r="EG70" s="79"/>
      <c r="EH70" s="79"/>
      <c r="EI70" s="79"/>
      <c r="EJ70" s="79"/>
      <c r="EK70" s="79"/>
      <c r="EL70" s="79"/>
      <c r="EM70" s="79"/>
      <c r="EN70" s="79"/>
      <c r="EO70" s="79"/>
      <c r="EP70" s="79"/>
      <c r="EQ70" s="79"/>
      <c r="ER70" s="79"/>
      <c r="ES70" s="79"/>
      <c r="ET70" s="79"/>
      <c r="EU70" s="79"/>
      <c r="EV70" s="79"/>
      <c r="EW70" s="79"/>
      <c r="EX70" s="79"/>
      <c r="EY70" s="79"/>
      <c r="EZ70" s="79"/>
      <c r="FA70" s="79"/>
      <c r="FB70" s="79"/>
      <c r="FC70" s="79"/>
      <c r="FD70" s="79"/>
      <c r="FE70" s="79"/>
      <c r="FF70" s="79"/>
      <c r="FG70" s="79"/>
      <c r="FH70" s="79"/>
      <c r="FI70" s="79"/>
      <c r="FJ70" s="79"/>
      <c r="FK70" s="79"/>
      <c r="FL70" s="79"/>
      <c r="FM70" s="79"/>
      <c r="FN70" s="79"/>
      <c r="FO70" s="79"/>
      <c r="FP70" s="79"/>
      <c r="FQ70" s="79"/>
      <c r="FR70" s="79"/>
      <c r="FS70" s="79"/>
      <c r="FT70" s="79"/>
      <c r="FU70" s="79"/>
      <c r="FV70" s="79"/>
      <c r="FW70" s="79"/>
      <c r="FX70" s="79"/>
      <c r="FY70" s="79"/>
      <c r="FZ70" s="79"/>
      <c r="GA70" s="79"/>
      <c r="GB70" s="79"/>
      <c r="GC70" s="79"/>
      <c r="GD70" s="79"/>
      <c r="GE70" s="79"/>
      <c r="GF70" s="79"/>
      <c r="GG70" s="79"/>
      <c r="GH70" s="79"/>
      <c r="GI70" s="79"/>
      <c r="GJ70" s="79"/>
      <c r="GK70" s="79"/>
      <c r="GL70" s="79"/>
      <c r="GM70" s="79"/>
      <c r="GN70" s="79"/>
      <c r="GO70" s="79"/>
      <c r="GP70" s="79"/>
      <c r="GQ70" s="79"/>
      <c r="GR70" s="79"/>
      <c r="GS70" s="79"/>
      <c r="GT70" s="79"/>
      <c r="GU70" s="79"/>
      <c r="GV70" s="79"/>
      <c r="GW70" s="79"/>
      <c r="GX70" s="79"/>
      <c r="GY70" s="79"/>
      <c r="GZ70" s="79"/>
      <c r="HA70" s="79"/>
      <c r="HB70" s="79"/>
      <c r="HC70" s="79"/>
      <c r="HD70" s="79"/>
      <c r="HE70" s="79"/>
      <c r="HF70" s="79"/>
      <c r="HG70" s="79"/>
      <c r="HH70" s="79"/>
      <c r="HI70" s="79"/>
      <c r="HJ70" s="79"/>
      <c r="HK70" s="79"/>
      <c r="HL70" s="79"/>
      <c r="HM70" s="79"/>
      <c r="HN70" s="79"/>
      <c r="HO70" s="79"/>
      <c r="HP70" s="79"/>
      <c r="HQ70" s="79"/>
      <c r="HR70" s="79"/>
      <c r="HS70" s="79"/>
      <c r="HT70" s="79"/>
      <c r="HU70" s="79"/>
      <c r="HV70" s="79"/>
      <c r="HW70" s="79"/>
      <c r="HX70" s="79"/>
      <c r="HY70" s="79"/>
      <c r="HZ70" s="79"/>
      <c r="IA70" s="79"/>
      <c r="IB70" s="79"/>
      <c r="IC70" s="79"/>
      <c r="ID70" s="79"/>
      <c r="IE70" s="79"/>
      <c r="IF70" s="79"/>
      <c r="IG70" s="79"/>
      <c r="IH70" s="79"/>
      <c r="II70" s="79"/>
      <c r="IJ70" s="79"/>
      <c r="IK70" s="79"/>
      <c r="IL70" s="79"/>
      <c r="IM70" s="79"/>
      <c r="IN70" s="79"/>
      <c r="IO70" s="79"/>
      <c r="IP70" s="79"/>
      <c r="IQ70" s="79"/>
      <c r="IR70" s="79"/>
      <c r="IS70" s="79"/>
      <c r="IT70" s="79"/>
      <c r="IU70" s="79"/>
      <c r="IV70" s="79"/>
      <c r="IW70" s="79"/>
      <c r="IX70" s="79"/>
      <c r="IY70" s="79"/>
      <c r="IZ70" s="79"/>
      <c r="JA70" s="79"/>
      <c r="JB70" s="79"/>
      <c r="JC70" s="79"/>
      <c r="JD70" s="79"/>
      <c r="JE70" s="79"/>
      <c r="JF70" s="79"/>
      <c r="JG70" s="79"/>
      <c r="JH70" s="79"/>
      <c r="JI70" s="79"/>
      <c r="JJ70" s="79"/>
      <c r="JK70" s="79"/>
      <c r="JL70" s="79"/>
      <c r="JM70" s="79"/>
      <c r="JN70" s="79"/>
      <c r="JO70" s="79"/>
      <c r="JP70" s="79"/>
      <c r="JQ70" s="79"/>
      <c r="JR70" s="79"/>
      <c r="JS70" s="79"/>
      <c r="JT70" s="79"/>
      <c r="JU70" s="79"/>
      <c r="JV70" s="79"/>
      <c r="JW70" s="79"/>
      <c r="JX70" s="79"/>
      <c r="JY70" s="79"/>
      <c r="JZ70" s="79"/>
      <c r="KA70" s="79"/>
      <c r="KB70" s="79"/>
      <c r="KC70" s="79"/>
      <c r="KD70" s="79"/>
      <c r="KE70" s="79"/>
      <c r="KF70" s="79"/>
      <c r="KG70" s="79"/>
      <c r="KH70" s="79"/>
      <c r="KI70" s="79"/>
      <c r="KJ70" s="79"/>
      <c r="KK70" s="79"/>
      <c r="KL70" s="79"/>
      <c r="KM70" s="79"/>
      <c r="KN70" s="79"/>
      <c r="KO70" s="79"/>
      <c r="KP70" s="79"/>
      <c r="KQ70" s="79"/>
      <c r="KR70" s="79"/>
      <c r="KS70" s="79"/>
      <c r="KT70" s="79"/>
      <c r="KU70" s="79"/>
      <c r="KV70" s="79"/>
      <c r="KW70" s="79"/>
      <c r="KX70" s="79"/>
      <c r="KY70" s="79"/>
      <c r="KZ70" s="79"/>
      <c r="LA70" s="79"/>
      <c r="LB70" s="79"/>
      <c r="LC70" s="79"/>
      <c r="LD70" s="79"/>
      <c r="LE70" s="79"/>
      <c r="LF70" s="79"/>
      <c r="LG70" s="79"/>
      <c r="LH70" s="79"/>
      <c r="LI70" s="79"/>
      <c r="LJ70" s="79"/>
      <c r="LK70" s="79"/>
      <c r="LL70" s="79"/>
      <c r="LM70" s="79"/>
      <c r="LN70" s="79"/>
      <c r="LO70" s="79"/>
      <c r="LP70" s="79"/>
      <c r="LQ70" s="79"/>
      <c r="LR70" s="79"/>
      <c r="LS70" s="79"/>
      <c r="LT70" s="79"/>
      <c r="LU70" s="79"/>
      <c r="LV70" s="79"/>
      <c r="LW70" s="79"/>
      <c r="LX70" s="79"/>
      <c r="LY70" s="79"/>
      <c r="LZ70" s="79"/>
      <c r="MA70" s="79"/>
      <c r="MB70" s="79"/>
      <c r="MC70" s="79"/>
      <c r="MD70" s="79"/>
      <c r="ME70" s="79"/>
      <c r="MF70" s="79"/>
      <c r="MG70" s="79"/>
      <c r="MH70" s="79"/>
      <c r="MI70" s="79"/>
      <c r="MJ70" s="79"/>
      <c r="MK70" s="79"/>
      <c r="ML70" s="79"/>
      <c r="MM70" s="79"/>
      <c r="MN70" s="79"/>
      <c r="MO70" s="79"/>
      <c r="MP70" s="79"/>
      <c r="MQ70" s="79"/>
      <c r="MR70" s="79"/>
      <c r="MS70" s="79"/>
      <c r="MT70" s="79"/>
      <c r="MU70" s="79"/>
      <c r="MV70" s="79"/>
      <c r="MW70" s="79"/>
      <c r="MX70" s="79"/>
      <c r="MY70" s="79"/>
      <c r="MZ70" s="79"/>
      <c r="NA70" s="79"/>
      <c r="NB70" s="79"/>
      <c r="NC70" s="79"/>
      <c r="ND70" s="79"/>
      <c r="NE70" s="79"/>
      <c r="NF70" s="79"/>
      <c r="NG70" s="79"/>
      <c r="NH70" s="79"/>
      <c r="NI70" s="79"/>
      <c r="NJ70" s="79"/>
      <c r="NK70" s="79"/>
      <c r="NL70" s="79"/>
      <c r="NM70" s="79"/>
      <c r="NN70" s="79"/>
      <c r="NO70" s="79"/>
      <c r="NP70" s="79"/>
      <c r="NQ70" s="79"/>
      <c r="NR70" s="79"/>
      <c r="NS70" s="79"/>
      <c r="NT70" s="79"/>
      <c r="NU70" s="79"/>
      <c r="NV70" s="79"/>
      <c r="NW70" s="79"/>
      <c r="NX70" s="79"/>
      <c r="NY70" s="79"/>
      <c r="NZ70" s="79"/>
      <c r="OA70" s="79"/>
      <c r="OB70" s="79"/>
      <c r="OC70" s="79"/>
      <c r="OD70" s="79"/>
      <c r="OE70" s="79"/>
      <c r="OF70" s="79"/>
      <c r="OG70" s="79"/>
      <c r="OH70" s="79"/>
      <c r="OI70" s="79"/>
      <c r="OJ70" s="79"/>
      <c r="OK70" s="79"/>
      <c r="OL70" s="79"/>
      <c r="OM70" s="79"/>
      <c r="ON70" s="79"/>
      <c r="OO70" s="79"/>
      <c r="OP70" s="79"/>
      <c r="OQ70" s="79"/>
      <c r="OR70" s="79"/>
      <c r="OS70" s="79"/>
      <c r="OT70" s="79"/>
      <c r="OU70" s="79"/>
      <c r="OV70" s="79"/>
      <c r="OW70" s="79"/>
      <c r="OX70" s="79"/>
      <c r="OY70" s="79"/>
      <c r="OZ70" s="79"/>
      <c r="PA70" s="79"/>
      <c r="PB70" s="79"/>
      <c r="PC70" s="79"/>
      <c r="PD70" s="79"/>
      <c r="PE70" s="79"/>
      <c r="PF70" s="79"/>
      <c r="PG70" s="79"/>
      <c r="PH70" s="79"/>
      <c r="PI70" s="79"/>
      <c r="PJ70" s="79"/>
      <c r="PK70" s="79"/>
      <c r="PL70" s="79"/>
      <c r="PM70" s="79"/>
      <c r="PN70" s="79"/>
      <c r="PO70" s="79"/>
      <c r="PP70" s="79"/>
      <c r="PQ70" s="79"/>
      <c r="PR70" s="79"/>
      <c r="PS70" s="79"/>
      <c r="PT70" s="79"/>
      <c r="PU70" s="79"/>
      <c r="PV70" s="79"/>
      <c r="PW70" s="79"/>
      <c r="PX70" s="79"/>
      <c r="PY70" s="79"/>
      <c r="PZ70" s="79"/>
      <c r="QA70" s="79"/>
      <c r="QB70" s="79"/>
      <c r="QC70" s="79"/>
      <c r="QD70" s="79"/>
      <c r="QE70" s="79"/>
      <c r="QF70" s="79"/>
      <c r="QG70" s="79"/>
      <c r="QH70" s="79"/>
      <c r="QI70" s="79"/>
      <c r="QJ70" s="79"/>
      <c r="QK70" s="79"/>
      <c r="QL70" s="79"/>
      <c r="QM70" s="79"/>
      <c r="QN70" s="79"/>
      <c r="QO70" s="79"/>
      <c r="QP70" s="79"/>
      <c r="QQ70" s="79"/>
      <c r="QR70" s="79"/>
      <c r="QS70" s="79"/>
      <c r="QT70" s="79"/>
      <c r="QU70" s="79"/>
      <c r="QV70" s="79"/>
      <c r="QW70" s="79"/>
      <c r="QX70" s="79"/>
      <c r="QY70" s="79"/>
      <c r="QZ70" s="79"/>
      <c r="RA70" s="79"/>
      <c r="RB70" s="79"/>
      <c r="RC70" s="79"/>
      <c r="RD70" s="79"/>
      <c r="RE70" s="79"/>
      <c r="RF70" s="79"/>
      <c r="RG70" s="79"/>
      <c r="RH70" s="79"/>
      <c r="RI70" s="79"/>
      <c r="RJ70" s="79"/>
      <c r="RK70" s="79"/>
      <c r="RL70" s="79"/>
      <c r="RM70" s="79"/>
      <c r="RN70" s="79"/>
      <c r="RO70" s="79"/>
      <c r="RP70" s="79"/>
      <c r="RQ70" s="79"/>
      <c r="RR70" s="79"/>
      <c r="RS70" s="79"/>
      <c r="RT70" s="79"/>
      <c r="RU70" s="79"/>
      <c r="RV70" s="79"/>
      <c r="RW70" s="79"/>
      <c r="RX70" s="79"/>
      <c r="RY70" s="79"/>
      <c r="RZ70" s="79"/>
      <c r="SA70" s="79"/>
      <c r="SB70" s="79"/>
      <c r="SC70" s="79"/>
      <c r="SD70" s="79"/>
      <c r="SE70" s="79"/>
      <c r="SF70" s="79"/>
      <c r="SG70" s="79"/>
      <c r="SH70" s="79"/>
      <c r="SI70" s="79"/>
      <c r="SJ70" s="79"/>
    </row>
    <row r="71" spans="2:504" x14ac:dyDescent="0.25">
      <c r="B71" s="42" t="str">
        <f>'Pay App 1'!B121</f>
        <v>12 00 00</v>
      </c>
      <c r="C71" s="43" t="str">
        <f>'Pay App 1'!C121</f>
        <v xml:space="preserve">Furnishings </v>
      </c>
      <c r="D71" s="82">
        <f t="shared" si="8"/>
        <v>0</v>
      </c>
      <c r="E71" s="79"/>
      <c r="F71" s="79"/>
      <c r="G71" s="79"/>
      <c r="H71" s="79"/>
      <c r="I71" s="79"/>
      <c r="J71" s="79"/>
      <c r="K71" s="79"/>
      <c r="L71" s="79"/>
      <c r="M71" s="79"/>
      <c r="N71" s="79"/>
      <c r="O71" s="79"/>
      <c r="P71" s="79"/>
      <c r="Q71" s="79"/>
      <c r="R71" s="79"/>
      <c r="S71" s="79"/>
      <c r="T71" s="79"/>
      <c r="U71" s="79"/>
      <c r="V71" s="79"/>
      <c r="W71" s="79"/>
      <c r="X71" s="79"/>
      <c r="Y71" s="79"/>
      <c r="Z71" s="79"/>
      <c r="AA71" s="79"/>
      <c r="AB71" s="79"/>
      <c r="AC71" s="79"/>
      <c r="AD71" s="79"/>
      <c r="AE71" s="79"/>
      <c r="AF71" s="79"/>
      <c r="AG71" s="79"/>
      <c r="AH71" s="79"/>
      <c r="AI71" s="79"/>
      <c r="AJ71" s="79"/>
      <c r="AK71" s="79"/>
      <c r="AL71" s="79"/>
      <c r="AM71" s="79"/>
      <c r="AN71" s="79"/>
      <c r="AO71" s="79"/>
      <c r="AP71" s="79"/>
      <c r="AQ71" s="79"/>
      <c r="AR71" s="79"/>
      <c r="AS71" s="79"/>
      <c r="AT71" s="79"/>
      <c r="AU71" s="79"/>
      <c r="AV71" s="79"/>
      <c r="AW71" s="79"/>
      <c r="AX71" s="79"/>
      <c r="AY71" s="79"/>
      <c r="AZ71" s="79"/>
      <c r="BA71" s="79"/>
      <c r="BB71" s="79"/>
      <c r="BC71" s="79"/>
      <c r="BD71" s="79"/>
      <c r="BE71" s="79"/>
      <c r="BF71" s="79"/>
      <c r="BG71" s="79"/>
      <c r="BH71" s="79"/>
      <c r="BI71" s="79"/>
      <c r="BJ71" s="79"/>
      <c r="BK71" s="79"/>
      <c r="BL71" s="79"/>
      <c r="BM71" s="79"/>
      <c r="BN71" s="79"/>
      <c r="BO71" s="79"/>
      <c r="BP71" s="79"/>
      <c r="BQ71" s="79"/>
      <c r="BR71" s="79"/>
      <c r="BS71" s="79"/>
      <c r="BT71" s="79"/>
      <c r="BU71" s="79"/>
      <c r="BV71" s="79"/>
      <c r="BW71" s="79"/>
      <c r="BX71" s="79"/>
      <c r="BY71" s="79"/>
      <c r="BZ71" s="79"/>
      <c r="CA71" s="79"/>
      <c r="CB71" s="79"/>
      <c r="CC71" s="79"/>
      <c r="CD71" s="79"/>
      <c r="CE71" s="79"/>
      <c r="CF71" s="79"/>
      <c r="CG71" s="79"/>
      <c r="CH71" s="79"/>
      <c r="CI71" s="79"/>
      <c r="CJ71" s="79"/>
      <c r="CK71" s="79"/>
      <c r="CL71" s="79"/>
      <c r="CM71" s="79"/>
      <c r="CN71" s="79"/>
      <c r="CO71" s="79"/>
      <c r="CP71" s="79"/>
      <c r="CQ71" s="79"/>
      <c r="CR71" s="79"/>
      <c r="CS71" s="79"/>
      <c r="CT71" s="79"/>
      <c r="CU71" s="79"/>
      <c r="CV71" s="79"/>
      <c r="CW71" s="79"/>
      <c r="CX71" s="79"/>
      <c r="CY71" s="79"/>
      <c r="CZ71" s="79"/>
      <c r="DA71" s="79"/>
      <c r="DB71" s="79"/>
      <c r="DC71" s="79"/>
      <c r="DD71" s="79"/>
      <c r="DE71" s="79"/>
      <c r="DF71" s="79"/>
      <c r="DG71" s="79"/>
      <c r="DH71" s="79"/>
      <c r="DI71" s="79"/>
      <c r="DJ71" s="79"/>
      <c r="DK71" s="79"/>
      <c r="DL71" s="79"/>
      <c r="DM71" s="79"/>
      <c r="DN71" s="79"/>
      <c r="DO71" s="79"/>
      <c r="DP71" s="79"/>
      <c r="DQ71" s="79"/>
      <c r="DR71" s="79"/>
      <c r="DS71" s="79"/>
      <c r="DT71" s="79"/>
      <c r="DU71" s="79"/>
      <c r="DV71" s="79"/>
      <c r="DW71" s="79"/>
      <c r="DX71" s="79"/>
      <c r="DY71" s="79"/>
      <c r="DZ71" s="79"/>
      <c r="EA71" s="79"/>
      <c r="EB71" s="79"/>
      <c r="EC71" s="79"/>
      <c r="ED71" s="79"/>
      <c r="EE71" s="79"/>
      <c r="EF71" s="79"/>
      <c r="EG71" s="79"/>
      <c r="EH71" s="79"/>
      <c r="EI71" s="79"/>
      <c r="EJ71" s="79"/>
      <c r="EK71" s="79"/>
      <c r="EL71" s="79"/>
      <c r="EM71" s="79"/>
      <c r="EN71" s="79"/>
      <c r="EO71" s="79"/>
      <c r="EP71" s="79"/>
      <c r="EQ71" s="79"/>
      <c r="ER71" s="79"/>
      <c r="ES71" s="79"/>
      <c r="ET71" s="79"/>
      <c r="EU71" s="79"/>
      <c r="EV71" s="79"/>
      <c r="EW71" s="79"/>
      <c r="EX71" s="79"/>
      <c r="EY71" s="79"/>
      <c r="EZ71" s="79"/>
      <c r="FA71" s="79"/>
      <c r="FB71" s="79"/>
      <c r="FC71" s="79"/>
      <c r="FD71" s="79"/>
      <c r="FE71" s="79"/>
      <c r="FF71" s="79"/>
      <c r="FG71" s="79"/>
      <c r="FH71" s="79"/>
      <c r="FI71" s="79"/>
      <c r="FJ71" s="79"/>
      <c r="FK71" s="79"/>
      <c r="FL71" s="79"/>
      <c r="FM71" s="79"/>
      <c r="FN71" s="79"/>
      <c r="FO71" s="79"/>
      <c r="FP71" s="79"/>
      <c r="FQ71" s="79"/>
      <c r="FR71" s="79"/>
      <c r="FS71" s="79"/>
      <c r="FT71" s="79"/>
      <c r="FU71" s="79"/>
      <c r="FV71" s="79"/>
      <c r="FW71" s="79"/>
      <c r="FX71" s="79"/>
      <c r="FY71" s="79"/>
      <c r="FZ71" s="79"/>
      <c r="GA71" s="79"/>
      <c r="GB71" s="79"/>
      <c r="GC71" s="79"/>
      <c r="GD71" s="79"/>
      <c r="GE71" s="79"/>
      <c r="GF71" s="79"/>
      <c r="GG71" s="79"/>
      <c r="GH71" s="79"/>
      <c r="GI71" s="79"/>
      <c r="GJ71" s="79"/>
      <c r="GK71" s="79"/>
      <c r="GL71" s="79"/>
      <c r="GM71" s="79"/>
      <c r="GN71" s="79"/>
      <c r="GO71" s="79"/>
      <c r="GP71" s="79"/>
      <c r="GQ71" s="79"/>
      <c r="GR71" s="79"/>
      <c r="GS71" s="79"/>
      <c r="GT71" s="79"/>
      <c r="GU71" s="79"/>
      <c r="GV71" s="79"/>
      <c r="GW71" s="79"/>
      <c r="GX71" s="79"/>
      <c r="GY71" s="79"/>
      <c r="GZ71" s="79"/>
      <c r="HA71" s="79"/>
      <c r="HB71" s="79"/>
      <c r="HC71" s="79"/>
      <c r="HD71" s="79"/>
      <c r="HE71" s="79"/>
      <c r="HF71" s="79"/>
      <c r="HG71" s="79"/>
      <c r="HH71" s="79"/>
      <c r="HI71" s="79"/>
      <c r="HJ71" s="79"/>
      <c r="HK71" s="79"/>
      <c r="HL71" s="79"/>
      <c r="HM71" s="79"/>
      <c r="HN71" s="79"/>
      <c r="HO71" s="79"/>
      <c r="HP71" s="79"/>
      <c r="HQ71" s="79"/>
      <c r="HR71" s="79"/>
      <c r="HS71" s="79"/>
      <c r="HT71" s="79"/>
      <c r="HU71" s="79"/>
      <c r="HV71" s="79"/>
      <c r="HW71" s="79"/>
      <c r="HX71" s="79"/>
      <c r="HY71" s="79"/>
      <c r="HZ71" s="79"/>
      <c r="IA71" s="79"/>
      <c r="IB71" s="79"/>
      <c r="IC71" s="79"/>
      <c r="ID71" s="79"/>
      <c r="IE71" s="79"/>
      <c r="IF71" s="79"/>
      <c r="IG71" s="79"/>
      <c r="IH71" s="79"/>
      <c r="II71" s="79"/>
      <c r="IJ71" s="79"/>
      <c r="IK71" s="79"/>
      <c r="IL71" s="79"/>
      <c r="IM71" s="79"/>
      <c r="IN71" s="79"/>
      <c r="IO71" s="79"/>
      <c r="IP71" s="79"/>
      <c r="IQ71" s="79"/>
      <c r="IR71" s="79"/>
      <c r="IS71" s="79"/>
      <c r="IT71" s="79"/>
      <c r="IU71" s="79"/>
      <c r="IV71" s="79"/>
      <c r="IW71" s="79"/>
      <c r="IX71" s="79"/>
      <c r="IY71" s="79"/>
      <c r="IZ71" s="79"/>
      <c r="JA71" s="79"/>
      <c r="JB71" s="79"/>
      <c r="JC71" s="79"/>
      <c r="JD71" s="79"/>
      <c r="JE71" s="79"/>
      <c r="JF71" s="79"/>
      <c r="JG71" s="79"/>
      <c r="JH71" s="79"/>
      <c r="JI71" s="79"/>
      <c r="JJ71" s="79"/>
      <c r="JK71" s="79"/>
      <c r="JL71" s="79"/>
      <c r="JM71" s="79"/>
      <c r="JN71" s="79"/>
      <c r="JO71" s="79"/>
      <c r="JP71" s="79"/>
      <c r="JQ71" s="79"/>
      <c r="JR71" s="79"/>
      <c r="JS71" s="79"/>
      <c r="JT71" s="79"/>
      <c r="JU71" s="79"/>
      <c r="JV71" s="79"/>
      <c r="JW71" s="79"/>
      <c r="JX71" s="79"/>
      <c r="JY71" s="79"/>
      <c r="JZ71" s="79"/>
      <c r="KA71" s="79"/>
      <c r="KB71" s="79"/>
      <c r="KC71" s="79"/>
      <c r="KD71" s="79"/>
      <c r="KE71" s="79"/>
      <c r="KF71" s="79"/>
      <c r="KG71" s="79"/>
      <c r="KH71" s="79"/>
      <c r="KI71" s="79"/>
      <c r="KJ71" s="79"/>
      <c r="KK71" s="79"/>
      <c r="KL71" s="79"/>
      <c r="KM71" s="79"/>
      <c r="KN71" s="79"/>
      <c r="KO71" s="79"/>
      <c r="KP71" s="79"/>
      <c r="KQ71" s="79"/>
      <c r="KR71" s="79"/>
      <c r="KS71" s="79"/>
      <c r="KT71" s="79"/>
      <c r="KU71" s="79"/>
      <c r="KV71" s="79"/>
      <c r="KW71" s="79"/>
      <c r="KX71" s="79"/>
      <c r="KY71" s="79"/>
      <c r="KZ71" s="79"/>
      <c r="LA71" s="79"/>
      <c r="LB71" s="79"/>
      <c r="LC71" s="79"/>
      <c r="LD71" s="79"/>
      <c r="LE71" s="79"/>
      <c r="LF71" s="79"/>
      <c r="LG71" s="79"/>
      <c r="LH71" s="79"/>
      <c r="LI71" s="79"/>
      <c r="LJ71" s="79"/>
      <c r="LK71" s="79"/>
      <c r="LL71" s="79"/>
      <c r="LM71" s="79"/>
      <c r="LN71" s="79"/>
      <c r="LO71" s="79"/>
      <c r="LP71" s="79"/>
      <c r="LQ71" s="79"/>
      <c r="LR71" s="79"/>
      <c r="LS71" s="79"/>
      <c r="LT71" s="79"/>
      <c r="LU71" s="79"/>
      <c r="LV71" s="79"/>
      <c r="LW71" s="79"/>
      <c r="LX71" s="79"/>
      <c r="LY71" s="79"/>
      <c r="LZ71" s="79"/>
      <c r="MA71" s="79"/>
      <c r="MB71" s="79"/>
      <c r="MC71" s="79"/>
      <c r="MD71" s="79"/>
      <c r="ME71" s="79"/>
      <c r="MF71" s="79"/>
      <c r="MG71" s="79"/>
      <c r="MH71" s="79"/>
      <c r="MI71" s="79"/>
      <c r="MJ71" s="79"/>
      <c r="MK71" s="79"/>
      <c r="ML71" s="79"/>
      <c r="MM71" s="79"/>
      <c r="MN71" s="79"/>
      <c r="MO71" s="79"/>
      <c r="MP71" s="79"/>
      <c r="MQ71" s="79"/>
      <c r="MR71" s="79"/>
      <c r="MS71" s="79"/>
      <c r="MT71" s="79"/>
      <c r="MU71" s="79"/>
      <c r="MV71" s="79"/>
      <c r="MW71" s="79"/>
      <c r="MX71" s="79"/>
      <c r="MY71" s="79"/>
      <c r="MZ71" s="79"/>
      <c r="NA71" s="79"/>
      <c r="NB71" s="79"/>
      <c r="NC71" s="79"/>
      <c r="ND71" s="79"/>
      <c r="NE71" s="79"/>
      <c r="NF71" s="79"/>
      <c r="NG71" s="79"/>
      <c r="NH71" s="79"/>
      <c r="NI71" s="79"/>
      <c r="NJ71" s="79"/>
      <c r="NK71" s="79"/>
      <c r="NL71" s="79"/>
      <c r="NM71" s="79"/>
      <c r="NN71" s="79"/>
      <c r="NO71" s="79"/>
      <c r="NP71" s="79"/>
      <c r="NQ71" s="79"/>
      <c r="NR71" s="79"/>
      <c r="NS71" s="79"/>
      <c r="NT71" s="79"/>
      <c r="NU71" s="79"/>
      <c r="NV71" s="79"/>
      <c r="NW71" s="79"/>
      <c r="NX71" s="79"/>
      <c r="NY71" s="79"/>
      <c r="NZ71" s="79"/>
      <c r="OA71" s="79"/>
      <c r="OB71" s="79"/>
      <c r="OC71" s="79"/>
      <c r="OD71" s="79"/>
      <c r="OE71" s="79"/>
      <c r="OF71" s="79"/>
      <c r="OG71" s="79"/>
      <c r="OH71" s="79"/>
      <c r="OI71" s="79"/>
      <c r="OJ71" s="79"/>
      <c r="OK71" s="79"/>
      <c r="OL71" s="79"/>
      <c r="OM71" s="79"/>
      <c r="ON71" s="79"/>
      <c r="OO71" s="79"/>
      <c r="OP71" s="79"/>
      <c r="OQ71" s="79"/>
      <c r="OR71" s="79"/>
      <c r="OS71" s="79"/>
      <c r="OT71" s="79"/>
      <c r="OU71" s="79"/>
      <c r="OV71" s="79"/>
      <c r="OW71" s="79"/>
      <c r="OX71" s="79"/>
      <c r="OY71" s="79"/>
      <c r="OZ71" s="79"/>
      <c r="PA71" s="79"/>
      <c r="PB71" s="79"/>
      <c r="PC71" s="79"/>
      <c r="PD71" s="79"/>
      <c r="PE71" s="79"/>
      <c r="PF71" s="79"/>
      <c r="PG71" s="79"/>
      <c r="PH71" s="79"/>
      <c r="PI71" s="79"/>
      <c r="PJ71" s="79"/>
      <c r="PK71" s="79"/>
      <c r="PL71" s="79"/>
      <c r="PM71" s="79"/>
      <c r="PN71" s="79"/>
      <c r="PO71" s="79"/>
      <c r="PP71" s="79"/>
      <c r="PQ71" s="79"/>
      <c r="PR71" s="79"/>
      <c r="PS71" s="79"/>
      <c r="PT71" s="79"/>
      <c r="PU71" s="79"/>
      <c r="PV71" s="79"/>
      <c r="PW71" s="79"/>
      <c r="PX71" s="79"/>
      <c r="PY71" s="79"/>
      <c r="PZ71" s="79"/>
      <c r="QA71" s="79"/>
      <c r="QB71" s="79"/>
      <c r="QC71" s="79"/>
      <c r="QD71" s="79"/>
      <c r="QE71" s="79"/>
      <c r="QF71" s="79"/>
      <c r="QG71" s="79"/>
      <c r="QH71" s="79"/>
      <c r="QI71" s="79"/>
      <c r="QJ71" s="79"/>
      <c r="QK71" s="79"/>
      <c r="QL71" s="79"/>
      <c r="QM71" s="79"/>
      <c r="QN71" s="79"/>
      <c r="QO71" s="79"/>
      <c r="QP71" s="79"/>
      <c r="QQ71" s="79"/>
      <c r="QR71" s="79"/>
      <c r="QS71" s="79"/>
      <c r="QT71" s="79"/>
      <c r="QU71" s="79"/>
      <c r="QV71" s="79"/>
      <c r="QW71" s="79"/>
      <c r="QX71" s="79"/>
      <c r="QY71" s="79"/>
      <c r="QZ71" s="79"/>
      <c r="RA71" s="79"/>
      <c r="RB71" s="79"/>
      <c r="RC71" s="79"/>
      <c r="RD71" s="79"/>
      <c r="RE71" s="79"/>
      <c r="RF71" s="79"/>
      <c r="RG71" s="79"/>
      <c r="RH71" s="79"/>
      <c r="RI71" s="79"/>
      <c r="RJ71" s="79"/>
      <c r="RK71" s="79"/>
      <c r="RL71" s="79"/>
      <c r="RM71" s="79"/>
      <c r="RN71" s="79"/>
      <c r="RO71" s="79"/>
      <c r="RP71" s="79"/>
      <c r="RQ71" s="79"/>
      <c r="RR71" s="79"/>
      <c r="RS71" s="79"/>
      <c r="RT71" s="79"/>
      <c r="RU71" s="79"/>
      <c r="RV71" s="79"/>
      <c r="RW71" s="79"/>
      <c r="RX71" s="79"/>
      <c r="RY71" s="79"/>
      <c r="RZ71" s="79"/>
      <c r="SA71" s="79"/>
      <c r="SB71" s="79"/>
      <c r="SC71" s="79"/>
      <c r="SD71" s="79"/>
      <c r="SE71" s="79"/>
      <c r="SF71" s="79"/>
      <c r="SG71" s="79"/>
      <c r="SH71" s="79"/>
      <c r="SI71" s="79"/>
      <c r="SJ71" s="79"/>
    </row>
    <row r="72" spans="2:504" x14ac:dyDescent="0.25">
      <c r="B72" s="42" t="str">
        <f>'Pay App 1'!B122</f>
        <v>12 20 00</v>
      </c>
      <c r="C72" s="43" t="str">
        <f>'Pay App 1'!C122</f>
        <v>Window Coverings</v>
      </c>
      <c r="D72" s="82">
        <f t="shared" si="8"/>
        <v>0</v>
      </c>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79"/>
      <c r="AY72" s="79"/>
      <c r="AZ72" s="79"/>
      <c r="BA72" s="79"/>
      <c r="BB72" s="79"/>
      <c r="BC72" s="79"/>
      <c r="BD72" s="79"/>
      <c r="BE72" s="79"/>
      <c r="BF72" s="79"/>
      <c r="BG72" s="79"/>
      <c r="BH72" s="79"/>
      <c r="BI72" s="79"/>
      <c r="BJ72" s="79"/>
      <c r="BK72" s="79"/>
      <c r="BL72" s="79"/>
      <c r="BM72" s="79"/>
      <c r="BN72" s="79"/>
      <c r="BO72" s="79"/>
      <c r="BP72" s="79"/>
      <c r="BQ72" s="79"/>
      <c r="BR72" s="79"/>
      <c r="BS72" s="79"/>
      <c r="BT72" s="79"/>
      <c r="BU72" s="79"/>
      <c r="BV72" s="79"/>
      <c r="BW72" s="79"/>
      <c r="BX72" s="79"/>
      <c r="BY72" s="79"/>
      <c r="BZ72" s="79"/>
      <c r="CA72" s="79"/>
      <c r="CB72" s="79"/>
      <c r="CC72" s="79"/>
      <c r="CD72" s="79"/>
      <c r="CE72" s="79"/>
      <c r="CF72" s="79"/>
      <c r="CG72" s="79"/>
      <c r="CH72" s="79"/>
      <c r="CI72" s="79"/>
      <c r="CJ72" s="79"/>
      <c r="CK72" s="79"/>
      <c r="CL72" s="79"/>
      <c r="CM72" s="79"/>
      <c r="CN72" s="79"/>
      <c r="CO72" s="79"/>
      <c r="CP72" s="79"/>
      <c r="CQ72" s="79"/>
      <c r="CR72" s="79"/>
      <c r="CS72" s="79"/>
      <c r="CT72" s="79"/>
      <c r="CU72" s="79"/>
      <c r="CV72" s="79"/>
      <c r="CW72" s="79"/>
      <c r="CX72" s="79"/>
      <c r="CY72" s="79"/>
      <c r="CZ72" s="79"/>
      <c r="DA72" s="79"/>
      <c r="DB72" s="79"/>
      <c r="DC72" s="79"/>
      <c r="DD72" s="79"/>
      <c r="DE72" s="79"/>
      <c r="DF72" s="79"/>
      <c r="DG72" s="79"/>
      <c r="DH72" s="79"/>
      <c r="DI72" s="79"/>
      <c r="DJ72" s="79"/>
      <c r="DK72" s="79"/>
      <c r="DL72" s="79"/>
      <c r="DM72" s="79"/>
      <c r="DN72" s="79"/>
      <c r="DO72" s="79"/>
      <c r="DP72" s="79"/>
      <c r="DQ72" s="79"/>
      <c r="DR72" s="79"/>
      <c r="DS72" s="79"/>
      <c r="DT72" s="79"/>
      <c r="DU72" s="79"/>
      <c r="DV72" s="79"/>
      <c r="DW72" s="79"/>
      <c r="DX72" s="79"/>
      <c r="DY72" s="79"/>
      <c r="DZ72" s="79"/>
      <c r="EA72" s="79"/>
      <c r="EB72" s="79"/>
      <c r="EC72" s="79"/>
      <c r="ED72" s="79"/>
      <c r="EE72" s="79"/>
      <c r="EF72" s="79"/>
      <c r="EG72" s="79"/>
      <c r="EH72" s="79"/>
      <c r="EI72" s="79"/>
      <c r="EJ72" s="79"/>
      <c r="EK72" s="79"/>
      <c r="EL72" s="79"/>
      <c r="EM72" s="79"/>
      <c r="EN72" s="79"/>
      <c r="EO72" s="79"/>
      <c r="EP72" s="79"/>
      <c r="EQ72" s="79"/>
      <c r="ER72" s="79"/>
      <c r="ES72" s="79"/>
      <c r="ET72" s="79"/>
      <c r="EU72" s="79"/>
      <c r="EV72" s="79"/>
      <c r="EW72" s="79"/>
      <c r="EX72" s="79"/>
      <c r="EY72" s="79"/>
      <c r="EZ72" s="79"/>
      <c r="FA72" s="79"/>
      <c r="FB72" s="79"/>
      <c r="FC72" s="79"/>
      <c r="FD72" s="79"/>
      <c r="FE72" s="79"/>
      <c r="FF72" s="79"/>
      <c r="FG72" s="79"/>
      <c r="FH72" s="79"/>
      <c r="FI72" s="79"/>
      <c r="FJ72" s="79"/>
      <c r="FK72" s="79"/>
      <c r="FL72" s="79"/>
      <c r="FM72" s="79"/>
      <c r="FN72" s="79"/>
      <c r="FO72" s="79"/>
      <c r="FP72" s="79"/>
      <c r="FQ72" s="79"/>
      <c r="FR72" s="79"/>
      <c r="FS72" s="79"/>
      <c r="FT72" s="79"/>
      <c r="FU72" s="79"/>
      <c r="FV72" s="79"/>
      <c r="FW72" s="79"/>
      <c r="FX72" s="79"/>
      <c r="FY72" s="79"/>
      <c r="FZ72" s="79"/>
      <c r="GA72" s="79"/>
      <c r="GB72" s="79"/>
      <c r="GC72" s="79"/>
      <c r="GD72" s="79"/>
      <c r="GE72" s="79"/>
      <c r="GF72" s="79"/>
      <c r="GG72" s="79"/>
      <c r="GH72" s="79"/>
      <c r="GI72" s="79"/>
      <c r="GJ72" s="79"/>
      <c r="GK72" s="79"/>
      <c r="GL72" s="79"/>
      <c r="GM72" s="79"/>
      <c r="GN72" s="79"/>
      <c r="GO72" s="79"/>
      <c r="GP72" s="79"/>
      <c r="GQ72" s="79"/>
      <c r="GR72" s="79"/>
      <c r="GS72" s="79"/>
      <c r="GT72" s="79"/>
      <c r="GU72" s="79"/>
      <c r="GV72" s="79"/>
      <c r="GW72" s="79"/>
      <c r="GX72" s="79"/>
      <c r="GY72" s="79"/>
      <c r="GZ72" s="79"/>
      <c r="HA72" s="79"/>
      <c r="HB72" s="79"/>
      <c r="HC72" s="79"/>
      <c r="HD72" s="79"/>
      <c r="HE72" s="79"/>
      <c r="HF72" s="79"/>
      <c r="HG72" s="79"/>
      <c r="HH72" s="79"/>
      <c r="HI72" s="79"/>
      <c r="HJ72" s="79"/>
      <c r="HK72" s="79"/>
      <c r="HL72" s="79"/>
      <c r="HM72" s="79"/>
      <c r="HN72" s="79"/>
      <c r="HO72" s="79"/>
      <c r="HP72" s="79"/>
      <c r="HQ72" s="79"/>
      <c r="HR72" s="79"/>
      <c r="HS72" s="79"/>
      <c r="HT72" s="79"/>
      <c r="HU72" s="79"/>
      <c r="HV72" s="79"/>
      <c r="HW72" s="79"/>
      <c r="HX72" s="79"/>
      <c r="HY72" s="79"/>
      <c r="HZ72" s="79"/>
      <c r="IA72" s="79"/>
      <c r="IB72" s="79"/>
      <c r="IC72" s="79"/>
      <c r="ID72" s="79"/>
      <c r="IE72" s="79"/>
      <c r="IF72" s="79"/>
      <c r="IG72" s="79"/>
      <c r="IH72" s="79"/>
      <c r="II72" s="79"/>
      <c r="IJ72" s="79"/>
      <c r="IK72" s="79"/>
      <c r="IL72" s="79"/>
      <c r="IM72" s="79"/>
      <c r="IN72" s="79"/>
      <c r="IO72" s="79"/>
      <c r="IP72" s="79"/>
      <c r="IQ72" s="79"/>
      <c r="IR72" s="79"/>
      <c r="IS72" s="79"/>
      <c r="IT72" s="79"/>
      <c r="IU72" s="79"/>
      <c r="IV72" s="79"/>
      <c r="IW72" s="79"/>
      <c r="IX72" s="79"/>
      <c r="IY72" s="79"/>
      <c r="IZ72" s="79"/>
      <c r="JA72" s="79"/>
      <c r="JB72" s="79"/>
      <c r="JC72" s="79"/>
      <c r="JD72" s="79"/>
      <c r="JE72" s="79"/>
      <c r="JF72" s="79"/>
      <c r="JG72" s="79"/>
      <c r="JH72" s="79"/>
      <c r="JI72" s="79"/>
      <c r="JJ72" s="79"/>
      <c r="JK72" s="79"/>
      <c r="JL72" s="79"/>
      <c r="JM72" s="79"/>
      <c r="JN72" s="79"/>
      <c r="JO72" s="79"/>
      <c r="JP72" s="79"/>
      <c r="JQ72" s="79"/>
      <c r="JR72" s="79"/>
      <c r="JS72" s="79"/>
      <c r="JT72" s="79"/>
      <c r="JU72" s="79"/>
      <c r="JV72" s="79"/>
      <c r="JW72" s="79"/>
      <c r="JX72" s="79"/>
      <c r="JY72" s="79"/>
      <c r="JZ72" s="79"/>
      <c r="KA72" s="79"/>
      <c r="KB72" s="79"/>
      <c r="KC72" s="79"/>
      <c r="KD72" s="79"/>
      <c r="KE72" s="79"/>
      <c r="KF72" s="79"/>
      <c r="KG72" s="79"/>
      <c r="KH72" s="79"/>
      <c r="KI72" s="79"/>
      <c r="KJ72" s="79"/>
      <c r="KK72" s="79"/>
      <c r="KL72" s="79"/>
      <c r="KM72" s="79"/>
      <c r="KN72" s="79"/>
      <c r="KO72" s="79"/>
      <c r="KP72" s="79"/>
      <c r="KQ72" s="79"/>
      <c r="KR72" s="79"/>
      <c r="KS72" s="79"/>
      <c r="KT72" s="79"/>
      <c r="KU72" s="79"/>
      <c r="KV72" s="79"/>
      <c r="KW72" s="79"/>
      <c r="KX72" s="79"/>
      <c r="KY72" s="79"/>
      <c r="KZ72" s="79"/>
      <c r="LA72" s="79"/>
      <c r="LB72" s="79"/>
      <c r="LC72" s="79"/>
      <c r="LD72" s="79"/>
      <c r="LE72" s="79"/>
      <c r="LF72" s="79"/>
      <c r="LG72" s="79"/>
      <c r="LH72" s="79"/>
      <c r="LI72" s="79"/>
      <c r="LJ72" s="79"/>
      <c r="LK72" s="79"/>
      <c r="LL72" s="79"/>
      <c r="LM72" s="79"/>
      <c r="LN72" s="79"/>
      <c r="LO72" s="79"/>
      <c r="LP72" s="79"/>
      <c r="LQ72" s="79"/>
      <c r="LR72" s="79"/>
      <c r="LS72" s="79"/>
      <c r="LT72" s="79"/>
      <c r="LU72" s="79"/>
      <c r="LV72" s="79"/>
      <c r="LW72" s="79"/>
      <c r="LX72" s="79"/>
      <c r="LY72" s="79"/>
      <c r="LZ72" s="79"/>
      <c r="MA72" s="79"/>
      <c r="MB72" s="79"/>
      <c r="MC72" s="79"/>
      <c r="MD72" s="79"/>
      <c r="ME72" s="79"/>
      <c r="MF72" s="79"/>
      <c r="MG72" s="79"/>
      <c r="MH72" s="79"/>
      <c r="MI72" s="79"/>
      <c r="MJ72" s="79"/>
      <c r="MK72" s="79"/>
      <c r="ML72" s="79"/>
      <c r="MM72" s="79"/>
      <c r="MN72" s="79"/>
      <c r="MO72" s="79"/>
      <c r="MP72" s="79"/>
      <c r="MQ72" s="79"/>
      <c r="MR72" s="79"/>
      <c r="MS72" s="79"/>
      <c r="MT72" s="79"/>
      <c r="MU72" s="79"/>
      <c r="MV72" s="79"/>
      <c r="MW72" s="79"/>
      <c r="MX72" s="79"/>
      <c r="MY72" s="79"/>
      <c r="MZ72" s="79"/>
      <c r="NA72" s="79"/>
      <c r="NB72" s="79"/>
      <c r="NC72" s="79"/>
      <c r="ND72" s="79"/>
      <c r="NE72" s="79"/>
      <c r="NF72" s="79"/>
      <c r="NG72" s="79"/>
      <c r="NH72" s="79"/>
      <c r="NI72" s="79"/>
      <c r="NJ72" s="79"/>
      <c r="NK72" s="79"/>
      <c r="NL72" s="79"/>
      <c r="NM72" s="79"/>
      <c r="NN72" s="79"/>
      <c r="NO72" s="79"/>
      <c r="NP72" s="79"/>
      <c r="NQ72" s="79"/>
      <c r="NR72" s="79"/>
      <c r="NS72" s="79"/>
      <c r="NT72" s="79"/>
      <c r="NU72" s="79"/>
      <c r="NV72" s="79"/>
      <c r="NW72" s="79"/>
      <c r="NX72" s="79"/>
      <c r="NY72" s="79"/>
      <c r="NZ72" s="79"/>
      <c r="OA72" s="79"/>
      <c r="OB72" s="79"/>
      <c r="OC72" s="79"/>
      <c r="OD72" s="79"/>
      <c r="OE72" s="79"/>
      <c r="OF72" s="79"/>
      <c r="OG72" s="79"/>
      <c r="OH72" s="79"/>
      <c r="OI72" s="79"/>
      <c r="OJ72" s="79"/>
      <c r="OK72" s="79"/>
      <c r="OL72" s="79"/>
      <c r="OM72" s="79"/>
      <c r="ON72" s="79"/>
      <c r="OO72" s="79"/>
      <c r="OP72" s="79"/>
      <c r="OQ72" s="79"/>
      <c r="OR72" s="79"/>
      <c r="OS72" s="79"/>
      <c r="OT72" s="79"/>
      <c r="OU72" s="79"/>
      <c r="OV72" s="79"/>
      <c r="OW72" s="79"/>
      <c r="OX72" s="79"/>
      <c r="OY72" s="79"/>
      <c r="OZ72" s="79"/>
      <c r="PA72" s="79"/>
      <c r="PB72" s="79"/>
      <c r="PC72" s="79"/>
      <c r="PD72" s="79"/>
      <c r="PE72" s="79"/>
      <c r="PF72" s="79"/>
      <c r="PG72" s="79"/>
      <c r="PH72" s="79"/>
      <c r="PI72" s="79"/>
      <c r="PJ72" s="79"/>
      <c r="PK72" s="79"/>
      <c r="PL72" s="79"/>
      <c r="PM72" s="79"/>
      <c r="PN72" s="79"/>
      <c r="PO72" s="79"/>
      <c r="PP72" s="79"/>
      <c r="PQ72" s="79"/>
      <c r="PR72" s="79"/>
      <c r="PS72" s="79"/>
      <c r="PT72" s="79"/>
      <c r="PU72" s="79"/>
      <c r="PV72" s="79"/>
      <c r="PW72" s="79"/>
      <c r="PX72" s="79"/>
      <c r="PY72" s="79"/>
      <c r="PZ72" s="79"/>
      <c r="QA72" s="79"/>
      <c r="QB72" s="79"/>
      <c r="QC72" s="79"/>
      <c r="QD72" s="79"/>
      <c r="QE72" s="79"/>
      <c r="QF72" s="79"/>
      <c r="QG72" s="79"/>
      <c r="QH72" s="79"/>
      <c r="QI72" s="79"/>
      <c r="QJ72" s="79"/>
      <c r="QK72" s="79"/>
      <c r="QL72" s="79"/>
      <c r="QM72" s="79"/>
      <c r="QN72" s="79"/>
      <c r="QO72" s="79"/>
      <c r="QP72" s="79"/>
      <c r="QQ72" s="79"/>
      <c r="QR72" s="79"/>
      <c r="QS72" s="79"/>
      <c r="QT72" s="79"/>
      <c r="QU72" s="79"/>
      <c r="QV72" s="79"/>
      <c r="QW72" s="79"/>
      <c r="QX72" s="79"/>
      <c r="QY72" s="79"/>
      <c r="QZ72" s="79"/>
      <c r="RA72" s="79"/>
      <c r="RB72" s="79"/>
      <c r="RC72" s="79"/>
      <c r="RD72" s="79"/>
      <c r="RE72" s="79"/>
      <c r="RF72" s="79"/>
      <c r="RG72" s="79"/>
      <c r="RH72" s="79"/>
      <c r="RI72" s="79"/>
      <c r="RJ72" s="79"/>
      <c r="RK72" s="79"/>
      <c r="RL72" s="79"/>
      <c r="RM72" s="79"/>
      <c r="RN72" s="79"/>
      <c r="RO72" s="79"/>
      <c r="RP72" s="79"/>
      <c r="RQ72" s="79"/>
      <c r="RR72" s="79"/>
      <c r="RS72" s="79"/>
      <c r="RT72" s="79"/>
      <c r="RU72" s="79"/>
      <c r="RV72" s="79"/>
      <c r="RW72" s="79"/>
      <c r="RX72" s="79"/>
      <c r="RY72" s="79"/>
      <c r="RZ72" s="79"/>
      <c r="SA72" s="79"/>
      <c r="SB72" s="79"/>
      <c r="SC72" s="79"/>
      <c r="SD72" s="79"/>
      <c r="SE72" s="79"/>
      <c r="SF72" s="79"/>
      <c r="SG72" s="79"/>
      <c r="SH72" s="79"/>
      <c r="SI72" s="79"/>
      <c r="SJ72" s="79"/>
    </row>
    <row r="73" spans="2:504" x14ac:dyDescent="0.25">
      <c r="B73" s="42" t="str">
        <f>'Pay App 1'!B123</f>
        <v>12 61 00</v>
      </c>
      <c r="C73" s="43" t="str">
        <f>'Pay App 1'!C123</f>
        <v>Fixed Seating</v>
      </c>
      <c r="D73" s="82">
        <f t="shared" si="8"/>
        <v>0</v>
      </c>
      <c r="E73" s="79"/>
      <c r="F73" s="79"/>
      <c r="G73" s="79"/>
      <c r="H73" s="79"/>
      <c r="I73" s="79"/>
      <c r="J73" s="79"/>
      <c r="K73" s="79"/>
      <c r="L73" s="79"/>
      <c r="M73" s="79"/>
      <c r="N73" s="79"/>
      <c r="O73" s="79"/>
      <c r="P73" s="79"/>
      <c r="Q73" s="79"/>
      <c r="R73" s="79"/>
      <c r="S73" s="79"/>
      <c r="T73" s="79"/>
      <c r="U73" s="79"/>
      <c r="V73" s="79"/>
      <c r="W73" s="79"/>
      <c r="X73" s="79"/>
      <c r="Y73" s="79"/>
      <c r="Z73" s="79"/>
      <c r="AA73" s="79"/>
      <c r="AB73" s="79"/>
      <c r="AC73" s="79"/>
      <c r="AD73" s="79"/>
      <c r="AE73" s="79"/>
      <c r="AF73" s="79"/>
      <c r="AG73" s="79"/>
      <c r="AH73" s="79"/>
      <c r="AI73" s="79"/>
      <c r="AJ73" s="79"/>
      <c r="AK73" s="79"/>
      <c r="AL73" s="79"/>
      <c r="AM73" s="79"/>
      <c r="AN73" s="79"/>
      <c r="AO73" s="79"/>
      <c r="AP73" s="79"/>
      <c r="AQ73" s="79"/>
      <c r="AR73" s="79"/>
      <c r="AS73" s="79"/>
      <c r="AT73" s="79"/>
      <c r="AU73" s="79"/>
      <c r="AV73" s="79"/>
      <c r="AW73" s="79"/>
      <c r="AX73" s="79"/>
      <c r="AY73" s="79"/>
      <c r="AZ73" s="79"/>
      <c r="BA73" s="79"/>
      <c r="BB73" s="79"/>
      <c r="BC73" s="79"/>
      <c r="BD73" s="79"/>
      <c r="BE73" s="79"/>
      <c r="BF73" s="79"/>
      <c r="BG73" s="79"/>
      <c r="BH73" s="79"/>
      <c r="BI73" s="79"/>
      <c r="BJ73" s="79"/>
      <c r="BK73" s="79"/>
      <c r="BL73" s="79"/>
      <c r="BM73" s="79"/>
      <c r="BN73" s="79"/>
      <c r="BO73" s="79"/>
      <c r="BP73" s="79"/>
      <c r="BQ73" s="79"/>
      <c r="BR73" s="79"/>
      <c r="BS73" s="79"/>
      <c r="BT73" s="79"/>
      <c r="BU73" s="79"/>
      <c r="BV73" s="79"/>
      <c r="BW73" s="79"/>
      <c r="BX73" s="79"/>
      <c r="BY73" s="79"/>
      <c r="BZ73" s="79"/>
      <c r="CA73" s="79"/>
      <c r="CB73" s="79"/>
      <c r="CC73" s="79"/>
      <c r="CD73" s="79"/>
      <c r="CE73" s="79"/>
      <c r="CF73" s="79"/>
      <c r="CG73" s="79"/>
      <c r="CH73" s="79"/>
      <c r="CI73" s="79"/>
      <c r="CJ73" s="79"/>
      <c r="CK73" s="79"/>
      <c r="CL73" s="79"/>
      <c r="CM73" s="79"/>
      <c r="CN73" s="79"/>
      <c r="CO73" s="79"/>
      <c r="CP73" s="79"/>
      <c r="CQ73" s="79"/>
      <c r="CR73" s="79"/>
      <c r="CS73" s="79"/>
      <c r="CT73" s="79"/>
      <c r="CU73" s="79"/>
      <c r="CV73" s="79"/>
      <c r="CW73" s="79"/>
      <c r="CX73" s="79"/>
      <c r="CY73" s="79"/>
      <c r="CZ73" s="79"/>
      <c r="DA73" s="79"/>
      <c r="DB73" s="79"/>
      <c r="DC73" s="79"/>
      <c r="DD73" s="79"/>
      <c r="DE73" s="79"/>
      <c r="DF73" s="79"/>
      <c r="DG73" s="79"/>
      <c r="DH73" s="79"/>
      <c r="DI73" s="79"/>
      <c r="DJ73" s="79"/>
      <c r="DK73" s="79"/>
      <c r="DL73" s="79"/>
      <c r="DM73" s="79"/>
      <c r="DN73" s="79"/>
      <c r="DO73" s="79"/>
      <c r="DP73" s="79"/>
      <c r="DQ73" s="79"/>
      <c r="DR73" s="79"/>
      <c r="DS73" s="79"/>
      <c r="DT73" s="79"/>
      <c r="DU73" s="79"/>
      <c r="DV73" s="79"/>
      <c r="DW73" s="79"/>
      <c r="DX73" s="79"/>
      <c r="DY73" s="79"/>
      <c r="DZ73" s="79"/>
      <c r="EA73" s="79"/>
      <c r="EB73" s="79"/>
      <c r="EC73" s="79"/>
      <c r="ED73" s="79"/>
      <c r="EE73" s="79"/>
      <c r="EF73" s="79"/>
      <c r="EG73" s="79"/>
      <c r="EH73" s="79"/>
      <c r="EI73" s="79"/>
      <c r="EJ73" s="79"/>
      <c r="EK73" s="79"/>
      <c r="EL73" s="79"/>
      <c r="EM73" s="79"/>
      <c r="EN73" s="79"/>
      <c r="EO73" s="79"/>
      <c r="EP73" s="79"/>
      <c r="EQ73" s="79"/>
      <c r="ER73" s="79"/>
      <c r="ES73" s="79"/>
      <c r="ET73" s="79"/>
      <c r="EU73" s="79"/>
      <c r="EV73" s="79"/>
      <c r="EW73" s="79"/>
      <c r="EX73" s="79"/>
      <c r="EY73" s="79"/>
      <c r="EZ73" s="79"/>
      <c r="FA73" s="79"/>
      <c r="FB73" s="79"/>
      <c r="FC73" s="79"/>
      <c r="FD73" s="79"/>
      <c r="FE73" s="79"/>
      <c r="FF73" s="79"/>
      <c r="FG73" s="79"/>
      <c r="FH73" s="79"/>
      <c r="FI73" s="79"/>
      <c r="FJ73" s="79"/>
      <c r="FK73" s="79"/>
      <c r="FL73" s="79"/>
      <c r="FM73" s="79"/>
      <c r="FN73" s="79"/>
      <c r="FO73" s="79"/>
      <c r="FP73" s="79"/>
      <c r="FQ73" s="79"/>
      <c r="FR73" s="79"/>
      <c r="FS73" s="79"/>
      <c r="FT73" s="79"/>
      <c r="FU73" s="79"/>
      <c r="FV73" s="79"/>
      <c r="FW73" s="79"/>
      <c r="FX73" s="79"/>
      <c r="FY73" s="79"/>
      <c r="FZ73" s="79"/>
      <c r="GA73" s="79"/>
      <c r="GB73" s="79"/>
      <c r="GC73" s="79"/>
      <c r="GD73" s="79"/>
      <c r="GE73" s="79"/>
      <c r="GF73" s="79"/>
      <c r="GG73" s="79"/>
      <c r="GH73" s="79"/>
      <c r="GI73" s="79"/>
      <c r="GJ73" s="79"/>
      <c r="GK73" s="79"/>
      <c r="GL73" s="79"/>
      <c r="GM73" s="79"/>
      <c r="GN73" s="79"/>
      <c r="GO73" s="79"/>
      <c r="GP73" s="79"/>
      <c r="GQ73" s="79"/>
      <c r="GR73" s="79"/>
      <c r="GS73" s="79"/>
      <c r="GT73" s="79"/>
      <c r="GU73" s="79"/>
      <c r="GV73" s="79"/>
      <c r="GW73" s="79"/>
      <c r="GX73" s="79"/>
      <c r="GY73" s="79"/>
      <c r="GZ73" s="79"/>
      <c r="HA73" s="79"/>
      <c r="HB73" s="79"/>
      <c r="HC73" s="79"/>
      <c r="HD73" s="79"/>
      <c r="HE73" s="79"/>
      <c r="HF73" s="79"/>
      <c r="HG73" s="79"/>
      <c r="HH73" s="79"/>
      <c r="HI73" s="79"/>
      <c r="HJ73" s="79"/>
      <c r="HK73" s="79"/>
      <c r="HL73" s="79"/>
      <c r="HM73" s="79"/>
      <c r="HN73" s="79"/>
      <c r="HO73" s="79"/>
      <c r="HP73" s="79"/>
      <c r="HQ73" s="79"/>
      <c r="HR73" s="79"/>
      <c r="HS73" s="79"/>
      <c r="HT73" s="79"/>
      <c r="HU73" s="79"/>
      <c r="HV73" s="79"/>
      <c r="HW73" s="79"/>
      <c r="HX73" s="79"/>
      <c r="HY73" s="79"/>
      <c r="HZ73" s="79"/>
      <c r="IA73" s="79"/>
      <c r="IB73" s="79"/>
      <c r="IC73" s="79"/>
      <c r="ID73" s="79"/>
      <c r="IE73" s="79"/>
      <c r="IF73" s="79"/>
      <c r="IG73" s="79"/>
      <c r="IH73" s="79"/>
      <c r="II73" s="79"/>
      <c r="IJ73" s="79"/>
      <c r="IK73" s="79"/>
      <c r="IL73" s="79"/>
      <c r="IM73" s="79"/>
      <c r="IN73" s="79"/>
      <c r="IO73" s="79"/>
      <c r="IP73" s="79"/>
      <c r="IQ73" s="79"/>
      <c r="IR73" s="79"/>
      <c r="IS73" s="79"/>
      <c r="IT73" s="79"/>
      <c r="IU73" s="79"/>
      <c r="IV73" s="79"/>
      <c r="IW73" s="79"/>
      <c r="IX73" s="79"/>
      <c r="IY73" s="79"/>
      <c r="IZ73" s="79"/>
      <c r="JA73" s="79"/>
      <c r="JB73" s="79"/>
      <c r="JC73" s="79"/>
      <c r="JD73" s="79"/>
      <c r="JE73" s="79"/>
      <c r="JF73" s="79"/>
      <c r="JG73" s="79"/>
      <c r="JH73" s="79"/>
      <c r="JI73" s="79"/>
      <c r="JJ73" s="79"/>
      <c r="JK73" s="79"/>
      <c r="JL73" s="79"/>
      <c r="JM73" s="79"/>
      <c r="JN73" s="79"/>
      <c r="JO73" s="79"/>
      <c r="JP73" s="79"/>
      <c r="JQ73" s="79"/>
      <c r="JR73" s="79"/>
      <c r="JS73" s="79"/>
      <c r="JT73" s="79"/>
      <c r="JU73" s="79"/>
      <c r="JV73" s="79"/>
      <c r="JW73" s="79"/>
      <c r="JX73" s="79"/>
      <c r="JY73" s="79"/>
      <c r="JZ73" s="79"/>
      <c r="KA73" s="79"/>
      <c r="KB73" s="79"/>
      <c r="KC73" s="79"/>
      <c r="KD73" s="79"/>
      <c r="KE73" s="79"/>
      <c r="KF73" s="79"/>
      <c r="KG73" s="79"/>
      <c r="KH73" s="79"/>
      <c r="KI73" s="79"/>
      <c r="KJ73" s="79"/>
      <c r="KK73" s="79"/>
      <c r="KL73" s="79"/>
      <c r="KM73" s="79"/>
      <c r="KN73" s="79"/>
      <c r="KO73" s="79"/>
      <c r="KP73" s="79"/>
      <c r="KQ73" s="79"/>
      <c r="KR73" s="79"/>
      <c r="KS73" s="79"/>
      <c r="KT73" s="79"/>
      <c r="KU73" s="79"/>
      <c r="KV73" s="79"/>
      <c r="KW73" s="79"/>
      <c r="KX73" s="79"/>
      <c r="KY73" s="79"/>
      <c r="KZ73" s="79"/>
      <c r="LA73" s="79"/>
      <c r="LB73" s="79"/>
      <c r="LC73" s="79"/>
      <c r="LD73" s="79"/>
      <c r="LE73" s="79"/>
      <c r="LF73" s="79"/>
      <c r="LG73" s="79"/>
      <c r="LH73" s="79"/>
      <c r="LI73" s="79"/>
      <c r="LJ73" s="79"/>
      <c r="LK73" s="79"/>
      <c r="LL73" s="79"/>
      <c r="LM73" s="79"/>
      <c r="LN73" s="79"/>
      <c r="LO73" s="79"/>
      <c r="LP73" s="79"/>
      <c r="LQ73" s="79"/>
      <c r="LR73" s="79"/>
      <c r="LS73" s="79"/>
      <c r="LT73" s="79"/>
      <c r="LU73" s="79"/>
      <c r="LV73" s="79"/>
      <c r="LW73" s="79"/>
      <c r="LX73" s="79"/>
      <c r="LY73" s="79"/>
      <c r="LZ73" s="79"/>
      <c r="MA73" s="79"/>
      <c r="MB73" s="79"/>
      <c r="MC73" s="79"/>
      <c r="MD73" s="79"/>
      <c r="ME73" s="79"/>
      <c r="MF73" s="79"/>
      <c r="MG73" s="79"/>
      <c r="MH73" s="79"/>
      <c r="MI73" s="79"/>
      <c r="MJ73" s="79"/>
      <c r="MK73" s="79"/>
      <c r="ML73" s="79"/>
      <c r="MM73" s="79"/>
      <c r="MN73" s="79"/>
      <c r="MO73" s="79"/>
      <c r="MP73" s="79"/>
      <c r="MQ73" s="79"/>
      <c r="MR73" s="79"/>
      <c r="MS73" s="79"/>
      <c r="MT73" s="79"/>
      <c r="MU73" s="79"/>
      <c r="MV73" s="79"/>
      <c r="MW73" s="79"/>
      <c r="MX73" s="79"/>
      <c r="MY73" s="79"/>
      <c r="MZ73" s="79"/>
      <c r="NA73" s="79"/>
      <c r="NB73" s="79"/>
      <c r="NC73" s="79"/>
      <c r="ND73" s="79"/>
      <c r="NE73" s="79"/>
      <c r="NF73" s="79"/>
      <c r="NG73" s="79"/>
      <c r="NH73" s="79"/>
      <c r="NI73" s="79"/>
      <c r="NJ73" s="79"/>
      <c r="NK73" s="79"/>
      <c r="NL73" s="79"/>
      <c r="NM73" s="79"/>
      <c r="NN73" s="79"/>
      <c r="NO73" s="79"/>
      <c r="NP73" s="79"/>
      <c r="NQ73" s="79"/>
      <c r="NR73" s="79"/>
      <c r="NS73" s="79"/>
      <c r="NT73" s="79"/>
      <c r="NU73" s="79"/>
      <c r="NV73" s="79"/>
      <c r="NW73" s="79"/>
      <c r="NX73" s="79"/>
      <c r="NY73" s="79"/>
      <c r="NZ73" s="79"/>
      <c r="OA73" s="79"/>
      <c r="OB73" s="79"/>
      <c r="OC73" s="79"/>
      <c r="OD73" s="79"/>
      <c r="OE73" s="79"/>
      <c r="OF73" s="79"/>
      <c r="OG73" s="79"/>
      <c r="OH73" s="79"/>
      <c r="OI73" s="79"/>
      <c r="OJ73" s="79"/>
      <c r="OK73" s="79"/>
      <c r="OL73" s="79"/>
      <c r="OM73" s="79"/>
      <c r="ON73" s="79"/>
      <c r="OO73" s="79"/>
      <c r="OP73" s="79"/>
      <c r="OQ73" s="79"/>
      <c r="OR73" s="79"/>
      <c r="OS73" s="79"/>
      <c r="OT73" s="79"/>
      <c r="OU73" s="79"/>
      <c r="OV73" s="79"/>
      <c r="OW73" s="79"/>
      <c r="OX73" s="79"/>
      <c r="OY73" s="79"/>
      <c r="OZ73" s="79"/>
      <c r="PA73" s="79"/>
      <c r="PB73" s="79"/>
      <c r="PC73" s="79"/>
      <c r="PD73" s="79"/>
      <c r="PE73" s="79"/>
      <c r="PF73" s="79"/>
      <c r="PG73" s="79"/>
      <c r="PH73" s="79"/>
      <c r="PI73" s="79"/>
      <c r="PJ73" s="79"/>
      <c r="PK73" s="79"/>
      <c r="PL73" s="79"/>
      <c r="PM73" s="79"/>
      <c r="PN73" s="79"/>
      <c r="PO73" s="79"/>
      <c r="PP73" s="79"/>
      <c r="PQ73" s="79"/>
      <c r="PR73" s="79"/>
      <c r="PS73" s="79"/>
      <c r="PT73" s="79"/>
      <c r="PU73" s="79"/>
      <c r="PV73" s="79"/>
      <c r="PW73" s="79"/>
      <c r="PX73" s="79"/>
      <c r="PY73" s="79"/>
      <c r="PZ73" s="79"/>
      <c r="QA73" s="79"/>
      <c r="QB73" s="79"/>
      <c r="QC73" s="79"/>
      <c r="QD73" s="79"/>
      <c r="QE73" s="79"/>
      <c r="QF73" s="79"/>
      <c r="QG73" s="79"/>
      <c r="QH73" s="79"/>
      <c r="QI73" s="79"/>
      <c r="QJ73" s="79"/>
      <c r="QK73" s="79"/>
      <c r="QL73" s="79"/>
      <c r="QM73" s="79"/>
      <c r="QN73" s="79"/>
      <c r="QO73" s="79"/>
      <c r="QP73" s="79"/>
      <c r="QQ73" s="79"/>
      <c r="QR73" s="79"/>
      <c r="QS73" s="79"/>
      <c r="QT73" s="79"/>
      <c r="QU73" s="79"/>
      <c r="QV73" s="79"/>
      <c r="QW73" s="79"/>
      <c r="QX73" s="79"/>
      <c r="QY73" s="79"/>
      <c r="QZ73" s="79"/>
      <c r="RA73" s="79"/>
      <c r="RB73" s="79"/>
      <c r="RC73" s="79"/>
      <c r="RD73" s="79"/>
      <c r="RE73" s="79"/>
      <c r="RF73" s="79"/>
      <c r="RG73" s="79"/>
      <c r="RH73" s="79"/>
      <c r="RI73" s="79"/>
      <c r="RJ73" s="79"/>
      <c r="RK73" s="79"/>
      <c r="RL73" s="79"/>
      <c r="RM73" s="79"/>
      <c r="RN73" s="79"/>
      <c r="RO73" s="79"/>
      <c r="RP73" s="79"/>
      <c r="RQ73" s="79"/>
      <c r="RR73" s="79"/>
      <c r="RS73" s="79"/>
      <c r="RT73" s="79"/>
      <c r="RU73" s="79"/>
      <c r="RV73" s="79"/>
      <c r="RW73" s="79"/>
      <c r="RX73" s="79"/>
      <c r="RY73" s="79"/>
      <c r="RZ73" s="79"/>
      <c r="SA73" s="79"/>
      <c r="SB73" s="79"/>
      <c r="SC73" s="79"/>
      <c r="SD73" s="79"/>
      <c r="SE73" s="79"/>
      <c r="SF73" s="79"/>
      <c r="SG73" s="79"/>
      <c r="SH73" s="79"/>
      <c r="SI73" s="79"/>
      <c r="SJ73" s="79"/>
    </row>
    <row r="74" spans="2:504" x14ac:dyDescent="0.25">
      <c r="B74" s="44" t="str">
        <f>'Pay App 1'!B124</f>
        <v>13 00 00</v>
      </c>
      <c r="C74" s="45" t="str">
        <f>'Pay App 1'!C124</f>
        <v>Special Construction (Other)</v>
      </c>
      <c r="D74" s="82">
        <f t="shared" si="8"/>
        <v>0</v>
      </c>
      <c r="E74" s="79"/>
      <c r="F74" s="79"/>
      <c r="G74" s="79"/>
      <c r="H74" s="79"/>
      <c r="I74" s="79"/>
      <c r="J74" s="79"/>
      <c r="K74" s="79"/>
      <c r="L74" s="79"/>
      <c r="M74" s="79"/>
      <c r="N74" s="79"/>
      <c r="O74" s="79"/>
      <c r="P74" s="79"/>
      <c r="Q74" s="79"/>
      <c r="R74" s="79"/>
      <c r="S74" s="79"/>
      <c r="T74" s="79"/>
      <c r="U74" s="79"/>
      <c r="V74" s="79"/>
      <c r="W74" s="79"/>
      <c r="X74" s="79"/>
      <c r="Y74" s="79"/>
      <c r="Z74" s="79"/>
      <c r="AA74" s="79"/>
      <c r="AB74" s="79"/>
      <c r="AC74" s="79"/>
      <c r="AD74" s="79"/>
      <c r="AE74" s="79"/>
      <c r="AF74" s="79"/>
      <c r="AG74" s="79"/>
      <c r="AH74" s="79"/>
      <c r="AI74" s="79"/>
      <c r="AJ74" s="79"/>
      <c r="AK74" s="79"/>
      <c r="AL74" s="79"/>
      <c r="AM74" s="79"/>
      <c r="AN74" s="79"/>
      <c r="AO74" s="79"/>
      <c r="AP74" s="79"/>
      <c r="AQ74" s="79"/>
      <c r="AR74" s="79"/>
      <c r="AS74" s="79"/>
      <c r="AT74" s="79"/>
      <c r="AU74" s="79"/>
      <c r="AV74" s="79"/>
      <c r="AW74" s="79"/>
      <c r="AX74" s="79"/>
      <c r="AY74" s="79"/>
      <c r="AZ74" s="79"/>
      <c r="BA74" s="79"/>
      <c r="BB74" s="79"/>
      <c r="BC74" s="79"/>
      <c r="BD74" s="79"/>
      <c r="BE74" s="79"/>
      <c r="BF74" s="79"/>
      <c r="BG74" s="79"/>
      <c r="BH74" s="79"/>
      <c r="BI74" s="79"/>
      <c r="BJ74" s="79"/>
      <c r="BK74" s="79"/>
      <c r="BL74" s="79"/>
      <c r="BM74" s="79"/>
      <c r="BN74" s="79"/>
      <c r="BO74" s="79"/>
      <c r="BP74" s="79"/>
      <c r="BQ74" s="79"/>
      <c r="BR74" s="79"/>
      <c r="BS74" s="79"/>
      <c r="BT74" s="79"/>
      <c r="BU74" s="79"/>
      <c r="BV74" s="79"/>
      <c r="BW74" s="79"/>
      <c r="BX74" s="79"/>
      <c r="BY74" s="79"/>
      <c r="BZ74" s="79"/>
      <c r="CA74" s="79"/>
      <c r="CB74" s="79"/>
      <c r="CC74" s="79"/>
      <c r="CD74" s="79"/>
      <c r="CE74" s="79"/>
      <c r="CF74" s="79"/>
      <c r="CG74" s="79"/>
      <c r="CH74" s="79"/>
      <c r="CI74" s="79"/>
      <c r="CJ74" s="79"/>
      <c r="CK74" s="79"/>
      <c r="CL74" s="79"/>
      <c r="CM74" s="79"/>
      <c r="CN74" s="79"/>
      <c r="CO74" s="79"/>
      <c r="CP74" s="79"/>
      <c r="CQ74" s="79"/>
      <c r="CR74" s="79"/>
      <c r="CS74" s="79"/>
      <c r="CT74" s="79"/>
      <c r="CU74" s="79"/>
      <c r="CV74" s="79"/>
      <c r="CW74" s="79"/>
      <c r="CX74" s="79"/>
      <c r="CY74" s="79"/>
      <c r="CZ74" s="79"/>
      <c r="DA74" s="79"/>
      <c r="DB74" s="79"/>
      <c r="DC74" s="79"/>
      <c r="DD74" s="79"/>
      <c r="DE74" s="79"/>
      <c r="DF74" s="79"/>
      <c r="DG74" s="79"/>
      <c r="DH74" s="79"/>
      <c r="DI74" s="79"/>
      <c r="DJ74" s="79"/>
      <c r="DK74" s="79"/>
      <c r="DL74" s="79"/>
      <c r="DM74" s="79"/>
      <c r="DN74" s="79"/>
      <c r="DO74" s="79"/>
      <c r="DP74" s="79"/>
      <c r="DQ74" s="79"/>
      <c r="DR74" s="79"/>
      <c r="DS74" s="79"/>
      <c r="DT74" s="79"/>
      <c r="DU74" s="79"/>
      <c r="DV74" s="79"/>
      <c r="DW74" s="79"/>
      <c r="DX74" s="79"/>
      <c r="DY74" s="79"/>
      <c r="DZ74" s="79"/>
      <c r="EA74" s="79"/>
      <c r="EB74" s="79"/>
      <c r="EC74" s="79"/>
      <c r="ED74" s="79"/>
      <c r="EE74" s="79"/>
      <c r="EF74" s="79"/>
      <c r="EG74" s="79"/>
      <c r="EH74" s="79"/>
      <c r="EI74" s="79"/>
      <c r="EJ74" s="79"/>
      <c r="EK74" s="79"/>
      <c r="EL74" s="79"/>
      <c r="EM74" s="79"/>
      <c r="EN74" s="79"/>
      <c r="EO74" s="79"/>
      <c r="EP74" s="79"/>
      <c r="EQ74" s="79"/>
      <c r="ER74" s="79"/>
      <c r="ES74" s="79"/>
      <c r="ET74" s="79"/>
      <c r="EU74" s="79"/>
      <c r="EV74" s="79"/>
      <c r="EW74" s="79"/>
      <c r="EX74" s="79"/>
      <c r="EY74" s="79"/>
      <c r="EZ74" s="79"/>
      <c r="FA74" s="79"/>
      <c r="FB74" s="79"/>
      <c r="FC74" s="79"/>
      <c r="FD74" s="79"/>
      <c r="FE74" s="79"/>
      <c r="FF74" s="79"/>
      <c r="FG74" s="79"/>
      <c r="FH74" s="79"/>
      <c r="FI74" s="79"/>
      <c r="FJ74" s="79"/>
      <c r="FK74" s="79"/>
      <c r="FL74" s="79"/>
      <c r="FM74" s="79"/>
      <c r="FN74" s="79"/>
      <c r="FO74" s="79"/>
      <c r="FP74" s="79"/>
      <c r="FQ74" s="79"/>
      <c r="FR74" s="79"/>
      <c r="FS74" s="79"/>
      <c r="FT74" s="79"/>
      <c r="FU74" s="79"/>
      <c r="FV74" s="79"/>
      <c r="FW74" s="79"/>
      <c r="FX74" s="79"/>
      <c r="FY74" s="79"/>
      <c r="FZ74" s="79"/>
      <c r="GA74" s="79"/>
      <c r="GB74" s="79"/>
      <c r="GC74" s="79"/>
      <c r="GD74" s="79"/>
      <c r="GE74" s="79"/>
      <c r="GF74" s="79"/>
      <c r="GG74" s="79"/>
      <c r="GH74" s="79"/>
      <c r="GI74" s="79"/>
      <c r="GJ74" s="79"/>
      <c r="GK74" s="79"/>
      <c r="GL74" s="79"/>
      <c r="GM74" s="79"/>
      <c r="GN74" s="79"/>
      <c r="GO74" s="79"/>
      <c r="GP74" s="79"/>
      <c r="GQ74" s="79"/>
      <c r="GR74" s="79"/>
      <c r="GS74" s="79"/>
      <c r="GT74" s="79"/>
      <c r="GU74" s="79"/>
      <c r="GV74" s="79"/>
      <c r="GW74" s="79"/>
      <c r="GX74" s="79"/>
      <c r="GY74" s="79"/>
      <c r="GZ74" s="79"/>
      <c r="HA74" s="79"/>
      <c r="HB74" s="79"/>
      <c r="HC74" s="79"/>
      <c r="HD74" s="79"/>
      <c r="HE74" s="79"/>
      <c r="HF74" s="79"/>
      <c r="HG74" s="79"/>
      <c r="HH74" s="79"/>
      <c r="HI74" s="79"/>
      <c r="HJ74" s="79"/>
      <c r="HK74" s="79"/>
      <c r="HL74" s="79"/>
      <c r="HM74" s="79"/>
      <c r="HN74" s="79"/>
      <c r="HO74" s="79"/>
      <c r="HP74" s="79"/>
      <c r="HQ74" s="79"/>
      <c r="HR74" s="79"/>
      <c r="HS74" s="79"/>
      <c r="HT74" s="79"/>
      <c r="HU74" s="79"/>
      <c r="HV74" s="79"/>
      <c r="HW74" s="79"/>
      <c r="HX74" s="79"/>
      <c r="HY74" s="79"/>
      <c r="HZ74" s="79"/>
      <c r="IA74" s="79"/>
      <c r="IB74" s="79"/>
      <c r="IC74" s="79"/>
      <c r="ID74" s="79"/>
      <c r="IE74" s="79"/>
      <c r="IF74" s="79"/>
      <c r="IG74" s="79"/>
      <c r="IH74" s="79"/>
      <c r="II74" s="79"/>
      <c r="IJ74" s="79"/>
      <c r="IK74" s="79"/>
      <c r="IL74" s="79"/>
      <c r="IM74" s="79"/>
      <c r="IN74" s="79"/>
      <c r="IO74" s="79"/>
      <c r="IP74" s="79"/>
      <c r="IQ74" s="79"/>
      <c r="IR74" s="79"/>
      <c r="IS74" s="79"/>
      <c r="IT74" s="79"/>
      <c r="IU74" s="79"/>
      <c r="IV74" s="79"/>
      <c r="IW74" s="79"/>
      <c r="IX74" s="79"/>
      <c r="IY74" s="79"/>
      <c r="IZ74" s="79"/>
      <c r="JA74" s="79"/>
      <c r="JB74" s="79"/>
      <c r="JC74" s="79"/>
      <c r="JD74" s="79"/>
      <c r="JE74" s="79"/>
      <c r="JF74" s="79"/>
      <c r="JG74" s="79"/>
      <c r="JH74" s="79"/>
      <c r="JI74" s="79"/>
      <c r="JJ74" s="79"/>
      <c r="JK74" s="79"/>
      <c r="JL74" s="79"/>
      <c r="JM74" s="79"/>
      <c r="JN74" s="79"/>
      <c r="JO74" s="79"/>
      <c r="JP74" s="79"/>
      <c r="JQ74" s="79"/>
      <c r="JR74" s="79"/>
      <c r="JS74" s="79"/>
      <c r="JT74" s="79"/>
      <c r="JU74" s="79"/>
      <c r="JV74" s="79"/>
      <c r="JW74" s="79"/>
      <c r="JX74" s="79"/>
      <c r="JY74" s="79"/>
      <c r="JZ74" s="79"/>
      <c r="KA74" s="79"/>
      <c r="KB74" s="79"/>
      <c r="KC74" s="79"/>
      <c r="KD74" s="79"/>
      <c r="KE74" s="79"/>
      <c r="KF74" s="79"/>
      <c r="KG74" s="79"/>
      <c r="KH74" s="79"/>
      <c r="KI74" s="79"/>
      <c r="KJ74" s="79"/>
      <c r="KK74" s="79"/>
      <c r="KL74" s="79"/>
      <c r="KM74" s="79"/>
      <c r="KN74" s="79"/>
      <c r="KO74" s="79"/>
      <c r="KP74" s="79"/>
      <c r="KQ74" s="79"/>
      <c r="KR74" s="79"/>
      <c r="KS74" s="79"/>
      <c r="KT74" s="79"/>
      <c r="KU74" s="79"/>
      <c r="KV74" s="79"/>
      <c r="KW74" s="79"/>
      <c r="KX74" s="79"/>
      <c r="KY74" s="79"/>
      <c r="KZ74" s="79"/>
      <c r="LA74" s="79"/>
      <c r="LB74" s="79"/>
      <c r="LC74" s="79"/>
      <c r="LD74" s="79"/>
      <c r="LE74" s="79"/>
      <c r="LF74" s="79"/>
      <c r="LG74" s="79"/>
      <c r="LH74" s="79"/>
      <c r="LI74" s="79"/>
      <c r="LJ74" s="79"/>
      <c r="LK74" s="79"/>
      <c r="LL74" s="79"/>
      <c r="LM74" s="79"/>
      <c r="LN74" s="79"/>
      <c r="LO74" s="79"/>
      <c r="LP74" s="79"/>
      <c r="LQ74" s="79"/>
      <c r="LR74" s="79"/>
      <c r="LS74" s="79"/>
      <c r="LT74" s="79"/>
      <c r="LU74" s="79"/>
      <c r="LV74" s="79"/>
      <c r="LW74" s="79"/>
      <c r="LX74" s="79"/>
      <c r="LY74" s="79"/>
      <c r="LZ74" s="79"/>
      <c r="MA74" s="79"/>
      <c r="MB74" s="79"/>
      <c r="MC74" s="79"/>
      <c r="MD74" s="79"/>
      <c r="ME74" s="79"/>
      <c r="MF74" s="79"/>
      <c r="MG74" s="79"/>
      <c r="MH74" s="79"/>
      <c r="MI74" s="79"/>
      <c r="MJ74" s="79"/>
      <c r="MK74" s="79"/>
      <c r="ML74" s="79"/>
      <c r="MM74" s="79"/>
      <c r="MN74" s="79"/>
      <c r="MO74" s="79"/>
      <c r="MP74" s="79"/>
      <c r="MQ74" s="79"/>
      <c r="MR74" s="79"/>
      <c r="MS74" s="79"/>
      <c r="MT74" s="79"/>
      <c r="MU74" s="79"/>
      <c r="MV74" s="79"/>
      <c r="MW74" s="79"/>
      <c r="MX74" s="79"/>
      <c r="MY74" s="79"/>
      <c r="MZ74" s="79"/>
      <c r="NA74" s="79"/>
      <c r="NB74" s="79"/>
      <c r="NC74" s="79"/>
      <c r="ND74" s="79"/>
      <c r="NE74" s="79"/>
      <c r="NF74" s="79"/>
      <c r="NG74" s="79"/>
      <c r="NH74" s="79"/>
      <c r="NI74" s="79"/>
      <c r="NJ74" s="79"/>
      <c r="NK74" s="79"/>
      <c r="NL74" s="79"/>
      <c r="NM74" s="79"/>
      <c r="NN74" s="79"/>
      <c r="NO74" s="79"/>
      <c r="NP74" s="79"/>
      <c r="NQ74" s="79"/>
      <c r="NR74" s="79"/>
      <c r="NS74" s="79"/>
      <c r="NT74" s="79"/>
      <c r="NU74" s="79"/>
      <c r="NV74" s="79"/>
      <c r="NW74" s="79"/>
      <c r="NX74" s="79"/>
      <c r="NY74" s="79"/>
      <c r="NZ74" s="79"/>
      <c r="OA74" s="79"/>
      <c r="OB74" s="79"/>
      <c r="OC74" s="79"/>
      <c r="OD74" s="79"/>
      <c r="OE74" s="79"/>
      <c r="OF74" s="79"/>
      <c r="OG74" s="79"/>
      <c r="OH74" s="79"/>
      <c r="OI74" s="79"/>
      <c r="OJ74" s="79"/>
      <c r="OK74" s="79"/>
      <c r="OL74" s="79"/>
      <c r="OM74" s="79"/>
      <c r="ON74" s="79"/>
      <c r="OO74" s="79"/>
      <c r="OP74" s="79"/>
      <c r="OQ74" s="79"/>
      <c r="OR74" s="79"/>
      <c r="OS74" s="79"/>
      <c r="OT74" s="79"/>
      <c r="OU74" s="79"/>
      <c r="OV74" s="79"/>
      <c r="OW74" s="79"/>
      <c r="OX74" s="79"/>
      <c r="OY74" s="79"/>
      <c r="OZ74" s="79"/>
      <c r="PA74" s="79"/>
      <c r="PB74" s="79"/>
      <c r="PC74" s="79"/>
      <c r="PD74" s="79"/>
      <c r="PE74" s="79"/>
      <c r="PF74" s="79"/>
      <c r="PG74" s="79"/>
      <c r="PH74" s="79"/>
      <c r="PI74" s="79"/>
      <c r="PJ74" s="79"/>
      <c r="PK74" s="79"/>
      <c r="PL74" s="79"/>
      <c r="PM74" s="79"/>
      <c r="PN74" s="79"/>
      <c r="PO74" s="79"/>
      <c r="PP74" s="79"/>
      <c r="PQ74" s="79"/>
      <c r="PR74" s="79"/>
      <c r="PS74" s="79"/>
      <c r="PT74" s="79"/>
      <c r="PU74" s="79"/>
      <c r="PV74" s="79"/>
      <c r="PW74" s="79"/>
      <c r="PX74" s="79"/>
      <c r="PY74" s="79"/>
      <c r="PZ74" s="79"/>
      <c r="QA74" s="79"/>
      <c r="QB74" s="79"/>
      <c r="QC74" s="79"/>
      <c r="QD74" s="79"/>
      <c r="QE74" s="79"/>
      <c r="QF74" s="79"/>
      <c r="QG74" s="79"/>
      <c r="QH74" s="79"/>
      <c r="QI74" s="79"/>
      <c r="QJ74" s="79"/>
      <c r="QK74" s="79"/>
      <c r="QL74" s="79"/>
      <c r="QM74" s="79"/>
      <c r="QN74" s="79"/>
      <c r="QO74" s="79"/>
      <c r="QP74" s="79"/>
      <c r="QQ74" s="79"/>
      <c r="QR74" s="79"/>
      <c r="QS74" s="79"/>
      <c r="QT74" s="79"/>
      <c r="QU74" s="79"/>
      <c r="QV74" s="79"/>
      <c r="QW74" s="79"/>
      <c r="QX74" s="79"/>
      <c r="QY74" s="79"/>
      <c r="QZ74" s="79"/>
      <c r="RA74" s="79"/>
      <c r="RB74" s="79"/>
      <c r="RC74" s="79"/>
      <c r="RD74" s="79"/>
      <c r="RE74" s="79"/>
      <c r="RF74" s="79"/>
      <c r="RG74" s="79"/>
      <c r="RH74" s="79"/>
      <c r="RI74" s="79"/>
      <c r="RJ74" s="79"/>
      <c r="RK74" s="79"/>
      <c r="RL74" s="79"/>
      <c r="RM74" s="79"/>
      <c r="RN74" s="79"/>
      <c r="RO74" s="79"/>
      <c r="RP74" s="79"/>
      <c r="RQ74" s="79"/>
      <c r="RR74" s="79"/>
      <c r="RS74" s="79"/>
      <c r="RT74" s="79"/>
      <c r="RU74" s="79"/>
      <c r="RV74" s="79"/>
      <c r="RW74" s="79"/>
      <c r="RX74" s="79"/>
      <c r="RY74" s="79"/>
      <c r="RZ74" s="79"/>
      <c r="SA74" s="79"/>
      <c r="SB74" s="79"/>
      <c r="SC74" s="79"/>
      <c r="SD74" s="79"/>
      <c r="SE74" s="79"/>
      <c r="SF74" s="79"/>
      <c r="SG74" s="79"/>
      <c r="SH74" s="79"/>
      <c r="SI74" s="79"/>
      <c r="SJ74" s="79"/>
    </row>
    <row r="75" spans="2:504" x14ac:dyDescent="0.25">
      <c r="B75" s="44" t="str">
        <f>'Pay App 1'!B125</f>
        <v>13 48 00</v>
      </c>
      <c r="C75" s="45" t="str">
        <f>'Pay App 1'!C125</f>
        <v>Sound &amp; Vibration Control</v>
      </c>
      <c r="D75" s="82">
        <f t="shared" si="8"/>
        <v>0</v>
      </c>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c r="AE75" s="79"/>
      <c r="AF75" s="79"/>
      <c r="AG75" s="79"/>
      <c r="AH75" s="79"/>
      <c r="AI75" s="79"/>
      <c r="AJ75" s="79"/>
      <c r="AK75" s="79"/>
      <c r="AL75" s="79"/>
      <c r="AM75" s="79"/>
      <c r="AN75" s="79"/>
      <c r="AO75" s="79"/>
      <c r="AP75" s="79"/>
      <c r="AQ75" s="79"/>
      <c r="AR75" s="79"/>
      <c r="AS75" s="79"/>
      <c r="AT75" s="79"/>
      <c r="AU75" s="79"/>
      <c r="AV75" s="79"/>
      <c r="AW75" s="79"/>
      <c r="AX75" s="79"/>
      <c r="AY75" s="79"/>
      <c r="AZ75" s="79"/>
      <c r="BA75" s="79"/>
      <c r="BB75" s="79"/>
      <c r="BC75" s="79"/>
      <c r="BD75" s="79"/>
      <c r="BE75" s="79"/>
      <c r="BF75" s="79"/>
      <c r="BG75" s="79"/>
      <c r="BH75" s="79"/>
      <c r="BI75" s="79"/>
      <c r="BJ75" s="79"/>
      <c r="BK75" s="79"/>
      <c r="BL75" s="79"/>
      <c r="BM75" s="79"/>
      <c r="BN75" s="79"/>
      <c r="BO75" s="79"/>
      <c r="BP75" s="79"/>
      <c r="BQ75" s="79"/>
      <c r="BR75" s="79"/>
      <c r="BS75" s="79"/>
      <c r="BT75" s="79"/>
      <c r="BU75" s="79"/>
      <c r="BV75" s="79"/>
      <c r="BW75" s="79"/>
      <c r="BX75" s="79"/>
      <c r="BY75" s="79"/>
      <c r="BZ75" s="79"/>
      <c r="CA75" s="79"/>
      <c r="CB75" s="79"/>
      <c r="CC75" s="79"/>
      <c r="CD75" s="79"/>
      <c r="CE75" s="79"/>
      <c r="CF75" s="79"/>
      <c r="CG75" s="79"/>
      <c r="CH75" s="79"/>
      <c r="CI75" s="79"/>
      <c r="CJ75" s="79"/>
      <c r="CK75" s="79"/>
      <c r="CL75" s="79"/>
      <c r="CM75" s="79"/>
      <c r="CN75" s="79"/>
      <c r="CO75" s="79"/>
      <c r="CP75" s="79"/>
      <c r="CQ75" s="79"/>
      <c r="CR75" s="79"/>
      <c r="CS75" s="79"/>
      <c r="CT75" s="79"/>
      <c r="CU75" s="79"/>
      <c r="CV75" s="79"/>
      <c r="CW75" s="79"/>
      <c r="CX75" s="79"/>
      <c r="CY75" s="79"/>
      <c r="CZ75" s="79"/>
      <c r="DA75" s="79"/>
      <c r="DB75" s="79"/>
      <c r="DC75" s="79"/>
      <c r="DD75" s="79"/>
      <c r="DE75" s="79"/>
      <c r="DF75" s="79"/>
      <c r="DG75" s="79"/>
      <c r="DH75" s="79"/>
      <c r="DI75" s="79"/>
      <c r="DJ75" s="79"/>
      <c r="DK75" s="79"/>
      <c r="DL75" s="79"/>
      <c r="DM75" s="79"/>
      <c r="DN75" s="79"/>
      <c r="DO75" s="79"/>
      <c r="DP75" s="79"/>
      <c r="DQ75" s="79"/>
      <c r="DR75" s="79"/>
      <c r="DS75" s="79"/>
      <c r="DT75" s="79"/>
      <c r="DU75" s="79"/>
      <c r="DV75" s="79"/>
      <c r="DW75" s="79"/>
      <c r="DX75" s="79"/>
      <c r="DY75" s="79"/>
      <c r="DZ75" s="79"/>
      <c r="EA75" s="79"/>
      <c r="EB75" s="79"/>
      <c r="EC75" s="79"/>
      <c r="ED75" s="79"/>
      <c r="EE75" s="79"/>
      <c r="EF75" s="79"/>
      <c r="EG75" s="79"/>
      <c r="EH75" s="79"/>
      <c r="EI75" s="79"/>
      <c r="EJ75" s="79"/>
      <c r="EK75" s="79"/>
      <c r="EL75" s="79"/>
      <c r="EM75" s="79"/>
      <c r="EN75" s="79"/>
      <c r="EO75" s="79"/>
      <c r="EP75" s="79"/>
      <c r="EQ75" s="79"/>
      <c r="ER75" s="79"/>
      <c r="ES75" s="79"/>
      <c r="ET75" s="79"/>
      <c r="EU75" s="79"/>
      <c r="EV75" s="79"/>
      <c r="EW75" s="79"/>
      <c r="EX75" s="79"/>
      <c r="EY75" s="79"/>
      <c r="EZ75" s="79"/>
      <c r="FA75" s="79"/>
      <c r="FB75" s="79"/>
      <c r="FC75" s="79"/>
      <c r="FD75" s="79"/>
      <c r="FE75" s="79"/>
      <c r="FF75" s="79"/>
      <c r="FG75" s="79"/>
      <c r="FH75" s="79"/>
      <c r="FI75" s="79"/>
      <c r="FJ75" s="79"/>
      <c r="FK75" s="79"/>
      <c r="FL75" s="79"/>
      <c r="FM75" s="79"/>
      <c r="FN75" s="79"/>
      <c r="FO75" s="79"/>
      <c r="FP75" s="79"/>
      <c r="FQ75" s="79"/>
      <c r="FR75" s="79"/>
      <c r="FS75" s="79"/>
      <c r="FT75" s="79"/>
      <c r="FU75" s="79"/>
      <c r="FV75" s="79"/>
      <c r="FW75" s="79"/>
      <c r="FX75" s="79"/>
      <c r="FY75" s="79"/>
      <c r="FZ75" s="79"/>
      <c r="GA75" s="79"/>
      <c r="GB75" s="79"/>
      <c r="GC75" s="79"/>
      <c r="GD75" s="79"/>
      <c r="GE75" s="79"/>
      <c r="GF75" s="79"/>
      <c r="GG75" s="79"/>
      <c r="GH75" s="79"/>
      <c r="GI75" s="79"/>
      <c r="GJ75" s="79"/>
      <c r="GK75" s="79"/>
      <c r="GL75" s="79"/>
      <c r="GM75" s="79"/>
      <c r="GN75" s="79"/>
      <c r="GO75" s="79"/>
      <c r="GP75" s="79"/>
      <c r="GQ75" s="79"/>
      <c r="GR75" s="79"/>
      <c r="GS75" s="79"/>
      <c r="GT75" s="79"/>
      <c r="GU75" s="79"/>
      <c r="GV75" s="79"/>
      <c r="GW75" s="79"/>
      <c r="GX75" s="79"/>
      <c r="GY75" s="79"/>
      <c r="GZ75" s="79"/>
      <c r="HA75" s="79"/>
      <c r="HB75" s="79"/>
      <c r="HC75" s="79"/>
      <c r="HD75" s="79"/>
      <c r="HE75" s="79"/>
      <c r="HF75" s="79"/>
      <c r="HG75" s="79"/>
      <c r="HH75" s="79"/>
      <c r="HI75" s="79"/>
      <c r="HJ75" s="79"/>
      <c r="HK75" s="79"/>
      <c r="HL75" s="79"/>
      <c r="HM75" s="79"/>
      <c r="HN75" s="79"/>
      <c r="HO75" s="79"/>
      <c r="HP75" s="79"/>
      <c r="HQ75" s="79"/>
      <c r="HR75" s="79"/>
      <c r="HS75" s="79"/>
      <c r="HT75" s="79"/>
      <c r="HU75" s="79"/>
      <c r="HV75" s="79"/>
      <c r="HW75" s="79"/>
      <c r="HX75" s="79"/>
      <c r="HY75" s="79"/>
      <c r="HZ75" s="79"/>
      <c r="IA75" s="79"/>
      <c r="IB75" s="79"/>
      <c r="IC75" s="79"/>
      <c r="ID75" s="79"/>
      <c r="IE75" s="79"/>
      <c r="IF75" s="79"/>
      <c r="IG75" s="79"/>
      <c r="IH75" s="79"/>
      <c r="II75" s="79"/>
      <c r="IJ75" s="79"/>
      <c r="IK75" s="79"/>
      <c r="IL75" s="79"/>
      <c r="IM75" s="79"/>
      <c r="IN75" s="79"/>
      <c r="IO75" s="79"/>
      <c r="IP75" s="79"/>
      <c r="IQ75" s="79"/>
      <c r="IR75" s="79"/>
      <c r="IS75" s="79"/>
      <c r="IT75" s="79"/>
      <c r="IU75" s="79"/>
      <c r="IV75" s="79"/>
      <c r="IW75" s="79"/>
      <c r="IX75" s="79"/>
      <c r="IY75" s="79"/>
      <c r="IZ75" s="79"/>
      <c r="JA75" s="79"/>
      <c r="JB75" s="79"/>
      <c r="JC75" s="79"/>
      <c r="JD75" s="79"/>
      <c r="JE75" s="79"/>
      <c r="JF75" s="79"/>
      <c r="JG75" s="79"/>
      <c r="JH75" s="79"/>
      <c r="JI75" s="79"/>
      <c r="JJ75" s="79"/>
      <c r="JK75" s="79"/>
      <c r="JL75" s="79"/>
      <c r="JM75" s="79"/>
      <c r="JN75" s="79"/>
      <c r="JO75" s="79"/>
      <c r="JP75" s="79"/>
      <c r="JQ75" s="79"/>
      <c r="JR75" s="79"/>
      <c r="JS75" s="79"/>
      <c r="JT75" s="79"/>
      <c r="JU75" s="79"/>
      <c r="JV75" s="79"/>
      <c r="JW75" s="79"/>
      <c r="JX75" s="79"/>
      <c r="JY75" s="79"/>
      <c r="JZ75" s="79"/>
      <c r="KA75" s="79"/>
      <c r="KB75" s="79"/>
      <c r="KC75" s="79"/>
      <c r="KD75" s="79"/>
      <c r="KE75" s="79"/>
      <c r="KF75" s="79"/>
      <c r="KG75" s="79"/>
      <c r="KH75" s="79"/>
      <c r="KI75" s="79"/>
      <c r="KJ75" s="79"/>
      <c r="KK75" s="79"/>
      <c r="KL75" s="79"/>
      <c r="KM75" s="79"/>
      <c r="KN75" s="79"/>
      <c r="KO75" s="79"/>
      <c r="KP75" s="79"/>
      <c r="KQ75" s="79"/>
      <c r="KR75" s="79"/>
      <c r="KS75" s="79"/>
      <c r="KT75" s="79"/>
      <c r="KU75" s="79"/>
      <c r="KV75" s="79"/>
      <c r="KW75" s="79"/>
      <c r="KX75" s="79"/>
      <c r="KY75" s="79"/>
      <c r="KZ75" s="79"/>
      <c r="LA75" s="79"/>
      <c r="LB75" s="79"/>
      <c r="LC75" s="79"/>
      <c r="LD75" s="79"/>
      <c r="LE75" s="79"/>
      <c r="LF75" s="79"/>
      <c r="LG75" s="79"/>
      <c r="LH75" s="79"/>
      <c r="LI75" s="79"/>
      <c r="LJ75" s="79"/>
      <c r="LK75" s="79"/>
      <c r="LL75" s="79"/>
      <c r="LM75" s="79"/>
      <c r="LN75" s="79"/>
      <c r="LO75" s="79"/>
      <c r="LP75" s="79"/>
      <c r="LQ75" s="79"/>
      <c r="LR75" s="79"/>
      <c r="LS75" s="79"/>
      <c r="LT75" s="79"/>
      <c r="LU75" s="79"/>
      <c r="LV75" s="79"/>
      <c r="LW75" s="79"/>
      <c r="LX75" s="79"/>
      <c r="LY75" s="79"/>
      <c r="LZ75" s="79"/>
      <c r="MA75" s="79"/>
      <c r="MB75" s="79"/>
      <c r="MC75" s="79"/>
      <c r="MD75" s="79"/>
      <c r="ME75" s="79"/>
      <c r="MF75" s="79"/>
      <c r="MG75" s="79"/>
      <c r="MH75" s="79"/>
      <c r="MI75" s="79"/>
      <c r="MJ75" s="79"/>
      <c r="MK75" s="79"/>
      <c r="ML75" s="79"/>
      <c r="MM75" s="79"/>
      <c r="MN75" s="79"/>
      <c r="MO75" s="79"/>
      <c r="MP75" s="79"/>
      <c r="MQ75" s="79"/>
      <c r="MR75" s="79"/>
      <c r="MS75" s="79"/>
      <c r="MT75" s="79"/>
      <c r="MU75" s="79"/>
      <c r="MV75" s="79"/>
      <c r="MW75" s="79"/>
      <c r="MX75" s="79"/>
      <c r="MY75" s="79"/>
      <c r="MZ75" s="79"/>
      <c r="NA75" s="79"/>
      <c r="NB75" s="79"/>
      <c r="NC75" s="79"/>
      <c r="ND75" s="79"/>
      <c r="NE75" s="79"/>
      <c r="NF75" s="79"/>
      <c r="NG75" s="79"/>
      <c r="NH75" s="79"/>
      <c r="NI75" s="79"/>
      <c r="NJ75" s="79"/>
      <c r="NK75" s="79"/>
      <c r="NL75" s="79"/>
      <c r="NM75" s="79"/>
      <c r="NN75" s="79"/>
      <c r="NO75" s="79"/>
      <c r="NP75" s="79"/>
      <c r="NQ75" s="79"/>
      <c r="NR75" s="79"/>
      <c r="NS75" s="79"/>
      <c r="NT75" s="79"/>
      <c r="NU75" s="79"/>
      <c r="NV75" s="79"/>
      <c r="NW75" s="79"/>
      <c r="NX75" s="79"/>
      <c r="NY75" s="79"/>
      <c r="NZ75" s="79"/>
      <c r="OA75" s="79"/>
      <c r="OB75" s="79"/>
      <c r="OC75" s="79"/>
      <c r="OD75" s="79"/>
      <c r="OE75" s="79"/>
      <c r="OF75" s="79"/>
      <c r="OG75" s="79"/>
      <c r="OH75" s="79"/>
      <c r="OI75" s="79"/>
      <c r="OJ75" s="79"/>
      <c r="OK75" s="79"/>
      <c r="OL75" s="79"/>
      <c r="OM75" s="79"/>
      <c r="ON75" s="79"/>
      <c r="OO75" s="79"/>
      <c r="OP75" s="79"/>
      <c r="OQ75" s="79"/>
      <c r="OR75" s="79"/>
      <c r="OS75" s="79"/>
      <c r="OT75" s="79"/>
      <c r="OU75" s="79"/>
      <c r="OV75" s="79"/>
      <c r="OW75" s="79"/>
      <c r="OX75" s="79"/>
      <c r="OY75" s="79"/>
      <c r="OZ75" s="79"/>
      <c r="PA75" s="79"/>
      <c r="PB75" s="79"/>
      <c r="PC75" s="79"/>
      <c r="PD75" s="79"/>
      <c r="PE75" s="79"/>
      <c r="PF75" s="79"/>
      <c r="PG75" s="79"/>
      <c r="PH75" s="79"/>
      <c r="PI75" s="79"/>
      <c r="PJ75" s="79"/>
      <c r="PK75" s="79"/>
      <c r="PL75" s="79"/>
      <c r="PM75" s="79"/>
      <c r="PN75" s="79"/>
      <c r="PO75" s="79"/>
      <c r="PP75" s="79"/>
      <c r="PQ75" s="79"/>
      <c r="PR75" s="79"/>
      <c r="PS75" s="79"/>
      <c r="PT75" s="79"/>
      <c r="PU75" s="79"/>
      <c r="PV75" s="79"/>
      <c r="PW75" s="79"/>
      <c r="PX75" s="79"/>
      <c r="PY75" s="79"/>
      <c r="PZ75" s="79"/>
      <c r="QA75" s="79"/>
      <c r="QB75" s="79"/>
      <c r="QC75" s="79"/>
      <c r="QD75" s="79"/>
      <c r="QE75" s="79"/>
      <c r="QF75" s="79"/>
      <c r="QG75" s="79"/>
      <c r="QH75" s="79"/>
      <c r="QI75" s="79"/>
      <c r="QJ75" s="79"/>
      <c r="QK75" s="79"/>
      <c r="QL75" s="79"/>
      <c r="QM75" s="79"/>
      <c r="QN75" s="79"/>
      <c r="QO75" s="79"/>
      <c r="QP75" s="79"/>
      <c r="QQ75" s="79"/>
      <c r="QR75" s="79"/>
      <c r="QS75" s="79"/>
      <c r="QT75" s="79"/>
      <c r="QU75" s="79"/>
      <c r="QV75" s="79"/>
      <c r="QW75" s="79"/>
      <c r="QX75" s="79"/>
      <c r="QY75" s="79"/>
      <c r="QZ75" s="79"/>
      <c r="RA75" s="79"/>
      <c r="RB75" s="79"/>
      <c r="RC75" s="79"/>
      <c r="RD75" s="79"/>
      <c r="RE75" s="79"/>
      <c r="RF75" s="79"/>
      <c r="RG75" s="79"/>
      <c r="RH75" s="79"/>
      <c r="RI75" s="79"/>
      <c r="RJ75" s="79"/>
      <c r="RK75" s="79"/>
      <c r="RL75" s="79"/>
      <c r="RM75" s="79"/>
      <c r="RN75" s="79"/>
      <c r="RO75" s="79"/>
      <c r="RP75" s="79"/>
      <c r="RQ75" s="79"/>
      <c r="RR75" s="79"/>
      <c r="RS75" s="79"/>
      <c r="RT75" s="79"/>
      <c r="RU75" s="79"/>
      <c r="RV75" s="79"/>
      <c r="RW75" s="79"/>
      <c r="RX75" s="79"/>
      <c r="RY75" s="79"/>
      <c r="RZ75" s="79"/>
      <c r="SA75" s="79"/>
      <c r="SB75" s="79"/>
      <c r="SC75" s="79"/>
      <c r="SD75" s="79"/>
      <c r="SE75" s="79"/>
      <c r="SF75" s="79"/>
      <c r="SG75" s="79"/>
      <c r="SH75" s="79"/>
      <c r="SI75" s="79"/>
      <c r="SJ75" s="79"/>
    </row>
    <row r="76" spans="2:504" x14ac:dyDescent="0.25">
      <c r="B76" s="35" t="str">
        <f>'Pay App 1'!B126</f>
        <v>14 20 00</v>
      </c>
      <c r="C76" s="27" t="str">
        <f>'Pay App 1'!C126</f>
        <v>Elevator</v>
      </c>
      <c r="D76" s="82">
        <f t="shared" si="8"/>
        <v>0</v>
      </c>
      <c r="E76" s="79"/>
      <c r="F76" s="79"/>
      <c r="G76" s="79"/>
      <c r="H76" s="79"/>
      <c r="I76" s="79"/>
      <c r="J76" s="79"/>
      <c r="K76" s="79"/>
      <c r="L76" s="79"/>
      <c r="M76" s="79"/>
      <c r="N76" s="79"/>
      <c r="O76" s="79"/>
      <c r="P76" s="79"/>
      <c r="Q76" s="79"/>
      <c r="R76" s="79"/>
      <c r="S76" s="79"/>
      <c r="T76" s="79"/>
      <c r="U76" s="79"/>
      <c r="V76" s="79"/>
      <c r="W76" s="79"/>
      <c r="X76" s="79"/>
      <c r="Y76" s="79"/>
      <c r="Z76" s="79"/>
      <c r="AA76" s="79"/>
      <c r="AB76" s="79"/>
      <c r="AC76" s="79"/>
      <c r="AD76" s="79"/>
      <c r="AE76" s="79"/>
      <c r="AF76" s="79"/>
      <c r="AG76" s="79"/>
      <c r="AH76" s="79"/>
      <c r="AI76" s="79"/>
      <c r="AJ76" s="79"/>
      <c r="AK76" s="79"/>
      <c r="AL76" s="79"/>
      <c r="AM76" s="79"/>
      <c r="AN76" s="79"/>
      <c r="AO76" s="79"/>
      <c r="AP76" s="79"/>
      <c r="AQ76" s="79"/>
      <c r="AR76" s="79"/>
      <c r="AS76" s="79"/>
      <c r="AT76" s="79"/>
      <c r="AU76" s="79"/>
      <c r="AV76" s="79"/>
      <c r="AW76" s="79"/>
      <c r="AX76" s="79"/>
      <c r="AY76" s="79"/>
      <c r="AZ76" s="79"/>
      <c r="BA76" s="79"/>
      <c r="BB76" s="79"/>
      <c r="BC76" s="79"/>
      <c r="BD76" s="79"/>
      <c r="BE76" s="79"/>
      <c r="BF76" s="79"/>
      <c r="BG76" s="79"/>
      <c r="BH76" s="79"/>
      <c r="BI76" s="79"/>
      <c r="BJ76" s="79"/>
      <c r="BK76" s="79"/>
      <c r="BL76" s="79"/>
      <c r="BM76" s="79"/>
      <c r="BN76" s="79"/>
      <c r="BO76" s="79"/>
      <c r="BP76" s="79"/>
      <c r="BQ76" s="79"/>
      <c r="BR76" s="79"/>
      <c r="BS76" s="79"/>
      <c r="BT76" s="79"/>
      <c r="BU76" s="79"/>
      <c r="BV76" s="79"/>
      <c r="BW76" s="79"/>
      <c r="BX76" s="79"/>
      <c r="BY76" s="79"/>
      <c r="BZ76" s="79"/>
      <c r="CA76" s="79"/>
      <c r="CB76" s="79"/>
      <c r="CC76" s="79"/>
      <c r="CD76" s="79"/>
      <c r="CE76" s="79"/>
      <c r="CF76" s="79"/>
      <c r="CG76" s="79"/>
      <c r="CH76" s="79"/>
      <c r="CI76" s="79"/>
      <c r="CJ76" s="79"/>
      <c r="CK76" s="79"/>
      <c r="CL76" s="79"/>
      <c r="CM76" s="79"/>
      <c r="CN76" s="79"/>
      <c r="CO76" s="79"/>
      <c r="CP76" s="79"/>
      <c r="CQ76" s="79"/>
      <c r="CR76" s="79"/>
      <c r="CS76" s="79"/>
      <c r="CT76" s="79"/>
      <c r="CU76" s="79"/>
      <c r="CV76" s="79"/>
      <c r="CW76" s="79"/>
      <c r="CX76" s="79"/>
      <c r="CY76" s="79"/>
      <c r="CZ76" s="79"/>
      <c r="DA76" s="79"/>
      <c r="DB76" s="79"/>
      <c r="DC76" s="79"/>
      <c r="DD76" s="79"/>
      <c r="DE76" s="79"/>
      <c r="DF76" s="79"/>
      <c r="DG76" s="79"/>
      <c r="DH76" s="79"/>
      <c r="DI76" s="79"/>
      <c r="DJ76" s="79"/>
      <c r="DK76" s="79"/>
      <c r="DL76" s="79"/>
      <c r="DM76" s="79"/>
      <c r="DN76" s="79"/>
      <c r="DO76" s="79"/>
      <c r="DP76" s="79"/>
      <c r="DQ76" s="79"/>
      <c r="DR76" s="79"/>
      <c r="DS76" s="79"/>
      <c r="DT76" s="79"/>
      <c r="DU76" s="79"/>
      <c r="DV76" s="79"/>
      <c r="DW76" s="79"/>
      <c r="DX76" s="79"/>
      <c r="DY76" s="79"/>
      <c r="DZ76" s="79"/>
      <c r="EA76" s="79"/>
      <c r="EB76" s="79"/>
      <c r="EC76" s="79"/>
      <c r="ED76" s="79"/>
      <c r="EE76" s="79"/>
      <c r="EF76" s="79"/>
      <c r="EG76" s="79"/>
      <c r="EH76" s="79"/>
      <c r="EI76" s="79"/>
      <c r="EJ76" s="79"/>
      <c r="EK76" s="79"/>
      <c r="EL76" s="79"/>
      <c r="EM76" s="79"/>
      <c r="EN76" s="79"/>
      <c r="EO76" s="79"/>
      <c r="EP76" s="79"/>
      <c r="EQ76" s="79"/>
      <c r="ER76" s="79"/>
      <c r="ES76" s="79"/>
      <c r="ET76" s="79"/>
      <c r="EU76" s="79"/>
      <c r="EV76" s="79"/>
      <c r="EW76" s="79"/>
      <c r="EX76" s="79"/>
      <c r="EY76" s="79"/>
      <c r="EZ76" s="79"/>
      <c r="FA76" s="79"/>
      <c r="FB76" s="79"/>
      <c r="FC76" s="79"/>
      <c r="FD76" s="79"/>
      <c r="FE76" s="79"/>
      <c r="FF76" s="79"/>
      <c r="FG76" s="79"/>
      <c r="FH76" s="79"/>
      <c r="FI76" s="79"/>
      <c r="FJ76" s="79"/>
      <c r="FK76" s="79"/>
      <c r="FL76" s="79"/>
      <c r="FM76" s="79"/>
      <c r="FN76" s="79"/>
      <c r="FO76" s="79"/>
      <c r="FP76" s="79"/>
      <c r="FQ76" s="79"/>
      <c r="FR76" s="79"/>
      <c r="FS76" s="79"/>
      <c r="FT76" s="79"/>
      <c r="FU76" s="79"/>
      <c r="FV76" s="79"/>
      <c r="FW76" s="79"/>
      <c r="FX76" s="79"/>
      <c r="FY76" s="79"/>
      <c r="FZ76" s="79"/>
      <c r="GA76" s="79"/>
      <c r="GB76" s="79"/>
      <c r="GC76" s="79"/>
      <c r="GD76" s="79"/>
      <c r="GE76" s="79"/>
      <c r="GF76" s="79"/>
      <c r="GG76" s="79"/>
      <c r="GH76" s="79"/>
      <c r="GI76" s="79"/>
      <c r="GJ76" s="79"/>
      <c r="GK76" s="79"/>
      <c r="GL76" s="79"/>
      <c r="GM76" s="79"/>
      <c r="GN76" s="79"/>
      <c r="GO76" s="79"/>
      <c r="GP76" s="79"/>
      <c r="GQ76" s="79"/>
      <c r="GR76" s="79"/>
      <c r="GS76" s="79"/>
      <c r="GT76" s="79"/>
      <c r="GU76" s="79"/>
      <c r="GV76" s="79"/>
      <c r="GW76" s="79"/>
      <c r="GX76" s="79"/>
      <c r="GY76" s="79"/>
      <c r="GZ76" s="79"/>
      <c r="HA76" s="79"/>
      <c r="HB76" s="79"/>
      <c r="HC76" s="79"/>
      <c r="HD76" s="79"/>
      <c r="HE76" s="79"/>
      <c r="HF76" s="79"/>
      <c r="HG76" s="79"/>
      <c r="HH76" s="79"/>
      <c r="HI76" s="79"/>
      <c r="HJ76" s="79"/>
      <c r="HK76" s="79"/>
      <c r="HL76" s="79"/>
      <c r="HM76" s="79"/>
      <c r="HN76" s="79"/>
      <c r="HO76" s="79"/>
      <c r="HP76" s="79"/>
      <c r="HQ76" s="79"/>
      <c r="HR76" s="79"/>
      <c r="HS76" s="79"/>
      <c r="HT76" s="79"/>
      <c r="HU76" s="79"/>
      <c r="HV76" s="79"/>
      <c r="HW76" s="79"/>
      <c r="HX76" s="79"/>
      <c r="HY76" s="79"/>
      <c r="HZ76" s="79"/>
      <c r="IA76" s="79"/>
      <c r="IB76" s="79"/>
      <c r="IC76" s="79"/>
      <c r="ID76" s="79"/>
      <c r="IE76" s="79"/>
      <c r="IF76" s="79"/>
      <c r="IG76" s="79"/>
      <c r="IH76" s="79"/>
      <c r="II76" s="79"/>
      <c r="IJ76" s="79"/>
      <c r="IK76" s="79"/>
      <c r="IL76" s="79"/>
      <c r="IM76" s="79"/>
      <c r="IN76" s="79"/>
      <c r="IO76" s="79"/>
      <c r="IP76" s="79"/>
      <c r="IQ76" s="79"/>
      <c r="IR76" s="79"/>
      <c r="IS76" s="79"/>
      <c r="IT76" s="79"/>
      <c r="IU76" s="79"/>
      <c r="IV76" s="79"/>
      <c r="IW76" s="79"/>
      <c r="IX76" s="79"/>
      <c r="IY76" s="79"/>
      <c r="IZ76" s="79"/>
      <c r="JA76" s="79"/>
      <c r="JB76" s="79"/>
      <c r="JC76" s="79"/>
      <c r="JD76" s="79"/>
      <c r="JE76" s="79"/>
      <c r="JF76" s="79"/>
      <c r="JG76" s="79"/>
      <c r="JH76" s="79"/>
      <c r="JI76" s="79"/>
      <c r="JJ76" s="79"/>
      <c r="JK76" s="79"/>
      <c r="JL76" s="79"/>
      <c r="JM76" s="79"/>
      <c r="JN76" s="79"/>
      <c r="JO76" s="79"/>
      <c r="JP76" s="79"/>
      <c r="JQ76" s="79"/>
      <c r="JR76" s="79"/>
      <c r="JS76" s="79"/>
      <c r="JT76" s="79"/>
      <c r="JU76" s="79"/>
      <c r="JV76" s="79"/>
      <c r="JW76" s="79"/>
      <c r="JX76" s="79"/>
      <c r="JY76" s="79"/>
      <c r="JZ76" s="79"/>
      <c r="KA76" s="79"/>
      <c r="KB76" s="79"/>
      <c r="KC76" s="79"/>
      <c r="KD76" s="79"/>
      <c r="KE76" s="79"/>
      <c r="KF76" s="79"/>
      <c r="KG76" s="79"/>
      <c r="KH76" s="79"/>
      <c r="KI76" s="79"/>
      <c r="KJ76" s="79"/>
      <c r="KK76" s="79"/>
      <c r="KL76" s="79"/>
      <c r="KM76" s="79"/>
      <c r="KN76" s="79"/>
      <c r="KO76" s="79"/>
      <c r="KP76" s="79"/>
      <c r="KQ76" s="79"/>
      <c r="KR76" s="79"/>
      <c r="KS76" s="79"/>
      <c r="KT76" s="79"/>
      <c r="KU76" s="79"/>
      <c r="KV76" s="79"/>
      <c r="KW76" s="79"/>
      <c r="KX76" s="79"/>
      <c r="KY76" s="79"/>
      <c r="KZ76" s="79"/>
      <c r="LA76" s="79"/>
      <c r="LB76" s="79"/>
      <c r="LC76" s="79"/>
      <c r="LD76" s="79"/>
      <c r="LE76" s="79"/>
      <c r="LF76" s="79"/>
      <c r="LG76" s="79"/>
      <c r="LH76" s="79"/>
      <c r="LI76" s="79"/>
      <c r="LJ76" s="79"/>
      <c r="LK76" s="79"/>
      <c r="LL76" s="79"/>
      <c r="LM76" s="79"/>
      <c r="LN76" s="79"/>
      <c r="LO76" s="79"/>
      <c r="LP76" s="79"/>
      <c r="LQ76" s="79"/>
      <c r="LR76" s="79"/>
      <c r="LS76" s="79"/>
      <c r="LT76" s="79"/>
      <c r="LU76" s="79"/>
      <c r="LV76" s="79"/>
      <c r="LW76" s="79"/>
      <c r="LX76" s="79"/>
      <c r="LY76" s="79"/>
      <c r="LZ76" s="79"/>
      <c r="MA76" s="79"/>
      <c r="MB76" s="79"/>
      <c r="MC76" s="79"/>
      <c r="MD76" s="79"/>
      <c r="ME76" s="79"/>
      <c r="MF76" s="79"/>
      <c r="MG76" s="79"/>
      <c r="MH76" s="79"/>
      <c r="MI76" s="79"/>
      <c r="MJ76" s="79"/>
      <c r="MK76" s="79"/>
      <c r="ML76" s="79"/>
      <c r="MM76" s="79"/>
      <c r="MN76" s="79"/>
      <c r="MO76" s="79"/>
      <c r="MP76" s="79"/>
      <c r="MQ76" s="79"/>
      <c r="MR76" s="79"/>
      <c r="MS76" s="79"/>
      <c r="MT76" s="79"/>
      <c r="MU76" s="79"/>
      <c r="MV76" s="79"/>
      <c r="MW76" s="79"/>
      <c r="MX76" s="79"/>
      <c r="MY76" s="79"/>
      <c r="MZ76" s="79"/>
      <c r="NA76" s="79"/>
      <c r="NB76" s="79"/>
      <c r="NC76" s="79"/>
      <c r="ND76" s="79"/>
      <c r="NE76" s="79"/>
      <c r="NF76" s="79"/>
      <c r="NG76" s="79"/>
      <c r="NH76" s="79"/>
      <c r="NI76" s="79"/>
      <c r="NJ76" s="79"/>
      <c r="NK76" s="79"/>
      <c r="NL76" s="79"/>
      <c r="NM76" s="79"/>
      <c r="NN76" s="79"/>
      <c r="NO76" s="79"/>
      <c r="NP76" s="79"/>
      <c r="NQ76" s="79"/>
      <c r="NR76" s="79"/>
      <c r="NS76" s="79"/>
      <c r="NT76" s="79"/>
      <c r="NU76" s="79"/>
      <c r="NV76" s="79"/>
      <c r="NW76" s="79"/>
      <c r="NX76" s="79"/>
      <c r="NY76" s="79"/>
      <c r="NZ76" s="79"/>
      <c r="OA76" s="79"/>
      <c r="OB76" s="79"/>
      <c r="OC76" s="79"/>
      <c r="OD76" s="79"/>
      <c r="OE76" s="79"/>
      <c r="OF76" s="79"/>
      <c r="OG76" s="79"/>
      <c r="OH76" s="79"/>
      <c r="OI76" s="79"/>
      <c r="OJ76" s="79"/>
      <c r="OK76" s="79"/>
      <c r="OL76" s="79"/>
      <c r="OM76" s="79"/>
      <c r="ON76" s="79"/>
      <c r="OO76" s="79"/>
      <c r="OP76" s="79"/>
      <c r="OQ76" s="79"/>
      <c r="OR76" s="79"/>
      <c r="OS76" s="79"/>
      <c r="OT76" s="79"/>
      <c r="OU76" s="79"/>
      <c r="OV76" s="79"/>
      <c r="OW76" s="79"/>
      <c r="OX76" s="79"/>
      <c r="OY76" s="79"/>
      <c r="OZ76" s="79"/>
      <c r="PA76" s="79"/>
      <c r="PB76" s="79"/>
      <c r="PC76" s="79"/>
      <c r="PD76" s="79"/>
      <c r="PE76" s="79"/>
      <c r="PF76" s="79"/>
      <c r="PG76" s="79"/>
      <c r="PH76" s="79"/>
      <c r="PI76" s="79"/>
      <c r="PJ76" s="79"/>
      <c r="PK76" s="79"/>
      <c r="PL76" s="79"/>
      <c r="PM76" s="79"/>
      <c r="PN76" s="79"/>
      <c r="PO76" s="79"/>
      <c r="PP76" s="79"/>
      <c r="PQ76" s="79"/>
      <c r="PR76" s="79"/>
      <c r="PS76" s="79"/>
      <c r="PT76" s="79"/>
      <c r="PU76" s="79"/>
      <c r="PV76" s="79"/>
      <c r="PW76" s="79"/>
      <c r="PX76" s="79"/>
      <c r="PY76" s="79"/>
      <c r="PZ76" s="79"/>
      <c r="QA76" s="79"/>
      <c r="QB76" s="79"/>
      <c r="QC76" s="79"/>
      <c r="QD76" s="79"/>
      <c r="QE76" s="79"/>
      <c r="QF76" s="79"/>
      <c r="QG76" s="79"/>
      <c r="QH76" s="79"/>
      <c r="QI76" s="79"/>
      <c r="QJ76" s="79"/>
      <c r="QK76" s="79"/>
      <c r="QL76" s="79"/>
      <c r="QM76" s="79"/>
      <c r="QN76" s="79"/>
      <c r="QO76" s="79"/>
      <c r="QP76" s="79"/>
      <c r="QQ76" s="79"/>
      <c r="QR76" s="79"/>
      <c r="QS76" s="79"/>
      <c r="QT76" s="79"/>
      <c r="QU76" s="79"/>
      <c r="QV76" s="79"/>
      <c r="QW76" s="79"/>
      <c r="QX76" s="79"/>
      <c r="QY76" s="79"/>
      <c r="QZ76" s="79"/>
      <c r="RA76" s="79"/>
      <c r="RB76" s="79"/>
      <c r="RC76" s="79"/>
      <c r="RD76" s="79"/>
      <c r="RE76" s="79"/>
      <c r="RF76" s="79"/>
      <c r="RG76" s="79"/>
      <c r="RH76" s="79"/>
      <c r="RI76" s="79"/>
      <c r="RJ76" s="79"/>
      <c r="RK76" s="79"/>
      <c r="RL76" s="79"/>
      <c r="RM76" s="79"/>
      <c r="RN76" s="79"/>
      <c r="RO76" s="79"/>
      <c r="RP76" s="79"/>
      <c r="RQ76" s="79"/>
      <c r="RR76" s="79"/>
      <c r="RS76" s="79"/>
      <c r="RT76" s="79"/>
      <c r="RU76" s="79"/>
      <c r="RV76" s="79"/>
      <c r="RW76" s="79"/>
      <c r="RX76" s="79"/>
      <c r="RY76" s="79"/>
      <c r="RZ76" s="79"/>
      <c r="SA76" s="79"/>
      <c r="SB76" s="79"/>
      <c r="SC76" s="79"/>
      <c r="SD76" s="79"/>
      <c r="SE76" s="79"/>
      <c r="SF76" s="79"/>
      <c r="SG76" s="79"/>
      <c r="SH76" s="79"/>
      <c r="SI76" s="79"/>
      <c r="SJ76" s="79"/>
    </row>
    <row r="77" spans="2:504" x14ac:dyDescent="0.25">
      <c r="B77" s="35" t="str">
        <f>'Pay App 1'!B127</f>
        <v>14 40 00</v>
      </c>
      <c r="C77" s="27" t="str">
        <f>'Pay App 1'!C127</f>
        <v>Lifts</v>
      </c>
      <c r="D77" s="82">
        <f t="shared" ref="D77:D98" si="9">SUM(E77:SJ77)</f>
        <v>0</v>
      </c>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c r="AE77" s="79"/>
      <c r="AF77" s="79"/>
      <c r="AG77" s="79"/>
      <c r="AH77" s="79"/>
      <c r="AI77" s="79"/>
      <c r="AJ77" s="79"/>
      <c r="AK77" s="79"/>
      <c r="AL77" s="79"/>
      <c r="AM77" s="79"/>
      <c r="AN77" s="79"/>
      <c r="AO77" s="79"/>
      <c r="AP77" s="79"/>
      <c r="AQ77" s="79"/>
      <c r="AR77" s="79"/>
      <c r="AS77" s="79"/>
      <c r="AT77" s="79"/>
      <c r="AU77" s="79"/>
      <c r="AV77" s="79"/>
      <c r="AW77" s="79"/>
      <c r="AX77" s="79"/>
      <c r="AY77" s="79"/>
      <c r="AZ77" s="79"/>
      <c r="BA77" s="79"/>
      <c r="BB77" s="79"/>
      <c r="BC77" s="79"/>
      <c r="BD77" s="79"/>
      <c r="BE77" s="79"/>
      <c r="BF77" s="79"/>
      <c r="BG77" s="79"/>
      <c r="BH77" s="79"/>
      <c r="BI77" s="79"/>
      <c r="BJ77" s="79"/>
      <c r="BK77" s="79"/>
      <c r="BL77" s="79"/>
      <c r="BM77" s="79"/>
      <c r="BN77" s="79"/>
      <c r="BO77" s="79"/>
      <c r="BP77" s="79"/>
      <c r="BQ77" s="79"/>
      <c r="BR77" s="79"/>
      <c r="BS77" s="79"/>
      <c r="BT77" s="79"/>
      <c r="BU77" s="79"/>
      <c r="BV77" s="79"/>
      <c r="BW77" s="79"/>
      <c r="BX77" s="79"/>
      <c r="BY77" s="79"/>
      <c r="BZ77" s="79"/>
      <c r="CA77" s="79"/>
      <c r="CB77" s="79"/>
      <c r="CC77" s="79"/>
      <c r="CD77" s="79"/>
      <c r="CE77" s="79"/>
      <c r="CF77" s="79"/>
      <c r="CG77" s="79"/>
      <c r="CH77" s="79"/>
      <c r="CI77" s="79"/>
      <c r="CJ77" s="79"/>
      <c r="CK77" s="79"/>
      <c r="CL77" s="79"/>
      <c r="CM77" s="79"/>
      <c r="CN77" s="79"/>
      <c r="CO77" s="79"/>
      <c r="CP77" s="79"/>
      <c r="CQ77" s="79"/>
      <c r="CR77" s="79"/>
      <c r="CS77" s="79"/>
      <c r="CT77" s="79"/>
      <c r="CU77" s="79"/>
      <c r="CV77" s="79"/>
      <c r="CW77" s="79"/>
      <c r="CX77" s="79"/>
      <c r="CY77" s="79"/>
      <c r="CZ77" s="79"/>
      <c r="DA77" s="79"/>
      <c r="DB77" s="79"/>
      <c r="DC77" s="79"/>
      <c r="DD77" s="79"/>
      <c r="DE77" s="79"/>
      <c r="DF77" s="79"/>
      <c r="DG77" s="79"/>
      <c r="DH77" s="79"/>
      <c r="DI77" s="79"/>
      <c r="DJ77" s="79"/>
      <c r="DK77" s="79"/>
      <c r="DL77" s="79"/>
      <c r="DM77" s="79"/>
      <c r="DN77" s="79"/>
      <c r="DO77" s="79"/>
      <c r="DP77" s="79"/>
      <c r="DQ77" s="79"/>
      <c r="DR77" s="79"/>
      <c r="DS77" s="79"/>
      <c r="DT77" s="79"/>
      <c r="DU77" s="79"/>
      <c r="DV77" s="79"/>
      <c r="DW77" s="79"/>
      <c r="DX77" s="79"/>
      <c r="DY77" s="79"/>
      <c r="DZ77" s="79"/>
      <c r="EA77" s="79"/>
      <c r="EB77" s="79"/>
      <c r="EC77" s="79"/>
      <c r="ED77" s="79"/>
      <c r="EE77" s="79"/>
      <c r="EF77" s="79"/>
      <c r="EG77" s="79"/>
      <c r="EH77" s="79"/>
      <c r="EI77" s="79"/>
      <c r="EJ77" s="79"/>
      <c r="EK77" s="79"/>
      <c r="EL77" s="79"/>
      <c r="EM77" s="79"/>
      <c r="EN77" s="79"/>
      <c r="EO77" s="79"/>
      <c r="EP77" s="79"/>
      <c r="EQ77" s="79"/>
      <c r="ER77" s="79"/>
      <c r="ES77" s="79"/>
      <c r="ET77" s="79"/>
      <c r="EU77" s="79"/>
      <c r="EV77" s="79"/>
      <c r="EW77" s="79"/>
      <c r="EX77" s="79"/>
      <c r="EY77" s="79"/>
      <c r="EZ77" s="79"/>
      <c r="FA77" s="79"/>
      <c r="FB77" s="79"/>
      <c r="FC77" s="79"/>
      <c r="FD77" s="79"/>
      <c r="FE77" s="79"/>
      <c r="FF77" s="79"/>
      <c r="FG77" s="79"/>
      <c r="FH77" s="79"/>
      <c r="FI77" s="79"/>
      <c r="FJ77" s="79"/>
      <c r="FK77" s="79"/>
      <c r="FL77" s="79"/>
      <c r="FM77" s="79"/>
      <c r="FN77" s="79"/>
      <c r="FO77" s="79"/>
      <c r="FP77" s="79"/>
      <c r="FQ77" s="79"/>
      <c r="FR77" s="79"/>
      <c r="FS77" s="79"/>
      <c r="FT77" s="79"/>
      <c r="FU77" s="79"/>
      <c r="FV77" s="79"/>
      <c r="FW77" s="79"/>
      <c r="FX77" s="79"/>
      <c r="FY77" s="79"/>
      <c r="FZ77" s="79"/>
      <c r="GA77" s="79"/>
      <c r="GB77" s="79"/>
      <c r="GC77" s="79"/>
      <c r="GD77" s="79"/>
      <c r="GE77" s="79"/>
      <c r="GF77" s="79"/>
      <c r="GG77" s="79"/>
      <c r="GH77" s="79"/>
      <c r="GI77" s="79"/>
      <c r="GJ77" s="79"/>
      <c r="GK77" s="79"/>
      <c r="GL77" s="79"/>
      <c r="GM77" s="79"/>
      <c r="GN77" s="79"/>
      <c r="GO77" s="79"/>
      <c r="GP77" s="79"/>
      <c r="GQ77" s="79"/>
      <c r="GR77" s="79"/>
      <c r="GS77" s="79"/>
      <c r="GT77" s="79"/>
      <c r="GU77" s="79"/>
      <c r="GV77" s="79"/>
      <c r="GW77" s="79"/>
      <c r="GX77" s="79"/>
      <c r="GY77" s="79"/>
      <c r="GZ77" s="79"/>
      <c r="HA77" s="79"/>
      <c r="HB77" s="79"/>
      <c r="HC77" s="79"/>
      <c r="HD77" s="79"/>
      <c r="HE77" s="79"/>
      <c r="HF77" s="79"/>
      <c r="HG77" s="79"/>
      <c r="HH77" s="79"/>
      <c r="HI77" s="79"/>
      <c r="HJ77" s="79"/>
      <c r="HK77" s="79"/>
      <c r="HL77" s="79"/>
      <c r="HM77" s="79"/>
      <c r="HN77" s="79"/>
      <c r="HO77" s="79"/>
      <c r="HP77" s="79"/>
      <c r="HQ77" s="79"/>
      <c r="HR77" s="79"/>
      <c r="HS77" s="79"/>
      <c r="HT77" s="79"/>
      <c r="HU77" s="79"/>
      <c r="HV77" s="79"/>
      <c r="HW77" s="79"/>
      <c r="HX77" s="79"/>
      <c r="HY77" s="79"/>
      <c r="HZ77" s="79"/>
      <c r="IA77" s="79"/>
      <c r="IB77" s="79"/>
      <c r="IC77" s="79"/>
      <c r="ID77" s="79"/>
      <c r="IE77" s="79"/>
      <c r="IF77" s="79"/>
      <c r="IG77" s="79"/>
      <c r="IH77" s="79"/>
      <c r="II77" s="79"/>
      <c r="IJ77" s="79"/>
      <c r="IK77" s="79"/>
      <c r="IL77" s="79"/>
      <c r="IM77" s="79"/>
      <c r="IN77" s="79"/>
      <c r="IO77" s="79"/>
      <c r="IP77" s="79"/>
      <c r="IQ77" s="79"/>
      <c r="IR77" s="79"/>
      <c r="IS77" s="79"/>
      <c r="IT77" s="79"/>
      <c r="IU77" s="79"/>
      <c r="IV77" s="79"/>
      <c r="IW77" s="79"/>
      <c r="IX77" s="79"/>
      <c r="IY77" s="79"/>
      <c r="IZ77" s="79"/>
      <c r="JA77" s="79"/>
      <c r="JB77" s="79"/>
      <c r="JC77" s="79"/>
      <c r="JD77" s="79"/>
      <c r="JE77" s="79"/>
      <c r="JF77" s="79"/>
      <c r="JG77" s="79"/>
      <c r="JH77" s="79"/>
      <c r="JI77" s="79"/>
      <c r="JJ77" s="79"/>
      <c r="JK77" s="79"/>
      <c r="JL77" s="79"/>
      <c r="JM77" s="79"/>
      <c r="JN77" s="79"/>
      <c r="JO77" s="79"/>
      <c r="JP77" s="79"/>
      <c r="JQ77" s="79"/>
      <c r="JR77" s="79"/>
      <c r="JS77" s="79"/>
      <c r="JT77" s="79"/>
      <c r="JU77" s="79"/>
      <c r="JV77" s="79"/>
      <c r="JW77" s="79"/>
      <c r="JX77" s="79"/>
      <c r="JY77" s="79"/>
      <c r="JZ77" s="79"/>
      <c r="KA77" s="79"/>
      <c r="KB77" s="79"/>
      <c r="KC77" s="79"/>
      <c r="KD77" s="79"/>
      <c r="KE77" s="79"/>
      <c r="KF77" s="79"/>
      <c r="KG77" s="79"/>
      <c r="KH77" s="79"/>
      <c r="KI77" s="79"/>
      <c r="KJ77" s="79"/>
      <c r="KK77" s="79"/>
      <c r="KL77" s="79"/>
      <c r="KM77" s="79"/>
      <c r="KN77" s="79"/>
      <c r="KO77" s="79"/>
      <c r="KP77" s="79"/>
      <c r="KQ77" s="79"/>
      <c r="KR77" s="79"/>
      <c r="KS77" s="79"/>
      <c r="KT77" s="79"/>
      <c r="KU77" s="79"/>
      <c r="KV77" s="79"/>
      <c r="KW77" s="79"/>
      <c r="KX77" s="79"/>
      <c r="KY77" s="79"/>
      <c r="KZ77" s="79"/>
      <c r="LA77" s="79"/>
      <c r="LB77" s="79"/>
      <c r="LC77" s="79"/>
      <c r="LD77" s="79"/>
      <c r="LE77" s="79"/>
      <c r="LF77" s="79"/>
      <c r="LG77" s="79"/>
      <c r="LH77" s="79"/>
      <c r="LI77" s="79"/>
      <c r="LJ77" s="79"/>
      <c r="LK77" s="79"/>
      <c r="LL77" s="79"/>
      <c r="LM77" s="79"/>
      <c r="LN77" s="79"/>
      <c r="LO77" s="79"/>
      <c r="LP77" s="79"/>
      <c r="LQ77" s="79"/>
      <c r="LR77" s="79"/>
      <c r="LS77" s="79"/>
      <c r="LT77" s="79"/>
      <c r="LU77" s="79"/>
      <c r="LV77" s="79"/>
      <c r="LW77" s="79"/>
      <c r="LX77" s="79"/>
      <c r="LY77" s="79"/>
      <c r="LZ77" s="79"/>
      <c r="MA77" s="79"/>
      <c r="MB77" s="79"/>
      <c r="MC77" s="79"/>
      <c r="MD77" s="79"/>
      <c r="ME77" s="79"/>
      <c r="MF77" s="79"/>
      <c r="MG77" s="79"/>
      <c r="MH77" s="79"/>
      <c r="MI77" s="79"/>
      <c r="MJ77" s="79"/>
      <c r="MK77" s="79"/>
      <c r="ML77" s="79"/>
      <c r="MM77" s="79"/>
      <c r="MN77" s="79"/>
      <c r="MO77" s="79"/>
      <c r="MP77" s="79"/>
      <c r="MQ77" s="79"/>
      <c r="MR77" s="79"/>
      <c r="MS77" s="79"/>
      <c r="MT77" s="79"/>
      <c r="MU77" s="79"/>
      <c r="MV77" s="79"/>
      <c r="MW77" s="79"/>
      <c r="MX77" s="79"/>
      <c r="MY77" s="79"/>
      <c r="MZ77" s="79"/>
      <c r="NA77" s="79"/>
      <c r="NB77" s="79"/>
      <c r="NC77" s="79"/>
      <c r="ND77" s="79"/>
      <c r="NE77" s="79"/>
      <c r="NF77" s="79"/>
      <c r="NG77" s="79"/>
      <c r="NH77" s="79"/>
      <c r="NI77" s="79"/>
      <c r="NJ77" s="79"/>
      <c r="NK77" s="79"/>
      <c r="NL77" s="79"/>
      <c r="NM77" s="79"/>
      <c r="NN77" s="79"/>
      <c r="NO77" s="79"/>
      <c r="NP77" s="79"/>
      <c r="NQ77" s="79"/>
      <c r="NR77" s="79"/>
      <c r="NS77" s="79"/>
      <c r="NT77" s="79"/>
      <c r="NU77" s="79"/>
      <c r="NV77" s="79"/>
      <c r="NW77" s="79"/>
      <c r="NX77" s="79"/>
      <c r="NY77" s="79"/>
      <c r="NZ77" s="79"/>
      <c r="OA77" s="79"/>
      <c r="OB77" s="79"/>
      <c r="OC77" s="79"/>
      <c r="OD77" s="79"/>
      <c r="OE77" s="79"/>
      <c r="OF77" s="79"/>
      <c r="OG77" s="79"/>
      <c r="OH77" s="79"/>
      <c r="OI77" s="79"/>
      <c r="OJ77" s="79"/>
      <c r="OK77" s="79"/>
      <c r="OL77" s="79"/>
      <c r="OM77" s="79"/>
      <c r="ON77" s="79"/>
      <c r="OO77" s="79"/>
      <c r="OP77" s="79"/>
      <c r="OQ77" s="79"/>
      <c r="OR77" s="79"/>
      <c r="OS77" s="79"/>
      <c r="OT77" s="79"/>
      <c r="OU77" s="79"/>
      <c r="OV77" s="79"/>
      <c r="OW77" s="79"/>
      <c r="OX77" s="79"/>
      <c r="OY77" s="79"/>
      <c r="OZ77" s="79"/>
      <c r="PA77" s="79"/>
      <c r="PB77" s="79"/>
      <c r="PC77" s="79"/>
      <c r="PD77" s="79"/>
      <c r="PE77" s="79"/>
      <c r="PF77" s="79"/>
      <c r="PG77" s="79"/>
      <c r="PH77" s="79"/>
      <c r="PI77" s="79"/>
      <c r="PJ77" s="79"/>
      <c r="PK77" s="79"/>
      <c r="PL77" s="79"/>
      <c r="PM77" s="79"/>
      <c r="PN77" s="79"/>
      <c r="PO77" s="79"/>
      <c r="PP77" s="79"/>
      <c r="PQ77" s="79"/>
      <c r="PR77" s="79"/>
      <c r="PS77" s="79"/>
      <c r="PT77" s="79"/>
      <c r="PU77" s="79"/>
      <c r="PV77" s="79"/>
      <c r="PW77" s="79"/>
      <c r="PX77" s="79"/>
      <c r="PY77" s="79"/>
      <c r="PZ77" s="79"/>
      <c r="QA77" s="79"/>
      <c r="QB77" s="79"/>
      <c r="QC77" s="79"/>
      <c r="QD77" s="79"/>
      <c r="QE77" s="79"/>
      <c r="QF77" s="79"/>
      <c r="QG77" s="79"/>
      <c r="QH77" s="79"/>
      <c r="QI77" s="79"/>
      <c r="QJ77" s="79"/>
      <c r="QK77" s="79"/>
      <c r="QL77" s="79"/>
      <c r="QM77" s="79"/>
      <c r="QN77" s="79"/>
      <c r="QO77" s="79"/>
      <c r="QP77" s="79"/>
      <c r="QQ77" s="79"/>
      <c r="QR77" s="79"/>
      <c r="QS77" s="79"/>
      <c r="QT77" s="79"/>
      <c r="QU77" s="79"/>
      <c r="QV77" s="79"/>
      <c r="QW77" s="79"/>
      <c r="QX77" s="79"/>
      <c r="QY77" s="79"/>
      <c r="QZ77" s="79"/>
      <c r="RA77" s="79"/>
      <c r="RB77" s="79"/>
      <c r="RC77" s="79"/>
      <c r="RD77" s="79"/>
      <c r="RE77" s="79"/>
      <c r="RF77" s="79"/>
      <c r="RG77" s="79"/>
      <c r="RH77" s="79"/>
      <c r="RI77" s="79"/>
      <c r="RJ77" s="79"/>
      <c r="RK77" s="79"/>
      <c r="RL77" s="79"/>
      <c r="RM77" s="79"/>
      <c r="RN77" s="79"/>
      <c r="RO77" s="79"/>
      <c r="RP77" s="79"/>
      <c r="RQ77" s="79"/>
      <c r="RR77" s="79"/>
      <c r="RS77" s="79"/>
      <c r="RT77" s="79"/>
      <c r="RU77" s="79"/>
      <c r="RV77" s="79"/>
      <c r="RW77" s="79"/>
      <c r="RX77" s="79"/>
      <c r="RY77" s="79"/>
      <c r="RZ77" s="79"/>
      <c r="SA77" s="79"/>
      <c r="SB77" s="79"/>
      <c r="SC77" s="79"/>
      <c r="SD77" s="79"/>
      <c r="SE77" s="79"/>
      <c r="SF77" s="79"/>
      <c r="SG77" s="79"/>
      <c r="SH77" s="79"/>
      <c r="SI77" s="79"/>
      <c r="SJ77" s="79"/>
    </row>
    <row r="78" spans="2:504" x14ac:dyDescent="0.25">
      <c r="B78" s="36" t="str">
        <f>'Pay App 1'!B128</f>
        <v>20 00 00</v>
      </c>
      <c r="C78" s="37" t="str">
        <f>'Pay App 1'!C128</f>
        <v>Mechanical/Plumbing</v>
      </c>
      <c r="D78" s="82">
        <f t="shared" si="9"/>
        <v>0</v>
      </c>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0"/>
      <c r="AE78" s="80"/>
      <c r="AF78" s="80"/>
      <c r="AG78" s="80"/>
      <c r="AH78" s="80"/>
      <c r="AI78" s="80"/>
      <c r="AJ78" s="80"/>
      <c r="AK78" s="80"/>
      <c r="AL78" s="80"/>
      <c r="AM78" s="80"/>
      <c r="AN78" s="80"/>
      <c r="AO78" s="80"/>
      <c r="AP78" s="80"/>
      <c r="AQ78" s="80"/>
      <c r="AR78" s="80"/>
      <c r="AS78" s="80"/>
      <c r="AT78" s="80"/>
      <c r="AU78" s="80"/>
      <c r="AV78" s="80"/>
      <c r="AW78" s="80"/>
      <c r="AX78" s="80"/>
      <c r="AY78" s="80"/>
      <c r="AZ78" s="80"/>
      <c r="BA78" s="80"/>
      <c r="BB78" s="80"/>
      <c r="BC78" s="80"/>
      <c r="BD78" s="80"/>
      <c r="BE78" s="80"/>
      <c r="BF78" s="80"/>
      <c r="BG78" s="80"/>
      <c r="BH78" s="80"/>
      <c r="BI78" s="80"/>
      <c r="BJ78" s="80"/>
      <c r="BK78" s="80"/>
      <c r="BL78" s="80"/>
      <c r="BM78" s="80"/>
      <c r="BN78" s="80"/>
      <c r="BO78" s="80"/>
      <c r="BP78" s="80"/>
      <c r="BQ78" s="80"/>
      <c r="BR78" s="80"/>
      <c r="BS78" s="80"/>
      <c r="BT78" s="80"/>
      <c r="BU78" s="80"/>
      <c r="BV78" s="80"/>
      <c r="BW78" s="80"/>
      <c r="BX78" s="80"/>
      <c r="BY78" s="80"/>
      <c r="BZ78" s="80"/>
      <c r="CA78" s="80"/>
      <c r="CB78" s="80"/>
      <c r="CC78" s="80"/>
      <c r="CD78" s="80"/>
      <c r="CE78" s="80"/>
      <c r="CF78" s="80"/>
      <c r="CG78" s="80"/>
      <c r="CH78" s="80"/>
      <c r="CI78" s="80"/>
      <c r="CJ78" s="80"/>
      <c r="CK78" s="80"/>
      <c r="CL78" s="80"/>
      <c r="CM78" s="80"/>
      <c r="CN78" s="80"/>
      <c r="CO78" s="80"/>
      <c r="CP78" s="80"/>
      <c r="CQ78" s="80"/>
      <c r="CR78" s="80"/>
      <c r="CS78" s="80"/>
      <c r="CT78" s="80"/>
      <c r="CU78" s="80"/>
      <c r="CV78" s="80"/>
      <c r="CW78" s="80"/>
      <c r="CX78" s="80"/>
      <c r="CY78" s="80"/>
      <c r="CZ78" s="80"/>
      <c r="DA78" s="80"/>
      <c r="DB78" s="80"/>
      <c r="DC78" s="80"/>
      <c r="DD78" s="80"/>
      <c r="DE78" s="80"/>
      <c r="DF78" s="80"/>
      <c r="DG78" s="80"/>
      <c r="DH78" s="80"/>
      <c r="DI78" s="80"/>
      <c r="DJ78" s="80"/>
      <c r="DK78" s="80"/>
      <c r="DL78" s="80"/>
      <c r="DM78" s="80"/>
      <c r="DN78" s="80"/>
      <c r="DO78" s="80"/>
      <c r="DP78" s="80"/>
      <c r="DQ78" s="80"/>
      <c r="DR78" s="80"/>
      <c r="DS78" s="80"/>
      <c r="DT78" s="80"/>
      <c r="DU78" s="80"/>
      <c r="DV78" s="80"/>
      <c r="DW78" s="80"/>
      <c r="DX78" s="80"/>
      <c r="DY78" s="80"/>
      <c r="DZ78" s="80"/>
      <c r="EA78" s="80"/>
      <c r="EB78" s="80"/>
      <c r="EC78" s="80"/>
      <c r="ED78" s="80"/>
      <c r="EE78" s="80"/>
      <c r="EF78" s="80"/>
      <c r="EG78" s="80"/>
      <c r="EH78" s="80"/>
      <c r="EI78" s="80"/>
      <c r="EJ78" s="80"/>
      <c r="EK78" s="80"/>
      <c r="EL78" s="80"/>
      <c r="EM78" s="80"/>
      <c r="EN78" s="80"/>
      <c r="EO78" s="80"/>
      <c r="EP78" s="80"/>
      <c r="EQ78" s="80"/>
      <c r="ER78" s="80"/>
      <c r="ES78" s="80"/>
      <c r="ET78" s="80"/>
      <c r="EU78" s="80"/>
      <c r="EV78" s="80"/>
      <c r="EW78" s="80"/>
      <c r="EX78" s="80"/>
      <c r="EY78" s="80"/>
      <c r="EZ78" s="80"/>
      <c r="FA78" s="80"/>
      <c r="FB78" s="80"/>
      <c r="FC78" s="80"/>
      <c r="FD78" s="80"/>
      <c r="FE78" s="80"/>
      <c r="FF78" s="80"/>
      <c r="FG78" s="80"/>
      <c r="FH78" s="80"/>
      <c r="FI78" s="80"/>
      <c r="FJ78" s="80"/>
      <c r="FK78" s="80"/>
      <c r="FL78" s="80"/>
      <c r="FM78" s="80"/>
      <c r="FN78" s="80"/>
      <c r="FO78" s="80"/>
      <c r="FP78" s="80"/>
      <c r="FQ78" s="80"/>
      <c r="FR78" s="80"/>
      <c r="FS78" s="80"/>
      <c r="FT78" s="80"/>
      <c r="FU78" s="80"/>
      <c r="FV78" s="80"/>
      <c r="FW78" s="80"/>
      <c r="FX78" s="80"/>
      <c r="FY78" s="80"/>
      <c r="FZ78" s="80"/>
      <c r="GA78" s="80"/>
      <c r="GB78" s="80"/>
      <c r="GC78" s="80"/>
      <c r="GD78" s="80"/>
      <c r="GE78" s="80"/>
      <c r="GF78" s="80"/>
      <c r="GG78" s="80"/>
      <c r="GH78" s="80"/>
      <c r="GI78" s="80"/>
      <c r="GJ78" s="80"/>
      <c r="GK78" s="80"/>
      <c r="GL78" s="80"/>
      <c r="GM78" s="80"/>
      <c r="GN78" s="80"/>
      <c r="GO78" s="80"/>
      <c r="GP78" s="80"/>
      <c r="GQ78" s="80"/>
      <c r="GR78" s="80"/>
      <c r="GS78" s="80"/>
      <c r="GT78" s="80"/>
      <c r="GU78" s="80"/>
      <c r="GV78" s="80"/>
      <c r="GW78" s="80"/>
      <c r="GX78" s="80"/>
      <c r="GY78" s="80"/>
      <c r="GZ78" s="80"/>
      <c r="HA78" s="80"/>
      <c r="HB78" s="80"/>
      <c r="HC78" s="80"/>
      <c r="HD78" s="80"/>
      <c r="HE78" s="80"/>
      <c r="HF78" s="80"/>
      <c r="HG78" s="80"/>
      <c r="HH78" s="80"/>
      <c r="HI78" s="80"/>
      <c r="HJ78" s="80"/>
      <c r="HK78" s="80"/>
      <c r="HL78" s="80"/>
      <c r="HM78" s="80"/>
      <c r="HN78" s="80"/>
      <c r="HO78" s="80"/>
      <c r="HP78" s="80"/>
      <c r="HQ78" s="80"/>
      <c r="HR78" s="80"/>
      <c r="HS78" s="80"/>
      <c r="HT78" s="80"/>
      <c r="HU78" s="80"/>
      <c r="HV78" s="80"/>
      <c r="HW78" s="80"/>
      <c r="HX78" s="80"/>
      <c r="HY78" s="80"/>
      <c r="HZ78" s="80"/>
      <c r="IA78" s="80"/>
      <c r="IB78" s="80"/>
      <c r="IC78" s="80"/>
      <c r="ID78" s="80"/>
      <c r="IE78" s="80"/>
      <c r="IF78" s="80"/>
      <c r="IG78" s="80"/>
      <c r="IH78" s="80"/>
      <c r="II78" s="80"/>
      <c r="IJ78" s="80"/>
      <c r="IK78" s="80"/>
      <c r="IL78" s="80"/>
      <c r="IM78" s="80"/>
      <c r="IN78" s="80"/>
      <c r="IO78" s="80"/>
      <c r="IP78" s="80"/>
      <c r="IQ78" s="80"/>
      <c r="IR78" s="80"/>
      <c r="IS78" s="80"/>
      <c r="IT78" s="80"/>
      <c r="IU78" s="80"/>
      <c r="IV78" s="80"/>
      <c r="IW78" s="80"/>
      <c r="IX78" s="80"/>
      <c r="IY78" s="80"/>
      <c r="IZ78" s="80"/>
      <c r="JA78" s="80"/>
      <c r="JB78" s="80"/>
      <c r="JC78" s="80"/>
      <c r="JD78" s="80"/>
      <c r="JE78" s="80"/>
      <c r="JF78" s="80"/>
      <c r="JG78" s="80"/>
      <c r="JH78" s="80"/>
      <c r="JI78" s="80"/>
      <c r="JJ78" s="80"/>
      <c r="JK78" s="80"/>
      <c r="JL78" s="80"/>
      <c r="JM78" s="80"/>
      <c r="JN78" s="80"/>
      <c r="JO78" s="80"/>
      <c r="JP78" s="80"/>
      <c r="JQ78" s="80"/>
      <c r="JR78" s="80"/>
      <c r="JS78" s="80"/>
      <c r="JT78" s="80"/>
      <c r="JU78" s="80"/>
      <c r="JV78" s="80"/>
      <c r="JW78" s="80"/>
      <c r="JX78" s="80"/>
      <c r="JY78" s="80"/>
      <c r="JZ78" s="80"/>
      <c r="KA78" s="80"/>
      <c r="KB78" s="80"/>
      <c r="KC78" s="80"/>
      <c r="KD78" s="80"/>
      <c r="KE78" s="80"/>
      <c r="KF78" s="80"/>
      <c r="KG78" s="80"/>
      <c r="KH78" s="80"/>
      <c r="KI78" s="80"/>
      <c r="KJ78" s="80"/>
      <c r="KK78" s="80"/>
      <c r="KL78" s="80"/>
      <c r="KM78" s="80"/>
      <c r="KN78" s="80"/>
      <c r="KO78" s="80"/>
      <c r="KP78" s="80"/>
      <c r="KQ78" s="80"/>
      <c r="KR78" s="80"/>
      <c r="KS78" s="80"/>
      <c r="KT78" s="80"/>
      <c r="KU78" s="80"/>
      <c r="KV78" s="80"/>
      <c r="KW78" s="80"/>
      <c r="KX78" s="80"/>
      <c r="KY78" s="80"/>
      <c r="KZ78" s="80"/>
      <c r="LA78" s="80"/>
      <c r="LB78" s="80"/>
      <c r="LC78" s="80"/>
      <c r="LD78" s="80"/>
      <c r="LE78" s="80"/>
      <c r="LF78" s="80"/>
      <c r="LG78" s="80"/>
      <c r="LH78" s="80"/>
      <c r="LI78" s="80"/>
      <c r="LJ78" s="80"/>
      <c r="LK78" s="80"/>
      <c r="LL78" s="80"/>
      <c r="LM78" s="80"/>
      <c r="LN78" s="80"/>
      <c r="LO78" s="80"/>
      <c r="LP78" s="80"/>
      <c r="LQ78" s="80"/>
      <c r="LR78" s="80"/>
      <c r="LS78" s="80"/>
      <c r="LT78" s="80"/>
      <c r="LU78" s="80"/>
      <c r="LV78" s="80"/>
      <c r="LW78" s="80"/>
      <c r="LX78" s="80"/>
      <c r="LY78" s="80"/>
      <c r="LZ78" s="80"/>
      <c r="MA78" s="80"/>
      <c r="MB78" s="80"/>
      <c r="MC78" s="80"/>
      <c r="MD78" s="80"/>
      <c r="ME78" s="80"/>
      <c r="MF78" s="80"/>
      <c r="MG78" s="80"/>
      <c r="MH78" s="80"/>
      <c r="MI78" s="80"/>
      <c r="MJ78" s="80"/>
      <c r="MK78" s="80"/>
      <c r="ML78" s="80"/>
      <c r="MM78" s="80"/>
      <c r="MN78" s="80"/>
      <c r="MO78" s="80"/>
      <c r="MP78" s="80"/>
      <c r="MQ78" s="80"/>
      <c r="MR78" s="80"/>
      <c r="MS78" s="80"/>
      <c r="MT78" s="80"/>
      <c r="MU78" s="80"/>
      <c r="MV78" s="80"/>
      <c r="MW78" s="80"/>
      <c r="MX78" s="80"/>
      <c r="MY78" s="80"/>
      <c r="MZ78" s="80"/>
      <c r="NA78" s="80"/>
      <c r="NB78" s="80"/>
      <c r="NC78" s="80"/>
      <c r="ND78" s="80"/>
      <c r="NE78" s="80"/>
      <c r="NF78" s="80"/>
      <c r="NG78" s="80"/>
      <c r="NH78" s="80"/>
      <c r="NI78" s="80"/>
      <c r="NJ78" s="80"/>
      <c r="NK78" s="80"/>
      <c r="NL78" s="80"/>
      <c r="NM78" s="80"/>
      <c r="NN78" s="80"/>
      <c r="NO78" s="80"/>
      <c r="NP78" s="80"/>
      <c r="NQ78" s="80"/>
      <c r="NR78" s="80"/>
      <c r="NS78" s="80"/>
      <c r="NT78" s="80"/>
      <c r="NU78" s="80"/>
      <c r="NV78" s="80"/>
      <c r="NW78" s="80"/>
      <c r="NX78" s="80"/>
      <c r="NY78" s="80"/>
      <c r="NZ78" s="80"/>
      <c r="OA78" s="80"/>
      <c r="OB78" s="80"/>
      <c r="OC78" s="80"/>
      <c r="OD78" s="80"/>
      <c r="OE78" s="80"/>
      <c r="OF78" s="80"/>
      <c r="OG78" s="80"/>
      <c r="OH78" s="80"/>
      <c r="OI78" s="80"/>
      <c r="OJ78" s="80"/>
      <c r="OK78" s="80"/>
      <c r="OL78" s="80"/>
      <c r="OM78" s="80"/>
      <c r="ON78" s="80"/>
      <c r="OO78" s="80"/>
      <c r="OP78" s="80"/>
      <c r="OQ78" s="80"/>
      <c r="OR78" s="80"/>
      <c r="OS78" s="80"/>
      <c r="OT78" s="80"/>
      <c r="OU78" s="80"/>
      <c r="OV78" s="80"/>
      <c r="OW78" s="80"/>
      <c r="OX78" s="80"/>
      <c r="OY78" s="80"/>
      <c r="OZ78" s="80"/>
      <c r="PA78" s="80"/>
      <c r="PB78" s="80"/>
      <c r="PC78" s="80"/>
      <c r="PD78" s="80"/>
      <c r="PE78" s="80"/>
      <c r="PF78" s="80"/>
      <c r="PG78" s="80"/>
      <c r="PH78" s="80"/>
      <c r="PI78" s="80"/>
      <c r="PJ78" s="80"/>
      <c r="PK78" s="80"/>
      <c r="PL78" s="80"/>
      <c r="PM78" s="80"/>
      <c r="PN78" s="80"/>
      <c r="PO78" s="80"/>
      <c r="PP78" s="80"/>
      <c r="PQ78" s="80"/>
      <c r="PR78" s="80"/>
      <c r="PS78" s="80"/>
      <c r="PT78" s="80"/>
      <c r="PU78" s="80"/>
      <c r="PV78" s="80"/>
      <c r="PW78" s="80"/>
      <c r="PX78" s="80"/>
      <c r="PY78" s="80"/>
      <c r="PZ78" s="80"/>
      <c r="QA78" s="80"/>
      <c r="QB78" s="80"/>
      <c r="QC78" s="80"/>
      <c r="QD78" s="80"/>
      <c r="QE78" s="80"/>
      <c r="QF78" s="80"/>
      <c r="QG78" s="80"/>
      <c r="QH78" s="80"/>
      <c r="QI78" s="80"/>
      <c r="QJ78" s="80"/>
      <c r="QK78" s="80"/>
      <c r="QL78" s="80"/>
      <c r="QM78" s="80"/>
      <c r="QN78" s="80"/>
      <c r="QO78" s="80"/>
      <c r="QP78" s="80"/>
      <c r="QQ78" s="80"/>
      <c r="QR78" s="80"/>
      <c r="QS78" s="80"/>
      <c r="QT78" s="80"/>
      <c r="QU78" s="80"/>
      <c r="QV78" s="80"/>
      <c r="QW78" s="80"/>
      <c r="QX78" s="80"/>
      <c r="QY78" s="80"/>
      <c r="QZ78" s="80"/>
      <c r="RA78" s="80"/>
      <c r="RB78" s="80"/>
      <c r="RC78" s="80"/>
      <c r="RD78" s="80"/>
      <c r="RE78" s="80"/>
      <c r="RF78" s="80"/>
      <c r="RG78" s="80"/>
      <c r="RH78" s="80"/>
      <c r="RI78" s="80"/>
      <c r="RJ78" s="80"/>
      <c r="RK78" s="80"/>
      <c r="RL78" s="80"/>
      <c r="RM78" s="80"/>
      <c r="RN78" s="80"/>
      <c r="RO78" s="80"/>
      <c r="RP78" s="80"/>
      <c r="RQ78" s="80"/>
      <c r="RR78" s="80"/>
      <c r="RS78" s="80"/>
      <c r="RT78" s="80"/>
      <c r="RU78" s="80"/>
      <c r="RV78" s="80"/>
      <c r="RW78" s="80"/>
      <c r="RX78" s="80"/>
      <c r="RY78" s="80"/>
      <c r="RZ78" s="80"/>
      <c r="SA78" s="80"/>
      <c r="SB78" s="80"/>
      <c r="SC78" s="80"/>
      <c r="SD78" s="80"/>
      <c r="SE78" s="80"/>
      <c r="SF78" s="80"/>
      <c r="SG78" s="80"/>
      <c r="SH78" s="80"/>
      <c r="SI78" s="80"/>
      <c r="SJ78" s="80"/>
    </row>
    <row r="79" spans="2:504" x14ac:dyDescent="0.25">
      <c r="B79" s="46" t="str">
        <f>'Pay App 1'!B129</f>
        <v>21 00 00</v>
      </c>
      <c r="C79" s="47" t="str">
        <f>'Pay App 1'!C129</f>
        <v>Fire Sprinklers/Pumps</v>
      </c>
      <c r="D79" s="82">
        <f t="shared" si="9"/>
        <v>0</v>
      </c>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c r="AM79" s="79"/>
      <c r="AN79" s="79"/>
      <c r="AO79" s="79"/>
      <c r="AP79" s="79"/>
      <c r="AQ79" s="79"/>
      <c r="AR79" s="79"/>
      <c r="AS79" s="79"/>
      <c r="AT79" s="79"/>
      <c r="AU79" s="79"/>
      <c r="AV79" s="79"/>
      <c r="AW79" s="79"/>
      <c r="AX79" s="79"/>
      <c r="AY79" s="79"/>
      <c r="AZ79" s="79"/>
      <c r="BA79" s="79"/>
      <c r="BB79" s="79"/>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c r="IW79" s="79"/>
      <c r="IX79" s="79"/>
      <c r="IY79" s="79"/>
      <c r="IZ79" s="79"/>
      <c r="JA79" s="79"/>
      <c r="JB79" s="79"/>
      <c r="JC79" s="79"/>
      <c r="JD79" s="79"/>
      <c r="JE79" s="79"/>
      <c r="JF79" s="79"/>
      <c r="JG79" s="79"/>
      <c r="JH79" s="79"/>
      <c r="JI79" s="79"/>
      <c r="JJ79" s="79"/>
      <c r="JK79" s="79"/>
      <c r="JL79" s="79"/>
      <c r="JM79" s="79"/>
      <c r="JN79" s="79"/>
      <c r="JO79" s="79"/>
      <c r="JP79" s="79"/>
      <c r="JQ79" s="79"/>
      <c r="JR79" s="79"/>
      <c r="JS79" s="79"/>
      <c r="JT79" s="79"/>
      <c r="JU79" s="79"/>
      <c r="JV79" s="79"/>
      <c r="JW79" s="79"/>
      <c r="JX79" s="79"/>
      <c r="JY79" s="79"/>
      <c r="JZ79" s="79"/>
      <c r="KA79" s="79"/>
      <c r="KB79" s="79"/>
      <c r="KC79" s="79"/>
      <c r="KD79" s="79"/>
      <c r="KE79" s="79"/>
      <c r="KF79" s="79"/>
      <c r="KG79" s="79"/>
      <c r="KH79" s="79"/>
      <c r="KI79" s="79"/>
      <c r="KJ79" s="79"/>
      <c r="KK79" s="79"/>
      <c r="KL79" s="79"/>
      <c r="KM79" s="79"/>
      <c r="KN79" s="79"/>
      <c r="KO79" s="79"/>
      <c r="KP79" s="79"/>
      <c r="KQ79" s="79"/>
      <c r="KR79" s="79"/>
      <c r="KS79" s="79"/>
      <c r="KT79" s="79"/>
      <c r="KU79" s="79"/>
      <c r="KV79" s="79"/>
      <c r="KW79" s="79"/>
      <c r="KX79" s="79"/>
      <c r="KY79" s="79"/>
      <c r="KZ79" s="79"/>
      <c r="LA79" s="79"/>
      <c r="LB79" s="79"/>
      <c r="LC79" s="79"/>
      <c r="LD79" s="79"/>
      <c r="LE79" s="79"/>
      <c r="LF79" s="79"/>
      <c r="LG79" s="79"/>
      <c r="LH79" s="79"/>
      <c r="LI79" s="79"/>
      <c r="LJ79" s="79"/>
      <c r="LK79" s="79"/>
      <c r="LL79" s="79"/>
      <c r="LM79" s="79"/>
      <c r="LN79" s="79"/>
      <c r="LO79" s="79"/>
      <c r="LP79" s="79"/>
      <c r="LQ79" s="79"/>
      <c r="LR79" s="79"/>
      <c r="LS79" s="79"/>
      <c r="LT79" s="79"/>
      <c r="LU79" s="79"/>
      <c r="LV79" s="79"/>
      <c r="LW79" s="79"/>
      <c r="LX79" s="79"/>
      <c r="LY79" s="79"/>
      <c r="LZ79" s="79"/>
      <c r="MA79" s="79"/>
      <c r="MB79" s="79"/>
      <c r="MC79" s="79"/>
      <c r="MD79" s="79"/>
      <c r="ME79" s="79"/>
      <c r="MF79" s="79"/>
      <c r="MG79" s="79"/>
      <c r="MH79" s="79"/>
      <c r="MI79" s="79"/>
      <c r="MJ79" s="79"/>
      <c r="MK79" s="79"/>
      <c r="ML79" s="79"/>
      <c r="MM79" s="79"/>
      <c r="MN79" s="79"/>
      <c r="MO79" s="79"/>
      <c r="MP79" s="79"/>
      <c r="MQ79" s="79"/>
      <c r="MR79" s="79"/>
      <c r="MS79" s="79"/>
      <c r="MT79" s="79"/>
      <c r="MU79" s="79"/>
      <c r="MV79" s="79"/>
      <c r="MW79" s="79"/>
      <c r="MX79" s="79"/>
      <c r="MY79" s="79"/>
      <c r="MZ79" s="79"/>
      <c r="NA79" s="79"/>
      <c r="NB79" s="79"/>
      <c r="NC79" s="79"/>
      <c r="ND79" s="79"/>
      <c r="NE79" s="79"/>
      <c r="NF79" s="79"/>
      <c r="NG79" s="79"/>
      <c r="NH79" s="79"/>
      <c r="NI79" s="79"/>
      <c r="NJ79" s="79"/>
      <c r="NK79" s="79"/>
      <c r="NL79" s="79"/>
      <c r="NM79" s="79"/>
      <c r="NN79" s="79"/>
      <c r="NO79" s="79"/>
      <c r="NP79" s="79"/>
      <c r="NQ79" s="79"/>
      <c r="NR79" s="79"/>
      <c r="NS79" s="79"/>
      <c r="NT79" s="79"/>
      <c r="NU79" s="79"/>
      <c r="NV79" s="79"/>
      <c r="NW79" s="79"/>
      <c r="NX79" s="79"/>
      <c r="NY79" s="79"/>
      <c r="NZ79" s="79"/>
      <c r="OA79" s="79"/>
      <c r="OB79" s="79"/>
      <c r="OC79" s="79"/>
      <c r="OD79" s="79"/>
      <c r="OE79" s="79"/>
      <c r="OF79" s="79"/>
      <c r="OG79" s="79"/>
      <c r="OH79" s="79"/>
      <c r="OI79" s="79"/>
      <c r="OJ79" s="79"/>
      <c r="OK79" s="79"/>
      <c r="OL79" s="79"/>
      <c r="OM79" s="79"/>
      <c r="ON79" s="79"/>
      <c r="OO79" s="79"/>
      <c r="OP79" s="79"/>
      <c r="OQ79" s="79"/>
      <c r="OR79" s="79"/>
      <c r="OS79" s="79"/>
      <c r="OT79" s="79"/>
      <c r="OU79" s="79"/>
      <c r="OV79" s="79"/>
      <c r="OW79" s="79"/>
      <c r="OX79" s="79"/>
      <c r="OY79" s="79"/>
      <c r="OZ79" s="79"/>
      <c r="PA79" s="79"/>
      <c r="PB79" s="79"/>
      <c r="PC79" s="79"/>
      <c r="PD79" s="79"/>
      <c r="PE79" s="79"/>
      <c r="PF79" s="79"/>
      <c r="PG79" s="79"/>
      <c r="PH79" s="79"/>
      <c r="PI79" s="79"/>
      <c r="PJ79" s="79"/>
      <c r="PK79" s="79"/>
      <c r="PL79" s="79"/>
      <c r="PM79" s="79"/>
      <c r="PN79" s="79"/>
      <c r="PO79" s="79"/>
      <c r="PP79" s="79"/>
      <c r="PQ79" s="79"/>
      <c r="PR79" s="79"/>
      <c r="PS79" s="79"/>
      <c r="PT79" s="79"/>
      <c r="PU79" s="79"/>
      <c r="PV79" s="79"/>
      <c r="PW79" s="79"/>
      <c r="PX79" s="79"/>
      <c r="PY79" s="79"/>
      <c r="PZ79" s="79"/>
      <c r="QA79" s="79"/>
      <c r="QB79" s="79"/>
      <c r="QC79" s="79"/>
      <c r="QD79" s="79"/>
      <c r="QE79" s="79"/>
      <c r="QF79" s="79"/>
      <c r="QG79" s="79"/>
      <c r="QH79" s="79"/>
      <c r="QI79" s="79"/>
      <c r="QJ79" s="79"/>
      <c r="QK79" s="79"/>
      <c r="QL79" s="79"/>
      <c r="QM79" s="79"/>
      <c r="QN79" s="79"/>
      <c r="QO79" s="79"/>
      <c r="QP79" s="79"/>
      <c r="QQ79" s="79"/>
      <c r="QR79" s="79"/>
      <c r="QS79" s="79"/>
      <c r="QT79" s="79"/>
      <c r="QU79" s="79"/>
      <c r="QV79" s="79"/>
      <c r="QW79" s="79"/>
      <c r="QX79" s="79"/>
      <c r="QY79" s="79"/>
      <c r="QZ79" s="79"/>
      <c r="RA79" s="79"/>
      <c r="RB79" s="79"/>
      <c r="RC79" s="79"/>
      <c r="RD79" s="79"/>
      <c r="RE79" s="79"/>
      <c r="RF79" s="79"/>
      <c r="RG79" s="79"/>
      <c r="RH79" s="79"/>
      <c r="RI79" s="79"/>
      <c r="RJ79" s="79"/>
      <c r="RK79" s="79"/>
      <c r="RL79" s="79"/>
      <c r="RM79" s="79"/>
      <c r="RN79" s="79"/>
      <c r="RO79" s="79"/>
      <c r="RP79" s="79"/>
      <c r="RQ79" s="79"/>
      <c r="RR79" s="79"/>
      <c r="RS79" s="79"/>
      <c r="RT79" s="79"/>
      <c r="RU79" s="79"/>
      <c r="RV79" s="79"/>
      <c r="RW79" s="79"/>
      <c r="RX79" s="79"/>
      <c r="RY79" s="79"/>
      <c r="RZ79" s="79"/>
      <c r="SA79" s="79"/>
      <c r="SB79" s="79"/>
      <c r="SC79" s="79"/>
      <c r="SD79" s="79"/>
      <c r="SE79" s="79"/>
      <c r="SF79" s="79"/>
      <c r="SG79" s="79"/>
      <c r="SH79" s="79"/>
      <c r="SI79" s="79"/>
      <c r="SJ79" s="79"/>
    </row>
    <row r="80" spans="2:504" x14ac:dyDescent="0.25">
      <c r="B80" s="40" t="str">
        <f>'Pay App 1'!B130</f>
        <v>22 00 00</v>
      </c>
      <c r="C80" s="41" t="str">
        <f>'Pay App 1'!C130</f>
        <v>Plumbing</v>
      </c>
      <c r="D80" s="82">
        <f t="shared" si="9"/>
        <v>0</v>
      </c>
      <c r="E80" s="79"/>
      <c r="F80" s="79"/>
      <c r="G80" s="79"/>
      <c r="H80" s="79"/>
      <c r="I80" s="79"/>
      <c r="J80" s="79"/>
      <c r="K80" s="79"/>
      <c r="L80" s="79"/>
      <c r="M80" s="79"/>
      <c r="N80" s="79"/>
      <c r="O80" s="79"/>
      <c r="P80" s="79"/>
      <c r="Q80" s="79"/>
      <c r="R80" s="79"/>
      <c r="S80" s="79"/>
      <c r="T80" s="79"/>
      <c r="U80" s="79"/>
      <c r="V80" s="79"/>
      <c r="W80" s="79"/>
      <c r="X80" s="79"/>
      <c r="Y80" s="79"/>
      <c r="Z80" s="79"/>
      <c r="AA80" s="79"/>
      <c r="AB80" s="79"/>
      <c r="AC80" s="79"/>
      <c r="AD80" s="79"/>
      <c r="AE80" s="79"/>
      <c r="AF80" s="79"/>
      <c r="AG80" s="79"/>
      <c r="AH80" s="79"/>
      <c r="AI80" s="79"/>
      <c r="AJ80" s="79"/>
      <c r="AK80" s="79"/>
      <c r="AL80" s="79"/>
      <c r="AM80" s="79"/>
      <c r="AN80" s="79"/>
      <c r="AO80" s="79"/>
      <c r="AP80" s="79"/>
      <c r="AQ80" s="79"/>
      <c r="AR80" s="79"/>
      <c r="AS80" s="79"/>
      <c r="AT80" s="79"/>
      <c r="AU80" s="79"/>
      <c r="AV80" s="79"/>
      <c r="AW80" s="79"/>
      <c r="AX80" s="79"/>
      <c r="AY80" s="79"/>
      <c r="AZ80" s="79"/>
      <c r="BA80" s="79"/>
      <c r="BB80" s="79"/>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c r="IW80" s="79"/>
      <c r="IX80" s="79"/>
      <c r="IY80" s="79"/>
      <c r="IZ80" s="79"/>
      <c r="JA80" s="79"/>
      <c r="JB80" s="79"/>
      <c r="JC80" s="79"/>
      <c r="JD80" s="79"/>
      <c r="JE80" s="79"/>
      <c r="JF80" s="79"/>
      <c r="JG80" s="79"/>
      <c r="JH80" s="79"/>
      <c r="JI80" s="79"/>
      <c r="JJ80" s="79"/>
      <c r="JK80" s="79"/>
      <c r="JL80" s="79"/>
      <c r="JM80" s="79"/>
      <c r="JN80" s="79"/>
      <c r="JO80" s="79"/>
      <c r="JP80" s="79"/>
      <c r="JQ80" s="79"/>
      <c r="JR80" s="79"/>
      <c r="JS80" s="79"/>
      <c r="JT80" s="79"/>
      <c r="JU80" s="79"/>
      <c r="JV80" s="79"/>
      <c r="JW80" s="79"/>
      <c r="JX80" s="79"/>
      <c r="JY80" s="79"/>
      <c r="JZ80" s="79"/>
      <c r="KA80" s="79"/>
      <c r="KB80" s="79"/>
      <c r="KC80" s="79"/>
      <c r="KD80" s="79"/>
      <c r="KE80" s="79"/>
      <c r="KF80" s="79"/>
      <c r="KG80" s="79"/>
      <c r="KH80" s="79"/>
      <c r="KI80" s="79"/>
      <c r="KJ80" s="79"/>
      <c r="KK80" s="79"/>
      <c r="KL80" s="79"/>
      <c r="KM80" s="79"/>
      <c r="KN80" s="79"/>
      <c r="KO80" s="79"/>
      <c r="KP80" s="79"/>
      <c r="KQ80" s="79"/>
      <c r="KR80" s="79"/>
      <c r="KS80" s="79"/>
      <c r="KT80" s="79"/>
      <c r="KU80" s="79"/>
      <c r="KV80" s="79"/>
      <c r="KW80" s="79"/>
      <c r="KX80" s="79"/>
      <c r="KY80" s="79"/>
      <c r="KZ80" s="79"/>
      <c r="LA80" s="79"/>
      <c r="LB80" s="79"/>
      <c r="LC80" s="79"/>
      <c r="LD80" s="79"/>
      <c r="LE80" s="79"/>
      <c r="LF80" s="79"/>
      <c r="LG80" s="79"/>
      <c r="LH80" s="79"/>
      <c r="LI80" s="79"/>
      <c r="LJ80" s="79"/>
      <c r="LK80" s="79"/>
      <c r="LL80" s="79"/>
      <c r="LM80" s="79"/>
      <c r="LN80" s="79"/>
      <c r="LO80" s="79"/>
      <c r="LP80" s="79"/>
      <c r="LQ80" s="79"/>
      <c r="LR80" s="79"/>
      <c r="LS80" s="79"/>
      <c r="LT80" s="79"/>
      <c r="LU80" s="79"/>
      <c r="LV80" s="79"/>
      <c r="LW80" s="79"/>
      <c r="LX80" s="79"/>
      <c r="LY80" s="79"/>
      <c r="LZ80" s="79"/>
      <c r="MA80" s="79"/>
      <c r="MB80" s="79"/>
      <c r="MC80" s="79"/>
      <c r="MD80" s="79"/>
      <c r="ME80" s="79"/>
      <c r="MF80" s="79"/>
      <c r="MG80" s="79"/>
      <c r="MH80" s="79"/>
      <c r="MI80" s="79"/>
      <c r="MJ80" s="79"/>
      <c r="MK80" s="79"/>
      <c r="ML80" s="79"/>
      <c r="MM80" s="79"/>
      <c r="MN80" s="79"/>
      <c r="MO80" s="79"/>
      <c r="MP80" s="79"/>
      <c r="MQ80" s="79"/>
      <c r="MR80" s="79"/>
      <c r="MS80" s="79"/>
      <c r="MT80" s="79"/>
      <c r="MU80" s="79"/>
      <c r="MV80" s="79"/>
      <c r="MW80" s="79"/>
      <c r="MX80" s="79"/>
      <c r="MY80" s="79"/>
      <c r="MZ80" s="79"/>
      <c r="NA80" s="79"/>
      <c r="NB80" s="79"/>
      <c r="NC80" s="79"/>
      <c r="ND80" s="79"/>
      <c r="NE80" s="79"/>
      <c r="NF80" s="79"/>
      <c r="NG80" s="79"/>
      <c r="NH80" s="79"/>
      <c r="NI80" s="79"/>
      <c r="NJ80" s="79"/>
      <c r="NK80" s="79"/>
      <c r="NL80" s="79"/>
      <c r="NM80" s="79"/>
      <c r="NN80" s="79"/>
      <c r="NO80" s="79"/>
      <c r="NP80" s="79"/>
      <c r="NQ80" s="79"/>
      <c r="NR80" s="79"/>
      <c r="NS80" s="79"/>
      <c r="NT80" s="79"/>
      <c r="NU80" s="79"/>
      <c r="NV80" s="79"/>
      <c r="NW80" s="79"/>
      <c r="NX80" s="79"/>
      <c r="NY80" s="79"/>
      <c r="NZ80" s="79"/>
      <c r="OA80" s="79"/>
      <c r="OB80" s="79"/>
      <c r="OC80" s="79"/>
      <c r="OD80" s="79"/>
      <c r="OE80" s="79"/>
      <c r="OF80" s="79"/>
      <c r="OG80" s="79"/>
      <c r="OH80" s="79"/>
      <c r="OI80" s="79"/>
      <c r="OJ80" s="79"/>
      <c r="OK80" s="79"/>
      <c r="OL80" s="79"/>
      <c r="OM80" s="79"/>
      <c r="ON80" s="79"/>
      <c r="OO80" s="79"/>
      <c r="OP80" s="79"/>
      <c r="OQ80" s="79"/>
      <c r="OR80" s="79"/>
      <c r="OS80" s="79"/>
      <c r="OT80" s="79"/>
      <c r="OU80" s="79"/>
      <c r="OV80" s="79"/>
      <c r="OW80" s="79"/>
      <c r="OX80" s="79"/>
      <c r="OY80" s="79"/>
      <c r="OZ80" s="79"/>
      <c r="PA80" s="79"/>
      <c r="PB80" s="79"/>
      <c r="PC80" s="79"/>
      <c r="PD80" s="79"/>
      <c r="PE80" s="79"/>
      <c r="PF80" s="79"/>
      <c r="PG80" s="79"/>
      <c r="PH80" s="79"/>
      <c r="PI80" s="79"/>
      <c r="PJ80" s="79"/>
      <c r="PK80" s="79"/>
      <c r="PL80" s="79"/>
      <c r="PM80" s="79"/>
      <c r="PN80" s="79"/>
      <c r="PO80" s="79"/>
      <c r="PP80" s="79"/>
      <c r="PQ80" s="79"/>
      <c r="PR80" s="79"/>
      <c r="PS80" s="79"/>
      <c r="PT80" s="79"/>
      <c r="PU80" s="79"/>
      <c r="PV80" s="79"/>
      <c r="PW80" s="79"/>
      <c r="PX80" s="79"/>
      <c r="PY80" s="79"/>
      <c r="PZ80" s="79"/>
      <c r="QA80" s="79"/>
      <c r="QB80" s="79"/>
      <c r="QC80" s="79"/>
      <c r="QD80" s="79"/>
      <c r="QE80" s="79"/>
      <c r="QF80" s="79"/>
      <c r="QG80" s="79"/>
      <c r="QH80" s="79"/>
      <c r="QI80" s="79"/>
      <c r="QJ80" s="79"/>
      <c r="QK80" s="79"/>
      <c r="QL80" s="79"/>
      <c r="QM80" s="79"/>
      <c r="QN80" s="79"/>
      <c r="QO80" s="79"/>
      <c r="QP80" s="79"/>
      <c r="QQ80" s="79"/>
      <c r="QR80" s="79"/>
      <c r="QS80" s="79"/>
      <c r="QT80" s="79"/>
      <c r="QU80" s="79"/>
      <c r="QV80" s="79"/>
      <c r="QW80" s="79"/>
      <c r="QX80" s="79"/>
      <c r="QY80" s="79"/>
      <c r="QZ80" s="79"/>
      <c r="RA80" s="79"/>
      <c r="RB80" s="79"/>
      <c r="RC80" s="79"/>
      <c r="RD80" s="79"/>
      <c r="RE80" s="79"/>
      <c r="RF80" s="79"/>
      <c r="RG80" s="79"/>
      <c r="RH80" s="79"/>
      <c r="RI80" s="79"/>
      <c r="RJ80" s="79"/>
      <c r="RK80" s="79"/>
      <c r="RL80" s="79"/>
      <c r="RM80" s="79"/>
      <c r="RN80" s="79"/>
      <c r="RO80" s="79"/>
      <c r="RP80" s="79"/>
      <c r="RQ80" s="79"/>
      <c r="RR80" s="79"/>
      <c r="RS80" s="79"/>
      <c r="RT80" s="79"/>
      <c r="RU80" s="79"/>
      <c r="RV80" s="79"/>
      <c r="RW80" s="79"/>
      <c r="RX80" s="79"/>
      <c r="RY80" s="79"/>
      <c r="RZ80" s="79"/>
      <c r="SA80" s="79"/>
      <c r="SB80" s="79"/>
      <c r="SC80" s="79"/>
      <c r="SD80" s="79"/>
      <c r="SE80" s="79"/>
      <c r="SF80" s="79"/>
      <c r="SG80" s="79"/>
      <c r="SH80" s="79"/>
      <c r="SI80" s="79"/>
      <c r="SJ80" s="79"/>
    </row>
    <row r="81" spans="2:504" x14ac:dyDescent="0.25">
      <c r="B81" s="48" t="str">
        <f>'Pay App 1'!B131</f>
        <v>23 00 00</v>
      </c>
      <c r="C81" s="24" t="str">
        <f>'Pay App 1'!C131</f>
        <v>HVAC</v>
      </c>
      <c r="D81" s="82">
        <f t="shared" si="9"/>
        <v>0</v>
      </c>
      <c r="E81" s="79"/>
      <c r="F81" s="79"/>
      <c r="G81" s="79"/>
      <c r="H81" s="79"/>
      <c r="I81" s="79"/>
      <c r="J81" s="79"/>
      <c r="K81" s="79"/>
      <c r="L81" s="79"/>
      <c r="M81" s="79"/>
      <c r="N81" s="79"/>
      <c r="O81" s="79"/>
      <c r="P81" s="79"/>
      <c r="Q81" s="79"/>
      <c r="R81" s="79"/>
      <c r="S81" s="79"/>
      <c r="T81" s="79"/>
      <c r="U81" s="79"/>
      <c r="V81" s="79"/>
      <c r="W81" s="79"/>
      <c r="X81" s="79"/>
      <c r="Y81" s="79"/>
      <c r="Z81" s="79"/>
      <c r="AA81" s="79"/>
      <c r="AB81" s="79"/>
      <c r="AC81" s="79"/>
      <c r="AD81" s="79"/>
      <c r="AE81" s="79"/>
      <c r="AF81" s="79"/>
      <c r="AG81" s="79"/>
      <c r="AH81" s="79"/>
      <c r="AI81" s="79"/>
      <c r="AJ81" s="79"/>
      <c r="AK81" s="79"/>
      <c r="AL81" s="79"/>
      <c r="AM81" s="79"/>
      <c r="AN81" s="79"/>
      <c r="AO81" s="79"/>
      <c r="AP81" s="79"/>
      <c r="AQ81" s="79"/>
      <c r="AR81" s="79"/>
      <c r="AS81" s="79"/>
      <c r="AT81" s="79"/>
      <c r="AU81" s="79"/>
      <c r="AV81" s="79"/>
      <c r="AW81" s="79"/>
      <c r="AX81" s="79"/>
      <c r="AY81" s="79"/>
      <c r="AZ81" s="79"/>
      <c r="BA81" s="79"/>
      <c r="BB81" s="79"/>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c r="IW81" s="79"/>
      <c r="IX81" s="79"/>
      <c r="IY81" s="79"/>
      <c r="IZ81" s="79"/>
      <c r="JA81" s="79"/>
      <c r="JB81" s="79"/>
      <c r="JC81" s="79"/>
      <c r="JD81" s="79"/>
      <c r="JE81" s="79"/>
      <c r="JF81" s="79"/>
      <c r="JG81" s="79"/>
      <c r="JH81" s="79"/>
      <c r="JI81" s="79"/>
      <c r="JJ81" s="79"/>
      <c r="JK81" s="79"/>
      <c r="JL81" s="79"/>
      <c r="JM81" s="79"/>
      <c r="JN81" s="79"/>
      <c r="JO81" s="79"/>
      <c r="JP81" s="79"/>
      <c r="JQ81" s="79"/>
      <c r="JR81" s="79"/>
      <c r="JS81" s="79"/>
      <c r="JT81" s="79"/>
      <c r="JU81" s="79"/>
      <c r="JV81" s="79"/>
      <c r="JW81" s="79"/>
      <c r="JX81" s="79"/>
      <c r="JY81" s="79"/>
      <c r="JZ81" s="79"/>
      <c r="KA81" s="79"/>
      <c r="KB81" s="79"/>
      <c r="KC81" s="79"/>
      <c r="KD81" s="79"/>
      <c r="KE81" s="79"/>
      <c r="KF81" s="79"/>
      <c r="KG81" s="79"/>
      <c r="KH81" s="79"/>
      <c r="KI81" s="79"/>
      <c r="KJ81" s="79"/>
      <c r="KK81" s="79"/>
      <c r="KL81" s="79"/>
      <c r="KM81" s="79"/>
      <c r="KN81" s="79"/>
      <c r="KO81" s="79"/>
      <c r="KP81" s="79"/>
      <c r="KQ81" s="79"/>
      <c r="KR81" s="79"/>
      <c r="KS81" s="79"/>
      <c r="KT81" s="79"/>
      <c r="KU81" s="79"/>
      <c r="KV81" s="79"/>
      <c r="KW81" s="79"/>
      <c r="KX81" s="79"/>
      <c r="KY81" s="79"/>
      <c r="KZ81" s="79"/>
      <c r="LA81" s="79"/>
      <c r="LB81" s="79"/>
      <c r="LC81" s="79"/>
      <c r="LD81" s="79"/>
      <c r="LE81" s="79"/>
      <c r="LF81" s="79"/>
      <c r="LG81" s="79"/>
      <c r="LH81" s="79"/>
      <c r="LI81" s="79"/>
      <c r="LJ81" s="79"/>
      <c r="LK81" s="79"/>
      <c r="LL81" s="79"/>
      <c r="LM81" s="79"/>
      <c r="LN81" s="79"/>
      <c r="LO81" s="79"/>
      <c r="LP81" s="79"/>
      <c r="LQ81" s="79"/>
      <c r="LR81" s="79"/>
      <c r="LS81" s="79"/>
      <c r="LT81" s="79"/>
      <c r="LU81" s="79"/>
      <c r="LV81" s="79"/>
      <c r="LW81" s="79"/>
      <c r="LX81" s="79"/>
      <c r="LY81" s="79"/>
      <c r="LZ81" s="79"/>
      <c r="MA81" s="79"/>
      <c r="MB81" s="79"/>
      <c r="MC81" s="79"/>
      <c r="MD81" s="79"/>
      <c r="ME81" s="79"/>
      <c r="MF81" s="79"/>
      <c r="MG81" s="79"/>
      <c r="MH81" s="79"/>
      <c r="MI81" s="79"/>
      <c r="MJ81" s="79"/>
      <c r="MK81" s="79"/>
      <c r="ML81" s="79"/>
      <c r="MM81" s="79"/>
      <c r="MN81" s="79"/>
      <c r="MO81" s="79"/>
      <c r="MP81" s="79"/>
      <c r="MQ81" s="79"/>
      <c r="MR81" s="79"/>
      <c r="MS81" s="79"/>
      <c r="MT81" s="79"/>
      <c r="MU81" s="79"/>
      <c r="MV81" s="79"/>
      <c r="MW81" s="79"/>
      <c r="MX81" s="79"/>
      <c r="MY81" s="79"/>
      <c r="MZ81" s="79"/>
      <c r="NA81" s="79"/>
      <c r="NB81" s="79"/>
      <c r="NC81" s="79"/>
      <c r="ND81" s="79"/>
      <c r="NE81" s="79"/>
      <c r="NF81" s="79"/>
      <c r="NG81" s="79"/>
      <c r="NH81" s="79"/>
      <c r="NI81" s="79"/>
      <c r="NJ81" s="79"/>
      <c r="NK81" s="79"/>
      <c r="NL81" s="79"/>
      <c r="NM81" s="79"/>
      <c r="NN81" s="79"/>
      <c r="NO81" s="79"/>
      <c r="NP81" s="79"/>
      <c r="NQ81" s="79"/>
      <c r="NR81" s="79"/>
      <c r="NS81" s="79"/>
      <c r="NT81" s="79"/>
      <c r="NU81" s="79"/>
      <c r="NV81" s="79"/>
      <c r="NW81" s="79"/>
      <c r="NX81" s="79"/>
      <c r="NY81" s="79"/>
      <c r="NZ81" s="79"/>
      <c r="OA81" s="79"/>
      <c r="OB81" s="79"/>
      <c r="OC81" s="79"/>
      <c r="OD81" s="79"/>
      <c r="OE81" s="79"/>
      <c r="OF81" s="79"/>
      <c r="OG81" s="79"/>
      <c r="OH81" s="79"/>
      <c r="OI81" s="79"/>
      <c r="OJ81" s="79"/>
      <c r="OK81" s="79"/>
      <c r="OL81" s="79"/>
      <c r="OM81" s="79"/>
      <c r="ON81" s="79"/>
      <c r="OO81" s="79"/>
      <c r="OP81" s="79"/>
      <c r="OQ81" s="79"/>
      <c r="OR81" s="79"/>
      <c r="OS81" s="79"/>
      <c r="OT81" s="79"/>
      <c r="OU81" s="79"/>
      <c r="OV81" s="79"/>
      <c r="OW81" s="79"/>
      <c r="OX81" s="79"/>
      <c r="OY81" s="79"/>
      <c r="OZ81" s="79"/>
      <c r="PA81" s="79"/>
      <c r="PB81" s="79"/>
      <c r="PC81" s="79"/>
      <c r="PD81" s="79"/>
      <c r="PE81" s="79"/>
      <c r="PF81" s="79"/>
      <c r="PG81" s="79"/>
      <c r="PH81" s="79"/>
      <c r="PI81" s="79"/>
      <c r="PJ81" s="79"/>
      <c r="PK81" s="79"/>
      <c r="PL81" s="79"/>
      <c r="PM81" s="79"/>
      <c r="PN81" s="79"/>
      <c r="PO81" s="79"/>
      <c r="PP81" s="79"/>
      <c r="PQ81" s="79"/>
      <c r="PR81" s="79"/>
      <c r="PS81" s="79"/>
      <c r="PT81" s="79"/>
      <c r="PU81" s="79"/>
      <c r="PV81" s="79"/>
      <c r="PW81" s="79"/>
      <c r="PX81" s="79"/>
      <c r="PY81" s="79"/>
      <c r="PZ81" s="79"/>
      <c r="QA81" s="79"/>
      <c r="QB81" s="79"/>
      <c r="QC81" s="79"/>
      <c r="QD81" s="79"/>
      <c r="QE81" s="79"/>
      <c r="QF81" s="79"/>
      <c r="QG81" s="79"/>
      <c r="QH81" s="79"/>
      <c r="QI81" s="79"/>
      <c r="QJ81" s="79"/>
      <c r="QK81" s="79"/>
      <c r="QL81" s="79"/>
      <c r="QM81" s="79"/>
      <c r="QN81" s="79"/>
      <c r="QO81" s="79"/>
      <c r="QP81" s="79"/>
      <c r="QQ81" s="79"/>
      <c r="QR81" s="79"/>
      <c r="QS81" s="79"/>
      <c r="QT81" s="79"/>
      <c r="QU81" s="79"/>
      <c r="QV81" s="79"/>
      <c r="QW81" s="79"/>
      <c r="QX81" s="79"/>
      <c r="QY81" s="79"/>
      <c r="QZ81" s="79"/>
      <c r="RA81" s="79"/>
      <c r="RB81" s="79"/>
      <c r="RC81" s="79"/>
      <c r="RD81" s="79"/>
      <c r="RE81" s="79"/>
      <c r="RF81" s="79"/>
      <c r="RG81" s="79"/>
      <c r="RH81" s="79"/>
      <c r="RI81" s="79"/>
      <c r="RJ81" s="79"/>
      <c r="RK81" s="79"/>
      <c r="RL81" s="79"/>
      <c r="RM81" s="79"/>
      <c r="RN81" s="79"/>
      <c r="RO81" s="79"/>
      <c r="RP81" s="79"/>
      <c r="RQ81" s="79"/>
      <c r="RR81" s="79"/>
      <c r="RS81" s="79"/>
      <c r="RT81" s="79"/>
      <c r="RU81" s="79"/>
      <c r="RV81" s="79"/>
      <c r="RW81" s="79"/>
      <c r="RX81" s="79"/>
      <c r="RY81" s="79"/>
      <c r="RZ81" s="79"/>
      <c r="SA81" s="79"/>
      <c r="SB81" s="79"/>
      <c r="SC81" s="79"/>
      <c r="SD81" s="79"/>
      <c r="SE81" s="79"/>
      <c r="SF81" s="79"/>
      <c r="SG81" s="79"/>
      <c r="SH81" s="79"/>
      <c r="SI81" s="79"/>
      <c r="SJ81" s="79"/>
    </row>
    <row r="82" spans="2:504" x14ac:dyDescent="0.25">
      <c r="B82" s="49" t="str">
        <f>'Pay App 1'!B132</f>
        <v>26 00 00</v>
      </c>
      <c r="C82" s="25" t="str">
        <f>'Pay App 1'!C132</f>
        <v>Electrical</v>
      </c>
      <c r="D82" s="82">
        <f t="shared" si="9"/>
        <v>0</v>
      </c>
      <c r="E82" s="79"/>
      <c r="F82" s="79"/>
      <c r="G82" s="79"/>
      <c r="H82" s="79"/>
      <c r="I82" s="79"/>
      <c r="J82" s="79"/>
      <c r="K82" s="79"/>
      <c r="L82" s="79"/>
      <c r="M82" s="79"/>
      <c r="N82" s="79"/>
      <c r="O82" s="79"/>
      <c r="P82" s="79"/>
      <c r="Q82" s="79"/>
      <c r="R82" s="79"/>
      <c r="S82" s="79"/>
      <c r="T82" s="79"/>
      <c r="U82" s="79"/>
      <c r="V82" s="79"/>
      <c r="W82" s="79"/>
      <c r="X82" s="79"/>
      <c r="Y82" s="79"/>
      <c r="Z82" s="79"/>
      <c r="AA82" s="79"/>
      <c r="AB82" s="79"/>
      <c r="AC82" s="79"/>
      <c r="AD82" s="79"/>
      <c r="AE82" s="79"/>
      <c r="AF82" s="79"/>
      <c r="AG82" s="79"/>
      <c r="AH82" s="79"/>
      <c r="AI82" s="79"/>
      <c r="AJ82" s="79"/>
      <c r="AK82" s="79"/>
      <c r="AL82" s="79"/>
      <c r="AM82" s="79"/>
      <c r="AN82" s="79"/>
      <c r="AO82" s="79"/>
      <c r="AP82" s="79"/>
      <c r="AQ82" s="79"/>
      <c r="AR82" s="79"/>
      <c r="AS82" s="79"/>
      <c r="AT82" s="79"/>
      <c r="AU82" s="79"/>
      <c r="AV82" s="79"/>
      <c r="AW82" s="79"/>
      <c r="AX82" s="79"/>
      <c r="AY82" s="79"/>
      <c r="AZ82" s="79"/>
      <c r="BA82" s="79"/>
      <c r="BB82" s="79"/>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c r="IW82" s="79"/>
      <c r="IX82" s="79"/>
      <c r="IY82" s="79"/>
      <c r="IZ82" s="79"/>
      <c r="JA82" s="79"/>
      <c r="JB82" s="79"/>
      <c r="JC82" s="79"/>
      <c r="JD82" s="79"/>
      <c r="JE82" s="79"/>
      <c r="JF82" s="79"/>
      <c r="JG82" s="79"/>
      <c r="JH82" s="79"/>
      <c r="JI82" s="79"/>
      <c r="JJ82" s="79"/>
      <c r="JK82" s="79"/>
      <c r="JL82" s="79"/>
      <c r="JM82" s="79"/>
      <c r="JN82" s="79"/>
      <c r="JO82" s="79"/>
      <c r="JP82" s="79"/>
      <c r="JQ82" s="79"/>
      <c r="JR82" s="79"/>
      <c r="JS82" s="79"/>
      <c r="JT82" s="79"/>
      <c r="JU82" s="79"/>
      <c r="JV82" s="79"/>
      <c r="JW82" s="79"/>
      <c r="JX82" s="79"/>
      <c r="JY82" s="79"/>
      <c r="JZ82" s="79"/>
      <c r="KA82" s="79"/>
      <c r="KB82" s="79"/>
      <c r="KC82" s="79"/>
      <c r="KD82" s="79"/>
      <c r="KE82" s="79"/>
      <c r="KF82" s="79"/>
      <c r="KG82" s="79"/>
      <c r="KH82" s="79"/>
      <c r="KI82" s="79"/>
      <c r="KJ82" s="79"/>
      <c r="KK82" s="79"/>
      <c r="KL82" s="79"/>
      <c r="KM82" s="79"/>
      <c r="KN82" s="79"/>
      <c r="KO82" s="79"/>
      <c r="KP82" s="79"/>
      <c r="KQ82" s="79"/>
      <c r="KR82" s="79"/>
      <c r="KS82" s="79"/>
      <c r="KT82" s="79"/>
      <c r="KU82" s="79"/>
      <c r="KV82" s="79"/>
      <c r="KW82" s="79"/>
      <c r="KX82" s="79"/>
      <c r="KY82" s="79"/>
      <c r="KZ82" s="79"/>
      <c r="LA82" s="79"/>
      <c r="LB82" s="79"/>
      <c r="LC82" s="79"/>
      <c r="LD82" s="79"/>
      <c r="LE82" s="79"/>
      <c r="LF82" s="79"/>
      <c r="LG82" s="79"/>
      <c r="LH82" s="79"/>
      <c r="LI82" s="79"/>
      <c r="LJ82" s="79"/>
      <c r="LK82" s="79"/>
      <c r="LL82" s="79"/>
      <c r="LM82" s="79"/>
      <c r="LN82" s="79"/>
      <c r="LO82" s="79"/>
      <c r="LP82" s="79"/>
      <c r="LQ82" s="79"/>
      <c r="LR82" s="79"/>
      <c r="LS82" s="79"/>
      <c r="LT82" s="79"/>
      <c r="LU82" s="79"/>
      <c r="LV82" s="79"/>
      <c r="LW82" s="79"/>
      <c r="LX82" s="79"/>
      <c r="LY82" s="79"/>
      <c r="LZ82" s="79"/>
      <c r="MA82" s="79"/>
      <c r="MB82" s="79"/>
      <c r="MC82" s="79"/>
      <c r="MD82" s="79"/>
      <c r="ME82" s="79"/>
      <c r="MF82" s="79"/>
      <c r="MG82" s="79"/>
      <c r="MH82" s="79"/>
      <c r="MI82" s="79"/>
      <c r="MJ82" s="79"/>
      <c r="MK82" s="79"/>
      <c r="ML82" s="79"/>
      <c r="MM82" s="79"/>
      <c r="MN82" s="79"/>
      <c r="MO82" s="79"/>
      <c r="MP82" s="79"/>
      <c r="MQ82" s="79"/>
      <c r="MR82" s="79"/>
      <c r="MS82" s="79"/>
      <c r="MT82" s="79"/>
      <c r="MU82" s="79"/>
      <c r="MV82" s="79"/>
      <c r="MW82" s="79"/>
      <c r="MX82" s="79"/>
      <c r="MY82" s="79"/>
      <c r="MZ82" s="79"/>
      <c r="NA82" s="79"/>
      <c r="NB82" s="79"/>
      <c r="NC82" s="79"/>
      <c r="ND82" s="79"/>
      <c r="NE82" s="79"/>
      <c r="NF82" s="79"/>
      <c r="NG82" s="79"/>
      <c r="NH82" s="79"/>
      <c r="NI82" s="79"/>
      <c r="NJ82" s="79"/>
      <c r="NK82" s="79"/>
      <c r="NL82" s="79"/>
      <c r="NM82" s="79"/>
      <c r="NN82" s="79"/>
      <c r="NO82" s="79"/>
      <c r="NP82" s="79"/>
      <c r="NQ82" s="79"/>
      <c r="NR82" s="79"/>
      <c r="NS82" s="79"/>
      <c r="NT82" s="79"/>
      <c r="NU82" s="79"/>
      <c r="NV82" s="79"/>
      <c r="NW82" s="79"/>
      <c r="NX82" s="79"/>
      <c r="NY82" s="79"/>
      <c r="NZ82" s="79"/>
      <c r="OA82" s="79"/>
      <c r="OB82" s="79"/>
      <c r="OC82" s="79"/>
      <c r="OD82" s="79"/>
      <c r="OE82" s="79"/>
      <c r="OF82" s="79"/>
      <c r="OG82" s="79"/>
      <c r="OH82" s="79"/>
      <c r="OI82" s="79"/>
      <c r="OJ82" s="79"/>
      <c r="OK82" s="79"/>
      <c r="OL82" s="79"/>
      <c r="OM82" s="79"/>
      <c r="ON82" s="79"/>
      <c r="OO82" s="79"/>
      <c r="OP82" s="79"/>
      <c r="OQ82" s="79"/>
      <c r="OR82" s="79"/>
      <c r="OS82" s="79"/>
      <c r="OT82" s="79"/>
      <c r="OU82" s="79"/>
      <c r="OV82" s="79"/>
      <c r="OW82" s="79"/>
      <c r="OX82" s="79"/>
      <c r="OY82" s="79"/>
      <c r="OZ82" s="79"/>
      <c r="PA82" s="79"/>
      <c r="PB82" s="79"/>
      <c r="PC82" s="79"/>
      <c r="PD82" s="79"/>
      <c r="PE82" s="79"/>
      <c r="PF82" s="79"/>
      <c r="PG82" s="79"/>
      <c r="PH82" s="79"/>
      <c r="PI82" s="79"/>
      <c r="PJ82" s="79"/>
      <c r="PK82" s="79"/>
      <c r="PL82" s="79"/>
      <c r="PM82" s="79"/>
      <c r="PN82" s="79"/>
      <c r="PO82" s="79"/>
      <c r="PP82" s="79"/>
      <c r="PQ82" s="79"/>
      <c r="PR82" s="79"/>
      <c r="PS82" s="79"/>
      <c r="PT82" s="79"/>
      <c r="PU82" s="79"/>
      <c r="PV82" s="79"/>
      <c r="PW82" s="79"/>
      <c r="PX82" s="79"/>
      <c r="PY82" s="79"/>
      <c r="PZ82" s="79"/>
      <c r="QA82" s="79"/>
      <c r="QB82" s="79"/>
      <c r="QC82" s="79"/>
      <c r="QD82" s="79"/>
      <c r="QE82" s="79"/>
      <c r="QF82" s="79"/>
      <c r="QG82" s="79"/>
      <c r="QH82" s="79"/>
      <c r="QI82" s="79"/>
      <c r="QJ82" s="79"/>
      <c r="QK82" s="79"/>
      <c r="QL82" s="79"/>
      <c r="QM82" s="79"/>
      <c r="QN82" s="79"/>
      <c r="QO82" s="79"/>
      <c r="QP82" s="79"/>
      <c r="QQ82" s="79"/>
      <c r="QR82" s="79"/>
      <c r="QS82" s="79"/>
      <c r="QT82" s="79"/>
      <c r="QU82" s="79"/>
      <c r="QV82" s="79"/>
      <c r="QW82" s="79"/>
      <c r="QX82" s="79"/>
      <c r="QY82" s="79"/>
      <c r="QZ82" s="79"/>
      <c r="RA82" s="79"/>
      <c r="RB82" s="79"/>
      <c r="RC82" s="79"/>
      <c r="RD82" s="79"/>
      <c r="RE82" s="79"/>
      <c r="RF82" s="79"/>
      <c r="RG82" s="79"/>
      <c r="RH82" s="79"/>
      <c r="RI82" s="79"/>
      <c r="RJ82" s="79"/>
      <c r="RK82" s="79"/>
      <c r="RL82" s="79"/>
      <c r="RM82" s="79"/>
      <c r="RN82" s="79"/>
      <c r="RO82" s="79"/>
      <c r="RP82" s="79"/>
      <c r="RQ82" s="79"/>
      <c r="RR82" s="79"/>
      <c r="RS82" s="79"/>
      <c r="RT82" s="79"/>
      <c r="RU82" s="79"/>
      <c r="RV82" s="79"/>
      <c r="RW82" s="79"/>
      <c r="RX82" s="79"/>
      <c r="RY82" s="79"/>
      <c r="RZ82" s="79"/>
      <c r="SA82" s="79"/>
      <c r="SB82" s="79"/>
      <c r="SC82" s="79"/>
      <c r="SD82" s="79"/>
      <c r="SE82" s="79"/>
      <c r="SF82" s="79"/>
      <c r="SG82" s="79"/>
      <c r="SH82" s="79"/>
      <c r="SI82" s="79"/>
      <c r="SJ82" s="79"/>
    </row>
    <row r="83" spans="2:504" x14ac:dyDescent="0.25">
      <c r="B83" s="35" t="str">
        <f>'Pay App 1'!B133</f>
        <v>27 00 00</v>
      </c>
      <c r="C83" s="27" t="str">
        <f>'Pay App 1'!C133</f>
        <v>AV/IT/Cabling</v>
      </c>
      <c r="D83" s="82">
        <f t="shared" si="9"/>
        <v>0</v>
      </c>
      <c r="E83" s="79"/>
      <c r="F83" s="79"/>
      <c r="G83" s="79"/>
      <c r="H83" s="79"/>
      <c r="I83" s="79"/>
      <c r="J83" s="79"/>
      <c r="K83" s="79"/>
      <c r="L83" s="79"/>
      <c r="M83" s="79"/>
      <c r="N83" s="79"/>
      <c r="O83" s="79"/>
      <c r="P83" s="79"/>
      <c r="Q83" s="79"/>
      <c r="R83" s="79"/>
      <c r="S83" s="79"/>
      <c r="T83" s="79"/>
      <c r="U83" s="79"/>
      <c r="V83" s="79"/>
      <c r="W83" s="79"/>
      <c r="X83" s="79"/>
      <c r="Y83" s="79"/>
      <c r="Z83" s="79"/>
      <c r="AA83" s="79"/>
      <c r="AB83" s="79"/>
      <c r="AC83" s="79"/>
      <c r="AD83" s="79"/>
      <c r="AE83" s="79"/>
      <c r="AF83" s="79"/>
      <c r="AG83" s="79"/>
      <c r="AH83" s="79"/>
      <c r="AI83" s="79"/>
      <c r="AJ83" s="79"/>
      <c r="AK83" s="79"/>
      <c r="AL83" s="79"/>
      <c r="AM83" s="79"/>
      <c r="AN83" s="79"/>
      <c r="AO83" s="79"/>
      <c r="AP83" s="79"/>
      <c r="AQ83" s="79"/>
      <c r="AR83" s="79"/>
      <c r="AS83" s="79"/>
      <c r="AT83" s="79"/>
      <c r="AU83" s="79"/>
      <c r="AV83" s="79"/>
      <c r="AW83" s="79"/>
      <c r="AX83" s="79"/>
      <c r="AY83" s="79"/>
      <c r="AZ83" s="79"/>
      <c r="BA83" s="79"/>
      <c r="BB83" s="79"/>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c r="IW83" s="79"/>
      <c r="IX83" s="79"/>
      <c r="IY83" s="79"/>
      <c r="IZ83" s="79"/>
      <c r="JA83" s="79"/>
      <c r="JB83" s="79"/>
      <c r="JC83" s="79"/>
      <c r="JD83" s="79"/>
      <c r="JE83" s="79"/>
      <c r="JF83" s="79"/>
      <c r="JG83" s="79"/>
      <c r="JH83" s="79"/>
      <c r="JI83" s="79"/>
      <c r="JJ83" s="79"/>
      <c r="JK83" s="79"/>
      <c r="JL83" s="79"/>
      <c r="JM83" s="79"/>
      <c r="JN83" s="79"/>
      <c r="JO83" s="79"/>
      <c r="JP83" s="79"/>
      <c r="JQ83" s="79"/>
      <c r="JR83" s="79"/>
      <c r="JS83" s="79"/>
      <c r="JT83" s="79"/>
      <c r="JU83" s="79"/>
      <c r="JV83" s="79"/>
      <c r="JW83" s="79"/>
      <c r="JX83" s="79"/>
      <c r="JY83" s="79"/>
      <c r="JZ83" s="79"/>
      <c r="KA83" s="79"/>
      <c r="KB83" s="79"/>
      <c r="KC83" s="79"/>
      <c r="KD83" s="79"/>
      <c r="KE83" s="79"/>
      <c r="KF83" s="79"/>
      <c r="KG83" s="79"/>
      <c r="KH83" s="79"/>
      <c r="KI83" s="79"/>
      <c r="KJ83" s="79"/>
      <c r="KK83" s="79"/>
      <c r="KL83" s="79"/>
      <c r="KM83" s="79"/>
      <c r="KN83" s="79"/>
      <c r="KO83" s="79"/>
      <c r="KP83" s="79"/>
      <c r="KQ83" s="79"/>
      <c r="KR83" s="79"/>
      <c r="KS83" s="79"/>
      <c r="KT83" s="79"/>
      <c r="KU83" s="79"/>
      <c r="KV83" s="79"/>
      <c r="KW83" s="79"/>
      <c r="KX83" s="79"/>
      <c r="KY83" s="79"/>
      <c r="KZ83" s="79"/>
      <c r="LA83" s="79"/>
      <c r="LB83" s="79"/>
      <c r="LC83" s="79"/>
      <c r="LD83" s="79"/>
      <c r="LE83" s="79"/>
      <c r="LF83" s="79"/>
      <c r="LG83" s="79"/>
      <c r="LH83" s="79"/>
      <c r="LI83" s="79"/>
      <c r="LJ83" s="79"/>
      <c r="LK83" s="79"/>
      <c r="LL83" s="79"/>
      <c r="LM83" s="79"/>
      <c r="LN83" s="79"/>
      <c r="LO83" s="79"/>
      <c r="LP83" s="79"/>
      <c r="LQ83" s="79"/>
      <c r="LR83" s="79"/>
      <c r="LS83" s="79"/>
      <c r="LT83" s="79"/>
      <c r="LU83" s="79"/>
      <c r="LV83" s="79"/>
      <c r="LW83" s="79"/>
      <c r="LX83" s="79"/>
      <c r="LY83" s="79"/>
      <c r="LZ83" s="79"/>
      <c r="MA83" s="79"/>
      <c r="MB83" s="79"/>
      <c r="MC83" s="79"/>
      <c r="MD83" s="79"/>
      <c r="ME83" s="79"/>
      <c r="MF83" s="79"/>
      <c r="MG83" s="79"/>
      <c r="MH83" s="79"/>
      <c r="MI83" s="79"/>
      <c r="MJ83" s="79"/>
      <c r="MK83" s="79"/>
      <c r="ML83" s="79"/>
      <c r="MM83" s="79"/>
      <c r="MN83" s="79"/>
      <c r="MO83" s="79"/>
      <c r="MP83" s="79"/>
      <c r="MQ83" s="79"/>
      <c r="MR83" s="79"/>
      <c r="MS83" s="79"/>
      <c r="MT83" s="79"/>
      <c r="MU83" s="79"/>
      <c r="MV83" s="79"/>
      <c r="MW83" s="79"/>
      <c r="MX83" s="79"/>
      <c r="MY83" s="79"/>
      <c r="MZ83" s="79"/>
      <c r="NA83" s="79"/>
      <c r="NB83" s="79"/>
      <c r="NC83" s="79"/>
      <c r="ND83" s="79"/>
      <c r="NE83" s="79"/>
      <c r="NF83" s="79"/>
      <c r="NG83" s="79"/>
      <c r="NH83" s="79"/>
      <c r="NI83" s="79"/>
      <c r="NJ83" s="79"/>
      <c r="NK83" s="79"/>
      <c r="NL83" s="79"/>
      <c r="NM83" s="79"/>
      <c r="NN83" s="79"/>
      <c r="NO83" s="79"/>
      <c r="NP83" s="79"/>
      <c r="NQ83" s="79"/>
      <c r="NR83" s="79"/>
      <c r="NS83" s="79"/>
      <c r="NT83" s="79"/>
      <c r="NU83" s="79"/>
      <c r="NV83" s="79"/>
      <c r="NW83" s="79"/>
      <c r="NX83" s="79"/>
      <c r="NY83" s="79"/>
      <c r="NZ83" s="79"/>
      <c r="OA83" s="79"/>
      <c r="OB83" s="79"/>
      <c r="OC83" s="79"/>
      <c r="OD83" s="79"/>
      <c r="OE83" s="79"/>
      <c r="OF83" s="79"/>
      <c r="OG83" s="79"/>
      <c r="OH83" s="79"/>
      <c r="OI83" s="79"/>
      <c r="OJ83" s="79"/>
      <c r="OK83" s="79"/>
      <c r="OL83" s="79"/>
      <c r="OM83" s="79"/>
      <c r="ON83" s="79"/>
      <c r="OO83" s="79"/>
      <c r="OP83" s="79"/>
      <c r="OQ83" s="79"/>
      <c r="OR83" s="79"/>
      <c r="OS83" s="79"/>
      <c r="OT83" s="79"/>
      <c r="OU83" s="79"/>
      <c r="OV83" s="79"/>
      <c r="OW83" s="79"/>
      <c r="OX83" s="79"/>
      <c r="OY83" s="79"/>
      <c r="OZ83" s="79"/>
      <c r="PA83" s="79"/>
      <c r="PB83" s="79"/>
      <c r="PC83" s="79"/>
      <c r="PD83" s="79"/>
      <c r="PE83" s="79"/>
      <c r="PF83" s="79"/>
      <c r="PG83" s="79"/>
      <c r="PH83" s="79"/>
      <c r="PI83" s="79"/>
      <c r="PJ83" s="79"/>
      <c r="PK83" s="79"/>
      <c r="PL83" s="79"/>
      <c r="PM83" s="79"/>
      <c r="PN83" s="79"/>
      <c r="PO83" s="79"/>
      <c r="PP83" s="79"/>
      <c r="PQ83" s="79"/>
      <c r="PR83" s="79"/>
      <c r="PS83" s="79"/>
      <c r="PT83" s="79"/>
      <c r="PU83" s="79"/>
      <c r="PV83" s="79"/>
      <c r="PW83" s="79"/>
      <c r="PX83" s="79"/>
      <c r="PY83" s="79"/>
      <c r="PZ83" s="79"/>
      <c r="QA83" s="79"/>
      <c r="QB83" s="79"/>
      <c r="QC83" s="79"/>
      <c r="QD83" s="79"/>
      <c r="QE83" s="79"/>
      <c r="QF83" s="79"/>
      <c r="QG83" s="79"/>
      <c r="QH83" s="79"/>
      <c r="QI83" s="79"/>
      <c r="QJ83" s="79"/>
      <c r="QK83" s="79"/>
      <c r="QL83" s="79"/>
      <c r="QM83" s="79"/>
      <c r="QN83" s="79"/>
      <c r="QO83" s="79"/>
      <c r="QP83" s="79"/>
      <c r="QQ83" s="79"/>
      <c r="QR83" s="79"/>
      <c r="QS83" s="79"/>
      <c r="QT83" s="79"/>
      <c r="QU83" s="79"/>
      <c r="QV83" s="79"/>
      <c r="QW83" s="79"/>
      <c r="QX83" s="79"/>
      <c r="QY83" s="79"/>
      <c r="QZ83" s="79"/>
      <c r="RA83" s="79"/>
      <c r="RB83" s="79"/>
      <c r="RC83" s="79"/>
      <c r="RD83" s="79"/>
      <c r="RE83" s="79"/>
      <c r="RF83" s="79"/>
      <c r="RG83" s="79"/>
      <c r="RH83" s="79"/>
      <c r="RI83" s="79"/>
      <c r="RJ83" s="79"/>
      <c r="RK83" s="79"/>
      <c r="RL83" s="79"/>
      <c r="RM83" s="79"/>
      <c r="RN83" s="79"/>
      <c r="RO83" s="79"/>
      <c r="RP83" s="79"/>
      <c r="RQ83" s="79"/>
      <c r="RR83" s="79"/>
      <c r="RS83" s="79"/>
      <c r="RT83" s="79"/>
      <c r="RU83" s="79"/>
      <c r="RV83" s="79"/>
      <c r="RW83" s="79"/>
      <c r="RX83" s="79"/>
      <c r="RY83" s="79"/>
      <c r="RZ83" s="79"/>
      <c r="SA83" s="79"/>
      <c r="SB83" s="79"/>
      <c r="SC83" s="79"/>
      <c r="SD83" s="79"/>
      <c r="SE83" s="79"/>
      <c r="SF83" s="79"/>
      <c r="SG83" s="79"/>
      <c r="SH83" s="79"/>
      <c r="SI83" s="79"/>
      <c r="SJ83" s="79"/>
    </row>
    <row r="84" spans="2:504" x14ac:dyDescent="0.25">
      <c r="B84" s="36" t="str">
        <f>'Pay App 1'!B134</f>
        <v>28 80 00</v>
      </c>
      <c r="C84" s="37" t="str">
        <f>'Pay App 1'!C134</f>
        <v>Security/Access Control</v>
      </c>
      <c r="D84" s="82">
        <f t="shared" si="9"/>
        <v>0</v>
      </c>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c r="IW84" s="79"/>
      <c r="IX84" s="79"/>
      <c r="IY84" s="79"/>
      <c r="IZ84" s="79"/>
      <c r="JA84" s="79"/>
      <c r="JB84" s="79"/>
      <c r="JC84" s="79"/>
      <c r="JD84" s="79"/>
      <c r="JE84" s="79"/>
      <c r="JF84" s="79"/>
      <c r="JG84" s="79"/>
      <c r="JH84" s="79"/>
      <c r="JI84" s="79"/>
      <c r="JJ84" s="79"/>
      <c r="JK84" s="79"/>
      <c r="JL84" s="79"/>
      <c r="JM84" s="79"/>
      <c r="JN84" s="79"/>
      <c r="JO84" s="79"/>
      <c r="JP84" s="79"/>
      <c r="JQ84" s="79"/>
      <c r="JR84" s="79"/>
      <c r="JS84" s="79"/>
      <c r="JT84" s="79"/>
      <c r="JU84" s="79"/>
      <c r="JV84" s="79"/>
      <c r="JW84" s="79"/>
      <c r="JX84" s="79"/>
      <c r="JY84" s="79"/>
      <c r="JZ84" s="79"/>
      <c r="KA84" s="79"/>
      <c r="KB84" s="79"/>
      <c r="KC84" s="79"/>
      <c r="KD84" s="79"/>
      <c r="KE84" s="79"/>
      <c r="KF84" s="79"/>
      <c r="KG84" s="79"/>
      <c r="KH84" s="79"/>
      <c r="KI84" s="79"/>
      <c r="KJ84" s="79"/>
      <c r="KK84" s="79"/>
      <c r="KL84" s="79"/>
      <c r="KM84" s="79"/>
      <c r="KN84" s="79"/>
      <c r="KO84" s="79"/>
      <c r="KP84" s="79"/>
      <c r="KQ84" s="79"/>
      <c r="KR84" s="79"/>
      <c r="KS84" s="79"/>
      <c r="KT84" s="79"/>
      <c r="KU84" s="79"/>
      <c r="KV84" s="79"/>
      <c r="KW84" s="79"/>
      <c r="KX84" s="79"/>
      <c r="KY84" s="79"/>
      <c r="KZ84" s="79"/>
      <c r="LA84" s="79"/>
      <c r="LB84" s="79"/>
      <c r="LC84" s="79"/>
      <c r="LD84" s="79"/>
      <c r="LE84" s="79"/>
      <c r="LF84" s="79"/>
      <c r="LG84" s="79"/>
      <c r="LH84" s="79"/>
      <c r="LI84" s="79"/>
      <c r="LJ84" s="79"/>
      <c r="LK84" s="79"/>
      <c r="LL84" s="79"/>
      <c r="LM84" s="79"/>
      <c r="LN84" s="79"/>
      <c r="LO84" s="79"/>
      <c r="LP84" s="79"/>
      <c r="LQ84" s="79"/>
      <c r="LR84" s="79"/>
      <c r="LS84" s="79"/>
      <c r="LT84" s="79"/>
      <c r="LU84" s="79"/>
      <c r="LV84" s="79"/>
      <c r="LW84" s="79"/>
      <c r="LX84" s="79"/>
      <c r="LY84" s="79"/>
      <c r="LZ84" s="79"/>
      <c r="MA84" s="79"/>
      <c r="MB84" s="79"/>
      <c r="MC84" s="79"/>
      <c r="MD84" s="79"/>
      <c r="ME84" s="79"/>
      <c r="MF84" s="79"/>
      <c r="MG84" s="79"/>
      <c r="MH84" s="79"/>
      <c r="MI84" s="79"/>
      <c r="MJ84" s="79"/>
      <c r="MK84" s="79"/>
      <c r="ML84" s="79"/>
      <c r="MM84" s="79"/>
      <c r="MN84" s="79"/>
      <c r="MO84" s="79"/>
      <c r="MP84" s="79"/>
      <c r="MQ84" s="79"/>
      <c r="MR84" s="79"/>
      <c r="MS84" s="79"/>
      <c r="MT84" s="79"/>
      <c r="MU84" s="79"/>
      <c r="MV84" s="79"/>
      <c r="MW84" s="79"/>
      <c r="MX84" s="79"/>
      <c r="MY84" s="79"/>
      <c r="MZ84" s="79"/>
      <c r="NA84" s="79"/>
      <c r="NB84" s="79"/>
      <c r="NC84" s="79"/>
      <c r="ND84" s="79"/>
      <c r="NE84" s="79"/>
      <c r="NF84" s="79"/>
      <c r="NG84" s="79"/>
      <c r="NH84" s="79"/>
      <c r="NI84" s="79"/>
      <c r="NJ84" s="79"/>
      <c r="NK84" s="79"/>
      <c r="NL84" s="79"/>
      <c r="NM84" s="79"/>
      <c r="NN84" s="79"/>
      <c r="NO84" s="79"/>
      <c r="NP84" s="79"/>
      <c r="NQ84" s="79"/>
      <c r="NR84" s="79"/>
      <c r="NS84" s="79"/>
      <c r="NT84" s="79"/>
      <c r="NU84" s="79"/>
      <c r="NV84" s="79"/>
      <c r="NW84" s="79"/>
      <c r="NX84" s="79"/>
      <c r="NY84" s="79"/>
      <c r="NZ84" s="79"/>
      <c r="OA84" s="79"/>
      <c r="OB84" s="79"/>
      <c r="OC84" s="79"/>
      <c r="OD84" s="79"/>
      <c r="OE84" s="79"/>
      <c r="OF84" s="79"/>
      <c r="OG84" s="79"/>
      <c r="OH84" s="79"/>
      <c r="OI84" s="79"/>
      <c r="OJ84" s="79"/>
      <c r="OK84" s="79"/>
      <c r="OL84" s="79"/>
      <c r="OM84" s="79"/>
      <c r="ON84" s="79"/>
      <c r="OO84" s="79"/>
      <c r="OP84" s="79"/>
      <c r="OQ84" s="79"/>
      <c r="OR84" s="79"/>
      <c r="OS84" s="79"/>
      <c r="OT84" s="79"/>
      <c r="OU84" s="79"/>
      <c r="OV84" s="79"/>
      <c r="OW84" s="79"/>
      <c r="OX84" s="79"/>
      <c r="OY84" s="79"/>
      <c r="OZ84" s="79"/>
      <c r="PA84" s="79"/>
      <c r="PB84" s="79"/>
      <c r="PC84" s="79"/>
      <c r="PD84" s="79"/>
      <c r="PE84" s="79"/>
      <c r="PF84" s="79"/>
      <c r="PG84" s="79"/>
      <c r="PH84" s="79"/>
      <c r="PI84" s="79"/>
      <c r="PJ84" s="79"/>
      <c r="PK84" s="79"/>
      <c r="PL84" s="79"/>
      <c r="PM84" s="79"/>
      <c r="PN84" s="79"/>
      <c r="PO84" s="79"/>
      <c r="PP84" s="79"/>
      <c r="PQ84" s="79"/>
      <c r="PR84" s="79"/>
      <c r="PS84" s="79"/>
      <c r="PT84" s="79"/>
      <c r="PU84" s="79"/>
      <c r="PV84" s="79"/>
      <c r="PW84" s="79"/>
      <c r="PX84" s="79"/>
      <c r="PY84" s="79"/>
      <c r="PZ84" s="79"/>
      <c r="QA84" s="79"/>
      <c r="QB84" s="79"/>
      <c r="QC84" s="79"/>
      <c r="QD84" s="79"/>
      <c r="QE84" s="79"/>
      <c r="QF84" s="79"/>
      <c r="QG84" s="79"/>
      <c r="QH84" s="79"/>
      <c r="QI84" s="79"/>
      <c r="QJ84" s="79"/>
      <c r="QK84" s="79"/>
      <c r="QL84" s="79"/>
      <c r="QM84" s="79"/>
      <c r="QN84" s="79"/>
      <c r="QO84" s="79"/>
      <c r="QP84" s="79"/>
      <c r="QQ84" s="79"/>
      <c r="QR84" s="79"/>
      <c r="QS84" s="79"/>
      <c r="QT84" s="79"/>
      <c r="QU84" s="79"/>
      <c r="QV84" s="79"/>
      <c r="QW84" s="79"/>
      <c r="QX84" s="79"/>
      <c r="QY84" s="79"/>
      <c r="QZ84" s="79"/>
      <c r="RA84" s="79"/>
      <c r="RB84" s="79"/>
      <c r="RC84" s="79"/>
      <c r="RD84" s="79"/>
      <c r="RE84" s="79"/>
      <c r="RF84" s="79"/>
      <c r="RG84" s="79"/>
      <c r="RH84" s="79"/>
      <c r="RI84" s="79"/>
      <c r="RJ84" s="79"/>
      <c r="RK84" s="79"/>
      <c r="RL84" s="79"/>
      <c r="RM84" s="79"/>
      <c r="RN84" s="79"/>
      <c r="RO84" s="79"/>
      <c r="RP84" s="79"/>
      <c r="RQ84" s="79"/>
      <c r="RR84" s="79"/>
      <c r="RS84" s="79"/>
      <c r="RT84" s="79"/>
      <c r="RU84" s="79"/>
      <c r="RV84" s="79"/>
      <c r="RW84" s="79"/>
      <c r="RX84" s="79"/>
      <c r="RY84" s="79"/>
      <c r="RZ84" s="79"/>
      <c r="SA84" s="79"/>
      <c r="SB84" s="79"/>
      <c r="SC84" s="79"/>
      <c r="SD84" s="79"/>
      <c r="SE84" s="79"/>
      <c r="SF84" s="79"/>
      <c r="SG84" s="79"/>
      <c r="SH84" s="79"/>
      <c r="SI84" s="79"/>
      <c r="SJ84" s="79"/>
    </row>
    <row r="85" spans="2:504" x14ac:dyDescent="0.25">
      <c r="B85" s="46" t="str">
        <f>'Pay App 1'!B135</f>
        <v>29 00 00</v>
      </c>
      <c r="C85" s="47" t="str">
        <f>'Pay App 1'!C135</f>
        <v>Electrical (other)</v>
      </c>
      <c r="D85" s="82">
        <f t="shared" si="9"/>
        <v>0</v>
      </c>
      <c r="E85" s="79"/>
      <c r="F85" s="79"/>
      <c r="G85" s="79"/>
      <c r="H85" s="79"/>
      <c r="I85" s="79"/>
      <c r="J85" s="79"/>
      <c r="K85" s="79"/>
      <c r="L85" s="79"/>
      <c r="M85" s="79"/>
      <c r="N85" s="79"/>
      <c r="O85" s="79"/>
      <c r="P85" s="79"/>
      <c r="Q85" s="79"/>
      <c r="R85" s="79"/>
      <c r="S85" s="79"/>
      <c r="T85" s="79"/>
      <c r="U85" s="79"/>
      <c r="V85" s="79"/>
      <c r="W85" s="79"/>
      <c r="X85" s="79"/>
      <c r="Y85" s="79"/>
      <c r="Z85" s="79"/>
      <c r="AA85" s="79"/>
      <c r="AB85" s="79"/>
      <c r="AC85" s="79"/>
      <c r="AD85" s="79"/>
      <c r="AE85" s="79"/>
      <c r="AF85" s="79"/>
      <c r="AG85" s="79"/>
      <c r="AH85" s="79"/>
      <c r="AI85" s="79"/>
      <c r="AJ85" s="79"/>
      <c r="AK85" s="79"/>
      <c r="AL85" s="79"/>
      <c r="AM85" s="79"/>
      <c r="AN85" s="79"/>
      <c r="AO85" s="79"/>
      <c r="AP85" s="79"/>
      <c r="AQ85" s="79"/>
      <c r="AR85" s="79"/>
      <c r="AS85" s="79"/>
      <c r="AT85" s="79"/>
      <c r="AU85" s="79"/>
      <c r="AV85" s="79"/>
      <c r="AW85" s="79"/>
      <c r="AX85" s="79"/>
      <c r="AY85" s="79"/>
      <c r="AZ85" s="79"/>
      <c r="BA85" s="79"/>
      <c r="BB85" s="79"/>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c r="IW85" s="79"/>
      <c r="IX85" s="79"/>
      <c r="IY85" s="79"/>
      <c r="IZ85" s="79"/>
      <c r="JA85" s="79"/>
      <c r="JB85" s="79"/>
      <c r="JC85" s="79"/>
      <c r="JD85" s="79"/>
      <c r="JE85" s="79"/>
      <c r="JF85" s="79"/>
      <c r="JG85" s="79"/>
      <c r="JH85" s="79"/>
      <c r="JI85" s="79"/>
      <c r="JJ85" s="79"/>
      <c r="JK85" s="79"/>
      <c r="JL85" s="79"/>
      <c r="JM85" s="79"/>
      <c r="JN85" s="79"/>
      <c r="JO85" s="79"/>
      <c r="JP85" s="79"/>
      <c r="JQ85" s="79"/>
      <c r="JR85" s="79"/>
      <c r="JS85" s="79"/>
      <c r="JT85" s="79"/>
      <c r="JU85" s="79"/>
      <c r="JV85" s="79"/>
      <c r="JW85" s="79"/>
      <c r="JX85" s="79"/>
      <c r="JY85" s="79"/>
      <c r="JZ85" s="79"/>
      <c r="KA85" s="79"/>
      <c r="KB85" s="79"/>
      <c r="KC85" s="79"/>
      <c r="KD85" s="79"/>
      <c r="KE85" s="79"/>
      <c r="KF85" s="79"/>
      <c r="KG85" s="79"/>
      <c r="KH85" s="79"/>
      <c r="KI85" s="79"/>
      <c r="KJ85" s="79"/>
      <c r="KK85" s="79"/>
      <c r="KL85" s="79"/>
      <c r="KM85" s="79"/>
      <c r="KN85" s="79"/>
      <c r="KO85" s="79"/>
      <c r="KP85" s="79"/>
      <c r="KQ85" s="79"/>
      <c r="KR85" s="79"/>
      <c r="KS85" s="79"/>
      <c r="KT85" s="79"/>
      <c r="KU85" s="79"/>
      <c r="KV85" s="79"/>
      <c r="KW85" s="79"/>
      <c r="KX85" s="79"/>
      <c r="KY85" s="79"/>
      <c r="KZ85" s="79"/>
      <c r="LA85" s="79"/>
      <c r="LB85" s="79"/>
      <c r="LC85" s="79"/>
      <c r="LD85" s="79"/>
      <c r="LE85" s="79"/>
      <c r="LF85" s="79"/>
      <c r="LG85" s="79"/>
      <c r="LH85" s="79"/>
      <c r="LI85" s="79"/>
      <c r="LJ85" s="79"/>
      <c r="LK85" s="79"/>
      <c r="LL85" s="79"/>
      <c r="LM85" s="79"/>
      <c r="LN85" s="79"/>
      <c r="LO85" s="79"/>
      <c r="LP85" s="79"/>
      <c r="LQ85" s="79"/>
      <c r="LR85" s="79"/>
      <c r="LS85" s="79"/>
      <c r="LT85" s="79"/>
      <c r="LU85" s="79"/>
      <c r="LV85" s="79"/>
      <c r="LW85" s="79"/>
      <c r="LX85" s="79"/>
      <c r="LY85" s="79"/>
      <c r="LZ85" s="79"/>
      <c r="MA85" s="79"/>
      <c r="MB85" s="79"/>
      <c r="MC85" s="79"/>
      <c r="MD85" s="79"/>
      <c r="ME85" s="79"/>
      <c r="MF85" s="79"/>
      <c r="MG85" s="79"/>
      <c r="MH85" s="79"/>
      <c r="MI85" s="79"/>
      <c r="MJ85" s="79"/>
      <c r="MK85" s="79"/>
      <c r="ML85" s="79"/>
      <c r="MM85" s="79"/>
      <c r="MN85" s="79"/>
      <c r="MO85" s="79"/>
      <c r="MP85" s="79"/>
      <c r="MQ85" s="79"/>
      <c r="MR85" s="79"/>
      <c r="MS85" s="79"/>
      <c r="MT85" s="79"/>
      <c r="MU85" s="79"/>
      <c r="MV85" s="79"/>
      <c r="MW85" s="79"/>
      <c r="MX85" s="79"/>
      <c r="MY85" s="79"/>
      <c r="MZ85" s="79"/>
      <c r="NA85" s="79"/>
      <c r="NB85" s="79"/>
      <c r="NC85" s="79"/>
      <c r="ND85" s="79"/>
      <c r="NE85" s="79"/>
      <c r="NF85" s="79"/>
      <c r="NG85" s="79"/>
      <c r="NH85" s="79"/>
      <c r="NI85" s="79"/>
      <c r="NJ85" s="79"/>
      <c r="NK85" s="79"/>
      <c r="NL85" s="79"/>
      <c r="NM85" s="79"/>
      <c r="NN85" s="79"/>
      <c r="NO85" s="79"/>
      <c r="NP85" s="79"/>
      <c r="NQ85" s="79"/>
      <c r="NR85" s="79"/>
      <c r="NS85" s="79"/>
      <c r="NT85" s="79"/>
      <c r="NU85" s="79"/>
      <c r="NV85" s="79"/>
      <c r="NW85" s="79"/>
      <c r="NX85" s="79"/>
      <c r="NY85" s="79"/>
      <c r="NZ85" s="79"/>
      <c r="OA85" s="79"/>
      <c r="OB85" s="79"/>
      <c r="OC85" s="79"/>
      <c r="OD85" s="79"/>
      <c r="OE85" s="79"/>
      <c r="OF85" s="79"/>
      <c r="OG85" s="79"/>
      <c r="OH85" s="79"/>
      <c r="OI85" s="79"/>
      <c r="OJ85" s="79"/>
      <c r="OK85" s="79"/>
      <c r="OL85" s="79"/>
      <c r="OM85" s="79"/>
      <c r="ON85" s="79"/>
      <c r="OO85" s="79"/>
      <c r="OP85" s="79"/>
      <c r="OQ85" s="79"/>
      <c r="OR85" s="79"/>
      <c r="OS85" s="79"/>
      <c r="OT85" s="79"/>
      <c r="OU85" s="79"/>
      <c r="OV85" s="79"/>
      <c r="OW85" s="79"/>
      <c r="OX85" s="79"/>
      <c r="OY85" s="79"/>
      <c r="OZ85" s="79"/>
      <c r="PA85" s="79"/>
      <c r="PB85" s="79"/>
      <c r="PC85" s="79"/>
      <c r="PD85" s="79"/>
      <c r="PE85" s="79"/>
      <c r="PF85" s="79"/>
      <c r="PG85" s="79"/>
      <c r="PH85" s="79"/>
      <c r="PI85" s="79"/>
      <c r="PJ85" s="79"/>
      <c r="PK85" s="79"/>
      <c r="PL85" s="79"/>
      <c r="PM85" s="79"/>
      <c r="PN85" s="79"/>
      <c r="PO85" s="79"/>
      <c r="PP85" s="79"/>
      <c r="PQ85" s="79"/>
      <c r="PR85" s="79"/>
      <c r="PS85" s="79"/>
      <c r="PT85" s="79"/>
      <c r="PU85" s="79"/>
      <c r="PV85" s="79"/>
      <c r="PW85" s="79"/>
      <c r="PX85" s="79"/>
      <c r="PY85" s="79"/>
      <c r="PZ85" s="79"/>
      <c r="QA85" s="79"/>
      <c r="QB85" s="79"/>
      <c r="QC85" s="79"/>
      <c r="QD85" s="79"/>
      <c r="QE85" s="79"/>
      <c r="QF85" s="79"/>
      <c r="QG85" s="79"/>
      <c r="QH85" s="79"/>
      <c r="QI85" s="79"/>
      <c r="QJ85" s="79"/>
      <c r="QK85" s="79"/>
      <c r="QL85" s="79"/>
      <c r="QM85" s="79"/>
      <c r="QN85" s="79"/>
      <c r="QO85" s="79"/>
      <c r="QP85" s="79"/>
      <c r="QQ85" s="79"/>
      <c r="QR85" s="79"/>
      <c r="QS85" s="79"/>
      <c r="QT85" s="79"/>
      <c r="QU85" s="79"/>
      <c r="QV85" s="79"/>
      <c r="QW85" s="79"/>
      <c r="QX85" s="79"/>
      <c r="QY85" s="79"/>
      <c r="QZ85" s="79"/>
      <c r="RA85" s="79"/>
      <c r="RB85" s="79"/>
      <c r="RC85" s="79"/>
      <c r="RD85" s="79"/>
      <c r="RE85" s="79"/>
      <c r="RF85" s="79"/>
      <c r="RG85" s="79"/>
      <c r="RH85" s="79"/>
      <c r="RI85" s="79"/>
      <c r="RJ85" s="79"/>
      <c r="RK85" s="79"/>
      <c r="RL85" s="79"/>
      <c r="RM85" s="79"/>
      <c r="RN85" s="79"/>
      <c r="RO85" s="79"/>
      <c r="RP85" s="79"/>
      <c r="RQ85" s="79"/>
      <c r="RR85" s="79"/>
      <c r="RS85" s="79"/>
      <c r="RT85" s="79"/>
      <c r="RU85" s="79"/>
      <c r="RV85" s="79"/>
      <c r="RW85" s="79"/>
      <c r="RX85" s="79"/>
      <c r="RY85" s="79"/>
      <c r="RZ85" s="79"/>
      <c r="SA85" s="79"/>
      <c r="SB85" s="79"/>
      <c r="SC85" s="79"/>
      <c r="SD85" s="79"/>
      <c r="SE85" s="79"/>
      <c r="SF85" s="79"/>
      <c r="SG85" s="79"/>
      <c r="SH85" s="79"/>
      <c r="SI85" s="79"/>
      <c r="SJ85" s="79"/>
    </row>
    <row r="86" spans="2:504" x14ac:dyDescent="0.25">
      <c r="B86" s="40" t="str">
        <f>'Pay App 1'!B136</f>
        <v>31 00 00</v>
      </c>
      <c r="C86" s="41" t="str">
        <f>'Pay App 1'!C136</f>
        <v>Building &amp; Site Earthwork</v>
      </c>
      <c r="D86" s="82">
        <f t="shared" si="9"/>
        <v>0</v>
      </c>
      <c r="E86" s="79"/>
      <c r="F86" s="79"/>
      <c r="G86" s="79"/>
      <c r="H86" s="79"/>
      <c r="I86" s="79"/>
      <c r="J86" s="79"/>
      <c r="K86" s="79"/>
      <c r="L86" s="79"/>
      <c r="M86" s="79"/>
      <c r="N86" s="79"/>
      <c r="O86" s="79"/>
      <c r="P86" s="79"/>
      <c r="Q86" s="79"/>
      <c r="R86" s="79"/>
      <c r="S86" s="79"/>
      <c r="T86" s="79"/>
      <c r="U86" s="79"/>
      <c r="V86" s="79"/>
      <c r="W86" s="79"/>
      <c r="X86" s="79"/>
      <c r="Y86" s="79"/>
      <c r="Z86" s="79"/>
      <c r="AA86" s="79"/>
      <c r="AB86" s="79"/>
      <c r="AC86" s="79"/>
      <c r="AD86" s="79"/>
      <c r="AE86" s="79"/>
      <c r="AF86" s="79"/>
      <c r="AG86" s="79"/>
      <c r="AH86" s="79"/>
      <c r="AI86" s="79"/>
      <c r="AJ86" s="79"/>
      <c r="AK86" s="79"/>
      <c r="AL86" s="79"/>
      <c r="AM86" s="79"/>
      <c r="AN86" s="79"/>
      <c r="AO86" s="79"/>
      <c r="AP86" s="79"/>
      <c r="AQ86" s="79"/>
      <c r="AR86" s="79"/>
      <c r="AS86" s="79"/>
      <c r="AT86" s="79"/>
      <c r="AU86" s="79"/>
      <c r="AV86" s="79"/>
      <c r="AW86" s="79"/>
      <c r="AX86" s="79"/>
      <c r="AY86" s="79"/>
      <c r="AZ86" s="79"/>
      <c r="BA86" s="79"/>
      <c r="BB86" s="79"/>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c r="IW86" s="79"/>
      <c r="IX86" s="79"/>
      <c r="IY86" s="79"/>
      <c r="IZ86" s="79"/>
      <c r="JA86" s="79"/>
      <c r="JB86" s="79"/>
      <c r="JC86" s="79"/>
      <c r="JD86" s="79"/>
      <c r="JE86" s="79"/>
      <c r="JF86" s="79"/>
      <c r="JG86" s="79"/>
      <c r="JH86" s="79"/>
      <c r="JI86" s="79"/>
      <c r="JJ86" s="79"/>
      <c r="JK86" s="79"/>
      <c r="JL86" s="79"/>
      <c r="JM86" s="79"/>
      <c r="JN86" s="79"/>
      <c r="JO86" s="79"/>
      <c r="JP86" s="79"/>
      <c r="JQ86" s="79"/>
      <c r="JR86" s="79"/>
      <c r="JS86" s="79"/>
      <c r="JT86" s="79"/>
      <c r="JU86" s="79"/>
      <c r="JV86" s="79"/>
      <c r="JW86" s="79"/>
      <c r="JX86" s="79"/>
      <c r="JY86" s="79"/>
      <c r="JZ86" s="79"/>
      <c r="KA86" s="79"/>
      <c r="KB86" s="79"/>
      <c r="KC86" s="79"/>
      <c r="KD86" s="79"/>
      <c r="KE86" s="79"/>
      <c r="KF86" s="79"/>
      <c r="KG86" s="79"/>
      <c r="KH86" s="79"/>
      <c r="KI86" s="79"/>
      <c r="KJ86" s="79"/>
      <c r="KK86" s="79"/>
      <c r="KL86" s="79"/>
      <c r="KM86" s="79"/>
      <c r="KN86" s="79"/>
      <c r="KO86" s="79"/>
      <c r="KP86" s="79"/>
      <c r="KQ86" s="79"/>
      <c r="KR86" s="79"/>
      <c r="KS86" s="79"/>
      <c r="KT86" s="79"/>
      <c r="KU86" s="79"/>
      <c r="KV86" s="79"/>
      <c r="KW86" s="79"/>
      <c r="KX86" s="79"/>
      <c r="KY86" s="79"/>
      <c r="KZ86" s="79"/>
      <c r="LA86" s="79"/>
      <c r="LB86" s="79"/>
      <c r="LC86" s="79"/>
      <c r="LD86" s="79"/>
      <c r="LE86" s="79"/>
      <c r="LF86" s="79"/>
      <c r="LG86" s="79"/>
      <c r="LH86" s="79"/>
      <c r="LI86" s="79"/>
      <c r="LJ86" s="79"/>
      <c r="LK86" s="79"/>
      <c r="LL86" s="79"/>
      <c r="LM86" s="79"/>
      <c r="LN86" s="79"/>
      <c r="LO86" s="79"/>
      <c r="LP86" s="79"/>
      <c r="LQ86" s="79"/>
      <c r="LR86" s="79"/>
      <c r="LS86" s="79"/>
      <c r="LT86" s="79"/>
      <c r="LU86" s="79"/>
      <c r="LV86" s="79"/>
      <c r="LW86" s="79"/>
      <c r="LX86" s="79"/>
      <c r="LY86" s="79"/>
      <c r="LZ86" s="79"/>
      <c r="MA86" s="79"/>
      <c r="MB86" s="79"/>
      <c r="MC86" s="79"/>
      <c r="MD86" s="79"/>
      <c r="ME86" s="79"/>
      <c r="MF86" s="79"/>
      <c r="MG86" s="79"/>
      <c r="MH86" s="79"/>
      <c r="MI86" s="79"/>
      <c r="MJ86" s="79"/>
      <c r="MK86" s="79"/>
      <c r="ML86" s="79"/>
      <c r="MM86" s="79"/>
      <c r="MN86" s="79"/>
      <c r="MO86" s="79"/>
      <c r="MP86" s="79"/>
      <c r="MQ86" s="79"/>
      <c r="MR86" s="79"/>
      <c r="MS86" s="79"/>
      <c r="MT86" s="79"/>
      <c r="MU86" s="79"/>
      <c r="MV86" s="79"/>
      <c r="MW86" s="79"/>
      <c r="MX86" s="79"/>
      <c r="MY86" s="79"/>
      <c r="MZ86" s="79"/>
      <c r="NA86" s="79"/>
      <c r="NB86" s="79"/>
      <c r="NC86" s="79"/>
      <c r="ND86" s="79"/>
      <c r="NE86" s="79"/>
      <c r="NF86" s="79"/>
      <c r="NG86" s="79"/>
      <c r="NH86" s="79"/>
      <c r="NI86" s="79"/>
      <c r="NJ86" s="79"/>
      <c r="NK86" s="79"/>
      <c r="NL86" s="79"/>
      <c r="NM86" s="79"/>
      <c r="NN86" s="79"/>
      <c r="NO86" s="79"/>
      <c r="NP86" s="79"/>
      <c r="NQ86" s="79"/>
      <c r="NR86" s="79"/>
      <c r="NS86" s="79"/>
      <c r="NT86" s="79"/>
      <c r="NU86" s="79"/>
      <c r="NV86" s="79"/>
      <c r="NW86" s="79"/>
      <c r="NX86" s="79"/>
      <c r="NY86" s="79"/>
      <c r="NZ86" s="79"/>
      <c r="OA86" s="79"/>
      <c r="OB86" s="79"/>
      <c r="OC86" s="79"/>
      <c r="OD86" s="79"/>
      <c r="OE86" s="79"/>
      <c r="OF86" s="79"/>
      <c r="OG86" s="79"/>
      <c r="OH86" s="79"/>
      <c r="OI86" s="79"/>
      <c r="OJ86" s="79"/>
      <c r="OK86" s="79"/>
      <c r="OL86" s="79"/>
      <c r="OM86" s="79"/>
      <c r="ON86" s="79"/>
      <c r="OO86" s="79"/>
      <c r="OP86" s="79"/>
      <c r="OQ86" s="79"/>
      <c r="OR86" s="79"/>
      <c r="OS86" s="79"/>
      <c r="OT86" s="79"/>
      <c r="OU86" s="79"/>
      <c r="OV86" s="79"/>
      <c r="OW86" s="79"/>
      <c r="OX86" s="79"/>
      <c r="OY86" s="79"/>
      <c r="OZ86" s="79"/>
      <c r="PA86" s="79"/>
      <c r="PB86" s="79"/>
      <c r="PC86" s="79"/>
      <c r="PD86" s="79"/>
      <c r="PE86" s="79"/>
      <c r="PF86" s="79"/>
      <c r="PG86" s="79"/>
      <c r="PH86" s="79"/>
      <c r="PI86" s="79"/>
      <c r="PJ86" s="79"/>
      <c r="PK86" s="79"/>
      <c r="PL86" s="79"/>
      <c r="PM86" s="79"/>
      <c r="PN86" s="79"/>
      <c r="PO86" s="79"/>
      <c r="PP86" s="79"/>
      <c r="PQ86" s="79"/>
      <c r="PR86" s="79"/>
      <c r="PS86" s="79"/>
      <c r="PT86" s="79"/>
      <c r="PU86" s="79"/>
      <c r="PV86" s="79"/>
      <c r="PW86" s="79"/>
      <c r="PX86" s="79"/>
      <c r="PY86" s="79"/>
      <c r="PZ86" s="79"/>
      <c r="QA86" s="79"/>
      <c r="QB86" s="79"/>
      <c r="QC86" s="79"/>
      <c r="QD86" s="79"/>
      <c r="QE86" s="79"/>
      <c r="QF86" s="79"/>
      <c r="QG86" s="79"/>
      <c r="QH86" s="79"/>
      <c r="QI86" s="79"/>
      <c r="QJ86" s="79"/>
      <c r="QK86" s="79"/>
      <c r="QL86" s="79"/>
      <c r="QM86" s="79"/>
      <c r="QN86" s="79"/>
      <c r="QO86" s="79"/>
      <c r="QP86" s="79"/>
      <c r="QQ86" s="79"/>
      <c r="QR86" s="79"/>
      <c r="QS86" s="79"/>
      <c r="QT86" s="79"/>
      <c r="QU86" s="79"/>
      <c r="QV86" s="79"/>
      <c r="QW86" s="79"/>
      <c r="QX86" s="79"/>
      <c r="QY86" s="79"/>
      <c r="QZ86" s="79"/>
      <c r="RA86" s="79"/>
      <c r="RB86" s="79"/>
      <c r="RC86" s="79"/>
      <c r="RD86" s="79"/>
      <c r="RE86" s="79"/>
      <c r="RF86" s="79"/>
      <c r="RG86" s="79"/>
      <c r="RH86" s="79"/>
      <c r="RI86" s="79"/>
      <c r="RJ86" s="79"/>
      <c r="RK86" s="79"/>
      <c r="RL86" s="79"/>
      <c r="RM86" s="79"/>
      <c r="RN86" s="79"/>
      <c r="RO86" s="79"/>
      <c r="RP86" s="79"/>
      <c r="RQ86" s="79"/>
      <c r="RR86" s="79"/>
      <c r="RS86" s="79"/>
      <c r="RT86" s="79"/>
      <c r="RU86" s="79"/>
      <c r="RV86" s="79"/>
      <c r="RW86" s="79"/>
      <c r="RX86" s="79"/>
      <c r="RY86" s="79"/>
      <c r="RZ86" s="79"/>
      <c r="SA86" s="79"/>
      <c r="SB86" s="79"/>
      <c r="SC86" s="79"/>
      <c r="SD86" s="79"/>
      <c r="SE86" s="79"/>
      <c r="SF86" s="79"/>
      <c r="SG86" s="79"/>
      <c r="SH86" s="79"/>
      <c r="SI86" s="79"/>
      <c r="SJ86" s="79"/>
    </row>
    <row r="87" spans="2:504" x14ac:dyDescent="0.25">
      <c r="B87" s="40" t="str">
        <f>'Pay App 1'!B137</f>
        <v>31 40 00</v>
      </c>
      <c r="C87" s="41" t="str">
        <f>'Pay App 1'!C137</f>
        <v>Shoring/Pilings/Piers/Caissons</v>
      </c>
      <c r="D87" s="82">
        <f t="shared" si="9"/>
        <v>0</v>
      </c>
      <c r="E87" s="79"/>
      <c r="F87" s="79"/>
      <c r="G87" s="79"/>
      <c r="H87" s="79"/>
      <c r="I87" s="79"/>
      <c r="J87" s="79"/>
      <c r="K87" s="79"/>
      <c r="L87" s="79"/>
      <c r="M87" s="79"/>
      <c r="N87" s="79"/>
      <c r="O87" s="79"/>
      <c r="P87" s="79"/>
      <c r="Q87" s="79"/>
      <c r="R87" s="79"/>
      <c r="S87" s="79"/>
      <c r="T87" s="79"/>
      <c r="U87" s="79"/>
      <c r="V87" s="79"/>
      <c r="W87" s="79"/>
      <c r="X87" s="79"/>
      <c r="Y87" s="79"/>
      <c r="Z87" s="79"/>
      <c r="AA87" s="79"/>
      <c r="AB87" s="79"/>
      <c r="AC87" s="79"/>
      <c r="AD87" s="79"/>
      <c r="AE87" s="79"/>
      <c r="AF87" s="79"/>
      <c r="AG87" s="79"/>
      <c r="AH87" s="79"/>
      <c r="AI87" s="79"/>
      <c r="AJ87" s="79"/>
      <c r="AK87" s="79"/>
      <c r="AL87" s="79"/>
      <c r="AM87" s="79"/>
      <c r="AN87" s="79"/>
      <c r="AO87" s="79"/>
      <c r="AP87" s="79"/>
      <c r="AQ87" s="79"/>
      <c r="AR87" s="79"/>
      <c r="AS87" s="79"/>
      <c r="AT87" s="79"/>
      <c r="AU87" s="79"/>
      <c r="AV87" s="79"/>
      <c r="AW87" s="79"/>
      <c r="AX87" s="79"/>
      <c r="AY87" s="79"/>
      <c r="AZ87" s="79"/>
      <c r="BA87" s="79"/>
      <c r="BB87" s="79"/>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c r="IW87" s="79"/>
      <c r="IX87" s="79"/>
      <c r="IY87" s="79"/>
      <c r="IZ87" s="79"/>
      <c r="JA87" s="79"/>
      <c r="JB87" s="79"/>
      <c r="JC87" s="79"/>
      <c r="JD87" s="79"/>
      <c r="JE87" s="79"/>
      <c r="JF87" s="79"/>
      <c r="JG87" s="79"/>
      <c r="JH87" s="79"/>
      <c r="JI87" s="79"/>
      <c r="JJ87" s="79"/>
      <c r="JK87" s="79"/>
      <c r="JL87" s="79"/>
      <c r="JM87" s="79"/>
      <c r="JN87" s="79"/>
      <c r="JO87" s="79"/>
      <c r="JP87" s="79"/>
      <c r="JQ87" s="79"/>
      <c r="JR87" s="79"/>
      <c r="JS87" s="79"/>
      <c r="JT87" s="79"/>
      <c r="JU87" s="79"/>
      <c r="JV87" s="79"/>
      <c r="JW87" s="79"/>
      <c r="JX87" s="79"/>
      <c r="JY87" s="79"/>
      <c r="JZ87" s="79"/>
      <c r="KA87" s="79"/>
      <c r="KB87" s="79"/>
      <c r="KC87" s="79"/>
      <c r="KD87" s="79"/>
      <c r="KE87" s="79"/>
      <c r="KF87" s="79"/>
      <c r="KG87" s="79"/>
      <c r="KH87" s="79"/>
      <c r="KI87" s="79"/>
      <c r="KJ87" s="79"/>
      <c r="KK87" s="79"/>
      <c r="KL87" s="79"/>
      <c r="KM87" s="79"/>
      <c r="KN87" s="79"/>
      <c r="KO87" s="79"/>
      <c r="KP87" s="79"/>
      <c r="KQ87" s="79"/>
      <c r="KR87" s="79"/>
      <c r="KS87" s="79"/>
      <c r="KT87" s="79"/>
      <c r="KU87" s="79"/>
      <c r="KV87" s="79"/>
      <c r="KW87" s="79"/>
      <c r="KX87" s="79"/>
      <c r="KY87" s="79"/>
      <c r="KZ87" s="79"/>
      <c r="LA87" s="79"/>
      <c r="LB87" s="79"/>
      <c r="LC87" s="79"/>
      <c r="LD87" s="79"/>
      <c r="LE87" s="79"/>
      <c r="LF87" s="79"/>
      <c r="LG87" s="79"/>
      <c r="LH87" s="79"/>
      <c r="LI87" s="79"/>
      <c r="LJ87" s="79"/>
      <c r="LK87" s="79"/>
      <c r="LL87" s="79"/>
      <c r="LM87" s="79"/>
      <c r="LN87" s="79"/>
      <c r="LO87" s="79"/>
      <c r="LP87" s="79"/>
      <c r="LQ87" s="79"/>
      <c r="LR87" s="79"/>
      <c r="LS87" s="79"/>
      <c r="LT87" s="79"/>
      <c r="LU87" s="79"/>
      <c r="LV87" s="79"/>
      <c r="LW87" s="79"/>
      <c r="LX87" s="79"/>
      <c r="LY87" s="79"/>
      <c r="LZ87" s="79"/>
      <c r="MA87" s="79"/>
      <c r="MB87" s="79"/>
      <c r="MC87" s="79"/>
      <c r="MD87" s="79"/>
      <c r="ME87" s="79"/>
      <c r="MF87" s="79"/>
      <c r="MG87" s="79"/>
      <c r="MH87" s="79"/>
      <c r="MI87" s="79"/>
      <c r="MJ87" s="79"/>
      <c r="MK87" s="79"/>
      <c r="ML87" s="79"/>
      <c r="MM87" s="79"/>
      <c r="MN87" s="79"/>
      <c r="MO87" s="79"/>
      <c r="MP87" s="79"/>
      <c r="MQ87" s="79"/>
      <c r="MR87" s="79"/>
      <c r="MS87" s="79"/>
      <c r="MT87" s="79"/>
      <c r="MU87" s="79"/>
      <c r="MV87" s="79"/>
      <c r="MW87" s="79"/>
      <c r="MX87" s="79"/>
      <c r="MY87" s="79"/>
      <c r="MZ87" s="79"/>
      <c r="NA87" s="79"/>
      <c r="NB87" s="79"/>
      <c r="NC87" s="79"/>
      <c r="ND87" s="79"/>
      <c r="NE87" s="79"/>
      <c r="NF87" s="79"/>
      <c r="NG87" s="79"/>
      <c r="NH87" s="79"/>
      <c r="NI87" s="79"/>
      <c r="NJ87" s="79"/>
      <c r="NK87" s="79"/>
      <c r="NL87" s="79"/>
      <c r="NM87" s="79"/>
      <c r="NN87" s="79"/>
      <c r="NO87" s="79"/>
      <c r="NP87" s="79"/>
      <c r="NQ87" s="79"/>
      <c r="NR87" s="79"/>
      <c r="NS87" s="79"/>
      <c r="NT87" s="79"/>
      <c r="NU87" s="79"/>
      <c r="NV87" s="79"/>
      <c r="NW87" s="79"/>
      <c r="NX87" s="79"/>
      <c r="NY87" s="79"/>
      <c r="NZ87" s="79"/>
      <c r="OA87" s="79"/>
      <c r="OB87" s="79"/>
      <c r="OC87" s="79"/>
      <c r="OD87" s="79"/>
      <c r="OE87" s="79"/>
      <c r="OF87" s="79"/>
      <c r="OG87" s="79"/>
      <c r="OH87" s="79"/>
      <c r="OI87" s="79"/>
      <c r="OJ87" s="79"/>
      <c r="OK87" s="79"/>
      <c r="OL87" s="79"/>
      <c r="OM87" s="79"/>
      <c r="ON87" s="79"/>
      <c r="OO87" s="79"/>
      <c r="OP87" s="79"/>
      <c r="OQ87" s="79"/>
      <c r="OR87" s="79"/>
      <c r="OS87" s="79"/>
      <c r="OT87" s="79"/>
      <c r="OU87" s="79"/>
      <c r="OV87" s="79"/>
      <c r="OW87" s="79"/>
      <c r="OX87" s="79"/>
      <c r="OY87" s="79"/>
      <c r="OZ87" s="79"/>
      <c r="PA87" s="79"/>
      <c r="PB87" s="79"/>
      <c r="PC87" s="79"/>
      <c r="PD87" s="79"/>
      <c r="PE87" s="79"/>
      <c r="PF87" s="79"/>
      <c r="PG87" s="79"/>
      <c r="PH87" s="79"/>
      <c r="PI87" s="79"/>
      <c r="PJ87" s="79"/>
      <c r="PK87" s="79"/>
      <c r="PL87" s="79"/>
      <c r="PM87" s="79"/>
      <c r="PN87" s="79"/>
      <c r="PO87" s="79"/>
      <c r="PP87" s="79"/>
      <c r="PQ87" s="79"/>
      <c r="PR87" s="79"/>
      <c r="PS87" s="79"/>
      <c r="PT87" s="79"/>
      <c r="PU87" s="79"/>
      <c r="PV87" s="79"/>
      <c r="PW87" s="79"/>
      <c r="PX87" s="79"/>
      <c r="PY87" s="79"/>
      <c r="PZ87" s="79"/>
      <c r="QA87" s="79"/>
      <c r="QB87" s="79"/>
      <c r="QC87" s="79"/>
      <c r="QD87" s="79"/>
      <c r="QE87" s="79"/>
      <c r="QF87" s="79"/>
      <c r="QG87" s="79"/>
      <c r="QH87" s="79"/>
      <c r="QI87" s="79"/>
      <c r="QJ87" s="79"/>
      <c r="QK87" s="79"/>
      <c r="QL87" s="79"/>
      <c r="QM87" s="79"/>
      <c r="QN87" s="79"/>
      <c r="QO87" s="79"/>
      <c r="QP87" s="79"/>
      <c r="QQ87" s="79"/>
      <c r="QR87" s="79"/>
      <c r="QS87" s="79"/>
      <c r="QT87" s="79"/>
      <c r="QU87" s="79"/>
      <c r="QV87" s="79"/>
      <c r="QW87" s="79"/>
      <c r="QX87" s="79"/>
      <c r="QY87" s="79"/>
      <c r="QZ87" s="79"/>
      <c r="RA87" s="79"/>
      <c r="RB87" s="79"/>
      <c r="RC87" s="79"/>
      <c r="RD87" s="79"/>
      <c r="RE87" s="79"/>
      <c r="RF87" s="79"/>
      <c r="RG87" s="79"/>
      <c r="RH87" s="79"/>
      <c r="RI87" s="79"/>
      <c r="RJ87" s="79"/>
      <c r="RK87" s="79"/>
      <c r="RL87" s="79"/>
      <c r="RM87" s="79"/>
      <c r="RN87" s="79"/>
      <c r="RO87" s="79"/>
      <c r="RP87" s="79"/>
      <c r="RQ87" s="79"/>
      <c r="RR87" s="79"/>
      <c r="RS87" s="79"/>
      <c r="RT87" s="79"/>
      <c r="RU87" s="79"/>
      <c r="RV87" s="79"/>
      <c r="RW87" s="79"/>
      <c r="RX87" s="79"/>
      <c r="RY87" s="79"/>
      <c r="RZ87" s="79"/>
      <c r="SA87" s="79"/>
      <c r="SB87" s="79"/>
      <c r="SC87" s="79"/>
      <c r="SD87" s="79"/>
      <c r="SE87" s="79"/>
      <c r="SF87" s="79"/>
      <c r="SG87" s="79"/>
      <c r="SH87" s="79"/>
      <c r="SI87" s="79"/>
      <c r="SJ87" s="79"/>
    </row>
    <row r="88" spans="2:504" x14ac:dyDescent="0.25">
      <c r="B88" s="40" t="str">
        <f>'Pay App 1'!B138</f>
        <v>31 50 00</v>
      </c>
      <c r="C88" s="41" t="str">
        <f>'Pay App 1'!C138</f>
        <v>Excavation Support &amp; Protection</v>
      </c>
      <c r="D88" s="82">
        <f t="shared" si="9"/>
        <v>0</v>
      </c>
      <c r="E88" s="79"/>
      <c r="F88" s="79"/>
      <c r="G88" s="79"/>
      <c r="H88" s="79"/>
      <c r="I88" s="79"/>
      <c r="J88" s="79"/>
      <c r="K88" s="79"/>
      <c r="L88" s="79"/>
      <c r="M88" s="79"/>
      <c r="N88" s="79"/>
      <c r="O88" s="79"/>
      <c r="P88" s="79"/>
      <c r="Q88" s="79"/>
      <c r="R88" s="79"/>
      <c r="S88" s="79"/>
      <c r="T88" s="79"/>
      <c r="U88" s="79"/>
      <c r="V88" s="79"/>
      <c r="W88" s="79"/>
      <c r="X88" s="79"/>
      <c r="Y88" s="79"/>
      <c r="Z88" s="79"/>
      <c r="AA88" s="79"/>
      <c r="AB88" s="79"/>
      <c r="AC88" s="79"/>
      <c r="AD88" s="79"/>
      <c r="AE88" s="79"/>
      <c r="AF88" s="79"/>
      <c r="AG88" s="79"/>
      <c r="AH88" s="79"/>
      <c r="AI88" s="79"/>
      <c r="AJ88" s="79"/>
      <c r="AK88" s="79"/>
      <c r="AL88" s="79"/>
      <c r="AM88" s="79"/>
      <c r="AN88" s="79"/>
      <c r="AO88" s="79"/>
      <c r="AP88" s="79"/>
      <c r="AQ88" s="79"/>
      <c r="AR88" s="79"/>
      <c r="AS88" s="79"/>
      <c r="AT88" s="79"/>
      <c r="AU88" s="79"/>
      <c r="AV88" s="79"/>
      <c r="AW88" s="79"/>
      <c r="AX88" s="79"/>
      <c r="AY88" s="79"/>
      <c r="AZ88" s="79"/>
      <c r="BA88" s="79"/>
      <c r="BB88" s="79"/>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c r="IW88" s="79"/>
      <c r="IX88" s="79"/>
      <c r="IY88" s="79"/>
      <c r="IZ88" s="79"/>
      <c r="JA88" s="79"/>
      <c r="JB88" s="79"/>
      <c r="JC88" s="79"/>
      <c r="JD88" s="79"/>
      <c r="JE88" s="79"/>
      <c r="JF88" s="79"/>
      <c r="JG88" s="79"/>
      <c r="JH88" s="79"/>
      <c r="JI88" s="79"/>
      <c r="JJ88" s="79"/>
      <c r="JK88" s="79"/>
      <c r="JL88" s="79"/>
      <c r="JM88" s="79"/>
      <c r="JN88" s="79"/>
      <c r="JO88" s="79"/>
      <c r="JP88" s="79"/>
      <c r="JQ88" s="79"/>
      <c r="JR88" s="79"/>
      <c r="JS88" s="79"/>
      <c r="JT88" s="79"/>
      <c r="JU88" s="79"/>
      <c r="JV88" s="79"/>
      <c r="JW88" s="79"/>
      <c r="JX88" s="79"/>
      <c r="JY88" s="79"/>
      <c r="JZ88" s="79"/>
      <c r="KA88" s="79"/>
      <c r="KB88" s="79"/>
      <c r="KC88" s="79"/>
      <c r="KD88" s="79"/>
      <c r="KE88" s="79"/>
      <c r="KF88" s="79"/>
      <c r="KG88" s="79"/>
      <c r="KH88" s="79"/>
      <c r="KI88" s="79"/>
      <c r="KJ88" s="79"/>
      <c r="KK88" s="79"/>
      <c r="KL88" s="79"/>
      <c r="KM88" s="79"/>
      <c r="KN88" s="79"/>
      <c r="KO88" s="79"/>
      <c r="KP88" s="79"/>
      <c r="KQ88" s="79"/>
      <c r="KR88" s="79"/>
      <c r="KS88" s="79"/>
      <c r="KT88" s="79"/>
      <c r="KU88" s="79"/>
      <c r="KV88" s="79"/>
      <c r="KW88" s="79"/>
      <c r="KX88" s="79"/>
      <c r="KY88" s="79"/>
      <c r="KZ88" s="79"/>
      <c r="LA88" s="79"/>
      <c r="LB88" s="79"/>
      <c r="LC88" s="79"/>
      <c r="LD88" s="79"/>
      <c r="LE88" s="79"/>
      <c r="LF88" s="79"/>
      <c r="LG88" s="79"/>
      <c r="LH88" s="79"/>
      <c r="LI88" s="79"/>
      <c r="LJ88" s="79"/>
      <c r="LK88" s="79"/>
      <c r="LL88" s="79"/>
      <c r="LM88" s="79"/>
      <c r="LN88" s="79"/>
      <c r="LO88" s="79"/>
      <c r="LP88" s="79"/>
      <c r="LQ88" s="79"/>
      <c r="LR88" s="79"/>
      <c r="LS88" s="79"/>
      <c r="LT88" s="79"/>
      <c r="LU88" s="79"/>
      <c r="LV88" s="79"/>
      <c r="LW88" s="79"/>
      <c r="LX88" s="79"/>
      <c r="LY88" s="79"/>
      <c r="LZ88" s="79"/>
      <c r="MA88" s="79"/>
      <c r="MB88" s="79"/>
      <c r="MC88" s="79"/>
      <c r="MD88" s="79"/>
      <c r="ME88" s="79"/>
      <c r="MF88" s="79"/>
      <c r="MG88" s="79"/>
      <c r="MH88" s="79"/>
      <c r="MI88" s="79"/>
      <c r="MJ88" s="79"/>
      <c r="MK88" s="79"/>
      <c r="ML88" s="79"/>
      <c r="MM88" s="79"/>
      <c r="MN88" s="79"/>
      <c r="MO88" s="79"/>
      <c r="MP88" s="79"/>
      <c r="MQ88" s="79"/>
      <c r="MR88" s="79"/>
      <c r="MS88" s="79"/>
      <c r="MT88" s="79"/>
      <c r="MU88" s="79"/>
      <c r="MV88" s="79"/>
      <c r="MW88" s="79"/>
      <c r="MX88" s="79"/>
      <c r="MY88" s="79"/>
      <c r="MZ88" s="79"/>
      <c r="NA88" s="79"/>
      <c r="NB88" s="79"/>
      <c r="NC88" s="79"/>
      <c r="ND88" s="79"/>
      <c r="NE88" s="79"/>
      <c r="NF88" s="79"/>
      <c r="NG88" s="79"/>
      <c r="NH88" s="79"/>
      <c r="NI88" s="79"/>
      <c r="NJ88" s="79"/>
      <c r="NK88" s="79"/>
      <c r="NL88" s="79"/>
      <c r="NM88" s="79"/>
      <c r="NN88" s="79"/>
      <c r="NO88" s="79"/>
      <c r="NP88" s="79"/>
      <c r="NQ88" s="79"/>
      <c r="NR88" s="79"/>
      <c r="NS88" s="79"/>
      <c r="NT88" s="79"/>
      <c r="NU88" s="79"/>
      <c r="NV88" s="79"/>
      <c r="NW88" s="79"/>
      <c r="NX88" s="79"/>
      <c r="NY88" s="79"/>
      <c r="NZ88" s="79"/>
      <c r="OA88" s="79"/>
      <c r="OB88" s="79"/>
      <c r="OC88" s="79"/>
      <c r="OD88" s="79"/>
      <c r="OE88" s="79"/>
      <c r="OF88" s="79"/>
      <c r="OG88" s="79"/>
      <c r="OH88" s="79"/>
      <c r="OI88" s="79"/>
      <c r="OJ88" s="79"/>
      <c r="OK88" s="79"/>
      <c r="OL88" s="79"/>
      <c r="OM88" s="79"/>
      <c r="ON88" s="79"/>
      <c r="OO88" s="79"/>
      <c r="OP88" s="79"/>
      <c r="OQ88" s="79"/>
      <c r="OR88" s="79"/>
      <c r="OS88" s="79"/>
      <c r="OT88" s="79"/>
      <c r="OU88" s="79"/>
      <c r="OV88" s="79"/>
      <c r="OW88" s="79"/>
      <c r="OX88" s="79"/>
      <c r="OY88" s="79"/>
      <c r="OZ88" s="79"/>
      <c r="PA88" s="79"/>
      <c r="PB88" s="79"/>
      <c r="PC88" s="79"/>
      <c r="PD88" s="79"/>
      <c r="PE88" s="79"/>
      <c r="PF88" s="79"/>
      <c r="PG88" s="79"/>
      <c r="PH88" s="79"/>
      <c r="PI88" s="79"/>
      <c r="PJ88" s="79"/>
      <c r="PK88" s="79"/>
      <c r="PL88" s="79"/>
      <c r="PM88" s="79"/>
      <c r="PN88" s="79"/>
      <c r="PO88" s="79"/>
      <c r="PP88" s="79"/>
      <c r="PQ88" s="79"/>
      <c r="PR88" s="79"/>
      <c r="PS88" s="79"/>
      <c r="PT88" s="79"/>
      <c r="PU88" s="79"/>
      <c r="PV88" s="79"/>
      <c r="PW88" s="79"/>
      <c r="PX88" s="79"/>
      <c r="PY88" s="79"/>
      <c r="PZ88" s="79"/>
      <c r="QA88" s="79"/>
      <c r="QB88" s="79"/>
      <c r="QC88" s="79"/>
      <c r="QD88" s="79"/>
      <c r="QE88" s="79"/>
      <c r="QF88" s="79"/>
      <c r="QG88" s="79"/>
      <c r="QH88" s="79"/>
      <c r="QI88" s="79"/>
      <c r="QJ88" s="79"/>
      <c r="QK88" s="79"/>
      <c r="QL88" s="79"/>
      <c r="QM88" s="79"/>
      <c r="QN88" s="79"/>
      <c r="QO88" s="79"/>
      <c r="QP88" s="79"/>
      <c r="QQ88" s="79"/>
      <c r="QR88" s="79"/>
      <c r="QS88" s="79"/>
      <c r="QT88" s="79"/>
      <c r="QU88" s="79"/>
      <c r="QV88" s="79"/>
      <c r="QW88" s="79"/>
      <c r="QX88" s="79"/>
      <c r="QY88" s="79"/>
      <c r="QZ88" s="79"/>
      <c r="RA88" s="79"/>
      <c r="RB88" s="79"/>
      <c r="RC88" s="79"/>
      <c r="RD88" s="79"/>
      <c r="RE88" s="79"/>
      <c r="RF88" s="79"/>
      <c r="RG88" s="79"/>
      <c r="RH88" s="79"/>
      <c r="RI88" s="79"/>
      <c r="RJ88" s="79"/>
      <c r="RK88" s="79"/>
      <c r="RL88" s="79"/>
      <c r="RM88" s="79"/>
      <c r="RN88" s="79"/>
      <c r="RO88" s="79"/>
      <c r="RP88" s="79"/>
      <c r="RQ88" s="79"/>
      <c r="RR88" s="79"/>
      <c r="RS88" s="79"/>
      <c r="RT88" s="79"/>
      <c r="RU88" s="79"/>
      <c r="RV88" s="79"/>
      <c r="RW88" s="79"/>
      <c r="RX88" s="79"/>
      <c r="RY88" s="79"/>
      <c r="RZ88" s="79"/>
      <c r="SA88" s="79"/>
      <c r="SB88" s="79"/>
      <c r="SC88" s="79"/>
      <c r="SD88" s="79"/>
      <c r="SE88" s="79"/>
      <c r="SF88" s="79"/>
      <c r="SG88" s="79"/>
      <c r="SH88" s="79"/>
      <c r="SI88" s="79"/>
      <c r="SJ88" s="79"/>
    </row>
    <row r="89" spans="2:504" x14ac:dyDescent="0.25">
      <c r="B89" s="42" t="str">
        <f>'Pay App 1'!B139</f>
        <v>32 12 16</v>
      </c>
      <c r="C89" s="43" t="str">
        <f>'Pay App 1'!C139</f>
        <v>Asphalt Paving</v>
      </c>
      <c r="D89" s="82">
        <f t="shared" si="9"/>
        <v>0</v>
      </c>
      <c r="E89" s="79"/>
      <c r="F89" s="79"/>
      <c r="G89" s="79"/>
      <c r="H89" s="79"/>
      <c r="I89" s="79"/>
      <c r="J89" s="79"/>
      <c r="K89" s="79"/>
      <c r="L89" s="79"/>
      <c r="M89" s="79"/>
      <c r="N89" s="79"/>
      <c r="O89" s="79"/>
      <c r="P89" s="79"/>
      <c r="Q89" s="79"/>
      <c r="R89" s="79"/>
      <c r="S89" s="79"/>
      <c r="T89" s="79"/>
      <c r="U89" s="79"/>
      <c r="V89" s="79"/>
      <c r="W89" s="79"/>
      <c r="X89" s="79"/>
      <c r="Y89" s="79"/>
      <c r="Z89" s="79"/>
      <c r="AA89" s="79"/>
      <c r="AB89" s="79"/>
      <c r="AC89" s="79"/>
      <c r="AD89" s="79"/>
      <c r="AE89" s="79"/>
      <c r="AF89" s="79"/>
      <c r="AG89" s="79"/>
      <c r="AH89" s="79"/>
      <c r="AI89" s="79"/>
      <c r="AJ89" s="79"/>
      <c r="AK89" s="79"/>
      <c r="AL89" s="79"/>
      <c r="AM89" s="79"/>
      <c r="AN89" s="79"/>
      <c r="AO89" s="79"/>
      <c r="AP89" s="79"/>
      <c r="AQ89" s="79"/>
      <c r="AR89" s="79"/>
      <c r="AS89" s="79"/>
      <c r="AT89" s="79"/>
      <c r="AU89" s="79"/>
      <c r="AV89" s="79"/>
      <c r="AW89" s="79"/>
      <c r="AX89" s="79"/>
      <c r="AY89" s="79"/>
      <c r="AZ89" s="79"/>
      <c r="BA89" s="79"/>
      <c r="BB89" s="79"/>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c r="IW89" s="79"/>
      <c r="IX89" s="79"/>
      <c r="IY89" s="79"/>
      <c r="IZ89" s="79"/>
      <c r="JA89" s="79"/>
      <c r="JB89" s="79"/>
      <c r="JC89" s="79"/>
      <c r="JD89" s="79"/>
      <c r="JE89" s="79"/>
      <c r="JF89" s="79"/>
      <c r="JG89" s="79"/>
      <c r="JH89" s="79"/>
      <c r="JI89" s="79"/>
      <c r="JJ89" s="79"/>
      <c r="JK89" s="79"/>
      <c r="JL89" s="79"/>
      <c r="JM89" s="79"/>
      <c r="JN89" s="79"/>
      <c r="JO89" s="79"/>
      <c r="JP89" s="79"/>
      <c r="JQ89" s="79"/>
      <c r="JR89" s="79"/>
      <c r="JS89" s="79"/>
      <c r="JT89" s="79"/>
      <c r="JU89" s="79"/>
      <c r="JV89" s="79"/>
      <c r="JW89" s="79"/>
      <c r="JX89" s="79"/>
      <c r="JY89" s="79"/>
      <c r="JZ89" s="79"/>
      <c r="KA89" s="79"/>
      <c r="KB89" s="79"/>
      <c r="KC89" s="79"/>
      <c r="KD89" s="79"/>
      <c r="KE89" s="79"/>
      <c r="KF89" s="79"/>
      <c r="KG89" s="79"/>
      <c r="KH89" s="79"/>
      <c r="KI89" s="79"/>
      <c r="KJ89" s="79"/>
      <c r="KK89" s="79"/>
      <c r="KL89" s="79"/>
      <c r="KM89" s="79"/>
      <c r="KN89" s="79"/>
      <c r="KO89" s="79"/>
      <c r="KP89" s="79"/>
      <c r="KQ89" s="79"/>
      <c r="KR89" s="79"/>
      <c r="KS89" s="79"/>
      <c r="KT89" s="79"/>
      <c r="KU89" s="79"/>
      <c r="KV89" s="79"/>
      <c r="KW89" s="79"/>
      <c r="KX89" s="79"/>
      <c r="KY89" s="79"/>
      <c r="KZ89" s="79"/>
      <c r="LA89" s="79"/>
      <c r="LB89" s="79"/>
      <c r="LC89" s="79"/>
      <c r="LD89" s="79"/>
      <c r="LE89" s="79"/>
      <c r="LF89" s="79"/>
      <c r="LG89" s="79"/>
      <c r="LH89" s="79"/>
      <c r="LI89" s="79"/>
      <c r="LJ89" s="79"/>
      <c r="LK89" s="79"/>
      <c r="LL89" s="79"/>
      <c r="LM89" s="79"/>
      <c r="LN89" s="79"/>
      <c r="LO89" s="79"/>
      <c r="LP89" s="79"/>
      <c r="LQ89" s="79"/>
      <c r="LR89" s="79"/>
      <c r="LS89" s="79"/>
      <c r="LT89" s="79"/>
      <c r="LU89" s="79"/>
      <c r="LV89" s="79"/>
      <c r="LW89" s="79"/>
      <c r="LX89" s="79"/>
      <c r="LY89" s="79"/>
      <c r="LZ89" s="79"/>
      <c r="MA89" s="79"/>
      <c r="MB89" s="79"/>
      <c r="MC89" s="79"/>
      <c r="MD89" s="79"/>
      <c r="ME89" s="79"/>
      <c r="MF89" s="79"/>
      <c r="MG89" s="79"/>
      <c r="MH89" s="79"/>
      <c r="MI89" s="79"/>
      <c r="MJ89" s="79"/>
      <c r="MK89" s="79"/>
      <c r="ML89" s="79"/>
      <c r="MM89" s="79"/>
      <c r="MN89" s="79"/>
      <c r="MO89" s="79"/>
      <c r="MP89" s="79"/>
      <c r="MQ89" s="79"/>
      <c r="MR89" s="79"/>
      <c r="MS89" s="79"/>
      <c r="MT89" s="79"/>
      <c r="MU89" s="79"/>
      <c r="MV89" s="79"/>
      <c r="MW89" s="79"/>
      <c r="MX89" s="79"/>
      <c r="MY89" s="79"/>
      <c r="MZ89" s="79"/>
      <c r="NA89" s="79"/>
      <c r="NB89" s="79"/>
      <c r="NC89" s="79"/>
      <c r="ND89" s="79"/>
      <c r="NE89" s="79"/>
      <c r="NF89" s="79"/>
      <c r="NG89" s="79"/>
      <c r="NH89" s="79"/>
      <c r="NI89" s="79"/>
      <c r="NJ89" s="79"/>
      <c r="NK89" s="79"/>
      <c r="NL89" s="79"/>
      <c r="NM89" s="79"/>
      <c r="NN89" s="79"/>
      <c r="NO89" s="79"/>
      <c r="NP89" s="79"/>
      <c r="NQ89" s="79"/>
      <c r="NR89" s="79"/>
      <c r="NS89" s="79"/>
      <c r="NT89" s="79"/>
      <c r="NU89" s="79"/>
      <c r="NV89" s="79"/>
      <c r="NW89" s="79"/>
      <c r="NX89" s="79"/>
      <c r="NY89" s="79"/>
      <c r="NZ89" s="79"/>
      <c r="OA89" s="79"/>
      <c r="OB89" s="79"/>
      <c r="OC89" s="79"/>
      <c r="OD89" s="79"/>
      <c r="OE89" s="79"/>
      <c r="OF89" s="79"/>
      <c r="OG89" s="79"/>
      <c r="OH89" s="79"/>
      <c r="OI89" s="79"/>
      <c r="OJ89" s="79"/>
      <c r="OK89" s="79"/>
      <c r="OL89" s="79"/>
      <c r="OM89" s="79"/>
      <c r="ON89" s="79"/>
      <c r="OO89" s="79"/>
      <c r="OP89" s="79"/>
      <c r="OQ89" s="79"/>
      <c r="OR89" s="79"/>
      <c r="OS89" s="79"/>
      <c r="OT89" s="79"/>
      <c r="OU89" s="79"/>
      <c r="OV89" s="79"/>
      <c r="OW89" s="79"/>
      <c r="OX89" s="79"/>
      <c r="OY89" s="79"/>
      <c r="OZ89" s="79"/>
      <c r="PA89" s="79"/>
      <c r="PB89" s="79"/>
      <c r="PC89" s="79"/>
      <c r="PD89" s="79"/>
      <c r="PE89" s="79"/>
      <c r="PF89" s="79"/>
      <c r="PG89" s="79"/>
      <c r="PH89" s="79"/>
      <c r="PI89" s="79"/>
      <c r="PJ89" s="79"/>
      <c r="PK89" s="79"/>
      <c r="PL89" s="79"/>
      <c r="PM89" s="79"/>
      <c r="PN89" s="79"/>
      <c r="PO89" s="79"/>
      <c r="PP89" s="79"/>
      <c r="PQ89" s="79"/>
      <c r="PR89" s="79"/>
      <c r="PS89" s="79"/>
      <c r="PT89" s="79"/>
      <c r="PU89" s="79"/>
      <c r="PV89" s="79"/>
      <c r="PW89" s="79"/>
      <c r="PX89" s="79"/>
      <c r="PY89" s="79"/>
      <c r="PZ89" s="79"/>
      <c r="QA89" s="79"/>
      <c r="QB89" s="79"/>
      <c r="QC89" s="79"/>
      <c r="QD89" s="79"/>
      <c r="QE89" s="79"/>
      <c r="QF89" s="79"/>
      <c r="QG89" s="79"/>
      <c r="QH89" s="79"/>
      <c r="QI89" s="79"/>
      <c r="QJ89" s="79"/>
      <c r="QK89" s="79"/>
      <c r="QL89" s="79"/>
      <c r="QM89" s="79"/>
      <c r="QN89" s="79"/>
      <c r="QO89" s="79"/>
      <c r="QP89" s="79"/>
      <c r="QQ89" s="79"/>
      <c r="QR89" s="79"/>
      <c r="QS89" s="79"/>
      <c r="QT89" s="79"/>
      <c r="QU89" s="79"/>
      <c r="QV89" s="79"/>
      <c r="QW89" s="79"/>
      <c r="QX89" s="79"/>
      <c r="QY89" s="79"/>
      <c r="QZ89" s="79"/>
      <c r="RA89" s="79"/>
      <c r="RB89" s="79"/>
      <c r="RC89" s="79"/>
      <c r="RD89" s="79"/>
      <c r="RE89" s="79"/>
      <c r="RF89" s="79"/>
      <c r="RG89" s="79"/>
      <c r="RH89" s="79"/>
      <c r="RI89" s="79"/>
      <c r="RJ89" s="79"/>
      <c r="RK89" s="79"/>
      <c r="RL89" s="79"/>
      <c r="RM89" s="79"/>
      <c r="RN89" s="79"/>
      <c r="RO89" s="79"/>
      <c r="RP89" s="79"/>
      <c r="RQ89" s="79"/>
      <c r="RR89" s="79"/>
      <c r="RS89" s="79"/>
      <c r="RT89" s="79"/>
      <c r="RU89" s="79"/>
      <c r="RV89" s="79"/>
      <c r="RW89" s="79"/>
      <c r="RX89" s="79"/>
      <c r="RY89" s="79"/>
      <c r="RZ89" s="79"/>
      <c r="SA89" s="79"/>
      <c r="SB89" s="79"/>
      <c r="SC89" s="79"/>
      <c r="SD89" s="79"/>
      <c r="SE89" s="79"/>
      <c r="SF89" s="79"/>
      <c r="SG89" s="79"/>
      <c r="SH89" s="79"/>
      <c r="SI89" s="79"/>
      <c r="SJ89" s="79"/>
    </row>
    <row r="90" spans="2:504" x14ac:dyDescent="0.25">
      <c r="B90" s="42" t="str">
        <f>'Pay App 1'!B140</f>
        <v>32 16 00</v>
      </c>
      <c r="C90" s="43" t="str">
        <f>'Pay App 1'!C140</f>
        <v>Site Concrete</v>
      </c>
      <c r="D90" s="82">
        <f t="shared" si="9"/>
        <v>0</v>
      </c>
      <c r="E90" s="79"/>
      <c r="F90" s="79"/>
      <c r="G90" s="79"/>
      <c r="H90" s="79"/>
      <c r="I90" s="79"/>
      <c r="J90" s="79"/>
      <c r="K90" s="79"/>
      <c r="L90" s="79"/>
      <c r="M90" s="79"/>
      <c r="N90" s="79"/>
      <c r="O90" s="79"/>
      <c r="P90" s="79"/>
      <c r="Q90" s="79"/>
      <c r="R90" s="79"/>
      <c r="S90" s="79"/>
      <c r="T90" s="79"/>
      <c r="U90" s="79"/>
      <c r="V90" s="79"/>
      <c r="W90" s="79"/>
      <c r="X90" s="79"/>
      <c r="Y90" s="79"/>
      <c r="Z90" s="79"/>
      <c r="AA90" s="79"/>
      <c r="AB90" s="79"/>
      <c r="AC90" s="79"/>
      <c r="AD90" s="79"/>
      <c r="AE90" s="79"/>
      <c r="AF90" s="79"/>
      <c r="AG90" s="79"/>
      <c r="AH90" s="79"/>
      <c r="AI90" s="79"/>
      <c r="AJ90" s="79"/>
      <c r="AK90" s="79"/>
      <c r="AL90" s="79"/>
      <c r="AM90" s="79"/>
      <c r="AN90" s="79"/>
      <c r="AO90" s="79"/>
      <c r="AP90" s="79"/>
      <c r="AQ90" s="79"/>
      <c r="AR90" s="79"/>
      <c r="AS90" s="79"/>
      <c r="AT90" s="79"/>
      <c r="AU90" s="79"/>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c r="IW90" s="79"/>
      <c r="IX90" s="79"/>
      <c r="IY90" s="79"/>
      <c r="IZ90" s="79"/>
      <c r="JA90" s="79"/>
      <c r="JB90" s="79"/>
      <c r="JC90" s="79"/>
      <c r="JD90" s="79"/>
      <c r="JE90" s="79"/>
      <c r="JF90" s="79"/>
      <c r="JG90" s="79"/>
      <c r="JH90" s="79"/>
      <c r="JI90" s="79"/>
      <c r="JJ90" s="79"/>
      <c r="JK90" s="79"/>
      <c r="JL90" s="79"/>
      <c r="JM90" s="79"/>
      <c r="JN90" s="79"/>
      <c r="JO90" s="79"/>
      <c r="JP90" s="79"/>
      <c r="JQ90" s="79"/>
      <c r="JR90" s="79"/>
      <c r="JS90" s="79"/>
      <c r="JT90" s="79"/>
      <c r="JU90" s="79"/>
      <c r="JV90" s="79"/>
      <c r="JW90" s="79"/>
      <c r="JX90" s="79"/>
      <c r="JY90" s="79"/>
      <c r="JZ90" s="79"/>
      <c r="KA90" s="79"/>
      <c r="KB90" s="79"/>
      <c r="KC90" s="79"/>
      <c r="KD90" s="79"/>
      <c r="KE90" s="79"/>
      <c r="KF90" s="79"/>
      <c r="KG90" s="79"/>
      <c r="KH90" s="79"/>
      <c r="KI90" s="79"/>
      <c r="KJ90" s="79"/>
      <c r="KK90" s="79"/>
      <c r="KL90" s="79"/>
      <c r="KM90" s="79"/>
      <c r="KN90" s="79"/>
      <c r="KO90" s="79"/>
      <c r="KP90" s="79"/>
      <c r="KQ90" s="79"/>
      <c r="KR90" s="79"/>
      <c r="KS90" s="79"/>
      <c r="KT90" s="79"/>
      <c r="KU90" s="79"/>
      <c r="KV90" s="79"/>
      <c r="KW90" s="79"/>
      <c r="KX90" s="79"/>
      <c r="KY90" s="79"/>
      <c r="KZ90" s="79"/>
      <c r="LA90" s="79"/>
      <c r="LB90" s="79"/>
      <c r="LC90" s="79"/>
      <c r="LD90" s="79"/>
      <c r="LE90" s="79"/>
      <c r="LF90" s="79"/>
      <c r="LG90" s="79"/>
      <c r="LH90" s="79"/>
      <c r="LI90" s="79"/>
      <c r="LJ90" s="79"/>
      <c r="LK90" s="79"/>
      <c r="LL90" s="79"/>
      <c r="LM90" s="79"/>
      <c r="LN90" s="79"/>
      <c r="LO90" s="79"/>
      <c r="LP90" s="79"/>
      <c r="LQ90" s="79"/>
      <c r="LR90" s="79"/>
      <c r="LS90" s="79"/>
      <c r="LT90" s="79"/>
      <c r="LU90" s="79"/>
      <c r="LV90" s="79"/>
      <c r="LW90" s="79"/>
      <c r="LX90" s="79"/>
      <c r="LY90" s="79"/>
      <c r="LZ90" s="79"/>
      <c r="MA90" s="79"/>
      <c r="MB90" s="79"/>
      <c r="MC90" s="79"/>
      <c r="MD90" s="79"/>
      <c r="ME90" s="79"/>
      <c r="MF90" s="79"/>
      <c r="MG90" s="79"/>
      <c r="MH90" s="79"/>
      <c r="MI90" s="79"/>
      <c r="MJ90" s="79"/>
      <c r="MK90" s="79"/>
      <c r="ML90" s="79"/>
      <c r="MM90" s="79"/>
      <c r="MN90" s="79"/>
      <c r="MO90" s="79"/>
      <c r="MP90" s="79"/>
      <c r="MQ90" s="79"/>
      <c r="MR90" s="79"/>
      <c r="MS90" s="79"/>
      <c r="MT90" s="79"/>
      <c r="MU90" s="79"/>
      <c r="MV90" s="79"/>
      <c r="MW90" s="79"/>
      <c r="MX90" s="79"/>
      <c r="MY90" s="79"/>
      <c r="MZ90" s="79"/>
      <c r="NA90" s="79"/>
      <c r="NB90" s="79"/>
      <c r="NC90" s="79"/>
      <c r="ND90" s="79"/>
      <c r="NE90" s="79"/>
      <c r="NF90" s="79"/>
      <c r="NG90" s="79"/>
      <c r="NH90" s="79"/>
      <c r="NI90" s="79"/>
      <c r="NJ90" s="79"/>
      <c r="NK90" s="79"/>
      <c r="NL90" s="79"/>
      <c r="NM90" s="79"/>
      <c r="NN90" s="79"/>
      <c r="NO90" s="79"/>
      <c r="NP90" s="79"/>
      <c r="NQ90" s="79"/>
      <c r="NR90" s="79"/>
      <c r="NS90" s="79"/>
      <c r="NT90" s="79"/>
      <c r="NU90" s="79"/>
      <c r="NV90" s="79"/>
      <c r="NW90" s="79"/>
      <c r="NX90" s="79"/>
      <c r="NY90" s="79"/>
      <c r="NZ90" s="79"/>
      <c r="OA90" s="79"/>
      <c r="OB90" s="79"/>
      <c r="OC90" s="79"/>
      <c r="OD90" s="79"/>
      <c r="OE90" s="79"/>
      <c r="OF90" s="79"/>
      <c r="OG90" s="79"/>
      <c r="OH90" s="79"/>
      <c r="OI90" s="79"/>
      <c r="OJ90" s="79"/>
      <c r="OK90" s="79"/>
      <c r="OL90" s="79"/>
      <c r="OM90" s="79"/>
      <c r="ON90" s="79"/>
      <c r="OO90" s="79"/>
      <c r="OP90" s="79"/>
      <c r="OQ90" s="79"/>
      <c r="OR90" s="79"/>
      <c r="OS90" s="79"/>
      <c r="OT90" s="79"/>
      <c r="OU90" s="79"/>
      <c r="OV90" s="79"/>
      <c r="OW90" s="79"/>
      <c r="OX90" s="79"/>
      <c r="OY90" s="79"/>
      <c r="OZ90" s="79"/>
      <c r="PA90" s="79"/>
      <c r="PB90" s="79"/>
      <c r="PC90" s="79"/>
      <c r="PD90" s="79"/>
      <c r="PE90" s="79"/>
      <c r="PF90" s="79"/>
      <c r="PG90" s="79"/>
      <c r="PH90" s="79"/>
      <c r="PI90" s="79"/>
      <c r="PJ90" s="79"/>
      <c r="PK90" s="79"/>
      <c r="PL90" s="79"/>
      <c r="PM90" s="79"/>
      <c r="PN90" s="79"/>
      <c r="PO90" s="79"/>
      <c r="PP90" s="79"/>
      <c r="PQ90" s="79"/>
      <c r="PR90" s="79"/>
      <c r="PS90" s="79"/>
      <c r="PT90" s="79"/>
      <c r="PU90" s="79"/>
      <c r="PV90" s="79"/>
      <c r="PW90" s="79"/>
      <c r="PX90" s="79"/>
      <c r="PY90" s="79"/>
      <c r="PZ90" s="79"/>
      <c r="QA90" s="79"/>
      <c r="QB90" s="79"/>
      <c r="QC90" s="79"/>
      <c r="QD90" s="79"/>
      <c r="QE90" s="79"/>
      <c r="QF90" s="79"/>
      <c r="QG90" s="79"/>
      <c r="QH90" s="79"/>
      <c r="QI90" s="79"/>
      <c r="QJ90" s="79"/>
      <c r="QK90" s="79"/>
      <c r="QL90" s="79"/>
      <c r="QM90" s="79"/>
      <c r="QN90" s="79"/>
      <c r="QO90" s="79"/>
      <c r="QP90" s="79"/>
      <c r="QQ90" s="79"/>
      <c r="QR90" s="79"/>
      <c r="QS90" s="79"/>
      <c r="QT90" s="79"/>
      <c r="QU90" s="79"/>
      <c r="QV90" s="79"/>
      <c r="QW90" s="79"/>
      <c r="QX90" s="79"/>
      <c r="QY90" s="79"/>
      <c r="QZ90" s="79"/>
      <c r="RA90" s="79"/>
      <c r="RB90" s="79"/>
      <c r="RC90" s="79"/>
      <c r="RD90" s="79"/>
      <c r="RE90" s="79"/>
      <c r="RF90" s="79"/>
      <c r="RG90" s="79"/>
      <c r="RH90" s="79"/>
      <c r="RI90" s="79"/>
      <c r="RJ90" s="79"/>
      <c r="RK90" s="79"/>
      <c r="RL90" s="79"/>
      <c r="RM90" s="79"/>
      <c r="RN90" s="79"/>
      <c r="RO90" s="79"/>
      <c r="RP90" s="79"/>
      <c r="RQ90" s="79"/>
      <c r="RR90" s="79"/>
      <c r="RS90" s="79"/>
      <c r="RT90" s="79"/>
      <c r="RU90" s="79"/>
      <c r="RV90" s="79"/>
      <c r="RW90" s="79"/>
      <c r="RX90" s="79"/>
      <c r="RY90" s="79"/>
      <c r="RZ90" s="79"/>
      <c r="SA90" s="79"/>
      <c r="SB90" s="79"/>
      <c r="SC90" s="79"/>
      <c r="SD90" s="79"/>
      <c r="SE90" s="79"/>
      <c r="SF90" s="79"/>
      <c r="SG90" s="79"/>
      <c r="SH90" s="79"/>
      <c r="SI90" s="79"/>
      <c r="SJ90" s="79"/>
    </row>
    <row r="91" spans="2:504" x14ac:dyDescent="0.25">
      <c r="B91" s="42" t="str">
        <f>'Pay App 1'!B141</f>
        <v>32 30 00</v>
      </c>
      <c r="C91" s="43" t="str">
        <f>'Pay App 1'!C141</f>
        <v>Site Improvements/Fencing</v>
      </c>
      <c r="D91" s="82">
        <f t="shared" si="9"/>
        <v>0</v>
      </c>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79"/>
      <c r="AI91" s="79"/>
      <c r="AJ91" s="79"/>
      <c r="AK91" s="79"/>
      <c r="AL91" s="79"/>
      <c r="AM91" s="79"/>
      <c r="AN91" s="79"/>
      <c r="AO91" s="79"/>
      <c r="AP91" s="79"/>
      <c r="AQ91" s="79"/>
      <c r="AR91" s="79"/>
      <c r="AS91" s="79"/>
      <c r="AT91" s="79"/>
      <c r="AU91" s="79"/>
      <c r="AV91" s="79"/>
      <c r="AW91" s="79"/>
      <c r="AX91" s="79"/>
      <c r="AY91" s="79"/>
      <c r="AZ91" s="79"/>
      <c r="BA91" s="79"/>
      <c r="BB91" s="79"/>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c r="IW91" s="79"/>
      <c r="IX91" s="79"/>
      <c r="IY91" s="79"/>
      <c r="IZ91" s="79"/>
      <c r="JA91" s="79"/>
      <c r="JB91" s="79"/>
      <c r="JC91" s="79"/>
      <c r="JD91" s="79"/>
      <c r="JE91" s="79"/>
      <c r="JF91" s="79"/>
      <c r="JG91" s="79"/>
      <c r="JH91" s="79"/>
      <c r="JI91" s="79"/>
      <c r="JJ91" s="79"/>
      <c r="JK91" s="79"/>
      <c r="JL91" s="79"/>
      <c r="JM91" s="79"/>
      <c r="JN91" s="79"/>
      <c r="JO91" s="79"/>
      <c r="JP91" s="79"/>
      <c r="JQ91" s="79"/>
      <c r="JR91" s="79"/>
      <c r="JS91" s="79"/>
      <c r="JT91" s="79"/>
      <c r="JU91" s="79"/>
      <c r="JV91" s="79"/>
      <c r="JW91" s="79"/>
      <c r="JX91" s="79"/>
      <c r="JY91" s="79"/>
      <c r="JZ91" s="79"/>
      <c r="KA91" s="79"/>
      <c r="KB91" s="79"/>
      <c r="KC91" s="79"/>
      <c r="KD91" s="79"/>
      <c r="KE91" s="79"/>
      <c r="KF91" s="79"/>
      <c r="KG91" s="79"/>
      <c r="KH91" s="79"/>
      <c r="KI91" s="79"/>
      <c r="KJ91" s="79"/>
      <c r="KK91" s="79"/>
      <c r="KL91" s="79"/>
      <c r="KM91" s="79"/>
      <c r="KN91" s="79"/>
      <c r="KO91" s="79"/>
      <c r="KP91" s="79"/>
      <c r="KQ91" s="79"/>
      <c r="KR91" s="79"/>
      <c r="KS91" s="79"/>
      <c r="KT91" s="79"/>
      <c r="KU91" s="79"/>
      <c r="KV91" s="79"/>
      <c r="KW91" s="79"/>
      <c r="KX91" s="79"/>
      <c r="KY91" s="79"/>
      <c r="KZ91" s="79"/>
      <c r="LA91" s="79"/>
      <c r="LB91" s="79"/>
      <c r="LC91" s="79"/>
      <c r="LD91" s="79"/>
      <c r="LE91" s="79"/>
      <c r="LF91" s="79"/>
      <c r="LG91" s="79"/>
      <c r="LH91" s="79"/>
      <c r="LI91" s="79"/>
      <c r="LJ91" s="79"/>
      <c r="LK91" s="79"/>
      <c r="LL91" s="79"/>
      <c r="LM91" s="79"/>
      <c r="LN91" s="79"/>
      <c r="LO91" s="79"/>
      <c r="LP91" s="79"/>
      <c r="LQ91" s="79"/>
      <c r="LR91" s="79"/>
      <c r="LS91" s="79"/>
      <c r="LT91" s="79"/>
      <c r="LU91" s="79"/>
      <c r="LV91" s="79"/>
      <c r="LW91" s="79"/>
      <c r="LX91" s="79"/>
      <c r="LY91" s="79"/>
      <c r="LZ91" s="79"/>
      <c r="MA91" s="79"/>
      <c r="MB91" s="79"/>
      <c r="MC91" s="79"/>
      <c r="MD91" s="79"/>
      <c r="ME91" s="79"/>
      <c r="MF91" s="79"/>
      <c r="MG91" s="79"/>
      <c r="MH91" s="79"/>
      <c r="MI91" s="79"/>
      <c r="MJ91" s="79"/>
      <c r="MK91" s="79"/>
      <c r="ML91" s="79"/>
      <c r="MM91" s="79"/>
      <c r="MN91" s="79"/>
      <c r="MO91" s="79"/>
      <c r="MP91" s="79"/>
      <c r="MQ91" s="79"/>
      <c r="MR91" s="79"/>
      <c r="MS91" s="79"/>
      <c r="MT91" s="79"/>
      <c r="MU91" s="79"/>
      <c r="MV91" s="79"/>
      <c r="MW91" s="79"/>
      <c r="MX91" s="79"/>
      <c r="MY91" s="79"/>
      <c r="MZ91" s="79"/>
      <c r="NA91" s="79"/>
      <c r="NB91" s="79"/>
      <c r="NC91" s="79"/>
      <c r="ND91" s="79"/>
      <c r="NE91" s="79"/>
      <c r="NF91" s="79"/>
      <c r="NG91" s="79"/>
      <c r="NH91" s="79"/>
      <c r="NI91" s="79"/>
      <c r="NJ91" s="79"/>
      <c r="NK91" s="79"/>
      <c r="NL91" s="79"/>
      <c r="NM91" s="79"/>
      <c r="NN91" s="79"/>
      <c r="NO91" s="79"/>
      <c r="NP91" s="79"/>
      <c r="NQ91" s="79"/>
      <c r="NR91" s="79"/>
      <c r="NS91" s="79"/>
      <c r="NT91" s="79"/>
      <c r="NU91" s="79"/>
      <c r="NV91" s="79"/>
      <c r="NW91" s="79"/>
      <c r="NX91" s="79"/>
      <c r="NY91" s="79"/>
      <c r="NZ91" s="79"/>
      <c r="OA91" s="79"/>
      <c r="OB91" s="79"/>
      <c r="OC91" s="79"/>
      <c r="OD91" s="79"/>
      <c r="OE91" s="79"/>
      <c r="OF91" s="79"/>
      <c r="OG91" s="79"/>
      <c r="OH91" s="79"/>
      <c r="OI91" s="79"/>
      <c r="OJ91" s="79"/>
      <c r="OK91" s="79"/>
      <c r="OL91" s="79"/>
      <c r="OM91" s="79"/>
      <c r="ON91" s="79"/>
      <c r="OO91" s="79"/>
      <c r="OP91" s="79"/>
      <c r="OQ91" s="79"/>
      <c r="OR91" s="79"/>
      <c r="OS91" s="79"/>
      <c r="OT91" s="79"/>
      <c r="OU91" s="79"/>
      <c r="OV91" s="79"/>
      <c r="OW91" s="79"/>
      <c r="OX91" s="79"/>
      <c r="OY91" s="79"/>
      <c r="OZ91" s="79"/>
      <c r="PA91" s="79"/>
      <c r="PB91" s="79"/>
      <c r="PC91" s="79"/>
      <c r="PD91" s="79"/>
      <c r="PE91" s="79"/>
      <c r="PF91" s="79"/>
      <c r="PG91" s="79"/>
      <c r="PH91" s="79"/>
      <c r="PI91" s="79"/>
      <c r="PJ91" s="79"/>
      <c r="PK91" s="79"/>
      <c r="PL91" s="79"/>
      <c r="PM91" s="79"/>
      <c r="PN91" s="79"/>
      <c r="PO91" s="79"/>
      <c r="PP91" s="79"/>
      <c r="PQ91" s="79"/>
      <c r="PR91" s="79"/>
      <c r="PS91" s="79"/>
      <c r="PT91" s="79"/>
      <c r="PU91" s="79"/>
      <c r="PV91" s="79"/>
      <c r="PW91" s="79"/>
      <c r="PX91" s="79"/>
      <c r="PY91" s="79"/>
      <c r="PZ91" s="79"/>
      <c r="QA91" s="79"/>
      <c r="QB91" s="79"/>
      <c r="QC91" s="79"/>
      <c r="QD91" s="79"/>
      <c r="QE91" s="79"/>
      <c r="QF91" s="79"/>
      <c r="QG91" s="79"/>
      <c r="QH91" s="79"/>
      <c r="QI91" s="79"/>
      <c r="QJ91" s="79"/>
      <c r="QK91" s="79"/>
      <c r="QL91" s="79"/>
      <c r="QM91" s="79"/>
      <c r="QN91" s="79"/>
      <c r="QO91" s="79"/>
      <c r="QP91" s="79"/>
      <c r="QQ91" s="79"/>
      <c r="QR91" s="79"/>
      <c r="QS91" s="79"/>
      <c r="QT91" s="79"/>
      <c r="QU91" s="79"/>
      <c r="QV91" s="79"/>
      <c r="QW91" s="79"/>
      <c r="QX91" s="79"/>
      <c r="QY91" s="79"/>
      <c r="QZ91" s="79"/>
      <c r="RA91" s="79"/>
      <c r="RB91" s="79"/>
      <c r="RC91" s="79"/>
      <c r="RD91" s="79"/>
      <c r="RE91" s="79"/>
      <c r="RF91" s="79"/>
      <c r="RG91" s="79"/>
      <c r="RH91" s="79"/>
      <c r="RI91" s="79"/>
      <c r="RJ91" s="79"/>
      <c r="RK91" s="79"/>
      <c r="RL91" s="79"/>
      <c r="RM91" s="79"/>
      <c r="RN91" s="79"/>
      <c r="RO91" s="79"/>
      <c r="RP91" s="79"/>
      <c r="RQ91" s="79"/>
      <c r="RR91" s="79"/>
      <c r="RS91" s="79"/>
      <c r="RT91" s="79"/>
      <c r="RU91" s="79"/>
      <c r="RV91" s="79"/>
      <c r="RW91" s="79"/>
      <c r="RX91" s="79"/>
      <c r="RY91" s="79"/>
      <c r="RZ91" s="79"/>
      <c r="SA91" s="79"/>
      <c r="SB91" s="79"/>
      <c r="SC91" s="79"/>
      <c r="SD91" s="79"/>
      <c r="SE91" s="79"/>
      <c r="SF91" s="79"/>
      <c r="SG91" s="79"/>
      <c r="SH91" s="79"/>
      <c r="SI91" s="79"/>
      <c r="SJ91" s="79"/>
    </row>
    <row r="92" spans="2:504" x14ac:dyDescent="0.25">
      <c r="B92" s="42" t="str">
        <f>'Pay App 1'!B142</f>
        <v>32 90 00</v>
      </c>
      <c r="C92" s="43" t="str">
        <f>'Pay App 1'!C142</f>
        <v>Landscaping/Irrigation</v>
      </c>
      <c r="D92" s="82">
        <f t="shared" si="9"/>
        <v>0</v>
      </c>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c r="AE92" s="79"/>
      <c r="AF92" s="79"/>
      <c r="AG92" s="79"/>
      <c r="AH92" s="79"/>
      <c r="AI92" s="79"/>
      <c r="AJ92" s="79"/>
      <c r="AK92" s="79"/>
      <c r="AL92" s="79"/>
      <c r="AM92" s="79"/>
      <c r="AN92" s="79"/>
      <c r="AO92" s="79"/>
      <c r="AP92" s="79"/>
      <c r="AQ92" s="79"/>
      <c r="AR92" s="79"/>
      <c r="AS92" s="79"/>
      <c r="AT92" s="79"/>
      <c r="AU92" s="79"/>
      <c r="AV92" s="79"/>
      <c r="AW92" s="79"/>
      <c r="AX92" s="79"/>
      <c r="AY92" s="79"/>
      <c r="AZ92" s="79"/>
      <c r="BA92" s="79"/>
      <c r="BB92" s="79"/>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c r="IW92" s="79"/>
      <c r="IX92" s="79"/>
      <c r="IY92" s="79"/>
      <c r="IZ92" s="79"/>
      <c r="JA92" s="79"/>
      <c r="JB92" s="79"/>
      <c r="JC92" s="79"/>
      <c r="JD92" s="79"/>
      <c r="JE92" s="79"/>
      <c r="JF92" s="79"/>
      <c r="JG92" s="79"/>
      <c r="JH92" s="79"/>
      <c r="JI92" s="79"/>
      <c r="JJ92" s="79"/>
      <c r="JK92" s="79"/>
      <c r="JL92" s="79"/>
      <c r="JM92" s="79"/>
      <c r="JN92" s="79"/>
      <c r="JO92" s="79"/>
      <c r="JP92" s="79"/>
      <c r="JQ92" s="79"/>
      <c r="JR92" s="79"/>
      <c r="JS92" s="79"/>
      <c r="JT92" s="79"/>
      <c r="JU92" s="79"/>
      <c r="JV92" s="79"/>
      <c r="JW92" s="79"/>
      <c r="JX92" s="79"/>
      <c r="JY92" s="79"/>
      <c r="JZ92" s="79"/>
      <c r="KA92" s="79"/>
      <c r="KB92" s="79"/>
      <c r="KC92" s="79"/>
      <c r="KD92" s="79"/>
      <c r="KE92" s="79"/>
      <c r="KF92" s="79"/>
      <c r="KG92" s="79"/>
      <c r="KH92" s="79"/>
      <c r="KI92" s="79"/>
      <c r="KJ92" s="79"/>
      <c r="KK92" s="79"/>
      <c r="KL92" s="79"/>
      <c r="KM92" s="79"/>
      <c r="KN92" s="79"/>
      <c r="KO92" s="79"/>
      <c r="KP92" s="79"/>
      <c r="KQ92" s="79"/>
      <c r="KR92" s="79"/>
      <c r="KS92" s="79"/>
      <c r="KT92" s="79"/>
      <c r="KU92" s="79"/>
      <c r="KV92" s="79"/>
      <c r="KW92" s="79"/>
      <c r="KX92" s="79"/>
      <c r="KY92" s="79"/>
      <c r="KZ92" s="79"/>
      <c r="LA92" s="79"/>
      <c r="LB92" s="79"/>
      <c r="LC92" s="79"/>
      <c r="LD92" s="79"/>
      <c r="LE92" s="79"/>
      <c r="LF92" s="79"/>
      <c r="LG92" s="79"/>
      <c r="LH92" s="79"/>
      <c r="LI92" s="79"/>
      <c r="LJ92" s="79"/>
      <c r="LK92" s="79"/>
      <c r="LL92" s="79"/>
      <c r="LM92" s="79"/>
      <c r="LN92" s="79"/>
      <c r="LO92" s="79"/>
      <c r="LP92" s="79"/>
      <c r="LQ92" s="79"/>
      <c r="LR92" s="79"/>
      <c r="LS92" s="79"/>
      <c r="LT92" s="79"/>
      <c r="LU92" s="79"/>
      <c r="LV92" s="79"/>
      <c r="LW92" s="79"/>
      <c r="LX92" s="79"/>
      <c r="LY92" s="79"/>
      <c r="LZ92" s="79"/>
      <c r="MA92" s="79"/>
      <c r="MB92" s="79"/>
      <c r="MC92" s="79"/>
      <c r="MD92" s="79"/>
      <c r="ME92" s="79"/>
      <c r="MF92" s="79"/>
      <c r="MG92" s="79"/>
      <c r="MH92" s="79"/>
      <c r="MI92" s="79"/>
      <c r="MJ92" s="79"/>
      <c r="MK92" s="79"/>
      <c r="ML92" s="79"/>
      <c r="MM92" s="79"/>
      <c r="MN92" s="79"/>
      <c r="MO92" s="79"/>
      <c r="MP92" s="79"/>
      <c r="MQ92" s="79"/>
      <c r="MR92" s="79"/>
      <c r="MS92" s="79"/>
      <c r="MT92" s="79"/>
      <c r="MU92" s="79"/>
      <c r="MV92" s="79"/>
      <c r="MW92" s="79"/>
      <c r="MX92" s="79"/>
      <c r="MY92" s="79"/>
      <c r="MZ92" s="79"/>
      <c r="NA92" s="79"/>
      <c r="NB92" s="79"/>
      <c r="NC92" s="79"/>
      <c r="ND92" s="79"/>
      <c r="NE92" s="79"/>
      <c r="NF92" s="79"/>
      <c r="NG92" s="79"/>
      <c r="NH92" s="79"/>
      <c r="NI92" s="79"/>
      <c r="NJ92" s="79"/>
      <c r="NK92" s="79"/>
      <c r="NL92" s="79"/>
      <c r="NM92" s="79"/>
      <c r="NN92" s="79"/>
      <c r="NO92" s="79"/>
      <c r="NP92" s="79"/>
      <c r="NQ92" s="79"/>
      <c r="NR92" s="79"/>
      <c r="NS92" s="79"/>
      <c r="NT92" s="79"/>
      <c r="NU92" s="79"/>
      <c r="NV92" s="79"/>
      <c r="NW92" s="79"/>
      <c r="NX92" s="79"/>
      <c r="NY92" s="79"/>
      <c r="NZ92" s="79"/>
      <c r="OA92" s="79"/>
      <c r="OB92" s="79"/>
      <c r="OC92" s="79"/>
      <c r="OD92" s="79"/>
      <c r="OE92" s="79"/>
      <c r="OF92" s="79"/>
      <c r="OG92" s="79"/>
      <c r="OH92" s="79"/>
      <c r="OI92" s="79"/>
      <c r="OJ92" s="79"/>
      <c r="OK92" s="79"/>
      <c r="OL92" s="79"/>
      <c r="OM92" s="79"/>
      <c r="ON92" s="79"/>
      <c r="OO92" s="79"/>
      <c r="OP92" s="79"/>
      <c r="OQ92" s="79"/>
      <c r="OR92" s="79"/>
      <c r="OS92" s="79"/>
      <c r="OT92" s="79"/>
      <c r="OU92" s="79"/>
      <c r="OV92" s="79"/>
      <c r="OW92" s="79"/>
      <c r="OX92" s="79"/>
      <c r="OY92" s="79"/>
      <c r="OZ92" s="79"/>
      <c r="PA92" s="79"/>
      <c r="PB92" s="79"/>
      <c r="PC92" s="79"/>
      <c r="PD92" s="79"/>
      <c r="PE92" s="79"/>
      <c r="PF92" s="79"/>
      <c r="PG92" s="79"/>
      <c r="PH92" s="79"/>
      <c r="PI92" s="79"/>
      <c r="PJ92" s="79"/>
      <c r="PK92" s="79"/>
      <c r="PL92" s="79"/>
      <c r="PM92" s="79"/>
      <c r="PN92" s="79"/>
      <c r="PO92" s="79"/>
      <c r="PP92" s="79"/>
      <c r="PQ92" s="79"/>
      <c r="PR92" s="79"/>
      <c r="PS92" s="79"/>
      <c r="PT92" s="79"/>
      <c r="PU92" s="79"/>
      <c r="PV92" s="79"/>
      <c r="PW92" s="79"/>
      <c r="PX92" s="79"/>
      <c r="PY92" s="79"/>
      <c r="PZ92" s="79"/>
      <c r="QA92" s="79"/>
      <c r="QB92" s="79"/>
      <c r="QC92" s="79"/>
      <c r="QD92" s="79"/>
      <c r="QE92" s="79"/>
      <c r="QF92" s="79"/>
      <c r="QG92" s="79"/>
      <c r="QH92" s="79"/>
      <c r="QI92" s="79"/>
      <c r="QJ92" s="79"/>
      <c r="QK92" s="79"/>
      <c r="QL92" s="79"/>
      <c r="QM92" s="79"/>
      <c r="QN92" s="79"/>
      <c r="QO92" s="79"/>
      <c r="QP92" s="79"/>
      <c r="QQ92" s="79"/>
      <c r="QR92" s="79"/>
      <c r="QS92" s="79"/>
      <c r="QT92" s="79"/>
      <c r="QU92" s="79"/>
      <c r="QV92" s="79"/>
      <c r="QW92" s="79"/>
      <c r="QX92" s="79"/>
      <c r="QY92" s="79"/>
      <c r="QZ92" s="79"/>
      <c r="RA92" s="79"/>
      <c r="RB92" s="79"/>
      <c r="RC92" s="79"/>
      <c r="RD92" s="79"/>
      <c r="RE92" s="79"/>
      <c r="RF92" s="79"/>
      <c r="RG92" s="79"/>
      <c r="RH92" s="79"/>
      <c r="RI92" s="79"/>
      <c r="RJ92" s="79"/>
      <c r="RK92" s="79"/>
      <c r="RL92" s="79"/>
      <c r="RM92" s="79"/>
      <c r="RN92" s="79"/>
      <c r="RO92" s="79"/>
      <c r="RP92" s="79"/>
      <c r="RQ92" s="79"/>
      <c r="RR92" s="79"/>
      <c r="RS92" s="79"/>
      <c r="RT92" s="79"/>
      <c r="RU92" s="79"/>
      <c r="RV92" s="79"/>
      <c r="RW92" s="79"/>
      <c r="RX92" s="79"/>
      <c r="RY92" s="79"/>
      <c r="RZ92" s="79"/>
      <c r="SA92" s="79"/>
      <c r="SB92" s="79"/>
      <c r="SC92" s="79"/>
      <c r="SD92" s="79"/>
      <c r="SE92" s="79"/>
      <c r="SF92" s="79"/>
      <c r="SG92" s="79"/>
      <c r="SH92" s="79"/>
      <c r="SI92" s="79"/>
      <c r="SJ92" s="79"/>
    </row>
    <row r="93" spans="2:504" x14ac:dyDescent="0.25">
      <c r="B93" s="44" t="str">
        <f>'Pay App 1'!B143</f>
        <v>33 00 00</v>
      </c>
      <c r="C93" s="45" t="str">
        <f>'Pay App 1'!C143</f>
        <v>Site Utilities</v>
      </c>
      <c r="D93" s="82">
        <f t="shared" si="9"/>
        <v>0</v>
      </c>
      <c r="E93" s="79"/>
      <c r="F93" s="79"/>
      <c r="G93" s="79"/>
      <c r="H93" s="79"/>
      <c r="I93" s="79"/>
      <c r="J93" s="79"/>
      <c r="K93" s="79"/>
      <c r="L93" s="79"/>
      <c r="M93" s="79"/>
      <c r="N93" s="79"/>
      <c r="O93" s="79"/>
      <c r="P93" s="79"/>
      <c r="Q93" s="79"/>
      <c r="R93" s="79"/>
      <c r="S93" s="79"/>
      <c r="T93" s="79"/>
      <c r="U93" s="79"/>
      <c r="V93" s="79"/>
      <c r="W93" s="79"/>
      <c r="X93" s="79"/>
      <c r="Y93" s="79"/>
      <c r="Z93" s="79"/>
      <c r="AA93" s="79"/>
      <c r="AB93" s="79"/>
      <c r="AC93" s="79"/>
      <c r="AD93" s="79"/>
      <c r="AE93" s="79"/>
      <c r="AF93" s="79"/>
      <c r="AG93" s="79"/>
      <c r="AH93" s="79"/>
      <c r="AI93" s="79"/>
      <c r="AJ93" s="79"/>
      <c r="AK93" s="79"/>
      <c r="AL93" s="79"/>
      <c r="AM93" s="79"/>
      <c r="AN93" s="79"/>
      <c r="AO93" s="79"/>
      <c r="AP93" s="79"/>
      <c r="AQ93" s="79"/>
      <c r="AR93" s="79"/>
      <c r="AS93" s="79"/>
      <c r="AT93" s="79"/>
      <c r="AU93" s="79"/>
      <c r="AV93" s="79"/>
      <c r="AW93" s="79"/>
      <c r="AX93" s="79"/>
      <c r="AY93" s="79"/>
      <c r="AZ93" s="79"/>
      <c r="BA93" s="79"/>
      <c r="BB93" s="79"/>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c r="IW93" s="79"/>
      <c r="IX93" s="79"/>
      <c r="IY93" s="79"/>
      <c r="IZ93" s="79"/>
      <c r="JA93" s="79"/>
      <c r="JB93" s="79"/>
      <c r="JC93" s="79"/>
      <c r="JD93" s="79"/>
      <c r="JE93" s="79"/>
      <c r="JF93" s="79"/>
      <c r="JG93" s="79"/>
      <c r="JH93" s="79"/>
      <c r="JI93" s="79"/>
      <c r="JJ93" s="79"/>
      <c r="JK93" s="79"/>
      <c r="JL93" s="79"/>
      <c r="JM93" s="79"/>
      <c r="JN93" s="79"/>
      <c r="JO93" s="79"/>
      <c r="JP93" s="79"/>
      <c r="JQ93" s="79"/>
      <c r="JR93" s="79"/>
      <c r="JS93" s="79"/>
      <c r="JT93" s="79"/>
      <c r="JU93" s="79"/>
      <c r="JV93" s="79"/>
      <c r="JW93" s="79"/>
      <c r="JX93" s="79"/>
      <c r="JY93" s="79"/>
      <c r="JZ93" s="79"/>
      <c r="KA93" s="79"/>
      <c r="KB93" s="79"/>
      <c r="KC93" s="79"/>
      <c r="KD93" s="79"/>
      <c r="KE93" s="79"/>
      <c r="KF93" s="79"/>
      <c r="KG93" s="79"/>
      <c r="KH93" s="79"/>
      <c r="KI93" s="79"/>
      <c r="KJ93" s="79"/>
      <c r="KK93" s="79"/>
      <c r="KL93" s="79"/>
      <c r="KM93" s="79"/>
      <c r="KN93" s="79"/>
      <c r="KO93" s="79"/>
      <c r="KP93" s="79"/>
      <c r="KQ93" s="79"/>
      <c r="KR93" s="79"/>
      <c r="KS93" s="79"/>
      <c r="KT93" s="79"/>
      <c r="KU93" s="79"/>
      <c r="KV93" s="79"/>
      <c r="KW93" s="79"/>
      <c r="KX93" s="79"/>
      <c r="KY93" s="79"/>
      <c r="KZ93" s="79"/>
      <c r="LA93" s="79"/>
      <c r="LB93" s="79"/>
      <c r="LC93" s="79"/>
      <c r="LD93" s="79"/>
      <c r="LE93" s="79"/>
      <c r="LF93" s="79"/>
      <c r="LG93" s="79"/>
      <c r="LH93" s="79"/>
      <c r="LI93" s="79"/>
      <c r="LJ93" s="79"/>
      <c r="LK93" s="79"/>
      <c r="LL93" s="79"/>
      <c r="LM93" s="79"/>
      <c r="LN93" s="79"/>
      <c r="LO93" s="79"/>
      <c r="LP93" s="79"/>
      <c r="LQ93" s="79"/>
      <c r="LR93" s="79"/>
      <c r="LS93" s="79"/>
      <c r="LT93" s="79"/>
      <c r="LU93" s="79"/>
      <c r="LV93" s="79"/>
      <c r="LW93" s="79"/>
      <c r="LX93" s="79"/>
      <c r="LY93" s="79"/>
      <c r="LZ93" s="79"/>
      <c r="MA93" s="79"/>
      <c r="MB93" s="79"/>
      <c r="MC93" s="79"/>
      <c r="MD93" s="79"/>
      <c r="ME93" s="79"/>
      <c r="MF93" s="79"/>
      <c r="MG93" s="79"/>
      <c r="MH93" s="79"/>
      <c r="MI93" s="79"/>
      <c r="MJ93" s="79"/>
      <c r="MK93" s="79"/>
      <c r="ML93" s="79"/>
      <c r="MM93" s="79"/>
      <c r="MN93" s="79"/>
      <c r="MO93" s="79"/>
      <c r="MP93" s="79"/>
      <c r="MQ93" s="79"/>
      <c r="MR93" s="79"/>
      <c r="MS93" s="79"/>
      <c r="MT93" s="79"/>
      <c r="MU93" s="79"/>
      <c r="MV93" s="79"/>
      <c r="MW93" s="79"/>
      <c r="MX93" s="79"/>
      <c r="MY93" s="79"/>
      <c r="MZ93" s="79"/>
      <c r="NA93" s="79"/>
      <c r="NB93" s="79"/>
      <c r="NC93" s="79"/>
      <c r="ND93" s="79"/>
      <c r="NE93" s="79"/>
      <c r="NF93" s="79"/>
      <c r="NG93" s="79"/>
      <c r="NH93" s="79"/>
      <c r="NI93" s="79"/>
      <c r="NJ93" s="79"/>
      <c r="NK93" s="79"/>
      <c r="NL93" s="79"/>
      <c r="NM93" s="79"/>
      <c r="NN93" s="79"/>
      <c r="NO93" s="79"/>
      <c r="NP93" s="79"/>
      <c r="NQ93" s="79"/>
      <c r="NR93" s="79"/>
      <c r="NS93" s="79"/>
      <c r="NT93" s="79"/>
      <c r="NU93" s="79"/>
      <c r="NV93" s="79"/>
      <c r="NW93" s="79"/>
      <c r="NX93" s="79"/>
      <c r="NY93" s="79"/>
      <c r="NZ93" s="79"/>
      <c r="OA93" s="79"/>
      <c r="OB93" s="79"/>
      <c r="OC93" s="79"/>
      <c r="OD93" s="79"/>
      <c r="OE93" s="79"/>
      <c r="OF93" s="79"/>
      <c r="OG93" s="79"/>
      <c r="OH93" s="79"/>
      <c r="OI93" s="79"/>
      <c r="OJ93" s="79"/>
      <c r="OK93" s="79"/>
      <c r="OL93" s="79"/>
      <c r="OM93" s="79"/>
      <c r="ON93" s="79"/>
      <c r="OO93" s="79"/>
      <c r="OP93" s="79"/>
      <c r="OQ93" s="79"/>
      <c r="OR93" s="79"/>
      <c r="OS93" s="79"/>
      <c r="OT93" s="79"/>
      <c r="OU93" s="79"/>
      <c r="OV93" s="79"/>
      <c r="OW93" s="79"/>
      <c r="OX93" s="79"/>
      <c r="OY93" s="79"/>
      <c r="OZ93" s="79"/>
      <c r="PA93" s="79"/>
      <c r="PB93" s="79"/>
      <c r="PC93" s="79"/>
      <c r="PD93" s="79"/>
      <c r="PE93" s="79"/>
      <c r="PF93" s="79"/>
      <c r="PG93" s="79"/>
      <c r="PH93" s="79"/>
      <c r="PI93" s="79"/>
      <c r="PJ93" s="79"/>
      <c r="PK93" s="79"/>
      <c r="PL93" s="79"/>
      <c r="PM93" s="79"/>
      <c r="PN93" s="79"/>
      <c r="PO93" s="79"/>
      <c r="PP93" s="79"/>
      <c r="PQ93" s="79"/>
      <c r="PR93" s="79"/>
      <c r="PS93" s="79"/>
      <c r="PT93" s="79"/>
      <c r="PU93" s="79"/>
      <c r="PV93" s="79"/>
      <c r="PW93" s="79"/>
      <c r="PX93" s="79"/>
      <c r="PY93" s="79"/>
      <c r="PZ93" s="79"/>
      <c r="QA93" s="79"/>
      <c r="QB93" s="79"/>
      <c r="QC93" s="79"/>
      <c r="QD93" s="79"/>
      <c r="QE93" s="79"/>
      <c r="QF93" s="79"/>
      <c r="QG93" s="79"/>
      <c r="QH93" s="79"/>
      <c r="QI93" s="79"/>
      <c r="QJ93" s="79"/>
      <c r="QK93" s="79"/>
      <c r="QL93" s="79"/>
      <c r="QM93" s="79"/>
      <c r="QN93" s="79"/>
      <c r="QO93" s="79"/>
      <c r="QP93" s="79"/>
      <c r="QQ93" s="79"/>
      <c r="QR93" s="79"/>
      <c r="QS93" s="79"/>
      <c r="QT93" s="79"/>
      <c r="QU93" s="79"/>
      <c r="QV93" s="79"/>
      <c r="QW93" s="79"/>
      <c r="QX93" s="79"/>
      <c r="QY93" s="79"/>
      <c r="QZ93" s="79"/>
      <c r="RA93" s="79"/>
      <c r="RB93" s="79"/>
      <c r="RC93" s="79"/>
      <c r="RD93" s="79"/>
      <c r="RE93" s="79"/>
      <c r="RF93" s="79"/>
      <c r="RG93" s="79"/>
      <c r="RH93" s="79"/>
      <c r="RI93" s="79"/>
      <c r="RJ93" s="79"/>
      <c r="RK93" s="79"/>
      <c r="RL93" s="79"/>
      <c r="RM93" s="79"/>
      <c r="RN93" s="79"/>
      <c r="RO93" s="79"/>
      <c r="RP93" s="79"/>
      <c r="RQ93" s="79"/>
      <c r="RR93" s="79"/>
      <c r="RS93" s="79"/>
      <c r="RT93" s="79"/>
      <c r="RU93" s="79"/>
      <c r="RV93" s="79"/>
      <c r="RW93" s="79"/>
      <c r="RX93" s="79"/>
      <c r="RY93" s="79"/>
      <c r="RZ93" s="79"/>
      <c r="SA93" s="79"/>
      <c r="SB93" s="79"/>
      <c r="SC93" s="79"/>
      <c r="SD93" s="79"/>
      <c r="SE93" s="79"/>
      <c r="SF93" s="79"/>
      <c r="SG93" s="79"/>
      <c r="SH93" s="79"/>
      <c r="SI93" s="79"/>
      <c r="SJ93" s="79"/>
    </row>
    <row r="94" spans="2:504" x14ac:dyDescent="0.25">
      <c r="B94" s="44" t="str">
        <f>'Pay App 1'!B144</f>
        <v>33 40 00</v>
      </c>
      <c r="C94" s="45" t="str">
        <f>'Pay App 1'!C144</f>
        <v>Underground Storm Retention Sys</v>
      </c>
      <c r="D94" s="82">
        <f t="shared" si="9"/>
        <v>0</v>
      </c>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79"/>
      <c r="AY94" s="79"/>
      <c r="AZ94" s="79"/>
      <c r="BA94" s="79"/>
      <c r="BB94" s="79"/>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c r="IW94" s="79"/>
      <c r="IX94" s="79"/>
      <c r="IY94" s="79"/>
      <c r="IZ94" s="79"/>
      <c r="JA94" s="79"/>
      <c r="JB94" s="79"/>
      <c r="JC94" s="79"/>
      <c r="JD94" s="79"/>
      <c r="JE94" s="79"/>
      <c r="JF94" s="79"/>
      <c r="JG94" s="79"/>
      <c r="JH94" s="79"/>
      <c r="JI94" s="79"/>
      <c r="JJ94" s="79"/>
      <c r="JK94" s="79"/>
      <c r="JL94" s="79"/>
      <c r="JM94" s="79"/>
      <c r="JN94" s="79"/>
      <c r="JO94" s="79"/>
      <c r="JP94" s="79"/>
      <c r="JQ94" s="79"/>
      <c r="JR94" s="79"/>
      <c r="JS94" s="79"/>
      <c r="JT94" s="79"/>
      <c r="JU94" s="79"/>
      <c r="JV94" s="79"/>
      <c r="JW94" s="79"/>
      <c r="JX94" s="79"/>
      <c r="JY94" s="79"/>
      <c r="JZ94" s="79"/>
      <c r="KA94" s="79"/>
      <c r="KB94" s="79"/>
      <c r="KC94" s="79"/>
      <c r="KD94" s="79"/>
      <c r="KE94" s="79"/>
      <c r="KF94" s="79"/>
      <c r="KG94" s="79"/>
      <c r="KH94" s="79"/>
      <c r="KI94" s="79"/>
      <c r="KJ94" s="79"/>
      <c r="KK94" s="79"/>
      <c r="KL94" s="79"/>
      <c r="KM94" s="79"/>
      <c r="KN94" s="79"/>
      <c r="KO94" s="79"/>
      <c r="KP94" s="79"/>
      <c r="KQ94" s="79"/>
      <c r="KR94" s="79"/>
      <c r="KS94" s="79"/>
      <c r="KT94" s="79"/>
      <c r="KU94" s="79"/>
      <c r="KV94" s="79"/>
      <c r="KW94" s="79"/>
      <c r="KX94" s="79"/>
      <c r="KY94" s="79"/>
      <c r="KZ94" s="79"/>
      <c r="LA94" s="79"/>
      <c r="LB94" s="79"/>
      <c r="LC94" s="79"/>
      <c r="LD94" s="79"/>
      <c r="LE94" s="79"/>
      <c r="LF94" s="79"/>
      <c r="LG94" s="79"/>
      <c r="LH94" s="79"/>
      <c r="LI94" s="79"/>
      <c r="LJ94" s="79"/>
      <c r="LK94" s="79"/>
      <c r="LL94" s="79"/>
      <c r="LM94" s="79"/>
      <c r="LN94" s="79"/>
      <c r="LO94" s="79"/>
      <c r="LP94" s="79"/>
      <c r="LQ94" s="79"/>
      <c r="LR94" s="79"/>
      <c r="LS94" s="79"/>
      <c r="LT94" s="79"/>
      <c r="LU94" s="79"/>
      <c r="LV94" s="79"/>
      <c r="LW94" s="79"/>
      <c r="LX94" s="79"/>
      <c r="LY94" s="79"/>
      <c r="LZ94" s="79"/>
      <c r="MA94" s="79"/>
      <c r="MB94" s="79"/>
      <c r="MC94" s="79"/>
      <c r="MD94" s="79"/>
      <c r="ME94" s="79"/>
      <c r="MF94" s="79"/>
      <c r="MG94" s="79"/>
      <c r="MH94" s="79"/>
      <c r="MI94" s="79"/>
      <c r="MJ94" s="79"/>
      <c r="MK94" s="79"/>
      <c r="ML94" s="79"/>
      <c r="MM94" s="79"/>
      <c r="MN94" s="79"/>
      <c r="MO94" s="79"/>
      <c r="MP94" s="79"/>
      <c r="MQ94" s="79"/>
      <c r="MR94" s="79"/>
      <c r="MS94" s="79"/>
      <c r="MT94" s="79"/>
      <c r="MU94" s="79"/>
      <c r="MV94" s="79"/>
      <c r="MW94" s="79"/>
      <c r="MX94" s="79"/>
      <c r="MY94" s="79"/>
      <c r="MZ94" s="79"/>
      <c r="NA94" s="79"/>
      <c r="NB94" s="79"/>
      <c r="NC94" s="79"/>
      <c r="ND94" s="79"/>
      <c r="NE94" s="79"/>
      <c r="NF94" s="79"/>
      <c r="NG94" s="79"/>
      <c r="NH94" s="79"/>
      <c r="NI94" s="79"/>
      <c r="NJ94" s="79"/>
      <c r="NK94" s="79"/>
      <c r="NL94" s="79"/>
      <c r="NM94" s="79"/>
      <c r="NN94" s="79"/>
      <c r="NO94" s="79"/>
      <c r="NP94" s="79"/>
      <c r="NQ94" s="79"/>
      <c r="NR94" s="79"/>
      <c r="NS94" s="79"/>
      <c r="NT94" s="79"/>
      <c r="NU94" s="79"/>
      <c r="NV94" s="79"/>
      <c r="NW94" s="79"/>
      <c r="NX94" s="79"/>
      <c r="NY94" s="79"/>
      <c r="NZ94" s="79"/>
      <c r="OA94" s="79"/>
      <c r="OB94" s="79"/>
      <c r="OC94" s="79"/>
      <c r="OD94" s="79"/>
      <c r="OE94" s="79"/>
      <c r="OF94" s="79"/>
      <c r="OG94" s="79"/>
      <c r="OH94" s="79"/>
      <c r="OI94" s="79"/>
      <c r="OJ94" s="79"/>
      <c r="OK94" s="79"/>
      <c r="OL94" s="79"/>
      <c r="OM94" s="79"/>
      <c r="ON94" s="79"/>
      <c r="OO94" s="79"/>
      <c r="OP94" s="79"/>
      <c r="OQ94" s="79"/>
      <c r="OR94" s="79"/>
      <c r="OS94" s="79"/>
      <c r="OT94" s="79"/>
      <c r="OU94" s="79"/>
      <c r="OV94" s="79"/>
      <c r="OW94" s="79"/>
      <c r="OX94" s="79"/>
      <c r="OY94" s="79"/>
      <c r="OZ94" s="79"/>
      <c r="PA94" s="79"/>
      <c r="PB94" s="79"/>
      <c r="PC94" s="79"/>
      <c r="PD94" s="79"/>
      <c r="PE94" s="79"/>
      <c r="PF94" s="79"/>
      <c r="PG94" s="79"/>
      <c r="PH94" s="79"/>
      <c r="PI94" s="79"/>
      <c r="PJ94" s="79"/>
      <c r="PK94" s="79"/>
      <c r="PL94" s="79"/>
      <c r="PM94" s="79"/>
      <c r="PN94" s="79"/>
      <c r="PO94" s="79"/>
      <c r="PP94" s="79"/>
      <c r="PQ94" s="79"/>
      <c r="PR94" s="79"/>
      <c r="PS94" s="79"/>
      <c r="PT94" s="79"/>
      <c r="PU94" s="79"/>
      <c r="PV94" s="79"/>
      <c r="PW94" s="79"/>
      <c r="PX94" s="79"/>
      <c r="PY94" s="79"/>
      <c r="PZ94" s="79"/>
      <c r="QA94" s="79"/>
      <c r="QB94" s="79"/>
      <c r="QC94" s="79"/>
      <c r="QD94" s="79"/>
      <c r="QE94" s="79"/>
      <c r="QF94" s="79"/>
      <c r="QG94" s="79"/>
      <c r="QH94" s="79"/>
      <c r="QI94" s="79"/>
      <c r="QJ94" s="79"/>
      <c r="QK94" s="79"/>
      <c r="QL94" s="79"/>
      <c r="QM94" s="79"/>
      <c r="QN94" s="79"/>
      <c r="QO94" s="79"/>
      <c r="QP94" s="79"/>
      <c r="QQ94" s="79"/>
      <c r="QR94" s="79"/>
      <c r="QS94" s="79"/>
      <c r="QT94" s="79"/>
      <c r="QU94" s="79"/>
      <c r="QV94" s="79"/>
      <c r="QW94" s="79"/>
      <c r="QX94" s="79"/>
      <c r="QY94" s="79"/>
      <c r="QZ94" s="79"/>
      <c r="RA94" s="79"/>
      <c r="RB94" s="79"/>
      <c r="RC94" s="79"/>
      <c r="RD94" s="79"/>
      <c r="RE94" s="79"/>
      <c r="RF94" s="79"/>
      <c r="RG94" s="79"/>
      <c r="RH94" s="79"/>
      <c r="RI94" s="79"/>
      <c r="RJ94" s="79"/>
      <c r="RK94" s="79"/>
      <c r="RL94" s="79"/>
      <c r="RM94" s="79"/>
      <c r="RN94" s="79"/>
      <c r="RO94" s="79"/>
      <c r="RP94" s="79"/>
      <c r="RQ94" s="79"/>
      <c r="RR94" s="79"/>
      <c r="RS94" s="79"/>
      <c r="RT94" s="79"/>
      <c r="RU94" s="79"/>
      <c r="RV94" s="79"/>
      <c r="RW94" s="79"/>
      <c r="RX94" s="79"/>
      <c r="RY94" s="79"/>
      <c r="RZ94" s="79"/>
      <c r="SA94" s="79"/>
      <c r="SB94" s="79"/>
      <c r="SC94" s="79"/>
      <c r="SD94" s="79"/>
      <c r="SE94" s="79"/>
      <c r="SF94" s="79"/>
      <c r="SG94" s="79"/>
      <c r="SH94" s="79"/>
      <c r="SI94" s="79"/>
      <c r="SJ94" s="79"/>
    </row>
    <row r="95" spans="2:504" x14ac:dyDescent="0.25">
      <c r="B95" s="112" t="str">
        <f>'Pay App 1'!B145</f>
        <v>60 00 10</v>
      </c>
      <c r="C95" s="113" t="str">
        <f>'Pay App 1'!C145</f>
        <v>Other - Please Specify</v>
      </c>
      <c r="D95" s="82">
        <f t="shared" si="9"/>
        <v>0</v>
      </c>
      <c r="E95" s="79"/>
      <c r="F95" s="79"/>
      <c r="G95" s="79"/>
      <c r="H95" s="79"/>
      <c r="I95" s="79"/>
      <c r="J95" s="79"/>
      <c r="K95" s="79"/>
      <c r="L95" s="79"/>
      <c r="M95" s="79"/>
      <c r="N95" s="79"/>
      <c r="O95" s="79"/>
      <c r="P95" s="79"/>
      <c r="Q95" s="79"/>
      <c r="R95" s="79"/>
      <c r="S95" s="79"/>
      <c r="T95" s="79"/>
      <c r="U95" s="79"/>
      <c r="V95" s="79"/>
      <c r="W95" s="79"/>
      <c r="X95" s="79"/>
      <c r="Y95" s="79"/>
      <c r="Z95" s="79"/>
      <c r="AA95" s="79"/>
      <c r="AB95" s="79"/>
      <c r="AC95" s="79"/>
      <c r="AD95" s="79"/>
      <c r="AE95" s="79"/>
      <c r="AF95" s="79"/>
      <c r="AG95" s="79"/>
      <c r="AH95" s="79"/>
      <c r="AI95" s="79"/>
      <c r="AJ95" s="79"/>
      <c r="AK95" s="79"/>
      <c r="AL95" s="79"/>
      <c r="AM95" s="79"/>
      <c r="AN95" s="79"/>
      <c r="AO95" s="79"/>
      <c r="AP95" s="79"/>
      <c r="AQ95" s="79"/>
      <c r="AR95" s="79"/>
      <c r="AS95" s="79"/>
      <c r="AT95" s="79"/>
      <c r="AU95" s="79"/>
      <c r="AV95" s="79"/>
      <c r="AW95" s="79"/>
      <c r="AX95" s="79"/>
      <c r="AY95" s="79"/>
      <c r="AZ95" s="79"/>
      <c r="BA95" s="79"/>
      <c r="BB95" s="79"/>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c r="IW95" s="79"/>
      <c r="IX95" s="79"/>
      <c r="IY95" s="79"/>
      <c r="IZ95" s="79"/>
      <c r="JA95" s="79"/>
      <c r="JB95" s="79"/>
      <c r="JC95" s="79"/>
      <c r="JD95" s="79"/>
      <c r="JE95" s="79"/>
      <c r="JF95" s="79"/>
      <c r="JG95" s="79"/>
      <c r="JH95" s="79"/>
      <c r="JI95" s="79"/>
      <c r="JJ95" s="79"/>
      <c r="JK95" s="79"/>
      <c r="JL95" s="79"/>
      <c r="JM95" s="79"/>
      <c r="JN95" s="79"/>
      <c r="JO95" s="79"/>
      <c r="JP95" s="79"/>
      <c r="JQ95" s="79"/>
      <c r="JR95" s="79"/>
      <c r="JS95" s="79"/>
      <c r="JT95" s="79"/>
      <c r="JU95" s="79"/>
      <c r="JV95" s="79"/>
      <c r="JW95" s="79"/>
      <c r="JX95" s="79"/>
      <c r="JY95" s="79"/>
      <c r="JZ95" s="79"/>
      <c r="KA95" s="79"/>
      <c r="KB95" s="79"/>
      <c r="KC95" s="79"/>
      <c r="KD95" s="79"/>
      <c r="KE95" s="79"/>
      <c r="KF95" s="79"/>
      <c r="KG95" s="79"/>
      <c r="KH95" s="79"/>
      <c r="KI95" s="79"/>
      <c r="KJ95" s="79"/>
      <c r="KK95" s="79"/>
      <c r="KL95" s="79"/>
      <c r="KM95" s="79"/>
      <c r="KN95" s="79"/>
      <c r="KO95" s="79"/>
      <c r="KP95" s="79"/>
      <c r="KQ95" s="79"/>
      <c r="KR95" s="79"/>
      <c r="KS95" s="79"/>
      <c r="KT95" s="79"/>
      <c r="KU95" s="79"/>
      <c r="KV95" s="79"/>
      <c r="KW95" s="79"/>
      <c r="KX95" s="79"/>
      <c r="KY95" s="79"/>
      <c r="KZ95" s="79"/>
      <c r="LA95" s="79"/>
      <c r="LB95" s="79"/>
      <c r="LC95" s="79"/>
      <c r="LD95" s="79"/>
      <c r="LE95" s="79"/>
      <c r="LF95" s="79"/>
      <c r="LG95" s="79"/>
      <c r="LH95" s="79"/>
      <c r="LI95" s="79"/>
      <c r="LJ95" s="79"/>
      <c r="LK95" s="79"/>
      <c r="LL95" s="79"/>
      <c r="LM95" s="79"/>
      <c r="LN95" s="79"/>
      <c r="LO95" s="79"/>
      <c r="LP95" s="79"/>
      <c r="LQ95" s="79"/>
      <c r="LR95" s="79"/>
      <c r="LS95" s="79"/>
      <c r="LT95" s="79"/>
      <c r="LU95" s="79"/>
      <c r="LV95" s="79"/>
      <c r="LW95" s="79"/>
      <c r="LX95" s="79"/>
      <c r="LY95" s="79"/>
      <c r="LZ95" s="79"/>
      <c r="MA95" s="79"/>
      <c r="MB95" s="79"/>
      <c r="MC95" s="79"/>
      <c r="MD95" s="79"/>
      <c r="ME95" s="79"/>
      <c r="MF95" s="79"/>
      <c r="MG95" s="79"/>
      <c r="MH95" s="79"/>
      <c r="MI95" s="79"/>
      <c r="MJ95" s="79"/>
      <c r="MK95" s="79"/>
      <c r="ML95" s="79"/>
      <c r="MM95" s="79"/>
      <c r="MN95" s="79"/>
      <c r="MO95" s="79"/>
      <c r="MP95" s="79"/>
      <c r="MQ95" s="79"/>
      <c r="MR95" s="79"/>
      <c r="MS95" s="79"/>
      <c r="MT95" s="79"/>
      <c r="MU95" s="79"/>
      <c r="MV95" s="79"/>
      <c r="MW95" s="79"/>
      <c r="MX95" s="79"/>
      <c r="MY95" s="79"/>
      <c r="MZ95" s="79"/>
      <c r="NA95" s="79"/>
      <c r="NB95" s="79"/>
      <c r="NC95" s="79"/>
      <c r="ND95" s="79"/>
      <c r="NE95" s="79"/>
      <c r="NF95" s="79"/>
      <c r="NG95" s="79"/>
      <c r="NH95" s="79"/>
      <c r="NI95" s="79"/>
      <c r="NJ95" s="79"/>
      <c r="NK95" s="79"/>
      <c r="NL95" s="79"/>
      <c r="NM95" s="79"/>
      <c r="NN95" s="79"/>
      <c r="NO95" s="79"/>
      <c r="NP95" s="79"/>
      <c r="NQ95" s="79"/>
      <c r="NR95" s="79"/>
      <c r="NS95" s="79"/>
      <c r="NT95" s="79"/>
      <c r="NU95" s="79"/>
      <c r="NV95" s="79"/>
      <c r="NW95" s="79"/>
      <c r="NX95" s="79"/>
      <c r="NY95" s="79"/>
      <c r="NZ95" s="79"/>
      <c r="OA95" s="79"/>
      <c r="OB95" s="79"/>
      <c r="OC95" s="79"/>
      <c r="OD95" s="79"/>
      <c r="OE95" s="79"/>
      <c r="OF95" s="79"/>
      <c r="OG95" s="79"/>
      <c r="OH95" s="79"/>
      <c r="OI95" s="79"/>
      <c r="OJ95" s="79"/>
      <c r="OK95" s="79"/>
      <c r="OL95" s="79"/>
      <c r="OM95" s="79"/>
      <c r="ON95" s="79"/>
      <c r="OO95" s="79"/>
      <c r="OP95" s="79"/>
      <c r="OQ95" s="79"/>
      <c r="OR95" s="79"/>
      <c r="OS95" s="79"/>
      <c r="OT95" s="79"/>
      <c r="OU95" s="79"/>
      <c r="OV95" s="79"/>
      <c r="OW95" s="79"/>
      <c r="OX95" s="79"/>
      <c r="OY95" s="79"/>
      <c r="OZ95" s="79"/>
      <c r="PA95" s="79"/>
      <c r="PB95" s="79"/>
      <c r="PC95" s="79"/>
      <c r="PD95" s="79"/>
      <c r="PE95" s="79"/>
      <c r="PF95" s="79"/>
      <c r="PG95" s="79"/>
      <c r="PH95" s="79"/>
      <c r="PI95" s="79"/>
      <c r="PJ95" s="79"/>
      <c r="PK95" s="79"/>
      <c r="PL95" s="79"/>
      <c r="PM95" s="79"/>
      <c r="PN95" s="79"/>
      <c r="PO95" s="79"/>
      <c r="PP95" s="79"/>
      <c r="PQ95" s="79"/>
      <c r="PR95" s="79"/>
      <c r="PS95" s="79"/>
      <c r="PT95" s="79"/>
      <c r="PU95" s="79"/>
      <c r="PV95" s="79"/>
      <c r="PW95" s="79"/>
      <c r="PX95" s="79"/>
      <c r="PY95" s="79"/>
      <c r="PZ95" s="79"/>
      <c r="QA95" s="79"/>
      <c r="QB95" s="79"/>
      <c r="QC95" s="79"/>
      <c r="QD95" s="79"/>
      <c r="QE95" s="79"/>
      <c r="QF95" s="79"/>
      <c r="QG95" s="79"/>
      <c r="QH95" s="79"/>
      <c r="QI95" s="79"/>
      <c r="QJ95" s="79"/>
      <c r="QK95" s="79"/>
      <c r="QL95" s="79"/>
      <c r="QM95" s="79"/>
      <c r="QN95" s="79"/>
      <c r="QO95" s="79"/>
      <c r="QP95" s="79"/>
      <c r="QQ95" s="79"/>
      <c r="QR95" s="79"/>
      <c r="QS95" s="79"/>
      <c r="QT95" s="79"/>
      <c r="QU95" s="79"/>
      <c r="QV95" s="79"/>
      <c r="QW95" s="79"/>
      <c r="QX95" s="79"/>
      <c r="QY95" s="79"/>
      <c r="QZ95" s="79"/>
      <c r="RA95" s="79"/>
      <c r="RB95" s="79"/>
      <c r="RC95" s="79"/>
      <c r="RD95" s="79"/>
      <c r="RE95" s="79"/>
      <c r="RF95" s="79"/>
      <c r="RG95" s="79"/>
      <c r="RH95" s="79"/>
      <c r="RI95" s="79"/>
      <c r="RJ95" s="79"/>
      <c r="RK95" s="79"/>
      <c r="RL95" s="79"/>
      <c r="RM95" s="79"/>
      <c r="RN95" s="79"/>
      <c r="RO95" s="79"/>
      <c r="RP95" s="79"/>
      <c r="RQ95" s="79"/>
      <c r="RR95" s="79"/>
      <c r="RS95" s="79"/>
      <c r="RT95" s="79"/>
      <c r="RU95" s="79"/>
      <c r="RV95" s="79"/>
      <c r="RW95" s="79"/>
      <c r="RX95" s="79"/>
      <c r="RY95" s="79"/>
      <c r="RZ95" s="79"/>
      <c r="SA95" s="79"/>
      <c r="SB95" s="79"/>
      <c r="SC95" s="79"/>
      <c r="SD95" s="79"/>
      <c r="SE95" s="79"/>
      <c r="SF95" s="79"/>
      <c r="SG95" s="79"/>
      <c r="SH95" s="79"/>
      <c r="SI95" s="79"/>
      <c r="SJ95" s="79"/>
    </row>
    <row r="96" spans="2:504" x14ac:dyDescent="0.25">
      <c r="B96" s="112" t="str">
        <f>'Pay App 1'!B146</f>
        <v>60 00 20</v>
      </c>
      <c r="C96" s="113" t="str">
        <f>'Pay App 1'!C146</f>
        <v>Other - Please Specify</v>
      </c>
      <c r="D96" s="82">
        <f t="shared" si="9"/>
        <v>0</v>
      </c>
      <c r="E96" s="79"/>
      <c r="F96" s="79"/>
      <c r="G96" s="79"/>
      <c r="H96" s="79"/>
      <c r="I96" s="79"/>
      <c r="J96" s="79"/>
      <c r="K96" s="79"/>
      <c r="L96" s="79"/>
      <c r="M96" s="79"/>
      <c r="N96" s="79"/>
      <c r="O96" s="79"/>
      <c r="P96" s="79"/>
      <c r="Q96" s="79"/>
      <c r="R96" s="79"/>
      <c r="S96" s="79"/>
      <c r="T96" s="79"/>
      <c r="U96" s="79"/>
      <c r="V96" s="79"/>
      <c r="W96" s="79"/>
      <c r="X96" s="79"/>
      <c r="Y96" s="79"/>
      <c r="Z96" s="79"/>
      <c r="AA96" s="79"/>
      <c r="AB96" s="79"/>
      <c r="AC96" s="79"/>
      <c r="AD96" s="79"/>
      <c r="AE96" s="79"/>
      <c r="AF96" s="79"/>
      <c r="AG96" s="79"/>
      <c r="AH96" s="79"/>
      <c r="AI96" s="79"/>
      <c r="AJ96" s="79"/>
      <c r="AK96" s="79"/>
      <c r="AL96" s="79"/>
      <c r="AM96" s="79"/>
      <c r="AN96" s="79"/>
      <c r="AO96" s="79"/>
      <c r="AP96" s="79"/>
      <c r="AQ96" s="79"/>
      <c r="AR96" s="79"/>
      <c r="AS96" s="79"/>
      <c r="AT96" s="79"/>
      <c r="AU96" s="79"/>
      <c r="AV96" s="79"/>
      <c r="AW96" s="79"/>
      <c r="AX96" s="79"/>
      <c r="AY96" s="79"/>
      <c r="AZ96" s="79"/>
      <c r="BA96" s="79"/>
      <c r="BB96" s="79"/>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c r="IW96" s="79"/>
      <c r="IX96" s="79"/>
      <c r="IY96" s="79"/>
      <c r="IZ96" s="79"/>
      <c r="JA96" s="79"/>
      <c r="JB96" s="79"/>
      <c r="JC96" s="79"/>
      <c r="JD96" s="79"/>
      <c r="JE96" s="79"/>
      <c r="JF96" s="79"/>
      <c r="JG96" s="79"/>
      <c r="JH96" s="79"/>
      <c r="JI96" s="79"/>
      <c r="JJ96" s="79"/>
      <c r="JK96" s="79"/>
      <c r="JL96" s="79"/>
      <c r="JM96" s="79"/>
      <c r="JN96" s="79"/>
      <c r="JO96" s="79"/>
      <c r="JP96" s="79"/>
      <c r="JQ96" s="79"/>
      <c r="JR96" s="79"/>
      <c r="JS96" s="79"/>
      <c r="JT96" s="79"/>
      <c r="JU96" s="79"/>
      <c r="JV96" s="79"/>
      <c r="JW96" s="79"/>
      <c r="JX96" s="79"/>
      <c r="JY96" s="79"/>
      <c r="JZ96" s="79"/>
      <c r="KA96" s="79"/>
      <c r="KB96" s="79"/>
      <c r="KC96" s="79"/>
      <c r="KD96" s="79"/>
      <c r="KE96" s="79"/>
      <c r="KF96" s="79"/>
      <c r="KG96" s="79"/>
      <c r="KH96" s="79"/>
      <c r="KI96" s="79"/>
      <c r="KJ96" s="79"/>
      <c r="KK96" s="79"/>
      <c r="KL96" s="79"/>
      <c r="KM96" s="79"/>
      <c r="KN96" s="79"/>
      <c r="KO96" s="79"/>
      <c r="KP96" s="79"/>
      <c r="KQ96" s="79"/>
      <c r="KR96" s="79"/>
      <c r="KS96" s="79"/>
      <c r="KT96" s="79"/>
      <c r="KU96" s="79"/>
      <c r="KV96" s="79"/>
      <c r="KW96" s="79"/>
      <c r="KX96" s="79"/>
      <c r="KY96" s="79"/>
      <c r="KZ96" s="79"/>
      <c r="LA96" s="79"/>
      <c r="LB96" s="79"/>
      <c r="LC96" s="79"/>
      <c r="LD96" s="79"/>
      <c r="LE96" s="79"/>
      <c r="LF96" s="79"/>
      <c r="LG96" s="79"/>
      <c r="LH96" s="79"/>
      <c r="LI96" s="79"/>
      <c r="LJ96" s="79"/>
      <c r="LK96" s="79"/>
      <c r="LL96" s="79"/>
      <c r="LM96" s="79"/>
      <c r="LN96" s="79"/>
      <c r="LO96" s="79"/>
      <c r="LP96" s="79"/>
      <c r="LQ96" s="79"/>
      <c r="LR96" s="79"/>
      <c r="LS96" s="79"/>
      <c r="LT96" s="79"/>
      <c r="LU96" s="79"/>
      <c r="LV96" s="79"/>
      <c r="LW96" s="79"/>
      <c r="LX96" s="79"/>
      <c r="LY96" s="79"/>
      <c r="LZ96" s="79"/>
      <c r="MA96" s="79"/>
      <c r="MB96" s="79"/>
      <c r="MC96" s="79"/>
      <c r="MD96" s="79"/>
      <c r="ME96" s="79"/>
      <c r="MF96" s="79"/>
      <c r="MG96" s="79"/>
      <c r="MH96" s="79"/>
      <c r="MI96" s="79"/>
      <c r="MJ96" s="79"/>
      <c r="MK96" s="79"/>
      <c r="ML96" s="79"/>
      <c r="MM96" s="79"/>
      <c r="MN96" s="79"/>
      <c r="MO96" s="79"/>
      <c r="MP96" s="79"/>
      <c r="MQ96" s="79"/>
      <c r="MR96" s="79"/>
      <c r="MS96" s="79"/>
      <c r="MT96" s="79"/>
      <c r="MU96" s="79"/>
      <c r="MV96" s="79"/>
      <c r="MW96" s="79"/>
      <c r="MX96" s="79"/>
      <c r="MY96" s="79"/>
      <c r="MZ96" s="79"/>
      <c r="NA96" s="79"/>
      <c r="NB96" s="79"/>
      <c r="NC96" s="79"/>
      <c r="ND96" s="79"/>
      <c r="NE96" s="79"/>
      <c r="NF96" s="79"/>
      <c r="NG96" s="79"/>
      <c r="NH96" s="79"/>
      <c r="NI96" s="79"/>
      <c r="NJ96" s="79"/>
      <c r="NK96" s="79"/>
      <c r="NL96" s="79"/>
      <c r="NM96" s="79"/>
      <c r="NN96" s="79"/>
      <c r="NO96" s="79"/>
      <c r="NP96" s="79"/>
      <c r="NQ96" s="79"/>
      <c r="NR96" s="79"/>
      <c r="NS96" s="79"/>
      <c r="NT96" s="79"/>
      <c r="NU96" s="79"/>
      <c r="NV96" s="79"/>
      <c r="NW96" s="79"/>
      <c r="NX96" s="79"/>
      <c r="NY96" s="79"/>
      <c r="NZ96" s="79"/>
      <c r="OA96" s="79"/>
      <c r="OB96" s="79"/>
      <c r="OC96" s="79"/>
      <c r="OD96" s="79"/>
      <c r="OE96" s="79"/>
      <c r="OF96" s="79"/>
      <c r="OG96" s="79"/>
      <c r="OH96" s="79"/>
      <c r="OI96" s="79"/>
      <c r="OJ96" s="79"/>
      <c r="OK96" s="79"/>
      <c r="OL96" s="79"/>
      <c r="OM96" s="79"/>
      <c r="ON96" s="79"/>
      <c r="OO96" s="79"/>
      <c r="OP96" s="79"/>
      <c r="OQ96" s="79"/>
      <c r="OR96" s="79"/>
      <c r="OS96" s="79"/>
      <c r="OT96" s="79"/>
      <c r="OU96" s="79"/>
      <c r="OV96" s="79"/>
      <c r="OW96" s="79"/>
      <c r="OX96" s="79"/>
      <c r="OY96" s="79"/>
      <c r="OZ96" s="79"/>
      <c r="PA96" s="79"/>
      <c r="PB96" s="79"/>
      <c r="PC96" s="79"/>
      <c r="PD96" s="79"/>
      <c r="PE96" s="79"/>
      <c r="PF96" s="79"/>
      <c r="PG96" s="79"/>
      <c r="PH96" s="79"/>
      <c r="PI96" s="79"/>
      <c r="PJ96" s="79"/>
      <c r="PK96" s="79"/>
      <c r="PL96" s="79"/>
      <c r="PM96" s="79"/>
      <c r="PN96" s="79"/>
      <c r="PO96" s="79"/>
      <c r="PP96" s="79"/>
      <c r="PQ96" s="79"/>
      <c r="PR96" s="79"/>
      <c r="PS96" s="79"/>
      <c r="PT96" s="79"/>
      <c r="PU96" s="79"/>
      <c r="PV96" s="79"/>
      <c r="PW96" s="79"/>
      <c r="PX96" s="79"/>
      <c r="PY96" s="79"/>
      <c r="PZ96" s="79"/>
      <c r="QA96" s="79"/>
      <c r="QB96" s="79"/>
      <c r="QC96" s="79"/>
      <c r="QD96" s="79"/>
      <c r="QE96" s="79"/>
      <c r="QF96" s="79"/>
      <c r="QG96" s="79"/>
      <c r="QH96" s="79"/>
      <c r="QI96" s="79"/>
      <c r="QJ96" s="79"/>
      <c r="QK96" s="79"/>
      <c r="QL96" s="79"/>
      <c r="QM96" s="79"/>
      <c r="QN96" s="79"/>
      <c r="QO96" s="79"/>
      <c r="QP96" s="79"/>
      <c r="QQ96" s="79"/>
      <c r="QR96" s="79"/>
      <c r="QS96" s="79"/>
      <c r="QT96" s="79"/>
      <c r="QU96" s="79"/>
      <c r="QV96" s="79"/>
      <c r="QW96" s="79"/>
      <c r="QX96" s="79"/>
      <c r="QY96" s="79"/>
      <c r="QZ96" s="79"/>
      <c r="RA96" s="79"/>
      <c r="RB96" s="79"/>
      <c r="RC96" s="79"/>
      <c r="RD96" s="79"/>
      <c r="RE96" s="79"/>
      <c r="RF96" s="79"/>
      <c r="RG96" s="79"/>
      <c r="RH96" s="79"/>
      <c r="RI96" s="79"/>
      <c r="RJ96" s="79"/>
      <c r="RK96" s="79"/>
      <c r="RL96" s="79"/>
      <c r="RM96" s="79"/>
      <c r="RN96" s="79"/>
      <c r="RO96" s="79"/>
      <c r="RP96" s="79"/>
      <c r="RQ96" s="79"/>
      <c r="RR96" s="79"/>
      <c r="RS96" s="79"/>
      <c r="RT96" s="79"/>
      <c r="RU96" s="79"/>
      <c r="RV96" s="79"/>
      <c r="RW96" s="79"/>
      <c r="RX96" s="79"/>
      <c r="RY96" s="79"/>
      <c r="RZ96" s="79"/>
      <c r="SA96" s="79"/>
      <c r="SB96" s="79"/>
      <c r="SC96" s="79"/>
      <c r="SD96" s="79"/>
      <c r="SE96" s="79"/>
      <c r="SF96" s="79"/>
      <c r="SG96" s="79"/>
      <c r="SH96" s="79"/>
      <c r="SI96" s="79"/>
      <c r="SJ96" s="79"/>
    </row>
    <row r="97" spans="2:504" x14ac:dyDescent="0.25">
      <c r="B97" s="112" t="str">
        <f>'Pay App 1'!B147</f>
        <v>60 00 30</v>
      </c>
      <c r="C97" s="113" t="str">
        <f>'Pay App 1'!C147</f>
        <v>Other - Please Specify</v>
      </c>
      <c r="D97" s="82">
        <f t="shared" si="9"/>
        <v>0</v>
      </c>
      <c r="E97" s="79"/>
      <c r="F97" s="79"/>
      <c r="G97" s="79"/>
      <c r="H97" s="79"/>
      <c r="I97" s="79"/>
      <c r="J97" s="79"/>
      <c r="K97" s="79"/>
      <c r="L97" s="79"/>
      <c r="M97" s="79"/>
      <c r="N97" s="79"/>
      <c r="O97" s="79"/>
      <c r="P97" s="79"/>
      <c r="Q97" s="79"/>
      <c r="R97" s="79"/>
      <c r="S97" s="79"/>
      <c r="T97" s="79"/>
      <c r="U97" s="79"/>
      <c r="V97" s="79"/>
      <c r="W97" s="79"/>
      <c r="X97" s="79"/>
      <c r="Y97" s="79"/>
      <c r="Z97" s="79"/>
      <c r="AA97" s="79"/>
      <c r="AB97" s="79"/>
      <c r="AC97" s="79"/>
      <c r="AD97" s="79"/>
      <c r="AE97" s="79"/>
      <c r="AF97" s="79"/>
      <c r="AG97" s="79"/>
      <c r="AH97" s="79"/>
      <c r="AI97" s="79"/>
      <c r="AJ97" s="79"/>
      <c r="AK97" s="79"/>
      <c r="AL97" s="79"/>
      <c r="AM97" s="79"/>
      <c r="AN97" s="79"/>
      <c r="AO97" s="79"/>
      <c r="AP97" s="79"/>
      <c r="AQ97" s="79"/>
      <c r="AR97" s="79"/>
      <c r="AS97" s="79"/>
      <c r="AT97" s="79"/>
      <c r="AU97" s="79"/>
      <c r="AV97" s="79"/>
      <c r="AW97" s="79"/>
      <c r="AX97" s="79"/>
      <c r="AY97" s="79"/>
      <c r="AZ97" s="79"/>
      <c r="BA97" s="79"/>
      <c r="BB97" s="79"/>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c r="IW97" s="79"/>
      <c r="IX97" s="79"/>
      <c r="IY97" s="79"/>
      <c r="IZ97" s="79"/>
      <c r="JA97" s="79"/>
      <c r="JB97" s="79"/>
      <c r="JC97" s="79"/>
      <c r="JD97" s="79"/>
      <c r="JE97" s="79"/>
      <c r="JF97" s="79"/>
      <c r="JG97" s="79"/>
      <c r="JH97" s="79"/>
      <c r="JI97" s="79"/>
      <c r="JJ97" s="79"/>
      <c r="JK97" s="79"/>
      <c r="JL97" s="79"/>
      <c r="JM97" s="79"/>
      <c r="JN97" s="79"/>
      <c r="JO97" s="79"/>
      <c r="JP97" s="79"/>
      <c r="JQ97" s="79"/>
      <c r="JR97" s="79"/>
      <c r="JS97" s="79"/>
      <c r="JT97" s="79"/>
      <c r="JU97" s="79"/>
      <c r="JV97" s="79"/>
      <c r="JW97" s="79"/>
      <c r="JX97" s="79"/>
      <c r="JY97" s="79"/>
      <c r="JZ97" s="79"/>
      <c r="KA97" s="79"/>
      <c r="KB97" s="79"/>
      <c r="KC97" s="79"/>
      <c r="KD97" s="79"/>
      <c r="KE97" s="79"/>
      <c r="KF97" s="79"/>
      <c r="KG97" s="79"/>
      <c r="KH97" s="79"/>
      <c r="KI97" s="79"/>
      <c r="KJ97" s="79"/>
      <c r="KK97" s="79"/>
      <c r="KL97" s="79"/>
      <c r="KM97" s="79"/>
      <c r="KN97" s="79"/>
      <c r="KO97" s="79"/>
      <c r="KP97" s="79"/>
      <c r="KQ97" s="79"/>
      <c r="KR97" s="79"/>
      <c r="KS97" s="79"/>
      <c r="KT97" s="79"/>
      <c r="KU97" s="79"/>
      <c r="KV97" s="79"/>
      <c r="KW97" s="79"/>
      <c r="KX97" s="79"/>
      <c r="KY97" s="79"/>
      <c r="KZ97" s="79"/>
      <c r="LA97" s="79"/>
      <c r="LB97" s="79"/>
      <c r="LC97" s="79"/>
      <c r="LD97" s="79"/>
      <c r="LE97" s="79"/>
      <c r="LF97" s="79"/>
      <c r="LG97" s="79"/>
      <c r="LH97" s="79"/>
      <c r="LI97" s="79"/>
      <c r="LJ97" s="79"/>
      <c r="LK97" s="79"/>
      <c r="LL97" s="79"/>
      <c r="LM97" s="79"/>
      <c r="LN97" s="79"/>
      <c r="LO97" s="79"/>
      <c r="LP97" s="79"/>
      <c r="LQ97" s="79"/>
      <c r="LR97" s="79"/>
      <c r="LS97" s="79"/>
      <c r="LT97" s="79"/>
      <c r="LU97" s="79"/>
      <c r="LV97" s="79"/>
      <c r="LW97" s="79"/>
      <c r="LX97" s="79"/>
      <c r="LY97" s="79"/>
      <c r="LZ97" s="79"/>
      <c r="MA97" s="79"/>
      <c r="MB97" s="79"/>
      <c r="MC97" s="79"/>
      <c r="MD97" s="79"/>
      <c r="ME97" s="79"/>
      <c r="MF97" s="79"/>
      <c r="MG97" s="79"/>
      <c r="MH97" s="79"/>
      <c r="MI97" s="79"/>
      <c r="MJ97" s="79"/>
      <c r="MK97" s="79"/>
      <c r="ML97" s="79"/>
      <c r="MM97" s="79"/>
      <c r="MN97" s="79"/>
      <c r="MO97" s="79"/>
      <c r="MP97" s="79"/>
      <c r="MQ97" s="79"/>
      <c r="MR97" s="79"/>
      <c r="MS97" s="79"/>
      <c r="MT97" s="79"/>
      <c r="MU97" s="79"/>
      <c r="MV97" s="79"/>
      <c r="MW97" s="79"/>
      <c r="MX97" s="79"/>
      <c r="MY97" s="79"/>
      <c r="MZ97" s="79"/>
      <c r="NA97" s="79"/>
      <c r="NB97" s="79"/>
      <c r="NC97" s="79"/>
      <c r="ND97" s="79"/>
      <c r="NE97" s="79"/>
      <c r="NF97" s="79"/>
      <c r="NG97" s="79"/>
      <c r="NH97" s="79"/>
      <c r="NI97" s="79"/>
      <c r="NJ97" s="79"/>
      <c r="NK97" s="79"/>
      <c r="NL97" s="79"/>
      <c r="NM97" s="79"/>
      <c r="NN97" s="79"/>
      <c r="NO97" s="79"/>
      <c r="NP97" s="79"/>
      <c r="NQ97" s="79"/>
      <c r="NR97" s="79"/>
      <c r="NS97" s="79"/>
      <c r="NT97" s="79"/>
      <c r="NU97" s="79"/>
      <c r="NV97" s="79"/>
      <c r="NW97" s="79"/>
      <c r="NX97" s="79"/>
      <c r="NY97" s="79"/>
      <c r="NZ97" s="79"/>
      <c r="OA97" s="79"/>
      <c r="OB97" s="79"/>
      <c r="OC97" s="79"/>
      <c r="OD97" s="79"/>
      <c r="OE97" s="79"/>
      <c r="OF97" s="79"/>
      <c r="OG97" s="79"/>
      <c r="OH97" s="79"/>
      <c r="OI97" s="79"/>
      <c r="OJ97" s="79"/>
      <c r="OK97" s="79"/>
      <c r="OL97" s="79"/>
      <c r="OM97" s="79"/>
      <c r="ON97" s="79"/>
      <c r="OO97" s="79"/>
      <c r="OP97" s="79"/>
      <c r="OQ97" s="79"/>
      <c r="OR97" s="79"/>
      <c r="OS97" s="79"/>
      <c r="OT97" s="79"/>
      <c r="OU97" s="79"/>
      <c r="OV97" s="79"/>
      <c r="OW97" s="79"/>
      <c r="OX97" s="79"/>
      <c r="OY97" s="79"/>
      <c r="OZ97" s="79"/>
      <c r="PA97" s="79"/>
      <c r="PB97" s="79"/>
      <c r="PC97" s="79"/>
      <c r="PD97" s="79"/>
      <c r="PE97" s="79"/>
      <c r="PF97" s="79"/>
      <c r="PG97" s="79"/>
      <c r="PH97" s="79"/>
      <c r="PI97" s="79"/>
      <c r="PJ97" s="79"/>
      <c r="PK97" s="79"/>
      <c r="PL97" s="79"/>
      <c r="PM97" s="79"/>
      <c r="PN97" s="79"/>
      <c r="PO97" s="79"/>
      <c r="PP97" s="79"/>
      <c r="PQ97" s="79"/>
      <c r="PR97" s="79"/>
      <c r="PS97" s="79"/>
      <c r="PT97" s="79"/>
      <c r="PU97" s="79"/>
      <c r="PV97" s="79"/>
      <c r="PW97" s="79"/>
      <c r="PX97" s="79"/>
      <c r="PY97" s="79"/>
      <c r="PZ97" s="79"/>
      <c r="QA97" s="79"/>
      <c r="QB97" s="79"/>
      <c r="QC97" s="79"/>
      <c r="QD97" s="79"/>
      <c r="QE97" s="79"/>
      <c r="QF97" s="79"/>
      <c r="QG97" s="79"/>
      <c r="QH97" s="79"/>
      <c r="QI97" s="79"/>
      <c r="QJ97" s="79"/>
      <c r="QK97" s="79"/>
      <c r="QL97" s="79"/>
      <c r="QM97" s="79"/>
      <c r="QN97" s="79"/>
      <c r="QO97" s="79"/>
      <c r="QP97" s="79"/>
      <c r="QQ97" s="79"/>
      <c r="QR97" s="79"/>
      <c r="QS97" s="79"/>
      <c r="QT97" s="79"/>
      <c r="QU97" s="79"/>
      <c r="QV97" s="79"/>
      <c r="QW97" s="79"/>
      <c r="QX97" s="79"/>
      <c r="QY97" s="79"/>
      <c r="QZ97" s="79"/>
      <c r="RA97" s="79"/>
      <c r="RB97" s="79"/>
      <c r="RC97" s="79"/>
      <c r="RD97" s="79"/>
      <c r="RE97" s="79"/>
      <c r="RF97" s="79"/>
      <c r="RG97" s="79"/>
      <c r="RH97" s="79"/>
      <c r="RI97" s="79"/>
      <c r="RJ97" s="79"/>
      <c r="RK97" s="79"/>
      <c r="RL97" s="79"/>
      <c r="RM97" s="79"/>
      <c r="RN97" s="79"/>
      <c r="RO97" s="79"/>
      <c r="RP97" s="79"/>
      <c r="RQ97" s="79"/>
      <c r="RR97" s="79"/>
      <c r="RS97" s="79"/>
      <c r="RT97" s="79"/>
      <c r="RU97" s="79"/>
      <c r="RV97" s="79"/>
      <c r="RW97" s="79"/>
      <c r="RX97" s="79"/>
      <c r="RY97" s="79"/>
      <c r="RZ97" s="79"/>
      <c r="SA97" s="79"/>
      <c r="SB97" s="79"/>
      <c r="SC97" s="79"/>
      <c r="SD97" s="79"/>
      <c r="SE97" s="79"/>
      <c r="SF97" s="79"/>
      <c r="SG97" s="79"/>
      <c r="SH97" s="79"/>
      <c r="SI97" s="79"/>
      <c r="SJ97" s="79"/>
    </row>
    <row r="98" spans="2:504" x14ac:dyDescent="0.25">
      <c r="B98" s="112" t="str">
        <f>'Pay App 1'!B148</f>
        <v>60 00 40</v>
      </c>
      <c r="C98" s="113" t="str">
        <f>'Pay App 1'!C148</f>
        <v>Other - Please Specify</v>
      </c>
      <c r="D98" s="82">
        <f t="shared" si="9"/>
        <v>0</v>
      </c>
      <c r="E98" s="79"/>
      <c r="F98" s="79"/>
      <c r="G98" s="79"/>
      <c r="H98" s="79"/>
      <c r="I98" s="79"/>
      <c r="J98" s="79"/>
      <c r="K98" s="79"/>
      <c r="L98" s="79"/>
      <c r="M98" s="79"/>
      <c r="N98" s="79"/>
      <c r="O98" s="79"/>
      <c r="P98" s="79"/>
      <c r="Q98" s="79"/>
      <c r="R98" s="79"/>
      <c r="S98" s="79"/>
      <c r="T98" s="79"/>
      <c r="U98" s="79"/>
      <c r="V98" s="79"/>
      <c r="W98" s="79"/>
      <c r="X98" s="79"/>
      <c r="Y98" s="79"/>
      <c r="Z98" s="79"/>
      <c r="AA98" s="79"/>
      <c r="AB98" s="79"/>
      <c r="AC98" s="79"/>
      <c r="AD98" s="79"/>
      <c r="AE98" s="79"/>
      <c r="AF98" s="79"/>
      <c r="AG98" s="79"/>
      <c r="AH98" s="79"/>
      <c r="AI98" s="79"/>
      <c r="AJ98" s="79"/>
      <c r="AK98" s="79"/>
      <c r="AL98" s="79"/>
      <c r="AM98" s="79"/>
      <c r="AN98" s="79"/>
      <c r="AO98" s="79"/>
      <c r="AP98" s="79"/>
      <c r="AQ98" s="79"/>
      <c r="AR98" s="79"/>
      <c r="AS98" s="79"/>
      <c r="AT98" s="79"/>
      <c r="AU98" s="79"/>
      <c r="AV98" s="79"/>
      <c r="AW98" s="79"/>
      <c r="AX98" s="79"/>
      <c r="AY98" s="79"/>
      <c r="AZ98" s="79"/>
      <c r="BA98" s="79"/>
      <c r="BB98" s="79"/>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c r="IW98" s="79"/>
      <c r="IX98" s="79"/>
      <c r="IY98" s="79"/>
      <c r="IZ98" s="79"/>
      <c r="JA98" s="79"/>
      <c r="JB98" s="79"/>
      <c r="JC98" s="79"/>
      <c r="JD98" s="79"/>
      <c r="JE98" s="79"/>
      <c r="JF98" s="79"/>
      <c r="JG98" s="79"/>
      <c r="JH98" s="79"/>
      <c r="JI98" s="79"/>
      <c r="JJ98" s="79"/>
      <c r="JK98" s="79"/>
      <c r="JL98" s="79"/>
      <c r="JM98" s="79"/>
      <c r="JN98" s="79"/>
      <c r="JO98" s="79"/>
      <c r="JP98" s="79"/>
      <c r="JQ98" s="79"/>
      <c r="JR98" s="79"/>
      <c r="JS98" s="79"/>
      <c r="JT98" s="79"/>
      <c r="JU98" s="79"/>
      <c r="JV98" s="79"/>
      <c r="JW98" s="79"/>
      <c r="JX98" s="79"/>
      <c r="JY98" s="79"/>
      <c r="JZ98" s="79"/>
      <c r="KA98" s="79"/>
      <c r="KB98" s="79"/>
      <c r="KC98" s="79"/>
      <c r="KD98" s="79"/>
      <c r="KE98" s="79"/>
      <c r="KF98" s="79"/>
      <c r="KG98" s="79"/>
      <c r="KH98" s="79"/>
      <c r="KI98" s="79"/>
      <c r="KJ98" s="79"/>
      <c r="KK98" s="79"/>
      <c r="KL98" s="79"/>
      <c r="KM98" s="79"/>
      <c r="KN98" s="79"/>
      <c r="KO98" s="79"/>
      <c r="KP98" s="79"/>
      <c r="KQ98" s="79"/>
      <c r="KR98" s="79"/>
      <c r="KS98" s="79"/>
      <c r="KT98" s="79"/>
      <c r="KU98" s="79"/>
      <c r="KV98" s="79"/>
      <c r="KW98" s="79"/>
      <c r="KX98" s="79"/>
      <c r="KY98" s="79"/>
      <c r="KZ98" s="79"/>
      <c r="LA98" s="79"/>
      <c r="LB98" s="79"/>
      <c r="LC98" s="79"/>
      <c r="LD98" s="79"/>
      <c r="LE98" s="79"/>
      <c r="LF98" s="79"/>
      <c r="LG98" s="79"/>
      <c r="LH98" s="79"/>
      <c r="LI98" s="79"/>
      <c r="LJ98" s="79"/>
      <c r="LK98" s="79"/>
      <c r="LL98" s="79"/>
      <c r="LM98" s="79"/>
      <c r="LN98" s="79"/>
      <c r="LO98" s="79"/>
      <c r="LP98" s="79"/>
      <c r="LQ98" s="79"/>
      <c r="LR98" s="79"/>
      <c r="LS98" s="79"/>
      <c r="LT98" s="79"/>
      <c r="LU98" s="79"/>
      <c r="LV98" s="79"/>
      <c r="LW98" s="79"/>
      <c r="LX98" s="79"/>
      <c r="LY98" s="79"/>
      <c r="LZ98" s="79"/>
      <c r="MA98" s="79"/>
      <c r="MB98" s="79"/>
      <c r="MC98" s="79"/>
      <c r="MD98" s="79"/>
      <c r="ME98" s="79"/>
      <c r="MF98" s="79"/>
      <c r="MG98" s="79"/>
      <c r="MH98" s="79"/>
      <c r="MI98" s="79"/>
      <c r="MJ98" s="79"/>
      <c r="MK98" s="79"/>
      <c r="ML98" s="79"/>
      <c r="MM98" s="79"/>
      <c r="MN98" s="79"/>
      <c r="MO98" s="79"/>
      <c r="MP98" s="79"/>
      <c r="MQ98" s="79"/>
      <c r="MR98" s="79"/>
      <c r="MS98" s="79"/>
      <c r="MT98" s="79"/>
      <c r="MU98" s="79"/>
      <c r="MV98" s="79"/>
      <c r="MW98" s="79"/>
      <c r="MX98" s="79"/>
      <c r="MY98" s="79"/>
      <c r="MZ98" s="79"/>
      <c r="NA98" s="79"/>
      <c r="NB98" s="79"/>
      <c r="NC98" s="79"/>
      <c r="ND98" s="79"/>
      <c r="NE98" s="79"/>
      <c r="NF98" s="79"/>
      <c r="NG98" s="79"/>
      <c r="NH98" s="79"/>
      <c r="NI98" s="79"/>
      <c r="NJ98" s="79"/>
      <c r="NK98" s="79"/>
      <c r="NL98" s="79"/>
      <c r="NM98" s="79"/>
      <c r="NN98" s="79"/>
      <c r="NO98" s="79"/>
      <c r="NP98" s="79"/>
      <c r="NQ98" s="79"/>
      <c r="NR98" s="79"/>
      <c r="NS98" s="79"/>
      <c r="NT98" s="79"/>
      <c r="NU98" s="79"/>
      <c r="NV98" s="79"/>
      <c r="NW98" s="79"/>
      <c r="NX98" s="79"/>
      <c r="NY98" s="79"/>
      <c r="NZ98" s="79"/>
      <c r="OA98" s="79"/>
      <c r="OB98" s="79"/>
      <c r="OC98" s="79"/>
      <c r="OD98" s="79"/>
      <c r="OE98" s="79"/>
      <c r="OF98" s="79"/>
      <c r="OG98" s="79"/>
      <c r="OH98" s="79"/>
      <c r="OI98" s="79"/>
      <c r="OJ98" s="79"/>
      <c r="OK98" s="79"/>
      <c r="OL98" s="79"/>
      <c r="OM98" s="79"/>
      <c r="ON98" s="79"/>
      <c r="OO98" s="79"/>
      <c r="OP98" s="79"/>
      <c r="OQ98" s="79"/>
      <c r="OR98" s="79"/>
      <c r="OS98" s="79"/>
      <c r="OT98" s="79"/>
      <c r="OU98" s="79"/>
      <c r="OV98" s="79"/>
      <c r="OW98" s="79"/>
      <c r="OX98" s="79"/>
      <c r="OY98" s="79"/>
      <c r="OZ98" s="79"/>
      <c r="PA98" s="79"/>
      <c r="PB98" s="79"/>
      <c r="PC98" s="79"/>
      <c r="PD98" s="79"/>
      <c r="PE98" s="79"/>
      <c r="PF98" s="79"/>
      <c r="PG98" s="79"/>
      <c r="PH98" s="79"/>
      <c r="PI98" s="79"/>
      <c r="PJ98" s="79"/>
      <c r="PK98" s="79"/>
      <c r="PL98" s="79"/>
      <c r="PM98" s="79"/>
      <c r="PN98" s="79"/>
      <c r="PO98" s="79"/>
      <c r="PP98" s="79"/>
      <c r="PQ98" s="79"/>
      <c r="PR98" s="79"/>
      <c r="PS98" s="79"/>
      <c r="PT98" s="79"/>
      <c r="PU98" s="79"/>
      <c r="PV98" s="79"/>
      <c r="PW98" s="79"/>
      <c r="PX98" s="79"/>
      <c r="PY98" s="79"/>
      <c r="PZ98" s="79"/>
      <c r="QA98" s="79"/>
      <c r="QB98" s="79"/>
      <c r="QC98" s="79"/>
      <c r="QD98" s="79"/>
      <c r="QE98" s="79"/>
      <c r="QF98" s="79"/>
      <c r="QG98" s="79"/>
      <c r="QH98" s="79"/>
      <c r="QI98" s="79"/>
      <c r="QJ98" s="79"/>
      <c r="QK98" s="79"/>
      <c r="QL98" s="79"/>
      <c r="QM98" s="79"/>
      <c r="QN98" s="79"/>
      <c r="QO98" s="79"/>
      <c r="QP98" s="79"/>
      <c r="QQ98" s="79"/>
      <c r="QR98" s="79"/>
      <c r="QS98" s="79"/>
      <c r="QT98" s="79"/>
      <c r="QU98" s="79"/>
      <c r="QV98" s="79"/>
      <c r="QW98" s="79"/>
      <c r="QX98" s="79"/>
      <c r="QY98" s="79"/>
      <c r="QZ98" s="79"/>
      <c r="RA98" s="79"/>
      <c r="RB98" s="79"/>
      <c r="RC98" s="79"/>
      <c r="RD98" s="79"/>
      <c r="RE98" s="79"/>
      <c r="RF98" s="79"/>
      <c r="RG98" s="79"/>
      <c r="RH98" s="79"/>
      <c r="RI98" s="79"/>
      <c r="RJ98" s="79"/>
      <c r="RK98" s="79"/>
      <c r="RL98" s="79"/>
      <c r="RM98" s="79"/>
      <c r="RN98" s="79"/>
      <c r="RO98" s="79"/>
      <c r="RP98" s="79"/>
      <c r="RQ98" s="79"/>
      <c r="RR98" s="79"/>
      <c r="RS98" s="79"/>
      <c r="RT98" s="79"/>
      <c r="RU98" s="79"/>
      <c r="RV98" s="79"/>
      <c r="RW98" s="79"/>
      <c r="RX98" s="79"/>
      <c r="RY98" s="79"/>
      <c r="RZ98" s="79"/>
      <c r="SA98" s="79"/>
      <c r="SB98" s="79"/>
      <c r="SC98" s="79"/>
      <c r="SD98" s="79"/>
      <c r="SE98" s="79"/>
      <c r="SF98" s="79"/>
      <c r="SG98" s="79"/>
      <c r="SH98" s="79"/>
      <c r="SI98" s="79"/>
      <c r="SJ98" s="79"/>
    </row>
    <row r="99" spans="2:504" ht="15.75" thickBot="1" x14ac:dyDescent="0.3">
      <c r="B99" s="110"/>
      <c r="C99" s="111" t="s">
        <v>104</v>
      </c>
      <c r="D99" s="85">
        <f>SUM(E99:SJ99)</f>
        <v>0</v>
      </c>
      <c r="E99" s="85">
        <f t="shared" ref="E99:BP99" si="10">SUM(E12:E98)</f>
        <v>0</v>
      </c>
      <c r="F99" s="85">
        <f t="shared" si="10"/>
        <v>0</v>
      </c>
      <c r="G99" s="85">
        <f t="shared" si="10"/>
        <v>0</v>
      </c>
      <c r="H99" s="85">
        <f t="shared" si="10"/>
        <v>0</v>
      </c>
      <c r="I99" s="85">
        <f t="shared" si="10"/>
        <v>0</v>
      </c>
      <c r="J99" s="85">
        <f t="shared" si="10"/>
        <v>0</v>
      </c>
      <c r="K99" s="85">
        <f t="shared" si="10"/>
        <v>0</v>
      </c>
      <c r="L99" s="85">
        <f t="shared" si="10"/>
        <v>0</v>
      </c>
      <c r="M99" s="85">
        <f t="shared" si="10"/>
        <v>0</v>
      </c>
      <c r="N99" s="85">
        <f t="shared" si="10"/>
        <v>0</v>
      </c>
      <c r="O99" s="85">
        <f t="shared" si="10"/>
        <v>0</v>
      </c>
      <c r="P99" s="85">
        <f t="shared" si="10"/>
        <v>0</v>
      </c>
      <c r="Q99" s="85">
        <f t="shared" si="10"/>
        <v>0</v>
      </c>
      <c r="R99" s="85">
        <f t="shared" si="10"/>
        <v>0</v>
      </c>
      <c r="S99" s="85">
        <f t="shared" si="10"/>
        <v>0</v>
      </c>
      <c r="T99" s="85">
        <f t="shared" si="10"/>
        <v>0</v>
      </c>
      <c r="U99" s="85">
        <f t="shared" si="10"/>
        <v>0</v>
      </c>
      <c r="V99" s="85">
        <f t="shared" si="10"/>
        <v>0</v>
      </c>
      <c r="W99" s="85">
        <f t="shared" si="10"/>
        <v>0</v>
      </c>
      <c r="X99" s="85">
        <f t="shared" si="10"/>
        <v>0</v>
      </c>
      <c r="Y99" s="85">
        <f t="shared" si="10"/>
        <v>0</v>
      </c>
      <c r="Z99" s="85">
        <f t="shared" si="10"/>
        <v>0</v>
      </c>
      <c r="AA99" s="85">
        <f t="shared" si="10"/>
        <v>0</v>
      </c>
      <c r="AB99" s="85">
        <f t="shared" si="10"/>
        <v>0</v>
      </c>
      <c r="AC99" s="85">
        <f t="shared" si="10"/>
        <v>0</v>
      </c>
      <c r="AD99" s="85">
        <f t="shared" si="10"/>
        <v>0</v>
      </c>
      <c r="AE99" s="85">
        <f t="shared" si="10"/>
        <v>0</v>
      </c>
      <c r="AF99" s="85">
        <f t="shared" si="10"/>
        <v>0</v>
      </c>
      <c r="AG99" s="85">
        <f t="shared" si="10"/>
        <v>0</v>
      </c>
      <c r="AH99" s="85">
        <f t="shared" si="10"/>
        <v>0</v>
      </c>
      <c r="AI99" s="85">
        <f t="shared" si="10"/>
        <v>0</v>
      </c>
      <c r="AJ99" s="85">
        <f t="shared" si="10"/>
        <v>0</v>
      </c>
      <c r="AK99" s="85">
        <f t="shared" si="10"/>
        <v>0</v>
      </c>
      <c r="AL99" s="85">
        <f t="shared" si="10"/>
        <v>0</v>
      </c>
      <c r="AM99" s="85">
        <f t="shared" si="10"/>
        <v>0</v>
      </c>
      <c r="AN99" s="85">
        <f t="shared" si="10"/>
        <v>0</v>
      </c>
      <c r="AO99" s="85">
        <f t="shared" si="10"/>
        <v>0</v>
      </c>
      <c r="AP99" s="85">
        <f t="shared" si="10"/>
        <v>0</v>
      </c>
      <c r="AQ99" s="85">
        <f t="shared" si="10"/>
        <v>0</v>
      </c>
      <c r="AR99" s="85">
        <f t="shared" si="10"/>
        <v>0</v>
      </c>
      <c r="AS99" s="85">
        <f t="shared" si="10"/>
        <v>0</v>
      </c>
      <c r="AT99" s="85">
        <f t="shared" si="10"/>
        <v>0</v>
      </c>
      <c r="AU99" s="85">
        <f t="shared" si="10"/>
        <v>0</v>
      </c>
      <c r="AV99" s="85">
        <f t="shared" si="10"/>
        <v>0</v>
      </c>
      <c r="AW99" s="85">
        <f t="shared" si="10"/>
        <v>0</v>
      </c>
      <c r="AX99" s="85">
        <f t="shared" si="10"/>
        <v>0</v>
      </c>
      <c r="AY99" s="85">
        <f t="shared" si="10"/>
        <v>0</v>
      </c>
      <c r="AZ99" s="85">
        <f t="shared" si="10"/>
        <v>0</v>
      </c>
      <c r="BA99" s="85">
        <f t="shared" si="10"/>
        <v>0</v>
      </c>
      <c r="BB99" s="85">
        <f t="shared" si="10"/>
        <v>0</v>
      </c>
      <c r="BC99" s="85">
        <f t="shared" si="10"/>
        <v>0</v>
      </c>
      <c r="BD99" s="85">
        <f t="shared" si="10"/>
        <v>0</v>
      </c>
      <c r="BE99" s="85">
        <f t="shared" si="10"/>
        <v>0</v>
      </c>
      <c r="BF99" s="85">
        <f t="shared" si="10"/>
        <v>0</v>
      </c>
      <c r="BG99" s="85">
        <f t="shared" si="10"/>
        <v>0</v>
      </c>
      <c r="BH99" s="85">
        <f t="shared" si="10"/>
        <v>0</v>
      </c>
      <c r="BI99" s="85">
        <f t="shared" si="10"/>
        <v>0</v>
      </c>
      <c r="BJ99" s="85">
        <f t="shared" si="10"/>
        <v>0</v>
      </c>
      <c r="BK99" s="85">
        <f t="shared" si="10"/>
        <v>0</v>
      </c>
      <c r="BL99" s="85">
        <f t="shared" si="10"/>
        <v>0</v>
      </c>
      <c r="BM99" s="85">
        <f t="shared" si="10"/>
        <v>0</v>
      </c>
      <c r="BN99" s="85">
        <f t="shared" si="10"/>
        <v>0</v>
      </c>
      <c r="BO99" s="85">
        <f t="shared" si="10"/>
        <v>0</v>
      </c>
      <c r="BP99" s="85">
        <f t="shared" si="10"/>
        <v>0</v>
      </c>
      <c r="BQ99" s="85">
        <f t="shared" ref="BQ99:EB99" si="11">SUM(BQ12:BQ98)</f>
        <v>0</v>
      </c>
      <c r="BR99" s="85">
        <f t="shared" si="11"/>
        <v>0</v>
      </c>
      <c r="BS99" s="85">
        <f t="shared" si="11"/>
        <v>0</v>
      </c>
      <c r="BT99" s="85">
        <f t="shared" si="11"/>
        <v>0</v>
      </c>
      <c r="BU99" s="85">
        <f t="shared" si="11"/>
        <v>0</v>
      </c>
      <c r="BV99" s="85">
        <f t="shared" si="11"/>
        <v>0</v>
      </c>
      <c r="BW99" s="85">
        <f t="shared" si="11"/>
        <v>0</v>
      </c>
      <c r="BX99" s="85">
        <f t="shared" si="11"/>
        <v>0</v>
      </c>
      <c r="BY99" s="85">
        <f t="shared" si="11"/>
        <v>0</v>
      </c>
      <c r="BZ99" s="85">
        <f t="shared" si="11"/>
        <v>0</v>
      </c>
      <c r="CA99" s="85">
        <f t="shared" si="11"/>
        <v>0</v>
      </c>
      <c r="CB99" s="85">
        <f t="shared" si="11"/>
        <v>0</v>
      </c>
      <c r="CC99" s="85">
        <f t="shared" si="11"/>
        <v>0</v>
      </c>
      <c r="CD99" s="85">
        <f t="shared" si="11"/>
        <v>0</v>
      </c>
      <c r="CE99" s="85">
        <f t="shared" si="11"/>
        <v>0</v>
      </c>
      <c r="CF99" s="85">
        <f t="shared" si="11"/>
        <v>0</v>
      </c>
      <c r="CG99" s="85">
        <f t="shared" si="11"/>
        <v>0</v>
      </c>
      <c r="CH99" s="85">
        <f t="shared" si="11"/>
        <v>0</v>
      </c>
      <c r="CI99" s="85">
        <f t="shared" si="11"/>
        <v>0</v>
      </c>
      <c r="CJ99" s="85">
        <f t="shared" si="11"/>
        <v>0</v>
      </c>
      <c r="CK99" s="85">
        <f t="shared" si="11"/>
        <v>0</v>
      </c>
      <c r="CL99" s="85">
        <f t="shared" si="11"/>
        <v>0</v>
      </c>
      <c r="CM99" s="85">
        <f t="shared" si="11"/>
        <v>0</v>
      </c>
      <c r="CN99" s="85">
        <f t="shared" si="11"/>
        <v>0</v>
      </c>
      <c r="CO99" s="85">
        <f t="shared" si="11"/>
        <v>0</v>
      </c>
      <c r="CP99" s="85">
        <f t="shared" si="11"/>
        <v>0</v>
      </c>
      <c r="CQ99" s="85">
        <f t="shared" si="11"/>
        <v>0</v>
      </c>
      <c r="CR99" s="85">
        <f t="shared" si="11"/>
        <v>0</v>
      </c>
      <c r="CS99" s="85">
        <f t="shared" si="11"/>
        <v>0</v>
      </c>
      <c r="CT99" s="85">
        <f t="shared" si="11"/>
        <v>0</v>
      </c>
      <c r="CU99" s="85">
        <f t="shared" si="11"/>
        <v>0</v>
      </c>
      <c r="CV99" s="85">
        <f t="shared" si="11"/>
        <v>0</v>
      </c>
      <c r="CW99" s="85">
        <f t="shared" si="11"/>
        <v>0</v>
      </c>
      <c r="CX99" s="85">
        <f t="shared" si="11"/>
        <v>0</v>
      </c>
      <c r="CY99" s="85">
        <f t="shared" si="11"/>
        <v>0</v>
      </c>
      <c r="CZ99" s="85">
        <f t="shared" si="11"/>
        <v>0</v>
      </c>
      <c r="DA99" s="85">
        <f t="shared" si="11"/>
        <v>0</v>
      </c>
      <c r="DB99" s="85">
        <f t="shared" si="11"/>
        <v>0</v>
      </c>
      <c r="DC99" s="85">
        <f t="shared" si="11"/>
        <v>0</v>
      </c>
      <c r="DD99" s="85">
        <f t="shared" si="11"/>
        <v>0</v>
      </c>
      <c r="DE99" s="85">
        <f t="shared" si="11"/>
        <v>0</v>
      </c>
      <c r="DF99" s="85">
        <f t="shared" si="11"/>
        <v>0</v>
      </c>
      <c r="DG99" s="85">
        <f t="shared" si="11"/>
        <v>0</v>
      </c>
      <c r="DH99" s="85">
        <f t="shared" si="11"/>
        <v>0</v>
      </c>
      <c r="DI99" s="85">
        <f t="shared" si="11"/>
        <v>0</v>
      </c>
      <c r="DJ99" s="85">
        <f t="shared" si="11"/>
        <v>0</v>
      </c>
      <c r="DK99" s="85">
        <f t="shared" si="11"/>
        <v>0</v>
      </c>
      <c r="DL99" s="85">
        <f t="shared" si="11"/>
        <v>0</v>
      </c>
      <c r="DM99" s="85">
        <f t="shared" si="11"/>
        <v>0</v>
      </c>
      <c r="DN99" s="85">
        <f t="shared" si="11"/>
        <v>0</v>
      </c>
      <c r="DO99" s="85">
        <f t="shared" si="11"/>
        <v>0</v>
      </c>
      <c r="DP99" s="85">
        <f t="shared" si="11"/>
        <v>0</v>
      </c>
      <c r="DQ99" s="85">
        <f t="shared" si="11"/>
        <v>0</v>
      </c>
      <c r="DR99" s="85">
        <f t="shared" si="11"/>
        <v>0</v>
      </c>
      <c r="DS99" s="85">
        <f t="shared" si="11"/>
        <v>0</v>
      </c>
      <c r="DT99" s="85">
        <f t="shared" si="11"/>
        <v>0</v>
      </c>
      <c r="DU99" s="85">
        <f t="shared" si="11"/>
        <v>0</v>
      </c>
      <c r="DV99" s="85">
        <f t="shared" si="11"/>
        <v>0</v>
      </c>
      <c r="DW99" s="85">
        <f t="shared" si="11"/>
        <v>0</v>
      </c>
      <c r="DX99" s="85">
        <f t="shared" si="11"/>
        <v>0</v>
      </c>
      <c r="DY99" s="85">
        <f t="shared" si="11"/>
        <v>0</v>
      </c>
      <c r="DZ99" s="85">
        <f t="shared" si="11"/>
        <v>0</v>
      </c>
      <c r="EA99" s="85">
        <f t="shared" si="11"/>
        <v>0</v>
      </c>
      <c r="EB99" s="85">
        <f t="shared" si="11"/>
        <v>0</v>
      </c>
      <c r="EC99" s="85">
        <f t="shared" ref="EC99:GN99" si="12">SUM(EC12:EC98)</f>
        <v>0</v>
      </c>
      <c r="ED99" s="85">
        <f t="shared" si="12"/>
        <v>0</v>
      </c>
      <c r="EE99" s="85">
        <f t="shared" si="12"/>
        <v>0</v>
      </c>
      <c r="EF99" s="85">
        <f t="shared" si="12"/>
        <v>0</v>
      </c>
      <c r="EG99" s="85">
        <f t="shared" si="12"/>
        <v>0</v>
      </c>
      <c r="EH99" s="85">
        <f t="shared" si="12"/>
        <v>0</v>
      </c>
      <c r="EI99" s="85">
        <f t="shared" si="12"/>
        <v>0</v>
      </c>
      <c r="EJ99" s="85">
        <f t="shared" si="12"/>
        <v>0</v>
      </c>
      <c r="EK99" s="85">
        <f t="shared" si="12"/>
        <v>0</v>
      </c>
      <c r="EL99" s="85">
        <f t="shared" si="12"/>
        <v>0</v>
      </c>
      <c r="EM99" s="85">
        <f t="shared" si="12"/>
        <v>0</v>
      </c>
      <c r="EN99" s="85">
        <f t="shared" si="12"/>
        <v>0</v>
      </c>
      <c r="EO99" s="85">
        <f t="shared" si="12"/>
        <v>0</v>
      </c>
      <c r="EP99" s="85">
        <f t="shared" si="12"/>
        <v>0</v>
      </c>
      <c r="EQ99" s="85">
        <f t="shared" si="12"/>
        <v>0</v>
      </c>
      <c r="ER99" s="85">
        <f t="shared" si="12"/>
        <v>0</v>
      </c>
      <c r="ES99" s="85">
        <f t="shared" si="12"/>
        <v>0</v>
      </c>
      <c r="ET99" s="85">
        <f t="shared" si="12"/>
        <v>0</v>
      </c>
      <c r="EU99" s="85">
        <f t="shared" si="12"/>
        <v>0</v>
      </c>
      <c r="EV99" s="85">
        <f t="shared" si="12"/>
        <v>0</v>
      </c>
      <c r="EW99" s="85">
        <f t="shared" si="12"/>
        <v>0</v>
      </c>
      <c r="EX99" s="85">
        <f t="shared" si="12"/>
        <v>0</v>
      </c>
      <c r="EY99" s="85">
        <f t="shared" si="12"/>
        <v>0</v>
      </c>
      <c r="EZ99" s="85">
        <f t="shared" si="12"/>
        <v>0</v>
      </c>
      <c r="FA99" s="85">
        <f t="shared" si="12"/>
        <v>0</v>
      </c>
      <c r="FB99" s="85">
        <f t="shared" si="12"/>
        <v>0</v>
      </c>
      <c r="FC99" s="85">
        <f t="shared" si="12"/>
        <v>0</v>
      </c>
      <c r="FD99" s="85">
        <f t="shared" si="12"/>
        <v>0</v>
      </c>
      <c r="FE99" s="85">
        <f t="shared" si="12"/>
        <v>0</v>
      </c>
      <c r="FF99" s="85">
        <f t="shared" si="12"/>
        <v>0</v>
      </c>
      <c r="FG99" s="85">
        <f t="shared" si="12"/>
        <v>0</v>
      </c>
      <c r="FH99" s="85">
        <f t="shared" si="12"/>
        <v>0</v>
      </c>
      <c r="FI99" s="85">
        <f t="shared" si="12"/>
        <v>0</v>
      </c>
      <c r="FJ99" s="85">
        <f t="shared" si="12"/>
        <v>0</v>
      </c>
      <c r="FK99" s="85">
        <f t="shared" si="12"/>
        <v>0</v>
      </c>
      <c r="FL99" s="85">
        <f t="shared" si="12"/>
        <v>0</v>
      </c>
      <c r="FM99" s="85">
        <f t="shared" si="12"/>
        <v>0</v>
      </c>
      <c r="FN99" s="85">
        <f t="shared" si="12"/>
        <v>0</v>
      </c>
      <c r="FO99" s="85">
        <f t="shared" si="12"/>
        <v>0</v>
      </c>
      <c r="FP99" s="85">
        <f t="shared" si="12"/>
        <v>0</v>
      </c>
      <c r="FQ99" s="85">
        <f t="shared" si="12"/>
        <v>0</v>
      </c>
      <c r="FR99" s="85">
        <f t="shared" si="12"/>
        <v>0</v>
      </c>
      <c r="FS99" s="85">
        <f t="shared" si="12"/>
        <v>0</v>
      </c>
      <c r="FT99" s="85">
        <f t="shared" si="12"/>
        <v>0</v>
      </c>
      <c r="FU99" s="85">
        <f t="shared" si="12"/>
        <v>0</v>
      </c>
      <c r="FV99" s="85">
        <f t="shared" si="12"/>
        <v>0</v>
      </c>
      <c r="FW99" s="85">
        <f t="shared" si="12"/>
        <v>0</v>
      </c>
      <c r="FX99" s="85">
        <f t="shared" si="12"/>
        <v>0</v>
      </c>
      <c r="FY99" s="85">
        <f t="shared" si="12"/>
        <v>0</v>
      </c>
      <c r="FZ99" s="85">
        <f t="shared" si="12"/>
        <v>0</v>
      </c>
      <c r="GA99" s="85">
        <f t="shared" si="12"/>
        <v>0</v>
      </c>
      <c r="GB99" s="85">
        <f t="shared" si="12"/>
        <v>0</v>
      </c>
      <c r="GC99" s="85">
        <f t="shared" si="12"/>
        <v>0</v>
      </c>
      <c r="GD99" s="85">
        <f t="shared" si="12"/>
        <v>0</v>
      </c>
      <c r="GE99" s="85">
        <f t="shared" si="12"/>
        <v>0</v>
      </c>
      <c r="GF99" s="85">
        <f t="shared" si="12"/>
        <v>0</v>
      </c>
      <c r="GG99" s="85">
        <f t="shared" si="12"/>
        <v>0</v>
      </c>
      <c r="GH99" s="85">
        <f t="shared" si="12"/>
        <v>0</v>
      </c>
      <c r="GI99" s="85">
        <f t="shared" si="12"/>
        <v>0</v>
      </c>
      <c r="GJ99" s="85">
        <f t="shared" si="12"/>
        <v>0</v>
      </c>
      <c r="GK99" s="85">
        <f t="shared" si="12"/>
        <v>0</v>
      </c>
      <c r="GL99" s="85">
        <f t="shared" si="12"/>
        <v>0</v>
      </c>
      <c r="GM99" s="85">
        <f t="shared" si="12"/>
        <v>0</v>
      </c>
      <c r="GN99" s="85">
        <f t="shared" si="12"/>
        <v>0</v>
      </c>
      <c r="GO99" s="85">
        <f t="shared" ref="GO99:IZ99" si="13">SUM(GO12:GO98)</f>
        <v>0</v>
      </c>
      <c r="GP99" s="85">
        <f t="shared" si="13"/>
        <v>0</v>
      </c>
      <c r="GQ99" s="85">
        <f t="shared" si="13"/>
        <v>0</v>
      </c>
      <c r="GR99" s="85">
        <f t="shared" si="13"/>
        <v>0</v>
      </c>
      <c r="GS99" s="85">
        <f t="shared" si="13"/>
        <v>0</v>
      </c>
      <c r="GT99" s="85">
        <f t="shared" si="13"/>
        <v>0</v>
      </c>
      <c r="GU99" s="85">
        <f t="shared" si="13"/>
        <v>0</v>
      </c>
      <c r="GV99" s="85">
        <f t="shared" si="13"/>
        <v>0</v>
      </c>
      <c r="GW99" s="85">
        <f t="shared" si="13"/>
        <v>0</v>
      </c>
      <c r="GX99" s="85">
        <f t="shared" si="13"/>
        <v>0</v>
      </c>
      <c r="GY99" s="85">
        <f t="shared" si="13"/>
        <v>0</v>
      </c>
      <c r="GZ99" s="85">
        <f t="shared" si="13"/>
        <v>0</v>
      </c>
      <c r="HA99" s="85">
        <f t="shared" si="13"/>
        <v>0</v>
      </c>
      <c r="HB99" s="85">
        <f t="shared" si="13"/>
        <v>0</v>
      </c>
      <c r="HC99" s="85">
        <f t="shared" si="13"/>
        <v>0</v>
      </c>
      <c r="HD99" s="85">
        <f t="shared" si="13"/>
        <v>0</v>
      </c>
      <c r="HE99" s="85">
        <f t="shared" si="13"/>
        <v>0</v>
      </c>
      <c r="HF99" s="85">
        <f t="shared" si="13"/>
        <v>0</v>
      </c>
      <c r="HG99" s="85">
        <f t="shared" si="13"/>
        <v>0</v>
      </c>
      <c r="HH99" s="85">
        <f t="shared" si="13"/>
        <v>0</v>
      </c>
      <c r="HI99" s="85">
        <f t="shared" si="13"/>
        <v>0</v>
      </c>
      <c r="HJ99" s="85">
        <f t="shared" si="13"/>
        <v>0</v>
      </c>
      <c r="HK99" s="85">
        <f t="shared" si="13"/>
        <v>0</v>
      </c>
      <c r="HL99" s="85">
        <f t="shared" si="13"/>
        <v>0</v>
      </c>
      <c r="HM99" s="85">
        <f t="shared" si="13"/>
        <v>0</v>
      </c>
      <c r="HN99" s="85">
        <f t="shared" si="13"/>
        <v>0</v>
      </c>
      <c r="HO99" s="85">
        <f t="shared" si="13"/>
        <v>0</v>
      </c>
      <c r="HP99" s="85">
        <f t="shared" si="13"/>
        <v>0</v>
      </c>
      <c r="HQ99" s="85">
        <f t="shared" si="13"/>
        <v>0</v>
      </c>
      <c r="HR99" s="85">
        <f t="shared" si="13"/>
        <v>0</v>
      </c>
      <c r="HS99" s="85">
        <f t="shared" si="13"/>
        <v>0</v>
      </c>
      <c r="HT99" s="85">
        <f t="shared" si="13"/>
        <v>0</v>
      </c>
      <c r="HU99" s="85">
        <f t="shared" si="13"/>
        <v>0</v>
      </c>
      <c r="HV99" s="85">
        <f t="shared" si="13"/>
        <v>0</v>
      </c>
      <c r="HW99" s="85">
        <f t="shared" si="13"/>
        <v>0</v>
      </c>
      <c r="HX99" s="85">
        <f t="shared" si="13"/>
        <v>0</v>
      </c>
      <c r="HY99" s="85">
        <f t="shared" si="13"/>
        <v>0</v>
      </c>
      <c r="HZ99" s="85">
        <f t="shared" si="13"/>
        <v>0</v>
      </c>
      <c r="IA99" s="85">
        <f t="shared" si="13"/>
        <v>0</v>
      </c>
      <c r="IB99" s="85">
        <f t="shared" si="13"/>
        <v>0</v>
      </c>
      <c r="IC99" s="85">
        <f t="shared" si="13"/>
        <v>0</v>
      </c>
      <c r="ID99" s="85">
        <f t="shared" si="13"/>
        <v>0</v>
      </c>
      <c r="IE99" s="85">
        <f t="shared" si="13"/>
        <v>0</v>
      </c>
      <c r="IF99" s="85">
        <f t="shared" si="13"/>
        <v>0</v>
      </c>
      <c r="IG99" s="85">
        <f t="shared" si="13"/>
        <v>0</v>
      </c>
      <c r="IH99" s="85">
        <f t="shared" si="13"/>
        <v>0</v>
      </c>
      <c r="II99" s="85">
        <f t="shared" si="13"/>
        <v>0</v>
      </c>
      <c r="IJ99" s="85">
        <f t="shared" si="13"/>
        <v>0</v>
      </c>
      <c r="IK99" s="85">
        <f t="shared" si="13"/>
        <v>0</v>
      </c>
      <c r="IL99" s="85">
        <f t="shared" si="13"/>
        <v>0</v>
      </c>
      <c r="IM99" s="85">
        <f t="shared" si="13"/>
        <v>0</v>
      </c>
      <c r="IN99" s="85">
        <f t="shared" si="13"/>
        <v>0</v>
      </c>
      <c r="IO99" s="85">
        <f t="shared" si="13"/>
        <v>0</v>
      </c>
      <c r="IP99" s="85">
        <f t="shared" si="13"/>
        <v>0</v>
      </c>
      <c r="IQ99" s="85">
        <f t="shared" si="13"/>
        <v>0</v>
      </c>
      <c r="IR99" s="85">
        <f t="shared" si="13"/>
        <v>0</v>
      </c>
      <c r="IS99" s="85">
        <f t="shared" si="13"/>
        <v>0</v>
      </c>
      <c r="IT99" s="85">
        <f t="shared" si="13"/>
        <v>0</v>
      </c>
      <c r="IU99" s="85">
        <f t="shared" si="13"/>
        <v>0</v>
      </c>
      <c r="IV99" s="85">
        <f t="shared" si="13"/>
        <v>0</v>
      </c>
      <c r="IW99" s="85">
        <f t="shared" si="13"/>
        <v>0</v>
      </c>
      <c r="IX99" s="85">
        <f t="shared" si="13"/>
        <v>0</v>
      </c>
      <c r="IY99" s="85">
        <f t="shared" si="13"/>
        <v>0</v>
      </c>
      <c r="IZ99" s="85">
        <f t="shared" si="13"/>
        <v>0</v>
      </c>
      <c r="JA99" s="85">
        <f t="shared" ref="JA99:LL99" si="14">SUM(JA12:JA98)</f>
        <v>0</v>
      </c>
      <c r="JB99" s="85">
        <f t="shared" si="14"/>
        <v>0</v>
      </c>
      <c r="JC99" s="85">
        <f t="shared" si="14"/>
        <v>0</v>
      </c>
      <c r="JD99" s="85">
        <f t="shared" si="14"/>
        <v>0</v>
      </c>
      <c r="JE99" s="85">
        <f t="shared" si="14"/>
        <v>0</v>
      </c>
      <c r="JF99" s="85">
        <f t="shared" si="14"/>
        <v>0</v>
      </c>
      <c r="JG99" s="85">
        <f t="shared" si="14"/>
        <v>0</v>
      </c>
      <c r="JH99" s="85">
        <f t="shared" si="14"/>
        <v>0</v>
      </c>
      <c r="JI99" s="85">
        <f t="shared" si="14"/>
        <v>0</v>
      </c>
      <c r="JJ99" s="85">
        <f t="shared" si="14"/>
        <v>0</v>
      </c>
      <c r="JK99" s="85">
        <f t="shared" si="14"/>
        <v>0</v>
      </c>
      <c r="JL99" s="85">
        <f t="shared" si="14"/>
        <v>0</v>
      </c>
      <c r="JM99" s="85">
        <f t="shared" si="14"/>
        <v>0</v>
      </c>
      <c r="JN99" s="85">
        <f t="shared" si="14"/>
        <v>0</v>
      </c>
      <c r="JO99" s="85">
        <f t="shared" si="14"/>
        <v>0</v>
      </c>
      <c r="JP99" s="85">
        <f t="shared" si="14"/>
        <v>0</v>
      </c>
      <c r="JQ99" s="85">
        <f t="shared" si="14"/>
        <v>0</v>
      </c>
      <c r="JR99" s="85">
        <f t="shared" si="14"/>
        <v>0</v>
      </c>
      <c r="JS99" s="85">
        <f t="shared" si="14"/>
        <v>0</v>
      </c>
      <c r="JT99" s="85">
        <f t="shared" si="14"/>
        <v>0</v>
      </c>
      <c r="JU99" s="85">
        <f t="shared" si="14"/>
        <v>0</v>
      </c>
      <c r="JV99" s="85">
        <f t="shared" si="14"/>
        <v>0</v>
      </c>
      <c r="JW99" s="85">
        <f t="shared" si="14"/>
        <v>0</v>
      </c>
      <c r="JX99" s="85">
        <f t="shared" si="14"/>
        <v>0</v>
      </c>
      <c r="JY99" s="85">
        <f t="shared" si="14"/>
        <v>0</v>
      </c>
      <c r="JZ99" s="85">
        <f t="shared" si="14"/>
        <v>0</v>
      </c>
      <c r="KA99" s="85">
        <f t="shared" si="14"/>
        <v>0</v>
      </c>
      <c r="KB99" s="85">
        <f t="shared" si="14"/>
        <v>0</v>
      </c>
      <c r="KC99" s="85">
        <f t="shared" si="14"/>
        <v>0</v>
      </c>
      <c r="KD99" s="85">
        <f t="shared" si="14"/>
        <v>0</v>
      </c>
      <c r="KE99" s="85">
        <f t="shared" si="14"/>
        <v>0</v>
      </c>
      <c r="KF99" s="85">
        <f t="shared" si="14"/>
        <v>0</v>
      </c>
      <c r="KG99" s="85">
        <f t="shared" si="14"/>
        <v>0</v>
      </c>
      <c r="KH99" s="85">
        <f t="shared" si="14"/>
        <v>0</v>
      </c>
      <c r="KI99" s="85">
        <f t="shared" si="14"/>
        <v>0</v>
      </c>
      <c r="KJ99" s="85">
        <f t="shared" si="14"/>
        <v>0</v>
      </c>
      <c r="KK99" s="85">
        <f t="shared" si="14"/>
        <v>0</v>
      </c>
      <c r="KL99" s="85">
        <f t="shared" si="14"/>
        <v>0</v>
      </c>
      <c r="KM99" s="85">
        <f t="shared" si="14"/>
        <v>0</v>
      </c>
      <c r="KN99" s="85">
        <f t="shared" si="14"/>
        <v>0</v>
      </c>
      <c r="KO99" s="85">
        <f t="shared" si="14"/>
        <v>0</v>
      </c>
      <c r="KP99" s="85">
        <f t="shared" si="14"/>
        <v>0</v>
      </c>
      <c r="KQ99" s="85">
        <f t="shared" si="14"/>
        <v>0</v>
      </c>
      <c r="KR99" s="85">
        <f t="shared" si="14"/>
        <v>0</v>
      </c>
      <c r="KS99" s="85">
        <f t="shared" si="14"/>
        <v>0</v>
      </c>
      <c r="KT99" s="85">
        <f t="shared" si="14"/>
        <v>0</v>
      </c>
      <c r="KU99" s="85">
        <f t="shared" si="14"/>
        <v>0</v>
      </c>
      <c r="KV99" s="85">
        <f t="shared" si="14"/>
        <v>0</v>
      </c>
      <c r="KW99" s="85">
        <f t="shared" si="14"/>
        <v>0</v>
      </c>
      <c r="KX99" s="85">
        <f t="shared" si="14"/>
        <v>0</v>
      </c>
      <c r="KY99" s="85">
        <f t="shared" si="14"/>
        <v>0</v>
      </c>
      <c r="KZ99" s="85">
        <f t="shared" si="14"/>
        <v>0</v>
      </c>
      <c r="LA99" s="85">
        <f t="shared" si="14"/>
        <v>0</v>
      </c>
      <c r="LB99" s="85">
        <f t="shared" si="14"/>
        <v>0</v>
      </c>
      <c r="LC99" s="85">
        <f t="shared" si="14"/>
        <v>0</v>
      </c>
      <c r="LD99" s="85">
        <f t="shared" si="14"/>
        <v>0</v>
      </c>
      <c r="LE99" s="85">
        <f t="shared" si="14"/>
        <v>0</v>
      </c>
      <c r="LF99" s="85">
        <f t="shared" si="14"/>
        <v>0</v>
      </c>
      <c r="LG99" s="85">
        <f t="shared" si="14"/>
        <v>0</v>
      </c>
      <c r="LH99" s="85">
        <f t="shared" si="14"/>
        <v>0</v>
      </c>
      <c r="LI99" s="85">
        <f t="shared" si="14"/>
        <v>0</v>
      </c>
      <c r="LJ99" s="85">
        <f t="shared" si="14"/>
        <v>0</v>
      </c>
      <c r="LK99" s="85">
        <f t="shared" si="14"/>
        <v>0</v>
      </c>
      <c r="LL99" s="85">
        <f t="shared" si="14"/>
        <v>0</v>
      </c>
      <c r="LM99" s="85">
        <f t="shared" ref="LM99:NX99" si="15">SUM(LM12:LM98)</f>
        <v>0</v>
      </c>
      <c r="LN99" s="85">
        <f t="shared" si="15"/>
        <v>0</v>
      </c>
      <c r="LO99" s="85">
        <f t="shared" si="15"/>
        <v>0</v>
      </c>
      <c r="LP99" s="85">
        <f t="shared" si="15"/>
        <v>0</v>
      </c>
      <c r="LQ99" s="85">
        <f t="shared" si="15"/>
        <v>0</v>
      </c>
      <c r="LR99" s="85">
        <f t="shared" si="15"/>
        <v>0</v>
      </c>
      <c r="LS99" s="85">
        <f t="shared" si="15"/>
        <v>0</v>
      </c>
      <c r="LT99" s="85">
        <f t="shared" si="15"/>
        <v>0</v>
      </c>
      <c r="LU99" s="85">
        <f t="shared" si="15"/>
        <v>0</v>
      </c>
      <c r="LV99" s="85">
        <f t="shared" si="15"/>
        <v>0</v>
      </c>
      <c r="LW99" s="85">
        <f t="shared" si="15"/>
        <v>0</v>
      </c>
      <c r="LX99" s="85">
        <f t="shared" si="15"/>
        <v>0</v>
      </c>
      <c r="LY99" s="85">
        <f t="shared" si="15"/>
        <v>0</v>
      </c>
      <c r="LZ99" s="85">
        <f t="shared" si="15"/>
        <v>0</v>
      </c>
      <c r="MA99" s="85">
        <f t="shared" si="15"/>
        <v>0</v>
      </c>
      <c r="MB99" s="85">
        <f t="shared" si="15"/>
        <v>0</v>
      </c>
      <c r="MC99" s="85">
        <f t="shared" si="15"/>
        <v>0</v>
      </c>
      <c r="MD99" s="85">
        <f t="shared" si="15"/>
        <v>0</v>
      </c>
      <c r="ME99" s="85">
        <f t="shared" si="15"/>
        <v>0</v>
      </c>
      <c r="MF99" s="85">
        <f t="shared" si="15"/>
        <v>0</v>
      </c>
      <c r="MG99" s="85">
        <f t="shared" si="15"/>
        <v>0</v>
      </c>
      <c r="MH99" s="85">
        <f t="shared" si="15"/>
        <v>0</v>
      </c>
      <c r="MI99" s="85">
        <f t="shared" si="15"/>
        <v>0</v>
      </c>
      <c r="MJ99" s="85">
        <f t="shared" si="15"/>
        <v>0</v>
      </c>
      <c r="MK99" s="85">
        <f t="shared" si="15"/>
        <v>0</v>
      </c>
      <c r="ML99" s="85">
        <f t="shared" si="15"/>
        <v>0</v>
      </c>
      <c r="MM99" s="85">
        <f t="shared" si="15"/>
        <v>0</v>
      </c>
      <c r="MN99" s="85">
        <f t="shared" si="15"/>
        <v>0</v>
      </c>
      <c r="MO99" s="85">
        <f t="shared" si="15"/>
        <v>0</v>
      </c>
      <c r="MP99" s="85">
        <f t="shared" si="15"/>
        <v>0</v>
      </c>
      <c r="MQ99" s="85">
        <f t="shared" si="15"/>
        <v>0</v>
      </c>
      <c r="MR99" s="85">
        <f t="shared" si="15"/>
        <v>0</v>
      </c>
      <c r="MS99" s="85">
        <f t="shared" si="15"/>
        <v>0</v>
      </c>
      <c r="MT99" s="85">
        <f t="shared" si="15"/>
        <v>0</v>
      </c>
      <c r="MU99" s="85">
        <f t="shared" si="15"/>
        <v>0</v>
      </c>
      <c r="MV99" s="85">
        <f t="shared" si="15"/>
        <v>0</v>
      </c>
      <c r="MW99" s="85">
        <f t="shared" si="15"/>
        <v>0</v>
      </c>
      <c r="MX99" s="85">
        <f t="shared" si="15"/>
        <v>0</v>
      </c>
      <c r="MY99" s="85">
        <f t="shared" si="15"/>
        <v>0</v>
      </c>
      <c r="MZ99" s="85">
        <f t="shared" si="15"/>
        <v>0</v>
      </c>
      <c r="NA99" s="85">
        <f t="shared" si="15"/>
        <v>0</v>
      </c>
      <c r="NB99" s="85">
        <f t="shared" si="15"/>
        <v>0</v>
      </c>
      <c r="NC99" s="85">
        <f t="shared" si="15"/>
        <v>0</v>
      </c>
      <c r="ND99" s="85">
        <f t="shared" si="15"/>
        <v>0</v>
      </c>
      <c r="NE99" s="85">
        <f t="shared" si="15"/>
        <v>0</v>
      </c>
      <c r="NF99" s="85">
        <f t="shared" si="15"/>
        <v>0</v>
      </c>
      <c r="NG99" s="85">
        <f t="shared" si="15"/>
        <v>0</v>
      </c>
      <c r="NH99" s="85">
        <f t="shared" si="15"/>
        <v>0</v>
      </c>
      <c r="NI99" s="85">
        <f t="shared" si="15"/>
        <v>0</v>
      </c>
      <c r="NJ99" s="85">
        <f t="shared" si="15"/>
        <v>0</v>
      </c>
      <c r="NK99" s="85">
        <f t="shared" si="15"/>
        <v>0</v>
      </c>
      <c r="NL99" s="85">
        <f t="shared" si="15"/>
        <v>0</v>
      </c>
      <c r="NM99" s="85">
        <f t="shared" si="15"/>
        <v>0</v>
      </c>
      <c r="NN99" s="85">
        <f t="shared" si="15"/>
        <v>0</v>
      </c>
      <c r="NO99" s="85">
        <f t="shared" si="15"/>
        <v>0</v>
      </c>
      <c r="NP99" s="85">
        <f t="shared" si="15"/>
        <v>0</v>
      </c>
      <c r="NQ99" s="85">
        <f t="shared" si="15"/>
        <v>0</v>
      </c>
      <c r="NR99" s="85">
        <f t="shared" si="15"/>
        <v>0</v>
      </c>
      <c r="NS99" s="85">
        <f t="shared" si="15"/>
        <v>0</v>
      </c>
      <c r="NT99" s="85">
        <f t="shared" si="15"/>
        <v>0</v>
      </c>
      <c r="NU99" s="85">
        <f t="shared" si="15"/>
        <v>0</v>
      </c>
      <c r="NV99" s="85">
        <f t="shared" si="15"/>
        <v>0</v>
      </c>
      <c r="NW99" s="85">
        <f t="shared" si="15"/>
        <v>0</v>
      </c>
      <c r="NX99" s="85">
        <f t="shared" si="15"/>
        <v>0</v>
      </c>
      <c r="NY99" s="85">
        <f t="shared" ref="NY99:QJ99" si="16">SUM(NY12:NY98)</f>
        <v>0</v>
      </c>
      <c r="NZ99" s="85">
        <f t="shared" si="16"/>
        <v>0</v>
      </c>
      <c r="OA99" s="85">
        <f t="shared" si="16"/>
        <v>0</v>
      </c>
      <c r="OB99" s="85">
        <f t="shared" si="16"/>
        <v>0</v>
      </c>
      <c r="OC99" s="85">
        <f t="shared" si="16"/>
        <v>0</v>
      </c>
      <c r="OD99" s="85">
        <f t="shared" si="16"/>
        <v>0</v>
      </c>
      <c r="OE99" s="85">
        <f t="shared" si="16"/>
        <v>0</v>
      </c>
      <c r="OF99" s="85">
        <f t="shared" si="16"/>
        <v>0</v>
      </c>
      <c r="OG99" s="85">
        <f t="shared" si="16"/>
        <v>0</v>
      </c>
      <c r="OH99" s="85">
        <f t="shared" si="16"/>
        <v>0</v>
      </c>
      <c r="OI99" s="85">
        <f t="shared" si="16"/>
        <v>0</v>
      </c>
      <c r="OJ99" s="85">
        <f t="shared" si="16"/>
        <v>0</v>
      </c>
      <c r="OK99" s="85">
        <f t="shared" si="16"/>
        <v>0</v>
      </c>
      <c r="OL99" s="85">
        <f t="shared" si="16"/>
        <v>0</v>
      </c>
      <c r="OM99" s="85">
        <f t="shared" si="16"/>
        <v>0</v>
      </c>
      <c r="ON99" s="85">
        <f t="shared" si="16"/>
        <v>0</v>
      </c>
      <c r="OO99" s="85">
        <f t="shared" si="16"/>
        <v>0</v>
      </c>
      <c r="OP99" s="85">
        <f t="shared" si="16"/>
        <v>0</v>
      </c>
      <c r="OQ99" s="85">
        <f t="shared" si="16"/>
        <v>0</v>
      </c>
      <c r="OR99" s="85">
        <f t="shared" si="16"/>
        <v>0</v>
      </c>
      <c r="OS99" s="85">
        <f t="shared" si="16"/>
        <v>0</v>
      </c>
      <c r="OT99" s="85">
        <f t="shared" si="16"/>
        <v>0</v>
      </c>
      <c r="OU99" s="85">
        <f t="shared" si="16"/>
        <v>0</v>
      </c>
      <c r="OV99" s="85">
        <f t="shared" si="16"/>
        <v>0</v>
      </c>
      <c r="OW99" s="85">
        <f t="shared" si="16"/>
        <v>0</v>
      </c>
      <c r="OX99" s="85">
        <f t="shared" si="16"/>
        <v>0</v>
      </c>
      <c r="OY99" s="85">
        <f t="shared" si="16"/>
        <v>0</v>
      </c>
      <c r="OZ99" s="85">
        <f t="shared" si="16"/>
        <v>0</v>
      </c>
      <c r="PA99" s="85">
        <f t="shared" si="16"/>
        <v>0</v>
      </c>
      <c r="PB99" s="85">
        <f t="shared" si="16"/>
        <v>0</v>
      </c>
      <c r="PC99" s="85">
        <f t="shared" si="16"/>
        <v>0</v>
      </c>
      <c r="PD99" s="85">
        <f t="shared" si="16"/>
        <v>0</v>
      </c>
      <c r="PE99" s="85">
        <f t="shared" si="16"/>
        <v>0</v>
      </c>
      <c r="PF99" s="85">
        <f t="shared" si="16"/>
        <v>0</v>
      </c>
      <c r="PG99" s="85">
        <f t="shared" si="16"/>
        <v>0</v>
      </c>
      <c r="PH99" s="85">
        <f t="shared" si="16"/>
        <v>0</v>
      </c>
      <c r="PI99" s="85">
        <f t="shared" si="16"/>
        <v>0</v>
      </c>
      <c r="PJ99" s="85">
        <f t="shared" si="16"/>
        <v>0</v>
      </c>
      <c r="PK99" s="85">
        <f t="shared" si="16"/>
        <v>0</v>
      </c>
      <c r="PL99" s="85">
        <f t="shared" si="16"/>
        <v>0</v>
      </c>
      <c r="PM99" s="85">
        <f t="shared" si="16"/>
        <v>0</v>
      </c>
      <c r="PN99" s="85">
        <f t="shared" si="16"/>
        <v>0</v>
      </c>
      <c r="PO99" s="85">
        <f t="shared" si="16"/>
        <v>0</v>
      </c>
      <c r="PP99" s="85">
        <f t="shared" si="16"/>
        <v>0</v>
      </c>
      <c r="PQ99" s="85">
        <f t="shared" si="16"/>
        <v>0</v>
      </c>
      <c r="PR99" s="85">
        <f t="shared" si="16"/>
        <v>0</v>
      </c>
      <c r="PS99" s="85">
        <f t="shared" si="16"/>
        <v>0</v>
      </c>
      <c r="PT99" s="85">
        <f t="shared" si="16"/>
        <v>0</v>
      </c>
      <c r="PU99" s="85">
        <f t="shared" si="16"/>
        <v>0</v>
      </c>
      <c r="PV99" s="85">
        <f t="shared" si="16"/>
        <v>0</v>
      </c>
      <c r="PW99" s="85">
        <f t="shared" si="16"/>
        <v>0</v>
      </c>
      <c r="PX99" s="85">
        <f t="shared" si="16"/>
        <v>0</v>
      </c>
      <c r="PY99" s="85">
        <f t="shared" si="16"/>
        <v>0</v>
      </c>
      <c r="PZ99" s="85">
        <f t="shared" si="16"/>
        <v>0</v>
      </c>
      <c r="QA99" s="85">
        <f t="shared" si="16"/>
        <v>0</v>
      </c>
      <c r="QB99" s="85">
        <f t="shared" si="16"/>
        <v>0</v>
      </c>
      <c r="QC99" s="85">
        <f t="shared" si="16"/>
        <v>0</v>
      </c>
      <c r="QD99" s="85">
        <f t="shared" si="16"/>
        <v>0</v>
      </c>
      <c r="QE99" s="85">
        <f t="shared" si="16"/>
        <v>0</v>
      </c>
      <c r="QF99" s="85">
        <f t="shared" si="16"/>
        <v>0</v>
      </c>
      <c r="QG99" s="85">
        <f t="shared" si="16"/>
        <v>0</v>
      </c>
      <c r="QH99" s="85">
        <f t="shared" si="16"/>
        <v>0</v>
      </c>
      <c r="QI99" s="85">
        <f t="shared" si="16"/>
        <v>0</v>
      </c>
      <c r="QJ99" s="85">
        <f t="shared" si="16"/>
        <v>0</v>
      </c>
      <c r="QK99" s="85">
        <f t="shared" ref="QK99:SJ99" si="17">SUM(QK12:QK98)</f>
        <v>0</v>
      </c>
      <c r="QL99" s="85">
        <f t="shared" si="17"/>
        <v>0</v>
      </c>
      <c r="QM99" s="85">
        <f t="shared" si="17"/>
        <v>0</v>
      </c>
      <c r="QN99" s="85">
        <f t="shared" si="17"/>
        <v>0</v>
      </c>
      <c r="QO99" s="85">
        <f t="shared" si="17"/>
        <v>0</v>
      </c>
      <c r="QP99" s="85">
        <f t="shared" si="17"/>
        <v>0</v>
      </c>
      <c r="QQ99" s="85">
        <f t="shared" si="17"/>
        <v>0</v>
      </c>
      <c r="QR99" s="85">
        <f t="shared" si="17"/>
        <v>0</v>
      </c>
      <c r="QS99" s="85">
        <f t="shared" si="17"/>
        <v>0</v>
      </c>
      <c r="QT99" s="85">
        <f t="shared" si="17"/>
        <v>0</v>
      </c>
      <c r="QU99" s="85">
        <f t="shared" si="17"/>
        <v>0</v>
      </c>
      <c r="QV99" s="85">
        <f t="shared" si="17"/>
        <v>0</v>
      </c>
      <c r="QW99" s="85">
        <f t="shared" si="17"/>
        <v>0</v>
      </c>
      <c r="QX99" s="85">
        <f t="shared" si="17"/>
        <v>0</v>
      </c>
      <c r="QY99" s="85">
        <f t="shared" si="17"/>
        <v>0</v>
      </c>
      <c r="QZ99" s="85">
        <f t="shared" si="17"/>
        <v>0</v>
      </c>
      <c r="RA99" s="85">
        <f t="shared" si="17"/>
        <v>0</v>
      </c>
      <c r="RB99" s="85">
        <f t="shared" si="17"/>
        <v>0</v>
      </c>
      <c r="RC99" s="85">
        <f t="shared" si="17"/>
        <v>0</v>
      </c>
      <c r="RD99" s="85">
        <f t="shared" si="17"/>
        <v>0</v>
      </c>
      <c r="RE99" s="85">
        <f t="shared" si="17"/>
        <v>0</v>
      </c>
      <c r="RF99" s="85">
        <f t="shared" si="17"/>
        <v>0</v>
      </c>
      <c r="RG99" s="85">
        <f t="shared" si="17"/>
        <v>0</v>
      </c>
      <c r="RH99" s="85">
        <f t="shared" si="17"/>
        <v>0</v>
      </c>
      <c r="RI99" s="85">
        <f t="shared" si="17"/>
        <v>0</v>
      </c>
      <c r="RJ99" s="85">
        <f t="shared" si="17"/>
        <v>0</v>
      </c>
      <c r="RK99" s="85">
        <f t="shared" si="17"/>
        <v>0</v>
      </c>
      <c r="RL99" s="85">
        <f t="shared" si="17"/>
        <v>0</v>
      </c>
      <c r="RM99" s="85">
        <f t="shared" si="17"/>
        <v>0</v>
      </c>
      <c r="RN99" s="85">
        <f t="shared" si="17"/>
        <v>0</v>
      </c>
      <c r="RO99" s="85">
        <f t="shared" si="17"/>
        <v>0</v>
      </c>
      <c r="RP99" s="85">
        <f t="shared" si="17"/>
        <v>0</v>
      </c>
      <c r="RQ99" s="85">
        <f t="shared" si="17"/>
        <v>0</v>
      </c>
      <c r="RR99" s="85">
        <f t="shared" si="17"/>
        <v>0</v>
      </c>
      <c r="RS99" s="85">
        <f t="shared" si="17"/>
        <v>0</v>
      </c>
      <c r="RT99" s="85">
        <f t="shared" si="17"/>
        <v>0</v>
      </c>
      <c r="RU99" s="85">
        <f t="shared" si="17"/>
        <v>0</v>
      </c>
      <c r="RV99" s="85">
        <f t="shared" si="17"/>
        <v>0</v>
      </c>
      <c r="RW99" s="85">
        <f t="shared" si="17"/>
        <v>0</v>
      </c>
      <c r="RX99" s="85">
        <f t="shared" si="17"/>
        <v>0</v>
      </c>
      <c r="RY99" s="85">
        <f t="shared" si="17"/>
        <v>0</v>
      </c>
      <c r="RZ99" s="85">
        <f t="shared" si="17"/>
        <v>0</v>
      </c>
      <c r="SA99" s="85">
        <f t="shared" si="17"/>
        <v>0</v>
      </c>
      <c r="SB99" s="85">
        <f t="shared" si="17"/>
        <v>0</v>
      </c>
      <c r="SC99" s="85">
        <f t="shared" si="17"/>
        <v>0</v>
      </c>
      <c r="SD99" s="85">
        <f t="shared" si="17"/>
        <v>0</v>
      </c>
      <c r="SE99" s="85">
        <f t="shared" si="17"/>
        <v>0</v>
      </c>
      <c r="SF99" s="85">
        <f t="shared" si="17"/>
        <v>0</v>
      </c>
      <c r="SG99" s="85">
        <f t="shared" si="17"/>
        <v>0</v>
      </c>
      <c r="SH99" s="85">
        <f t="shared" si="17"/>
        <v>0</v>
      </c>
      <c r="SI99" s="85">
        <f t="shared" si="17"/>
        <v>0</v>
      </c>
      <c r="SJ99" s="85">
        <f t="shared" si="17"/>
        <v>0</v>
      </c>
    </row>
    <row r="100" spans="2:504" ht="15.75" thickTop="1" x14ac:dyDescent="0.25"/>
    <row r="101" spans="2:504" x14ac:dyDescent="0.25">
      <c r="B101" s="104" t="s">
        <v>903</v>
      </c>
      <c r="F101" s="82"/>
      <c r="G101" s="82"/>
      <c r="H101" s="82"/>
      <c r="I101" s="82"/>
      <c r="J101" s="82"/>
      <c r="K101" s="82"/>
      <c r="L101" s="82"/>
      <c r="M101" s="82"/>
      <c r="N101" s="82"/>
      <c r="O101" s="82"/>
      <c r="P101" s="82"/>
      <c r="Q101" s="82"/>
      <c r="R101" s="82"/>
      <c r="S101" s="82"/>
      <c r="T101" s="82"/>
      <c r="U101" s="82"/>
      <c r="V101" s="82"/>
      <c r="W101" s="82"/>
      <c r="X101" s="82"/>
      <c r="Y101" s="82"/>
      <c r="Z101" s="82"/>
      <c r="AA101" s="82"/>
      <c r="AB101" s="82"/>
      <c r="AC101" s="82"/>
      <c r="AD101" s="82"/>
      <c r="AE101" s="82"/>
      <c r="AF101" s="82"/>
      <c r="AG101" s="82"/>
      <c r="AH101" s="82"/>
      <c r="AI101" s="82"/>
      <c r="AJ101" s="82"/>
      <c r="AK101" s="82"/>
      <c r="AL101" s="82"/>
      <c r="AM101" s="82"/>
      <c r="AN101" s="82"/>
      <c r="AO101" s="82"/>
      <c r="AP101" s="82"/>
      <c r="AQ101" s="82"/>
      <c r="AR101" s="82"/>
      <c r="AS101" s="82"/>
      <c r="AT101" s="82"/>
      <c r="AU101" s="82"/>
      <c r="AV101" s="82"/>
      <c r="AW101" s="82"/>
      <c r="AX101" s="82"/>
      <c r="AY101" s="82"/>
      <c r="AZ101" s="82"/>
      <c r="BA101" s="82"/>
      <c r="BB101" s="82"/>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2"/>
      <c r="FL101" s="82"/>
      <c r="FM101" s="82"/>
      <c r="FN101" s="82"/>
      <c r="FO101" s="82"/>
      <c r="FP101" s="82"/>
      <c r="FQ101" s="82"/>
      <c r="FR101" s="82"/>
      <c r="FS101" s="82"/>
      <c r="FT101" s="82"/>
      <c r="FU101" s="82"/>
      <c r="FV101" s="82"/>
      <c r="FW101" s="82"/>
      <c r="FX101" s="82"/>
      <c r="FY101" s="82"/>
      <c r="FZ101" s="82"/>
      <c r="GA101" s="82"/>
      <c r="GB101" s="82"/>
      <c r="GC101" s="82"/>
      <c r="GD101" s="82"/>
      <c r="GE101" s="82"/>
      <c r="GF101" s="82"/>
      <c r="GG101" s="82"/>
      <c r="GH101" s="82"/>
      <c r="GI101" s="82"/>
      <c r="GJ101" s="82"/>
      <c r="GK101" s="82"/>
      <c r="GL101" s="82"/>
      <c r="GM101" s="82"/>
      <c r="GN101" s="82"/>
      <c r="GO101" s="82"/>
      <c r="GP101" s="82"/>
      <c r="GQ101" s="82"/>
      <c r="GR101" s="82"/>
      <c r="GS101" s="82"/>
      <c r="GT101" s="82"/>
      <c r="GU101" s="82"/>
      <c r="GV101" s="82"/>
      <c r="GW101" s="82"/>
      <c r="GX101" s="82"/>
      <c r="GY101" s="82"/>
      <c r="GZ101" s="82"/>
      <c r="HA101" s="82"/>
      <c r="HB101" s="82"/>
      <c r="HC101" s="82"/>
      <c r="HD101" s="82"/>
      <c r="HE101" s="82"/>
      <c r="HF101" s="82"/>
      <c r="HG101" s="82"/>
      <c r="HH101" s="82"/>
      <c r="HI101" s="82"/>
      <c r="HJ101" s="82"/>
      <c r="HK101" s="82"/>
      <c r="HL101" s="82"/>
      <c r="HM101" s="82"/>
      <c r="HN101" s="82"/>
      <c r="HO101" s="82"/>
      <c r="HP101" s="82"/>
      <c r="HQ101" s="82"/>
      <c r="HR101" s="82"/>
      <c r="HS101" s="82"/>
      <c r="HT101" s="82"/>
      <c r="HU101" s="82"/>
      <c r="HV101" s="82"/>
      <c r="HW101" s="82"/>
      <c r="HX101" s="82"/>
      <c r="HY101" s="82"/>
      <c r="HZ101" s="82"/>
      <c r="IA101" s="82"/>
      <c r="IB101" s="82"/>
      <c r="IC101" s="82"/>
      <c r="ID101" s="82"/>
      <c r="IE101" s="82"/>
      <c r="IF101" s="82"/>
      <c r="IG101" s="82"/>
      <c r="IH101" s="82"/>
      <c r="II101" s="82"/>
      <c r="IJ101" s="82"/>
      <c r="IK101" s="82"/>
      <c r="IL101" s="82"/>
      <c r="IM101" s="82"/>
      <c r="IN101" s="82"/>
      <c r="IO101" s="82"/>
      <c r="IP101" s="82"/>
      <c r="IQ101" s="82"/>
      <c r="IR101" s="82"/>
      <c r="IS101" s="82"/>
      <c r="IT101" s="82"/>
      <c r="IU101" s="82"/>
      <c r="IV101" s="82"/>
      <c r="IW101" s="82"/>
      <c r="IX101" s="82"/>
      <c r="IY101" s="82"/>
      <c r="IZ101" s="82"/>
      <c r="JA101" s="82"/>
      <c r="JB101" s="82"/>
      <c r="JC101" s="82"/>
      <c r="JD101" s="82"/>
      <c r="JE101" s="82"/>
      <c r="JF101" s="82"/>
      <c r="JG101" s="82"/>
      <c r="JH101" s="82"/>
      <c r="JI101" s="82"/>
      <c r="JJ101" s="82"/>
      <c r="JK101" s="82"/>
      <c r="JL101" s="82"/>
      <c r="JM101" s="82"/>
      <c r="JN101" s="82"/>
      <c r="JO101" s="82"/>
      <c r="JP101" s="82"/>
      <c r="JQ101" s="82"/>
      <c r="JR101" s="82"/>
      <c r="JS101" s="82"/>
      <c r="JT101" s="82"/>
      <c r="JU101" s="82"/>
      <c r="JV101" s="82"/>
      <c r="JW101" s="82"/>
      <c r="JX101" s="82"/>
      <c r="JY101" s="82"/>
      <c r="JZ101" s="82"/>
      <c r="KA101" s="82"/>
      <c r="KB101" s="82"/>
      <c r="KC101" s="82"/>
      <c r="KD101" s="82"/>
      <c r="KE101" s="82"/>
      <c r="KF101" s="82"/>
      <c r="KG101" s="82"/>
      <c r="KH101" s="82"/>
      <c r="KI101" s="82"/>
      <c r="KJ101" s="82"/>
      <c r="KK101" s="82"/>
      <c r="KL101" s="82"/>
      <c r="KM101" s="82"/>
      <c r="KN101" s="82"/>
      <c r="KO101" s="82"/>
      <c r="KP101" s="82"/>
      <c r="KQ101" s="82"/>
      <c r="KR101" s="82"/>
      <c r="KS101" s="82"/>
      <c r="KT101" s="82"/>
      <c r="KU101" s="82"/>
      <c r="KV101" s="82"/>
      <c r="KW101" s="82"/>
      <c r="KX101" s="82"/>
      <c r="KY101" s="82"/>
      <c r="KZ101" s="82"/>
      <c r="LA101" s="82"/>
      <c r="LB101" s="82"/>
      <c r="LC101" s="82"/>
      <c r="LD101" s="82"/>
      <c r="LE101" s="82"/>
      <c r="LF101" s="82"/>
      <c r="LG101" s="82"/>
      <c r="LH101" s="82"/>
      <c r="LI101" s="82"/>
      <c r="LJ101" s="82"/>
      <c r="LK101" s="82"/>
      <c r="LL101" s="82"/>
      <c r="LM101" s="82"/>
      <c r="LN101" s="82"/>
      <c r="LO101" s="82"/>
      <c r="LP101" s="82"/>
      <c r="LQ101" s="82"/>
      <c r="LR101" s="82"/>
      <c r="LS101" s="82"/>
      <c r="LT101" s="82"/>
      <c r="LU101" s="82"/>
      <c r="LV101" s="82"/>
      <c r="LW101" s="82"/>
      <c r="LX101" s="82"/>
      <c r="LY101" s="82"/>
      <c r="LZ101" s="82"/>
      <c r="MA101" s="82"/>
      <c r="MB101" s="82"/>
      <c r="MC101" s="82"/>
      <c r="MD101" s="82"/>
      <c r="ME101" s="82"/>
      <c r="MF101" s="82"/>
      <c r="MG101" s="82"/>
      <c r="MH101" s="82"/>
      <c r="MI101" s="82"/>
      <c r="MJ101" s="82"/>
      <c r="MK101" s="82"/>
      <c r="ML101" s="82"/>
      <c r="MM101" s="82"/>
      <c r="MN101" s="82"/>
      <c r="MO101" s="82"/>
      <c r="MP101" s="82"/>
      <c r="MQ101" s="82"/>
      <c r="MR101" s="82"/>
      <c r="MS101" s="82"/>
      <c r="MT101" s="82"/>
      <c r="MU101" s="82"/>
      <c r="MV101" s="82"/>
      <c r="MW101" s="82"/>
      <c r="MX101" s="82"/>
      <c r="MY101" s="82"/>
      <c r="MZ101" s="82"/>
      <c r="NA101" s="82"/>
      <c r="NB101" s="82"/>
      <c r="NC101" s="82"/>
      <c r="ND101" s="82"/>
      <c r="NE101" s="82"/>
      <c r="NF101" s="82"/>
      <c r="NG101" s="82"/>
      <c r="NH101" s="82"/>
      <c r="NI101" s="82"/>
      <c r="NJ101" s="82"/>
      <c r="NK101" s="82"/>
      <c r="NL101" s="82"/>
      <c r="NM101" s="82"/>
      <c r="NN101" s="82"/>
      <c r="NO101" s="82"/>
      <c r="NP101" s="82"/>
      <c r="NQ101" s="82"/>
      <c r="NR101" s="82"/>
      <c r="NS101" s="82"/>
      <c r="NT101" s="82"/>
      <c r="NU101" s="82"/>
      <c r="NV101" s="82"/>
      <c r="NW101" s="82"/>
      <c r="NX101" s="82"/>
      <c r="NY101" s="82"/>
      <c r="NZ101" s="82"/>
      <c r="OA101" s="82"/>
      <c r="OB101" s="82"/>
      <c r="OC101" s="82"/>
      <c r="OD101" s="82"/>
      <c r="OE101" s="82"/>
      <c r="OF101" s="82"/>
      <c r="OG101" s="82"/>
      <c r="OH101" s="82"/>
      <c r="OI101" s="82"/>
      <c r="OJ101" s="82"/>
      <c r="OK101" s="82"/>
      <c r="OL101" s="82"/>
      <c r="OM101" s="82"/>
      <c r="ON101" s="82"/>
      <c r="OO101" s="82"/>
      <c r="OP101" s="82"/>
      <c r="OQ101" s="82"/>
      <c r="OR101" s="82"/>
      <c r="OS101" s="82"/>
      <c r="OT101" s="82"/>
      <c r="OU101" s="82"/>
      <c r="OV101" s="82"/>
      <c r="OW101" s="82"/>
      <c r="OX101" s="82"/>
      <c r="OY101" s="82"/>
      <c r="OZ101" s="82"/>
      <c r="PA101" s="82"/>
      <c r="PB101" s="82"/>
      <c r="PC101" s="82"/>
      <c r="PD101" s="82"/>
      <c r="PE101" s="82"/>
      <c r="PF101" s="82"/>
      <c r="PG101" s="82"/>
      <c r="PH101" s="82"/>
      <c r="PI101" s="82"/>
      <c r="PJ101" s="82"/>
      <c r="PK101" s="82"/>
      <c r="PL101" s="82"/>
      <c r="PM101" s="82"/>
      <c r="PN101" s="82"/>
      <c r="PO101" s="82"/>
      <c r="PP101" s="82"/>
      <c r="PQ101" s="82"/>
      <c r="PR101" s="82"/>
      <c r="PS101" s="82"/>
      <c r="PT101" s="82"/>
      <c r="PU101" s="82"/>
      <c r="PV101" s="82"/>
      <c r="PW101" s="82"/>
      <c r="PX101" s="82"/>
      <c r="PY101" s="82"/>
      <c r="PZ101" s="82"/>
      <c r="QA101" s="82"/>
      <c r="QB101" s="82"/>
      <c r="QC101" s="82"/>
      <c r="QD101" s="82"/>
      <c r="QE101" s="82"/>
      <c r="QF101" s="82"/>
      <c r="QG101" s="82"/>
      <c r="QH101" s="82"/>
      <c r="QI101" s="82"/>
      <c r="QJ101" s="82"/>
      <c r="QK101" s="82"/>
      <c r="QL101" s="82"/>
      <c r="QM101" s="82"/>
      <c r="QN101" s="82"/>
      <c r="QO101" s="82"/>
      <c r="QP101" s="82"/>
      <c r="QQ101" s="82"/>
      <c r="QR101" s="82"/>
      <c r="QS101" s="82"/>
      <c r="QT101" s="82"/>
      <c r="QU101" s="82"/>
      <c r="QV101" s="82"/>
      <c r="QW101" s="82"/>
      <c r="QX101" s="82"/>
      <c r="QY101" s="82"/>
      <c r="QZ101" s="82"/>
      <c r="RA101" s="82"/>
      <c r="RB101" s="82"/>
      <c r="RC101" s="82"/>
      <c r="RD101" s="82"/>
      <c r="RE101" s="82"/>
      <c r="RF101" s="82"/>
      <c r="RG101" s="82"/>
      <c r="RH101" s="82"/>
      <c r="RI101" s="82"/>
      <c r="RJ101" s="82"/>
      <c r="RK101" s="82"/>
      <c r="RL101" s="82"/>
      <c r="RM101" s="82"/>
      <c r="RN101" s="82"/>
      <c r="RO101" s="82"/>
      <c r="RP101" s="82"/>
      <c r="RQ101" s="82"/>
      <c r="RR101" s="82"/>
      <c r="RS101" s="82"/>
      <c r="RT101" s="82"/>
      <c r="RU101" s="82"/>
      <c r="RV101" s="82"/>
      <c r="RW101" s="82"/>
      <c r="RX101" s="82"/>
      <c r="RY101" s="82"/>
      <c r="RZ101" s="82"/>
      <c r="SA101" s="82"/>
      <c r="SB101" s="82"/>
      <c r="SC101" s="82"/>
      <c r="SD101" s="82"/>
      <c r="SE101" s="82"/>
      <c r="SF101" s="82"/>
      <c r="SG101" s="82"/>
      <c r="SH101" s="82"/>
      <c r="SI101" s="82"/>
      <c r="SJ101" s="82"/>
    </row>
    <row r="102" spans="2:504" s="95" customFormat="1" x14ac:dyDescent="0.25">
      <c r="B102" s="117" t="s">
        <v>902</v>
      </c>
      <c r="C102" s="118"/>
      <c r="D102" s="119" t="s">
        <v>904</v>
      </c>
      <c r="E102" s="394" t="s">
        <v>884</v>
      </c>
      <c r="F102" s="394" t="s">
        <v>884</v>
      </c>
      <c r="G102" s="394" t="s">
        <v>884</v>
      </c>
      <c r="H102" s="394" t="s">
        <v>884</v>
      </c>
      <c r="I102" s="394" t="s">
        <v>884</v>
      </c>
      <c r="J102" s="394" t="s">
        <v>884</v>
      </c>
      <c r="K102" s="394" t="s">
        <v>884</v>
      </c>
      <c r="L102" s="394" t="s">
        <v>884</v>
      </c>
      <c r="M102" s="394" t="s">
        <v>884</v>
      </c>
      <c r="N102" s="394" t="s">
        <v>884</v>
      </c>
      <c r="O102" s="394" t="s">
        <v>884</v>
      </c>
      <c r="P102" s="394" t="s">
        <v>884</v>
      </c>
      <c r="Q102" s="394" t="s">
        <v>884</v>
      </c>
      <c r="R102" s="394" t="s">
        <v>884</v>
      </c>
      <c r="S102" s="394" t="s">
        <v>884</v>
      </c>
      <c r="T102" s="394" t="s">
        <v>884</v>
      </c>
      <c r="U102" s="394" t="s">
        <v>884</v>
      </c>
      <c r="V102" s="394" t="s">
        <v>884</v>
      </c>
      <c r="W102" s="394" t="s">
        <v>884</v>
      </c>
      <c r="X102" s="394" t="s">
        <v>884</v>
      </c>
      <c r="Y102" s="394" t="s">
        <v>884</v>
      </c>
      <c r="Z102" s="394" t="s">
        <v>884</v>
      </c>
      <c r="AA102" s="394" t="s">
        <v>884</v>
      </c>
      <c r="AB102" s="394" t="s">
        <v>884</v>
      </c>
      <c r="AC102" s="394" t="s">
        <v>884</v>
      </c>
      <c r="AD102" s="394" t="s">
        <v>884</v>
      </c>
      <c r="AE102" s="394" t="s">
        <v>884</v>
      </c>
      <c r="AF102" s="394" t="s">
        <v>884</v>
      </c>
      <c r="AG102" s="394" t="s">
        <v>884</v>
      </c>
      <c r="AH102" s="394" t="s">
        <v>884</v>
      </c>
      <c r="AI102" s="394" t="s">
        <v>884</v>
      </c>
      <c r="AJ102" s="394" t="s">
        <v>884</v>
      </c>
      <c r="AK102" s="394" t="s">
        <v>884</v>
      </c>
      <c r="AL102" s="394" t="s">
        <v>884</v>
      </c>
      <c r="AM102" s="394" t="s">
        <v>884</v>
      </c>
      <c r="AN102" s="394" t="s">
        <v>884</v>
      </c>
      <c r="AO102" s="394" t="s">
        <v>884</v>
      </c>
      <c r="AP102" s="394" t="s">
        <v>884</v>
      </c>
      <c r="AQ102" s="394" t="s">
        <v>884</v>
      </c>
      <c r="AR102" s="394" t="s">
        <v>884</v>
      </c>
      <c r="AS102" s="394" t="s">
        <v>884</v>
      </c>
      <c r="AT102" s="394" t="s">
        <v>884</v>
      </c>
      <c r="AU102" s="394" t="s">
        <v>884</v>
      </c>
      <c r="AV102" s="394" t="s">
        <v>884</v>
      </c>
      <c r="AW102" s="394" t="s">
        <v>884</v>
      </c>
      <c r="AX102" s="394" t="s">
        <v>884</v>
      </c>
      <c r="AY102" s="394" t="s">
        <v>884</v>
      </c>
      <c r="AZ102" s="394" t="s">
        <v>884</v>
      </c>
      <c r="BA102" s="394" t="s">
        <v>884</v>
      </c>
      <c r="BB102" s="394" t="s">
        <v>884</v>
      </c>
      <c r="BC102" s="394" t="s">
        <v>884</v>
      </c>
      <c r="BD102" s="394" t="s">
        <v>884</v>
      </c>
      <c r="BE102" s="394" t="s">
        <v>884</v>
      </c>
      <c r="BF102" s="394" t="s">
        <v>884</v>
      </c>
      <c r="BG102" s="394" t="s">
        <v>884</v>
      </c>
      <c r="BH102" s="394" t="s">
        <v>884</v>
      </c>
      <c r="BI102" s="394" t="s">
        <v>884</v>
      </c>
      <c r="BJ102" s="394" t="s">
        <v>884</v>
      </c>
      <c r="BK102" s="394" t="s">
        <v>884</v>
      </c>
      <c r="BL102" s="394" t="s">
        <v>884</v>
      </c>
      <c r="BM102" s="394" t="s">
        <v>884</v>
      </c>
      <c r="BN102" s="394" t="s">
        <v>884</v>
      </c>
      <c r="BO102" s="394" t="s">
        <v>884</v>
      </c>
      <c r="BP102" s="394" t="s">
        <v>884</v>
      </c>
      <c r="BQ102" s="394" t="s">
        <v>884</v>
      </c>
      <c r="BR102" s="394" t="s">
        <v>884</v>
      </c>
      <c r="BS102" s="394" t="s">
        <v>884</v>
      </c>
      <c r="BT102" s="394" t="s">
        <v>884</v>
      </c>
      <c r="BU102" s="394" t="s">
        <v>884</v>
      </c>
      <c r="BV102" s="394" t="s">
        <v>884</v>
      </c>
      <c r="BW102" s="394" t="s">
        <v>884</v>
      </c>
      <c r="BX102" s="394" t="s">
        <v>884</v>
      </c>
      <c r="BY102" s="394" t="s">
        <v>884</v>
      </c>
      <c r="BZ102" s="394" t="s">
        <v>884</v>
      </c>
      <c r="CA102" s="394" t="s">
        <v>884</v>
      </c>
      <c r="CB102" s="394" t="s">
        <v>884</v>
      </c>
      <c r="CC102" s="394" t="s">
        <v>884</v>
      </c>
      <c r="CD102" s="394" t="s">
        <v>884</v>
      </c>
      <c r="CE102" s="394" t="s">
        <v>884</v>
      </c>
      <c r="CF102" s="394" t="s">
        <v>884</v>
      </c>
      <c r="CG102" s="394" t="s">
        <v>884</v>
      </c>
      <c r="CH102" s="394" t="s">
        <v>884</v>
      </c>
      <c r="CI102" s="394" t="s">
        <v>884</v>
      </c>
      <c r="CJ102" s="394" t="s">
        <v>884</v>
      </c>
      <c r="CK102" s="394" t="s">
        <v>884</v>
      </c>
      <c r="CL102" s="394" t="s">
        <v>884</v>
      </c>
      <c r="CM102" s="394" t="s">
        <v>884</v>
      </c>
      <c r="CN102" s="394" t="s">
        <v>884</v>
      </c>
      <c r="CO102" s="394" t="s">
        <v>884</v>
      </c>
      <c r="CP102" s="394" t="s">
        <v>884</v>
      </c>
      <c r="CQ102" s="394" t="s">
        <v>884</v>
      </c>
      <c r="CR102" s="394" t="s">
        <v>884</v>
      </c>
      <c r="CS102" s="394" t="s">
        <v>884</v>
      </c>
      <c r="CT102" s="394" t="s">
        <v>884</v>
      </c>
      <c r="CU102" s="394" t="s">
        <v>884</v>
      </c>
      <c r="CV102" s="394" t="s">
        <v>884</v>
      </c>
      <c r="CW102" s="394" t="s">
        <v>884</v>
      </c>
      <c r="CX102" s="394" t="s">
        <v>884</v>
      </c>
      <c r="CY102" s="394" t="s">
        <v>884</v>
      </c>
      <c r="CZ102" s="394" t="s">
        <v>884</v>
      </c>
      <c r="DA102" s="394" t="s">
        <v>884</v>
      </c>
      <c r="DB102" s="394" t="s">
        <v>884</v>
      </c>
      <c r="DC102" s="394" t="s">
        <v>884</v>
      </c>
      <c r="DD102" s="394" t="s">
        <v>884</v>
      </c>
      <c r="DE102" s="394" t="s">
        <v>884</v>
      </c>
      <c r="DF102" s="394" t="s">
        <v>884</v>
      </c>
      <c r="DG102" s="394" t="s">
        <v>884</v>
      </c>
      <c r="DH102" s="394" t="s">
        <v>884</v>
      </c>
      <c r="DI102" s="394" t="s">
        <v>884</v>
      </c>
      <c r="DJ102" s="394" t="s">
        <v>884</v>
      </c>
      <c r="DK102" s="394" t="s">
        <v>884</v>
      </c>
      <c r="DL102" s="394" t="s">
        <v>884</v>
      </c>
      <c r="DM102" s="394" t="s">
        <v>884</v>
      </c>
      <c r="DN102" s="394" t="s">
        <v>884</v>
      </c>
      <c r="DO102" s="394" t="s">
        <v>884</v>
      </c>
      <c r="DP102" s="394" t="s">
        <v>884</v>
      </c>
      <c r="DQ102" s="394" t="s">
        <v>884</v>
      </c>
      <c r="DR102" s="394" t="s">
        <v>884</v>
      </c>
      <c r="DS102" s="394" t="s">
        <v>884</v>
      </c>
      <c r="DT102" s="394" t="s">
        <v>884</v>
      </c>
      <c r="DU102" s="394" t="s">
        <v>884</v>
      </c>
      <c r="DV102" s="394" t="s">
        <v>884</v>
      </c>
      <c r="DW102" s="394" t="s">
        <v>884</v>
      </c>
      <c r="DX102" s="394" t="s">
        <v>884</v>
      </c>
      <c r="DY102" s="394" t="s">
        <v>884</v>
      </c>
      <c r="DZ102" s="394" t="s">
        <v>884</v>
      </c>
      <c r="EA102" s="394" t="s">
        <v>884</v>
      </c>
      <c r="EB102" s="394" t="s">
        <v>884</v>
      </c>
      <c r="EC102" s="394" t="s">
        <v>884</v>
      </c>
      <c r="ED102" s="394" t="s">
        <v>884</v>
      </c>
      <c r="EE102" s="394" t="s">
        <v>884</v>
      </c>
      <c r="EF102" s="394" t="s">
        <v>884</v>
      </c>
      <c r="EG102" s="394" t="s">
        <v>884</v>
      </c>
      <c r="EH102" s="394" t="s">
        <v>884</v>
      </c>
      <c r="EI102" s="394" t="s">
        <v>884</v>
      </c>
      <c r="EJ102" s="394" t="s">
        <v>884</v>
      </c>
      <c r="EK102" s="394" t="s">
        <v>884</v>
      </c>
      <c r="EL102" s="394" t="s">
        <v>884</v>
      </c>
      <c r="EM102" s="394" t="s">
        <v>884</v>
      </c>
      <c r="EN102" s="394" t="s">
        <v>884</v>
      </c>
      <c r="EO102" s="394" t="s">
        <v>884</v>
      </c>
      <c r="EP102" s="394" t="s">
        <v>884</v>
      </c>
      <c r="EQ102" s="394" t="s">
        <v>884</v>
      </c>
      <c r="ER102" s="394" t="s">
        <v>884</v>
      </c>
      <c r="ES102" s="394" t="s">
        <v>884</v>
      </c>
      <c r="ET102" s="394" t="s">
        <v>884</v>
      </c>
      <c r="EU102" s="394" t="s">
        <v>884</v>
      </c>
      <c r="EV102" s="394" t="s">
        <v>884</v>
      </c>
      <c r="EW102" s="394" t="s">
        <v>884</v>
      </c>
      <c r="EX102" s="394" t="s">
        <v>884</v>
      </c>
      <c r="EY102" s="394" t="s">
        <v>884</v>
      </c>
      <c r="EZ102" s="394" t="s">
        <v>884</v>
      </c>
      <c r="FA102" s="394" t="s">
        <v>884</v>
      </c>
      <c r="FB102" s="394" t="s">
        <v>884</v>
      </c>
      <c r="FC102" s="394" t="s">
        <v>884</v>
      </c>
      <c r="FD102" s="394" t="s">
        <v>884</v>
      </c>
      <c r="FE102" s="394" t="s">
        <v>884</v>
      </c>
      <c r="FF102" s="394" t="s">
        <v>884</v>
      </c>
      <c r="FG102" s="394" t="s">
        <v>884</v>
      </c>
      <c r="FH102" s="394" t="s">
        <v>884</v>
      </c>
      <c r="FI102" s="394" t="s">
        <v>884</v>
      </c>
      <c r="FJ102" s="394" t="s">
        <v>884</v>
      </c>
      <c r="FK102" s="394" t="s">
        <v>884</v>
      </c>
      <c r="FL102" s="394" t="s">
        <v>884</v>
      </c>
      <c r="FM102" s="394" t="s">
        <v>884</v>
      </c>
      <c r="FN102" s="394" t="s">
        <v>884</v>
      </c>
      <c r="FO102" s="394" t="s">
        <v>884</v>
      </c>
      <c r="FP102" s="394" t="s">
        <v>884</v>
      </c>
      <c r="FQ102" s="394" t="s">
        <v>884</v>
      </c>
      <c r="FR102" s="394" t="s">
        <v>884</v>
      </c>
      <c r="FS102" s="394" t="s">
        <v>884</v>
      </c>
      <c r="FT102" s="394" t="s">
        <v>884</v>
      </c>
      <c r="FU102" s="394" t="s">
        <v>884</v>
      </c>
      <c r="FV102" s="394" t="s">
        <v>884</v>
      </c>
      <c r="FW102" s="394" t="s">
        <v>884</v>
      </c>
      <c r="FX102" s="394" t="s">
        <v>884</v>
      </c>
      <c r="FY102" s="394" t="s">
        <v>884</v>
      </c>
      <c r="FZ102" s="394" t="s">
        <v>884</v>
      </c>
      <c r="GA102" s="394" t="s">
        <v>884</v>
      </c>
      <c r="GB102" s="394" t="s">
        <v>884</v>
      </c>
      <c r="GC102" s="394" t="s">
        <v>884</v>
      </c>
      <c r="GD102" s="394" t="s">
        <v>884</v>
      </c>
      <c r="GE102" s="394" t="s">
        <v>884</v>
      </c>
      <c r="GF102" s="394" t="s">
        <v>884</v>
      </c>
      <c r="GG102" s="394" t="s">
        <v>884</v>
      </c>
      <c r="GH102" s="394" t="s">
        <v>884</v>
      </c>
      <c r="GI102" s="394" t="s">
        <v>884</v>
      </c>
      <c r="GJ102" s="394" t="s">
        <v>884</v>
      </c>
      <c r="GK102" s="394" t="s">
        <v>884</v>
      </c>
      <c r="GL102" s="394" t="s">
        <v>884</v>
      </c>
      <c r="GM102" s="394" t="s">
        <v>884</v>
      </c>
      <c r="GN102" s="394" t="s">
        <v>884</v>
      </c>
      <c r="GO102" s="394" t="s">
        <v>884</v>
      </c>
      <c r="GP102" s="394" t="s">
        <v>884</v>
      </c>
      <c r="GQ102" s="394" t="s">
        <v>884</v>
      </c>
      <c r="GR102" s="394" t="s">
        <v>884</v>
      </c>
      <c r="GS102" s="394" t="s">
        <v>884</v>
      </c>
      <c r="GT102" s="394" t="s">
        <v>884</v>
      </c>
      <c r="GU102" s="394" t="s">
        <v>884</v>
      </c>
      <c r="GV102" s="394" t="s">
        <v>884</v>
      </c>
      <c r="GW102" s="394" t="s">
        <v>884</v>
      </c>
      <c r="GX102" s="394" t="s">
        <v>884</v>
      </c>
      <c r="GY102" s="394" t="s">
        <v>884</v>
      </c>
      <c r="GZ102" s="394" t="s">
        <v>884</v>
      </c>
      <c r="HA102" s="394" t="s">
        <v>884</v>
      </c>
      <c r="HB102" s="394" t="s">
        <v>884</v>
      </c>
      <c r="HC102" s="394" t="s">
        <v>884</v>
      </c>
      <c r="HD102" s="394" t="s">
        <v>884</v>
      </c>
      <c r="HE102" s="394" t="s">
        <v>884</v>
      </c>
      <c r="HF102" s="394" t="s">
        <v>884</v>
      </c>
      <c r="HG102" s="394" t="s">
        <v>884</v>
      </c>
      <c r="HH102" s="394" t="s">
        <v>884</v>
      </c>
      <c r="HI102" s="394" t="s">
        <v>884</v>
      </c>
      <c r="HJ102" s="394" t="s">
        <v>884</v>
      </c>
      <c r="HK102" s="394" t="s">
        <v>884</v>
      </c>
      <c r="HL102" s="394" t="s">
        <v>884</v>
      </c>
      <c r="HM102" s="394" t="s">
        <v>884</v>
      </c>
      <c r="HN102" s="394" t="s">
        <v>884</v>
      </c>
      <c r="HO102" s="394" t="s">
        <v>884</v>
      </c>
      <c r="HP102" s="394" t="s">
        <v>884</v>
      </c>
      <c r="HQ102" s="394" t="s">
        <v>884</v>
      </c>
      <c r="HR102" s="394" t="s">
        <v>884</v>
      </c>
      <c r="HS102" s="394" t="s">
        <v>884</v>
      </c>
      <c r="HT102" s="394" t="s">
        <v>884</v>
      </c>
      <c r="HU102" s="394" t="s">
        <v>884</v>
      </c>
      <c r="HV102" s="394" t="s">
        <v>884</v>
      </c>
      <c r="HW102" s="394" t="s">
        <v>884</v>
      </c>
      <c r="HX102" s="394" t="s">
        <v>884</v>
      </c>
      <c r="HY102" s="394" t="s">
        <v>884</v>
      </c>
      <c r="HZ102" s="394" t="s">
        <v>884</v>
      </c>
      <c r="IA102" s="394" t="s">
        <v>884</v>
      </c>
      <c r="IB102" s="394" t="s">
        <v>884</v>
      </c>
      <c r="IC102" s="394" t="s">
        <v>884</v>
      </c>
      <c r="ID102" s="394" t="s">
        <v>884</v>
      </c>
      <c r="IE102" s="394" t="s">
        <v>884</v>
      </c>
      <c r="IF102" s="394" t="s">
        <v>884</v>
      </c>
      <c r="IG102" s="394" t="s">
        <v>884</v>
      </c>
      <c r="IH102" s="394" t="s">
        <v>884</v>
      </c>
      <c r="II102" s="394" t="s">
        <v>884</v>
      </c>
      <c r="IJ102" s="394" t="s">
        <v>884</v>
      </c>
      <c r="IK102" s="394" t="s">
        <v>884</v>
      </c>
      <c r="IL102" s="394" t="s">
        <v>884</v>
      </c>
      <c r="IM102" s="394" t="s">
        <v>884</v>
      </c>
      <c r="IN102" s="394" t="s">
        <v>884</v>
      </c>
      <c r="IO102" s="394" t="s">
        <v>884</v>
      </c>
      <c r="IP102" s="394" t="s">
        <v>884</v>
      </c>
      <c r="IQ102" s="394" t="s">
        <v>884</v>
      </c>
      <c r="IR102" s="394" t="s">
        <v>884</v>
      </c>
      <c r="IS102" s="394" t="s">
        <v>884</v>
      </c>
      <c r="IT102" s="394" t="s">
        <v>884</v>
      </c>
      <c r="IU102" s="394" t="s">
        <v>884</v>
      </c>
      <c r="IV102" s="394" t="s">
        <v>884</v>
      </c>
      <c r="IW102" s="394" t="s">
        <v>884</v>
      </c>
      <c r="IX102" s="394" t="s">
        <v>884</v>
      </c>
      <c r="IY102" s="394" t="s">
        <v>884</v>
      </c>
      <c r="IZ102" s="394" t="s">
        <v>884</v>
      </c>
      <c r="JA102" s="394" t="s">
        <v>884</v>
      </c>
      <c r="JB102" s="394" t="s">
        <v>884</v>
      </c>
      <c r="JC102" s="394" t="s">
        <v>884</v>
      </c>
      <c r="JD102" s="394" t="s">
        <v>884</v>
      </c>
      <c r="JE102" s="394" t="s">
        <v>884</v>
      </c>
      <c r="JF102" s="394" t="s">
        <v>884</v>
      </c>
      <c r="JG102" s="394" t="s">
        <v>884</v>
      </c>
      <c r="JH102" s="394" t="s">
        <v>884</v>
      </c>
      <c r="JI102" s="394" t="s">
        <v>884</v>
      </c>
      <c r="JJ102" s="394" t="s">
        <v>884</v>
      </c>
      <c r="JK102" s="394" t="s">
        <v>884</v>
      </c>
      <c r="JL102" s="394" t="s">
        <v>884</v>
      </c>
      <c r="JM102" s="394" t="s">
        <v>884</v>
      </c>
      <c r="JN102" s="394" t="s">
        <v>884</v>
      </c>
      <c r="JO102" s="394" t="s">
        <v>884</v>
      </c>
      <c r="JP102" s="394" t="s">
        <v>884</v>
      </c>
      <c r="JQ102" s="394" t="s">
        <v>884</v>
      </c>
      <c r="JR102" s="394" t="s">
        <v>884</v>
      </c>
      <c r="JS102" s="394" t="s">
        <v>884</v>
      </c>
      <c r="JT102" s="394" t="s">
        <v>884</v>
      </c>
      <c r="JU102" s="394" t="s">
        <v>884</v>
      </c>
      <c r="JV102" s="394" t="s">
        <v>884</v>
      </c>
      <c r="JW102" s="394" t="s">
        <v>884</v>
      </c>
      <c r="JX102" s="394" t="s">
        <v>884</v>
      </c>
      <c r="JY102" s="394" t="s">
        <v>884</v>
      </c>
      <c r="JZ102" s="394" t="s">
        <v>884</v>
      </c>
      <c r="KA102" s="394" t="s">
        <v>884</v>
      </c>
      <c r="KB102" s="394" t="s">
        <v>884</v>
      </c>
      <c r="KC102" s="394" t="s">
        <v>884</v>
      </c>
      <c r="KD102" s="394" t="s">
        <v>884</v>
      </c>
      <c r="KE102" s="394" t="s">
        <v>884</v>
      </c>
      <c r="KF102" s="394" t="s">
        <v>884</v>
      </c>
      <c r="KG102" s="394" t="s">
        <v>884</v>
      </c>
      <c r="KH102" s="394" t="s">
        <v>884</v>
      </c>
      <c r="KI102" s="394" t="s">
        <v>884</v>
      </c>
      <c r="KJ102" s="394" t="s">
        <v>884</v>
      </c>
      <c r="KK102" s="394" t="s">
        <v>884</v>
      </c>
      <c r="KL102" s="394" t="s">
        <v>884</v>
      </c>
      <c r="KM102" s="394" t="s">
        <v>884</v>
      </c>
      <c r="KN102" s="394" t="s">
        <v>884</v>
      </c>
      <c r="KO102" s="394" t="s">
        <v>884</v>
      </c>
      <c r="KP102" s="394" t="s">
        <v>884</v>
      </c>
      <c r="KQ102" s="394" t="s">
        <v>884</v>
      </c>
      <c r="KR102" s="394" t="s">
        <v>884</v>
      </c>
      <c r="KS102" s="394" t="s">
        <v>884</v>
      </c>
      <c r="KT102" s="394" t="s">
        <v>884</v>
      </c>
      <c r="KU102" s="394" t="s">
        <v>884</v>
      </c>
      <c r="KV102" s="394" t="s">
        <v>884</v>
      </c>
      <c r="KW102" s="394" t="s">
        <v>884</v>
      </c>
      <c r="KX102" s="394" t="s">
        <v>884</v>
      </c>
      <c r="KY102" s="394" t="s">
        <v>884</v>
      </c>
      <c r="KZ102" s="394" t="s">
        <v>884</v>
      </c>
      <c r="LA102" s="394" t="s">
        <v>884</v>
      </c>
      <c r="LB102" s="394" t="s">
        <v>884</v>
      </c>
      <c r="LC102" s="394" t="s">
        <v>884</v>
      </c>
      <c r="LD102" s="394" t="s">
        <v>884</v>
      </c>
      <c r="LE102" s="394" t="s">
        <v>884</v>
      </c>
      <c r="LF102" s="394" t="s">
        <v>884</v>
      </c>
      <c r="LG102" s="394" t="s">
        <v>884</v>
      </c>
      <c r="LH102" s="394" t="s">
        <v>884</v>
      </c>
      <c r="LI102" s="394" t="s">
        <v>884</v>
      </c>
      <c r="LJ102" s="394" t="s">
        <v>884</v>
      </c>
      <c r="LK102" s="394" t="s">
        <v>884</v>
      </c>
      <c r="LL102" s="394" t="s">
        <v>884</v>
      </c>
      <c r="LM102" s="394" t="s">
        <v>884</v>
      </c>
      <c r="LN102" s="394" t="s">
        <v>884</v>
      </c>
      <c r="LO102" s="394" t="s">
        <v>884</v>
      </c>
      <c r="LP102" s="394" t="s">
        <v>884</v>
      </c>
      <c r="LQ102" s="394" t="s">
        <v>884</v>
      </c>
      <c r="LR102" s="394" t="s">
        <v>884</v>
      </c>
      <c r="LS102" s="394" t="s">
        <v>884</v>
      </c>
      <c r="LT102" s="394" t="s">
        <v>884</v>
      </c>
      <c r="LU102" s="394" t="s">
        <v>884</v>
      </c>
      <c r="LV102" s="394" t="s">
        <v>884</v>
      </c>
      <c r="LW102" s="394" t="s">
        <v>884</v>
      </c>
      <c r="LX102" s="394" t="s">
        <v>884</v>
      </c>
      <c r="LY102" s="394" t="s">
        <v>884</v>
      </c>
      <c r="LZ102" s="394" t="s">
        <v>884</v>
      </c>
      <c r="MA102" s="394" t="s">
        <v>884</v>
      </c>
      <c r="MB102" s="394" t="s">
        <v>884</v>
      </c>
      <c r="MC102" s="394" t="s">
        <v>884</v>
      </c>
      <c r="MD102" s="394" t="s">
        <v>884</v>
      </c>
      <c r="ME102" s="394" t="s">
        <v>884</v>
      </c>
      <c r="MF102" s="394" t="s">
        <v>884</v>
      </c>
      <c r="MG102" s="394" t="s">
        <v>884</v>
      </c>
      <c r="MH102" s="394" t="s">
        <v>884</v>
      </c>
      <c r="MI102" s="394" t="s">
        <v>884</v>
      </c>
      <c r="MJ102" s="394" t="s">
        <v>884</v>
      </c>
      <c r="MK102" s="394" t="s">
        <v>884</v>
      </c>
      <c r="ML102" s="394" t="s">
        <v>884</v>
      </c>
      <c r="MM102" s="394" t="s">
        <v>884</v>
      </c>
      <c r="MN102" s="394" t="s">
        <v>884</v>
      </c>
      <c r="MO102" s="394" t="s">
        <v>884</v>
      </c>
      <c r="MP102" s="394" t="s">
        <v>884</v>
      </c>
      <c r="MQ102" s="394" t="s">
        <v>884</v>
      </c>
      <c r="MR102" s="394" t="s">
        <v>884</v>
      </c>
      <c r="MS102" s="394" t="s">
        <v>884</v>
      </c>
      <c r="MT102" s="394" t="s">
        <v>884</v>
      </c>
      <c r="MU102" s="394" t="s">
        <v>884</v>
      </c>
      <c r="MV102" s="394" t="s">
        <v>884</v>
      </c>
      <c r="MW102" s="394" t="s">
        <v>884</v>
      </c>
      <c r="MX102" s="394" t="s">
        <v>884</v>
      </c>
      <c r="MY102" s="394" t="s">
        <v>884</v>
      </c>
      <c r="MZ102" s="394" t="s">
        <v>884</v>
      </c>
      <c r="NA102" s="394" t="s">
        <v>884</v>
      </c>
      <c r="NB102" s="394" t="s">
        <v>884</v>
      </c>
      <c r="NC102" s="394" t="s">
        <v>884</v>
      </c>
      <c r="ND102" s="394" t="s">
        <v>884</v>
      </c>
      <c r="NE102" s="394" t="s">
        <v>884</v>
      </c>
      <c r="NF102" s="394" t="s">
        <v>884</v>
      </c>
      <c r="NG102" s="394" t="s">
        <v>884</v>
      </c>
      <c r="NH102" s="394" t="s">
        <v>884</v>
      </c>
      <c r="NI102" s="394" t="s">
        <v>884</v>
      </c>
      <c r="NJ102" s="394" t="s">
        <v>884</v>
      </c>
      <c r="NK102" s="394" t="s">
        <v>884</v>
      </c>
      <c r="NL102" s="394" t="s">
        <v>884</v>
      </c>
      <c r="NM102" s="394" t="s">
        <v>884</v>
      </c>
      <c r="NN102" s="394" t="s">
        <v>884</v>
      </c>
      <c r="NO102" s="394" t="s">
        <v>884</v>
      </c>
      <c r="NP102" s="394" t="s">
        <v>884</v>
      </c>
      <c r="NQ102" s="394" t="s">
        <v>884</v>
      </c>
      <c r="NR102" s="394" t="s">
        <v>884</v>
      </c>
      <c r="NS102" s="394" t="s">
        <v>884</v>
      </c>
      <c r="NT102" s="394" t="s">
        <v>884</v>
      </c>
      <c r="NU102" s="394" t="s">
        <v>884</v>
      </c>
      <c r="NV102" s="394" t="s">
        <v>884</v>
      </c>
      <c r="NW102" s="394" t="s">
        <v>884</v>
      </c>
      <c r="NX102" s="394" t="s">
        <v>884</v>
      </c>
      <c r="NY102" s="394" t="s">
        <v>884</v>
      </c>
      <c r="NZ102" s="394" t="s">
        <v>884</v>
      </c>
      <c r="OA102" s="394" t="s">
        <v>884</v>
      </c>
      <c r="OB102" s="394" t="s">
        <v>884</v>
      </c>
      <c r="OC102" s="394" t="s">
        <v>884</v>
      </c>
      <c r="OD102" s="394" t="s">
        <v>884</v>
      </c>
      <c r="OE102" s="394" t="s">
        <v>884</v>
      </c>
      <c r="OF102" s="394" t="s">
        <v>884</v>
      </c>
      <c r="OG102" s="394" t="s">
        <v>884</v>
      </c>
      <c r="OH102" s="394" t="s">
        <v>884</v>
      </c>
      <c r="OI102" s="394" t="s">
        <v>884</v>
      </c>
      <c r="OJ102" s="394" t="s">
        <v>884</v>
      </c>
      <c r="OK102" s="394" t="s">
        <v>884</v>
      </c>
      <c r="OL102" s="394" t="s">
        <v>884</v>
      </c>
      <c r="OM102" s="394" t="s">
        <v>884</v>
      </c>
      <c r="ON102" s="394" t="s">
        <v>884</v>
      </c>
      <c r="OO102" s="394" t="s">
        <v>884</v>
      </c>
      <c r="OP102" s="394" t="s">
        <v>884</v>
      </c>
      <c r="OQ102" s="394" t="s">
        <v>884</v>
      </c>
      <c r="OR102" s="394" t="s">
        <v>884</v>
      </c>
      <c r="OS102" s="394" t="s">
        <v>884</v>
      </c>
      <c r="OT102" s="394" t="s">
        <v>884</v>
      </c>
      <c r="OU102" s="394" t="s">
        <v>884</v>
      </c>
      <c r="OV102" s="394" t="s">
        <v>884</v>
      </c>
      <c r="OW102" s="394" t="s">
        <v>884</v>
      </c>
      <c r="OX102" s="394" t="s">
        <v>884</v>
      </c>
      <c r="OY102" s="394" t="s">
        <v>884</v>
      </c>
      <c r="OZ102" s="394" t="s">
        <v>884</v>
      </c>
      <c r="PA102" s="394" t="s">
        <v>884</v>
      </c>
      <c r="PB102" s="394" t="s">
        <v>884</v>
      </c>
      <c r="PC102" s="394" t="s">
        <v>884</v>
      </c>
      <c r="PD102" s="394" t="s">
        <v>884</v>
      </c>
      <c r="PE102" s="394" t="s">
        <v>884</v>
      </c>
      <c r="PF102" s="394" t="s">
        <v>884</v>
      </c>
      <c r="PG102" s="394" t="s">
        <v>884</v>
      </c>
      <c r="PH102" s="394" t="s">
        <v>884</v>
      </c>
      <c r="PI102" s="394" t="s">
        <v>884</v>
      </c>
      <c r="PJ102" s="394" t="s">
        <v>884</v>
      </c>
      <c r="PK102" s="394" t="s">
        <v>884</v>
      </c>
      <c r="PL102" s="394" t="s">
        <v>884</v>
      </c>
      <c r="PM102" s="394" t="s">
        <v>884</v>
      </c>
      <c r="PN102" s="394" t="s">
        <v>884</v>
      </c>
      <c r="PO102" s="394" t="s">
        <v>884</v>
      </c>
      <c r="PP102" s="394" t="s">
        <v>884</v>
      </c>
      <c r="PQ102" s="394" t="s">
        <v>884</v>
      </c>
      <c r="PR102" s="394" t="s">
        <v>884</v>
      </c>
      <c r="PS102" s="394" t="s">
        <v>884</v>
      </c>
      <c r="PT102" s="394" t="s">
        <v>884</v>
      </c>
      <c r="PU102" s="394" t="s">
        <v>884</v>
      </c>
      <c r="PV102" s="394" t="s">
        <v>884</v>
      </c>
      <c r="PW102" s="394" t="s">
        <v>884</v>
      </c>
      <c r="PX102" s="394" t="s">
        <v>884</v>
      </c>
      <c r="PY102" s="394" t="s">
        <v>884</v>
      </c>
      <c r="PZ102" s="394" t="s">
        <v>884</v>
      </c>
      <c r="QA102" s="394" t="s">
        <v>884</v>
      </c>
      <c r="QB102" s="394" t="s">
        <v>884</v>
      </c>
      <c r="QC102" s="394" t="s">
        <v>884</v>
      </c>
      <c r="QD102" s="394" t="s">
        <v>884</v>
      </c>
      <c r="QE102" s="394" t="s">
        <v>884</v>
      </c>
      <c r="QF102" s="394" t="s">
        <v>884</v>
      </c>
      <c r="QG102" s="394" t="s">
        <v>884</v>
      </c>
      <c r="QH102" s="394" t="s">
        <v>884</v>
      </c>
      <c r="QI102" s="394" t="s">
        <v>884</v>
      </c>
      <c r="QJ102" s="394" t="s">
        <v>884</v>
      </c>
      <c r="QK102" s="394" t="s">
        <v>884</v>
      </c>
      <c r="QL102" s="394" t="s">
        <v>884</v>
      </c>
      <c r="QM102" s="394" t="s">
        <v>884</v>
      </c>
      <c r="QN102" s="394" t="s">
        <v>884</v>
      </c>
      <c r="QO102" s="394" t="s">
        <v>884</v>
      </c>
      <c r="QP102" s="394" t="s">
        <v>884</v>
      </c>
      <c r="QQ102" s="394" t="s">
        <v>884</v>
      </c>
      <c r="QR102" s="394" t="s">
        <v>884</v>
      </c>
      <c r="QS102" s="394" t="s">
        <v>884</v>
      </c>
      <c r="QT102" s="394" t="s">
        <v>884</v>
      </c>
      <c r="QU102" s="394" t="s">
        <v>884</v>
      </c>
      <c r="QV102" s="394" t="s">
        <v>884</v>
      </c>
      <c r="QW102" s="394" t="s">
        <v>884</v>
      </c>
      <c r="QX102" s="394" t="s">
        <v>884</v>
      </c>
      <c r="QY102" s="394" t="s">
        <v>884</v>
      </c>
      <c r="QZ102" s="394" t="s">
        <v>884</v>
      </c>
      <c r="RA102" s="394" t="s">
        <v>884</v>
      </c>
      <c r="RB102" s="394" t="s">
        <v>884</v>
      </c>
      <c r="RC102" s="394" t="s">
        <v>884</v>
      </c>
      <c r="RD102" s="394" t="s">
        <v>884</v>
      </c>
      <c r="RE102" s="394" t="s">
        <v>884</v>
      </c>
      <c r="RF102" s="394" t="s">
        <v>884</v>
      </c>
      <c r="RG102" s="394" t="s">
        <v>884</v>
      </c>
      <c r="RH102" s="394" t="s">
        <v>884</v>
      </c>
      <c r="RI102" s="394" t="s">
        <v>884</v>
      </c>
      <c r="RJ102" s="394" t="s">
        <v>884</v>
      </c>
      <c r="RK102" s="394" t="s">
        <v>884</v>
      </c>
      <c r="RL102" s="394" t="s">
        <v>884</v>
      </c>
      <c r="RM102" s="394" t="s">
        <v>884</v>
      </c>
      <c r="RN102" s="394" t="s">
        <v>884</v>
      </c>
      <c r="RO102" s="394" t="s">
        <v>884</v>
      </c>
      <c r="RP102" s="394" t="s">
        <v>884</v>
      </c>
      <c r="RQ102" s="394" t="s">
        <v>884</v>
      </c>
      <c r="RR102" s="394" t="s">
        <v>884</v>
      </c>
      <c r="RS102" s="394" t="s">
        <v>884</v>
      </c>
      <c r="RT102" s="394" t="s">
        <v>884</v>
      </c>
      <c r="RU102" s="394" t="s">
        <v>884</v>
      </c>
      <c r="RV102" s="394" t="s">
        <v>884</v>
      </c>
      <c r="RW102" s="394" t="s">
        <v>884</v>
      </c>
      <c r="RX102" s="394" t="s">
        <v>884</v>
      </c>
      <c r="RY102" s="394" t="s">
        <v>884</v>
      </c>
      <c r="RZ102" s="394" t="s">
        <v>884</v>
      </c>
      <c r="SA102" s="394" t="s">
        <v>884</v>
      </c>
      <c r="SB102" s="394" t="s">
        <v>884</v>
      </c>
      <c r="SC102" s="394" t="s">
        <v>884</v>
      </c>
      <c r="SD102" s="394" t="s">
        <v>884</v>
      </c>
      <c r="SE102" s="394" t="s">
        <v>884</v>
      </c>
      <c r="SF102" s="394" t="s">
        <v>884</v>
      </c>
      <c r="SG102" s="394" t="s">
        <v>884</v>
      </c>
      <c r="SH102" s="394" t="s">
        <v>884</v>
      </c>
      <c r="SI102" s="394" t="s">
        <v>884</v>
      </c>
      <c r="SJ102" s="394" t="s">
        <v>884</v>
      </c>
    </row>
    <row r="103" spans="2:504" s="95" customFormat="1" ht="30" customHeight="1" x14ac:dyDescent="0.25">
      <c r="B103" s="395" t="str" cm="1">
        <f t="array" ref="B103">IFERROR(_xlfn.TEXTJOIN(", ",TRUE,IF(($E$9:$SJ$9="")*($E$7:$SJ$7="Approved"),$E$11:$SJ$11,"")),"Excel 2019 or newer required for this function")</f>
        <v/>
      </c>
      <c r="C103" s="396"/>
      <c r="D103" s="116">
        <f>SUMIFS($E$10:$SJ$10,$E$7:$SJ$7,"Approved",$E$9:$SJ$9,"")</f>
        <v>0</v>
      </c>
      <c r="E103" s="394"/>
      <c r="F103" s="394"/>
      <c r="G103" s="394"/>
      <c r="H103" s="394"/>
      <c r="I103" s="394"/>
      <c r="J103" s="394"/>
      <c r="K103" s="394"/>
      <c r="L103" s="394"/>
      <c r="M103" s="394"/>
      <c r="N103" s="394"/>
      <c r="O103" s="394"/>
      <c r="P103" s="394"/>
      <c r="Q103" s="394"/>
      <c r="R103" s="394"/>
      <c r="S103" s="394"/>
      <c r="T103" s="394"/>
      <c r="U103" s="394"/>
      <c r="V103" s="394"/>
      <c r="W103" s="394"/>
      <c r="X103" s="394"/>
      <c r="Y103" s="394"/>
      <c r="Z103" s="394"/>
      <c r="AA103" s="394"/>
      <c r="AB103" s="394"/>
      <c r="AC103" s="394"/>
      <c r="AD103" s="394"/>
      <c r="AE103" s="394"/>
      <c r="AF103" s="394"/>
      <c r="AG103" s="394"/>
      <c r="AH103" s="394"/>
      <c r="AI103" s="394"/>
      <c r="AJ103" s="394"/>
      <c r="AK103" s="394"/>
      <c r="AL103" s="394"/>
      <c r="AM103" s="394"/>
      <c r="AN103" s="394"/>
      <c r="AO103" s="394"/>
      <c r="AP103" s="394"/>
      <c r="AQ103" s="394"/>
      <c r="AR103" s="394"/>
      <c r="AS103" s="394"/>
      <c r="AT103" s="394"/>
      <c r="AU103" s="394"/>
      <c r="AV103" s="394"/>
      <c r="AW103" s="394"/>
      <c r="AX103" s="394"/>
      <c r="AY103" s="394"/>
      <c r="AZ103" s="394"/>
      <c r="BA103" s="394"/>
      <c r="BB103" s="394"/>
      <c r="BC103" s="394"/>
      <c r="BD103" s="394"/>
      <c r="BE103" s="394"/>
      <c r="BF103" s="394"/>
      <c r="BG103" s="394"/>
      <c r="BH103" s="394"/>
      <c r="BI103" s="394"/>
      <c r="BJ103" s="394"/>
      <c r="BK103" s="394"/>
      <c r="BL103" s="394"/>
      <c r="BM103" s="394"/>
      <c r="BN103" s="394"/>
      <c r="BO103" s="394"/>
      <c r="BP103" s="394"/>
      <c r="BQ103" s="394"/>
      <c r="BR103" s="394"/>
      <c r="BS103" s="394"/>
      <c r="BT103" s="394"/>
      <c r="BU103" s="394"/>
      <c r="BV103" s="394"/>
      <c r="BW103" s="394"/>
      <c r="BX103" s="394"/>
      <c r="BY103" s="394"/>
      <c r="BZ103" s="394"/>
      <c r="CA103" s="394"/>
      <c r="CB103" s="394"/>
      <c r="CC103" s="394"/>
      <c r="CD103" s="394"/>
      <c r="CE103" s="394"/>
      <c r="CF103" s="394"/>
      <c r="CG103" s="394"/>
      <c r="CH103" s="394"/>
      <c r="CI103" s="394"/>
      <c r="CJ103" s="394"/>
      <c r="CK103" s="394"/>
      <c r="CL103" s="394"/>
      <c r="CM103" s="394"/>
      <c r="CN103" s="394"/>
      <c r="CO103" s="394"/>
      <c r="CP103" s="394"/>
      <c r="CQ103" s="394"/>
      <c r="CR103" s="394"/>
      <c r="CS103" s="394"/>
      <c r="CT103" s="394"/>
      <c r="CU103" s="394"/>
      <c r="CV103" s="394"/>
      <c r="CW103" s="394"/>
      <c r="CX103" s="394"/>
      <c r="CY103" s="394"/>
      <c r="CZ103" s="394"/>
      <c r="DA103" s="394"/>
      <c r="DB103" s="394"/>
      <c r="DC103" s="394"/>
      <c r="DD103" s="394"/>
      <c r="DE103" s="394"/>
      <c r="DF103" s="394"/>
      <c r="DG103" s="394"/>
      <c r="DH103" s="394"/>
      <c r="DI103" s="394"/>
      <c r="DJ103" s="394"/>
      <c r="DK103" s="394"/>
      <c r="DL103" s="394"/>
      <c r="DM103" s="394"/>
      <c r="DN103" s="394"/>
      <c r="DO103" s="394"/>
      <c r="DP103" s="394"/>
      <c r="DQ103" s="394"/>
      <c r="DR103" s="394"/>
      <c r="DS103" s="394"/>
      <c r="DT103" s="394"/>
      <c r="DU103" s="394"/>
      <c r="DV103" s="394"/>
      <c r="DW103" s="394"/>
      <c r="DX103" s="394"/>
      <c r="DY103" s="394"/>
      <c r="DZ103" s="394"/>
      <c r="EA103" s="394"/>
      <c r="EB103" s="394"/>
      <c r="EC103" s="394"/>
      <c r="ED103" s="394"/>
      <c r="EE103" s="394"/>
      <c r="EF103" s="394"/>
      <c r="EG103" s="394"/>
      <c r="EH103" s="394"/>
      <c r="EI103" s="394"/>
      <c r="EJ103" s="394"/>
      <c r="EK103" s="394"/>
      <c r="EL103" s="394"/>
      <c r="EM103" s="394"/>
      <c r="EN103" s="394"/>
      <c r="EO103" s="394"/>
      <c r="EP103" s="394"/>
      <c r="EQ103" s="394"/>
      <c r="ER103" s="394"/>
      <c r="ES103" s="394"/>
      <c r="ET103" s="394"/>
      <c r="EU103" s="394"/>
      <c r="EV103" s="394"/>
      <c r="EW103" s="394"/>
      <c r="EX103" s="394"/>
      <c r="EY103" s="394"/>
      <c r="EZ103" s="394"/>
      <c r="FA103" s="394"/>
      <c r="FB103" s="394"/>
      <c r="FC103" s="394"/>
      <c r="FD103" s="394"/>
      <c r="FE103" s="394"/>
      <c r="FF103" s="394"/>
      <c r="FG103" s="394"/>
      <c r="FH103" s="394"/>
      <c r="FI103" s="394"/>
      <c r="FJ103" s="394"/>
      <c r="FK103" s="394"/>
      <c r="FL103" s="394"/>
      <c r="FM103" s="394"/>
      <c r="FN103" s="394"/>
      <c r="FO103" s="394"/>
      <c r="FP103" s="394"/>
      <c r="FQ103" s="394"/>
      <c r="FR103" s="394"/>
      <c r="FS103" s="394"/>
      <c r="FT103" s="394"/>
      <c r="FU103" s="394"/>
      <c r="FV103" s="394"/>
      <c r="FW103" s="394"/>
      <c r="FX103" s="394"/>
      <c r="FY103" s="394"/>
      <c r="FZ103" s="394"/>
      <c r="GA103" s="394"/>
      <c r="GB103" s="394"/>
      <c r="GC103" s="394"/>
      <c r="GD103" s="394"/>
      <c r="GE103" s="394"/>
      <c r="GF103" s="394"/>
      <c r="GG103" s="394"/>
      <c r="GH103" s="394"/>
      <c r="GI103" s="394"/>
      <c r="GJ103" s="394"/>
      <c r="GK103" s="394"/>
      <c r="GL103" s="394"/>
      <c r="GM103" s="394"/>
      <c r="GN103" s="394"/>
      <c r="GO103" s="394"/>
      <c r="GP103" s="394"/>
      <c r="GQ103" s="394"/>
      <c r="GR103" s="394"/>
      <c r="GS103" s="394"/>
      <c r="GT103" s="394"/>
      <c r="GU103" s="394"/>
      <c r="GV103" s="394"/>
      <c r="GW103" s="394"/>
      <c r="GX103" s="394"/>
      <c r="GY103" s="394"/>
      <c r="GZ103" s="394"/>
      <c r="HA103" s="394"/>
      <c r="HB103" s="394"/>
      <c r="HC103" s="394"/>
      <c r="HD103" s="394"/>
      <c r="HE103" s="394"/>
      <c r="HF103" s="394"/>
      <c r="HG103" s="394"/>
      <c r="HH103" s="394"/>
      <c r="HI103" s="394"/>
      <c r="HJ103" s="394"/>
      <c r="HK103" s="394"/>
      <c r="HL103" s="394"/>
      <c r="HM103" s="394"/>
      <c r="HN103" s="394"/>
      <c r="HO103" s="394"/>
      <c r="HP103" s="394"/>
      <c r="HQ103" s="394"/>
      <c r="HR103" s="394"/>
      <c r="HS103" s="394"/>
      <c r="HT103" s="394"/>
      <c r="HU103" s="394"/>
      <c r="HV103" s="394"/>
      <c r="HW103" s="394"/>
      <c r="HX103" s="394"/>
      <c r="HY103" s="394"/>
      <c r="HZ103" s="394"/>
      <c r="IA103" s="394"/>
      <c r="IB103" s="394"/>
      <c r="IC103" s="394"/>
      <c r="ID103" s="394"/>
      <c r="IE103" s="394"/>
      <c r="IF103" s="394"/>
      <c r="IG103" s="394"/>
      <c r="IH103" s="394"/>
      <c r="II103" s="394"/>
      <c r="IJ103" s="394"/>
      <c r="IK103" s="394"/>
      <c r="IL103" s="394"/>
      <c r="IM103" s="394"/>
      <c r="IN103" s="394"/>
      <c r="IO103" s="394"/>
      <c r="IP103" s="394"/>
      <c r="IQ103" s="394"/>
      <c r="IR103" s="394"/>
      <c r="IS103" s="394"/>
      <c r="IT103" s="394"/>
      <c r="IU103" s="394"/>
      <c r="IV103" s="394"/>
      <c r="IW103" s="394"/>
      <c r="IX103" s="394"/>
      <c r="IY103" s="394"/>
      <c r="IZ103" s="394"/>
      <c r="JA103" s="394"/>
      <c r="JB103" s="394"/>
      <c r="JC103" s="394"/>
      <c r="JD103" s="394"/>
      <c r="JE103" s="394"/>
      <c r="JF103" s="394"/>
      <c r="JG103" s="394"/>
      <c r="JH103" s="394"/>
      <c r="JI103" s="394"/>
      <c r="JJ103" s="394"/>
      <c r="JK103" s="394"/>
      <c r="JL103" s="394"/>
      <c r="JM103" s="394"/>
      <c r="JN103" s="394"/>
      <c r="JO103" s="394"/>
      <c r="JP103" s="394"/>
      <c r="JQ103" s="394"/>
      <c r="JR103" s="394"/>
      <c r="JS103" s="394"/>
      <c r="JT103" s="394"/>
      <c r="JU103" s="394"/>
      <c r="JV103" s="394"/>
      <c r="JW103" s="394"/>
      <c r="JX103" s="394"/>
      <c r="JY103" s="394"/>
      <c r="JZ103" s="394"/>
      <c r="KA103" s="394"/>
      <c r="KB103" s="394"/>
      <c r="KC103" s="394"/>
      <c r="KD103" s="394"/>
      <c r="KE103" s="394"/>
      <c r="KF103" s="394"/>
      <c r="KG103" s="394"/>
      <c r="KH103" s="394"/>
      <c r="KI103" s="394"/>
      <c r="KJ103" s="394"/>
      <c r="KK103" s="394"/>
      <c r="KL103" s="394"/>
      <c r="KM103" s="394"/>
      <c r="KN103" s="394"/>
      <c r="KO103" s="394"/>
      <c r="KP103" s="394"/>
      <c r="KQ103" s="394"/>
      <c r="KR103" s="394"/>
      <c r="KS103" s="394"/>
      <c r="KT103" s="394"/>
      <c r="KU103" s="394"/>
      <c r="KV103" s="394"/>
      <c r="KW103" s="394"/>
      <c r="KX103" s="394"/>
      <c r="KY103" s="394"/>
      <c r="KZ103" s="394"/>
      <c r="LA103" s="394"/>
      <c r="LB103" s="394"/>
      <c r="LC103" s="394"/>
      <c r="LD103" s="394"/>
      <c r="LE103" s="394"/>
      <c r="LF103" s="394"/>
      <c r="LG103" s="394"/>
      <c r="LH103" s="394"/>
      <c r="LI103" s="394"/>
      <c r="LJ103" s="394"/>
      <c r="LK103" s="394"/>
      <c r="LL103" s="394"/>
      <c r="LM103" s="394"/>
      <c r="LN103" s="394"/>
      <c r="LO103" s="394"/>
      <c r="LP103" s="394"/>
      <c r="LQ103" s="394"/>
      <c r="LR103" s="394"/>
      <c r="LS103" s="394"/>
      <c r="LT103" s="394"/>
      <c r="LU103" s="394"/>
      <c r="LV103" s="394"/>
      <c r="LW103" s="394"/>
      <c r="LX103" s="394"/>
      <c r="LY103" s="394"/>
      <c r="LZ103" s="394"/>
      <c r="MA103" s="394"/>
      <c r="MB103" s="394"/>
      <c r="MC103" s="394"/>
      <c r="MD103" s="394"/>
      <c r="ME103" s="394"/>
      <c r="MF103" s="394"/>
      <c r="MG103" s="394"/>
      <c r="MH103" s="394"/>
      <c r="MI103" s="394"/>
      <c r="MJ103" s="394"/>
      <c r="MK103" s="394"/>
      <c r="ML103" s="394"/>
      <c r="MM103" s="394"/>
      <c r="MN103" s="394"/>
      <c r="MO103" s="394"/>
      <c r="MP103" s="394"/>
      <c r="MQ103" s="394"/>
      <c r="MR103" s="394"/>
      <c r="MS103" s="394"/>
      <c r="MT103" s="394"/>
      <c r="MU103" s="394"/>
      <c r="MV103" s="394"/>
      <c r="MW103" s="394"/>
      <c r="MX103" s="394"/>
      <c r="MY103" s="394"/>
      <c r="MZ103" s="394"/>
      <c r="NA103" s="394"/>
      <c r="NB103" s="394"/>
      <c r="NC103" s="394"/>
      <c r="ND103" s="394"/>
      <c r="NE103" s="394"/>
      <c r="NF103" s="394"/>
      <c r="NG103" s="394"/>
      <c r="NH103" s="394"/>
      <c r="NI103" s="394"/>
      <c r="NJ103" s="394"/>
      <c r="NK103" s="394"/>
      <c r="NL103" s="394"/>
      <c r="NM103" s="394"/>
      <c r="NN103" s="394"/>
      <c r="NO103" s="394"/>
      <c r="NP103" s="394"/>
      <c r="NQ103" s="394"/>
      <c r="NR103" s="394"/>
      <c r="NS103" s="394"/>
      <c r="NT103" s="394"/>
      <c r="NU103" s="394"/>
      <c r="NV103" s="394"/>
      <c r="NW103" s="394"/>
      <c r="NX103" s="394"/>
      <c r="NY103" s="394"/>
      <c r="NZ103" s="394"/>
      <c r="OA103" s="394"/>
      <c r="OB103" s="394"/>
      <c r="OC103" s="394"/>
      <c r="OD103" s="394"/>
      <c r="OE103" s="394"/>
      <c r="OF103" s="394"/>
      <c r="OG103" s="394"/>
      <c r="OH103" s="394"/>
      <c r="OI103" s="394"/>
      <c r="OJ103" s="394"/>
      <c r="OK103" s="394"/>
      <c r="OL103" s="394"/>
      <c r="OM103" s="394"/>
      <c r="ON103" s="394"/>
      <c r="OO103" s="394"/>
      <c r="OP103" s="394"/>
      <c r="OQ103" s="394"/>
      <c r="OR103" s="394"/>
      <c r="OS103" s="394"/>
      <c r="OT103" s="394"/>
      <c r="OU103" s="394"/>
      <c r="OV103" s="394"/>
      <c r="OW103" s="394"/>
      <c r="OX103" s="394"/>
      <c r="OY103" s="394"/>
      <c r="OZ103" s="394"/>
      <c r="PA103" s="394"/>
      <c r="PB103" s="394"/>
      <c r="PC103" s="394"/>
      <c r="PD103" s="394"/>
      <c r="PE103" s="394"/>
      <c r="PF103" s="394"/>
      <c r="PG103" s="394"/>
      <c r="PH103" s="394"/>
      <c r="PI103" s="394"/>
      <c r="PJ103" s="394"/>
      <c r="PK103" s="394"/>
      <c r="PL103" s="394"/>
      <c r="PM103" s="394"/>
      <c r="PN103" s="394"/>
      <c r="PO103" s="394"/>
      <c r="PP103" s="394"/>
      <c r="PQ103" s="394"/>
      <c r="PR103" s="394"/>
      <c r="PS103" s="394"/>
      <c r="PT103" s="394"/>
      <c r="PU103" s="394"/>
      <c r="PV103" s="394"/>
      <c r="PW103" s="394"/>
      <c r="PX103" s="394"/>
      <c r="PY103" s="394"/>
      <c r="PZ103" s="394"/>
      <c r="QA103" s="394"/>
      <c r="QB103" s="394"/>
      <c r="QC103" s="394"/>
      <c r="QD103" s="394"/>
      <c r="QE103" s="394"/>
      <c r="QF103" s="394"/>
      <c r="QG103" s="394"/>
      <c r="QH103" s="394"/>
      <c r="QI103" s="394"/>
      <c r="QJ103" s="394"/>
      <c r="QK103" s="394"/>
      <c r="QL103" s="394"/>
      <c r="QM103" s="394"/>
      <c r="QN103" s="394"/>
      <c r="QO103" s="394"/>
      <c r="QP103" s="394"/>
      <c r="QQ103" s="394"/>
      <c r="QR103" s="394"/>
      <c r="QS103" s="394"/>
      <c r="QT103" s="394"/>
      <c r="QU103" s="394"/>
      <c r="QV103" s="394"/>
      <c r="QW103" s="394"/>
      <c r="QX103" s="394"/>
      <c r="QY103" s="394"/>
      <c r="QZ103" s="394"/>
      <c r="RA103" s="394"/>
      <c r="RB103" s="394"/>
      <c r="RC103" s="394"/>
      <c r="RD103" s="394"/>
      <c r="RE103" s="394"/>
      <c r="RF103" s="394"/>
      <c r="RG103" s="394"/>
      <c r="RH103" s="394"/>
      <c r="RI103" s="394"/>
      <c r="RJ103" s="394"/>
      <c r="RK103" s="394"/>
      <c r="RL103" s="394"/>
      <c r="RM103" s="394"/>
      <c r="RN103" s="394"/>
      <c r="RO103" s="394"/>
      <c r="RP103" s="394"/>
      <c r="RQ103" s="394"/>
      <c r="RR103" s="394"/>
      <c r="RS103" s="394"/>
      <c r="RT103" s="394"/>
      <c r="RU103" s="394"/>
      <c r="RV103" s="394"/>
      <c r="RW103" s="394"/>
      <c r="RX103" s="394"/>
      <c r="RY103" s="394"/>
      <c r="RZ103" s="394"/>
      <c r="SA103" s="394"/>
      <c r="SB103" s="394"/>
      <c r="SC103" s="394"/>
      <c r="SD103" s="394"/>
      <c r="SE103" s="394"/>
      <c r="SF103" s="394"/>
      <c r="SG103" s="394"/>
      <c r="SH103" s="394"/>
      <c r="SI103" s="394"/>
      <c r="SJ103" s="394"/>
    </row>
    <row r="104" spans="2:504" s="95" customFormat="1" x14ac:dyDescent="0.25">
      <c r="B104" s="102"/>
      <c r="C104" s="103"/>
      <c r="D104" s="103"/>
      <c r="E104" s="394"/>
      <c r="F104" s="394"/>
      <c r="G104" s="394"/>
      <c r="H104" s="394"/>
      <c r="I104" s="394"/>
      <c r="J104" s="394"/>
      <c r="K104" s="394"/>
      <c r="L104" s="394"/>
      <c r="M104" s="394"/>
      <c r="N104" s="394"/>
      <c r="O104" s="394"/>
      <c r="P104" s="394"/>
      <c r="Q104" s="394"/>
      <c r="R104" s="394"/>
      <c r="S104" s="394"/>
      <c r="T104" s="394"/>
      <c r="U104" s="394"/>
      <c r="V104" s="394"/>
      <c r="W104" s="394"/>
      <c r="X104" s="394"/>
      <c r="Y104" s="394"/>
      <c r="Z104" s="394"/>
      <c r="AA104" s="394"/>
      <c r="AB104" s="394"/>
      <c r="AC104" s="394"/>
      <c r="AD104" s="394"/>
      <c r="AE104" s="394"/>
      <c r="AF104" s="394"/>
      <c r="AG104" s="394"/>
      <c r="AH104" s="394"/>
      <c r="AI104" s="394"/>
      <c r="AJ104" s="394"/>
      <c r="AK104" s="394"/>
      <c r="AL104" s="394"/>
      <c r="AM104" s="394"/>
      <c r="AN104" s="394"/>
      <c r="AO104" s="394"/>
      <c r="AP104" s="394"/>
      <c r="AQ104" s="394"/>
      <c r="AR104" s="394"/>
      <c r="AS104" s="394"/>
      <c r="AT104" s="394"/>
      <c r="AU104" s="394"/>
      <c r="AV104" s="394"/>
      <c r="AW104" s="394"/>
      <c r="AX104" s="394"/>
      <c r="AY104" s="394"/>
      <c r="AZ104" s="394"/>
      <c r="BA104" s="394"/>
      <c r="BB104" s="394"/>
      <c r="BC104" s="394"/>
      <c r="BD104" s="394"/>
      <c r="BE104" s="394"/>
      <c r="BF104" s="394"/>
      <c r="BG104" s="394"/>
      <c r="BH104" s="394"/>
      <c r="BI104" s="394"/>
      <c r="BJ104" s="394"/>
      <c r="BK104" s="394"/>
      <c r="BL104" s="394"/>
      <c r="BM104" s="394"/>
      <c r="BN104" s="394"/>
      <c r="BO104" s="394"/>
      <c r="BP104" s="394"/>
      <c r="BQ104" s="394"/>
      <c r="BR104" s="394"/>
      <c r="BS104" s="394"/>
      <c r="BT104" s="394"/>
      <c r="BU104" s="394"/>
      <c r="BV104" s="394"/>
      <c r="BW104" s="394"/>
      <c r="BX104" s="394"/>
      <c r="BY104" s="394"/>
      <c r="BZ104" s="394"/>
      <c r="CA104" s="394"/>
      <c r="CB104" s="394"/>
      <c r="CC104" s="394"/>
      <c r="CD104" s="394"/>
      <c r="CE104" s="394"/>
      <c r="CF104" s="394"/>
      <c r="CG104" s="394"/>
      <c r="CH104" s="394"/>
      <c r="CI104" s="394"/>
      <c r="CJ104" s="394"/>
      <c r="CK104" s="394"/>
      <c r="CL104" s="394"/>
      <c r="CM104" s="394"/>
      <c r="CN104" s="394"/>
      <c r="CO104" s="394"/>
      <c r="CP104" s="394"/>
      <c r="CQ104" s="394"/>
      <c r="CR104" s="394"/>
      <c r="CS104" s="394"/>
      <c r="CT104" s="394"/>
      <c r="CU104" s="394"/>
      <c r="CV104" s="394"/>
      <c r="CW104" s="394"/>
      <c r="CX104" s="394"/>
      <c r="CY104" s="394"/>
      <c r="CZ104" s="394"/>
      <c r="DA104" s="394"/>
      <c r="DB104" s="394"/>
      <c r="DC104" s="394"/>
      <c r="DD104" s="394"/>
      <c r="DE104" s="394"/>
      <c r="DF104" s="394"/>
      <c r="DG104" s="394"/>
      <c r="DH104" s="394"/>
      <c r="DI104" s="394"/>
      <c r="DJ104" s="394"/>
      <c r="DK104" s="394"/>
      <c r="DL104" s="394"/>
      <c r="DM104" s="394"/>
      <c r="DN104" s="394"/>
      <c r="DO104" s="394"/>
      <c r="DP104" s="394"/>
      <c r="DQ104" s="394"/>
      <c r="DR104" s="394"/>
      <c r="DS104" s="394"/>
      <c r="DT104" s="394"/>
      <c r="DU104" s="394"/>
      <c r="DV104" s="394"/>
      <c r="DW104" s="394"/>
      <c r="DX104" s="394"/>
      <c r="DY104" s="394"/>
      <c r="DZ104" s="394"/>
      <c r="EA104" s="394"/>
      <c r="EB104" s="394"/>
      <c r="EC104" s="394"/>
      <c r="ED104" s="394"/>
      <c r="EE104" s="394"/>
      <c r="EF104" s="394"/>
      <c r="EG104" s="394"/>
      <c r="EH104" s="394"/>
      <c r="EI104" s="394"/>
      <c r="EJ104" s="394"/>
      <c r="EK104" s="394"/>
      <c r="EL104" s="394"/>
      <c r="EM104" s="394"/>
      <c r="EN104" s="394"/>
      <c r="EO104" s="394"/>
      <c r="EP104" s="394"/>
      <c r="EQ104" s="394"/>
      <c r="ER104" s="394"/>
      <c r="ES104" s="394"/>
      <c r="ET104" s="394"/>
      <c r="EU104" s="394"/>
      <c r="EV104" s="394"/>
      <c r="EW104" s="394"/>
      <c r="EX104" s="394"/>
      <c r="EY104" s="394"/>
      <c r="EZ104" s="394"/>
      <c r="FA104" s="394"/>
      <c r="FB104" s="394"/>
      <c r="FC104" s="394"/>
      <c r="FD104" s="394"/>
      <c r="FE104" s="394"/>
      <c r="FF104" s="394"/>
      <c r="FG104" s="394"/>
      <c r="FH104" s="394"/>
      <c r="FI104" s="394"/>
      <c r="FJ104" s="394"/>
      <c r="FK104" s="394"/>
      <c r="FL104" s="394"/>
      <c r="FM104" s="394"/>
      <c r="FN104" s="394"/>
      <c r="FO104" s="394"/>
      <c r="FP104" s="394"/>
      <c r="FQ104" s="394"/>
      <c r="FR104" s="394"/>
      <c r="FS104" s="394"/>
      <c r="FT104" s="394"/>
      <c r="FU104" s="394"/>
      <c r="FV104" s="394"/>
      <c r="FW104" s="394"/>
      <c r="FX104" s="394"/>
      <c r="FY104" s="394"/>
      <c r="FZ104" s="394"/>
      <c r="GA104" s="394"/>
      <c r="GB104" s="394"/>
      <c r="GC104" s="394"/>
      <c r="GD104" s="394"/>
      <c r="GE104" s="394"/>
      <c r="GF104" s="394"/>
      <c r="GG104" s="394"/>
      <c r="GH104" s="394"/>
      <c r="GI104" s="394"/>
      <c r="GJ104" s="394"/>
      <c r="GK104" s="394"/>
      <c r="GL104" s="394"/>
      <c r="GM104" s="394"/>
      <c r="GN104" s="394"/>
      <c r="GO104" s="394"/>
      <c r="GP104" s="394"/>
      <c r="GQ104" s="394"/>
      <c r="GR104" s="394"/>
      <c r="GS104" s="394"/>
      <c r="GT104" s="394"/>
      <c r="GU104" s="394"/>
      <c r="GV104" s="394"/>
      <c r="GW104" s="394"/>
      <c r="GX104" s="394"/>
      <c r="GY104" s="394"/>
      <c r="GZ104" s="394"/>
      <c r="HA104" s="394"/>
      <c r="HB104" s="394"/>
      <c r="HC104" s="394"/>
      <c r="HD104" s="394"/>
      <c r="HE104" s="394"/>
      <c r="HF104" s="394"/>
      <c r="HG104" s="394"/>
      <c r="HH104" s="394"/>
      <c r="HI104" s="394"/>
      <c r="HJ104" s="394"/>
      <c r="HK104" s="394"/>
      <c r="HL104" s="394"/>
      <c r="HM104" s="394"/>
      <c r="HN104" s="394"/>
      <c r="HO104" s="394"/>
      <c r="HP104" s="394"/>
      <c r="HQ104" s="394"/>
      <c r="HR104" s="394"/>
      <c r="HS104" s="394"/>
      <c r="HT104" s="394"/>
      <c r="HU104" s="394"/>
      <c r="HV104" s="394"/>
      <c r="HW104" s="394"/>
      <c r="HX104" s="394"/>
      <c r="HY104" s="394"/>
      <c r="HZ104" s="394"/>
      <c r="IA104" s="394"/>
      <c r="IB104" s="394"/>
      <c r="IC104" s="394"/>
      <c r="ID104" s="394"/>
      <c r="IE104" s="394"/>
      <c r="IF104" s="394"/>
      <c r="IG104" s="394"/>
      <c r="IH104" s="394"/>
      <c r="II104" s="394"/>
      <c r="IJ104" s="394"/>
      <c r="IK104" s="394"/>
      <c r="IL104" s="394"/>
      <c r="IM104" s="394"/>
      <c r="IN104" s="394"/>
      <c r="IO104" s="394"/>
      <c r="IP104" s="394"/>
      <c r="IQ104" s="394"/>
      <c r="IR104" s="394"/>
      <c r="IS104" s="394"/>
      <c r="IT104" s="394"/>
      <c r="IU104" s="394"/>
      <c r="IV104" s="394"/>
      <c r="IW104" s="394"/>
      <c r="IX104" s="394"/>
      <c r="IY104" s="394"/>
      <c r="IZ104" s="394"/>
      <c r="JA104" s="394"/>
      <c r="JB104" s="394"/>
      <c r="JC104" s="394"/>
      <c r="JD104" s="394"/>
      <c r="JE104" s="394"/>
      <c r="JF104" s="394"/>
      <c r="JG104" s="394"/>
      <c r="JH104" s="394"/>
      <c r="JI104" s="394"/>
      <c r="JJ104" s="394"/>
      <c r="JK104" s="394"/>
      <c r="JL104" s="394"/>
      <c r="JM104" s="394"/>
      <c r="JN104" s="394"/>
      <c r="JO104" s="394"/>
      <c r="JP104" s="394"/>
      <c r="JQ104" s="394"/>
      <c r="JR104" s="394"/>
      <c r="JS104" s="394"/>
      <c r="JT104" s="394"/>
      <c r="JU104" s="394"/>
      <c r="JV104" s="394"/>
      <c r="JW104" s="394"/>
      <c r="JX104" s="394"/>
      <c r="JY104" s="394"/>
      <c r="JZ104" s="394"/>
      <c r="KA104" s="394"/>
      <c r="KB104" s="394"/>
      <c r="KC104" s="394"/>
      <c r="KD104" s="394"/>
      <c r="KE104" s="394"/>
      <c r="KF104" s="394"/>
      <c r="KG104" s="394"/>
      <c r="KH104" s="394"/>
      <c r="KI104" s="394"/>
      <c r="KJ104" s="394"/>
      <c r="KK104" s="394"/>
      <c r="KL104" s="394"/>
      <c r="KM104" s="394"/>
      <c r="KN104" s="394"/>
      <c r="KO104" s="394"/>
      <c r="KP104" s="394"/>
      <c r="KQ104" s="394"/>
      <c r="KR104" s="394"/>
      <c r="KS104" s="394"/>
      <c r="KT104" s="394"/>
      <c r="KU104" s="394"/>
      <c r="KV104" s="394"/>
      <c r="KW104" s="394"/>
      <c r="KX104" s="394"/>
      <c r="KY104" s="394"/>
      <c r="KZ104" s="394"/>
      <c r="LA104" s="394"/>
      <c r="LB104" s="394"/>
      <c r="LC104" s="394"/>
      <c r="LD104" s="394"/>
      <c r="LE104" s="394"/>
      <c r="LF104" s="394"/>
      <c r="LG104" s="394"/>
      <c r="LH104" s="394"/>
      <c r="LI104" s="394"/>
      <c r="LJ104" s="394"/>
      <c r="LK104" s="394"/>
      <c r="LL104" s="394"/>
      <c r="LM104" s="394"/>
      <c r="LN104" s="394"/>
      <c r="LO104" s="394"/>
      <c r="LP104" s="394"/>
      <c r="LQ104" s="394"/>
      <c r="LR104" s="394"/>
      <c r="LS104" s="394"/>
      <c r="LT104" s="394"/>
      <c r="LU104" s="394"/>
      <c r="LV104" s="394"/>
      <c r="LW104" s="394"/>
      <c r="LX104" s="394"/>
      <c r="LY104" s="394"/>
      <c r="LZ104" s="394"/>
      <c r="MA104" s="394"/>
      <c r="MB104" s="394"/>
      <c r="MC104" s="394"/>
      <c r="MD104" s="394"/>
      <c r="ME104" s="394"/>
      <c r="MF104" s="394"/>
      <c r="MG104" s="394"/>
      <c r="MH104" s="394"/>
      <c r="MI104" s="394"/>
      <c r="MJ104" s="394"/>
      <c r="MK104" s="394"/>
      <c r="ML104" s="394"/>
      <c r="MM104" s="394"/>
      <c r="MN104" s="394"/>
      <c r="MO104" s="394"/>
      <c r="MP104" s="394"/>
      <c r="MQ104" s="394"/>
      <c r="MR104" s="394"/>
      <c r="MS104" s="394"/>
      <c r="MT104" s="394"/>
      <c r="MU104" s="394"/>
      <c r="MV104" s="394"/>
      <c r="MW104" s="394"/>
      <c r="MX104" s="394"/>
      <c r="MY104" s="394"/>
      <c r="MZ104" s="394"/>
      <c r="NA104" s="394"/>
      <c r="NB104" s="394"/>
      <c r="NC104" s="394"/>
      <c r="ND104" s="394"/>
      <c r="NE104" s="394"/>
      <c r="NF104" s="394"/>
      <c r="NG104" s="394"/>
      <c r="NH104" s="394"/>
      <c r="NI104" s="394"/>
      <c r="NJ104" s="394"/>
      <c r="NK104" s="394"/>
      <c r="NL104" s="394"/>
      <c r="NM104" s="394"/>
      <c r="NN104" s="394"/>
      <c r="NO104" s="394"/>
      <c r="NP104" s="394"/>
      <c r="NQ104" s="394"/>
      <c r="NR104" s="394"/>
      <c r="NS104" s="394"/>
      <c r="NT104" s="394"/>
      <c r="NU104" s="394"/>
      <c r="NV104" s="394"/>
      <c r="NW104" s="394"/>
      <c r="NX104" s="394"/>
      <c r="NY104" s="394"/>
      <c r="NZ104" s="394"/>
      <c r="OA104" s="394"/>
      <c r="OB104" s="394"/>
      <c r="OC104" s="394"/>
      <c r="OD104" s="394"/>
      <c r="OE104" s="394"/>
      <c r="OF104" s="394"/>
      <c r="OG104" s="394"/>
      <c r="OH104" s="394"/>
      <c r="OI104" s="394"/>
      <c r="OJ104" s="394"/>
      <c r="OK104" s="394"/>
      <c r="OL104" s="394"/>
      <c r="OM104" s="394"/>
      <c r="ON104" s="394"/>
      <c r="OO104" s="394"/>
      <c r="OP104" s="394"/>
      <c r="OQ104" s="394"/>
      <c r="OR104" s="394"/>
      <c r="OS104" s="394"/>
      <c r="OT104" s="394"/>
      <c r="OU104" s="394"/>
      <c r="OV104" s="394"/>
      <c r="OW104" s="394"/>
      <c r="OX104" s="394"/>
      <c r="OY104" s="394"/>
      <c r="OZ104" s="394"/>
      <c r="PA104" s="394"/>
      <c r="PB104" s="394"/>
      <c r="PC104" s="394"/>
      <c r="PD104" s="394"/>
      <c r="PE104" s="394"/>
      <c r="PF104" s="394"/>
      <c r="PG104" s="394"/>
      <c r="PH104" s="394"/>
      <c r="PI104" s="394"/>
      <c r="PJ104" s="394"/>
      <c r="PK104" s="394"/>
      <c r="PL104" s="394"/>
      <c r="PM104" s="394"/>
      <c r="PN104" s="394"/>
      <c r="PO104" s="394"/>
      <c r="PP104" s="394"/>
      <c r="PQ104" s="394"/>
      <c r="PR104" s="394"/>
      <c r="PS104" s="394"/>
      <c r="PT104" s="394"/>
      <c r="PU104" s="394"/>
      <c r="PV104" s="394"/>
      <c r="PW104" s="394"/>
      <c r="PX104" s="394"/>
      <c r="PY104" s="394"/>
      <c r="PZ104" s="394"/>
      <c r="QA104" s="394"/>
      <c r="QB104" s="394"/>
      <c r="QC104" s="394"/>
      <c r="QD104" s="394"/>
      <c r="QE104" s="394"/>
      <c r="QF104" s="394"/>
      <c r="QG104" s="394"/>
      <c r="QH104" s="394"/>
      <c r="QI104" s="394"/>
      <c r="QJ104" s="394"/>
      <c r="QK104" s="394"/>
      <c r="QL104" s="394"/>
      <c r="QM104" s="394"/>
      <c r="QN104" s="394"/>
      <c r="QO104" s="394"/>
      <c r="QP104" s="394"/>
      <c r="QQ104" s="394"/>
      <c r="QR104" s="394"/>
      <c r="QS104" s="394"/>
      <c r="QT104" s="394"/>
      <c r="QU104" s="394"/>
      <c r="QV104" s="394"/>
      <c r="QW104" s="394"/>
      <c r="QX104" s="394"/>
      <c r="QY104" s="394"/>
      <c r="QZ104" s="394"/>
      <c r="RA104" s="394"/>
      <c r="RB104" s="394"/>
      <c r="RC104" s="394"/>
      <c r="RD104" s="394"/>
      <c r="RE104" s="394"/>
      <c r="RF104" s="394"/>
      <c r="RG104" s="394"/>
      <c r="RH104" s="394"/>
      <c r="RI104" s="394"/>
      <c r="RJ104" s="394"/>
      <c r="RK104" s="394"/>
      <c r="RL104" s="394"/>
      <c r="RM104" s="394"/>
      <c r="RN104" s="394"/>
      <c r="RO104" s="394"/>
      <c r="RP104" s="394"/>
      <c r="RQ104" s="394"/>
      <c r="RR104" s="394"/>
      <c r="RS104" s="394"/>
      <c r="RT104" s="394"/>
      <c r="RU104" s="394"/>
      <c r="RV104" s="394"/>
      <c r="RW104" s="394"/>
      <c r="RX104" s="394"/>
      <c r="RY104" s="394"/>
      <c r="RZ104" s="394"/>
      <c r="SA104" s="394"/>
      <c r="SB104" s="394"/>
      <c r="SC104" s="394"/>
      <c r="SD104" s="394"/>
      <c r="SE104" s="394"/>
      <c r="SF104" s="394"/>
      <c r="SG104" s="394"/>
      <c r="SH104" s="394"/>
      <c r="SI104" s="394"/>
      <c r="SJ104" s="394"/>
    </row>
    <row r="105" spans="2:504" s="95" customFormat="1" x14ac:dyDescent="0.25">
      <c r="B105" s="104" t="s">
        <v>853</v>
      </c>
      <c r="C105"/>
      <c r="D105" s="81"/>
      <c r="E105" s="394"/>
      <c r="F105" s="394"/>
      <c r="G105" s="394"/>
      <c r="H105" s="394"/>
      <c r="I105" s="394"/>
      <c r="J105" s="394"/>
      <c r="K105" s="394"/>
      <c r="L105" s="394"/>
      <c r="M105" s="394"/>
      <c r="N105" s="394"/>
      <c r="O105" s="394"/>
      <c r="P105" s="394"/>
      <c r="Q105" s="394"/>
      <c r="R105" s="394"/>
      <c r="S105" s="394"/>
      <c r="T105" s="394"/>
      <c r="U105" s="394"/>
      <c r="V105" s="394"/>
      <c r="W105" s="394"/>
      <c r="X105" s="394"/>
      <c r="Y105" s="394"/>
      <c r="Z105" s="394"/>
      <c r="AA105" s="394"/>
      <c r="AB105" s="394"/>
      <c r="AC105" s="394"/>
      <c r="AD105" s="394"/>
      <c r="AE105" s="394"/>
      <c r="AF105" s="394"/>
      <c r="AG105" s="394"/>
      <c r="AH105" s="394"/>
      <c r="AI105" s="394"/>
      <c r="AJ105" s="394"/>
      <c r="AK105" s="394"/>
      <c r="AL105" s="394"/>
      <c r="AM105" s="394"/>
      <c r="AN105" s="394"/>
      <c r="AO105" s="394"/>
      <c r="AP105" s="394"/>
      <c r="AQ105" s="394"/>
      <c r="AR105" s="394"/>
      <c r="AS105" s="394"/>
      <c r="AT105" s="394"/>
      <c r="AU105" s="394"/>
      <c r="AV105" s="394"/>
      <c r="AW105" s="394"/>
      <c r="AX105" s="394"/>
      <c r="AY105" s="394"/>
      <c r="AZ105" s="394"/>
      <c r="BA105" s="394"/>
      <c r="BB105" s="394"/>
      <c r="BC105" s="394"/>
      <c r="BD105" s="394"/>
      <c r="BE105" s="394"/>
      <c r="BF105" s="394"/>
      <c r="BG105" s="394"/>
      <c r="BH105" s="394"/>
      <c r="BI105" s="394"/>
      <c r="BJ105" s="394"/>
      <c r="BK105" s="394"/>
      <c r="BL105" s="394"/>
      <c r="BM105" s="394"/>
      <c r="BN105" s="394"/>
      <c r="BO105" s="394"/>
      <c r="BP105" s="394"/>
      <c r="BQ105" s="394"/>
      <c r="BR105" s="394"/>
      <c r="BS105" s="394"/>
      <c r="BT105" s="394"/>
      <c r="BU105" s="394"/>
      <c r="BV105" s="394"/>
      <c r="BW105" s="394"/>
      <c r="BX105" s="394"/>
      <c r="BY105" s="394"/>
      <c r="BZ105" s="394"/>
      <c r="CA105" s="394"/>
      <c r="CB105" s="394"/>
      <c r="CC105" s="394"/>
      <c r="CD105" s="394"/>
      <c r="CE105" s="394"/>
      <c r="CF105" s="394"/>
      <c r="CG105" s="394"/>
      <c r="CH105" s="394"/>
      <c r="CI105" s="394"/>
      <c r="CJ105" s="394"/>
      <c r="CK105" s="394"/>
      <c r="CL105" s="394"/>
      <c r="CM105" s="394"/>
      <c r="CN105" s="394"/>
      <c r="CO105" s="394"/>
      <c r="CP105" s="394"/>
      <c r="CQ105" s="394"/>
      <c r="CR105" s="394"/>
      <c r="CS105" s="394"/>
      <c r="CT105" s="394"/>
      <c r="CU105" s="394"/>
      <c r="CV105" s="394"/>
      <c r="CW105" s="394"/>
      <c r="CX105" s="394"/>
      <c r="CY105" s="394"/>
      <c r="CZ105" s="394"/>
      <c r="DA105" s="394"/>
      <c r="DB105" s="394"/>
      <c r="DC105" s="394"/>
      <c r="DD105" s="394"/>
      <c r="DE105" s="394"/>
      <c r="DF105" s="394"/>
      <c r="DG105" s="394"/>
      <c r="DH105" s="394"/>
      <c r="DI105" s="394"/>
      <c r="DJ105" s="394"/>
      <c r="DK105" s="394"/>
      <c r="DL105" s="394"/>
      <c r="DM105" s="394"/>
      <c r="DN105" s="394"/>
      <c r="DO105" s="394"/>
      <c r="DP105" s="394"/>
      <c r="DQ105" s="394"/>
      <c r="DR105" s="394"/>
      <c r="DS105" s="394"/>
      <c r="DT105" s="394"/>
      <c r="DU105" s="394"/>
      <c r="DV105" s="394"/>
      <c r="DW105" s="394"/>
      <c r="DX105" s="394"/>
      <c r="DY105" s="394"/>
      <c r="DZ105" s="394"/>
      <c r="EA105" s="394"/>
      <c r="EB105" s="394"/>
      <c r="EC105" s="394"/>
      <c r="ED105" s="394"/>
      <c r="EE105" s="394"/>
      <c r="EF105" s="394"/>
      <c r="EG105" s="394"/>
      <c r="EH105" s="394"/>
      <c r="EI105" s="394"/>
      <c r="EJ105" s="394"/>
      <c r="EK105" s="394"/>
      <c r="EL105" s="394"/>
      <c r="EM105" s="394"/>
      <c r="EN105" s="394"/>
      <c r="EO105" s="394"/>
      <c r="EP105" s="394"/>
      <c r="EQ105" s="394"/>
      <c r="ER105" s="394"/>
      <c r="ES105" s="394"/>
      <c r="ET105" s="394"/>
      <c r="EU105" s="394"/>
      <c r="EV105" s="394"/>
      <c r="EW105" s="394"/>
      <c r="EX105" s="394"/>
      <c r="EY105" s="394"/>
      <c r="EZ105" s="394"/>
      <c r="FA105" s="394"/>
      <c r="FB105" s="394"/>
      <c r="FC105" s="394"/>
      <c r="FD105" s="394"/>
      <c r="FE105" s="394"/>
      <c r="FF105" s="394"/>
      <c r="FG105" s="394"/>
      <c r="FH105" s="394"/>
      <c r="FI105" s="394"/>
      <c r="FJ105" s="394"/>
      <c r="FK105" s="394"/>
      <c r="FL105" s="394"/>
      <c r="FM105" s="394"/>
      <c r="FN105" s="394"/>
      <c r="FO105" s="394"/>
      <c r="FP105" s="394"/>
      <c r="FQ105" s="394"/>
      <c r="FR105" s="394"/>
      <c r="FS105" s="394"/>
      <c r="FT105" s="394"/>
      <c r="FU105" s="394"/>
      <c r="FV105" s="394"/>
      <c r="FW105" s="394"/>
      <c r="FX105" s="394"/>
      <c r="FY105" s="394"/>
      <c r="FZ105" s="394"/>
      <c r="GA105" s="394"/>
      <c r="GB105" s="394"/>
      <c r="GC105" s="394"/>
      <c r="GD105" s="394"/>
      <c r="GE105" s="394"/>
      <c r="GF105" s="394"/>
      <c r="GG105" s="394"/>
      <c r="GH105" s="394"/>
      <c r="GI105" s="394"/>
      <c r="GJ105" s="394"/>
      <c r="GK105" s="394"/>
      <c r="GL105" s="394"/>
      <c r="GM105" s="394"/>
      <c r="GN105" s="394"/>
      <c r="GO105" s="394"/>
      <c r="GP105" s="394"/>
      <c r="GQ105" s="394"/>
      <c r="GR105" s="394"/>
      <c r="GS105" s="394"/>
      <c r="GT105" s="394"/>
      <c r="GU105" s="394"/>
      <c r="GV105" s="394"/>
      <c r="GW105" s="394"/>
      <c r="GX105" s="394"/>
      <c r="GY105" s="394"/>
      <c r="GZ105" s="394"/>
      <c r="HA105" s="394"/>
      <c r="HB105" s="394"/>
      <c r="HC105" s="394"/>
      <c r="HD105" s="394"/>
      <c r="HE105" s="394"/>
      <c r="HF105" s="394"/>
      <c r="HG105" s="394"/>
      <c r="HH105" s="394"/>
      <c r="HI105" s="394"/>
      <c r="HJ105" s="394"/>
      <c r="HK105" s="394"/>
      <c r="HL105" s="394"/>
      <c r="HM105" s="394"/>
      <c r="HN105" s="394"/>
      <c r="HO105" s="394"/>
      <c r="HP105" s="394"/>
      <c r="HQ105" s="394"/>
      <c r="HR105" s="394"/>
      <c r="HS105" s="394"/>
      <c r="HT105" s="394"/>
      <c r="HU105" s="394"/>
      <c r="HV105" s="394"/>
      <c r="HW105" s="394"/>
      <c r="HX105" s="394"/>
      <c r="HY105" s="394"/>
      <c r="HZ105" s="394"/>
      <c r="IA105" s="394"/>
      <c r="IB105" s="394"/>
      <c r="IC105" s="394"/>
      <c r="ID105" s="394"/>
      <c r="IE105" s="394"/>
      <c r="IF105" s="394"/>
      <c r="IG105" s="394"/>
      <c r="IH105" s="394"/>
      <c r="II105" s="394"/>
      <c r="IJ105" s="394"/>
      <c r="IK105" s="394"/>
      <c r="IL105" s="394"/>
      <c r="IM105" s="394"/>
      <c r="IN105" s="394"/>
      <c r="IO105" s="394"/>
      <c r="IP105" s="394"/>
      <c r="IQ105" s="394"/>
      <c r="IR105" s="394"/>
      <c r="IS105" s="394"/>
      <c r="IT105" s="394"/>
      <c r="IU105" s="394"/>
      <c r="IV105" s="394"/>
      <c r="IW105" s="394"/>
      <c r="IX105" s="394"/>
      <c r="IY105" s="394"/>
      <c r="IZ105" s="394"/>
      <c r="JA105" s="394"/>
      <c r="JB105" s="394"/>
      <c r="JC105" s="394"/>
      <c r="JD105" s="394"/>
      <c r="JE105" s="394"/>
      <c r="JF105" s="394"/>
      <c r="JG105" s="394"/>
      <c r="JH105" s="394"/>
      <c r="JI105" s="394"/>
      <c r="JJ105" s="394"/>
      <c r="JK105" s="394"/>
      <c r="JL105" s="394"/>
      <c r="JM105" s="394"/>
      <c r="JN105" s="394"/>
      <c r="JO105" s="394"/>
      <c r="JP105" s="394"/>
      <c r="JQ105" s="394"/>
      <c r="JR105" s="394"/>
      <c r="JS105" s="394"/>
      <c r="JT105" s="394"/>
      <c r="JU105" s="394"/>
      <c r="JV105" s="394"/>
      <c r="JW105" s="394"/>
      <c r="JX105" s="394"/>
      <c r="JY105" s="394"/>
      <c r="JZ105" s="394"/>
      <c r="KA105" s="394"/>
      <c r="KB105" s="394"/>
      <c r="KC105" s="394"/>
      <c r="KD105" s="394"/>
      <c r="KE105" s="394"/>
      <c r="KF105" s="394"/>
      <c r="KG105" s="394"/>
      <c r="KH105" s="394"/>
      <c r="KI105" s="394"/>
      <c r="KJ105" s="394"/>
      <c r="KK105" s="394"/>
      <c r="KL105" s="394"/>
      <c r="KM105" s="394"/>
      <c r="KN105" s="394"/>
      <c r="KO105" s="394"/>
      <c r="KP105" s="394"/>
      <c r="KQ105" s="394"/>
      <c r="KR105" s="394"/>
      <c r="KS105" s="394"/>
      <c r="KT105" s="394"/>
      <c r="KU105" s="394"/>
      <c r="KV105" s="394"/>
      <c r="KW105" s="394"/>
      <c r="KX105" s="394"/>
      <c r="KY105" s="394"/>
      <c r="KZ105" s="394"/>
      <c r="LA105" s="394"/>
      <c r="LB105" s="394"/>
      <c r="LC105" s="394"/>
      <c r="LD105" s="394"/>
      <c r="LE105" s="394"/>
      <c r="LF105" s="394"/>
      <c r="LG105" s="394"/>
      <c r="LH105" s="394"/>
      <c r="LI105" s="394"/>
      <c r="LJ105" s="394"/>
      <c r="LK105" s="394"/>
      <c r="LL105" s="394"/>
      <c r="LM105" s="394"/>
      <c r="LN105" s="394"/>
      <c r="LO105" s="394"/>
      <c r="LP105" s="394"/>
      <c r="LQ105" s="394"/>
      <c r="LR105" s="394"/>
      <c r="LS105" s="394"/>
      <c r="LT105" s="394"/>
      <c r="LU105" s="394"/>
      <c r="LV105" s="394"/>
      <c r="LW105" s="394"/>
      <c r="LX105" s="394"/>
      <c r="LY105" s="394"/>
      <c r="LZ105" s="394"/>
      <c r="MA105" s="394"/>
      <c r="MB105" s="394"/>
      <c r="MC105" s="394"/>
      <c r="MD105" s="394"/>
      <c r="ME105" s="394"/>
      <c r="MF105" s="394"/>
      <c r="MG105" s="394"/>
      <c r="MH105" s="394"/>
      <c r="MI105" s="394"/>
      <c r="MJ105" s="394"/>
      <c r="MK105" s="394"/>
      <c r="ML105" s="394"/>
      <c r="MM105" s="394"/>
      <c r="MN105" s="394"/>
      <c r="MO105" s="394"/>
      <c r="MP105" s="394"/>
      <c r="MQ105" s="394"/>
      <c r="MR105" s="394"/>
      <c r="MS105" s="394"/>
      <c r="MT105" s="394"/>
      <c r="MU105" s="394"/>
      <c r="MV105" s="394"/>
      <c r="MW105" s="394"/>
      <c r="MX105" s="394"/>
      <c r="MY105" s="394"/>
      <c r="MZ105" s="394"/>
      <c r="NA105" s="394"/>
      <c r="NB105" s="394"/>
      <c r="NC105" s="394"/>
      <c r="ND105" s="394"/>
      <c r="NE105" s="394"/>
      <c r="NF105" s="394"/>
      <c r="NG105" s="394"/>
      <c r="NH105" s="394"/>
      <c r="NI105" s="394"/>
      <c r="NJ105" s="394"/>
      <c r="NK105" s="394"/>
      <c r="NL105" s="394"/>
      <c r="NM105" s="394"/>
      <c r="NN105" s="394"/>
      <c r="NO105" s="394"/>
      <c r="NP105" s="394"/>
      <c r="NQ105" s="394"/>
      <c r="NR105" s="394"/>
      <c r="NS105" s="394"/>
      <c r="NT105" s="394"/>
      <c r="NU105" s="394"/>
      <c r="NV105" s="394"/>
      <c r="NW105" s="394"/>
      <c r="NX105" s="394"/>
      <c r="NY105" s="394"/>
      <c r="NZ105" s="394"/>
      <c r="OA105" s="394"/>
      <c r="OB105" s="394"/>
      <c r="OC105" s="394"/>
      <c r="OD105" s="394"/>
      <c r="OE105" s="394"/>
      <c r="OF105" s="394"/>
      <c r="OG105" s="394"/>
      <c r="OH105" s="394"/>
      <c r="OI105" s="394"/>
      <c r="OJ105" s="394"/>
      <c r="OK105" s="394"/>
      <c r="OL105" s="394"/>
      <c r="OM105" s="394"/>
      <c r="ON105" s="394"/>
      <c r="OO105" s="394"/>
      <c r="OP105" s="394"/>
      <c r="OQ105" s="394"/>
      <c r="OR105" s="394"/>
      <c r="OS105" s="394"/>
      <c r="OT105" s="394"/>
      <c r="OU105" s="394"/>
      <c r="OV105" s="394"/>
      <c r="OW105" s="394"/>
      <c r="OX105" s="394"/>
      <c r="OY105" s="394"/>
      <c r="OZ105" s="394"/>
      <c r="PA105" s="394"/>
      <c r="PB105" s="394"/>
      <c r="PC105" s="394"/>
      <c r="PD105" s="394"/>
      <c r="PE105" s="394"/>
      <c r="PF105" s="394"/>
      <c r="PG105" s="394"/>
      <c r="PH105" s="394"/>
      <c r="PI105" s="394"/>
      <c r="PJ105" s="394"/>
      <c r="PK105" s="394"/>
      <c r="PL105" s="394"/>
      <c r="PM105" s="394"/>
      <c r="PN105" s="394"/>
      <c r="PO105" s="394"/>
      <c r="PP105" s="394"/>
      <c r="PQ105" s="394"/>
      <c r="PR105" s="394"/>
      <c r="PS105" s="394"/>
      <c r="PT105" s="394"/>
      <c r="PU105" s="394"/>
      <c r="PV105" s="394"/>
      <c r="PW105" s="394"/>
      <c r="PX105" s="394"/>
      <c r="PY105" s="394"/>
      <c r="PZ105" s="394"/>
      <c r="QA105" s="394"/>
      <c r="QB105" s="394"/>
      <c r="QC105" s="394"/>
      <c r="QD105" s="394"/>
      <c r="QE105" s="394"/>
      <c r="QF105" s="394"/>
      <c r="QG105" s="394"/>
      <c r="QH105" s="394"/>
      <c r="QI105" s="394"/>
      <c r="QJ105" s="394"/>
      <c r="QK105" s="394"/>
      <c r="QL105" s="394"/>
      <c r="QM105" s="394"/>
      <c r="QN105" s="394"/>
      <c r="QO105" s="394"/>
      <c r="QP105" s="394"/>
      <c r="QQ105" s="394"/>
      <c r="QR105" s="394"/>
      <c r="QS105" s="394"/>
      <c r="QT105" s="394"/>
      <c r="QU105" s="394"/>
      <c r="QV105" s="394"/>
      <c r="QW105" s="394"/>
      <c r="QX105" s="394"/>
      <c r="QY105" s="394"/>
      <c r="QZ105" s="394"/>
      <c r="RA105" s="394"/>
      <c r="RB105" s="394"/>
      <c r="RC105" s="394"/>
      <c r="RD105" s="394"/>
      <c r="RE105" s="394"/>
      <c r="RF105" s="394"/>
      <c r="RG105" s="394"/>
      <c r="RH105" s="394"/>
      <c r="RI105" s="394"/>
      <c r="RJ105" s="394"/>
      <c r="RK105" s="394"/>
      <c r="RL105" s="394"/>
      <c r="RM105" s="394"/>
      <c r="RN105" s="394"/>
      <c r="RO105" s="394"/>
      <c r="RP105" s="394"/>
      <c r="RQ105" s="394"/>
      <c r="RR105" s="394"/>
      <c r="RS105" s="394"/>
      <c r="RT105" s="394"/>
      <c r="RU105" s="394"/>
      <c r="RV105" s="394"/>
      <c r="RW105" s="394"/>
      <c r="RX105" s="394"/>
      <c r="RY105" s="394"/>
      <c r="RZ105" s="394"/>
      <c r="SA105" s="394"/>
      <c r="SB105" s="394"/>
      <c r="SC105" s="394"/>
      <c r="SD105" s="394"/>
      <c r="SE105" s="394"/>
      <c r="SF105" s="394"/>
      <c r="SG105" s="394"/>
      <c r="SH105" s="394"/>
      <c r="SI105" s="394"/>
      <c r="SJ105" s="394"/>
    </row>
    <row r="106" spans="2:504" s="95" customFormat="1" x14ac:dyDescent="0.25">
      <c r="B106" s="117" t="s">
        <v>451</v>
      </c>
      <c r="C106" s="118" t="s">
        <v>447</v>
      </c>
      <c r="D106" s="119" t="s">
        <v>443</v>
      </c>
      <c r="E106" s="394"/>
      <c r="F106" s="394"/>
      <c r="G106" s="394"/>
      <c r="H106" s="394"/>
      <c r="I106" s="394"/>
      <c r="J106" s="394"/>
      <c r="K106" s="394"/>
      <c r="L106" s="394"/>
      <c r="M106" s="394"/>
      <c r="N106" s="394"/>
      <c r="O106" s="394"/>
      <c r="P106" s="394"/>
      <c r="Q106" s="394"/>
      <c r="R106" s="394"/>
      <c r="S106" s="394"/>
      <c r="T106" s="394"/>
      <c r="U106" s="394"/>
      <c r="V106" s="394"/>
      <c r="W106" s="394"/>
      <c r="X106" s="394"/>
      <c r="Y106" s="394"/>
      <c r="Z106" s="394"/>
      <c r="AA106" s="394"/>
      <c r="AB106" s="394"/>
      <c r="AC106" s="394"/>
      <c r="AD106" s="394"/>
      <c r="AE106" s="394"/>
      <c r="AF106" s="394"/>
      <c r="AG106" s="394"/>
      <c r="AH106" s="394"/>
      <c r="AI106" s="394"/>
      <c r="AJ106" s="394"/>
      <c r="AK106" s="394"/>
      <c r="AL106" s="394"/>
      <c r="AM106" s="394"/>
      <c r="AN106" s="394"/>
      <c r="AO106" s="394"/>
      <c r="AP106" s="394"/>
      <c r="AQ106" s="394"/>
      <c r="AR106" s="394"/>
      <c r="AS106" s="394"/>
      <c r="AT106" s="394"/>
      <c r="AU106" s="394"/>
      <c r="AV106" s="394"/>
      <c r="AW106" s="394"/>
      <c r="AX106" s="394"/>
      <c r="AY106" s="394"/>
      <c r="AZ106" s="394"/>
      <c r="BA106" s="394"/>
      <c r="BB106" s="394"/>
      <c r="BC106" s="394"/>
      <c r="BD106" s="394"/>
      <c r="BE106" s="394"/>
      <c r="BF106" s="394"/>
      <c r="BG106" s="394"/>
      <c r="BH106" s="394"/>
      <c r="BI106" s="394"/>
      <c r="BJ106" s="394"/>
      <c r="BK106" s="394"/>
      <c r="BL106" s="394"/>
      <c r="BM106" s="394"/>
      <c r="BN106" s="394"/>
      <c r="BO106" s="394"/>
      <c r="BP106" s="394"/>
      <c r="BQ106" s="394"/>
      <c r="BR106" s="394"/>
      <c r="BS106" s="394"/>
      <c r="BT106" s="394"/>
      <c r="BU106" s="394"/>
      <c r="BV106" s="394"/>
      <c r="BW106" s="394"/>
      <c r="BX106" s="394"/>
      <c r="BY106" s="394"/>
      <c r="BZ106" s="394"/>
      <c r="CA106" s="394"/>
      <c r="CB106" s="394"/>
      <c r="CC106" s="394"/>
      <c r="CD106" s="394"/>
      <c r="CE106" s="394"/>
      <c r="CF106" s="394"/>
      <c r="CG106" s="394"/>
      <c r="CH106" s="394"/>
      <c r="CI106" s="394"/>
      <c r="CJ106" s="394"/>
      <c r="CK106" s="394"/>
      <c r="CL106" s="394"/>
      <c r="CM106" s="394"/>
      <c r="CN106" s="394"/>
      <c r="CO106" s="394"/>
      <c r="CP106" s="394"/>
      <c r="CQ106" s="394"/>
      <c r="CR106" s="394"/>
      <c r="CS106" s="394"/>
      <c r="CT106" s="394"/>
      <c r="CU106" s="394"/>
      <c r="CV106" s="394"/>
      <c r="CW106" s="394"/>
      <c r="CX106" s="394"/>
      <c r="CY106" s="394"/>
      <c r="CZ106" s="394"/>
      <c r="DA106" s="394"/>
      <c r="DB106" s="394"/>
      <c r="DC106" s="394"/>
      <c r="DD106" s="394"/>
      <c r="DE106" s="394"/>
      <c r="DF106" s="394"/>
      <c r="DG106" s="394"/>
      <c r="DH106" s="394"/>
      <c r="DI106" s="394"/>
      <c r="DJ106" s="394"/>
      <c r="DK106" s="394"/>
      <c r="DL106" s="394"/>
      <c r="DM106" s="394"/>
      <c r="DN106" s="394"/>
      <c r="DO106" s="394"/>
      <c r="DP106" s="394"/>
      <c r="DQ106" s="394"/>
      <c r="DR106" s="394"/>
      <c r="DS106" s="394"/>
      <c r="DT106" s="394"/>
      <c r="DU106" s="394"/>
      <c r="DV106" s="394"/>
      <c r="DW106" s="394"/>
      <c r="DX106" s="394"/>
      <c r="DY106" s="394"/>
      <c r="DZ106" s="394"/>
      <c r="EA106" s="394"/>
      <c r="EB106" s="394"/>
      <c r="EC106" s="394"/>
      <c r="ED106" s="394"/>
      <c r="EE106" s="394"/>
      <c r="EF106" s="394"/>
      <c r="EG106" s="394"/>
      <c r="EH106" s="394"/>
      <c r="EI106" s="394"/>
      <c r="EJ106" s="394"/>
      <c r="EK106" s="394"/>
      <c r="EL106" s="394"/>
      <c r="EM106" s="394"/>
      <c r="EN106" s="394"/>
      <c r="EO106" s="394"/>
      <c r="EP106" s="394"/>
      <c r="EQ106" s="394"/>
      <c r="ER106" s="394"/>
      <c r="ES106" s="394"/>
      <c r="ET106" s="394"/>
      <c r="EU106" s="394"/>
      <c r="EV106" s="394"/>
      <c r="EW106" s="394"/>
      <c r="EX106" s="394"/>
      <c r="EY106" s="394"/>
      <c r="EZ106" s="394"/>
      <c r="FA106" s="394"/>
      <c r="FB106" s="394"/>
      <c r="FC106" s="394"/>
      <c r="FD106" s="394"/>
      <c r="FE106" s="394"/>
      <c r="FF106" s="394"/>
      <c r="FG106" s="394"/>
      <c r="FH106" s="394"/>
      <c r="FI106" s="394"/>
      <c r="FJ106" s="394"/>
      <c r="FK106" s="394"/>
      <c r="FL106" s="394"/>
      <c r="FM106" s="394"/>
      <c r="FN106" s="394"/>
      <c r="FO106" s="394"/>
      <c r="FP106" s="394"/>
      <c r="FQ106" s="394"/>
      <c r="FR106" s="394"/>
      <c r="FS106" s="394"/>
      <c r="FT106" s="394"/>
      <c r="FU106" s="394"/>
      <c r="FV106" s="394"/>
      <c r="FW106" s="394"/>
      <c r="FX106" s="394"/>
      <c r="FY106" s="394"/>
      <c r="FZ106" s="394"/>
      <c r="GA106" s="394"/>
      <c r="GB106" s="394"/>
      <c r="GC106" s="394"/>
      <c r="GD106" s="394"/>
      <c r="GE106" s="394"/>
      <c r="GF106" s="394"/>
      <c r="GG106" s="394"/>
      <c r="GH106" s="394"/>
      <c r="GI106" s="394"/>
      <c r="GJ106" s="394"/>
      <c r="GK106" s="394"/>
      <c r="GL106" s="394"/>
      <c r="GM106" s="394"/>
      <c r="GN106" s="394"/>
      <c r="GO106" s="394"/>
      <c r="GP106" s="394"/>
      <c r="GQ106" s="394"/>
      <c r="GR106" s="394"/>
      <c r="GS106" s="394"/>
      <c r="GT106" s="394"/>
      <c r="GU106" s="394"/>
      <c r="GV106" s="394"/>
      <c r="GW106" s="394"/>
      <c r="GX106" s="394"/>
      <c r="GY106" s="394"/>
      <c r="GZ106" s="394"/>
      <c r="HA106" s="394"/>
      <c r="HB106" s="394"/>
      <c r="HC106" s="394"/>
      <c r="HD106" s="394"/>
      <c r="HE106" s="394"/>
      <c r="HF106" s="394"/>
      <c r="HG106" s="394"/>
      <c r="HH106" s="394"/>
      <c r="HI106" s="394"/>
      <c r="HJ106" s="394"/>
      <c r="HK106" s="394"/>
      <c r="HL106" s="394"/>
      <c r="HM106" s="394"/>
      <c r="HN106" s="394"/>
      <c r="HO106" s="394"/>
      <c r="HP106" s="394"/>
      <c r="HQ106" s="394"/>
      <c r="HR106" s="394"/>
      <c r="HS106" s="394"/>
      <c r="HT106" s="394"/>
      <c r="HU106" s="394"/>
      <c r="HV106" s="394"/>
      <c r="HW106" s="394"/>
      <c r="HX106" s="394"/>
      <c r="HY106" s="394"/>
      <c r="HZ106" s="394"/>
      <c r="IA106" s="394"/>
      <c r="IB106" s="394"/>
      <c r="IC106" s="394"/>
      <c r="ID106" s="394"/>
      <c r="IE106" s="394"/>
      <c r="IF106" s="394"/>
      <c r="IG106" s="394"/>
      <c r="IH106" s="394"/>
      <c r="II106" s="394"/>
      <c r="IJ106" s="394"/>
      <c r="IK106" s="394"/>
      <c r="IL106" s="394"/>
      <c r="IM106" s="394"/>
      <c r="IN106" s="394"/>
      <c r="IO106" s="394"/>
      <c r="IP106" s="394"/>
      <c r="IQ106" s="394"/>
      <c r="IR106" s="394"/>
      <c r="IS106" s="394"/>
      <c r="IT106" s="394"/>
      <c r="IU106" s="394"/>
      <c r="IV106" s="394"/>
      <c r="IW106" s="394"/>
      <c r="IX106" s="394"/>
      <c r="IY106" s="394"/>
      <c r="IZ106" s="394"/>
      <c r="JA106" s="394"/>
      <c r="JB106" s="394"/>
      <c r="JC106" s="394"/>
      <c r="JD106" s="394"/>
      <c r="JE106" s="394"/>
      <c r="JF106" s="394"/>
      <c r="JG106" s="394"/>
      <c r="JH106" s="394"/>
      <c r="JI106" s="394"/>
      <c r="JJ106" s="394"/>
      <c r="JK106" s="394"/>
      <c r="JL106" s="394"/>
      <c r="JM106" s="394"/>
      <c r="JN106" s="394"/>
      <c r="JO106" s="394"/>
      <c r="JP106" s="394"/>
      <c r="JQ106" s="394"/>
      <c r="JR106" s="394"/>
      <c r="JS106" s="394"/>
      <c r="JT106" s="394"/>
      <c r="JU106" s="394"/>
      <c r="JV106" s="394"/>
      <c r="JW106" s="394"/>
      <c r="JX106" s="394"/>
      <c r="JY106" s="394"/>
      <c r="JZ106" s="394"/>
      <c r="KA106" s="394"/>
      <c r="KB106" s="394"/>
      <c r="KC106" s="394"/>
      <c r="KD106" s="394"/>
      <c r="KE106" s="394"/>
      <c r="KF106" s="394"/>
      <c r="KG106" s="394"/>
      <c r="KH106" s="394"/>
      <c r="KI106" s="394"/>
      <c r="KJ106" s="394"/>
      <c r="KK106" s="394"/>
      <c r="KL106" s="394"/>
      <c r="KM106" s="394"/>
      <c r="KN106" s="394"/>
      <c r="KO106" s="394"/>
      <c r="KP106" s="394"/>
      <c r="KQ106" s="394"/>
      <c r="KR106" s="394"/>
      <c r="KS106" s="394"/>
      <c r="KT106" s="394"/>
      <c r="KU106" s="394"/>
      <c r="KV106" s="394"/>
      <c r="KW106" s="394"/>
      <c r="KX106" s="394"/>
      <c r="KY106" s="394"/>
      <c r="KZ106" s="394"/>
      <c r="LA106" s="394"/>
      <c r="LB106" s="394"/>
      <c r="LC106" s="394"/>
      <c r="LD106" s="394"/>
      <c r="LE106" s="394"/>
      <c r="LF106" s="394"/>
      <c r="LG106" s="394"/>
      <c r="LH106" s="394"/>
      <c r="LI106" s="394"/>
      <c r="LJ106" s="394"/>
      <c r="LK106" s="394"/>
      <c r="LL106" s="394"/>
      <c r="LM106" s="394"/>
      <c r="LN106" s="394"/>
      <c r="LO106" s="394"/>
      <c r="LP106" s="394"/>
      <c r="LQ106" s="394"/>
      <c r="LR106" s="394"/>
      <c r="LS106" s="394"/>
      <c r="LT106" s="394"/>
      <c r="LU106" s="394"/>
      <c r="LV106" s="394"/>
      <c r="LW106" s="394"/>
      <c r="LX106" s="394"/>
      <c r="LY106" s="394"/>
      <c r="LZ106" s="394"/>
      <c r="MA106" s="394"/>
      <c r="MB106" s="394"/>
      <c r="MC106" s="394"/>
      <c r="MD106" s="394"/>
      <c r="ME106" s="394"/>
      <c r="MF106" s="394"/>
      <c r="MG106" s="394"/>
      <c r="MH106" s="394"/>
      <c r="MI106" s="394"/>
      <c r="MJ106" s="394"/>
      <c r="MK106" s="394"/>
      <c r="ML106" s="394"/>
      <c r="MM106" s="394"/>
      <c r="MN106" s="394"/>
      <c r="MO106" s="394"/>
      <c r="MP106" s="394"/>
      <c r="MQ106" s="394"/>
      <c r="MR106" s="394"/>
      <c r="MS106" s="394"/>
      <c r="MT106" s="394"/>
      <c r="MU106" s="394"/>
      <c r="MV106" s="394"/>
      <c r="MW106" s="394"/>
      <c r="MX106" s="394"/>
      <c r="MY106" s="394"/>
      <c r="MZ106" s="394"/>
      <c r="NA106" s="394"/>
      <c r="NB106" s="394"/>
      <c r="NC106" s="394"/>
      <c r="ND106" s="394"/>
      <c r="NE106" s="394"/>
      <c r="NF106" s="394"/>
      <c r="NG106" s="394"/>
      <c r="NH106" s="394"/>
      <c r="NI106" s="394"/>
      <c r="NJ106" s="394"/>
      <c r="NK106" s="394"/>
      <c r="NL106" s="394"/>
      <c r="NM106" s="394"/>
      <c r="NN106" s="394"/>
      <c r="NO106" s="394"/>
      <c r="NP106" s="394"/>
      <c r="NQ106" s="394"/>
      <c r="NR106" s="394"/>
      <c r="NS106" s="394"/>
      <c r="NT106" s="394"/>
      <c r="NU106" s="394"/>
      <c r="NV106" s="394"/>
      <c r="NW106" s="394"/>
      <c r="NX106" s="394"/>
      <c r="NY106" s="394"/>
      <c r="NZ106" s="394"/>
      <c r="OA106" s="394"/>
      <c r="OB106" s="394"/>
      <c r="OC106" s="394"/>
      <c r="OD106" s="394"/>
      <c r="OE106" s="394"/>
      <c r="OF106" s="394"/>
      <c r="OG106" s="394"/>
      <c r="OH106" s="394"/>
      <c r="OI106" s="394"/>
      <c r="OJ106" s="394"/>
      <c r="OK106" s="394"/>
      <c r="OL106" s="394"/>
      <c r="OM106" s="394"/>
      <c r="ON106" s="394"/>
      <c r="OO106" s="394"/>
      <c r="OP106" s="394"/>
      <c r="OQ106" s="394"/>
      <c r="OR106" s="394"/>
      <c r="OS106" s="394"/>
      <c r="OT106" s="394"/>
      <c r="OU106" s="394"/>
      <c r="OV106" s="394"/>
      <c r="OW106" s="394"/>
      <c r="OX106" s="394"/>
      <c r="OY106" s="394"/>
      <c r="OZ106" s="394"/>
      <c r="PA106" s="394"/>
      <c r="PB106" s="394"/>
      <c r="PC106" s="394"/>
      <c r="PD106" s="394"/>
      <c r="PE106" s="394"/>
      <c r="PF106" s="394"/>
      <c r="PG106" s="394"/>
      <c r="PH106" s="394"/>
      <c r="PI106" s="394"/>
      <c r="PJ106" s="394"/>
      <c r="PK106" s="394"/>
      <c r="PL106" s="394"/>
      <c r="PM106" s="394"/>
      <c r="PN106" s="394"/>
      <c r="PO106" s="394"/>
      <c r="PP106" s="394"/>
      <c r="PQ106" s="394"/>
      <c r="PR106" s="394"/>
      <c r="PS106" s="394"/>
      <c r="PT106" s="394"/>
      <c r="PU106" s="394"/>
      <c r="PV106" s="394"/>
      <c r="PW106" s="394"/>
      <c r="PX106" s="394"/>
      <c r="PY106" s="394"/>
      <c r="PZ106" s="394"/>
      <c r="QA106" s="394"/>
      <c r="QB106" s="394"/>
      <c r="QC106" s="394"/>
      <c r="QD106" s="394"/>
      <c r="QE106" s="394"/>
      <c r="QF106" s="394"/>
      <c r="QG106" s="394"/>
      <c r="QH106" s="394"/>
      <c r="QI106" s="394"/>
      <c r="QJ106" s="394"/>
      <c r="QK106" s="394"/>
      <c r="QL106" s="394"/>
      <c r="QM106" s="394"/>
      <c r="QN106" s="394"/>
      <c r="QO106" s="394"/>
      <c r="QP106" s="394"/>
      <c r="QQ106" s="394"/>
      <c r="QR106" s="394"/>
      <c r="QS106" s="394"/>
      <c r="QT106" s="394"/>
      <c r="QU106" s="394"/>
      <c r="QV106" s="394"/>
      <c r="QW106" s="394"/>
      <c r="QX106" s="394"/>
      <c r="QY106" s="394"/>
      <c r="QZ106" s="394"/>
      <c r="RA106" s="394"/>
      <c r="RB106" s="394"/>
      <c r="RC106" s="394"/>
      <c r="RD106" s="394"/>
      <c r="RE106" s="394"/>
      <c r="RF106" s="394"/>
      <c r="RG106" s="394"/>
      <c r="RH106" s="394"/>
      <c r="RI106" s="394"/>
      <c r="RJ106" s="394"/>
      <c r="RK106" s="394"/>
      <c r="RL106" s="394"/>
      <c r="RM106" s="394"/>
      <c r="RN106" s="394"/>
      <c r="RO106" s="394"/>
      <c r="RP106" s="394"/>
      <c r="RQ106" s="394"/>
      <c r="RR106" s="394"/>
      <c r="RS106" s="394"/>
      <c r="RT106" s="394"/>
      <c r="RU106" s="394"/>
      <c r="RV106" s="394"/>
      <c r="RW106" s="394"/>
      <c r="RX106" s="394"/>
      <c r="RY106" s="394"/>
      <c r="RZ106" s="394"/>
      <c r="SA106" s="394"/>
      <c r="SB106" s="394"/>
      <c r="SC106" s="394"/>
      <c r="SD106" s="394"/>
      <c r="SE106" s="394"/>
      <c r="SF106" s="394"/>
      <c r="SG106" s="394"/>
      <c r="SH106" s="394"/>
      <c r="SI106" s="394"/>
      <c r="SJ106" s="394"/>
    </row>
    <row r="107" spans="2:504" s="95" customFormat="1" ht="30" customHeight="1" x14ac:dyDescent="0.25">
      <c r="B107" s="114"/>
      <c r="C107" s="115" t="str" cm="1">
        <f t="array" ref="C107">IF(B107="","",IFERROR(_xlfn.TEXTJOIN(", ",TRUE,IF(($E$9:$SJ$9=B107)*($E$7:$SJ$7="Approved"),$E$11:$SJ$11,"")),"Excel 2019 or newer required for this function"))</f>
        <v/>
      </c>
      <c r="D107" s="116">
        <f>SUMIFS($E$10:$SJ$10,$E$7:$SJ$7,"Approved",$E$9:$SJ$9,B107)</f>
        <v>0</v>
      </c>
      <c r="E107" s="394"/>
      <c r="F107" s="394"/>
      <c r="G107" s="394"/>
      <c r="H107" s="394"/>
      <c r="I107" s="394"/>
      <c r="J107" s="394"/>
      <c r="K107" s="394"/>
      <c r="L107" s="394"/>
      <c r="M107" s="394"/>
      <c r="N107" s="394"/>
      <c r="O107" s="394"/>
      <c r="P107" s="394"/>
      <c r="Q107" s="394"/>
      <c r="R107" s="394"/>
      <c r="S107" s="394"/>
      <c r="T107" s="394"/>
      <c r="U107" s="394"/>
      <c r="V107" s="394"/>
      <c r="W107" s="394"/>
      <c r="X107" s="394"/>
      <c r="Y107" s="394"/>
      <c r="Z107" s="394"/>
      <c r="AA107" s="394"/>
      <c r="AB107" s="394"/>
      <c r="AC107" s="394"/>
      <c r="AD107" s="394"/>
      <c r="AE107" s="394"/>
      <c r="AF107" s="394"/>
      <c r="AG107" s="394"/>
      <c r="AH107" s="394"/>
      <c r="AI107" s="394"/>
      <c r="AJ107" s="394"/>
      <c r="AK107" s="394"/>
      <c r="AL107" s="394"/>
      <c r="AM107" s="394"/>
      <c r="AN107" s="394"/>
      <c r="AO107" s="394"/>
      <c r="AP107" s="394"/>
      <c r="AQ107" s="394"/>
      <c r="AR107" s="394"/>
      <c r="AS107" s="394"/>
      <c r="AT107" s="394"/>
      <c r="AU107" s="394"/>
      <c r="AV107" s="394"/>
      <c r="AW107" s="394"/>
      <c r="AX107" s="394"/>
      <c r="AY107" s="394"/>
      <c r="AZ107" s="394"/>
      <c r="BA107" s="394"/>
      <c r="BB107" s="394"/>
      <c r="BC107" s="394"/>
      <c r="BD107" s="394"/>
      <c r="BE107" s="394"/>
      <c r="BF107" s="394"/>
      <c r="BG107" s="394"/>
      <c r="BH107" s="394"/>
      <c r="BI107" s="394"/>
      <c r="BJ107" s="394"/>
      <c r="BK107" s="394"/>
      <c r="BL107" s="394"/>
      <c r="BM107" s="394"/>
      <c r="BN107" s="394"/>
      <c r="BO107" s="394"/>
      <c r="BP107" s="394"/>
      <c r="BQ107" s="394"/>
      <c r="BR107" s="394"/>
      <c r="BS107" s="394"/>
      <c r="BT107" s="394"/>
      <c r="BU107" s="394"/>
      <c r="BV107" s="394"/>
      <c r="BW107" s="394"/>
      <c r="BX107" s="394"/>
      <c r="BY107" s="394"/>
      <c r="BZ107" s="394"/>
      <c r="CA107" s="394"/>
      <c r="CB107" s="394"/>
      <c r="CC107" s="394"/>
      <c r="CD107" s="394"/>
      <c r="CE107" s="394"/>
      <c r="CF107" s="394"/>
      <c r="CG107" s="394"/>
      <c r="CH107" s="394"/>
      <c r="CI107" s="394"/>
      <c r="CJ107" s="394"/>
      <c r="CK107" s="394"/>
      <c r="CL107" s="394"/>
      <c r="CM107" s="394"/>
      <c r="CN107" s="394"/>
      <c r="CO107" s="394"/>
      <c r="CP107" s="394"/>
      <c r="CQ107" s="394"/>
      <c r="CR107" s="394"/>
      <c r="CS107" s="394"/>
      <c r="CT107" s="394"/>
      <c r="CU107" s="394"/>
      <c r="CV107" s="394"/>
      <c r="CW107" s="394"/>
      <c r="CX107" s="394"/>
      <c r="CY107" s="394"/>
      <c r="CZ107" s="394"/>
      <c r="DA107" s="394"/>
      <c r="DB107" s="394"/>
      <c r="DC107" s="394"/>
      <c r="DD107" s="394"/>
      <c r="DE107" s="394"/>
      <c r="DF107" s="394"/>
      <c r="DG107" s="394"/>
      <c r="DH107" s="394"/>
      <c r="DI107" s="394"/>
      <c r="DJ107" s="394"/>
      <c r="DK107" s="394"/>
      <c r="DL107" s="394"/>
      <c r="DM107" s="394"/>
      <c r="DN107" s="394"/>
      <c r="DO107" s="394"/>
      <c r="DP107" s="394"/>
      <c r="DQ107" s="394"/>
      <c r="DR107" s="394"/>
      <c r="DS107" s="394"/>
      <c r="DT107" s="394"/>
      <c r="DU107" s="394"/>
      <c r="DV107" s="394"/>
      <c r="DW107" s="394"/>
      <c r="DX107" s="394"/>
      <c r="DY107" s="394"/>
      <c r="DZ107" s="394"/>
      <c r="EA107" s="394"/>
      <c r="EB107" s="394"/>
      <c r="EC107" s="394"/>
      <c r="ED107" s="394"/>
      <c r="EE107" s="394"/>
      <c r="EF107" s="394"/>
      <c r="EG107" s="394"/>
      <c r="EH107" s="394"/>
      <c r="EI107" s="394"/>
      <c r="EJ107" s="394"/>
      <c r="EK107" s="394"/>
      <c r="EL107" s="394"/>
      <c r="EM107" s="394"/>
      <c r="EN107" s="394"/>
      <c r="EO107" s="394"/>
      <c r="EP107" s="394"/>
      <c r="EQ107" s="394"/>
      <c r="ER107" s="394"/>
      <c r="ES107" s="394"/>
      <c r="ET107" s="394"/>
      <c r="EU107" s="394"/>
      <c r="EV107" s="394"/>
      <c r="EW107" s="394"/>
      <c r="EX107" s="394"/>
      <c r="EY107" s="394"/>
      <c r="EZ107" s="394"/>
      <c r="FA107" s="394"/>
      <c r="FB107" s="394"/>
      <c r="FC107" s="394"/>
      <c r="FD107" s="394"/>
      <c r="FE107" s="394"/>
      <c r="FF107" s="394"/>
      <c r="FG107" s="394"/>
      <c r="FH107" s="394"/>
      <c r="FI107" s="394"/>
      <c r="FJ107" s="394"/>
      <c r="FK107" s="394"/>
      <c r="FL107" s="394"/>
      <c r="FM107" s="394"/>
      <c r="FN107" s="394"/>
      <c r="FO107" s="394"/>
      <c r="FP107" s="394"/>
      <c r="FQ107" s="394"/>
      <c r="FR107" s="394"/>
      <c r="FS107" s="394"/>
      <c r="FT107" s="394"/>
      <c r="FU107" s="394"/>
      <c r="FV107" s="394"/>
      <c r="FW107" s="394"/>
      <c r="FX107" s="394"/>
      <c r="FY107" s="394"/>
      <c r="FZ107" s="394"/>
      <c r="GA107" s="394"/>
      <c r="GB107" s="394"/>
      <c r="GC107" s="394"/>
      <c r="GD107" s="394"/>
      <c r="GE107" s="394"/>
      <c r="GF107" s="394"/>
      <c r="GG107" s="394"/>
      <c r="GH107" s="394"/>
      <c r="GI107" s="394"/>
      <c r="GJ107" s="394"/>
      <c r="GK107" s="394"/>
      <c r="GL107" s="394"/>
      <c r="GM107" s="394"/>
      <c r="GN107" s="394"/>
      <c r="GO107" s="394"/>
      <c r="GP107" s="394"/>
      <c r="GQ107" s="394"/>
      <c r="GR107" s="394"/>
      <c r="GS107" s="394"/>
      <c r="GT107" s="394"/>
      <c r="GU107" s="394"/>
      <c r="GV107" s="394"/>
      <c r="GW107" s="394"/>
      <c r="GX107" s="394"/>
      <c r="GY107" s="394"/>
      <c r="GZ107" s="394"/>
      <c r="HA107" s="394"/>
      <c r="HB107" s="394"/>
      <c r="HC107" s="394"/>
      <c r="HD107" s="394"/>
      <c r="HE107" s="394"/>
      <c r="HF107" s="394"/>
      <c r="HG107" s="394"/>
      <c r="HH107" s="394"/>
      <c r="HI107" s="394"/>
      <c r="HJ107" s="394"/>
      <c r="HK107" s="394"/>
      <c r="HL107" s="394"/>
      <c r="HM107" s="394"/>
      <c r="HN107" s="394"/>
      <c r="HO107" s="394"/>
      <c r="HP107" s="394"/>
      <c r="HQ107" s="394"/>
      <c r="HR107" s="394"/>
      <c r="HS107" s="394"/>
      <c r="HT107" s="394"/>
      <c r="HU107" s="394"/>
      <c r="HV107" s="394"/>
      <c r="HW107" s="394"/>
      <c r="HX107" s="394"/>
      <c r="HY107" s="394"/>
      <c r="HZ107" s="394"/>
      <c r="IA107" s="394"/>
      <c r="IB107" s="394"/>
      <c r="IC107" s="394"/>
      <c r="ID107" s="394"/>
      <c r="IE107" s="394"/>
      <c r="IF107" s="394"/>
      <c r="IG107" s="394"/>
      <c r="IH107" s="394"/>
      <c r="II107" s="394"/>
      <c r="IJ107" s="394"/>
      <c r="IK107" s="394"/>
      <c r="IL107" s="394"/>
      <c r="IM107" s="394"/>
      <c r="IN107" s="394"/>
      <c r="IO107" s="394"/>
      <c r="IP107" s="394"/>
      <c r="IQ107" s="394"/>
      <c r="IR107" s="394"/>
      <c r="IS107" s="394"/>
      <c r="IT107" s="394"/>
      <c r="IU107" s="394"/>
      <c r="IV107" s="394"/>
      <c r="IW107" s="394"/>
      <c r="IX107" s="394"/>
      <c r="IY107" s="394"/>
      <c r="IZ107" s="394"/>
      <c r="JA107" s="394"/>
      <c r="JB107" s="394"/>
      <c r="JC107" s="394"/>
      <c r="JD107" s="394"/>
      <c r="JE107" s="394"/>
      <c r="JF107" s="394"/>
      <c r="JG107" s="394"/>
      <c r="JH107" s="394"/>
      <c r="JI107" s="394"/>
      <c r="JJ107" s="394"/>
      <c r="JK107" s="394"/>
      <c r="JL107" s="394"/>
      <c r="JM107" s="394"/>
      <c r="JN107" s="394"/>
      <c r="JO107" s="394"/>
      <c r="JP107" s="394"/>
      <c r="JQ107" s="394"/>
      <c r="JR107" s="394"/>
      <c r="JS107" s="394"/>
      <c r="JT107" s="394"/>
      <c r="JU107" s="394"/>
      <c r="JV107" s="394"/>
      <c r="JW107" s="394"/>
      <c r="JX107" s="394"/>
      <c r="JY107" s="394"/>
      <c r="JZ107" s="394"/>
      <c r="KA107" s="394"/>
      <c r="KB107" s="394"/>
      <c r="KC107" s="394"/>
      <c r="KD107" s="394"/>
      <c r="KE107" s="394"/>
      <c r="KF107" s="394"/>
      <c r="KG107" s="394"/>
      <c r="KH107" s="394"/>
      <c r="KI107" s="394"/>
      <c r="KJ107" s="394"/>
      <c r="KK107" s="394"/>
      <c r="KL107" s="394"/>
      <c r="KM107" s="394"/>
      <c r="KN107" s="394"/>
      <c r="KO107" s="394"/>
      <c r="KP107" s="394"/>
      <c r="KQ107" s="394"/>
      <c r="KR107" s="394"/>
      <c r="KS107" s="394"/>
      <c r="KT107" s="394"/>
      <c r="KU107" s="394"/>
      <c r="KV107" s="394"/>
      <c r="KW107" s="394"/>
      <c r="KX107" s="394"/>
      <c r="KY107" s="394"/>
      <c r="KZ107" s="394"/>
      <c r="LA107" s="394"/>
      <c r="LB107" s="394"/>
      <c r="LC107" s="394"/>
      <c r="LD107" s="394"/>
      <c r="LE107" s="394"/>
      <c r="LF107" s="394"/>
      <c r="LG107" s="394"/>
      <c r="LH107" s="394"/>
      <c r="LI107" s="394"/>
      <c r="LJ107" s="394"/>
      <c r="LK107" s="394"/>
      <c r="LL107" s="394"/>
      <c r="LM107" s="394"/>
      <c r="LN107" s="394"/>
      <c r="LO107" s="394"/>
      <c r="LP107" s="394"/>
      <c r="LQ107" s="394"/>
      <c r="LR107" s="394"/>
      <c r="LS107" s="394"/>
      <c r="LT107" s="394"/>
      <c r="LU107" s="394"/>
      <c r="LV107" s="394"/>
      <c r="LW107" s="394"/>
      <c r="LX107" s="394"/>
      <c r="LY107" s="394"/>
      <c r="LZ107" s="394"/>
      <c r="MA107" s="394"/>
      <c r="MB107" s="394"/>
      <c r="MC107" s="394"/>
      <c r="MD107" s="394"/>
      <c r="ME107" s="394"/>
      <c r="MF107" s="394"/>
      <c r="MG107" s="394"/>
      <c r="MH107" s="394"/>
      <c r="MI107" s="394"/>
      <c r="MJ107" s="394"/>
      <c r="MK107" s="394"/>
      <c r="ML107" s="394"/>
      <c r="MM107" s="394"/>
      <c r="MN107" s="394"/>
      <c r="MO107" s="394"/>
      <c r="MP107" s="394"/>
      <c r="MQ107" s="394"/>
      <c r="MR107" s="394"/>
      <c r="MS107" s="394"/>
      <c r="MT107" s="394"/>
      <c r="MU107" s="394"/>
      <c r="MV107" s="394"/>
      <c r="MW107" s="394"/>
      <c r="MX107" s="394"/>
      <c r="MY107" s="394"/>
      <c r="MZ107" s="394"/>
      <c r="NA107" s="394"/>
      <c r="NB107" s="394"/>
      <c r="NC107" s="394"/>
      <c r="ND107" s="394"/>
      <c r="NE107" s="394"/>
      <c r="NF107" s="394"/>
      <c r="NG107" s="394"/>
      <c r="NH107" s="394"/>
      <c r="NI107" s="394"/>
      <c r="NJ107" s="394"/>
      <c r="NK107" s="394"/>
      <c r="NL107" s="394"/>
      <c r="NM107" s="394"/>
      <c r="NN107" s="394"/>
      <c r="NO107" s="394"/>
      <c r="NP107" s="394"/>
      <c r="NQ107" s="394"/>
      <c r="NR107" s="394"/>
      <c r="NS107" s="394"/>
      <c r="NT107" s="394"/>
      <c r="NU107" s="394"/>
      <c r="NV107" s="394"/>
      <c r="NW107" s="394"/>
      <c r="NX107" s="394"/>
      <c r="NY107" s="394"/>
      <c r="NZ107" s="394"/>
      <c r="OA107" s="394"/>
      <c r="OB107" s="394"/>
      <c r="OC107" s="394"/>
      <c r="OD107" s="394"/>
      <c r="OE107" s="394"/>
      <c r="OF107" s="394"/>
      <c r="OG107" s="394"/>
      <c r="OH107" s="394"/>
      <c r="OI107" s="394"/>
      <c r="OJ107" s="394"/>
      <c r="OK107" s="394"/>
      <c r="OL107" s="394"/>
      <c r="OM107" s="394"/>
      <c r="ON107" s="394"/>
      <c r="OO107" s="394"/>
      <c r="OP107" s="394"/>
      <c r="OQ107" s="394"/>
      <c r="OR107" s="394"/>
      <c r="OS107" s="394"/>
      <c r="OT107" s="394"/>
      <c r="OU107" s="394"/>
      <c r="OV107" s="394"/>
      <c r="OW107" s="394"/>
      <c r="OX107" s="394"/>
      <c r="OY107" s="394"/>
      <c r="OZ107" s="394"/>
      <c r="PA107" s="394"/>
      <c r="PB107" s="394"/>
      <c r="PC107" s="394"/>
      <c r="PD107" s="394"/>
      <c r="PE107" s="394"/>
      <c r="PF107" s="394"/>
      <c r="PG107" s="394"/>
      <c r="PH107" s="394"/>
      <c r="PI107" s="394"/>
      <c r="PJ107" s="394"/>
      <c r="PK107" s="394"/>
      <c r="PL107" s="394"/>
      <c r="PM107" s="394"/>
      <c r="PN107" s="394"/>
      <c r="PO107" s="394"/>
      <c r="PP107" s="394"/>
      <c r="PQ107" s="394"/>
      <c r="PR107" s="394"/>
      <c r="PS107" s="394"/>
      <c r="PT107" s="394"/>
      <c r="PU107" s="394"/>
      <c r="PV107" s="394"/>
      <c r="PW107" s="394"/>
      <c r="PX107" s="394"/>
      <c r="PY107" s="394"/>
      <c r="PZ107" s="394"/>
      <c r="QA107" s="394"/>
      <c r="QB107" s="394"/>
      <c r="QC107" s="394"/>
      <c r="QD107" s="394"/>
      <c r="QE107" s="394"/>
      <c r="QF107" s="394"/>
      <c r="QG107" s="394"/>
      <c r="QH107" s="394"/>
      <c r="QI107" s="394"/>
      <c r="QJ107" s="394"/>
      <c r="QK107" s="394"/>
      <c r="QL107" s="394"/>
      <c r="QM107" s="394"/>
      <c r="QN107" s="394"/>
      <c r="QO107" s="394"/>
      <c r="QP107" s="394"/>
      <c r="QQ107" s="394"/>
      <c r="QR107" s="394"/>
      <c r="QS107" s="394"/>
      <c r="QT107" s="394"/>
      <c r="QU107" s="394"/>
      <c r="QV107" s="394"/>
      <c r="QW107" s="394"/>
      <c r="QX107" s="394"/>
      <c r="QY107" s="394"/>
      <c r="QZ107" s="394"/>
      <c r="RA107" s="394"/>
      <c r="RB107" s="394"/>
      <c r="RC107" s="394"/>
      <c r="RD107" s="394"/>
      <c r="RE107" s="394"/>
      <c r="RF107" s="394"/>
      <c r="RG107" s="394"/>
      <c r="RH107" s="394"/>
      <c r="RI107" s="394"/>
      <c r="RJ107" s="394"/>
      <c r="RK107" s="394"/>
      <c r="RL107" s="394"/>
      <c r="RM107" s="394"/>
      <c r="RN107" s="394"/>
      <c r="RO107" s="394"/>
      <c r="RP107" s="394"/>
      <c r="RQ107" s="394"/>
      <c r="RR107" s="394"/>
      <c r="RS107" s="394"/>
      <c r="RT107" s="394"/>
      <c r="RU107" s="394"/>
      <c r="RV107" s="394"/>
      <c r="RW107" s="394"/>
      <c r="RX107" s="394"/>
      <c r="RY107" s="394"/>
      <c r="RZ107" s="394"/>
      <c r="SA107" s="394"/>
      <c r="SB107" s="394"/>
      <c r="SC107" s="394"/>
      <c r="SD107" s="394"/>
      <c r="SE107" s="394"/>
      <c r="SF107" s="394"/>
      <c r="SG107" s="394"/>
      <c r="SH107" s="394"/>
      <c r="SI107" s="394"/>
      <c r="SJ107" s="394"/>
    </row>
    <row r="108" spans="2:504" s="95" customFormat="1" x14ac:dyDescent="0.25">
      <c r="B108" s="102"/>
      <c r="C108" s="103"/>
      <c r="D108" s="103"/>
      <c r="E108" s="394"/>
      <c r="F108" s="394"/>
      <c r="G108" s="394"/>
      <c r="H108" s="394"/>
      <c r="I108" s="394"/>
      <c r="J108" s="394"/>
      <c r="K108" s="394"/>
      <c r="L108" s="394"/>
      <c r="M108" s="394"/>
      <c r="N108" s="394"/>
      <c r="O108" s="394"/>
      <c r="P108" s="394"/>
      <c r="Q108" s="394"/>
      <c r="R108" s="394"/>
      <c r="S108" s="394"/>
      <c r="T108" s="394"/>
      <c r="U108" s="394"/>
      <c r="V108" s="394"/>
      <c r="W108" s="394"/>
      <c r="X108" s="394"/>
      <c r="Y108" s="394"/>
      <c r="Z108" s="394"/>
      <c r="AA108" s="394"/>
      <c r="AB108" s="394"/>
      <c r="AC108" s="394"/>
      <c r="AD108" s="394"/>
      <c r="AE108" s="394"/>
      <c r="AF108" s="394"/>
      <c r="AG108" s="394"/>
      <c r="AH108" s="394"/>
      <c r="AI108" s="394"/>
      <c r="AJ108" s="394"/>
      <c r="AK108" s="394"/>
      <c r="AL108" s="394"/>
      <c r="AM108" s="394"/>
      <c r="AN108" s="394"/>
      <c r="AO108" s="394"/>
      <c r="AP108" s="394"/>
      <c r="AQ108" s="394"/>
      <c r="AR108" s="394"/>
      <c r="AS108" s="394"/>
      <c r="AT108" s="394"/>
      <c r="AU108" s="394"/>
      <c r="AV108" s="394"/>
      <c r="AW108" s="394"/>
      <c r="AX108" s="394"/>
      <c r="AY108" s="394"/>
      <c r="AZ108" s="394"/>
      <c r="BA108" s="394"/>
      <c r="BB108" s="394"/>
      <c r="BC108" s="394"/>
      <c r="BD108" s="394"/>
      <c r="BE108" s="394"/>
      <c r="BF108" s="394"/>
      <c r="BG108" s="394"/>
      <c r="BH108" s="394"/>
      <c r="BI108" s="394"/>
      <c r="BJ108" s="394"/>
      <c r="BK108" s="394"/>
      <c r="BL108" s="394"/>
      <c r="BM108" s="394"/>
      <c r="BN108" s="394"/>
      <c r="BO108" s="394"/>
      <c r="BP108" s="394"/>
      <c r="BQ108" s="394"/>
      <c r="BR108" s="394"/>
      <c r="BS108" s="394"/>
      <c r="BT108" s="394"/>
      <c r="BU108" s="394"/>
      <c r="BV108" s="394"/>
      <c r="BW108" s="394"/>
      <c r="BX108" s="394"/>
      <c r="BY108" s="394"/>
      <c r="BZ108" s="394"/>
      <c r="CA108" s="394"/>
      <c r="CB108" s="394"/>
      <c r="CC108" s="394"/>
      <c r="CD108" s="394"/>
      <c r="CE108" s="394"/>
      <c r="CF108" s="394"/>
      <c r="CG108" s="394"/>
      <c r="CH108" s="394"/>
      <c r="CI108" s="394"/>
      <c r="CJ108" s="394"/>
      <c r="CK108" s="394"/>
      <c r="CL108" s="394"/>
      <c r="CM108" s="394"/>
      <c r="CN108" s="394"/>
      <c r="CO108" s="394"/>
      <c r="CP108" s="394"/>
      <c r="CQ108" s="394"/>
      <c r="CR108" s="394"/>
      <c r="CS108" s="394"/>
      <c r="CT108" s="394"/>
      <c r="CU108" s="394"/>
      <c r="CV108" s="394"/>
      <c r="CW108" s="394"/>
      <c r="CX108" s="394"/>
      <c r="CY108" s="394"/>
      <c r="CZ108" s="394"/>
      <c r="DA108" s="394"/>
      <c r="DB108" s="394"/>
      <c r="DC108" s="394"/>
      <c r="DD108" s="394"/>
      <c r="DE108" s="394"/>
      <c r="DF108" s="394"/>
      <c r="DG108" s="394"/>
      <c r="DH108" s="394"/>
      <c r="DI108" s="394"/>
      <c r="DJ108" s="394"/>
      <c r="DK108" s="394"/>
      <c r="DL108" s="394"/>
      <c r="DM108" s="394"/>
      <c r="DN108" s="394"/>
      <c r="DO108" s="394"/>
      <c r="DP108" s="394"/>
      <c r="DQ108" s="394"/>
      <c r="DR108" s="394"/>
      <c r="DS108" s="394"/>
      <c r="DT108" s="394"/>
      <c r="DU108" s="394"/>
      <c r="DV108" s="394"/>
      <c r="DW108" s="394"/>
      <c r="DX108" s="394"/>
      <c r="DY108" s="394"/>
      <c r="DZ108" s="394"/>
      <c r="EA108" s="394"/>
      <c r="EB108" s="394"/>
      <c r="EC108" s="394"/>
      <c r="ED108" s="394"/>
      <c r="EE108" s="394"/>
      <c r="EF108" s="394"/>
      <c r="EG108" s="394"/>
      <c r="EH108" s="394"/>
      <c r="EI108" s="394"/>
      <c r="EJ108" s="394"/>
      <c r="EK108" s="394"/>
      <c r="EL108" s="394"/>
      <c r="EM108" s="394"/>
      <c r="EN108" s="394"/>
      <c r="EO108" s="394"/>
      <c r="EP108" s="394"/>
      <c r="EQ108" s="394"/>
      <c r="ER108" s="394"/>
      <c r="ES108" s="394"/>
      <c r="ET108" s="394"/>
      <c r="EU108" s="394"/>
      <c r="EV108" s="394"/>
      <c r="EW108" s="394"/>
      <c r="EX108" s="394"/>
      <c r="EY108" s="394"/>
      <c r="EZ108" s="394"/>
      <c r="FA108" s="394"/>
      <c r="FB108" s="394"/>
      <c r="FC108" s="394"/>
      <c r="FD108" s="394"/>
      <c r="FE108" s="394"/>
      <c r="FF108" s="394"/>
      <c r="FG108" s="394"/>
      <c r="FH108" s="394"/>
      <c r="FI108" s="394"/>
      <c r="FJ108" s="394"/>
      <c r="FK108" s="394"/>
      <c r="FL108" s="394"/>
      <c r="FM108" s="394"/>
      <c r="FN108" s="394"/>
      <c r="FO108" s="394"/>
      <c r="FP108" s="394"/>
      <c r="FQ108" s="394"/>
      <c r="FR108" s="394"/>
      <c r="FS108" s="394"/>
      <c r="FT108" s="394"/>
      <c r="FU108" s="394"/>
      <c r="FV108" s="394"/>
      <c r="FW108" s="394"/>
      <c r="FX108" s="394"/>
      <c r="FY108" s="394"/>
      <c r="FZ108" s="394"/>
      <c r="GA108" s="394"/>
      <c r="GB108" s="394"/>
      <c r="GC108" s="394"/>
      <c r="GD108" s="394"/>
      <c r="GE108" s="394"/>
      <c r="GF108" s="394"/>
      <c r="GG108" s="394"/>
      <c r="GH108" s="394"/>
      <c r="GI108" s="394"/>
      <c r="GJ108" s="394"/>
      <c r="GK108" s="394"/>
      <c r="GL108" s="394"/>
      <c r="GM108" s="394"/>
      <c r="GN108" s="394"/>
      <c r="GO108" s="394"/>
      <c r="GP108" s="394"/>
      <c r="GQ108" s="394"/>
      <c r="GR108" s="394"/>
      <c r="GS108" s="394"/>
      <c r="GT108" s="394"/>
      <c r="GU108" s="394"/>
      <c r="GV108" s="394"/>
      <c r="GW108" s="394"/>
      <c r="GX108" s="394"/>
      <c r="GY108" s="394"/>
      <c r="GZ108" s="394"/>
      <c r="HA108" s="394"/>
      <c r="HB108" s="394"/>
      <c r="HC108" s="394"/>
      <c r="HD108" s="394"/>
      <c r="HE108" s="394"/>
      <c r="HF108" s="394"/>
      <c r="HG108" s="394"/>
      <c r="HH108" s="394"/>
      <c r="HI108" s="394"/>
      <c r="HJ108" s="394"/>
      <c r="HK108" s="394"/>
      <c r="HL108" s="394"/>
      <c r="HM108" s="394"/>
      <c r="HN108" s="394"/>
      <c r="HO108" s="394"/>
      <c r="HP108" s="394"/>
      <c r="HQ108" s="394"/>
      <c r="HR108" s="394"/>
      <c r="HS108" s="394"/>
      <c r="HT108" s="394"/>
      <c r="HU108" s="394"/>
      <c r="HV108" s="394"/>
      <c r="HW108" s="394"/>
      <c r="HX108" s="394"/>
      <c r="HY108" s="394"/>
      <c r="HZ108" s="394"/>
      <c r="IA108" s="394"/>
      <c r="IB108" s="394"/>
      <c r="IC108" s="394"/>
      <c r="ID108" s="394"/>
      <c r="IE108" s="394"/>
      <c r="IF108" s="394"/>
      <c r="IG108" s="394"/>
      <c r="IH108" s="394"/>
      <c r="II108" s="394"/>
      <c r="IJ108" s="394"/>
      <c r="IK108" s="394"/>
      <c r="IL108" s="394"/>
      <c r="IM108" s="394"/>
      <c r="IN108" s="394"/>
      <c r="IO108" s="394"/>
      <c r="IP108" s="394"/>
      <c r="IQ108" s="394"/>
      <c r="IR108" s="394"/>
      <c r="IS108" s="394"/>
      <c r="IT108" s="394"/>
      <c r="IU108" s="394"/>
      <c r="IV108" s="394"/>
      <c r="IW108" s="394"/>
      <c r="IX108" s="394"/>
      <c r="IY108" s="394"/>
      <c r="IZ108" s="394"/>
      <c r="JA108" s="394"/>
      <c r="JB108" s="394"/>
      <c r="JC108" s="394"/>
      <c r="JD108" s="394"/>
      <c r="JE108" s="394"/>
      <c r="JF108" s="394"/>
      <c r="JG108" s="394"/>
      <c r="JH108" s="394"/>
      <c r="JI108" s="394"/>
      <c r="JJ108" s="394"/>
      <c r="JK108" s="394"/>
      <c r="JL108" s="394"/>
      <c r="JM108" s="394"/>
      <c r="JN108" s="394"/>
      <c r="JO108" s="394"/>
      <c r="JP108" s="394"/>
      <c r="JQ108" s="394"/>
      <c r="JR108" s="394"/>
      <c r="JS108" s="394"/>
      <c r="JT108" s="394"/>
      <c r="JU108" s="394"/>
      <c r="JV108" s="394"/>
      <c r="JW108" s="394"/>
      <c r="JX108" s="394"/>
      <c r="JY108" s="394"/>
      <c r="JZ108" s="394"/>
      <c r="KA108" s="394"/>
      <c r="KB108" s="394"/>
      <c r="KC108" s="394"/>
      <c r="KD108" s="394"/>
      <c r="KE108" s="394"/>
      <c r="KF108" s="394"/>
      <c r="KG108" s="394"/>
      <c r="KH108" s="394"/>
      <c r="KI108" s="394"/>
      <c r="KJ108" s="394"/>
      <c r="KK108" s="394"/>
      <c r="KL108" s="394"/>
      <c r="KM108" s="394"/>
      <c r="KN108" s="394"/>
      <c r="KO108" s="394"/>
      <c r="KP108" s="394"/>
      <c r="KQ108" s="394"/>
      <c r="KR108" s="394"/>
      <c r="KS108" s="394"/>
      <c r="KT108" s="394"/>
      <c r="KU108" s="394"/>
      <c r="KV108" s="394"/>
      <c r="KW108" s="394"/>
      <c r="KX108" s="394"/>
      <c r="KY108" s="394"/>
      <c r="KZ108" s="394"/>
      <c r="LA108" s="394"/>
      <c r="LB108" s="394"/>
      <c r="LC108" s="394"/>
      <c r="LD108" s="394"/>
      <c r="LE108" s="394"/>
      <c r="LF108" s="394"/>
      <c r="LG108" s="394"/>
      <c r="LH108" s="394"/>
      <c r="LI108" s="394"/>
      <c r="LJ108" s="394"/>
      <c r="LK108" s="394"/>
      <c r="LL108" s="394"/>
      <c r="LM108" s="394"/>
      <c r="LN108" s="394"/>
      <c r="LO108" s="394"/>
      <c r="LP108" s="394"/>
      <c r="LQ108" s="394"/>
      <c r="LR108" s="394"/>
      <c r="LS108" s="394"/>
      <c r="LT108" s="394"/>
      <c r="LU108" s="394"/>
      <c r="LV108" s="394"/>
      <c r="LW108" s="394"/>
      <c r="LX108" s="394"/>
      <c r="LY108" s="394"/>
      <c r="LZ108" s="394"/>
      <c r="MA108" s="394"/>
      <c r="MB108" s="394"/>
      <c r="MC108" s="394"/>
      <c r="MD108" s="394"/>
      <c r="ME108" s="394"/>
      <c r="MF108" s="394"/>
      <c r="MG108" s="394"/>
      <c r="MH108" s="394"/>
      <c r="MI108" s="394"/>
      <c r="MJ108" s="394"/>
      <c r="MK108" s="394"/>
      <c r="ML108" s="394"/>
      <c r="MM108" s="394"/>
      <c r="MN108" s="394"/>
      <c r="MO108" s="394"/>
      <c r="MP108" s="394"/>
      <c r="MQ108" s="394"/>
      <c r="MR108" s="394"/>
      <c r="MS108" s="394"/>
      <c r="MT108" s="394"/>
      <c r="MU108" s="394"/>
      <c r="MV108" s="394"/>
      <c r="MW108" s="394"/>
      <c r="MX108" s="394"/>
      <c r="MY108" s="394"/>
      <c r="MZ108" s="394"/>
      <c r="NA108" s="394"/>
      <c r="NB108" s="394"/>
      <c r="NC108" s="394"/>
      <c r="ND108" s="394"/>
      <c r="NE108" s="394"/>
      <c r="NF108" s="394"/>
      <c r="NG108" s="394"/>
      <c r="NH108" s="394"/>
      <c r="NI108" s="394"/>
      <c r="NJ108" s="394"/>
      <c r="NK108" s="394"/>
      <c r="NL108" s="394"/>
      <c r="NM108" s="394"/>
      <c r="NN108" s="394"/>
      <c r="NO108" s="394"/>
      <c r="NP108" s="394"/>
      <c r="NQ108" s="394"/>
      <c r="NR108" s="394"/>
      <c r="NS108" s="394"/>
      <c r="NT108" s="394"/>
      <c r="NU108" s="394"/>
      <c r="NV108" s="394"/>
      <c r="NW108" s="394"/>
      <c r="NX108" s="394"/>
      <c r="NY108" s="394"/>
      <c r="NZ108" s="394"/>
      <c r="OA108" s="394"/>
      <c r="OB108" s="394"/>
      <c r="OC108" s="394"/>
      <c r="OD108" s="394"/>
      <c r="OE108" s="394"/>
      <c r="OF108" s="394"/>
      <c r="OG108" s="394"/>
      <c r="OH108" s="394"/>
      <c r="OI108" s="394"/>
      <c r="OJ108" s="394"/>
      <c r="OK108" s="394"/>
      <c r="OL108" s="394"/>
      <c r="OM108" s="394"/>
      <c r="ON108" s="394"/>
      <c r="OO108" s="394"/>
      <c r="OP108" s="394"/>
      <c r="OQ108" s="394"/>
      <c r="OR108" s="394"/>
      <c r="OS108" s="394"/>
      <c r="OT108" s="394"/>
      <c r="OU108" s="394"/>
      <c r="OV108" s="394"/>
      <c r="OW108" s="394"/>
      <c r="OX108" s="394"/>
      <c r="OY108" s="394"/>
      <c r="OZ108" s="394"/>
      <c r="PA108" s="394"/>
      <c r="PB108" s="394"/>
      <c r="PC108" s="394"/>
      <c r="PD108" s="394"/>
      <c r="PE108" s="394"/>
      <c r="PF108" s="394"/>
      <c r="PG108" s="394"/>
      <c r="PH108" s="394"/>
      <c r="PI108" s="394"/>
      <c r="PJ108" s="394"/>
      <c r="PK108" s="394"/>
      <c r="PL108" s="394"/>
      <c r="PM108" s="394"/>
      <c r="PN108" s="394"/>
      <c r="PO108" s="394"/>
      <c r="PP108" s="394"/>
      <c r="PQ108" s="394"/>
      <c r="PR108" s="394"/>
      <c r="PS108" s="394"/>
      <c r="PT108" s="394"/>
      <c r="PU108" s="394"/>
      <c r="PV108" s="394"/>
      <c r="PW108" s="394"/>
      <c r="PX108" s="394"/>
      <c r="PY108" s="394"/>
      <c r="PZ108" s="394"/>
      <c r="QA108" s="394"/>
      <c r="QB108" s="394"/>
      <c r="QC108" s="394"/>
      <c r="QD108" s="394"/>
      <c r="QE108" s="394"/>
      <c r="QF108" s="394"/>
      <c r="QG108" s="394"/>
      <c r="QH108" s="394"/>
      <c r="QI108" s="394"/>
      <c r="QJ108" s="394"/>
      <c r="QK108" s="394"/>
      <c r="QL108" s="394"/>
      <c r="QM108" s="394"/>
      <c r="QN108" s="394"/>
      <c r="QO108" s="394"/>
      <c r="QP108" s="394"/>
      <c r="QQ108" s="394"/>
      <c r="QR108" s="394"/>
      <c r="QS108" s="394"/>
      <c r="QT108" s="394"/>
      <c r="QU108" s="394"/>
      <c r="QV108" s="394"/>
      <c r="QW108" s="394"/>
      <c r="QX108" s="394"/>
      <c r="QY108" s="394"/>
      <c r="QZ108" s="394"/>
      <c r="RA108" s="394"/>
      <c r="RB108" s="394"/>
      <c r="RC108" s="394"/>
      <c r="RD108" s="394"/>
      <c r="RE108" s="394"/>
      <c r="RF108" s="394"/>
      <c r="RG108" s="394"/>
      <c r="RH108" s="394"/>
      <c r="RI108" s="394"/>
      <c r="RJ108" s="394"/>
      <c r="RK108" s="394"/>
      <c r="RL108" s="394"/>
      <c r="RM108" s="394"/>
      <c r="RN108" s="394"/>
      <c r="RO108" s="394"/>
      <c r="RP108" s="394"/>
      <c r="RQ108" s="394"/>
      <c r="RR108" s="394"/>
      <c r="RS108" s="394"/>
      <c r="RT108" s="394"/>
      <c r="RU108" s="394"/>
      <c r="RV108" s="394"/>
      <c r="RW108" s="394"/>
      <c r="RX108" s="394"/>
      <c r="RY108" s="394"/>
      <c r="RZ108" s="394"/>
      <c r="SA108" s="394"/>
      <c r="SB108" s="394"/>
      <c r="SC108" s="394"/>
      <c r="SD108" s="394"/>
      <c r="SE108" s="394"/>
      <c r="SF108" s="394"/>
      <c r="SG108" s="394"/>
      <c r="SH108" s="394"/>
      <c r="SI108" s="394"/>
      <c r="SJ108" s="394"/>
    </row>
    <row r="109" spans="2:504" s="95" customFormat="1" x14ac:dyDescent="0.25">
      <c r="B109" s="104" t="s">
        <v>449</v>
      </c>
      <c r="C109" s="103"/>
      <c r="D109" s="103"/>
      <c r="E109" s="394"/>
      <c r="F109" s="394"/>
      <c r="G109" s="394"/>
      <c r="H109" s="394"/>
      <c r="I109" s="394"/>
      <c r="J109" s="394"/>
      <c r="K109" s="394"/>
      <c r="L109" s="394"/>
      <c r="M109" s="394"/>
      <c r="N109" s="394"/>
      <c r="O109" s="394"/>
      <c r="P109" s="394"/>
      <c r="Q109" s="394"/>
      <c r="R109" s="394"/>
      <c r="S109" s="394"/>
      <c r="T109" s="394"/>
      <c r="U109" s="394"/>
      <c r="V109" s="394"/>
      <c r="W109" s="394"/>
      <c r="X109" s="394"/>
      <c r="Y109" s="394"/>
      <c r="Z109" s="394"/>
      <c r="AA109" s="394"/>
      <c r="AB109" s="394"/>
      <c r="AC109" s="394"/>
      <c r="AD109" s="394"/>
      <c r="AE109" s="394"/>
      <c r="AF109" s="394"/>
      <c r="AG109" s="394"/>
      <c r="AH109" s="394"/>
      <c r="AI109" s="394"/>
      <c r="AJ109" s="394"/>
      <c r="AK109" s="394"/>
      <c r="AL109" s="394"/>
      <c r="AM109" s="394"/>
      <c r="AN109" s="394"/>
      <c r="AO109" s="394"/>
      <c r="AP109" s="394"/>
      <c r="AQ109" s="394"/>
      <c r="AR109" s="394"/>
      <c r="AS109" s="394"/>
      <c r="AT109" s="394"/>
      <c r="AU109" s="394"/>
      <c r="AV109" s="394"/>
      <c r="AW109" s="394"/>
      <c r="AX109" s="394"/>
      <c r="AY109" s="394"/>
      <c r="AZ109" s="394"/>
      <c r="BA109" s="394"/>
      <c r="BB109" s="394"/>
      <c r="BC109" s="394"/>
      <c r="BD109" s="394"/>
      <c r="BE109" s="394"/>
      <c r="BF109" s="394"/>
      <c r="BG109" s="394"/>
      <c r="BH109" s="394"/>
      <c r="BI109" s="394"/>
      <c r="BJ109" s="394"/>
      <c r="BK109" s="394"/>
      <c r="BL109" s="394"/>
      <c r="BM109" s="394"/>
      <c r="BN109" s="394"/>
      <c r="BO109" s="394"/>
      <c r="BP109" s="394"/>
      <c r="BQ109" s="394"/>
      <c r="BR109" s="394"/>
      <c r="BS109" s="394"/>
      <c r="BT109" s="394"/>
      <c r="BU109" s="394"/>
      <c r="BV109" s="394"/>
      <c r="BW109" s="394"/>
      <c r="BX109" s="394"/>
      <c r="BY109" s="394"/>
      <c r="BZ109" s="394"/>
      <c r="CA109" s="394"/>
      <c r="CB109" s="394"/>
      <c r="CC109" s="394"/>
      <c r="CD109" s="394"/>
      <c r="CE109" s="394"/>
      <c r="CF109" s="394"/>
      <c r="CG109" s="394"/>
      <c r="CH109" s="394"/>
      <c r="CI109" s="394"/>
      <c r="CJ109" s="394"/>
      <c r="CK109" s="394"/>
      <c r="CL109" s="394"/>
      <c r="CM109" s="394"/>
      <c r="CN109" s="394"/>
      <c r="CO109" s="394"/>
      <c r="CP109" s="394"/>
      <c r="CQ109" s="394"/>
      <c r="CR109" s="394"/>
      <c r="CS109" s="394"/>
      <c r="CT109" s="394"/>
      <c r="CU109" s="394"/>
      <c r="CV109" s="394"/>
      <c r="CW109" s="394"/>
      <c r="CX109" s="394"/>
      <c r="CY109" s="394"/>
      <c r="CZ109" s="394"/>
      <c r="DA109" s="394"/>
      <c r="DB109" s="394"/>
      <c r="DC109" s="394"/>
      <c r="DD109" s="394"/>
      <c r="DE109" s="394"/>
      <c r="DF109" s="394"/>
      <c r="DG109" s="394"/>
      <c r="DH109" s="394"/>
      <c r="DI109" s="394"/>
      <c r="DJ109" s="394"/>
      <c r="DK109" s="394"/>
      <c r="DL109" s="394"/>
      <c r="DM109" s="394"/>
      <c r="DN109" s="394"/>
      <c r="DO109" s="394"/>
      <c r="DP109" s="394"/>
      <c r="DQ109" s="394"/>
      <c r="DR109" s="394"/>
      <c r="DS109" s="394"/>
      <c r="DT109" s="394"/>
      <c r="DU109" s="394"/>
      <c r="DV109" s="394"/>
      <c r="DW109" s="394"/>
      <c r="DX109" s="394"/>
      <c r="DY109" s="394"/>
      <c r="DZ109" s="394"/>
      <c r="EA109" s="394"/>
      <c r="EB109" s="394"/>
      <c r="EC109" s="394"/>
      <c r="ED109" s="394"/>
      <c r="EE109" s="394"/>
      <c r="EF109" s="394"/>
      <c r="EG109" s="394"/>
      <c r="EH109" s="394"/>
      <c r="EI109" s="394"/>
      <c r="EJ109" s="394"/>
      <c r="EK109" s="394"/>
      <c r="EL109" s="394"/>
      <c r="EM109" s="394"/>
      <c r="EN109" s="394"/>
      <c r="EO109" s="394"/>
      <c r="EP109" s="394"/>
      <c r="EQ109" s="394"/>
      <c r="ER109" s="394"/>
      <c r="ES109" s="394"/>
      <c r="ET109" s="394"/>
      <c r="EU109" s="394"/>
      <c r="EV109" s="394"/>
      <c r="EW109" s="394"/>
      <c r="EX109" s="394"/>
      <c r="EY109" s="394"/>
      <c r="EZ109" s="394"/>
      <c r="FA109" s="394"/>
      <c r="FB109" s="394"/>
      <c r="FC109" s="394"/>
      <c r="FD109" s="394"/>
      <c r="FE109" s="394"/>
      <c r="FF109" s="394"/>
      <c r="FG109" s="394"/>
      <c r="FH109" s="394"/>
      <c r="FI109" s="394"/>
      <c r="FJ109" s="394"/>
      <c r="FK109" s="394"/>
      <c r="FL109" s="394"/>
      <c r="FM109" s="394"/>
      <c r="FN109" s="394"/>
      <c r="FO109" s="394"/>
      <c r="FP109" s="394"/>
      <c r="FQ109" s="394"/>
      <c r="FR109" s="394"/>
      <c r="FS109" s="394"/>
      <c r="FT109" s="394"/>
      <c r="FU109" s="394"/>
      <c r="FV109" s="394"/>
      <c r="FW109" s="394"/>
      <c r="FX109" s="394"/>
      <c r="FY109" s="394"/>
      <c r="FZ109" s="394"/>
      <c r="GA109" s="394"/>
      <c r="GB109" s="394"/>
      <c r="GC109" s="394"/>
      <c r="GD109" s="394"/>
      <c r="GE109" s="394"/>
      <c r="GF109" s="394"/>
      <c r="GG109" s="394"/>
      <c r="GH109" s="394"/>
      <c r="GI109" s="394"/>
      <c r="GJ109" s="394"/>
      <c r="GK109" s="394"/>
      <c r="GL109" s="394"/>
      <c r="GM109" s="394"/>
      <c r="GN109" s="394"/>
      <c r="GO109" s="394"/>
      <c r="GP109" s="394"/>
      <c r="GQ109" s="394"/>
      <c r="GR109" s="394"/>
      <c r="GS109" s="394"/>
      <c r="GT109" s="394"/>
      <c r="GU109" s="394"/>
      <c r="GV109" s="394"/>
      <c r="GW109" s="394"/>
      <c r="GX109" s="394"/>
      <c r="GY109" s="394"/>
      <c r="GZ109" s="394"/>
      <c r="HA109" s="394"/>
      <c r="HB109" s="394"/>
      <c r="HC109" s="394"/>
      <c r="HD109" s="394"/>
      <c r="HE109" s="394"/>
      <c r="HF109" s="394"/>
      <c r="HG109" s="394"/>
      <c r="HH109" s="394"/>
      <c r="HI109" s="394"/>
      <c r="HJ109" s="394"/>
      <c r="HK109" s="394"/>
      <c r="HL109" s="394"/>
      <c r="HM109" s="394"/>
      <c r="HN109" s="394"/>
      <c r="HO109" s="394"/>
      <c r="HP109" s="394"/>
      <c r="HQ109" s="394"/>
      <c r="HR109" s="394"/>
      <c r="HS109" s="394"/>
      <c r="HT109" s="394"/>
      <c r="HU109" s="394"/>
      <c r="HV109" s="394"/>
      <c r="HW109" s="394"/>
      <c r="HX109" s="394"/>
      <c r="HY109" s="394"/>
      <c r="HZ109" s="394"/>
      <c r="IA109" s="394"/>
      <c r="IB109" s="394"/>
      <c r="IC109" s="394"/>
      <c r="ID109" s="394"/>
      <c r="IE109" s="394"/>
      <c r="IF109" s="394"/>
      <c r="IG109" s="394"/>
      <c r="IH109" s="394"/>
      <c r="II109" s="394"/>
      <c r="IJ109" s="394"/>
      <c r="IK109" s="394"/>
      <c r="IL109" s="394"/>
      <c r="IM109" s="394"/>
      <c r="IN109" s="394"/>
      <c r="IO109" s="394"/>
      <c r="IP109" s="394"/>
      <c r="IQ109" s="394"/>
      <c r="IR109" s="394"/>
      <c r="IS109" s="394"/>
      <c r="IT109" s="394"/>
      <c r="IU109" s="394"/>
      <c r="IV109" s="394"/>
      <c r="IW109" s="394"/>
      <c r="IX109" s="394"/>
      <c r="IY109" s="394"/>
      <c r="IZ109" s="394"/>
      <c r="JA109" s="394"/>
      <c r="JB109" s="394"/>
      <c r="JC109" s="394"/>
      <c r="JD109" s="394"/>
      <c r="JE109" s="394"/>
      <c r="JF109" s="394"/>
      <c r="JG109" s="394"/>
      <c r="JH109" s="394"/>
      <c r="JI109" s="394"/>
      <c r="JJ109" s="394"/>
      <c r="JK109" s="394"/>
      <c r="JL109" s="394"/>
      <c r="JM109" s="394"/>
      <c r="JN109" s="394"/>
      <c r="JO109" s="394"/>
      <c r="JP109" s="394"/>
      <c r="JQ109" s="394"/>
      <c r="JR109" s="394"/>
      <c r="JS109" s="394"/>
      <c r="JT109" s="394"/>
      <c r="JU109" s="394"/>
      <c r="JV109" s="394"/>
      <c r="JW109" s="394"/>
      <c r="JX109" s="394"/>
      <c r="JY109" s="394"/>
      <c r="JZ109" s="394"/>
      <c r="KA109" s="394"/>
      <c r="KB109" s="394"/>
      <c r="KC109" s="394"/>
      <c r="KD109" s="394"/>
      <c r="KE109" s="394"/>
      <c r="KF109" s="394"/>
      <c r="KG109" s="394"/>
      <c r="KH109" s="394"/>
      <c r="KI109" s="394"/>
      <c r="KJ109" s="394"/>
      <c r="KK109" s="394"/>
      <c r="KL109" s="394"/>
      <c r="KM109" s="394"/>
      <c r="KN109" s="394"/>
      <c r="KO109" s="394"/>
      <c r="KP109" s="394"/>
      <c r="KQ109" s="394"/>
      <c r="KR109" s="394"/>
      <c r="KS109" s="394"/>
      <c r="KT109" s="394"/>
      <c r="KU109" s="394"/>
      <c r="KV109" s="394"/>
      <c r="KW109" s="394"/>
      <c r="KX109" s="394"/>
      <c r="KY109" s="394"/>
      <c r="KZ109" s="394"/>
      <c r="LA109" s="394"/>
      <c r="LB109" s="394"/>
      <c r="LC109" s="394"/>
      <c r="LD109" s="394"/>
      <c r="LE109" s="394"/>
      <c r="LF109" s="394"/>
      <c r="LG109" s="394"/>
      <c r="LH109" s="394"/>
      <c r="LI109" s="394"/>
      <c r="LJ109" s="394"/>
      <c r="LK109" s="394"/>
      <c r="LL109" s="394"/>
      <c r="LM109" s="394"/>
      <c r="LN109" s="394"/>
      <c r="LO109" s="394"/>
      <c r="LP109" s="394"/>
      <c r="LQ109" s="394"/>
      <c r="LR109" s="394"/>
      <c r="LS109" s="394"/>
      <c r="LT109" s="394"/>
      <c r="LU109" s="394"/>
      <c r="LV109" s="394"/>
      <c r="LW109" s="394"/>
      <c r="LX109" s="394"/>
      <c r="LY109" s="394"/>
      <c r="LZ109" s="394"/>
      <c r="MA109" s="394"/>
      <c r="MB109" s="394"/>
      <c r="MC109" s="394"/>
      <c r="MD109" s="394"/>
      <c r="ME109" s="394"/>
      <c r="MF109" s="394"/>
      <c r="MG109" s="394"/>
      <c r="MH109" s="394"/>
      <c r="MI109" s="394"/>
      <c r="MJ109" s="394"/>
      <c r="MK109" s="394"/>
      <c r="ML109" s="394"/>
      <c r="MM109" s="394"/>
      <c r="MN109" s="394"/>
      <c r="MO109" s="394"/>
      <c r="MP109" s="394"/>
      <c r="MQ109" s="394"/>
      <c r="MR109" s="394"/>
      <c r="MS109" s="394"/>
      <c r="MT109" s="394"/>
      <c r="MU109" s="394"/>
      <c r="MV109" s="394"/>
      <c r="MW109" s="394"/>
      <c r="MX109" s="394"/>
      <c r="MY109" s="394"/>
      <c r="MZ109" s="394"/>
      <c r="NA109" s="394"/>
      <c r="NB109" s="394"/>
      <c r="NC109" s="394"/>
      <c r="ND109" s="394"/>
      <c r="NE109" s="394"/>
      <c r="NF109" s="394"/>
      <c r="NG109" s="394"/>
      <c r="NH109" s="394"/>
      <c r="NI109" s="394"/>
      <c r="NJ109" s="394"/>
      <c r="NK109" s="394"/>
      <c r="NL109" s="394"/>
      <c r="NM109" s="394"/>
      <c r="NN109" s="394"/>
      <c r="NO109" s="394"/>
      <c r="NP109" s="394"/>
      <c r="NQ109" s="394"/>
      <c r="NR109" s="394"/>
      <c r="NS109" s="394"/>
      <c r="NT109" s="394"/>
      <c r="NU109" s="394"/>
      <c r="NV109" s="394"/>
      <c r="NW109" s="394"/>
      <c r="NX109" s="394"/>
      <c r="NY109" s="394"/>
      <c r="NZ109" s="394"/>
      <c r="OA109" s="394"/>
      <c r="OB109" s="394"/>
      <c r="OC109" s="394"/>
      <c r="OD109" s="394"/>
      <c r="OE109" s="394"/>
      <c r="OF109" s="394"/>
      <c r="OG109" s="394"/>
      <c r="OH109" s="394"/>
      <c r="OI109" s="394"/>
      <c r="OJ109" s="394"/>
      <c r="OK109" s="394"/>
      <c r="OL109" s="394"/>
      <c r="OM109" s="394"/>
      <c r="ON109" s="394"/>
      <c r="OO109" s="394"/>
      <c r="OP109" s="394"/>
      <c r="OQ109" s="394"/>
      <c r="OR109" s="394"/>
      <c r="OS109" s="394"/>
      <c r="OT109" s="394"/>
      <c r="OU109" s="394"/>
      <c r="OV109" s="394"/>
      <c r="OW109" s="394"/>
      <c r="OX109" s="394"/>
      <c r="OY109" s="394"/>
      <c r="OZ109" s="394"/>
      <c r="PA109" s="394"/>
      <c r="PB109" s="394"/>
      <c r="PC109" s="394"/>
      <c r="PD109" s="394"/>
      <c r="PE109" s="394"/>
      <c r="PF109" s="394"/>
      <c r="PG109" s="394"/>
      <c r="PH109" s="394"/>
      <c r="PI109" s="394"/>
      <c r="PJ109" s="394"/>
      <c r="PK109" s="394"/>
      <c r="PL109" s="394"/>
      <c r="PM109" s="394"/>
      <c r="PN109" s="394"/>
      <c r="PO109" s="394"/>
      <c r="PP109" s="394"/>
      <c r="PQ109" s="394"/>
      <c r="PR109" s="394"/>
      <c r="PS109" s="394"/>
      <c r="PT109" s="394"/>
      <c r="PU109" s="394"/>
      <c r="PV109" s="394"/>
      <c r="PW109" s="394"/>
      <c r="PX109" s="394"/>
      <c r="PY109" s="394"/>
      <c r="PZ109" s="394"/>
      <c r="QA109" s="394"/>
      <c r="QB109" s="394"/>
      <c r="QC109" s="394"/>
      <c r="QD109" s="394"/>
      <c r="QE109" s="394"/>
      <c r="QF109" s="394"/>
      <c r="QG109" s="394"/>
      <c r="QH109" s="394"/>
      <c r="QI109" s="394"/>
      <c r="QJ109" s="394"/>
      <c r="QK109" s="394"/>
      <c r="QL109" s="394"/>
      <c r="QM109" s="394"/>
      <c r="QN109" s="394"/>
      <c r="QO109" s="394"/>
      <c r="QP109" s="394"/>
      <c r="QQ109" s="394"/>
      <c r="QR109" s="394"/>
      <c r="QS109" s="394"/>
      <c r="QT109" s="394"/>
      <c r="QU109" s="394"/>
      <c r="QV109" s="394"/>
      <c r="QW109" s="394"/>
      <c r="QX109" s="394"/>
      <c r="QY109" s="394"/>
      <c r="QZ109" s="394"/>
      <c r="RA109" s="394"/>
      <c r="RB109" s="394"/>
      <c r="RC109" s="394"/>
      <c r="RD109" s="394"/>
      <c r="RE109" s="394"/>
      <c r="RF109" s="394"/>
      <c r="RG109" s="394"/>
      <c r="RH109" s="394"/>
      <c r="RI109" s="394"/>
      <c r="RJ109" s="394"/>
      <c r="RK109" s="394"/>
      <c r="RL109" s="394"/>
      <c r="RM109" s="394"/>
      <c r="RN109" s="394"/>
      <c r="RO109" s="394"/>
      <c r="RP109" s="394"/>
      <c r="RQ109" s="394"/>
      <c r="RR109" s="394"/>
      <c r="RS109" s="394"/>
      <c r="RT109" s="394"/>
      <c r="RU109" s="394"/>
      <c r="RV109" s="394"/>
      <c r="RW109" s="394"/>
      <c r="RX109" s="394"/>
      <c r="RY109" s="394"/>
      <c r="RZ109" s="394"/>
      <c r="SA109" s="394"/>
      <c r="SB109" s="394"/>
      <c r="SC109" s="394"/>
      <c r="SD109" s="394"/>
      <c r="SE109" s="394"/>
      <c r="SF109" s="394"/>
      <c r="SG109" s="394"/>
      <c r="SH109" s="394"/>
      <c r="SI109" s="394"/>
      <c r="SJ109" s="394"/>
    </row>
    <row r="110" spans="2:504" s="95" customFormat="1" x14ac:dyDescent="0.25">
      <c r="B110" s="117" t="s">
        <v>271</v>
      </c>
      <c r="C110" s="118" t="s">
        <v>450</v>
      </c>
      <c r="D110" s="119" t="s">
        <v>446</v>
      </c>
      <c r="E110" s="394"/>
      <c r="F110" s="394"/>
      <c r="G110" s="394"/>
      <c r="H110" s="394"/>
      <c r="I110" s="394"/>
      <c r="J110" s="394"/>
      <c r="K110" s="394"/>
      <c r="L110" s="394"/>
      <c r="M110" s="394"/>
      <c r="N110" s="394"/>
      <c r="O110" s="394"/>
      <c r="P110" s="394"/>
      <c r="Q110" s="394"/>
      <c r="R110" s="394"/>
      <c r="S110" s="394"/>
      <c r="T110" s="394"/>
      <c r="U110" s="394"/>
      <c r="V110" s="394"/>
      <c r="W110" s="394"/>
      <c r="X110" s="394"/>
      <c r="Y110" s="394"/>
      <c r="Z110" s="394"/>
      <c r="AA110" s="394"/>
      <c r="AB110" s="394"/>
      <c r="AC110" s="394"/>
      <c r="AD110" s="394"/>
      <c r="AE110" s="394"/>
      <c r="AF110" s="394"/>
      <c r="AG110" s="394"/>
      <c r="AH110" s="394"/>
      <c r="AI110" s="394"/>
      <c r="AJ110" s="394"/>
      <c r="AK110" s="394"/>
      <c r="AL110" s="394"/>
      <c r="AM110" s="394"/>
      <c r="AN110" s="394"/>
      <c r="AO110" s="394"/>
      <c r="AP110" s="394"/>
      <c r="AQ110" s="394"/>
      <c r="AR110" s="394"/>
      <c r="AS110" s="394"/>
      <c r="AT110" s="394"/>
      <c r="AU110" s="394"/>
      <c r="AV110" s="394"/>
      <c r="AW110" s="394"/>
      <c r="AX110" s="394"/>
      <c r="AY110" s="394"/>
      <c r="AZ110" s="394"/>
      <c r="BA110" s="394"/>
      <c r="BB110" s="394"/>
      <c r="BC110" s="394"/>
      <c r="BD110" s="394"/>
      <c r="BE110" s="394"/>
      <c r="BF110" s="394"/>
      <c r="BG110" s="394"/>
      <c r="BH110" s="394"/>
      <c r="BI110" s="394"/>
      <c r="BJ110" s="394"/>
      <c r="BK110" s="394"/>
      <c r="BL110" s="394"/>
      <c r="BM110" s="394"/>
      <c r="BN110" s="394"/>
      <c r="BO110" s="394"/>
      <c r="BP110" s="394"/>
      <c r="BQ110" s="394"/>
      <c r="BR110" s="394"/>
      <c r="BS110" s="394"/>
      <c r="BT110" s="394"/>
      <c r="BU110" s="394"/>
      <c r="BV110" s="394"/>
      <c r="BW110" s="394"/>
      <c r="BX110" s="394"/>
      <c r="BY110" s="394"/>
      <c r="BZ110" s="394"/>
      <c r="CA110" s="394"/>
      <c r="CB110" s="394"/>
      <c r="CC110" s="394"/>
      <c r="CD110" s="394"/>
      <c r="CE110" s="394"/>
      <c r="CF110" s="394"/>
      <c r="CG110" s="394"/>
      <c r="CH110" s="394"/>
      <c r="CI110" s="394"/>
      <c r="CJ110" s="394"/>
      <c r="CK110" s="394"/>
      <c r="CL110" s="394"/>
      <c r="CM110" s="394"/>
      <c r="CN110" s="394"/>
      <c r="CO110" s="394"/>
      <c r="CP110" s="394"/>
      <c r="CQ110" s="394"/>
      <c r="CR110" s="394"/>
      <c r="CS110" s="394"/>
      <c r="CT110" s="394"/>
      <c r="CU110" s="394"/>
      <c r="CV110" s="394"/>
      <c r="CW110" s="394"/>
      <c r="CX110" s="394"/>
      <c r="CY110" s="394"/>
      <c r="CZ110" s="394"/>
      <c r="DA110" s="394"/>
      <c r="DB110" s="394"/>
      <c r="DC110" s="394"/>
      <c r="DD110" s="394"/>
      <c r="DE110" s="394"/>
      <c r="DF110" s="394"/>
      <c r="DG110" s="394"/>
      <c r="DH110" s="394"/>
      <c r="DI110" s="394"/>
      <c r="DJ110" s="394"/>
      <c r="DK110" s="394"/>
      <c r="DL110" s="394"/>
      <c r="DM110" s="394"/>
      <c r="DN110" s="394"/>
      <c r="DO110" s="394"/>
      <c r="DP110" s="394"/>
      <c r="DQ110" s="394"/>
      <c r="DR110" s="394"/>
      <c r="DS110" s="394"/>
      <c r="DT110" s="394"/>
      <c r="DU110" s="394"/>
      <c r="DV110" s="394"/>
      <c r="DW110" s="394"/>
      <c r="DX110" s="394"/>
      <c r="DY110" s="394"/>
      <c r="DZ110" s="394"/>
      <c r="EA110" s="394"/>
      <c r="EB110" s="394"/>
      <c r="EC110" s="394"/>
      <c r="ED110" s="394"/>
      <c r="EE110" s="394"/>
      <c r="EF110" s="394"/>
      <c r="EG110" s="394"/>
      <c r="EH110" s="394"/>
      <c r="EI110" s="394"/>
      <c r="EJ110" s="394"/>
      <c r="EK110" s="394"/>
      <c r="EL110" s="394"/>
      <c r="EM110" s="394"/>
      <c r="EN110" s="394"/>
      <c r="EO110" s="394"/>
      <c r="EP110" s="394"/>
      <c r="EQ110" s="394"/>
      <c r="ER110" s="394"/>
      <c r="ES110" s="394"/>
      <c r="ET110" s="394"/>
      <c r="EU110" s="394"/>
      <c r="EV110" s="394"/>
      <c r="EW110" s="394"/>
      <c r="EX110" s="394"/>
      <c r="EY110" s="394"/>
      <c r="EZ110" s="394"/>
      <c r="FA110" s="394"/>
      <c r="FB110" s="394"/>
      <c r="FC110" s="394"/>
      <c r="FD110" s="394"/>
      <c r="FE110" s="394"/>
      <c r="FF110" s="394"/>
      <c r="FG110" s="394"/>
      <c r="FH110" s="394"/>
      <c r="FI110" s="394"/>
      <c r="FJ110" s="394"/>
      <c r="FK110" s="394"/>
      <c r="FL110" s="394"/>
      <c r="FM110" s="394"/>
      <c r="FN110" s="394"/>
      <c r="FO110" s="394"/>
      <c r="FP110" s="394"/>
      <c r="FQ110" s="394"/>
      <c r="FR110" s="394"/>
      <c r="FS110" s="394"/>
      <c r="FT110" s="394"/>
      <c r="FU110" s="394"/>
      <c r="FV110" s="394"/>
      <c r="FW110" s="394"/>
      <c r="FX110" s="394"/>
      <c r="FY110" s="394"/>
      <c r="FZ110" s="394"/>
      <c r="GA110" s="394"/>
      <c r="GB110" s="394"/>
      <c r="GC110" s="394"/>
      <c r="GD110" s="394"/>
      <c r="GE110" s="394"/>
      <c r="GF110" s="394"/>
      <c r="GG110" s="394"/>
      <c r="GH110" s="394"/>
      <c r="GI110" s="394"/>
      <c r="GJ110" s="394"/>
      <c r="GK110" s="394"/>
      <c r="GL110" s="394"/>
      <c r="GM110" s="394"/>
      <c r="GN110" s="394"/>
      <c r="GO110" s="394"/>
      <c r="GP110" s="394"/>
      <c r="GQ110" s="394"/>
      <c r="GR110" s="394"/>
      <c r="GS110" s="394"/>
      <c r="GT110" s="394"/>
      <c r="GU110" s="394"/>
      <c r="GV110" s="394"/>
      <c r="GW110" s="394"/>
      <c r="GX110" s="394"/>
      <c r="GY110" s="394"/>
      <c r="GZ110" s="394"/>
      <c r="HA110" s="394"/>
      <c r="HB110" s="394"/>
      <c r="HC110" s="394"/>
      <c r="HD110" s="394"/>
      <c r="HE110" s="394"/>
      <c r="HF110" s="394"/>
      <c r="HG110" s="394"/>
      <c r="HH110" s="394"/>
      <c r="HI110" s="394"/>
      <c r="HJ110" s="394"/>
      <c r="HK110" s="394"/>
      <c r="HL110" s="394"/>
      <c r="HM110" s="394"/>
      <c r="HN110" s="394"/>
      <c r="HO110" s="394"/>
      <c r="HP110" s="394"/>
      <c r="HQ110" s="394"/>
      <c r="HR110" s="394"/>
      <c r="HS110" s="394"/>
      <c r="HT110" s="394"/>
      <c r="HU110" s="394"/>
      <c r="HV110" s="394"/>
      <c r="HW110" s="394"/>
      <c r="HX110" s="394"/>
      <c r="HY110" s="394"/>
      <c r="HZ110" s="394"/>
      <c r="IA110" s="394"/>
      <c r="IB110" s="394"/>
      <c r="IC110" s="394"/>
      <c r="ID110" s="394"/>
      <c r="IE110" s="394"/>
      <c r="IF110" s="394"/>
      <c r="IG110" s="394"/>
      <c r="IH110" s="394"/>
      <c r="II110" s="394"/>
      <c r="IJ110" s="394"/>
      <c r="IK110" s="394"/>
      <c r="IL110" s="394"/>
      <c r="IM110" s="394"/>
      <c r="IN110" s="394"/>
      <c r="IO110" s="394"/>
      <c r="IP110" s="394"/>
      <c r="IQ110" s="394"/>
      <c r="IR110" s="394"/>
      <c r="IS110" s="394"/>
      <c r="IT110" s="394"/>
      <c r="IU110" s="394"/>
      <c r="IV110" s="394"/>
      <c r="IW110" s="394"/>
      <c r="IX110" s="394"/>
      <c r="IY110" s="394"/>
      <c r="IZ110" s="394"/>
      <c r="JA110" s="394"/>
      <c r="JB110" s="394"/>
      <c r="JC110" s="394"/>
      <c r="JD110" s="394"/>
      <c r="JE110" s="394"/>
      <c r="JF110" s="394"/>
      <c r="JG110" s="394"/>
      <c r="JH110" s="394"/>
      <c r="JI110" s="394"/>
      <c r="JJ110" s="394"/>
      <c r="JK110" s="394"/>
      <c r="JL110" s="394"/>
      <c r="JM110" s="394"/>
      <c r="JN110" s="394"/>
      <c r="JO110" s="394"/>
      <c r="JP110" s="394"/>
      <c r="JQ110" s="394"/>
      <c r="JR110" s="394"/>
      <c r="JS110" s="394"/>
      <c r="JT110" s="394"/>
      <c r="JU110" s="394"/>
      <c r="JV110" s="394"/>
      <c r="JW110" s="394"/>
      <c r="JX110" s="394"/>
      <c r="JY110" s="394"/>
      <c r="JZ110" s="394"/>
      <c r="KA110" s="394"/>
      <c r="KB110" s="394"/>
      <c r="KC110" s="394"/>
      <c r="KD110" s="394"/>
      <c r="KE110" s="394"/>
      <c r="KF110" s="394"/>
      <c r="KG110" s="394"/>
      <c r="KH110" s="394"/>
      <c r="KI110" s="394"/>
      <c r="KJ110" s="394"/>
      <c r="KK110" s="394"/>
      <c r="KL110" s="394"/>
      <c r="KM110" s="394"/>
      <c r="KN110" s="394"/>
      <c r="KO110" s="394"/>
      <c r="KP110" s="394"/>
      <c r="KQ110" s="394"/>
      <c r="KR110" s="394"/>
      <c r="KS110" s="394"/>
      <c r="KT110" s="394"/>
      <c r="KU110" s="394"/>
      <c r="KV110" s="394"/>
      <c r="KW110" s="394"/>
      <c r="KX110" s="394"/>
      <c r="KY110" s="394"/>
      <c r="KZ110" s="394"/>
      <c r="LA110" s="394"/>
      <c r="LB110" s="394"/>
      <c r="LC110" s="394"/>
      <c r="LD110" s="394"/>
      <c r="LE110" s="394"/>
      <c r="LF110" s="394"/>
      <c r="LG110" s="394"/>
      <c r="LH110" s="394"/>
      <c r="LI110" s="394"/>
      <c r="LJ110" s="394"/>
      <c r="LK110" s="394"/>
      <c r="LL110" s="394"/>
      <c r="LM110" s="394"/>
      <c r="LN110" s="394"/>
      <c r="LO110" s="394"/>
      <c r="LP110" s="394"/>
      <c r="LQ110" s="394"/>
      <c r="LR110" s="394"/>
      <c r="LS110" s="394"/>
      <c r="LT110" s="394"/>
      <c r="LU110" s="394"/>
      <c r="LV110" s="394"/>
      <c r="LW110" s="394"/>
      <c r="LX110" s="394"/>
      <c r="LY110" s="394"/>
      <c r="LZ110" s="394"/>
      <c r="MA110" s="394"/>
      <c r="MB110" s="394"/>
      <c r="MC110" s="394"/>
      <c r="MD110" s="394"/>
      <c r="ME110" s="394"/>
      <c r="MF110" s="394"/>
      <c r="MG110" s="394"/>
      <c r="MH110" s="394"/>
      <c r="MI110" s="394"/>
      <c r="MJ110" s="394"/>
      <c r="MK110" s="394"/>
      <c r="ML110" s="394"/>
      <c r="MM110" s="394"/>
      <c r="MN110" s="394"/>
      <c r="MO110" s="394"/>
      <c r="MP110" s="394"/>
      <c r="MQ110" s="394"/>
      <c r="MR110" s="394"/>
      <c r="MS110" s="394"/>
      <c r="MT110" s="394"/>
      <c r="MU110" s="394"/>
      <c r="MV110" s="394"/>
      <c r="MW110" s="394"/>
      <c r="MX110" s="394"/>
      <c r="MY110" s="394"/>
      <c r="MZ110" s="394"/>
      <c r="NA110" s="394"/>
      <c r="NB110" s="394"/>
      <c r="NC110" s="394"/>
      <c r="ND110" s="394"/>
      <c r="NE110" s="394"/>
      <c r="NF110" s="394"/>
      <c r="NG110" s="394"/>
      <c r="NH110" s="394"/>
      <c r="NI110" s="394"/>
      <c r="NJ110" s="394"/>
      <c r="NK110" s="394"/>
      <c r="NL110" s="394"/>
      <c r="NM110" s="394"/>
      <c r="NN110" s="394"/>
      <c r="NO110" s="394"/>
      <c r="NP110" s="394"/>
      <c r="NQ110" s="394"/>
      <c r="NR110" s="394"/>
      <c r="NS110" s="394"/>
      <c r="NT110" s="394"/>
      <c r="NU110" s="394"/>
      <c r="NV110" s="394"/>
      <c r="NW110" s="394"/>
      <c r="NX110" s="394"/>
      <c r="NY110" s="394"/>
      <c r="NZ110" s="394"/>
      <c r="OA110" s="394"/>
      <c r="OB110" s="394"/>
      <c r="OC110" s="394"/>
      <c r="OD110" s="394"/>
      <c r="OE110" s="394"/>
      <c r="OF110" s="394"/>
      <c r="OG110" s="394"/>
      <c r="OH110" s="394"/>
      <c r="OI110" s="394"/>
      <c r="OJ110" s="394"/>
      <c r="OK110" s="394"/>
      <c r="OL110" s="394"/>
      <c r="OM110" s="394"/>
      <c r="ON110" s="394"/>
      <c r="OO110" s="394"/>
      <c r="OP110" s="394"/>
      <c r="OQ110" s="394"/>
      <c r="OR110" s="394"/>
      <c r="OS110" s="394"/>
      <c r="OT110" s="394"/>
      <c r="OU110" s="394"/>
      <c r="OV110" s="394"/>
      <c r="OW110" s="394"/>
      <c r="OX110" s="394"/>
      <c r="OY110" s="394"/>
      <c r="OZ110" s="394"/>
      <c r="PA110" s="394"/>
      <c r="PB110" s="394"/>
      <c r="PC110" s="394"/>
      <c r="PD110" s="394"/>
      <c r="PE110" s="394"/>
      <c r="PF110" s="394"/>
      <c r="PG110" s="394"/>
      <c r="PH110" s="394"/>
      <c r="PI110" s="394"/>
      <c r="PJ110" s="394"/>
      <c r="PK110" s="394"/>
      <c r="PL110" s="394"/>
      <c r="PM110" s="394"/>
      <c r="PN110" s="394"/>
      <c r="PO110" s="394"/>
      <c r="PP110" s="394"/>
      <c r="PQ110" s="394"/>
      <c r="PR110" s="394"/>
      <c r="PS110" s="394"/>
      <c r="PT110" s="394"/>
      <c r="PU110" s="394"/>
      <c r="PV110" s="394"/>
      <c r="PW110" s="394"/>
      <c r="PX110" s="394"/>
      <c r="PY110" s="394"/>
      <c r="PZ110" s="394"/>
      <c r="QA110" s="394"/>
      <c r="QB110" s="394"/>
      <c r="QC110" s="394"/>
      <c r="QD110" s="394"/>
      <c r="QE110" s="394"/>
      <c r="QF110" s="394"/>
      <c r="QG110" s="394"/>
      <c r="QH110" s="394"/>
      <c r="QI110" s="394"/>
      <c r="QJ110" s="394"/>
      <c r="QK110" s="394"/>
      <c r="QL110" s="394"/>
      <c r="QM110" s="394"/>
      <c r="QN110" s="394"/>
      <c r="QO110" s="394"/>
      <c r="QP110" s="394"/>
      <c r="QQ110" s="394"/>
      <c r="QR110" s="394"/>
      <c r="QS110" s="394"/>
      <c r="QT110" s="394"/>
      <c r="QU110" s="394"/>
      <c r="QV110" s="394"/>
      <c r="QW110" s="394"/>
      <c r="QX110" s="394"/>
      <c r="QY110" s="394"/>
      <c r="QZ110" s="394"/>
      <c r="RA110" s="394"/>
      <c r="RB110" s="394"/>
      <c r="RC110" s="394"/>
      <c r="RD110" s="394"/>
      <c r="RE110" s="394"/>
      <c r="RF110" s="394"/>
      <c r="RG110" s="394"/>
      <c r="RH110" s="394"/>
      <c r="RI110" s="394"/>
      <c r="RJ110" s="394"/>
      <c r="RK110" s="394"/>
      <c r="RL110" s="394"/>
      <c r="RM110" s="394"/>
      <c r="RN110" s="394"/>
      <c r="RO110" s="394"/>
      <c r="RP110" s="394"/>
      <c r="RQ110" s="394"/>
      <c r="RR110" s="394"/>
      <c r="RS110" s="394"/>
      <c r="RT110" s="394"/>
      <c r="RU110" s="394"/>
      <c r="RV110" s="394"/>
      <c r="RW110" s="394"/>
      <c r="RX110" s="394"/>
      <c r="RY110" s="394"/>
      <c r="RZ110" s="394"/>
      <c r="SA110" s="394"/>
      <c r="SB110" s="394"/>
      <c r="SC110" s="394"/>
      <c r="SD110" s="394"/>
      <c r="SE110" s="394"/>
      <c r="SF110" s="394"/>
      <c r="SG110" s="394"/>
      <c r="SH110" s="394"/>
      <c r="SI110" s="394"/>
      <c r="SJ110" s="394"/>
    </row>
    <row r="111" spans="2:504" s="95" customFormat="1" ht="30" customHeight="1" x14ac:dyDescent="0.25">
      <c r="B111" s="106" t="str">
        <f>'Graph Data'!M65</f>
        <v>New</v>
      </c>
      <c r="C111" s="96" t="str" cm="1">
        <f t="array" ref="C111">IFERROR(_xlfn.TEXTJOIN(", ",TRUE,IF($E$7:$SJ$7=B111,$E$11:$SJ$11,"")),"Excel 2019 or newer required for this function")</f>
        <v/>
      </c>
      <c r="D111" s="94">
        <f>SUMIFS($E$10:$SJ$10,$E$7:$SJ$7,B111,$E$7:$SJ$7,B111)</f>
        <v>0</v>
      </c>
      <c r="E111" s="394"/>
      <c r="F111" s="394"/>
      <c r="G111" s="394"/>
      <c r="H111" s="394"/>
      <c r="I111" s="394"/>
      <c r="J111" s="394"/>
      <c r="K111" s="394"/>
      <c r="L111" s="394"/>
      <c r="M111" s="394"/>
      <c r="N111" s="394"/>
      <c r="O111" s="394"/>
      <c r="P111" s="394"/>
      <c r="Q111" s="394"/>
      <c r="R111" s="394"/>
      <c r="S111" s="394"/>
      <c r="T111" s="394"/>
      <c r="U111" s="394"/>
      <c r="V111" s="394"/>
      <c r="W111" s="394"/>
      <c r="X111" s="394"/>
      <c r="Y111" s="394"/>
      <c r="Z111" s="394"/>
      <c r="AA111" s="394"/>
      <c r="AB111" s="394"/>
      <c r="AC111" s="394"/>
      <c r="AD111" s="394"/>
      <c r="AE111" s="394"/>
      <c r="AF111" s="394"/>
      <c r="AG111" s="394"/>
      <c r="AH111" s="394"/>
      <c r="AI111" s="394"/>
      <c r="AJ111" s="394"/>
      <c r="AK111" s="394"/>
      <c r="AL111" s="394"/>
      <c r="AM111" s="394"/>
      <c r="AN111" s="394"/>
      <c r="AO111" s="394"/>
      <c r="AP111" s="394"/>
      <c r="AQ111" s="394"/>
      <c r="AR111" s="394"/>
      <c r="AS111" s="394"/>
      <c r="AT111" s="394"/>
      <c r="AU111" s="394"/>
      <c r="AV111" s="394"/>
      <c r="AW111" s="394"/>
      <c r="AX111" s="394"/>
      <c r="AY111" s="394"/>
      <c r="AZ111" s="394"/>
      <c r="BA111" s="394"/>
      <c r="BB111" s="394"/>
      <c r="BC111" s="394"/>
      <c r="BD111" s="394"/>
      <c r="BE111" s="394"/>
      <c r="BF111" s="394"/>
      <c r="BG111" s="394"/>
      <c r="BH111" s="394"/>
      <c r="BI111" s="394"/>
      <c r="BJ111" s="394"/>
      <c r="BK111" s="394"/>
      <c r="BL111" s="394"/>
      <c r="BM111" s="394"/>
      <c r="BN111" s="394"/>
      <c r="BO111" s="394"/>
      <c r="BP111" s="394"/>
      <c r="BQ111" s="394"/>
      <c r="BR111" s="394"/>
      <c r="BS111" s="394"/>
      <c r="BT111" s="394"/>
      <c r="BU111" s="394"/>
      <c r="BV111" s="394"/>
      <c r="BW111" s="394"/>
      <c r="BX111" s="394"/>
      <c r="BY111" s="394"/>
      <c r="BZ111" s="394"/>
      <c r="CA111" s="394"/>
      <c r="CB111" s="394"/>
      <c r="CC111" s="394"/>
      <c r="CD111" s="394"/>
      <c r="CE111" s="394"/>
      <c r="CF111" s="394"/>
      <c r="CG111" s="394"/>
      <c r="CH111" s="394"/>
      <c r="CI111" s="394"/>
      <c r="CJ111" s="394"/>
      <c r="CK111" s="394"/>
      <c r="CL111" s="394"/>
      <c r="CM111" s="394"/>
      <c r="CN111" s="394"/>
      <c r="CO111" s="394"/>
      <c r="CP111" s="394"/>
      <c r="CQ111" s="394"/>
      <c r="CR111" s="394"/>
      <c r="CS111" s="394"/>
      <c r="CT111" s="394"/>
      <c r="CU111" s="394"/>
      <c r="CV111" s="394"/>
      <c r="CW111" s="394"/>
      <c r="CX111" s="394"/>
      <c r="CY111" s="394"/>
      <c r="CZ111" s="394"/>
      <c r="DA111" s="394"/>
      <c r="DB111" s="394"/>
      <c r="DC111" s="394"/>
      <c r="DD111" s="394"/>
      <c r="DE111" s="394"/>
      <c r="DF111" s="394"/>
      <c r="DG111" s="394"/>
      <c r="DH111" s="394"/>
      <c r="DI111" s="394"/>
      <c r="DJ111" s="394"/>
      <c r="DK111" s="394"/>
      <c r="DL111" s="394"/>
      <c r="DM111" s="394"/>
      <c r="DN111" s="394"/>
      <c r="DO111" s="394"/>
      <c r="DP111" s="394"/>
      <c r="DQ111" s="394"/>
      <c r="DR111" s="394"/>
      <c r="DS111" s="394"/>
      <c r="DT111" s="394"/>
      <c r="DU111" s="394"/>
      <c r="DV111" s="394"/>
      <c r="DW111" s="394"/>
      <c r="DX111" s="394"/>
      <c r="DY111" s="394"/>
      <c r="DZ111" s="394"/>
      <c r="EA111" s="394"/>
      <c r="EB111" s="394"/>
      <c r="EC111" s="394"/>
      <c r="ED111" s="394"/>
      <c r="EE111" s="394"/>
      <c r="EF111" s="394"/>
      <c r="EG111" s="394"/>
      <c r="EH111" s="394"/>
      <c r="EI111" s="394"/>
      <c r="EJ111" s="394"/>
      <c r="EK111" s="394"/>
      <c r="EL111" s="394"/>
      <c r="EM111" s="394"/>
      <c r="EN111" s="394"/>
      <c r="EO111" s="394"/>
      <c r="EP111" s="394"/>
      <c r="EQ111" s="394"/>
      <c r="ER111" s="394"/>
      <c r="ES111" s="394"/>
      <c r="ET111" s="394"/>
      <c r="EU111" s="394"/>
      <c r="EV111" s="394"/>
      <c r="EW111" s="394"/>
      <c r="EX111" s="394"/>
      <c r="EY111" s="394"/>
      <c r="EZ111" s="394"/>
      <c r="FA111" s="394"/>
      <c r="FB111" s="394"/>
      <c r="FC111" s="394"/>
      <c r="FD111" s="394"/>
      <c r="FE111" s="394"/>
      <c r="FF111" s="394"/>
      <c r="FG111" s="394"/>
      <c r="FH111" s="394"/>
      <c r="FI111" s="394"/>
      <c r="FJ111" s="394"/>
      <c r="FK111" s="394"/>
      <c r="FL111" s="394"/>
      <c r="FM111" s="394"/>
      <c r="FN111" s="394"/>
      <c r="FO111" s="394"/>
      <c r="FP111" s="394"/>
      <c r="FQ111" s="394"/>
      <c r="FR111" s="394"/>
      <c r="FS111" s="394"/>
      <c r="FT111" s="394"/>
      <c r="FU111" s="394"/>
      <c r="FV111" s="394"/>
      <c r="FW111" s="394"/>
      <c r="FX111" s="394"/>
      <c r="FY111" s="394"/>
      <c r="FZ111" s="394"/>
      <c r="GA111" s="394"/>
      <c r="GB111" s="394"/>
      <c r="GC111" s="394"/>
      <c r="GD111" s="394"/>
      <c r="GE111" s="394"/>
      <c r="GF111" s="394"/>
      <c r="GG111" s="394"/>
      <c r="GH111" s="394"/>
      <c r="GI111" s="394"/>
      <c r="GJ111" s="394"/>
      <c r="GK111" s="394"/>
      <c r="GL111" s="394"/>
      <c r="GM111" s="394"/>
      <c r="GN111" s="394"/>
      <c r="GO111" s="394"/>
      <c r="GP111" s="394"/>
      <c r="GQ111" s="394"/>
      <c r="GR111" s="394"/>
      <c r="GS111" s="394"/>
      <c r="GT111" s="394"/>
      <c r="GU111" s="394"/>
      <c r="GV111" s="394"/>
      <c r="GW111" s="394"/>
      <c r="GX111" s="394"/>
      <c r="GY111" s="394"/>
      <c r="GZ111" s="394"/>
      <c r="HA111" s="394"/>
      <c r="HB111" s="394"/>
      <c r="HC111" s="394"/>
      <c r="HD111" s="394"/>
      <c r="HE111" s="394"/>
      <c r="HF111" s="394"/>
      <c r="HG111" s="394"/>
      <c r="HH111" s="394"/>
      <c r="HI111" s="394"/>
      <c r="HJ111" s="394"/>
      <c r="HK111" s="394"/>
      <c r="HL111" s="394"/>
      <c r="HM111" s="394"/>
      <c r="HN111" s="394"/>
      <c r="HO111" s="394"/>
      <c r="HP111" s="394"/>
      <c r="HQ111" s="394"/>
      <c r="HR111" s="394"/>
      <c r="HS111" s="394"/>
      <c r="HT111" s="394"/>
      <c r="HU111" s="394"/>
      <c r="HV111" s="394"/>
      <c r="HW111" s="394"/>
      <c r="HX111" s="394"/>
      <c r="HY111" s="394"/>
      <c r="HZ111" s="394"/>
      <c r="IA111" s="394"/>
      <c r="IB111" s="394"/>
      <c r="IC111" s="394"/>
      <c r="ID111" s="394"/>
      <c r="IE111" s="394"/>
      <c r="IF111" s="394"/>
      <c r="IG111" s="394"/>
      <c r="IH111" s="394"/>
      <c r="II111" s="394"/>
      <c r="IJ111" s="394"/>
      <c r="IK111" s="394"/>
      <c r="IL111" s="394"/>
      <c r="IM111" s="394"/>
      <c r="IN111" s="394"/>
      <c r="IO111" s="394"/>
      <c r="IP111" s="394"/>
      <c r="IQ111" s="394"/>
      <c r="IR111" s="394"/>
      <c r="IS111" s="394"/>
      <c r="IT111" s="394"/>
      <c r="IU111" s="394"/>
      <c r="IV111" s="394"/>
      <c r="IW111" s="394"/>
      <c r="IX111" s="394"/>
      <c r="IY111" s="394"/>
      <c r="IZ111" s="394"/>
      <c r="JA111" s="394"/>
      <c r="JB111" s="394"/>
      <c r="JC111" s="394"/>
      <c r="JD111" s="394"/>
      <c r="JE111" s="394"/>
      <c r="JF111" s="394"/>
      <c r="JG111" s="394"/>
      <c r="JH111" s="394"/>
      <c r="JI111" s="394"/>
      <c r="JJ111" s="394"/>
      <c r="JK111" s="394"/>
      <c r="JL111" s="394"/>
      <c r="JM111" s="394"/>
      <c r="JN111" s="394"/>
      <c r="JO111" s="394"/>
      <c r="JP111" s="394"/>
      <c r="JQ111" s="394"/>
      <c r="JR111" s="394"/>
      <c r="JS111" s="394"/>
      <c r="JT111" s="394"/>
      <c r="JU111" s="394"/>
      <c r="JV111" s="394"/>
      <c r="JW111" s="394"/>
      <c r="JX111" s="394"/>
      <c r="JY111" s="394"/>
      <c r="JZ111" s="394"/>
      <c r="KA111" s="394"/>
      <c r="KB111" s="394"/>
      <c r="KC111" s="394"/>
      <c r="KD111" s="394"/>
      <c r="KE111" s="394"/>
      <c r="KF111" s="394"/>
      <c r="KG111" s="394"/>
      <c r="KH111" s="394"/>
      <c r="KI111" s="394"/>
      <c r="KJ111" s="394"/>
      <c r="KK111" s="394"/>
      <c r="KL111" s="394"/>
      <c r="KM111" s="394"/>
      <c r="KN111" s="394"/>
      <c r="KO111" s="394"/>
      <c r="KP111" s="394"/>
      <c r="KQ111" s="394"/>
      <c r="KR111" s="394"/>
      <c r="KS111" s="394"/>
      <c r="KT111" s="394"/>
      <c r="KU111" s="394"/>
      <c r="KV111" s="394"/>
      <c r="KW111" s="394"/>
      <c r="KX111" s="394"/>
      <c r="KY111" s="394"/>
      <c r="KZ111" s="394"/>
      <c r="LA111" s="394"/>
      <c r="LB111" s="394"/>
      <c r="LC111" s="394"/>
      <c r="LD111" s="394"/>
      <c r="LE111" s="394"/>
      <c r="LF111" s="394"/>
      <c r="LG111" s="394"/>
      <c r="LH111" s="394"/>
      <c r="LI111" s="394"/>
      <c r="LJ111" s="394"/>
      <c r="LK111" s="394"/>
      <c r="LL111" s="394"/>
      <c r="LM111" s="394"/>
      <c r="LN111" s="394"/>
      <c r="LO111" s="394"/>
      <c r="LP111" s="394"/>
      <c r="LQ111" s="394"/>
      <c r="LR111" s="394"/>
      <c r="LS111" s="394"/>
      <c r="LT111" s="394"/>
      <c r="LU111" s="394"/>
      <c r="LV111" s="394"/>
      <c r="LW111" s="394"/>
      <c r="LX111" s="394"/>
      <c r="LY111" s="394"/>
      <c r="LZ111" s="394"/>
      <c r="MA111" s="394"/>
      <c r="MB111" s="394"/>
      <c r="MC111" s="394"/>
      <c r="MD111" s="394"/>
      <c r="ME111" s="394"/>
      <c r="MF111" s="394"/>
      <c r="MG111" s="394"/>
      <c r="MH111" s="394"/>
      <c r="MI111" s="394"/>
      <c r="MJ111" s="394"/>
      <c r="MK111" s="394"/>
      <c r="ML111" s="394"/>
      <c r="MM111" s="394"/>
      <c r="MN111" s="394"/>
      <c r="MO111" s="394"/>
      <c r="MP111" s="394"/>
      <c r="MQ111" s="394"/>
      <c r="MR111" s="394"/>
      <c r="MS111" s="394"/>
      <c r="MT111" s="394"/>
      <c r="MU111" s="394"/>
      <c r="MV111" s="394"/>
      <c r="MW111" s="394"/>
      <c r="MX111" s="394"/>
      <c r="MY111" s="394"/>
      <c r="MZ111" s="394"/>
      <c r="NA111" s="394"/>
      <c r="NB111" s="394"/>
      <c r="NC111" s="394"/>
      <c r="ND111" s="394"/>
      <c r="NE111" s="394"/>
      <c r="NF111" s="394"/>
      <c r="NG111" s="394"/>
      <c r="NH111" s="394"/>
      <c r="NI111" s="394"/>
      <c r="NJ111" s="394"/>
      <c r="NK111" s="394"/>
      <c r="NL111" s="394"/>
      <c r="NM111" s="394"/>
      <c r="NN111" s="394"/>
      <c r="NO111" s="394"/>
      <c r="NP111" s="394"/>
      <c r="NQ111" s="394"/>
      <c r="NR111" s="394"/>
      <c r="NS111" s="394"/>
      <c r="NT111" s="394"/>
      <c r="NU111" s="394"/>
      <c r="NV111" s="394"/>
      <c r="NW111" s="394"/>
      <c r="NX111" s="394"/>
      <c r="NY111" s="394"/>
      <c r="NZ111" s="394"/>
      <c r="OA111" s="394"/>
      <c r="OB111" s="394"/>
      <c r="OC111" s="394"/>
      <c r="OD111" s="394"/>
      <c r="OE111" s="394"/>
      <c r="OF111" s="394"/>
      <c r="OG111" s="394"/>
      <c r="OH111" s="394"/>
      <c r="OI111" s="394"/>
      <c r="OJ111" s="394"/>
      <c r="OK111" s="394"/>
      <c r="OL111" s="394"/>
      <c r="OM111" s="394"/>
      <c r="ON111" s="394"/>
      <c r="OO111" s="394"/>
      <c r="OP111" s="394"/>
      <c r="OQ111" s="394"/>
      <c r="OR111" s="394"/>
      <c r="OS111" s="394"/>
      <c r="OT111" s="394"/>
      <c r="OU111" s="394"/>
      <c r="OV111" s="394"/>
      <c r="OW111" s="394"/>
      <c r="OX111" s="394"/>
      <c r="OY111" s="394"/>
      <c r="OZ111" s="394"/>
      <c r="PA111" s="394"/>
      <c r="PB111" s="394"/>
      <c r="PC111" s="394"/>
      <c r="PD111" s="394"/>
      <c r="PE111" s="394"/>
      <c r="PF111" s="394"/>
      <c r="PG111" s="394"/>
      <c r="PH111" s="394"/>
      <c r="PI111" s="394"/>
      <c r="PJ111" s="394"/>
      <c r="PK111" s="394"/>
      <c r="PL111" s="394"/>
      <c r="PM111" s="394"/>
      <c r="PN111" s="394"/>
      <c r="PO111" s="394"/>
      <c r="PP111" s="394"/>
      <c r="PQ111" s="394"/>
      <c r="PR111" s="394"/>
      <c r="PS111" s="394"/>
      <c r="PT111" s="394"/>
      <c r="PU111" s="394"/>
      <c r="PV111" s="394"/>
      <c r="PW111" s="394"/>
      <c r="PX111" s="394"/>
      <c r="PY111" s="394"/>
      <c r="PZ111" s="394"/>
      <c r="QA111" s="394"/>
      <c r="QB111" s="394"/>
      <c r="QC111" s="394"/>
      <c r="QD111" s="394"/>
      <c r="QE111" s="394"/>
      <c r="QF111" s="394"/>
      <c r="QG111" s="394"/>
      <c r="QH111" s="394"/>
      <c r="QI111" s="394"/>
      <c r="QJ111" s="394"/>
      <c r="QK111" s="394"/>
      <c r="QL111" s="394"/>
      <c r="QM111" s="394"/>
      <c r="QN111" s="394"/>
      <c r="QO111" s="394"/>
      <c r="QP111" s="394"/>
      <c r="QQ111" s="394"/>
      <c r="QR111" s="394"/>
      <c r="QS111" s="394"/>
      <c r="QT111" s="394"/>
      <c r="QU111" s="394"/>
      <c r="QV111" s="394"/>
      <c r="QW111" s="394"/>
      <c r="QX111" s="394"/>
      <c r="QY111" s="394"/>
      <c r="QZ111" s="394"/>
      <c r="RA111" s="394"/>
      <c r="RB111" s="394"/>
      <c r="RC111" s="394"/>
      <c r="RD111" s="394"/>
      <c r="RE111" s="394"/>
      <c r="RF111" s="394"/>
      <c r="RG111" s="394"/>
      <c r="RH111" s="394"/>
      <c r="RI111" s="394"/>
      <c r="RJ111" s="394"/>
      <c r="RK111" s="394"/>
      <c r="RL111" s="394"/>
      <c r="RM111" s="394"/>
      <c r="RN111" s="394"/>
      <c r="RO111" s="394"/>
      <c r="RP111" s="394"/>
      <c r="RQ111" s="394"/>
      <c r="RR111" s="394"/>
      <c r="RS111" s="394"/>
      <c r="RT111" s="394"/>
      <c r="RU111" s="394"/>
      <c r="RV111" s="394"/>
      <c r="RW111" s="394"/>
      <c r="RX111" s="394"/>
      <c r="RY111" s="394"/>
      <c r="RZ111" s="394"/>
      <c r="SA111" s="394"/>
      <c r="SB111" s="394"/>
      <c r="SC111" s="394"/>
      <c r="SD111" s="394"/>
      <c r="SE111" s="394"/>
      <c r="SF111" s="394"/>
      <c r="SG111" s="394"/>
      <c r="SH111" s="394"/>
      <c r="SI111" s="394"/>
      <c r="SJ111" s="394"/>
    </row>
    <row r="112" spans="2:504" s="95" customFormat="1" ht="30" customHeight="1" x14ac:dyDescent="0.25">
      <c r="B112" s="97" t="str">
        <f>'Graph Data'!M66</f>
        <v>Pending Approval</v>
      </c>
      <c r="C112" s="96" t="str" cm="1">
        <f t="array" ref="C112">IFERROR(_xlfn.TEXTJOIN(", ",TRUE,IF($E$7:$SJ$7=B112,$E$11:$SJ$11,"")),"Excel 2019 or newer required for this function")</f>
        <v/>
      </c>
      <c r="D112" s="94">
        <f>SUMIFS($E$10:$SJ$10,$E$7:$SJ$7,B112,$E$7:$SJ$7,B112)</f>
        <v>0</v>
      </c>
      <c r="E112" s="394"/>
      <c r="F112" s="394"/>
      <c r="G112" s="394"/>
      <c r="H112" s="394"/>
      <c r="I112" s="394"/>
      <c r="J112" s="394"/>
      <c r="K112" s="394"/>
      <c r="L112" s="394"/>
      <c r="M112" s="394"/>
      <c r="N112" s="394"/>
      <c r="O112" s="394"/>
      <c r="P112" s="394"/>
      <c r="Q112" s="394"/>
      <c r="R112" s="394"/>
      <c r="S112" s="394"/>
      <c r="T112" s="394"/>
      <c r="U112" s="394"/>
      <c r="V112" s="394"/>
      <c r="W112" s="394"/>
      <c r="X112" s="394"/>
      <c r="Y112" s="394"/>
      <c r="Z112" s="394"/>
      <c r="AA112" s="394"/>
      <c r="AB112" s="394"/>
      <c r="AC112" s="394"/>
      <c r="AD112" s="394"/>
      <c r="AE112" s="394"/>
      <c r="AF112" s="394"/>
      <c r="AG112" s="394"/>
      <c r="AH112" s="394"/>
      <c r="AI112" s="394"/>
      <c r="AJ112" s="394"/>
      <c r="AK112" s="394"/>
      <c r="AL112" s="394"/>
      <c r="AM112" s="394"/>
      <c r="AN112" s="394"/>
      <c r="AO112" s="394"/>
      <c r="AP112" s="394"/>
      <c r="AQ112" s="394"/>
      <c r="AR112" s="394"/>
      <c r="AS112" s="394"/>
      <c r="AT112" s="394"/>
      <c r="AU112" s="394"/>
      <c r="AV112" s="394"/>
      <c r="AW112" s="394"/>
      <c r="AX112" s="394"/>
      <c r="AY112" s="394"/>
      <c r="AZ112" s="394"/>
      <c r="BA112" s="394"/>
      <c r="BB112" s="394"/>
      <c r="BC112" s="394"/>
      <c r="BD112" s="394"/>
      <c r="BE112" s="394"/>
      <c r="BF112" s="394"/>
      <c r="BG112" s="394"/>
      <c r="BH112" s="394"/>
      <c r="BI112" s="394"/>
      <c r="BJ112" s="394"/>
      <c r="BK112" s="394"/>
      <c r="BL112" s="394"/>
      <c r="BM112" s="394"/>
      <c r="BN112" s="394"/>
      <c r="BO112" s="394"/>
      <c r="BP112" s="394"/>
      <c r="BQ112" s="394"/>
      <c r="BR112" s="394"/>
      <c r="BS112" s="394"/>
      <c r="BT112" s="394"/>
      <c r="BU112" s="394"/>
      <c r="BV112" s="394"/>
      <c r="BW112" s="394"/>
      <c r="BX112" s="394"/>
      <c r="BY112" s="394"/>
      <c r="BZ112" s="394"/>
      <c r="CA112" s="394"/>
      <c r="CB112" s="394"/>
      <c r="CC112" s="394"/>
      <c r="CD112" s="394"/>
      <c r="CE112" s="394"/>
      <c r="CF112" s="394"/>
      <c r="CG112" s="394"/>
      <c r="CH112" s="394"/>
      <c r="CI112" s="394"/>
      <c r="CJ112" s="394"/>
      <c r="CK112" s="394"/>
      <c r="CL112" s="394"/>
      <c r="CM112" s="394"/>
      <c r="CN112" s="394"/>
      <c r="CO112" s="394"/>
      <c r="CP112" s="394"/>
      <c r="CQ112" s="394"/>
      <c r="CR112" s="394"/>
      <c r="CS112" s="394"/>
      <c r="CT112" s="394"/>
      <c r="CU112" s="394"/>
      <c r="CV112" s="394"/>
      <c r="CW112" s="394"/>
      <c r="CX112" s="394"/>
      <c r="CY112" s="394"/>
      <c r="CZ112" s="394"/>
      <c r="DA112" s="394"/>
      <c r="DB112" s="394"/>
      <c r="DC112" s="394"/>
      <c r="DD112" s="394"/>
      <c r="DE112" s="394"/>
      <c r="DF112" s="394"/>
      <c r="DG112" s="394"/>
      <c r="DH112" s="394"/>
      <c r="DI112" s="394"/>
      <c r="DJ112" s="394"/>
      <c r="DK112" s="394"/>
      <c r="DL112" s="394"/>
      <c r="DM112" s="394"/>
      <c r="DN112" s="394"/>
      <c r="DO112" s="394"/>
      <c r="DP112" s="394"/>
      <c r="DQ112" s="394"/>
      <c r="DR112" s="394"/>
      <c r="DS112" s="394"/>
      <c r="DT112" s="394"/>
      <c r="DU112" s="394"/>
      <c r="DV112" s="394"/>
      <c r="DW112" s="394"/>
      <c r="DX112" s="394"/>
      <c r="DY112" s="394"/>
      <c r="DZ112" s="394"/>
      <c r="EA112" s="394"/>
      <c r="EB112" s="394"/>
      <c r="EC112" s="394"/>
      <c r="ED112" s="394"/>
      <c r="EE112" s="394"/>
      <c r="EF112" s="394"/>
      <c r="EG112" s="394"/>
      <c r="EH112" s="394"/>
      <c r="EI112" s="394"/>
      <c r="EJ112" s="394"/>
      <c r="EK112" s="394"/>
      <c r="EL112" s="394"/>
      <c r="EM112" s="394"/>
      <c r="EN112" s="394"/>
      <c r="EO112" s="394"/>
      <c r="EP112" s="394"/>
      <c r="EQ112" s="394"/>
      <c r="ER112" s="394"/>
      <c r="ES112" s="394"/>
      <c r="ET112" s="394"/>
      <c r="EU112" s="394"/>
      <c r="EV112" s="394"/>
      <c r="EW112" s="394"/>
      <c r="EX112" s="394"/>
      <c r="EY112" s="394"/>
      <c r="EZ112" s="394"/>
      <c r="FA112" s="394"/>
      <c r="FB112" s="394"/>
      <c r="FC112" s="394"/>
      <c r="FD112" s="394"/>
      <c r="FE112" s="394"/>
      <c r="FF112" s="394"/>
      <c r="FG112" s="394"/>
      <c r="FH112" s="394"/>
      <c r="FI112" s="394"/>
      <c r="FJ112" s="394"/>
      <c r="FK112" s="394"/>
      <c r="FL112" s="394"/>
      <c r="FM112" s="394"/>
      <c r="FN112" s="394"/>
      <c r="FO112" s="394"/>
      <c r="FP112" s="394"/>
      <c r="FQ112" s="394"/>
      <c r="FR112" s="394"/>
      <c r="FS112" s="394"/>
      <c r="FT112" s="394"/>
      <c r="FU112" s="394"/>
      <c r="FV112" s="394"/>
      <c r="FW112" s="394"/>
      <c r="FX112" s="394"/>
      <c r="FY112" s="394"/>
      <c r="FZ112" s="394"/>
      <c r="GA112" s="394"/>
      <c r="GB112" s="394"/>
      <c r="GC112" s="394"/>
      <c r="GD112" s="394"/>
      <c r="GE112" s="394"/>
      <c r="GF112" s="394"/>
      <c r="GG112" s="394"/>
      <c r="GH112" s="394"/>
      <c r="GI112" s="394"/>
      <c r="GJ112" s="394"/>
      <c r="GK112" s="394"/>
      <c r="GL112" s="394"/>
      <c r="GM112" s="394"/>
      <c r="GN112" s="394"/>
      <c r="GO112" s="394"/>
      <c r="GP112" s="394"/>
      <c r="GQ112" s="394"/>
      <c r="GR112" s="394"/>
      <c r="GS112" s="394"/>
      <c r="GT112" s="394"/>
      <c r="GU112" s="394"/>
      <c r="GV112" s="394"/>
      <c r="GW112" s="394"/>
      <c r="GX112" s="394"/>
      <c r="GY112" s="394"/>
      <c r="GZ112" s="394"/>
      <c r="HA112" s="394"/>
      <c r="HB112" s="394"/>
      <c r="HC112" s="394"/>
      <c r="HD112" s="394"/>
      <c r="HE112" s="394"/>
      <c r="HF112" s="394"/>
      <c r="HG112" s="394"/>
      <c r="HH112" s="394"/>
      <c r="HI112" s="394"/>
      <c r="HJ112" s="394"/>
      <c r="HK112" s="394"/>
      <c r="HL112" s="394"/>
      <c r="HM112" s="394"/>
      <c r="HN112" s="394"/>
      <c r="HO112" s="394"/>
      <c r="HP112" s="394"/>
      <c r="HQ112" s="394"/>
      <c r="HR112" s="394"/>
      <c r="HS112" s="394"/>
      <c r="HT112" s="394"/>
      <c r="HU112" s="394"/>
      <c r="HV112" s="394"/>
      <c r="HW112" s="394"/>
      <c r="HX112" s="394"/>
      <c r="HY112" s="394"/>
      <c r="HZ112" s="394"/>
      <c r="IA112" s="394"/>
      <c r="IB112" s="394"/>
      <c r="IC112" s="394"/>
      <c r="ID112" s="394"/>
      <c r="IE112" s="394"/>
      <c r="IF112" s="394"/>
      <c r="IG112" s="394"/>
      <c r="IH112" s="394"/>
      <c r="II112" s="394"/>
      <c r="IJ112" s="394"/>
      <c r="IK112" s="394"/>
      <c r="IL112" s="394"/>
      <c r="IM112" s="394"/>
      <c r="IN112" s="394"/>
      <c r="IO112" s="394"/>
      <c r="IP112" s="394"/>
      <c r="IQ112" s="394"/>
      <c r="IR112" s="394"/>
      <c r="IS112" s="394"/>
      <c r="IT112" s="394"/>
      <c r="IU112" s="394"/>
      <c r="IV112" s="394"/>
      <c r="IW112" s="394"/>
      <c r="IX112" s="394"/>
      <c r="IY112" s="394"/>
      <c r="IZ112" s="394"/>
      <c r="JA112" s="394"/>
      <c r="JB112" s="394"/>
      <c r="JC112" s="394"/>
      <c r="JD112" s="394"/>
      <c r="JE112" s="394"/>
      <c r="JF112" s="394"/>
      <c r="JG112" s="394"/>
      <c r="JH112" s="394"/>
      <c r="JI112" s="394"/>
      <c r="JJ112" s="394"/>
      <c r="JK112" s="394"/>
      <c r="JL112" s="394"/>
      <c r="JM112" s="394"/>
      <c r="JN112" s="394"/>
      <c r="JO112" s="394"/>
      <c r="JP112" s="394"/>
      <c r="JQ112" s="394"/>
      <c r="JR112" s="394"/>
      <c r="JS112" s="394"/>
      <c r="JT112" s="394"/>
      <c r="JU112" s="394"/>
      <c r="JV112" s="394"/>
      <c r="JW112" s="394"/>
      <c r="JX112" s="394"/>
      <c r="JY112" s="394"/>
      <c r="JZ112" s="394"/>
      <c r="KA112" s="394"/>
      <c r="KB112" s="394"/>
      <c r="KC112" s="394"/>
      <c r="KD112" s="394"/>
      <c r="KE112" s="394"/>
      <c r="KF112" s="394"/>
      <c r="KG112" s="394"/>
      <c r="KH112" s="394"/>
      <c r="KI112" s="394"/>
      <c r="KJ112" s="394"/>
      <c r="KK112" s="394"/>
      <c r="KL112" s="394"/>
      <c r="KM112" s="394"/>
      <c r="KN112" s="394"/>
      <c r="KO112" s="394"/>
      <c r="KP112" s="394"/>
      <c r="KQ112" s="394"/>
      <c r="KR112" s="394"/>
      <c r="KS112" s="394"/>
      <c r="KT112" s="394"/>
      <c r="KU112" s="394"/>
      <c r="KV112" s="394"/>
      <c r="KW112" s="394"/>
      <c r="KX112" s="394"/>
      <c r="KY112" s="394"/>
      <c r="KZ112" s="394"/>
      <c r="LA112" s="394"/>
      <c r="LB112" s="394"/>
      <c r="LC112" s="394"/>
      <c r="LD112" s="394"/>
      <c r="LE112" s="394"/>
      <c r="LF112" s="394"/>
      <c r="LG112" s="394"/>
      <c r="LH112" s="394"/>
      <c r="LI112" s="394"/>
      <c r="LJ112" s="394"/>
      <c r="LK112" s="394"/>
      <c r="LL112" s="394"/>
      <c r="LM112" s="394"/>
      <c r="LN112" s="394"/>
      <c r="LO112" s="394"/>
      <c r="LP112" s="394"/>
      <c r="LQ112" s="394"/>
      <c r="LR112" s="394"/>
      <c r="LS112" s="394"/>
      <c r="LT112" s="394"/>
      <c r="LU112" s="394"/>
      <c r="LV112" s="394"/>
      <c r="LW112" s="394"/>
      <c r="LX112" s="394"/>
      <c r="LY112" s="394"/>
      <c r="LZ112" s="394"/>
      <c r="MA112" s="394"/>
      <c r="MB112" s="394"/>
      <c r="MC112" s="394"/>
      <c r="MD112" s="394"/>
      <c r="ME112" s="394"/>
      <c r="MF112" s="394"/>
      <c r="MG112" s="394"/>
      <c r="MH112" s="394"/>
      <c r="MI112" s="394"/>
      <c r="MJ112" s="394"/>
      <c r="MK112" s="394"/>
      <c r="ML112" s="394"/>
      <c r="MM112" s="394"/>
      <c r="MN112" s="394"/>
      <c r="MO112" s="394"/>
      <c r="MP112" s="394"/>
      <c r="MQ112" s="394"/>
      <c r="MR112" s="394"/>
      <c r="MS112" s="394"/>
      <c r="MT112" s="394"/>
      <c r="MU112" s="394"/>
      <c r="MV112" s="394"/>
      <c r="MW112" s="394"/>
      <c r="MX112" s="394"/>
      <c r="MY112" s="394"/>
      <c r="MZ112" s="394"/>
      <c r="NA112" s="394"/>
      <c r="NB112" s="394"/>
      <c r="NC112" s="394"/>
      <c r="ND112" s="394"/>
      <c r="NE112" s="394"/>
      <c r="NF112" s="394"/>
      <c r="NG112" s="394"/>
      <c r="NH112" s="394"/>
      <c r="NI112" s="394"/>
      <c r="NJ112" s="394"/>
      <c r="NK112" s="394"/>
      <c r="NL112" s="394"/>
      <c r="NM112" s="394"/>
      <c r="NN112" s="394"/>
      <c r="NO112" s="394"/>
      <c r="NP112" s="394"/>
      <c r="NQ112" s="394"/>
      <c r="NR112" s="394"/>
      <c r="NS112" s="394"/>
      <c r="NT112" s="394"/>
      <c r="NU112" s="394"/>
      <c r="NV112" s="394"/>
      <c r="NW112" s="394"/>
      <c r="NX112" s="394"/>
      <c r="NY112" s="394"/>
      <c r="NZ112" s="394"/>
      <c r="OA112" s="394"/>
      <c r="OB112" s="394"/>
      <c r="OC112" s="394"/>
      <c r="OD112" s="394"/>
      <c r="OE112" s="394"/>
      <c r="OF112" s="394"/>
      <c r="OG112" s="394"/>
      <c r="OH112" s="394"/>
      <c r="OI112" s="394"/>
      <c r="OJ112" s="394"/>
      <c r="OK112" s="394"/>
      <c r="OL112" s="394"/>
      <c r="OM112" s="394"/>
      <c r="ON112" s="394"/>
      <c r="OO112" s="394"/>
      <c r="OP112" s="394"/>
      <c r="OQ112" s="394"/>
      <c r="OR112" s="394"/>
      <c r="OS112" s="394"/>
      <c r="OT112" s="394"/>
      <c r="OU112" s="394"/>
      <c r="OV112" s="394"/>
      <c r="OW112" s="394"/>
      <c r="OX112" s="394"/>
      <c r="OY112" s="394"/>
      <c r="OZ112" s="394"/>
      <c r="PA112" s="394"/>
      <c r="PB112" s="394"/>
      <c r="PC112" s="394"/>
      <c r="PD112" s="394"/>
      <c r="PE112" s="394"/>
      <c r="PF112" s="394"/>
      <c r="PG112" s="394"/>
      <c r="PH112" s="394"/>
      <c r="PI112" s="394"/>
      <c r="PJ112" s="394"/>
      <c r="PK112" s="394"/>
      <c r="PL112" s="394"/>
      <c r="PM112" s="394"/>
      <c r="PN112" s="394"/>
      <c r="PO112" s="394"/>
      <c r="PP112" s="394"/>
      <c r="PQ112" s="394"/>
      <c r="PR112" s="394"/>
      <c r="PS112" s="394"/>
      <c r="PT112" s="394"/>
      <c r="PU112" s="394"/>
      <c r="PV112" s="394"/>
      <c r="PW112" s="394"/>
      <c r="PX112" s="394"/>
      <c r="PY112" s="394"/>
      <c r="PZ112" s="394"/>
      <c r="QA112" s="394"/>
      <c r="QB112" s="394"/>
      <c r="QC112" s="394"/>
      <c r="QD112" s="394"/>
      <c r="QE112" s="394"/>
      <c r="QF112" s="394"/>
      <c r="QG112" s="394"/>
      <c r="QH112" s="394"/>
      <c r="QI112" s="394"/>
      <c r="QJ112" s="394"/>
      <c r="QK112" s="394"/>
      <c r="QL112" s="394"/>
      <c r="QM112" s="394"/>
      <c r="QN112" s="394"/>
      <c r="QO112" s="394"/>
      <c r="QP112" s="394"/>
      <c r="QQ112" s="394"/>
      <c r="QR112" s="394"/>
      <c r="QS112" s="394"/>
      <c r="QT112" s="394"/>
      <c r="QU112" s="394"/>
      <c r="QV112" s="394"/>
      <c r="QW112" s="394"/>
      <c r="QX112" s="394"/>
      <c r="QY112" s="394"/>
      <c r="QZ112" s="394"/>
      <c r="RA112" s="394"/>
      <c r="RB112" s="394"/>
      <c r="RC112" s="394"/>
      <c r="RD112" s="394"/>
      <c r="RE112" s="394"/>
      <c r="RF112" s="394"/>
      <c r="RG112" s="394"/>
      <c r="RH112" s="394"/>
      <c r="RI112" s="394"/>
      <c r="RJ112" s="394"/>
      <c r="RK112" s="394"/>
      <c r="RL112" s="394"/>
      <c r="RM112" s="394"/>
      <c r="RN112" s="394"/>
      <c r="RO112" s="394"/>
      <c r="RP112" s="394"/>
      <c r="RQ112" s="394"/>
      <c r="RR112" s="394"/>
      <c r="RS112" s="394"/>
      <c r="RT112" s="394"/>
      <c r="RU112" s="394"/>
      <c r="RV112" s="394"/>
      <c r="RW112" s="394"/>
      <c r="RX112" s="394"/>
      <c r="RY112" s="394"/>
      <c r="RZ112" s="394"/>
      <c r="SA112" s="394"/>
      <c r="SB112" s="394"/>
      <c r="SC112" s="394"/>
      <c r="SD112" s="394"/>
      <c r="SE112" s="394"/>
      <c r="SF112" s="394"/>
      <c r="SG112" s="394"/>
      <c r="SH112" s="394"/>
      <c r="SI112" s="394"/>
      <c r="SJ112" s="394"/>
    </row>
    <row r="113" spans="2:504" s="95" customFormat="1" ht="30" customHeight="1" x14ac:dyDescent="0.25">
      <c r="B113" s="97" t="str">
        <f>'Graph Data'!M67</f>
        <v>Approved</v>
      </c>
      <c r="C113" s="96" t="str" cm="1">
        <f t="array" ref="C113">IFERROR(_xlfn.TEXTJOIN(", ",TRUE,IF($E$7:$SJ$7=B113,$E$11:$SJ$11,"")),"Excel 2019 or newer required for this function")</f>
        <v/>
      </c>
      <c r="D113" s="94">
        <f>SUMIFS($E$10:$SJ$10,$E$7:$SJ$7,B113,$E$7:$SJ$7,B113)</f>
        <v>0</v>
      </c>
      <c r="E113" s="394"/>
      <c r="F113" s="394"/>
      <c r="G113" s="394"/>
      <c r="H113" s="394"/>
      <c r="I113" s="394"/>
      <c r="J113" s="394"/>
      <c r="K113" s="394"/>
      <c r="L113" s="394"/>
      <c r="M113" s="394"/>
      <c r="N113" s="394"/>
      <c r="O113" s="394"/>
      <c r="P113" s="394"/>
      <c r="Q113" s="394"/>
      <c r="R113" s="394"/>
      <c r="S113" s="394"/>
      <c r="T113" s="394"/>
      <c r="U113" s="394"/>
      <c r="V113" s="394"/>
      <c r="W113" s="394"/>
      <c r="X113" s="394"/>
      <c r="Y113" s="394"/>
      <c r="Z113" s="394"/>
      <c r="AA113" s="394"/>
      <c r="AB113" s="394"/>
      <c r="AC113" s="394"/>
      <c r="AD113" s="394"/>
      <c r="AE113" s="394"/>
      <c r="AF113" s="394"/>
      <c r="AG113" s="394"/>
      <c r="AH113" s="394"/>
      <c r="AI113" s="394"/>
      <c r="AJ113" s="394"/>
      <c r="AK113" s="394"/>
      <c r="AL113" s="394"/>
      <c r="AM113" s="394"/>
      <c r="AN113" s="394"/>
      <c r="AO113" s="394"/>
      <c r="AP113" s="394"/>
      <c r="AQ113" s="394"/>
      <c r="AR113" s="394"/>
      <c r="AS113" s="394"/>
      <c r="AT113" s="394"/>
      <c r="AU113" s="394"/>
      <c r="AV113" s="394"/>
      <c r="AW113" s="394"/>
      <c r="AX113" s="394"/>
      <c r="AY113" s="394"/>
      <c r="AZ113" s="394"/>
      <c r="BA113" s="394"/>
      <c r="BB113" s="394"/>
      <c r="BC113" s="394"/>
      <c r="BD113" s="394"/>
      <c r="BE113" s="394"/>
      <c r="BF113" s="394"/>
      <c r="BG113" s="394"/>
      <c r="BH113" s="394"/>
      <c r="BI113" s="394"/>
      <c r="BJ113" s="394"/>
      <c r="BK113" s="394"/>
      <c r="BL113" s="394"/>
      <c r="BM113" s="394"/>
      <c r="BN113" s="394"/>
      <c r="BO113" s="394"/>
      <c r="BP113" s="394"/>
      <c r="BQ113" s="394"/>
      <c r="BR113" s="394"/>
      <c r="BS113" s="394"/>
      <c r="BT113" s="394"/>
      <c r="BU113" s="394"/>
      <c r="BV113" s="394"/>
      <c r="BW113" s="394"/>
      <c r="BX113" s="394"/>
      <c r="BY113" s="394"/>
      <c r="BZ113" s="394"/>
      <c r="CA113" s="394"/>
      <c r="CB113" s="394"/>
      <c r="CC113" s="394"/>
      <c r="CD113" s="394"/>
      <c r="CE113" s="394"/>
      <c r="CF113" s="394"/>
      <c r="CG113" s="394"/>
      <c r="CH113" s="394"/>
      <c r="CI113" s="394"/>
      <c r="CJ113" s="394"/>
      <c r="CK113" s="394"/>
      <c r="CL113" s="394"/>
      <c r="CM113" s="394"/>
      <c r="CN113" s="394"/>
      <c r="CO113" s="394"/>
      <c r="CP113" s="394"/>
      <c r="CQ113" s="394"/>
      <c r="CR113" s="394"/>
      <c r="CS113" s="394"/>
      <c r="CT113" s="394"/>
      <c r="CU113" s="394"/>
      <c r="CV113" s="394"/>
      <c r="CW113" s="394"/>
      <c r="CX113" s="394"/>
      <c r="CY113" s="394"/>
      <c r="CZ113" s="394"/>
      <c r="DA113" s="394"/>
      <c r="DB113" s="394"/>
      <c r="DC113" s="394"/>
      <c r="DD113" s="394"/>
      <c r="DE113" s="394"/>
      <c r="DF113" s="394"/>
      <c r="DG113" s="394"/>
      <c r="DH113" s="394"/>
      <c r="DI113" s="394"/>
      <c r="DJ113" s="394"/>
      <c r="DK113" s="394"/>
      <c r="DL113" s="394"/>
      <c r="DM113" s="394"/>
      <c r="DN113" s="394"/>
      <c r="DO113" s="394"/>
      <c r="DP113" s="394"/>
      <c r="DQ113" s="394"/>
      <c r="DR113" s="394"/>
      <c r="DS113" s="394"/>
      <c r="DT113" s="394"/>
      <c r="DU113" s="394"/>
      <c r="DV113" s="394"/>
      <c r="DW113" s="394"/>
      <c r="DX113" s="394"/>
      <c r="DY113" s="394"/>
      <c r="DZ113" s="394"/>
      <c r="EA113" s="394"/>
      <c r="EB113" s="394"/>
      <c r="EC113" s="394"/>
      <c r="ED113" s="394"/>
      <c r="EE113" s="394"/>
      <c r="EF113" s="394"/>
      <c r="EG113" s="394"/>
      <c r="EH113" s="394"/>
      <c r="EI113" s="394"/>
      <c r="EJ113" s="394"/>
      <c r="EK113" s="394"/>
      <c r="EL113" s="394"/>
      <c r="EM113" s="394"/>
      <c r="EN113" s="394"/>
      <c r="EO113" s="394"/>
      <c r="EP113" s="394"/>
      <c r="EQ113" s="394"/>
      <c r="ER113" s="394"/>
      <c r="ES113" s="394"/>
      <c r="ET113" s="394"/>
      <c r="EU113" s="394"/>
      <c r="EV113" s="394"/>
      <c r="EW113" s="394"/>
      <c r="EX113" s="394"/>
      <c r="EY113" s="394"/>
      <c r="EZ113" s="394"/>
      <c r="FA113" s="394"/>
      <c r="FB113" s="394"/>
      <c r="FC113" s="394"/>
      <c r="FD113" s="394"/>
      <c r="FE113" s="394"/>
      <c r="FF113" s="394"/>
      <c r="FG113" s="394"/>
      <c r="FH113" s="394"/>
      <c r="FI113" s="394"/>
      <c r="FJ113" s="394"/>
      <c r="FK113" s="394"/>
      <c r="FL113" s="394"/>
      <c r="FM113" s="394"/>
      <c r="FN113" s="394"/>
      <c r="FO113" s="394"/>
      <c r="FP113" s="394"/>
      <c r="FQ113" s="394"/>
      <c r="FR113" s="394"/>
      <c r="FS113" s="394"/>
      <c r="FT113" s="394"/>
      <c r="FU113" s="394"/>
      <c r="FV113" s="394"/>
      <c r="FW113" s="394"/>
      <c r="FX113" s="394"/>
      <c r="FY113" s="394"/>
      <c r="FZ113" s="394"/>
      <c r="GA113" s="394"/>
      <c r="GB113" s="394"/>
      <c r="GC113" s="394"/>
      <c r="GD113" s="394"/>
      <c r="GE113" s="394"/>
      <c r="GF113" s="394"/>
      <c r="GG113" s="394"/>
      <c r="GH113" s="394"/>
      <c r="GI113" s="394"/>
      <c r="GJ113" s="394"/>
      <c r="GK113" s="394"/>
      <c r="GL113" s="394"/>
      <c r="GM113" s="394"/>
      <c r="GN113" s="394"/>
      <c r="GO113" s="394"/>
      <c r="GP113" s="394"/>
      <c r="GQ113" s="394"/>
      <c r="GR113" s="394"/>
      <c r="GS113" s="394"/>
      <c r="GT113" s="394"/>
      <c r="GU113" s="394"/>
      <c r="GV113" s="394"/>
      <c r="GW113" s="394"/>
      <c r="GX113" s="394"/>
      <c r="GY113" s="394"/>
      <c r="GZ113" s="394"/>
      <c r="HA113" s="394"/>
      <c r="HB113" s="394"/>
      <c r="HC113" s="394"/>
      <c r="HD113" s="394"/>
      <c r="HE113" s="394"/>
      <c r="HF113" s="394"/>
      <c r="HG113" s="394"/>
      <c r="HH113" s="394"/>
      <c r="HI113" s="394"/>
      <c r="HJ113" s="394"/>
      <c r="HK113" s="394"/>
      <c r="HL113" s="394"/>
      <c r="HM113" s="394"/>
      <c r="HN113" s="394"/>
      <c r="HO113" s="394"/>
      <c r="HP113" s="394"/>
      <c r="HQ113" s="394"/>
      <c r="HR113" s="394"/>
      <c r="HS113" s="394"/>
      <c r="HT113" s="394"/>
      <c r="HU113" s="394"/>
      <c r="HV113" s="394"/>
      <c r="HW113" s="394"/>
      <c r="HX113" s="394"/>
      <c r="HY113" s="394"/>
      <c r="HZ113" s="394"/>
      <c r="IA113" s="394"/>
      <c r="IB113" s="394"/>
      <c r="IC113" s="394"/>
      <c r="ID113" s="394"/>
      <c r="IE113" s="394"/>
      <c r="IF113" s="394"/>
      <c r="IG113" s="394"/>
      <c r="IH113" s="394"/>
      <c r="II113" s="394"/>
      <c r="IJ113" s="394"/>
      <c r="IK113" s="394"/>
      <c r="IL113" s="394"/>
      <c r="IM113" s="394"/>
      <c r="IN113" s="394"/>
      <c r="IO113" s="394"/>
      <c r="IP113" s="394"/>
      <c r="IQ113" s="394"/>
      <c r="IR113" s="394"/>
      <c r="IS113" s="394"/>
      <c r="IT113" s="394"/>
      <c r="IU113" s="394"/>
      <c r="IV113" s="394"/>
      <c r="IW113" s="394"/>
      <c r="IX113" s="394"/>
      <c r="IY113" s="394"/>
      <c r="IZ113" s="394"/>
      <c r="JA113" s="394"/>
      <c r="JB113" s="394"/>
      <c r="JC113" s="394"/>
      <c r="JD113" s="394"/>
      <c r="JE113" s="394"/>
      <c r="JF113" s="394"/>
      <c r="JG113" s="394"/>
      <c r="JH113" s="394"/>
      <c r="JI113" s="394"/>
      <c r="JJ113" s="394"/>
      <c r="JK113" s="394"/>
      <c r="JL113" s="394"/>
      <c r="JM113" s="394"/>
      <c r="JN113" s="394"/>
      <c r="JO113" s="394"/>
      <c r="JP113" s="394"/>
      <c r="JQ113" s="394"/>
      <c r="JR113" s="394"/>
      <c r="JS113" s="394"/>
      <c r="JT113" s="394"/>
      <c r="JU113" s="394"/>
      <c r="JV113" s="394"/>
      <c r="JW113" s="394"/>
      <c r="JX113" s="394"/>
      <c r="JY113" s="394"/>
      <c r="JZ113" s="394"/>
      <c r="KA113" s="394"/>
      <c r="KB113" s="394"/>
      <c r="KC113" s="394"/>
      <c r="KD113" s="394"/>
      <c r="KE113" s="394"/>
      <c r="KF113" s="394"/>
      <c r="KG113" s="394"/>
      <c r="KH113" s="394"/>
      <c r="KI113" s="394"/>
      <c r="KJ113" s="394"/>
      <c r="KK113" s="394"/>
      <c r="KL113" s="394"/>
      <c r="KM113" s="394"/>
      <c r="KN113" s="394"/>
      <c r="KO113" s="394"/>
      <c r="KP113" s="394"/>
      <c r="KQ113" s="394"/>
      <c r="KR113" s="394"/>
      <c r="KS113" s="394"/>
      <c r="KT113" s="394"/>
      <c r="KU113" s="394"/>
      <c r="KV113" s="394"/>
      <c r="KW113" s="394"/>
      <c r="KX113" s="394"/>
      <c r="KY113" s="394"/>
      <c r="KZ113" s="394"/>
      <c r="LA113" s="394"/>
      <c r="LB113" s="394"/>
      <c r="LC113" s="394"/>
      <c r="LD113" s="394"/>
      <c r="LE113" s="394"/>
      <c r="LF113" s="394"/>
      <c r="LG113" s="394"/>
      <c r="LH113" s="394"/>
      <c r="LI113" s="394"/>
      <c r="LJ113" s="394"/>
      <c r="LK113" s="394"/>
      <c r="LL113" s="394"/>
      <c r="LM113" s="394"/>
      <c r="LN113" s="394"/>
      <c r="LO113" s="394"/>
      <c r="LP113" s="394"/>
      <c r="LQ113" s="394"/>
      <c r="LR113" s="394"/>
      <c r="LS113" s="394"/>
      <c r="LT113" s="394"/>
      <c r="LU113" s="394"/>
      <c r="LV113" s="394"/>
      <c r="LW113" s="394"/>
      <c r="LX113" s="394"/>
      <c r="LY113" s="394"/>
      <c r="LZ113" s="394"/>
      <c r="MA113" s="394"/>
      <c r="MB113" s="394"/>
      <c r="MC113" s="394"/>
      <c r="MD113" s="394"/>
      <c r="ME113" s="394"/>
      <c r="MF113" s="394"/>
      <c r="MG113" s="394"/>
      <c r="MH113" s="394"/>
      <c r="MI113" s="394"/>
      <c r="MJ113" s="394"/>
      <c r="MK113" s="394"/>
      <c r="ML113" s="394"/>
      <c r="MM113" s="394"/>
      <c r="MN113" s="394"/>
      <c r="MO113" s="394"/>
      <c r="MP113" s="394"/>
      <c r="MQ113" s="394"/>
      <c r="MR113" s="394"/>
      <c r="MS113" s="394"/>
      <c r="MT113" s="394"/>
      <c r="MU113" s="394"/>
      <c r="MV113" s="394"/>
      <c r="MW113" s="394"/>
      <c r="MX113" s="394"/>
      <c r="MY113" s="394"/>
      <c r="MZ113" s="394"/>
      <c r="NA113" s="394"/>
      <c r="NB113" s="394"/>
      <c r="NC113" s="394"/>
      <c r="ND113" s="394"/>
      <c r="NE113" s="394"/>
      <c r="NF113" s="394"/>
      <c r="NG113" s="394"/>
      <c r="NH113" s="394"/>
      <c r="NI113" s="394"/>
      <c r="NJ113" s="394"/>
      <c r="NK113" s="394"/>
      <c r="NL113" s="394"/>
      <c r="NM113" s="394"/>
      <c r="NN113" s="394"/>
      <c r="NO113" s="394"/>
      <c r="NP113" s="394"/>
      <c r="NQ113" s="394"/>
      <c r="NR113" s="394"/>
      <c r="NS113" s="394"/>
      <c r="NT113" s="394"/>
      <c r="NU113" s="394"/>
      <c r="NV113" s="394"/>
      <c r="NW113" s="394"/>
      <c r="NX113" s="394"/>
      <c r="NY113" s="394"/>
      <c r="NZ113" s="394"/>
      <c r="OA113" s="394"/>
      <c r="OB113" s="394"/>
      <c r="OC113" s="394"/>
      <c r="OD113" s="394"/>
      <c r="OE113" s="394"/>
      <c r="OF113" s="394"/>
      <c r="OG113" s="394"/>
      <c r="OH113" s="394"/>
      <c r="OI113" s="394"/>
      <c r="OJ113" s="394"/>
      <c r="OK113" s="394"/>
      <c r="OL113" s="394"/>
      <c r="OM113" s="394"/>
      <c r="ON113" s="394"/>
      <c r="OO113" s="394"/>
      <c r="OP113" s="394"/>
      <c r="OQ113" s="394"/>
      <c r="OR113" s="394"/>
      <c r="OS113" s="394"/>
      <c r="OT113" s="394"/>
      <c r="OU113" s="394"/>
      <c r="OV113" s="394"/>
      <c r="OW113" s="394"/>
      <c r="OX113" s="394"/>
      <c r="OY113" s="394"/>
      <c r="OZ113" s="394"/>
      <c r="PA113" s="394"/>
      <c r="PB113" s="394"/>
      <c r="PC113" s="394"/>
      <c r="PD113" s="394"/>
      <c r="PE113" s="394"/>
      <c r="PF113" s="394"/>
      <c r="PG113" s="394"/>
      <c r="PH113" s="394"/>
      <c r="PI113" s="394"/>
      <c r="PJ113" s="394"/>
      <c r="PK113" s="394"/>
      <c r="PL113" s="394"/>
      <c r="PM113" s="394"/>
      <c r="PN113" s="394"/>
      <c r="PO113" s="394"/>
      <c r="PP113" s="394"/>
      <c r="PQ113" s="394"/>
      <c r="PR113" s="394"/>
      <c r="PS113" s="394"/>
      <c r="PT113" s="394"/>
      <c r="PU113" s="394"/>
      <c r="PV113" s="394"/>
      <c r="PW113" s="394"/>
      <c r="PX113" s="394"/>
      <c r="PY113" s="394"/>
      <c r="PZ113" s="394"/>
      <c r="QA113" s="394"/>
      <c r="QB113" s="394"/>
      <c r="QC113" s="394"/>
      <c r="QD113" s="394"/>
      <c r="QE113" s="394"/>
      <c r="QF113" s="394"/>
      <c r="QG113" s="394"/>
      <c r="QH113" s="394"/>
      <c r="QI113" s="394"/>
      <c r="QJ113" s="394"/>
      <c r="QK113" s="394"/>
      <c r="QL113" s="394"/>
      <c r="QM113" s="394"/>
      <c r="QN113" s="394"/>
      <c r="QO113" s="394"/>
      <c r="QP113" s="394"/>
      <c r="QQ113" s="394"/>
      <c r="QR113" s="394"/>
      <c r="QS113" s="394"/>
      <c r="QT113" s="394"/>
      <c r="QU113" s="394"/>
      <c r="QV113" s="394"/>
      <c r="QW113" s="394"/>
      <c r="QX113" s="394"/>
      <c r="QY113" s="394"/>
      <c r="QZ113" s="394"/>
      <c r="RA113" s="394"/>
      <c r="RB113" s="394"/>
      <c r="RC113" s="394"/>
      <c r="RD113" s="394"/>
      <c r="RE113" s="394"/>
      <c r="RF113" s="394"/>
      <c r="RG113" s="394"/>
      <c r="RH113" s="394"/>
      <c r="RI113" s="394"/>
      <c r="RJ113" s="394"/>
      <c r="RK113" s="394"/>
      <c r="RL113" s="394"/>
      <c r="RM113" s="394"/>
      <c r="RN113" s="394"/>
      <c r="RO113" s="394"/>
      <c r="RP113" s="394"/>
      <c r="RQ113" s="394"/>
      <c r="RR113" s="394"/>
      <c r="RS113" s="394"/>
      <c r="RT113" s="394"/>
      <c r="RU113" s="394"/>
      <c r="RV113" s="394"/>
      <c r="RW113" s="394"/>
      <c r="RX113" s="394"/>
      <c r="RY113" s="394"/>
      <c r="RZ113" s="394"/>
      <c r="SA113" s="394"/>
      <c r="SB113" s="394"/>
      <c r="SC113" s="394"/>
      <c r="SD113" s="394"/>
      <c r="SE113" s="394"/>
      <c r="SF113" s="394"/>
      <c r="SG113" s="394"/>
      <c r="SH113" s="394"/>
      <c r="SI113" s="394"/>
      <c r="SJ113" s="394"/>
    </row>
    <row r="114" spans="2:504" s="95" customFormat="1" ht="30" customHeight="1" x14ac:dyDescent="0.25">
      <c r="B114" s="97" t="str">
        <f>'Graph Data'!M68</f>
        <v>Rejected</v>
      </c>
      <c r="C114" s="96" t="str" cm="1">
        <f t="array" ref="C114">IFERROR(_xlfn.TEXTJOIN(", ",TRUE,IF($E$7:$SJ$7=B114,$E$11:$SJ$11,"")),"Excel 2019 or newer required for this function")</f>
        <v/>
      </c>
      <c r="D114" s="94">
        <f>SUMIFS($E$10:$SJ$10,$E$7:$SJ$7,B114,$E$7:$SJ$7,B114)</f>
        <v>0</v>
      </c>
      <c r="E114" s="394"/>
      <c r="F114" s="394"/>
      <c r="G114" s="394"/>
      <c r="H114" s="394"/>
      <c r="I114" s="394"/>
      <c r="J114" s="394"/>
      <c r="K114" s="394"/>
      <c r="L114" s="394"/>
      <c r="M114" s="394"/>
      <c r="N114" s="394"/>
      <c r="O114" s="394"/>
      <c r="P114" s="394"/>
      <c r="Q114" s="394"/>
      <c r="R114" s="394"/>
      <c r="S114" s="394"/>
      <c r="T114" s="394"/>
      <c r="U114" s="394"/>
      <c r="V114" s="394"/>
      <c r="W114" s="394"/>
      <c r="X114" s="394"/>
      <c r="Y114" s="394"/>
      <c r="Z114" s="394"/>
      <c r="AA114" s="394"/>
      <c r="AB114" s="394"/>
      <c r="AC114" s="394"/>
      <c r="AD114" s="394"/>
      <c r="AE114" s="394"/>
      <c r="AF114" s="394"/>
      <c r="AG114" s="394"/>
      <c r="AH114" s="394"/>
      <c r="AI114" s="394"/>
      <c r="AJ114" s="394"/>
      <c r="AK114" s="394"/>
      <c r="AL114" s="394"/>
      <c r="AM114" s="394"/>
      <c r="AN114" s="394"/>
      <c r="AO114" s="394"/>
      <c r="AP114" s="394"/>
      <c r="AQ114" s="394"/>
      <c r="AR114" s="394"/>
      <c r="AS114" s="394"/>
      <c r="AT114" s="394"/>
      <c r="AU114" s="394"/>
      <c r="AV114" s="394"/>
      <c r="AW114" s="394"/>
      <c r="AX114" s="394"/>
      <c r="AY114" s="394"/>
      <c r="AZ114" s="394"/>
      <c r="BA114" s="394"/>
      <c r="BB114" s="394"/>
      <c r="BC114" s="394"/>
      <c r="BD114" s="394"/>
      <c r="BE114" s="394"/>
      <c r="BF114" s="394"/>
      <c r="BG114" s="394"/>
      <c r="BH114" s="394"/>
      <c r="BI114" s="394"/>
      <c r="BJ114" s="394"/>
      <c r="BK114" s="394"/>
      <c r="BL114" s="394"/>
      <c r="BM114" s="394"/>
      <c r="BN114" s="394"/>
      <c r="BO114" s="394"/>
      <c r="BP114" s="394"/>
      <c r="BQ114" s="394"/>
      <c r="BR114" s="394"/>
      <c r="BS114" s="394"/>
      <c r="BT114" s="394"/>
      <c r="BU114" s="394"/>
      <c r="BV114" s="394"/>
      <c r="BW114" s="394"/>
      <c r="BX114" s="394"/>
      <c r="BY114" s="394"/>
      <c r="BZ114" s="394"/>
      <c r="CA114" s="394"/>
      <c r="CB114" s="394"/>
      <c r="CC114" s="394"/>
      <c r="CD114" s="394"/>
      <c r="CE114" s="394"/>
      <c r="CF114" s="394"/>
      <c r="CG114" s="394"/>
      <c r="CH114" s="394"/>
      <c r="CI114" s="394"/>
      <c r="CJ114" s="394"/>
      <c r="CK114" s="394"/>
      <c r="CL114" s="394"/>
      <c r="CM114" s="394"/>
      <c r="CN114" s="394"/>
      <c r="CO114" s="394"/>
      <c r="CP114" s="394"/>
      <c r="CQ114" s="394"/>
      <c r="CR114" s="394"/>
      <c r="CS114" s="394"/>
      <c r="CT114" s="394"/>
      <c r="CU114" s="394"/>
      <c r="CV114" s="394"/>
      <c r="CW114" s="394"/>
      <c r="CX114" s="394"/>
      <c r="CY114" s="394"/>
      <c r="CZ114" s="394"/>
      <c r="DA114" s="394"/>
      <c r="DB114" s="394"/>
      <c r="DC114" s="394"/>
      <c r="DD114" s="394"/>
      <c r="DE114" s="394"/>
      <c r="DF114" s="394"/>
      <c r="DG114" s="394"/>
      <c r="DH114" s="394"/>
      <c r="DI114" s="394"/>
      <c r="DJ114" s="394"/>
      <c r="DK114" s="394"/>
      <c r="DL114" s="394"/>
      <c r="DM114" s="394"/>
      <c r="DN114" s="394"/>
      <c r="DO114" s="394"/>
      <c r="DP114" s="394"/>
      <c r="DQ114" s="394"/>
      <c r="DR114" s="394"/>
      <c r="DS114" s="394"/>
      <c r="DT114" s="394"/>
      <c r="DU114" s="394"/>
      <c r="DV114" s="394"/>
      <c r="DW114" s="394"/>
      <c r="DX114" s="394"/>
      <c r="DY114" s="394"/>
      <c r="DZ114" s="394"/>
      <c r="EA114" s="394"/>
      <c r="EB114" s="394"/>
      <c r="EC114" s="394"/>
      <c r="ED114" s="394"/>
      <c r="EE114" s="394"/>
      <c r="EF114" s="394"/>
      <c r="EG114" s="394"/>
      <c r="EH114" s="394"/>
      <c r="EI114" s="394"/>
      <c r="EJ114" s="394"/>
      <c r="EK114" s="394"/>
      <c r="EL114" s="394"/>
      <c r="EM114" s="394"/>
      <c r="EN114" s="394"/>
      <c r="EO114" s="394"/>
      <c r="EP114" s="394"/>
      <c r="EQ114" s="394"/>
      <c r="ER114" s="394"/>
      <c r="ES114" s="394"/>
      <c r="ET114" s="394"/>
      <c r="EU114" s="394"/>
      <c r="EV114" s="394"/>
      <c r="EW114" s="394"/>
      <c r="EX114" s="394"/>
      <c r="EY114" s="394"/>
      <c r="EZ114" s="394"/>
      <c r="FA114" s="394"/>
      <c r="FB114" s="394"/>
      <c r="FC114" s="394"/>
      <c r="FD114" s="394"/>
      <c r="FE114" s="394"/>
      <c r="FF114" s="394"/>
      <c r="FG114" s="394"/>
      <c r="FH114" s="394"/>
      <c r="FI114" s="394"/>
      <c r="FJ114" s="394"/>
      <c r="FK114" s="394"/>
      <c r="FL114" s="394"/>
      <c r="FM114" s="394"/>
      <c r="FN114" s="394"/>
      <c r="FO114" s="394"/>
      <c r="FP114" s="394"/>
      <c r="FQ114" s="394"/>
      <c r="FR114" s="394"/>
      <c r="FS114" s="394"/>
      <c r="FT114" s="394"/>
      <c r="FU114" s="394"/>
      <c r="FV114" s="394"/>
      <c r="FW114" s="394"/>
      <c r="FX114" s="394"/>
      <c r="FY114" s="394"/>
      <c r="FZ114" s="394"/>
      <c r="GA114" s="394"/>
      <c r="GB114" s="394"/>
      <c r="GC114" s="394"/>
      <c r="GD114" s="394"/>
      <c r="GE114" s="394"/>
      <c r="GF114" s="394"/>
      <c r="GG114" s="394"/>
      <c r="GH114" s="394"/>
      <c r="GI114" s="394"/>
      <c r="GJ114" s="394"/>
      <c r="GK114" s="394"/>
      <c r="GL114" s="394"/>
      <c r="GM114" s="394"/>
      <c r="GN114" s="394"/>
      <c r="GO114" s="394"/>
      <c r="GP114" s="394"/>
      <c r="GQ114" s="394"/>
      <c r="GR114" s="394"/>
      <c r="GS114" s="394"/>
      <c r="GT114" s="394"/>
      <c r="GU114" s="394"/>
      <c r="GV114" s="394"/>
      <c r="GW114" s="394"/>
      <c r="GX114" s="394"/>
      <c r="GY114" s="394"/>
      <c r="GZ114" s="394"/>
      <c r="HA114" s="394"/>
      <c r="HB114" s="394"/>
      <c r="HC114" s="394"/>
      <c r="HD114" s="394"/>
      <c r="HE114" s="394"/>
      <c r="HF114" s="394"/>
      <c r="HG114" s="394"/>
      <c r="HH114" s="394"/>
      <c r="HI114" s="394"/>
      <c r="HJ114" s="394"/>
      <c r="HK114" s="394"/>
      <c r="HL114" s="394"/>
      <c r="HM114" s="394"/>
      <c r="HN114" s="394"/>
      <c r="HO114" s="394"/>
      <c r="HP114" s="394"/>
      <c r="HQ114" s="394"/>
      <c r="HR114" s="394"/>
      <c r="HS114" s="394"/>
      <c r="HT114" s="394"/>
      <c r="HU114" s="394"/>
      <c r="HV114" s="394"/>
      <c r="HW114" s="394"/>
      <c r="HX114" s="394"/>
      <c r="HY114" s="394"/>
      <c r="HZ114" s="394"/>
      <c r="IA114" s="394"/>
      <c r="IB114" s="394"/>
      <c r="IC114" s="394"/>
      <c r="ID114" s="394"/>
      <c r="IE114" s="394"/>
      <c r="IF114" s="394"/>
      <c r="IG114" s="394"/>
      <c r="IH114" s="394"/>
      <c r="II114" s="394"/>
      <c r="IJ114" s="394"/>
      <c r="IK114" s="394"/>
      <c r="IL114" s="394"/>
      <c r="IM114" s="394"/>
      <c r="IN114" s="394"/>
      <c r="IO114" s="394"/>
      <c r="IP114" s="394"/>
      <c r="IQ114" s="394"/>
      <c r="IR114" s="394"/>
      <c r="IS114" s="394"/>
      <c r="IT114" s="394"/>
      <c r="IU114" s="394"/>
      <c r="IV114" s="394"/>
      <c r="IW114" s="394"/>
      <c r="IX114" s="394"/>
      <c r="IY114" s="394"/>
      <c r="IZ114" s="394"/>
      <c r="JA114" s="394"/>
      <c r="JB114" s="394"/>
      <c r="JC114" s="394"/>
      <c r="JD114" s="394"/>
      <c r="JE114" s="394"/>
      <c r="JF114" s="394"/>
      <c r="JG114" s="394"/>
      <c r="JH114" s="394"/>
      <c r="JI114" s="394"/>
      <c r="JJ114" s="394"/>
      <c r="JK114" s="394"/>
      <c r="JL114" s="394"/>
      <c r="JM114" s="394"/>
      <c r="JN114" s="394"/>
      <c r="JO114" s="394"/>
      <c r="JP114" s="394"/>
      <c r="JQ114" s="394"/>
      <c r="JR114" s="394"/>
      <c r="JS114" s="394"/>
      <c r="JT114" s="394"/>
      <c r="JU114" s="394"/>
      <c r="JV114" s="394"/>
      <c r="JW114" s="394"/>
      <c r="JX114" s="394"/>
      <c r="JY114" s="394"/>
      <c r="JZ114" s="394"/>
      <c r="KA114" s="394"/>
      <c r="KB114" s="394"/>
      <c r="KC114" s="394"/>
      <c r="KD114" s="394"/>
      <c r="KE114" s="394"/>
      <c r="KF114" s="394"/>
      <c r="KG114" s="394"/>
      <c r="KH114" s="394"/>
      <c r="KI114" s="394"/>
      <c r="KJ114" s="394"/>
      <c r="KK114" s="394"/>
      <c r="KL114" s="394"/>
      <c r="KM114" s="394"/>
      <c r="KN114" s="394"/>
      <c r="KO114" s="394"/>
      <c r="KP114" s="394"/>
      <c r="KQ114" s="394"/>
      <c r="KR114" s="394"/>
      <c r="KS114" s="394"/>
      <c r="KT114" s="394"/>
      <c r="KU114" s="394"/>
      <c r="KV114" s="394"/>
      <c r="KW114" s="394"/>
      <c r="KX114" s="394"/>
      <c r="KY114" s="394"/>
      <c r="KZ114" s="394"/>
      <c r="LA114" s="394"/>
      <c r="LB114" s="394"/>
      <c r="LC114" s="394"/>
      <c r="LD114" s="394"/>
      <c r="LE114" s="394"/>
      <c r="LF114" s="394"/>
      <c r="LG114" s="394"/>
      <c r="LH114" s="394"/>
      <c r="LI114" s="394"/>
      <c r="LJ114" s="394"/>
      <c r="LK114" s="394"/>
      <c r="LL114" s="394"/>
      <c r="LM114" s="394"/>
      <c r="LN114" s="394"/>
      <c r="LO114" s="394"/>
      <c r="LP114" s="394"/>
      <c r="LQ114" s="394"/>
      <c r="LR114" s="394"/>
      <c r="LS114" s="394"/>
      <c r="LT114" s="394"/>
      <c r="LU114" s="394"/>
      <c r="LV114" s="394"/>
      <c r="LW114" s="394"/>
      <c r="LX114" s="394"/>
      <c r="LY114" s="394"/>
      <c r="LZ114" s="394"/>
      <c r="MA114" s="394"/>
      <c r="MB114" s="394"/>
      <c r="MC114" s="394"/>
      <c r="MD114" s="394"/>
      <c r="ME114" s="394"/>
      <c r="MF114" s="394"/>
      <c r="MG114" s="394"/>
      <c r="MH114" s="394"/>
      <c r="MI114" s="394"/>
      <c r="MJ114" s="394"/>
      <c r="MK114" s="394"/>
      <c r="ML114" s="394"/>
      <c r="MM114" s="394"/>
      <c r="MN114" s="394"/>
      <c r="MO114" s="394"/>
      <c r="MP114" s="394"/>
      <c r="MQ114" s="394"/>
      <c r="MR114" s="394"/>
      <c r="MS114" s="394"/>
      <c r="MT114" s="394"/>
      <c r="MU114" s="394"/>
      <c r="MV114" s="394"/>
      <c r="MW114" s="394"/>
      <c r="MX114" s="394"/>
      <c r="MY114" s="394"/>
      <c r="MZ114" s="394"/>
      <c r="NA114" s="394"/>
      <c r="NB114" s="394"/>
      <c r="NC114" s="394"/>
      <c r="ND114" s="394"/>
      <c r="NE114" s="394"/>
      <c r="NF114" s="394"/>
      <c r="NG114" s="394"/>
      <c r="NH114" s="394"/>
      <c r="NI114" s="394"/>
      <c r="NJ114" s="394"/>
      <c r="NK114" s="394"/>
      <c r="NL114" s="394"/>
      <c r="NM114" s="394"/>
      <c r="NN114" s="394"/>
      <c r="NO114" s="394"/>
      <c r="NP114" s="394"/>
      <c r="NQ114" s="394"/>
      <c r="NR114" s="394"/>
      <c r="NS114" s="394"/>
      <c r="NT114" s="394"/>
      <c r="NU114" s="394"/>
      <c r="NV114" s="394"/>
      <c r="NW114" s="394"/>
      <c r="NX114" s="394"/>
      <c r="NY114" s="394"/>
      <c r="NZ114" s="394"/>
      <c r="OA114" s="394"/>
      <c r="OB114" s="394"/>
      <c r="OC114" s="394"/>
      <c r="OD114" s="394"/>
      <c r="OE114" s="394"/>
      <c r="OF114" s="394"/>
      <c r="OG114" s="394"/>
      <c r="OH114" s="394"/>
      <c r="OI114" s="394"/>
      <c r="OJ114" s="394"/>
      <c r="OK114" s="394"/>
      <c r="OL114" s="394"/>
      <c r="OM114" s="394"/>
      <c r="ON114" s="394"/>
      <c r="OO114" s="394"/>
      <c r="OP114" s="394"/>
      <c r="OQ114" s="394"/>
      <c r="OR114" s="394"/>
      <c r="OS114" s="394"/>
      <c r="OT114" s="394"/>
      <c r="OU114" s="394"/>
      <c r="OV114" s="394"/>
      <c r="OW114" s="394"/>
      <c r="OX114" s="394"/>
      <c r="OY114" s="394"/>
      <c r="OZ114" s="394"/>
      <c r="PA114" s="394"/>
      <c r="PB114" s="394"/>
      <c r="PC114" s="394"/>
      <c r="PD114" s="394"/>
      <c r="PE114" s="394"/>
      <c r="PF114" s="394"/>
      <c r="PG114" s="394"/>
      <c r="PH114" s="394"/>
      <c r="PI114" s="394"/>
      <c r="PJ114" s="394"/>
      <c r="PK114" s="394"/>
      <c r="PL114" s="394"/>
      <c r="PM114" s="394"/>
      <c r="PN114" s="394"/>
      <c r="PO114" s="394"/>
      <c r="PP114" s="394"/>
      <c r="PQ114" s="394"/>
      <c r="PR114" s="394"/>
      <c r="PS114" s="394"/>
      <c r="PT114" s="394"/>
      <c r="PU114" s="394"/>
      <c r="PV114" s="394"/>
      <c r="PW114" s="394"/>
      <c r="PX114" s="394"/>
      <c r="PY114" s="394"/>
      <c r="PZ114" s="394"/>
      <c r="QA114" s="394"/>
      <c r="QB114" s="394"/>
      <c r="QC114" s="394"/>
      <c r="QD114" s="394"/>
      <c r="QE114" s="394"/>
      <c r="QF114" s="394"/>
      <c r="QG114" s="394"/>
      <c r="QH114" s="394"/>
      <c r="QI114" s="394"/>
      <c r="QJ114" s="394"/>
      <c r="QK114" s="394"/>
      <c r="QL114" s="394"/>
      <c r="QM114" s="394"/>
      <c r="QN114" s="394"/>
      <c r="QO114" s="394"/>
      <c r="QP114" s="394"/>
      <c r="QQ114" s="394"/>
      <c r="QR114" s="394"/>
      <c r="QS114" s="394"/>
      <c r="QT114" s="394"/>
      <c r="QU114" s="394"/>
      <c r="QV114" s="394"/>
      <c r="QW114" s="394"/>
      <c r="QX114" s="394"/>
      <c r="QY114" s="394"/>
      <c r="QZ114" s="394"/>
      <c r="RA114" s="394"/>
      <c r="RB114" s="394"/>
      <c r="RC114" s="394"/>
      <c r="RD114" s="394"/>
      <c r="RE114" s="394"/>
      <c r="RF114" s="394"/>
      <c r="RG114" s="394"/>
      <c r="RH114" s="394"/>
      <c r="RI114" s="394"/>
      <c r="RJ114" s="394"/>
      <c r="RK114" s="394"/>
      <c r="RL114" s="394"/>
      <c r="RM114" s="394"/>
      <c r="RN114" s="394"/>
      <c r="RO114" s="394"/>
      <c r="RP114" s="394"/>
      <c r="RQ114" s="394"/>
      <c r="RR114" s="394"/>
      <c r="RS114" s="394"/>
      <c r="RT114" s="394"/>
      <c r="RU114" s="394"/>
      <c r="RV114" s="394"/>
      <c r="RW114" s="394"/>
      <c r="RX114" s="394"/>
      <c r="RY114" s="394"/>
      <c r="RZ114" s="394"/>
      <c r="SA114" s="394"/>
      <c r="SB114" s="394"/>
      <c r="SC114" s="394"/>
      <c r="SD114" s="394"/>
      <c r="SE114" s="394"/>
      <c r="SF114" s="394"/>
      <c r="SG114" s="394"/>
      <c r="SH114" s="394"/>
      <c r="SI114" s="394"/>
      <c r="SJ114" s="394"/>
    </row>
    <row r="115" spans="2:504" s="95" customFormat="1" ht="15.75" thickBot="1" x14ac:dyDescent="0.3">
      <c r="B115" s="98" t="s">
        <v>104</v>
      </c>
      <c r="C115" s="100"/>
      <c r="D115" s="100">
        <f>SUM(D111:D114)</f>
        <v>0</v>
      </c>
      <c r="E115" s="394"/>
      <c r="F115" s="394"/>
      <c r="G115" s="394"/>
      <c r="H115" s="394"/>
      <c r="I115" s="394"/>
      <c r="J115" s="394"/>
      <c r="K115" s="394"/>
      <c r="L115" s="394"/>
      <c r="M115" s="394"/>
      <c r="N115" s="394"/>
      <c r="O115" s="394"/>
      <c r="P115" s="394"/>
      <c r="Q115" s="394"/>
      <c r="R115" s="394"/>
      <c r="S115" s="394"/>
      <c r="T115" s="394"/>
      <c r="U115" s="394"/>
      <c r="V115" s="394"/>
      <c r="W115" s="394"/>
      <c r="X115" s="394"/>
      <c r="Y115" s="394"/>
      <c r="Z115" s="394"/>
      <c r="AA115" s="394"/>
      <c r="AB115" s="394"/>
      <c r="AC115" s="394"/>
      <c r="AD115" s="394"/>
      <c r="AE115" s="394"/>
      <c r="AF115" s="394"/>
      <c r="AG115" s="394"/>
      <c r="AH115" s="394"/>
      <c r="AI115" s="394"/>
      <c r="AJ115" s="394"/>
      <c r="AK115" s="394"/>
      <c r="AL115" s="394"/>
      <c r="AM115" s="394"/>
      <c r="AN115" s="394"/>
      <c r="AO115" s="394"/>
      <c r="AP115" s="394"/>
      <c r="AQ115" s="394"/>
      <c r="AR115" s="394"/>
      <c r="AS115" s="394"/>
      <c r="AT115" s="394"/>
      <c r="AU115" s="394"/>
      <c r="AV115" s="394"/>
      <c r="AW115" s="394"/>
      <c r="AX115" s="394"/>
      <c r="AY115" s="394"/>
      <c r="AZ115" s="394"/>
      <c r="BA115" s="394"/>
      <c r="BB115" s="394"/>
      <c r="BC115" s="394"/>
      <c r="BD115" s="394"/>
      <c r="BE115" s="394"/>
      <c r="BF115" s="394"/>
      <c r="BG115" s="394"/>
      <c r="BH115" s="394"/>
      <c r="BI115" s="394"/>
      <c r="BJ115" s="394"/>
      <c r="BK115" s="394"/>
      <c r="BL115" s="394"/>
      <c r="BM115" s="394"/>
      <c r="BN115" s="394"/>
      <c r="BO115" s="394"/>
      <c r="BP115" s="394"/>
      <c r="BQ115" s="394"/>
      <c r="BR115" s="394"/>
      <c r="BS115" s="394"/>
      <c r="BT115" s="394"/>
      <c r="BU115" s="394"/>
      <c r="BV115" s="394"/>
      <c r="BW115" s="394"/>
      <c r="BX115" s="394"/>
      <c r="BY115" s="394"/>
      <c r="BZ115" s="394"/>
      <c r="CA115" s="394"/>
      <c r="CB115" s="394"/>
      <c r="CC115" s="394"/>
      <c r="CD115" s="394"/>
      <c r="CE115" s="394"/>
      <c r="CF115" s="394"/>
      <c r="CG115" s="394"/>
      <c r="CH115" s="394"/>
      <c r="CI115" s="394"/>
      <c r="CJ115" s="394"/>
      <c r="CK115" s="394"/>
      <c r="CL115" s="394"/>
      <c r="CM115" s="394"/>
      <c r="CN115" s="394"/>
      <c r="CO115" s="394"/>
      <c r="CP115" s="394"/>
      <c r="CQ115" s="394"/>
      <c r="CR115" s="394"/>
      <c r="CS115" s="394"/>
      <c r="CT115" s="394"/>
      <c r="CU115" s="394"/>
      <c r="CV115" s="394"/>
      <c r="CW115" s="394"/>
      <c r="CX115" s="394"/>
      <c r="CY115" s="394"/>
      <c r="CZ115" s="394"/>
      <c r="DA115" s="394"/>
      <c r="DB115" s="394"/>
      <c r="DC115" s="394"/>
      <c r="DD115" s="394"/>
      <c r="DE115" s="394"/>
      <c r="DF115" s="394"/>
      <c r="DG115" s="394"/>
      <c r="DH115" s="394"/>
      <c r="DI115" s="394"/>
      <c r="DJ115" s="394"/>
      <c r="DK115" s="394"/>
      <c r="DL115" s="394"/>
      <c r="DM115" s="394"/>
      <c r="DN115" s="394"/>
      <c r="DO115" s="394"/>
      <c r="DP115" s="394"/>
      <c r="DQ115" s="394"/>
      <c r="DR115" s="394"/>
      <c r="DS115" s="394"/>
      <c r="DT115" s="394"/>
      <c r="DU115" s="394"/>
      <c r="DV115" s="394"/>
      <c r="DW115" s="394"/>
      <c r="DX115" s="394"/>
      <c r="DY115" s="394"/>
      <c r="DZ115" s="394"/>
      <c r="EA115" s="394"/>
      <c r="EB115" s="394"/>
      <c r="EC115" s="394"/>
      <c r="ED115" s="394"/>
      <c r="EE115" s="394"/>
      <c r="EF115" s="394"/>
      <c r="EG115" s="394"/>
      <c r="EH115" s="394"/>
      <c r="EI115" s="394"/>
      <c r="EJ115" s="394"/>
      <c r="EK115" s="394"/>
      <c r="EL115" s="394"/>
      <c r="EM115" s="394"/>
      <c r="EN115" s="394"/>
      <c r="EO115" s="394"/>
      <c r="EP115" s="394"/>
      <c r="EQ115" s="394"/>
      <c r="ER115" s="394"/>
      <c r="ES115" s="394"/>
      <c r="ET115" s="394"/>
      <c r="EU115" s="394"/>
      <c r="EV115" s="394"/>
      <c r="EW115" s="394"/>
      <c r="EX115" s="394"/>
      <c r="EY115" s="394"/>
      <c r="EZ115" s="394"/>
      <c r="FA115" s="394"/>
      <c r="FB115" s="394"/>
      <c r="FC115" s="394"/>
      <c r="FD115" s="394"/>
      <c r="FE115" s="394"/>
      <c r="FF115" s="394"/>
      <c r="FG115" s="394"/>
      <c r="FH115" s="394"/>
      <c r="FI115" s="394"/>
      <c r="FJ115" s="394"/>
      <c r="FK115" s="394"/>
      <c r="FL115" s="394"/>
      <c r="FM115" s="394"/>
      <c r="FN115" s="394"/>
      <c r="FO115" s="394"/>
      <c r="FP115" s="394"/>
      <c r="FQ115" s="394"/>
      <c r="FR115" s="394"/>
      <c r="FS115" s="394"/>
      <c r="FT115" s="394"/>
      <c r="FU115" s="394"/>
      <c r="FV115" s="394"/>
      <c r="FW115" s="394"/>
      <c r="FX115" s="394"/>
      <c r="FY115" s="394"/>
      <c r="FZ115" s="394"/>
      <c r="GA115" s="394"/>
      <c r="GB115" s="394"/>
      <c r="GC115" s="394"/>
      <c r="GD115" s="394"/>
      <c r="GE115" s="394"/>
      <c r="GF115" s="394"/>
      <c r="GG115" s="394"/>
      <c r="GH115" s="394"/>
      <c r="GI115" s="394"/>
      <c r="GJ115" s="394"/>
      <c r="GK115" s="394"/>
      <c r="GL115" s="394"/>
      <c r="GM115" s="394"/>
      <c r="GN115" s="394"/>
      <c r="GO115" s="394"/>
      <c r="GP115" s="394"/>
      <c r="GQ115" s="394"/>
      <c r="GR115" s="394"/>
      <c r="GS115" s="394"/>
      <c r="GT115" s="394"/>
      <c r="GU115" s="394"/>
      <c r="GV115" s="394"/>
      <c r="GW115" s="394"/>
      <c r="GX115" s="394"/>
      <c r="GY115" s="394"/>
      <c r="GZ115" s="394"/>
      <c r="HA115" s="394"/>
      <c r="HB115" s="394"/>
      <c r="HC115" s="394"/>
      <c r="HD115" s="394"/>
      <c r="HE115" s="394"/>
      <c r="HF115" s="394"/>
      <c r="HG115" s="394"/>
      <c r="HH115" s="394"/>
      <c r="HI115" s="394"/>
      <c r="HJ115" s="394"/>
      <c r="HK115" s="394"/>
      <c r="HL115" s="394"/>
      <c r="HM115" s="394"/>
      <c r="HN115" s="394"/>
      <c r="HO115" s="394"/>
      <c r="HP115" s="394"/>
      <c r="HQ115" s="394"/>
      <c r="HR115" s="394"/>
      <c r="HS115" s="394"/>
      <c r="HT115" s="394"/>
      <c r="HU115" s="394"/>
      <c r="HV115" s="394"/>
      <c r="HW115" s="394"/>
      <c r="HX115" s="394"/>
      <c r="HY115" s="394"/>
      <c r="HZ115" s="394"/>
      <c r="IA115" s="394"/>
      <c r="IB115" s="394"/>
      <c r="IC115" s="394"/>
      <c r="ID115" s="394"/>
      <c r="IE115" s="394"/>
      <c r="IF115" s="394"/>
      <c r="IG115" s="394"/>
      <c r="IH115" s="394"/>
      <c r="II115" s="394"/>
      <c r="IJ115" s="394"/>
      <c r="IK115" s="394"/>
      <c r="IL115" s="394"/>
      <c r="IM115" s="394"/>
      <c r="IN115" s="394"/>
      <c r="IO115" s="394"/>
      <c r="IP115" s="394"/>
      <c r="IQ115" s="394"/>
      <c r="IR115" s="394"/>
      <c r="IS115" s="394"/>
      <c r="IT115" s="394"/>
      <c r="IU115" s="394"/>
      <c r="IV115" s="394"/>
      <c r="IW115" s="394"/>
      <c r="IX115" s="394"/>
      <c r="IY115" s="394"/>
      <c r="IZ115" s="394"/>
      <c r="JA115" s="394"/>
      <c r="JB115" s="394"/>
      <c r="JC115" s="394"/>
      <c r="JD115" s="394"/>
      <c r="JE115" s="394"/>
      <c r="JF115" s="394"/>
      <c r="JG115" s="394"/>
      <c r="JH115" s="394"/>
      <c r="JI115" s="394"/>
      <c r="JJ115" s="394"/>
      <c r="JK115" s="394"/>
      <c r="JL115" s="394"/>
      <c r="JM115" s="394"/>
      <c r="JN115" s="394"/>
      <c r="JO115" s="394"/>
      <c r="JP115" s="394"/>
      <c r="JQ115" s="394"/>
      <c r="JR115" s="394"/>
      <c r="JS115" s="394"/>
      <c r="JT115" s="394"/>
      <c r="JU115" s="394"/>
      <c r="JV115" s="394"/>
      <c r="JW115" s="394"/>
      <c r="JX115" s="394"/>
      <c r="JY115" s="394"/>
      <c r="JZ115" s="394"/>
      <c r="KA115" s="394"/>
      <c r="KB115" s="394"/>
      <c r="KC115" s="394"/>
      <c r="KD115" s="394"/>
      <c r="KE115" s="394"/>
      <c r="KF115" s="394"/>
      <c r="KG115" s="394"/>
      <c r="KH115" s="394"/>
      <c r="KI115" s="394"/>
      <c r="KJ115" s="394"/>
      <c r="KK115" s="394"/>
      <c r="KL115" s="394"/>
      <c r="KM115" s="394"/>
      <c r="KN115" s="394"/>
      <c r="KO115" s="394"/>
      <c r="KP115" s="394"/>
      <c r="KQ115" s="394"/>
      <c r="KR115" s="394"/>
      <c r="KS115" s="394"/>
      <c r="KT115" s="394"/>
      <c r="KU115" s="394"/>
      <c r="KV115" s="394"/>
      <c r="KW115" s="394"/>
      <c r="KX115" s="394"/>
      <c r="KY115" s="394"/>
      <c r="KZ115" s="394"/>
      <c r="LA115" s="394"/>
      <c r="LB115" s="394"/>
      <c r="LC115" s="394"/>
      <c r="LD115" s="394"/>
      <c r="LE115" s="394"/>
      <c r="LF115" s="394"/>
      <c r="LG115" s="394"/>
      <c r="LH115" s="394"/>
      <c r="LI115" s="394"/>
      <c r="LJ115" s="394"/>
      <c r="LK115" s="394"/>
      <c r="LL115" s="394"/>
      <c r="LM115" s="394"/>
      <c r="LN115" s="394"/>
      <c r="LO115" s="394"/>
      <c r="LP115" s="394"/>
      <c r="LQ115" s="394"/>
      <c r="LR115" s="394"/>
      <c r="LS115" s="394"/>
      <c r="LT115" s="394"/>
      <c r="LU115" s="394"/>
      <c r="LV115" s="394"/>
      <c r="LW115" s="394"/>
      <c r="LX115" s="394"/>
      <c r="LY115" s="394"/>
      <c r="LZ115" s="394"/>
      <c r="MA115" s="394"/>
      <c r="MB115" s="394"/>
      <c r="MC115" s="394"/>
      <c r="MD115" s="394"/>
      <c r="ME115" s="394"/>
      <c r="MF115" s="394"/>
      <c r="MG115" s="394"/>
      <c r="MH115" s="394"/>
      <c r="MI115" s="394"/>
      <c r="MJ115" s="394"/>
      <c r="MK115" s="394"/>
      <c r="ML115" s="394"/>
      <c r="MM115" s="394"/>
      <c r="MN115" s="394"/>
      <c r="MO115" s="394"/>
      <c r="MP115" s="394"/>
      <c r="MQ115" s="394"/>
      <c r="MR115" s="394"/>
      <c r="MS115" s="394"/>
      <c r="MT115" s="394"/>
      <c r="MU115" s="394"/>
      <c r="MV115" s="394"/>
      <c r="MW115" s="394"/>
      <c r="MX115" s="394"/>
      <c r="MY115" s="394"/>
      <c r="MZ115" s="394"/>
      <c r="NA115" s="394"/>
      <c r="NB115" s="394"/>
      <c r="NC115" s="394"/>
      <c r="ND115" s="394"/>
      <c r="NE115" s="394"/>
      <c r="NF115" s="394"/>
      <c r="NG115" s="394"/>
      <c r="NH115" s="394"/>
      <c r="NI115" s="394"/>
      <c r="NJ115" s="394"/>
      <c r="NK115" s="394"/>
      <c r="NL115" s="394"/>
      <c r="NM115" s="394"/>
      <c r="NN115" s="394"/>
      <c r="NO115" s="394"/>
      <c r="NP115" s="394"/>
      <c r="NQ115" s="394"/>
      <c r="NR115" s="394"/>
      <c r="NS115" s="394"/>
      <c r="NT115" s="394"/>
      <c r="NU115" s="394"/>
      <c r="NV115" s="394"/>
      <c r="NW115" s="394"/>
      <c r="NX115" s="394"/>
      <c r="NY115" s="394"/>
      <c r="NZ115" s="394"/>
      <c r="OA115" s="394"/>
      <c r="OB115" s="394"/>
      <c r="OC115" s="394"/>
      <c r="OD115" s="394"/>
      <c r="OE115" s="394"/>
      <c r="OF115" s="394"/>
      <c r="OG115" s="394"/>
      <c r="OH115" s="394"/>
      <c r="OI115" s="394"/>
      <c r="OJ115" s="394"/>
      <c r="OK115" s="394"/>
      <c r="OL115" s="394"/>
      <c r="OM115" s="394"/>
      <c r="ON115" s="394"/>
      <c r="OO115" s="394"/>
      <c r="OP115" s="394"/>
      <c r="OQ115" s="394"/>
      <c r="OR115" s="394"/>
      <c r="OS115" s="394"/>
      <c r="OT115" s="394"/>
      <c r="OU115" s="394"/>
      <c r="OV115" s="394"/>
      <c r="OW115" s="394"/>
      <c r="OX115" s="394"/>
      <c r="OY115" s="394"/>
      <c r="OZ115" s="394"/>
      <c r="PA115" s="394"/>
      <c r="PB115" s="394"/>
      <c r="PC115" s="394"/>
      <c r="PD115" s="394"/>
      <c r="PE115" s="394"/>
      <c r="PF115" s="394"/>
      <c r="PG115" s="394"/>
      <c r="PH115" s="394"/>
      <c r="PI115" s="394"/>
      <c r="PJ115" s="394"/>
      <c r="PK115" s="394"/>
      <c r="PL115" s="394"/>
      <c r="PM115" s="394"/>
      <c r="PN115" s="394"/>
      <c r="PO115" s="394"/>
      <c r="PP115" s="394"/>
      <c r="PQ115" s="394"/>
      <c r="PR115" s="394"/>
      <c r="PS115" s="394"/>
      <c r="PT115" s="394"/>
      <c r="PU115" s="394"/>
      <c r="PV115" s="394"/>
      <c r="PW115" s="394"/>
      <c r="PX115" s="394"/>
      <c r="PY115" s="394"/>
      <c r="PZ115" s="394"/>
      <c r="QA115" s="394"/>
      <c r="QB115" s="394"/>
      <c r="QC115" s="394"/>
      <c r="QD115" s="394"/>
      <c r="QE115" s="394"/>
      <c r="QF115" s="394"/>
      <c r="QG115" s="394"/>
      <c r="QH115" s="394"/>
      <c r="QI115" s="394"/>
      <c r="QJ115" s="394"/>
      <c r="QK115" s="394"/>
      <c r="QL115" s="394"/>
      <c r="QM115" s="394"/>
      <c r="QN115" s="394"/>
      <c r="QO115" s="394"/>
      <c r="QP115" s="394"/>
      <c r="QQ115" s="394"/>
      <c r="QR115" s="394"/>
      <c r="QS115" s="394"/>
      <c r="QT115" s="394"/>
      <c r="QU115" s="394"/>
      <c r="QV115" s="394"/>
      <c r="QW115" s="394"/>
      <c r="QX115" s="394"/>
      <c r="QY115" s="394"/>
      <c r="QZ115" s="394"/>
      <c r="RA115" s="394"/>
      <c r="RB115" s="394"/>
      <c r="RC115" s="394"/>
      <c r="RD115" s="394"/>
      <c r="RE115" s="394"/>
      <c r="RF115" s="394"/>
      <c r="RG115" s="394"/>
      <c r="RH115" s="394"/>
      <c r="RI115" s="394"/>
      <c r="RJ115" s="394"/>
      <c r="RK115" s="394"/>
      <c r="RL115" s="394"/>
      <c r="RM115" s="394"/>
      <c r="RN115" s="394"/>
      <c r="RO115" s="394"/>
      <c r="RP115" s="394"/>
      <c r="RQ115" s="394"/>
      <c r="RR115" s="394"/>
      <c r="RS115" s="394"/>
      <c r="RT115" s="394"/>
      <c r="RU115" s="394"/>
      <c r="RV115" s="394"/>
      <c r="RW115" s="394"/>
      <c r="RX115" s="394"/>
      <c r="RY115" s="394"/>
      <c r="RZ115" s="394"/>
      <c r="SA115" s="394"/>
      <c r="SB115" s="394"/>
      <c r="SC115" s="394"/>
      <c r="SD115" s="394"/>
      <c r="SE115" s="394"/>
      <c r="SF115" s="394"/>
      <c r="SG115" s="394"/>
      <c r="SH115" s="394"/>
      <c r="SI115" s="394"/>
      <c r="SJ115" s="394"/>
    </row>
    <row r="116" spans="2:504" s="95" customFormat="1" ht="15.75" thickTop="1" x14ac:dyDescent="0.25">
      <c r="B116" s="102"/>
      <c r="C116" s="103"/>
      <c r="D116" s="103"/>
      <c r="E116" s="394"/>
      <c r="F116" s="394"/>
      <c r="G116" s="394"/>
      <c r="H116" s="394"/>
      <c r="I116" s="394"/>
      <c r="J116" s="394"/>
      <c r="K116" s="394"/>
      <c r="L116" s="394"/>
      <c r="M116" s="394"/>
      <c r="N116" s="394"/>
      <c r="O116" s="394"/>
      <c r="P116" s="394"/>
      <c r="Q116" s="394"/>
      <c r="R116" s="394"/>
      <c r="S116" s="394"/>
      <c r="T116" s="394"/>
      <c r="U116" s="394"/>
      <c r="V116" s="394"/>
      <c r="W116" s="394"/>
      <c r="X116" s="394"/>
      <c r="Y116" s="394"/>
      <c r="Z116" s="394"/>
      <c r="AA116" s="394"/>
      <c r="AB116" s="394"/>
      <c r="AC116" s="394"/>
      <c r="AD116" s="394"/>
      <c r="AE116" s="394"/>
      <c r="AF116" s="394"/>
      <c r="AG116" s="394"/>
      <c r="AH116" s="394"/>
      <c r="AI116" s="394"/>
      <c r="AJ116" s="394"/>
      <c r="AK116" s="394"/>
      <c r="AL116" s="394"/>
      <c r="AM116" s="394"/>
      <c r="AN116" s="394"/>
      <c r="AO116" s="394"/>
      <c r="AP116" s="394"/>
      <c r="AQ116" s="394"/>
      <c r="AR116" s="394"/>
      <c r="AS116" s="394"/>
      <c r="AT116" s="394"/>
      <c r="AU116" s="394"/>
      <c r="AV116" s="394"/>
      <c r="AW116" s="394"/>
      <c r="AX116" s="394"/>
      <c r="AY116" s="394"/>
      <c r="AZ116" s="394"/>
      <c r="BA116" s="394"/>
      <c r="BB116" s="394"/>
      <c r="BC116" s="394"/>
      <c r="BD116" s="394"/>
      <c r="BE116" s="394"/>
      <c r="BF116" s="394"/>
      <c r="BG116" s="394"/>
      <c r="BH116" s="394"/>
      <c r="BI116" s="394"/>
      <c r="BJ116" s="394"/>
      <c r="BK116" s="394"/>
      <c r="BL116" s="394"/>
      <c r="BM116" s="394"/>
      <c r="BN116" s="394"/>
      <c r="BO116" s="394"/>
      <c r="BP116" s="394"/>
      <c r="BQ116" s="394"/>
      <c r="BR116" s="394"/>
      <c r="BS116" s="394"/>
      <c r="BT116" s="394"/>
      <c r="BU116" s="394"/>
      <c r="BV116" s="394"/>
      <c r="BW116" s="394"/>
      <c r="BX116" s="394"/>
      <c r="BY116" s="394"/>
      <c r="BZ116" s="394"/>
      <c r="CA116" s="394"/>
      <c r="CB116" s="394"/>
      <c r="CC116" s="394"/>
      <c r="CD116" s="394"/>
      <c r="CE116" s="394"/>
      <c r="CF116" s="394"/>
      <c r="CG116" s="394"/>
      <c r="CH116" s="394"/>
      <c r="CI116" s="394"/>
      <c r="CJ116" s="394"/>
      <c r="CK116" s="394"/>
      <c r="CL116" s="394"/>
      <c r="CM116" s="394"/>
      <c r="CN116" s="394"/>
      <c r="CO116" s="394"/>
      <c r="CP116" s="394"/>
      <c r="CQ116" s="394"/>
      <c r="CR116" s="394"/>
      <c r="CS116" s="394"/>
      <c r="CT116" s="394"/>
      <c r="CU116" s="394"/>
      <c r="CV116" s="394"/>
      <c r="CW116" s="394"/>
      <c r="CX116" s="394"/>
      <c r="CY116" s="394"/>
      <c r="CZ116" s="394"/>
      <c r="DA116" s="394"/>
      <c r="DB116" s="394"/>
      <c r="DC116" s="394"/>
      <c r="DD116" s="394"/>
      <c r="DE116" s="394"/>
      <c r="DF116" s="394"/>
      <c r="DG116" s="394"/>
      <c r="DH116" s="394"/>
      <c r="DI116" s="394"/>
      <c r="DJ116" s="394"/>
      <c r="DK116" s="394"/>
      <c r="DL116" s="394"/>
      <c r="DM116" s="394"/>
      <c r="DN116" s="394"/>
      <c r="DO116" s="394"/>
      <c r="DP116" s="394"/>
      <c r="DQ116" s="394"/>
      <c r="DR116" s="394"/>
      <c r="DS116" s="394"/>
      <c r="DT116" s="394"/>
      <c r="DU116" s="394"/>
      <c r="DV116" s="394"/>
      <c r="DW116" s="394"/>
      <c r="DX116" s="394"/>
      <c r="DY116" s="394"/>
      <c r="DZ116" s="394"/>
      <c r="EA116" s="394"/>
      <c r="EB116" s="394"/>
      <c r="EC116" s="394"/>
      <c r="ED116" s="394"/>
      <c r="EE116" s="394"/>
      <c r="EF116" s="394"/>
      <c r="EG116" s="394"/>
      <c r="EH116" s="394"/>
      <c r="EI116" s="394"/>
      <c r="EJ116" s="394"/>
      <c r="EK116" s="394"/>
      <c r="EL116" s="394"/>
      <c r="EM116" s="394"/>
      <c r="EN116" s="394"/>
      <c r="EO116" s="394"/>
      <c r="EP116" s="394"/>
      <c r="EQ116" s="394"/>
      <c r="ER116" s="394"/>
      <c r="ES116" s="394"/>
      <c r="ET116" s="394"/>
      <c r="EU116" s="394"/>
      <c r="EV116" s="394"/>
      <c r="EW116" s="394"/>
      <c r="EX116" s="394"/>
      <c r="EY116" s="394"/>
      <c r="EZ116" s="394"/>
      <c r="FA116" s="394"/>
      <c r="FB116" s="394"/>
      <c r="FC116" s="394"/>
      <c r="FD116" s="394"/>
      <c r="FE116" s="394"/>
      <c r="FF116" s="394"/>
      <c r="FG116" s="394"/>
      <c r="FH116" s="394"/>
      <c r="FI116" s="394"/>
      <c r="FJ116" s="394"/>
      <c r="FK116" s="394"/>
      <c r="FL116" s="394"/>
      <c r="FM116" s="394"/>
      <c r="FN116" s="394"/>
      <c r="FO116" s="394"/>
      <c r="FP116" s="394"/>
      <c r="FQ116" s="394"/>
      <c r="FR116" s="394"/>
      <c r="FS116" s="394"/>
      <c r="FT116" s="394"/>
      <c r="FU116" s="394"/>
      <c r="FV116" s="394"/>
      <c r="FW116" s="394"/>
      <c r="FX116" s="394"/>
      <c r="FY116" s="394"/>
      <c r="FZ116" s="394"/>
      <c r="GA116" s="394"/>
      <c r="GB116" s="394"/>
      <c r="GC116" s="394"/>
      <c r="GD116" s="394"/>
      <c r="GE116" s="394"/>
      <c r="GF116" s="394"/>
      <c r="GG116" s="394"/>
      <c r="GH116" s="394"/>
      <c r="GI116" s="394"/>
      <c r="GJ116" s="394"/>
      <c r="GK116" s="394"/>
      <c r="GL116" s="394"/>
      <c r="GM116" s="394"/>
      <c r="GN116" s="394"/>
      <c r="GO116" s="394"/>
      <c r="GP116" s="394"/>
      <c r="GQ116" s="394"/>
      <c r="GR116" s="394"/>
      <c r="GS116" s="394"/>
      <c r="GT116" s="394"/>
      <c r="GU116" s="394"/>
      <c r="GV116" s="394"/>
      <c r="GW116" s="394"/>
      <c r="GX116" s="394"/>
      <c r="GY116" s="394"/>
      <c r="GZ116" s="394"/>
      <c r="HA116" s="394"/>
      <c r="HB116" s="394"/>
      <c r="HC116" s="394"/>
      <c r="HD116" s="394"/>
      <c r="HE116" s="394"/>
      <c r="HF116" s="394"/>
      <c r="HG116" s="394"/>
      <c r="HH116" s="394"/>
      <c r="HI116" s="394"/>
      <c r="HJ116" s="394"/>
      <c r="HK116" s="394"/>
      <c r="HL116" s="394"/>
      <c r="HM116" s="394"/>
      <c r="HN116" s="394"/>
      <c r="HO116" s="394"/>
      <c r="HP116" s="394"/>
      <c r="HQ116" s="394"/>
      <c r="HR116" s="394"/>
      <c r="HS116" s="394"/>
      <c r="HT116" s="394"/>
      <c r="HU116" s="394"/>
      <c r="HV116" s="394"/>
      <c r="HW116" s="394"/>
      <c r="HX116" s="394"/>
      <c r="HY116" s="394"/>
      <c r="HZ116" s="394"/>
      <c r="IA116" s="394"/>
      <c r="IB116" s="394"/>
      <c r="IC116" s="394"/>
      <c r="ID116" s="394"/>
      <c r="IE116" s="394"/>
      <c r="IF116" s="394"/>
      <c r="IG116" s="394"/>
      <c r="IH116" s="394"/>
      <c r="II116" s="394"/>
      <c r="IJ116" s="394"/>
      <c r="IK116" s="394"/>
      <c r="IL116" s="394"/>
      <c r="IM116" s="394"/>
      <c r="IN116" s="394"/>
      <c r="IO116" s="394"/>
      <c r="IP116" s="394"/>
      <c r="IQ116" s="394"/>
      <c r="IR116" s="394"/>
      <c r="IS116" s="394"/>
      <c r="IT116" s="394"/>
      <c r="IU116" s="394"/>
      <c r="IV116" s="394"/>
      <c r="IW116" s="394"/>
      <c r="IX116" s="394"/>
      <c r="IY116" s="394"/>
      <c r="IZ116" s="394"/>
      <c r="JA116" s="394"/>
      <c r="JB116" s="394"/>
      <c r="JC116" s="394"/>
      <c r="JD116" s="394"/>
      <c r="JE116" s="394"/>
      <c r="JF116" s="394"/>
      <c r="JG116" s="394"/>
      <c r="JH116" s="394"/>
      <c r="JI116" s="394"/>
      <c r="JJ116" s="394"/>
      <c r="JK116" s="394"/>
      <c r="JL116" s="394"/>
      <c r="JM116" s="394"/>
      <c r="JN116" s="394"/>
      <c r="JO116" s="394"/>
      <c r="JP116" s="394"/>
      <c r="JQ116" s="394"/>
      <c r="JR116" s="394"/>
      <c r="JS116" s="394"/>
      <c r="JT116" s="394"/>
      <c r="JU116" s="394"/>
      <c r="JV116" s="394"/>
      <c r="JW116" s="394"/>
      <c r="JX116" s="394"/>
      <c r="JY116" s="394"/>
      <c r="JZ116" s="394"/>
      <c r="KA116" s="394"/>
      <c r="KB116" s="394"/>
      <c r="KC116" s="394"/>
      <c r="KD116" s="394"/>
      <c r="KE116" s="394"/>
      <c r="KF116" s="394"/>
      <c r="KG116" s="394"/>
      <c r="KH116" s="394"/>
      <c r="KI116" s="394"/>
      <c r="KJ116" s="394"/>
      <c r="KK116" s="394"/>
      <c r="KL116" s="394"/>
      <c r="KM116" s="394"/>
      <c r="KN116" s="394"/>
      <c r="KO116" s="394"/>
      <c r="KP116" s="394"/>
      <c r="KQ116" s="394"/>
      <c r="KR116" s="394"/>
      <c r="KS116" s="394"/>
      <c r="KT116" s="394"/>
      <c r="KU116" s="394"/>
      <c r="KV116" s="394"/>
      <c r="KW116" s="394"/>
      <c r="KX116" s="394"/>
      <c r="KY116" s="394"/>
      <c r="KZ116" s="394"/>
      <c r="LA116" s="394"/>
      <c r="LB116" s="394"/>
      <c r="LC116" s="394"/>
      <c r="LD116" s="394"/>
      <c r="LE116" s="394"/>
      <c r="LF116" s="394"/>
      <c r="LG116" s="394"/>
      <c r="LH116" s="394"/>
      <c r="LI116" s="394"/>
      <c r="LJ116" s="394"/>
      <c r="LK116" s="394"/>
      <c r="LL116" s="394"/>
      <c r="LM116" s="394"/>
      <c r="LN116" s="394"/>
      <c r="LO116" s="394"/>
      <c r="LP116" s="394"/>
      <c r="LQ116" s="394"/>
      <c r="LR116" s="394"/>
      <c r="LS116" s="394"/>
      <c r="LT116" s="394"/>
      <c r="LU116" s="394"/>
      <c r="LV116" s="394"/>
      <c r="LW116" s="394"/>
      <c r="LX116" s="394"/>
      <c r="LY116" s="394"/>
      <c r="LZ116" s="394"/>
      <c r="MA116" s="394"/>
      <c r="MB116" s="394"/>
      <c r="MC116" s="394"/>
      <c r="MD116" s="394"/>
      <c r="ME116" s="394"/>
      <c r="MF116" s="394"/>
      <c r="MG116" s="394"/>
      <c r="MH116" s="394"/>
      <c r="MI116" s="394"/>
      <c r="MJ116" s="394"/>
      <c r="MK116" s="394"/>
      <c r="ML116" s="394"/>
      <c r="MM116" s="394"/>
      <c r="MN116" s="394"/>
      <c r="MO116" s="394"/>
      <c r="MP116" s="394"/>
      <c r="MQ116" s="394"/>
      <c r="MR116" s="394"/>
      <c r="MS116" s="394"/>
      <c r="MT116" s="394"/>
      <c r="MU116" s="394"/>
      <c r="MV116" s="394"/>
      <c r="MW116" s="394"/>
      <c r="MX116" s="394"/>
      <c r="MY116" s="394"/>
      <c r="MZ116" s="394"/>
      <c r="NA116" s="394"/>
      <c r="NB116" s="394"/>
      <c r="NC116" s="394"/>
      <c r="ND116" s="394"/>
      <c r="NE116" s="394"/>
      <c r="NF116" s="394"/>
      <c r="NG116" s="394"/>
      <c r="NH116" s="394"/>
      <c r="NI116" s="394"/>
      <c r="NJ116" s="394"/>
      <c r="NK116" s="394"/>
      <c r="NL116" s="394"/>
      <c r="NM116" s="394"/>
      <c r="NN116" s="394"/>
      <c r="NO116" s="394"/>
      <c r="NP116" s="394"/>
      <c r="NQ116" s="394"/>
      <c r="NR116" s="394"/>
      <c r="NS116" s="394"/>
      <c r="NT116" s="394"/>
      <c r="NU116" s="394"/>
      <c r="NV116" s="394"/>
      <c r="NW116" s="394"/>
      <c r="NX116" s="394"/>
      <c r="NY116" s="394"/>
      <c r="NZ116" s="394"/>
      <c r="OA116" s="394"/>
      <c r="OB116" s="394"/>
      <c r="OC116" s="394"/>
      <c r="OD116" s="394"/>
      <c r="OE116" s="394"/>
      <c r="OF116" s="394"/>
      <c r="OG116" s="394"/>
      <c r="OH116" s="394"/>
      <c r="OI116" s="394"/>
      <c r="OJ116" s="394"/>
      <c r="OK116" s="394"/>
      <c r="OL116" s="394"/>
      <c r="OM116" s="394"/>
      <c r="ON116" s="394"/>
      <c r="OO116" s="394"/>
      <c r="OP116" s="394"/>
      <c r="OQ116" s="394"/>
      <c r="OR116" s="394"/>
      <c r="OS116" s="394"/>
      <c r="OT116" s="394"/>
      <c r="OU116" s="394"/>
      <c r="OV116" s="394"/>
      <c r="OW116" s="394"/>
      <c r="OX116" s="394"/>
      <c r="OY116" s="394"/>
      <c r="OZ116" s="394"/>
      <c r="PA116" s="394"/>
      <c r="PB116" s="394"/>
      <c r="PC116" s="394"/>
      <c r="PD116" s="394"/>
      <c r="PE116" s="394"/>
      <c r="PF116" s="394"/>
      <c r="PG116" s="394"/>
      <c r="PH116" s="394"/>
      <c r="PI116" s="394"/>
      <c r="PJ116" s="394"/>
      <c r="PK116" s="394"/>
      <c r="PL116" s="394"/>
      <c r="PM116" s="394"/>
      <c r="PN116" s="394"/>
      <c r="PO116" s="394"/>
      <c r="PP116" s="394"/>
      <c r="PQ116" s="394"/>
      <c r="PR116" s="394"/>
      <c r="PS116" s="394"/>
      <c r="PT116" s="394"/>
      <c r="PU116" s="394"/>
      <c r="PV116" s="394"/>
      <c r="PW116" s="394"/>
      <c r="PX116" s="394"/>
      <c r="PY116" s="394"/>
      <c r="PZ116" s="394"/>
      <c r="QA116" s="394"/>
      <c r="QB116" s="394"/>
      <c r="QC116" s="394"/>
      <c r="QD116" s="394"/>
      <c r="QE116" s="394"/>
      <c r="QF116" s="394"/>
      <c r="QG116" s="394"/>
      <c r="QH116" s="394"/>
      <c r="QI116" s="394"/>
      <c r="QJ116" s="394"/>
      <c r="QK116" s="394"/>
      <c r="QL116" s="394"/>
      <c r="QM116" s="394"/>
      <c r="QN116" s="394"/>
      <c r="QO116" s="394"/>
      <c r="QP116" s="394"/>
      <c r="QQ116" s="394"/>
      <c r="QR116" s="394"/>
      <c r="QS116" s="394"/>
      <c r="QT116" s="394"/>
      <c r="QU116" s="394"/>
      <c r="QV116" s="394"/>
      <c r="QW116" s="394"/>
      <c r="QX116" s="394"/>
      <c r="QY116" s="394"/>
      <c r="QZ116" s="394"/>
      <c r="RA116" s="394"/>
      <c r="RB116" s="394"/>
      <c r="RC116" s="394"/>
      <c r="RD116" s="394"/>
      <c r="RE116" s="394"/>
      <c r="RF116" s="394"/>
      <c r="RG116" s="394"/>
      <c r="RH116" s="394"/>
      <c r="RI116" s="394"/>
      <c r="RJ116" s="394"/>
      <c r="RK116" s="394"/>
      <c r="RL116" s="394"/>
      <c r="RM116" s="394"/>
      <c r="RN116" s="394"/>
      <c r="RO116" s="394"/>
      <c r="RP116" s="394"/>
      <c r="RQ116" s="394"/>
      <c r="RR116" s="394"/>
      <c r="RS116" s="394"/>
      <c r="RT116" s="394"/>
      <c r="RU116" s="394"/>
      <c r="RV116" s="394"/>
      <c r="RW116" s="394"/>
      <c r="RX116" s="394"/>
      <c r="RY116" s="394"/>
      <c r="RZ116" s="394"/>
      <c r="SA116" s="394"/>
      <c r="SB116" s="394"/>
      <c r="SC116" s="394"/>
      <c r="SD116" s="394"/>
      <c r="SE116" s="394"/>
      <c r="SF116" s="394"/>
      <c r="SG116" s="394"/>
      <c r="SH116" s="394"/>
      <c r="SI116" s="394"/>
      <c r="SJ116" s="394"/>
    </row>
    <row r="117" spans="2:504" s="95" customFormat="1" x14ac:dyDescent="0.25">
      <c r="B117" s="102"/>
      <c r="C117" s="103"/>
      <c r="D117" s="103"/>
      <c r="E117" s="394"/>
      <c r="F117" s="394"/>
      <c r="G117" s="394"/>
      <c r="H117" s="394"/>
      <c r="I117" s="394"/>
      <c r="J117" s="394"/>
      <c r="K117" s="394"/>
      <c r="L117" s="394"/>
      <c r="M117" s="394"/>
      <c r="N117" s="394"/>
      <c r="O117" s="394"/>
      <c r="P117" s="394"/>
      <c r="Q117" s="394"/>
      <c r="R117" s="394"/>
      <c r="S117" s="394"/>
      <c r="T117" s="394"/>
      <c r="U117" s="394"/>
      <c r="V117" s="394"/>
      <c r="W117" s="394"/>
      <c r="X117" s="394"/>
      <c r="Y117" s="394"/>
      <c r="Z117" s="394"/>
      <c r="AA117" s="394"/>
      <c r="AB117" s="394"/>
      <c r="AC117" s="394"/>
      <c r="AD117" s="394"/>
      <c r="AE117" s="394"/>
      <c r="AF117" s="394"/>
      <c r="AG117" s="394"/>
      <c r="AH117" s="394"/>
      <c r="AI117" s="394"/>
      <c r="AJ117" s="394"/>
      <c r="AK117" s="394"/>
      <c r="AL117" s="394"/>
      <c r="AM117" s="394"/>
      <c r="AN117" s="394"/>
      <c r="AO117" s="394"/>
      <c r="AP117" s="394"/>
      <c r="AQ117" s="394"/>
      <c r="AR117" s="394"/>
      <c r="AS117" s="394"/>
      <c r="AT117" s="394"/>
      <c r="AU117" s="394"/>
      <c r="AV117" s="394"/>
      <c r="AW117" s="394"/>
      <c r="AX117" s="394"/>
      <c r="AY117" s="394"/>
      <c r="AZ117" s="394"/>
      <c r="BA117" s="394"/>
      <c r="BB117" s="394"/>
      <c r="BC117" s="394"/>
      <c r="BD117" s="394"/>
      <c r="BE117" s="394"/>
      <c r="BF117" s="394"/>
      <c r="BG117" s="394"/>
      <c r="BH117" s="394"/>
      <c r="BI117" s="394"/>
      <c r="BJ117" s="394"/>
      <c r="BK117" s="394"/>
      <c r="BL117" s="394"/>
      <c r="BM117" s="394"/>
      <c r="BN117" s="394"/>
      <c r="BO117" s="394"/>
      <c r="BP117" s="394"/>
      <c r="BQ117" s="394"/>
      <c r="BR117" s="394"/>
      <c r="BS117" s="394"/>
      <c r="BT117" s="394"/>
      <c r="BU117" s="394"/>
      <c r="BV117" s="394"/>
      <c r="BW117" s="394"/>
      <c r="BX117" s="394"/>
      <c r="BY117" s="394"/>
      <c r="BZ117" s="394"/>
      <c r="CA117" s="394"/>
      <c r="CB117" s="394"/>
      <c r="CC117" s="394"/>
      <c r="CD117" s="394"/>
      <c r="CE117" s="394"/>
      <c r="CF117" s="394"/>
      <c r="CG117" s="394"/>
      <c r="CH117" s="394"/>
      <c r="CI117" s="394"/>
      <c r="CJ117" s="394"/>
      <c r="CK117" s="394"/>
      <c r="CL117" s="394"/>
      <c r="CM117" s="394"/>
      <c r="CN117" s="394"/>
      <c r="CO117" s="394"/>
      <c r="CP117" s="394"/>
      <c r="CQ117" s="394"/>
      <c r="CR117" s="394"/>
      <c r="CS117" s="394"/>
      <c r="CT117" s="394"/>
      <c r="CU117" s="394"/>
      <c r="CV117" s="394"/>
      <c r="CW117" s="394"/>
      <c r="CX117" s="394"/>
      <c r="CY117" s="394"/>
      <c r="CZ117" s="394"/>
      <c r="DA117" s="394"/>
      <c r="DB117" s="394"/>
      <c r="DC117" s="394"/>
      <c r="DD117" s="394"/>
      <c r="DE117" s="394"/>
      <c r="DF117" s="394"/>
      <c r="DG117" s="394"/>
      <c r="DH117" s="394"/>
      <c r="DI117" s="394"/>
      <c r="DJ117" s="394"/>
      <c r="DK117" s="394"/>
      <c r="DL117" s="394"/>
      <c r="DM117" s="394"/>
      <c r="DN117" s="394"/>
      <c r="DO117" s="394"/>
      <c r="DP117" s="394"/>
      <c r="DQ117" s="394"/>
      <c r="DR117" s="394"/>
      <c r="DS117" s="394"/>
      <c r="DT117" s="394"/>
      <c r="DU117" s="394"/>
      <c r="DV117" s="394"/>
      <c r="DW117" s="394"/>
      <c r="DX117" s="394"/>
      <c r="DY117" s="394"/>
      <c r="DZ117" s="394"/>
      <c r="EA117" s="394"/>
      <c r="EB117" s="394"/>
      <c r="EC117" s="394"/>
      <c r="ED117" s="394"/>
      <c r="EE117" s="394"/>
      <c r="EF117" s="394"/>
      <c r="EG117" s="394"/>
      <c r="EH117" s="394"/>
      <c r="EI117" s="394"/>
      <c r="EJ117" s="394"/>
      <c r="EK117" s="394"/>
      <c r="EL117" s="394"/>
      <c r="EM117" s="394"/>
      <c r="EN117" s="394"/>
      <c r="EO117" s="394"/>
      <c r="EP117" s="394"/>
      <c r="EQ117" s="394"/>
      <c r="ER117" s="394"/>
      <c r="ES117" s="394"/>
      <c r="ET117" s="394"/>
      <c r="EU117" s="394"/>
      <c r="EV117" s="394"/>
      <c r="EW117" s="394"/>
      <c r="EX117" s="394"/>
      <c r="EY117" s="394"/>
      <c r="EZ117" s="394"/>
      <c r="FA117" s="394"/>
      <c r="FB117" s="394"/>
      <c r="FC117" s="394"/>
      <c r="FD117" s="394"/>
      <c r="FE117" s="394"/>
      <c r="FF117" s="394"/>
      <c r="FG117" s="394"/>
      <c r="FH117" s="394"/>
      <c r="FI117" s="394"/>
      <c r="FJ117" s="394"/>
      <c r="FK117" s="394"/>
      <c r="FL117" s="394"/>
      <c r="FM117" s="394"/>
      <c r="FN117" s="394"/>
      <c r="FO117" s="394"/>
      <c r="FP117" s="394"/>
      <c r="FQ117" s="394"/>
      <c r="FR117" s="394"/>
      <c r="FS117" s="394"/>
      <c r="FT117" s="394"/>
      <c r="FU117" s="394"/>
      <c r="FV117" s="394"/>
      <c r="FW117" s="394"/>
      <c r="FX117" s="394"/>
      <c r="FY117" s="394"/>
      <c r="FZ117" s="394"/>
      <c r="GA117" s="394"/>
      <c r="GB117" s="394"/>
      <c r="GC117" s="394"/>
      <c r="GD117" s="394"/>
      <c r="GE117" s="394"/>
      <c r="GF117" s="394"/>
      <c r="GG117" s="394"/>
      <c r="GH117" s="394"/>
      <c r="GI117" s="394"/>
      <c r="GJ117" s="394"/>
      <c r="GK117" s="394"/>
      <c r="GL117" s="394"/>
      <c r="GM117" s="394"/>
      <c r="GN117" s="394"/>
      <c r="GO117" s="394"/>
      <c r="GP117" s="394"/>
      <c r="GQ117" s="394"/>
      <c r="GR117" s="394"/>
      <c r="GS117" s="394"/>
      <c r="GT117" s="394"/>
      <c r="GU117" s="394"/>
      <c r="GV117" s="394"/>
      <c r="GW117" s="394"/>
      <c r="GX117" s="394"/>
      <c r="GY117" s="394"/>
      <c r="GZ117" s="394"/>
      <c r="HA117" s="394"/>
      <c r="HB117" s="394"/>
      <c r="HC117" s="394"/>
      <c r="HD117" s="394"/>
      <c r="HE117" s="394"/>
      <c r="HF117" s="394"/>
      <c r="HG117" s="394"/>
      <c r="HH117" s="394"/>
      <c r="HI117" s="394"/>
      <c r="HJ117" s="394"/>
      <c r="HK117" s="394"/>
      <c r="HL117" s="394"/>
      <c r="HM117" s="394"/>
      <c r="HN117" s="394"/>
      <c r="HO117" s="394"/>
      <c r="HP117" s="394"/>
      <c r="HQ117" s="394"/>
      <c r="HR117" s="394"/>
      <c r="HS117" s="394"/>
      <c r="HT117" s="394"/>
      <c r="HU117" s="394"/>
      <c r="HV117" s="394"/>
      <c r="HW117" s="394"/>
      <c r="HX117" s="394"/>
      <c r="HY117" s="394"/>
      <c r="HZ117" s="394"/>
      <c r="IA117" s="394"/>
      <c r="IB117" s="394"/>
      <c r="IC117" s="394"/>
      <c r="ID117" s="394"/>
      <c r="IE117" s="394"/>
      <c r="IF117" s="394"/>
      <c r="IG117" s="394"/>
      <c r="IH117" s="394"/>
      <c r="II117" s="394"/>
      <c r="IJ117" s="394"/>
      <c r="IK117" s="394"/>
      <c r="IL117" s="394"/>
      <c r="IM117" s="394"/>
      <c r="IN117" s="394"/>
      <c r="IO117" s="394"/>
      <c r="IP117" s="394"/>
      <c r="IQ117" s="394"/>
      <c r="IR117" s="394"/>
      <c r="IS117" s="394"/>
      <c r="IT117" s="394"/>
      <c r="IU117" s="394"/>
      <c r="IV117" s="394"/>
      <c r="IW117" s="394"/>
      <c r="IX117" s="394"/>
      <c r="IY117" s="394"/>
      <c r="IZ117" s="394"/>
      <c r="JA117" s="394"/>
      <c r="JB117" s="394"/>
      <c r="JC117" s="394"/>
      <c r="JD117" s="394"/>
      <c r="JE117" s="394"/>
      <c r="JF117" s="394"/>
      <c r="JG117" s="394"/>
      <c r="JH117" s="394"/>
      <c r="JI117" s="394"/>
      <c r="JJ117" s="394"/>
      <c r="JK117" s="394"/>
      <c r="JL117" s="394"/>
      <c r="JM117" s="394"/>
      <c r="JN117" s="394"/>
      <c r="JO117" s="394"/>
      <c r="JP117" s="394"/>
      <c r="JQ117" s="394"/>
      <c r="JR117" s="394"/>
      <c r="JS117" s="394"/>
      <c r="JT117" s="394"/>
      <c r="JU117" s="394"/>
      <c r="JV117" s="394"/>
      <c r="JW117" s="394"/>
      <c r="JX117" s="394"/>
      <c r="JY117" s="394"/>
      <c r="JZ117" s="394"/>
      <c r="KA117" s="394"/>
      <c r="KB117" s="394"/>
      <c r="KC117" s="394"/>
      <c r="KD117" s="394"/>
      <c r="KE117" s="394"/>
      <c r="KF117" s="394"/>
      <c r="KG117" s="394"/>
      <c r="KH117" s="394"/>
      <c r="KI117" s="394"/>
      <c r="KJ117" s="394"/>
      <c r="KK117" s="394"/>
      <c r="KL117" s="394"/>
      <c r="KM117" s="394"/>
      <c r="KN117" s="394"/>
      <c r="KO117" s="394"/>
      <c r="KP117" s="394"/>
      <c r="KQ117" s="394"/>
      <c r="KR117" s="394"/>
      <c r="KS117" s="394"/>
      <c r="KT117" s="394"/>
      <c r="KU117" s="394"/>
      <c r="KV117" s="394"/>
      <c r="KW117" s="394"/>
      <c r="KX117" s="394"/>
      <c r="KY117" s="394"/>
      <c r="KZ117" s="394"/>
      <c r="LA117" s="394"/>
      <c r="LB117" s="394"/>
      <c r="LC117" s="394"/>
      <c r="LD117" s="394"/>
      <c r="LE117" s="394"/>
      <c r="LF117" s="394"/>
      <c r="LG117" s="394"/>
      <c r="LH117" s="394"/>
      <c r="LI117" s="394"/>
      <c r="LJ117" s="394"/>
      <c r="LK117" s="394"/>
      <c r="LL117" s="394"/>
      <c r="LM117" s="394"/>
      <c r="LN117" s="394"/>
      <c r="LO117" s="394"/>
      <c r="LP117" s="394"/>
      <c r="LQ117" s="394"/>
      <c r="LR117" s="394"/>
      <c r="LS117" s="394"/>
      <c r="LT117" s="394"/>
      <c r="LU117" s="394"/>
      <c r="LV117" s="394"/>
      <c r="LW117" s="394"/>
      <c r="LX117" s="394"/>
      <c r="LY117" s="394"/>
      <c r="LZ117" s="394"/>
      <c r="MA117" s="394"/>
      <c r="MB117" s="394"/>
      <c r="MC117" s="394"/>
      <c r="MD117" s="394"/>
      <c r="ME117" s="394"/>
      <c r="MF117" s="394"/>
      <c r="MG117" s="394"/>
      <c r="MH117" s="394"/>
      <c r="MI117" s="394"/>
      <c r="MJ117" s="394"/>
      <c r="MK117" s="394"/>
      <c r="ML117" s="394"/>
      <c r="MM117" s="394"/>
      <c r="MN117" s="394"/>
      <c r="MO117" s="394"/>
      <c r="MP117" s="394"/>
      <c r="MQ117" s="394"/>
      <c r="MR117" s="394"/>
      <c r="MS117" s="394"/>
      <c r="MT117" s="394"/>
      <c r="MU117" s="394"/>
      <c r="MV117" s="394"/>
      <c r="MW117" s="394"/>
      <c r="MX117" s="394"/>
      <c r="MY117" s="394"/>
      <c r="MZ117" s="394"/>
      <c r="NA117" s="394"/>
      <c r="NB117" s="394"/>
      <c r="NC117" s="394"/>
      <c r="ND117" s="394"/>
      <c r="NE117" s="394"/>
      <c r="NF117" s="394"/>
      <c r="NG117" s="394"/>
      <c r="NH117" s="394"/>
      <c r="NI117" s="394"/>
      <c r="NJ117" s="394"/>
      <c r="NK117" s="394"/>
      <c r="NL117" s="394"/>
      <c r="NM117" s="394"/>
      <c r="NN117" s="394"/>
      <c r="NO117" s="394"/>
      <c r="NP117" s="394"/>
      <c r="NQ117" s="394"/>
      <c r="NR117" s="394"/>
      <c r="NS117" s="394"/>
      <c r="NT117" s="394"/>
      <c r="NU117" s="394"/>
      <c r="NV117" s="394"/>
      <c r="NW117" s="394"/>
      <c r="NX117" s="394"/>
      <c r="NY117" s="394"/>
      <c r="NZ117" s="394"/>
      <c r="OA117" s="394"/>
      <c r="OB117" s="394"/>
      <c r="OC117" s="394"/>
      <c r="OD117" s="394"/>
      <c r="OE117" s="394"/>
      <c r="OF117" s="394"/>
      <c r="OG117" s="394"/>
      <c r="OH117" s="394"/>
      <c r="OI117" s="394"/>
      <c r="OJ117" s="394"/>
      <c r="OK117" s="394"/>
      <c r="OL117" s="394"/>
      <c r="OM117" s="394"/>
      <c r="ON117" s="394"/>
      <c r="OO117" s="394"/>
      <c r="OP117" s="394"/>
      <c r="OQ117" s="394"/>
      <c r="OR117" s="394"/>
      <c r="OS117" s="394"/>
      <c r="OT117" s="394"/>
      <c r="OU117" s="394"/>
      <c r="OV117" s="394"/>
      <c r="OW117" s="394"/>
      <c r="OX117" s="394"/>
      <c r="OY117" s="394"/>
      <c r="OZ117" s="394"/>
      <c r="PA117" s="394"/>
      <c r="PB117" s="394"/>
      <c r="PC117" s="394"/>
      <c r="PD117" s="394"/>
      <c r="PE117" s="394"/>
      <c r="PF117" s="394"/>
      <c r="PG117" s="394"/>
      <c r="PH117" s="394"/>
      <c r="PI117" s="394"/>
      <c r="PJ117" s="394"/>
      <c r="PK117" s="394"/>
      <c r="PL117" s="394"/>
      <c r="PM117" s="394"/>
      <c r="PN117" s="394"/>
      <c r="PO117" s="394"/>
      <c r="PP117" s="394"/>
      <c r="PQ117" s="394"/>
      <c r="PR117" s="394"/>
      <c r="PS117" s="394"/>
      <c r="PT117" s="394"/>
      <c r="PU117" s="394"/>
      <c r="PV117" s="394"/>
      <c r="PW117" s="394"/>
      <c r="PX117" s="394"/>
      <c r="PY117" s="394"/>
      <c r="PZ117" s="394"/>
      <c r="QA117" s="394"/>
      <c r="QB117" s="394"/>
      <c r="QC117" s="394"/>
      <c r="QD117" s="394"/>
      <c r="QE117" s="394"/>
      <c r="QF117" s="394"/>
      <c r="QG117" s="394"/>
      <c r="QH117" s="394"/>
      <c r="QI117" s="394"/>
      <c r="QJ117" s="394"/>
      <c r="QK117" s="394"/>
      <c r="QL117" s="394"/>
      <c r="QM117" s="394"/>
      <c r="QN117" s="394"/>
      <c r="QO117" s="394"/>
      <c r="QP117" s="394"/>
      <c r="QQ117" s="394"/>
      <c r="QR117" s="394"/>
      <c r="QS117" s="394"/>
      <c r="QT117" s="394"/>
      <c r="QU117" s="394"/>
      <c r="QV117" s="394"/>
      <c r="QW117" s="394"/>
      <c r="QX117" s="394"/>
      <c r="QY117" s="394"/>
      <c r="QZ117" s="394"/>
      <c r="RA117" s="394"/>
      <c r="RB117" s="394"/>
      <c r="RC117" s="394"/>
      <c r="RD117" s="394"/>
      <c r="RE117" s="394"/>
      <c r="RF117" s="394"/>
      <c r="RG117" s="394"/>
      <c r="RH117" s="394"/>
      <c r="RI117" s="394"/>
      <c r="RJ117" s="394"/>
      <c r="RK117" s="394"/>
      <c r="RL117" s="394"/>
      <c r="RM117" s="394"/>
      <c r="RN117" s="394"/>
      <c r="RO117" s="394"/>
      <c r="RP117" s="394"/>
      <c r="RQ117" s="394"/>
      <c r="RR117" s="394"/>
      <c r="RS117" s="394"/>
      <c r="RT117" s="394"/>
      <c r="RU117" s="394"/>
      <c r="RV117" s="394"/>
      <c r="RW117" s="394"/>
      <c r="RX117" s="394"/>
      <c r="RY117" s="394"/>
      <c r="RZ117" s="394"/>
      <c r="SA117" s="394"/>
      <c r="SB117" s="394"/>
      <c r="SC117" s="394"/>
      <c r="SD117" s="394"/>
      <c r="SE117" s="394"/>
      <c r="SF117" s="394"/>
      <c r="SG117" s="394"/>
      <c r="SH117" s="394"/>
      <c r="SI117" s="394"/>
      <c r="SJ117" s="394"/>
    </row>
    <row r="118" spans="2:504" x14ac:dyDescent="0.25">
      <c r="B118" s="104" t="s">
        <v>852</v>
      </c>
      <c r="C118" s="103"/>
      <c r="D118" s="103"/>
      <c r="E118" s="394"/>
      <c r="F118" s="394"/>
      <c r="G118" s="394"/>
      <c r="H118" s="394"/>
      <c r="I118" s="394"/>
      <c r="J118" s="394"/>
      <c r="K118" s="394"/>
      <c r="L118" s="394"/>
      <c r="M118" s="394"/>
      <c r="N118" s="394"/>
      <c r="O118" s="394"/>
      <c r="P118" s="394"/>
      <c r="Q118" s="394"/>
      <c r="R118" s="394"/>
      <c r="S118" s="394"/>
      <c r="T118" s="394"/>
      <c r="U118" s="394"/>
      <c r="V118" s="394"/>
      <c r="W118" s="394"/>
      <c r="X118" s="394"/>
      <c r="Y118" s="394"/>
      <c r="Z118" s="394"/>
      <c r="AA118" s="394"/>
      <c r="AB118" s="394"/>
      <c r="AC118" s="394"/>
      <c r="AD118" s="394"/>
      <c r="AE118" s="394"/>
      <c r="AF118" s="394"/>
      <c r="AG118" s="394"/>
      <c r="AH118" s="394"/>
      <c r="AI118" s="394"/>
      <c r="AJ118" s="394"/>
      <c r="AK118" s="394"/>
      <c r="AL118" s="394"/>
      <c r="AM118" s="394"/>
      <c r="AN118" s="394"/>
      <c r="AO118" s="394"/>
      <c r="AP118" s="394"/>
      <c r="AQ118" s="394"/>
      <c r="AR118" s="394"/>
      <c r="AS118" s="394"/>
      <c r="AT118" s="394"/>
      <c r="AU118" s="394"/>
      <c r="AV118" s="394"/>
      <c r="AW118" s="394"/>
      <c r="AX118" s="394"/>
      <c r="AY118" s="394"/>
      <c r="AZ118" s="394"/>
      <c r="BA118" s="394"/>
      <c r="BB118" s="394"/>
      <c r="BC118" s="394"/>
      <c r="BD118" s="394"/>
      <c r="BE118" s="394"/>
      <c r="BF118" s="394"/>
      <c r="BG118" s="394"/>
      <c r="BH118" s="394"/>
      <c r="BI118" s="394"/>
      <c r="BJ118" s="394"/>
      <c r="BK118" s="394"/>
      <c r="BL118" s="394"/>
      <c r="BM118" s="394"/>
      <c r="BN118" s="394"/>
      <c r="BO118" s="394"/>
      <c r="BP118" s="394"/>
      <c r="BQ118" s="394"/>
      <c r="BR118" s="394"/>
      <c r="BS118" s="394"/>
      <c r="BT118" s="394"/>
      <c r="BU118" s="394"/>
      <c r="BV118" s="394"/>
      <c r="BW118" s="394"/>
      <c r="BX118" s="394"/>
      <c r="BY118" s="394"/>
      <c r="BZ118" s="394"/>
      <c r="CA118" s="394"/>
      <c r="CB118" s="394"/>
      <c r="CC118" s="394"/>
      <c r="CD118" s="394"/>
      <c r="CE118" s="394"/>
      <c r="CF118" s="394"/>
      <c r="CG118" s="394"/>
      <c r="CH118" s="394"/>
      <c r="CI118" s="394"/>
      <c r="CJ118" s="394"/>
      <c r="CK118" s="394"/>
      <c r="CL118" s="394"/>
      <c r="CM118" s="394"/>
      <c r="CN118" s="394"/>
      <c r="CO118" s="394"/>
      <c r="CP118" s="394"/>
      <c r="CQ118" s="394"/>
      <c r="CR118" s="394"/>
      <c r="CS118" s="394"/>
      <c r="CT118" s="394"/>
      <c r="CU118" s="394"/>
      <c r="CV118" s="394"/>
      <c r="CW118" s="394"/>
      <c r="CX118" s="394"/>
      <c r="CY118" s="394"/>
      <c r="CZ118" s="394"/>
      <c r="DA118" s="394"/>
      <c r="DB118" s="394"/>
      <c r="DC118" s="394"/>
      <c r="DD118" s="394"/>
      <c r="DE118" s="394"/>
      <c r="DF118" s="394"/>
      <c r="DG118" s="394"/>
      <c r="DH118" s="394"/>
      <c r="DI118" s="394"/>
      <c r="DJ118" s="394"/>
      <c r="DK118" s="394"/>
      <c r="DL118" s="394"/>
      <c r="DM118" s="394"/>
      <c r="DN118" s="394"/>
      <c r="DO118" s="394"/>
      <c r="DP118" s="394"/>
      <c r="DQ118" s="394"/>
      <c r="DR118" s="394"/>
      <c r="DS118" s="394"/>
      <c r="DT118" s="394"/>
      <c r="DU118" s="394"/>
      <c r="DV118" s="394"/>
      <c r="DW118" s="394"/>
      <c r="DX118" s="394"/>
      <c r="DY118" s="394"/>
      <c r="DZ118" s="394"/>
      <c r="EA118" s="394"/>
      <c r="EB118" s="394"/>
      <c r="EC118" s="394"/>
      <c r="ED118" s="394"/>
      <c r="EE118" s="394"/>
      <c r="EF118" s="394"/>
      <c r="EG118" s="394"/>
      <c r="EH118" s="394"/>
      <c r="EI118" s="394"/>
      <c r="EJ118" s="394"/>
      <c r="EK118" s="394"/>
      <c r="EL118" s="394"/>
      <c r="EM118" s="394"/>
      <c r="EN118" s="394"/>
      <c r="EO118" s="394"/>
      <c r="EP118" s="394"/>
      <c r="EQ118" s="394"/>
      <c r="ER118" s="394"/>
      <c r="ES118" s="394"/>
      <c r="ET118" s="394"/>
      <c r="EU118" s="394"/>
      <c r="EV118" s="394"/>
      <c r="EW118" s="394"/>
      <c r="EX118" s="394"/>
      <c r="EY118" s="394"/>
      <c r="EZ118" s="394"/>
      <c r="FA118" s="394"/>
      <c r="FB118" s="394"/>
      <c r="FC118" s="394"/>
      <c r="FD118" s="394"/>
      <c r="FE118" s="394"/>
      <c r="FF118" s="394"/>
      <c r="FG118" s="394"/>
      <c r="FH118" s="394"/>
      <c r="FI118" s="394"/>
      <c r="FJ118" s="394"/>
      <c r="FK118" s="394"/>
      <c r="FL118" s="394"/>
      <c r="FM118" s="394"/>
      <c r="FN118" s="394"/>
      <c r="FO118" s="394"/>
      <c r="FP118" s="394"/>
      <c r="FQ118" s="394"/>
      <c r="FR118" s="394"/>
      <c r="FS118" s="394"/>
      <c r="FT118" s="394"/>
      <c r="FU118" s="394"/>
      <c r="FV118" s="394"/>
      <c r="FW118" s="394"/>
      <c r="FX118" s="394"/>
      <c r="FY118" s="394"/>
      <c r="FZ118" s="394"/>
      <c r="GA118" s="394"/>
      <c r="GB118" s="394"/>
      <c r="GC118" s="394"/>
      <c r="GD118" s="394"/>
      <c r="GE118" s="394"/>
      <c r="GF118" s="394"/>
      <c r="GG118" s="394"/>
      <c r="GH118" s="394"/>
      <c r="GI118" s="394"/>
      <c r="GJ118" s="394"/>
      <c r="GK118" s="394"/>
      <c r="GL118" s="394"/>
      <c r="GM118" s="394"/>
      <c r="GN118" s="394"/>
      <c r="GO118" s="394"/>
      <c r="GP118" s="394"/>
      <c r="GQ118" s="394"/>
      <c r="GR118" s="394"/>
      <c r="GS118" s="394"/>
      <c r="GT118" s="394"/>
      <c r="GU118" s="394"/>
      <c r="GV118" s="394"/>
      <c r="GW118" s="394"/>
      <c r="GX118" s="394"/>
      <c r="GY118" s="394"/>
      <c r="GZ118" s="394"/>
      <c r="HA118" s="394"/>
      <c r="HB118" s="394"/>
      <c r="HC118" s="394"/>
      <c r="HD118" s="394"/>
      <c r="HE118" s="394"/>
      <c r="HF118" s="394"/>
      <c r="HG118" s="394"/>
      <c r="HH118" s="394"/>
      <c r="HI118" s="394"/>
      <c r="HJ118" s="394"/>
      <c r="HK118" s="394"/>
      <c r="HL118" s="394"/>
      <c r="HM118" s="394"/>
      <c r="HN118" s="394"/>
      <c r="HO118" s="394"/>
      <c r="HP118" s="394"/>
      <c r="HQ118" s="394"/>
      <c r="HR118" s="394"/>
      <c r="HS118" s="394"/>
      <c r="HT118" s="394"/>
      <c r="HU118" s="394"/>
      <c r="HV118" s="394"/>
      <c r="HW118" s="394"/>
      <c r="HX118" s="394"/>
      <c r="HY118" s="394"/>
      <c r="HZ118" s="394"/>
      <c r="IA118" s="394"/>
      <c r="IB118" s="394"/>
      <c r="IC118" s="394"/>
      <c r="ID118" s="394"/>
      <c r="IE118" s="394"/>
      <c r="IF118" s="394"/>
      <c r="IG118" s="394"/>
      <c r="IH118" s="394"/>
      <c r="II118" s="394"/>
      <c r="IJ118" s="394"/>
      <c r="IK118" s="394"/>
      <c r="IL118" s="394"/>
      <c r="IM118" s="394"/>
      <c r="IN118" s="394"/>
      <c r="IO118" s="394"/>
      <c r="IP118" s="394"/>
      <c r="IQ118" s="394"/>
      <c r="IR118" s="394"/>
      <c r="IS118" s="394"/>
      <c r="IT118" s="394"/>
      <c r="IU118" s="394"/>
      <c r="IV118" s="394"/>
      <c r="IW118" s="394"/>
      <c r="IX118" s="394"/>
      <c r="IY118" s="394"/>
      <c r="IZ118" s="394"/>
      <c r="JA118" s="394"/>
      <c r="JB118" s="394"/>
      <c r="JC118" s="394"/>
      <c r="JD118" s="394"/>
      <c r="JE118" s="394"/>
      <c r="JF118" s="394"/>
      <c r="JG118" s="394"/>
      <c r="JH118" s="394"/>
      <c r="JI118" s="394"/>
      <c r="JJ118" s="394"/>
      <c r="JK118" s="394"/>
      <c r="JL118" s="394"/>
      <c r="JM118" s="394"/>
      <c r="JN118" s="394"/>
      <c r="JO118" s="394"/>
      <c r="JP118" s="394"/>
      <c r="JQ118" s="394"/>
      <c r="JR118" s="394"/>
      <c r="JS118" s="394"/>
      <c r="JT118" s="394"/>
      <c r="JU118" s="394"/>
      <c r="JV118" s="394"/>
      <c r="JW118" s="394"/>
      <c r="JX118" s="394"/>
      <c r="JY118" s="394"/>
      <c r="JZ118" s="394"/>
      <c r="KA118" s="394"/>
      <c r="KB118" s="394"/>
      <c r="KC118" s="394"/>
      <c r="KD118" s="394"/>
      <c r="KE118" s="394"/>
      <c r="KF118" s="394"/>
      <c r="KG118" s="394"/>
      <c r="KH118" s="394"/>
      <c r="KI118" s="394"/>
      <c r="KJ118" s="394"/>
      <c r="KK118" s="394"/>
      <c r="KL118" s="394"/>
      <c r="KM118" s="394"/>
      <c r="KN118" s="394"/>
      <c r="KO118" s="394"/>
      <c r="KP118" s="394"/>
      <c r="KQ118" s="394"/>
      <c r="KR118" s="394"/>
      <c r="KS118" s="394"/>
      <c r="KT118" s="394"/>
      <c r="KU118" s="394"/>
      <c r="KV118" s="394"/>
      <c r="KW118" s="394"/>
      <c r="KX118" s="394"/>
      <c r="KY118" s="394"/>
      <c r="KZ118" s="394"/>
      <c r="LA118" s="394"/>
      <c r="LB118" s="394"/>
      <c r="LC118" s="394"/>
      <c r="LD118" s="394"/>
      <c r="LE118" s="394"/>
      <c r="LF118" s="394"/>
      <c r="LG118" s="394"/>
      <c r="LH118" s="394"/>
      <c r="LI118" s="394"/>
      <c r="LJ118" s="394"/>
      <c r="LK118" s="394"/>
      <c r="LL118" s="394"/>
      <c r="LM118" s="394"/>
      <c r="LN118" s="394"/>
      <c r="LO118" s="394"/>
      <c r="LP118" s="394"/>
      <c r="LQ118" s="394"/>
      <c r="LR118" s="394"/>
      <c r="LS118" s="394"/>
      <c r="LT118" s="394"/>
      <c r="LU118" s="394"/>
      <c r="LV118" s="394"/>
      <c r="LW118" s="394"/>
      <c r="LX118" s="394"/>
      <c r="LY118" s="394"/>
      <c r="LZ118" s="394"/>
      <c r="MA118" s="394"/>
      <c r="MB118" s="394"/>
      <c r="MC118" s="394"/>
      <c r="MD118" s="394"/>
      <c r="ME118" s="394"/>
      <c r="MF118" s="394"/>
      <c r="MG118" s="394"/>
      <c r="MH118" s="394"/>
      <c r="MI118" s="394"/>
      <c r="MJ118" s="394"/>
      <c r="MK118" s="394"/>
      <c r="ML118" s="394"/>
      <c r="MM118" s="394"/>
      <c r="MN118" s="394"/>
      <c r="MO118" s="394"/>
      <c r="MP118" s="394"/>
      <c r="MQ118" s="394"/>
      <c r="MR118" s="394"/>
      <c r="MS118" s="394"/>
      <c r="MT118" s="394"/>
      <c r="MU118" s="394"/>
      <c r="MV118" s="394"/>
      <c r="MW118" s="394"/>
      <c r="MX118" s="394"/>
      <c r="MY118" s="394"/>
      <c r="MZ118" s="394"/>
      <c r="NA118" s="394"/>
      <c r="NB118" s="394"/>
      <c r="NC118" s="394"/>
      <c r="ND118" s="394"/>
      <c r="NE118" s="394"/>
      <c r="NF118" s="394"/>
      <c r="NG118" s="394"/>
      <c r="NH118" s="394"/>
      <c r="NI118" s="394"/>
      <c r="NJ118" s="394"/>
      <c r="NK118" s="394"/>
      <c r="NL118" s="394"/>
      <c r="NM118" s="394"/>
      <c r="NN118" s="394"/>
      <c r="NO118" s="394"/>
      <c r="NP118" s="394"/>
      <c r="NQ118" s="394"/>
      <c r="NR118" s="394"/>
      <c r="NS118" s="394"/>
      <c r="NT118" s="394"/>
      <c r="NU118" s="394"/>
      <c r="NV118" s="394"/>
      <c r="NW118" s="394"/>
      <c r="NX118" s="394"/>
      <c r="NY118" s="394"/>
      <c r="NZ118" s="394"/>
      <c r="OA118" s="394"/>
      <c r="OB118" s="394"/>
      <c r="OC118" s="394"/>
      <c r="OD118" s="394"/>
      <c r="OE118" s="394"/>
      <c r="OF118" s="394"/>
      <c r="OG118" s="394"/>
      <c r="OH118" s="394"/>
      <c r="OI118" s="394"/>
      <c r="OJ118" s="394"/>
      <c r="OK118" s="394"/>
      <c r="OL118" s="394"/>
      <c r="OM118" s="394"/>
      <c r="ON118" s="394"/>
      <c r="OO118" s="394"/>
      <c r="OP118" s="394"/>
      <c r="OQ118" s="394"/>
      <c r="OR118" s="394"/>
      <c r="OS118" s="394"/>
      <c r="OT118" s="394"/>
      <c r="OU118" s="394"/>
      <c r="OV118" s="394"/>
      <c r="OW118" s="394"/>
      <c r="OX118" s="394"/>
      <c r="OY118" s="394"/>
      <c r="OZ118" s="394"/>
      <c r="PA118" s="394"/>
      <c r="PB118" s="394"/>
      <c r="PC118" s="394"/>
      <c r="PD118" s="394"/>
      <c r="PE118" s="394"/>
      <c r="PF118" s="394"/>
      <c r="PG118" s="394"/>
      <c r="PH118" s="394"/>
      <c r="PI118" s="394"/>
      <c r="PJ118" s="394"/>
      <c r="PK118" s="394"/>
      <c r="PL118" s="394"/>
      <c r="PM118" s="394"/>
      <c r="PN118" s="394"/>
      <c r="PO118" s="394"/>
      <c r="PP118" s="394"/>
      <c r="PQ118" s="394"/>
      <c r="PR118" s="394"/>
      <c r="PS118" s="394"/>
      <c r="PT118" s="394"/>
      <c r="PU118" s="394"/>
      <c r="PV118" s="394"/>
      <c r="PW118" s="394"/>
      <c r="PX118" s="394"/>
      <c r="PY118" s="394"/>
      <c r="PZ118" s="394"/>
      <c r="QA118" s="394"/>
      <c r="QB118" s="394"/>
      <c r="QC118" s="394"/>
      <c r="QD118" s="394"/>
      <c r="QE118" s="394"/>
      <c r="QF118" s="394"/>
      <c r="QG118" s="394"/>
      <c r="QH118" s="394"/>
      <c r="QI118" s="394"/>
      <c r="QJ118" s="394"/>
      <c r="QK118" s="394"/>
      <c r="QL118" s="394"/>
      <c r="QM118" s="394"/>
      <c r="QN118" s="394"/>
      <c r="QO118" s="394"/>
      <c r="QP118" s="394"/>
      <c r="QQ118" s="394"/>
      <c r="QR118" s="394"/>
      <c r="QS118" s="394"/>
      <c r="QT118" s="394"/>
      <c r="QU118" s="394"/>
      <c r="QV118" s="394"/>
      <c r="QW118" s="394"/>
      <c r="QX118" s="394"/>
      <c r="QY118" s="394"/>
      <c r="QZ118" s="394"/>
      <c r="RA118" s="394"/>
      <c r="RB118" s="394"/>
      <c r="RC118" s="394"/>
      <c r="RD118" s="394"/>
      <c r="RE118" s="394"/>
      <c r="RF118" s="394"/>
      <c r="RG118" s="394"/>
      <c r="RH118" s="394"/>
      <c r="RI118" s="394"/>
      <c r="RJ118" s="394"/>
      <c r="RK118" s="394"/>
      <c r="RL118" s="394"/>
      <c r="RM118" s="394"/>
      <c r="RN118" s="394"/>
      <c r="RO118" s="394"/>
      <c r="RP118" s="394"/>
      <c r="RQ118" s="394"/>
      <c r="RR118" s="394"/>
      <c r="RS118" s="394"/>
      <c r="RT118" s="394"/>
      <c r="RU118" s="394"/>
      <c r="RV118" s="394"/>
      <c r="RW118" s="394"/>
      <c r="RX118" s="394"/>
      <c r="RY118" s="394"/>
      <c r="RZ118" s="394"/>
      <c r="SA118" s="394"/>
      <c r="SB118" s="394"/>
      <c r="SC118" s="394"/>
      <c r="SD118" s="394"/>
      <c r="SE118" s="394"/>
      <c r="SF118" s="394"/>
      <c r="SG118" s="394"/>
      <c r="SH118" s="394"/>
      <c r="SI118" s="394"/>
      <c r="SJ118" s="394"/>
    </row>
    <row r="119" spans="2:504" x14ac:dyDescent="0.25">
      <c r="B119" s="117" t="s">
        <v>445</v>
      </c>
      <c r="C119" s="118" t="s">
        <v>450</v>
      </c>
      <c r="D119" s="119" t="s">
        <v>446</v>
      </c>
      <c r="E119" s="394"/>
      <c r="F119" s="394"/>
      <c r="G119" s="394"/>
      <c r="H119" s="394"/>
      <c r="I119" s="394"/>
      <c r="J119" s="394"/>
      <c r="K119" s="394"/>
      <c r="L119" s="394"/>
      <c r="M119" s="394"/>
      <c r="N119" s="394"/>
      <c r="O119" s="394"/>
      <c r="P119" s="394"/>
      <c r="Q119" s="394"/>
      <c r="R119" s="394"/>
      <c r="S119" s="394"/>
      <c r="T119" s="394"/>
      <c r="U119" s="394"/>
      <c r="V119" s="394"/>
      <c r="W119" s="394"/>
      <c r="X119" s="394"/>
      <c r="Y119" s="394"/>
      <c r="Z119" s="394"/>
      <c r="AA119" s="394"/>
      <c r="AB119" s="394"/>
      <c r="AC119" s="394"/>
      <c r="AD119" s="394"/>
      <c r="AE119" s="394"/>
      <c r="AF119" s="394"/>
      <c r="AG119" s="394"/>
      <c r="AH119" s="394"/>
      <c r="AI119" s="394"/>
      <c r="AJ119" s="394"/>
      <c r="AK119" s="394"/>
      <c r="AL119" s="394"/>
      <c r="AM119" s="394"/>
      <c r="AN119" s="394"/>
      <c r="AO119" s="394"/>
      <c r="AP119" s="394"/>
      <c r="AQ119" s="394"/>
      <c r="AR119" s="394"/>
      <c r="AS119" s="394"/>
      <c r="AT119" s="394"/>
      <c r="AU119" s="394"/>
      <c r="AV119" s="394"/>
      <c r="AW119" s="394"/>
      <c r="AX119" s="394"/>
      <c r="AY119" s="394"/>
      <c r="AZ119" s="394"/>
      <c r="BA119" s="394"/>
      <c r="BB119" s="394"/>
      <c r="BC119" s="394"/>
      <c r="BD119" s="394"/>
      <c r="BE119" s="394"/>
      <c r="BF119" s="394"/>
      <c r="BG119" s="394"/>
      <c r="BH119" s="394"/>
      <c r="BI119" s="394"/>
      <c r="BJ119" s="394"/>
      <c r="BK119" s="394"/>
      <c r="BL119" s="394"/>
      <c r="BM119" s="394"/>
      <c r="BN119" s="394"/>
      <c r="BO119" s="394"/>
      <c r="BP119" s="394"/>
      <c r="BQ119" s="394"/>
      <c r="BR119" s="394"/>
      <c r="BS119" s="394"/>
      <c r="BT119" s="394"/>
      <c r="BU119" s="394"/>
      <c r="BV119" s="394"/>
      <c r="BW119" s="394"/>
      <c r="BX119" s="394"/>
      <c r="BY119" s="394"/>
      <c r="BZ119" s="394"/>
      <c r="CA119" s="394"/>
      <c r="CB119" s="394"/>
      <c r="CC119" s="394"/>
      <c r="CD119" s="394"/>
      <c r="CE119" s="394"/>
      <c r="CF119" s="394"/>
      <c r="CG119" s="394"/>
      <c r="CH119" s="394"/>
      <c r="CI119" s="394"/>
      <c r="CJ119" s="394"/>
      <c r="CK119" s="394"/>
      <c r="CL119" s="394"/>
      <c r="CM119" s="394"/>
      <c r="CN119" s="394"/>
      <c r="CO119" s="394"/>
      <c r="CP119" s="394"/>
      <c r="CQ119" s="394"/>
      <c r="CR119" s="394"/>
      <c r="CS119" s="394"/>
      <c r="CT119" s="394"/>
      <c r="CU119" s="394"/>
      <c r="CV119" s="394"/>
      <c r="CW119" s="394"/>
      <c r="CX119" s="394"/>
      <c r="CY119" s="394"/>
      <c r="CZ119" s="394"/>
      <c r="DA119" s="394"/>
      <c r="DB119" s="394"/>
      <c r="DC119" s="394"/>
      <c r="DD119" s="394"/>
      <c r="DE119" s="394"/>
      <c r="DF119" s="394"/>
      <c r="DG119" s="394"/>
      <c r="DH119" s="394"/>
      <c r="DI119" s="394"/>
      <c r="DJ119" s="394"/>
      <c r="DK119" s="394"/>
      <c r="DL119" s="394"/>
      <c r="DM119" s="394"/>
      <c r="DN119" s="394"/>
      <c r="DO119" s="394"/>
      <c r="DP119" s="394"/>
      <c r="DQ119" s="394"/>
      <c r="DR119" s="394"/>
      <c r="DS119" s="394"/>
      <c r="DT119" s="394"/>
      <c r="DU119" s="394"/>
      <c r="DV119" s="394"/>
      <c r="DW119" s="394"/>
      <c r="DX119" s="394"/>
      <c r="DY119" s="394"/>
      <c r="DZ119" s="394"/>
      <c r="EA119" s="394"/>
      <c r="EB119" s="394"/>
      <c r="EC119" s="394"/>
      <c r="ED119" s="394"/>
      <c r="EE119" s="394"/>
      <c r="EF119" s="394"/>
      <c r="EG119" s="394"/>
      <c r="EH119" s="394"/>
      <c r="EI119" s="394"/>
      <c r="EJ119" s="394"/>
      <c r="EK119" s="394"/>
      <c r="EL119" s="394"/>
      <c r="EM119" s="394"/>
      <c r="EN119" s="394"/>
      <c r="EO119" s="394"/>
      <c r="EP119" s="394"/>
      <c r="EQ119" s="394"/>
      <c r="ER119" s="394"/>
      <c r="ES119" s="394"/>
      <c r="ET119" s="394"/>
      <c r="EU119" s="394"/>
      <c r="EV119" s="394"/>
      <c r="EW119" s="394"/>
      <c r="EX119" s="394"/>
      <c r="EY119" s="394"/>
      <c r="EZ119" s="394"/>
      <c r="FA119" s="394"/>
      <c r="FB119" s="394"/>
      <c r="FC119" s="394"/>
      <c r="FD119" s="394"/>
      <c r="FE119" s="394"/>
      <c r="FF119" s="394"/>
      <c r="FG119" s="394"/>
      <c r="FH119" s="394"/>
      <c r="FI119" s="394"/>
      <c r="FJ119" s="394"/>
      <c r="FK119" s="394"/>
      <c r="FL119" s="394"/>
      <c r="FM119" s="394"/>
      <c r="FN119" s="394"/>
      <c r="FO119" s="394"/>
      <c r="FP119" s="394"/>
      <c r="FQ119" s="394"/>
      <c r="FR119" s="394"/>
      <c r="FS119" s="394"/>
      <c r="FT119" s="394"/>
      <c r="FU119" s="394"/>
      <c r="FV119" s="394"/>
      <c r="FW119" s="394"/>
      <c r="FX119" s="394"/>
      <c r="FY119" s="394"/>
      <c r="FZ119" s="394"/>
      <c r="GA119" s="394"/>
      <c r="GB119" s="394"/>
      <c r="GC119" s="394"/>
      <c r="GD119" s="394"/>
      <c r="GE119" s="394"/>
      <c r="GF119" s="394"/>
      <c r="GG119" s="394"/>
      <c r="GH119" s="394"/>
      <c r="GI119" s="394"/>
      <c r="GJ119" s="394"/>
      <c r="GK119" s="394"/>
      <c r="GL119" s="394"/>
      <c r="GM119" s="394"/>
      <c r="GN119" s="394"/>
      <c r="GO119" s="394"/>
      <c r="GP119" s="394"/>
      <c r="GQ119" s="394"/>
      <c r="GR119" s="394"/>
      <c r="GS119" s="394"/>
      <c r="GT119" s="394"/>
      <c r="GU119" s="394"/>
      <c r="GV119" s="394"/>
      <c r="GW119" s="394"/>
      <c r="GX119" s="394"/>
      <c r="GY119" s="394"/>
      <c r="GZ119" s="394"/>
      <c r="HA119" s="394"/>
      <c r="HB119" s="394"/>
      <c r="HC119" s="394"/>
      <c r="HD119" s="394"/>
      <c r="HE119" s="394"/>
      <c r="HF119" s="394"/>
      <c r="HG119" s="394"/>
      <c r="HH119" s="394"/>
      <c r="HI119" s="394"/>
      <c r="HJ119" s="394"/>
      <c r="HK119" s="394"/>
      <c r="HL119" s="394"/>
      <c r="HM119" s="394"/>
      <c r="HN119" s="394"/>
      <c r="HO119" s="394"/>
      <c r="HP119" s="394"/>
      <c r="HQ119" s="394"/>
      <c r="HR119" s="394"/>
      <c r="HS119" s="394"/>
      <c r="HT119" s="394"/>
      <c r="HU119" s="394"/>
      <c r="HV119" s="394"/>
      <c r="HW119" s="394"/>
      <c r="HX119" s="394"/>
      <c r="HY119" s="394"/>
      <c r="HZ119" s="394"/>
      <c r="IA119" s="394"/>
      <c r="IB119" s="394"/>
      <c r="IC119" s="394"/>
      <c r="ID119" s="394"/>
      <c r="IE119" s="394"/>
      <c r="IF119" s="394"/>
      <c r="IG119" s="394"/>
      <c r="IH119" s="394"/>
      <c r="II119" s="394"/>
      <c r="IJ119" s="394"/>
      <c r="IK119" s="394"/>
      <c r="IL119" s="394"/>
      <c r="IM119" s="394"/>
      <c r="IN119" s="394"/>
      <c r="IO119" s="394"/>
      <c r="IP119" s="394"/>
      <c r="IQ119" s="394"/>
      <c r="IR119" s="394"/>
      <c r="IS119" s="394"/>
      <c r="IT119" s="394"/>
      <c r="IU119" s="394"/>
      <c r="IV119" s="394"/>
      <c r="IW119" s="394"/>
      <c r="IX119" s="394"/>
      <c r="IY119" s="394"/>
      <c r="IZ119" s="394"/>
      <c r="JA119" s="394"/>
      <c r="JB119" s="394"/>
      <c r="JC119" s="394"/>
      <c r="JD119" s="394"/>
      <c r="JE119" s="394"/>
      <c r="JF119" s="394"/>
      <c r="JG119" s="394"/>
      <c r="JH119" s="394"/>
      <c r="JI119" s="394"/>
      <c r="JJ119" s="394"/>
      <c r="JK119" s="394"/>
      <c r="JL119" s="394"/>
      <c r="JM119" s="394"/>
      <c r="JN119" s="394"/>
      <c r="JO119" s="394"/>
      <c r="JP119" s="394"/>
      <c r="JQ119" s="394"/>
      <c r="JR119" s="394"/>
      <c r="JS119" s="394"/>
      <c r="JT119" s="394"/>
      <c r="JU119" s="394"/>
      <c r="JV119" s="394"/>
      <c r="JW119" s="394"/>
      <c r="JX119" s="394"/>
      <c r="JY119" s="394"/>
      <c r="JZ119" s="394"/>
      <c r="KA119" s="394"/>
      <c r="KB119" s="394"/>
      <c r="KC119" s="394"/>
      <c r="KD119" s="394"/>
      <c r="KE119" s="394"/>
      <c r="KF119" s="394"/>
      <c r="KG119" s="394"/>
      <c r="KH119" s="394"/>
      <c r="KI119" s="394"/>
      <c r="KJ119" s="394"/>
      <c r="KK119" s="394"/>
      <c r="KL119" s="394"/>
      <c r="KM119" s="394"/>
      <c r="KN119" s="394"/>
      <c r="KO119" s="394"/>
      <c r="KP119" s="394"/>
      <c r="KQ119" s="394"/>
      <c r="KR119" s="394"/>
      <c r="KS119" s="394"/>
      <c r="KT119" s="394"/>
      <c r="KU119" s="394"/>
      <c r="KV119" s="394"/>
      <c r="KW119" s="394"/>
      <c r="KX119" s="394"/>
      <c r="KY119" s="394"/>
      <c r="KZ119" s="394"/>
      <c r="LA119" s="394"/>
      <c r="LB119" s="394"/>
      <c r="LC119" s="394"/>
      <c r="LD119" s="394"/>
      <c r="LE119" s="394"/>
      <c r="LF119" s="394"/>
      <c r="LG119" s="394"/>
      <c r="LH119" s="394"/>
      <c r="LI119" s="394"/>
      <c r="LJ119" s="394"/>
      <c r="LK119" s="394"/>
      <c r="LL119" s="394"/>
      <c r="LM119" s="394"/>
      <c r="LN119" s="394"/>
      <c r="LO119" s="394"/>
      <c r="LP119" s="394"/>
      <c r="LQ119" s="394"/>
      <c r="LR119" s="394"/>
      <c r="LS119" s="394"/>
      <c r="LT119" s="394"/>
      <c r="LU119" s="394"/>
      <c r="LV119" s="394"/>
      <c r="LW119" s="394"/>
      <c r="LX119" s="394"/>
      <c r="LY119" s="394"/>
      <c r="LZ119" s="394"/>
      <c r="MA119" s="394"/>
      <c r="MB119" s="394"/>
      <c r="MC119" s="394"/>
      <c r="MD119" s="394"/>
      <c r="ME119" s="394"/>
      <c r="MF119" s="394"/>
      <c r="MG119" s="394"/>
      <c r="MH119" s="394"/>
      <c r="MI119" s="394"/>
      <c r="MJ119" s="394"/>
      <c r="MK119" s="394"/>
      <c r="ML119" s="394"/>
      <c r="MM119" s="394"/>
      <c r="MN119" s="394"/>
      <c r="MO119" s="394"/>
      <c r="MP119" s="394"/>
      <c r="MQ119" s="394"/>
      <c r="MR119" s="394"/>
      <c r="MS119" s="394"/>
      <c r="MT119" s="394"/>
      <c r="MU119" s="394"/>
      <c r="MV119" s="394"/>
      <c r="MW119" s="394"/>
      <c r="MX119" s="394"/>
      <c r="MY119" s="394"/>
      <c r="MZ119" s="394"/>
      <c r="NA119" s="394"/>
      <c r="NB119" s="394"/>
      <c r="NC119" s="394"/>
      <c r="ND119" s="394"/>
      <c r="NE119" s="394"/>
      <c r="NF119" s="394"/>
      <c r="NG119" s="394"/>
      <c r="NH119" s="394"/>
      <c r="NI119" s="394"/>
      <c r="NJ119" s="394"/>
      <c r="NK119" s="394"/>
      <c r="NL119" s="394"/>
      <c r="NM119" s="394"/>
      <c r="NN119" s="394"/>
      <c r="NO119" s="394"/>
      <c r="NP119" s="394"/>
      <c r="NQ119" s="394"/>
      <c r="NR119" s="394"/>
      <c r="NS119" s="394"/>
      <c r="NT119" s="394"/>
      <c r="NU119" s="394"/>
      <c r="NV119" s="394"/>
      <c r="NW119" s="394"/>
      <c r="NX119" s="394"/>
      <c r="NY119" s="394"/>
      <c r="NZ119" s="394"/>
      <c r="OA119" s="394"/>
      <c r="OB119" s="394"/>
      <c r="OC119" s="394"/>
      <c r="OD119" s="394"/>
      <c r="OE119" s="394"/>
      <c r="OF119" s="394"/>
      <c r="OG119" s="394"/>
      <c r="OH119" s="394"/>
      <c r="OI119" s="394"/>
      <c r="OJ119" s="394"/>
      <c r="OK119" s="394"/>
      <c r="OL119" s="394"/>
      <c r="OM119" s="394"/>
      <c r="ON119" s="394"/>
      <c r="OO119" s="394"/>
      <c r="OP119" s="394"/>
      <c r="OQ119" s="394"/>
      <c r="OR119" s="394"/>
      <c r="OS119" s="394"/>
      <c r="OT119" s="394"/>
      <c r="OU119" s="394"/>
      <c r="OV119" s="394"/>
      <c r="OW119" s="394"/>
      <c r="OX119" s="394"/>
      <c r="OY119" s="394"/>
      <c r="OZ119" s="394"/>
      <c r="PA119" s="394"/>
      <c r="PB119" s="394"/>
      <c r="PC119" s="394"/>
      <c r="PD119" s="394"/>
      <c r="PE119" s="394"/>
      <c r="PF119" s="394"/>
      <c r="PG119" s="394"/>
      <c r="PH119" s="394"/>
      <c r="PI119" s="394"/>
      <c r="PJ119" s="394"/>
      <c r="PK119" s="394"/>
      <c r="PL119" s="394"/>
      <c r="PM119" s="394"/>
      <c r="PN119" s="394"/>
      <c r="PO119" s="394"/>
      <c r="PP119" s="394"/>
      <c r="PQ119" s="394"/>
      <c r="PR119" s="394"/>
      <c r="PS119" s="394"/>
      <c r="PT119" s="394"/>
      <c r="PU119" s="394"/>
      <c r="PV119" s="394"/>
      <c r="PW119" s="394"/>
      <c r="PX119" s="394"/>
      <c r="PY119" s="394"/>
      <c r="PZ119" s="394"/>
      <c r="QA119" s="394"/>
      <c r="QB119" s="394"/>
      <c r="QC119" s="394"/>
      <c r="QD119" s="394"/>
      <c r="QE119" s="394"/>
      <c r="QF119" s="394"/>
      <c r="QG119" s="394"/>
      <c r="QH119" s="394"/>
      <c r="QI119" s="394"/>
      <c r="QJ119" s="394"/>
      <c r="QK119" s="394"/>
      <c r="QL119" s="394"/>
      <c r="QM119" s="394"/>
      <c r="QN119" s="394"/>
      <c r="QO119" s="394"/>
      <c r="QP119" s="394"/>
      <c r="QQ119" s="394"/>
      <c r="QR119" s="394"/>
      <c r="QS119" s="394"/>
      <c r="QT119" s="394"/>
      <c r="QU119" s="394"/>
      <c r="QV119" s="394"/>
      <c r="QW119" s="394"/>
      <c r="QX119" s="394"/>
      <c r="QY119" s="394"/>
      <c r="QZ119" s="394"/>
      <c r="RA119" s="394"/>
      <c r="RB119" s="394"/>
      <c r="RC119" s="394"/>
      <c r="RD119" s="394"/>
      <c r="RE119" s="394"/>
      <c r="RF119" s="394"/>
      <c r="RG119" s="394"/>
      <c r="RH119" s="394"/>
      <c r="RI119" s="394"/>
      <c r="RJ119" s="394"/>
      <c r="RK119" s="394"/>
      <c r="RL119" s="394"/>
      <c r="RM119" s="394"/>
      <c r="RN119" s="394"/>
      <c r="RO119" s="394"/>
      <c r="RP119" s="394"/>
      <c r="RQ119" s="394"/>
      <c r="RR119" s="394"/>
      <c r="RS119" s="394"/>
      <c r="RT119" s="394"/>
      <c r="RU119" s="394"/>
      <c r="RV119" s="394"/>
      <c r="RW119" s="394"/>
      <c r="RX119" s="394"/>
      <c r="RY119" s="394"/>
      <c r="RZ119" s="394"/>
      <c r="SA119" s="394"/>
      <c r="SB119" s="394"/>
      <c r="SC119" s="394"/>
      <c r="SD119" s="394"/>
      <c r="SE119" s="394"/>
      <c r="SF119" s="394"/>
      <c r="SG119" s="394"/>
      <c r="SH119" s="394"/>
      <c r="SI119" s="394"/>
      <c r="SJ119" s="394"/>
    </row>
    <row r="120" spans="2:504" ht="30" customHeight="1" x14ac:dyDescent="0.25">
      <c r="B120" s="107" t="str">
        <f>'Graph Data'!M81</f>
        <v>AE ERROR</v>
      </c>
      <c r="C120" s="106" t="str" cm="1">
        <f t="array" ref="C120">IFERROR(_xlfn.TEXTJOIN(", ",TRUE,IF($E$4:$SJ$4=B120,$E$11:$SJ$11,"")),"Excel 2019 or newer required for this function")</f>
        <v/>
      </c>
      <c r="D120" s="108">
        <f t="shared" ref="D120:D126" si="18">SUMIFS($E$10:$SJ$10,$E$4:$SJ$4,B120)</f>
        <v>0</v>
      </c>
      <c r="E120" s="394"/>
      <c r="F120" s="394"/>
      <c r="G120" s="394"/>
      <c r="H120" s="394"/>
      <c r="I120" s="394"/>
      <c r="J120" s="394"/>
      <c r="K120" s="394"/>
      <c r="L120" s="394"/>
      <c r="M120" s="394"/>
      <c r="N120" s="394"/>
      <c r="O120" s="394"/>
      <c r="P120" s="394"/>
      <c r="Q120" s="394"/>
      <c r="R120" s="394"/>
      <c r="S120" s="394"/>
      <c r="T120" s="394"/>
      <c r="U120" s="394"/>
      <c r="V120" s="394"/>
      <c r="W120" s="394"/>
      <c r="X120" s="394"/>
      <c r="Y120" s="394"/>
      <c r="Z120" s="394"/>
      <c r="AA120" s="394"/>
      <c r="AB120" s="394"/>
      <c r="AC120" s="394"/>
      <c r="AD120" s="394"/>
      <c r="AE120" s="394"/>
      <c r="AF120" s="394"/>
      <c r="AG120" s="394"/>
      <c r="AH120" s="394"/>
      <c r="AI120" s="394"/>
      <c r="AJ120" s="394"/>
      <c r="AK120" s="394"/>
      <c r="AL120" s="394"/>
      <c r="AM120" s="394"/>
      <c r="AN120" s="394"/>
      <c r="AO120" s="394"/>
      <c r="AP120" s="394"/>
      <c r="AQ120" s="394"/>
      <c r="AR120" s="394"/>
      <c r="AS120" s="394"/>
      <c r="AT120" s="394"/>
      <c r="AU120" s="394"/>
      <c r="AV120" s="394"/>
      <c r="AW120" s="394"/>
      <c r="AX120" s="394"/>
      <c r="AY120" s="394"/>
      <c r="AZ120" s="394"/>
      <c r="BA120" s="394"/>
      <c r="BB120" s="394"/>
      <c r="BC120" s="394"/>
      <c r="BD120" s="394"/>
      <c r="BE120" s="394"/>
      <c r="BF120" s="394"/>
      <c r="BG120" s="394"/>
      <c r="BH120" s="394"/>
      <c r="BI120" s="394"/>
      <c r="BJ120" s="394"/>
      <c r="BK120" s="394"/>
      <c r="BL120" s="394"/>
      <c r="BM120" s="394"/>
      <c r="BN120" s="394"/>
      <c r="BO120" s="394"/>
      <c r="BP120" s="394"/>
      <c r="BQ120" s="394"/>
      <c r="BR120" s="394"/>
      <c r="BS120" s="394"/>
      <c r="BT120" s="394"/>
      <c r="BU120" s="394"/>
      <c r="BV120" s="394"/>
      <c r="BW120" s="394"/>
      <c r="BX120" s="394"/>
      <c r="BY120" s="394"/>
      <c r="BZ120" s="394"/>
      <c r="CA120" s="394"/>
      <c r="CB120" s="394"/>
      <c r="CC120" s="394"/>
      <c r="CD120" s="394"/>
      <c r="CE120" s="394"/>
      <c r="CF120" s="394"/>
      <c r="CG120" s="394"/>
      <c r="CH120" s="394"/>
      <c r="CI120" s="394"/>
      <c r="CJ120" s="394"/>
      <c r="CK120" s="394"/>
      <c r="CL120" s="394"/>
      <c r="CM120" s="394"/>
      <c r="CN120" s="394"/>
      <c r="CO120" s="394"/>
      <c r="CP120" s="394"/>
      <c r="CQ120" s="394"/>
      <c r="CR120" s="394"/>
      <c r="CS120" s="394"/>
      <c r="CT120" s="394"/>
      <c r="CU120" s="394"/>
      <c r="CV120" s="394"/>
      <c r="CW120" s="394"/>
      <c r="CX120" s="394"/>
      <c r="CY120" s="394"/>
      <c r="CZ120" s="394"/>
      <c r="DA120" s="394"/>
      <c r="DB120" s="394"/>
      <c r="DC120" s="394"/>
      <c r="DD120" s="394"/>
      <c r="DE120" s="394"/>
      <c r="DF120" s="394"/>
      <c r="DG120" s="394"/>
      <c r="DH120" s="394"/>
      <c r="DI120" s="394"/>
      <c r="DJ120" s="394"/>
      <c r="DK120" s="394"/>
      <c r="DL120" s="394"/>
      <c r="DM120" s="394"/>
      <c r="DN120" s="394"/>
      <c r="DO120" s="394"/>
      <c r="DP120" s="394"/>
      <c r="DQ120" s="394"/>
      <c r="DR120" s="394"/>
      <c r="DS120" s="394"/>
      <c r="DT120" s="394"/>
      <c r="DU120" s="394"/>
      <c r="DV120" s="394"/>
      <c r="DW120" s="394"/>
      <c r="DX120" s="394"/>
      <c r="DY120" s="394"/>
      <c r="DZ120" s="394"/>
      <c r="EA120" s="394"/>
      <c r="EB120" s="394"/>
      <c r="EC120" s="394"/>
      <c r="ED120" s="394"/>
      <c r="EE120" s="394"/>
      <c r="EF120" s="394"/>
      <c r="EG120" s="394"/>
      <c r="EH120" s="394"/>
      <c r="EI120" s="394"/>
      <c r="EJ120" s="394"/>
      <c r="EK120" s="394"/>
      <c r="EL120" s="394"/>
      <c r="EM120" s="394"/>
      <c r="EN120" s="394"/>
      <c r="EO120" s="394"/>
      <c r="EP120" s="394"/>
      <c r="EQ120" s="394"/>
      <c r="ER120" s="394"/>
      <c r="ES120" s="394"/>
      <c r="ET120" s="394"/>
      <c r="EU120" s="394"/>
      <c r="EV120" s="394"/>
      <c r="EW120" s="394"/>
      <c r="EX120" s="394"/>
      <c r="EY120" s="394"/>
      <c r="EZ120" s="394"/>
      <c r="FA120" s="394"/>
      <c r="FB120" s="394"/>
      <c r="FC120" s="394"/>
      <c r="FD120" s="394"/>
      <c r="FE120" s="394"/>
      <c r="FF120" s="394"/>
      <c r="FG120" s="394"/>
      <c r="FH120" s="394"/>
      <c r="FI120" s="394"/>
      <c r="FJ120" s="394"/>
      <c r="FK120" s="394"/>
      <c r="FL120" s="394"/>
      <c r="FM120" s="394"/>
      <c r="FN120" s="394"/>
      <c r="FO120" s="394"/>
      <c r="FP120" s="394"/>
      <c r="FQ120" s="394"/>
      <c r="FR120" s="394"/>
      <c r="FS120" s="394"/>
      <c r="FT120" s="394"/>
      <c r="FU120" s="394"/>
      <c r="FV120" s="394"/>
      <c r="FW120" s="394"/>
      <c r="FX120" s="394"/>
      <c r="FY120" s="394"/>
      <c r="FZ120" s="394"/>
      <c r="GA120" s="394"/>
      <c r="GB120" s="394"/>
      <c r="GC120" s="394"/>
      <c r="GD120" s="394"/>
      <c r="GE120" s="394"/>
      <c r="GF120" s="394"/>
      <c r="GG120" s="394"/>
      <c r="GH120" s="394"/>
      <c r="GI120" s="394"/>
      <c r="GJ120" s="394"/>
      <c r="GK120" s="394"/>
      <c r="GL120" s="394"/>
      <c r="GM120" s="394"/>
      <c r="GN120" s="394"/>
      <c r="GO120" s="394"/>
      <c r="GP120" s="394"/>
      <c r="GQ120" s="394"/>
      <c r="GR120" s="394"/>
      <c r="GS120" s="394"/>
      <c r="GT120" s="394"/>
      <c r="GU120" s="394"/>
      <c r="GV120" s="394"/>
      <c r="GW120" s="394"/>
      <c r="GX120" s="394"/>
      <c r="GY120" s="394"/>
      <c r="GZ120" s="394"/>
      <c r="HA120" s="394"/>
      <c r="HB120" s="394"/>
      <c r="HC120" s="394"/>
      <c r="HD120" s="394"/>
      <c r="HE120" s="394"/>
      <c r="HF120" s="394"/>
      <c r="HG120" s="394"/>
      <c r="HH120" s="394"/>
      <c r="HI120" s="394"/>
      <c r="HJ120" s="394"/>
      <c r="HK120" s="394"/>
      <c r="HL120" s="394"/>
      <c r="HM120" s="394"/>
      <c r="HN120" s="394"/>
      <c r="HO120" s="394"/>
      <c r="HP120" s="394"/>
      <c r="HQ120" s="394"/>
      <c r="HR120" s="394"/>
      <c r="HS120" s="394"/>
      <c r="HT120" s="394"/>
      <c r="HU120" s="394"/>
      <c r="HV120" s="394"/>
      <c r="HW120" s="394"/>
      <c r="HX120" s="394"/>
      <c r="HY120" s="394"/>
      <c r="HZ120" s="394"/>
      <c r="IA120" s="394"/>
      <c r="IB120" s="394"/>
      <c r="IC120" s="394"/>
      <c r="ID120" s="394"/>
      <c r="IE120" s="394"/>
      <c r="IF120" s="394"/>
      <c r="IG120" s="394"/>
      <c r="IH120" s="394"/>
      <c r="II120" s="394"/>
      <c r="IJ120" s="394"/>
      <c r="IK120" s="394"/>
      <c r="IL120" s="394"/>
      <c r="IM120" s="394"/>
      <c r="IN120" s="394"/>
      <c r="IO120" s="394"/>
      <c r="IP120" s="394"/>
      <c r="IQ120" s="394"/>
      <c r="IR120" s="394"/>
      <c r="IS120" s="394"/>
      <c r="IT120" s="394"/>
      <c r="IU120" s="394"/>
      <c r="IV120" s="394"/>
      <c r="IW120" s="394"/>
      <c r="IX120" s="394"/>
      <c r="IY120" s="394"/>
      <c r="IZ120" s="394"/>
      <c r="JA120" s="394"/>
      <c r="JB120" s="394"/>
      <c r="JC120" s="394"/>
      <c r="JD120" s="394"/>
      <c r="JE120" s="394"/>
      <c r="JF120" s="394"/>
      <c r="JG120" s="394"/>
      <c r="JH120" s="394"/>
      <c r="JI120" s="394"/>
      <c r="JJ120" s="394"/>
      <c r="JK120" s="394"/>
      <c r="JL120" s="394"/>
      <c r="JM120" s="394"/>
      <c r="JN120" s="394"/>
      <c r="JO120" s="394"/>
      <c r="JP120" s="394"/>
      <c r="JQ120" s="394"/>
      <c r="JR120" s="394"/>
      <c r="JS120" s="394"/>
      <c r="JT120" s="394"/>
      <c r="JU120" s="394"/>
      <c r="JV120" s="394"/>
      <c r="JW120" s="394"/>
      <c r="JX120" s="394"/>
      <c r="JY120" s="394"/>
      <c r="JZ120" s="394"/>
      <c r="KA120" s="394"/>
      <c r="KB120" s="394"/>
      <c r="KC120" s="394"/>
      <c r="KD120" s="394"/>
      <c r="KE120" s="394"/>
      <c r="KF120" s="394"/>
      <c r="KG120" s="394"/>
      <c r="KH120" s="394"/>
      <c r="KI120" s="394"/>
      <c r="KJ120" s="394"/>
      <c r="KK120" s="394"/>
      <c r="KL120" s="394"/>
      <c r="KM120" s="394"/>
      <c r="KN120" s="394"/>
      <c r="KO120" s="394"/>
      <c r="KP120" s="394"/>
      <c r="KQ120" s="394"/>
      <c r="KR120" s="394"/>
      <c r="KS120" s="394"/>
      <c r="KT120" s="394"/>
      <c r="KU120" s="394"/>
      <c r="KV120" s="394"/>
      <c r="KW120" s="394"/>
      <c r="KX120" s="394"/>
      <c r="KY120" s="394"/>
      <c r="KZ120" s="394"/>
      <c r="LA120" s="394"/>
      <c r="LB120" s="394"/>
      <c r="LC120" s="394"/>
      <c r="LD120" s="394"/>
      <c r="LE120" s="394"/>
      <c r="LF120" s="394"/>
      <c r="LG120" s="394"/>
      <c r="LH120" s="394"/>
      <c r="LI120" s="394"/>
      <c r="LJ120" s="394"/>
      <c r="LK120" s="394"/>
      <c r="LL120" s="394"/>
      <c r="LM120" s="394"/>
      <c r="LN120" s="394"/>
      <c r="LO120" s="394"/>
      <c r="LP120" s="394"/>
      <c r="LQ120" s="394"/>
      <c r="LR120" s="394"/>
      <c r="LS120" s="394"/>
      <c r="LT120" s="394"/>
      <c r="LU120" s="394"/>
      <c r="LV120" s="394"/>
      <c r="LW120" s="394"/>
      <c r="LX120" s="394"/>
      <c r="LY120" s="394"/>
      <c r="LZ120" s="394"/>
      <c r="MA120" s="394"/>
      <c r="MB120" s="394"/>
      <c r="MC120" s="394"/>
      <c r="MD120" s="394"/>
      <c r="ME120" s="394"/>
      <c r="MF120" s="394"/>
      <c r="MG120" s="394"/>
      <c r="MH120" s="394"/>
      <c r="MI120" s="394"/>
      <c r="MJ120" s="394"/>
      <c r="MK120" s="394"/>
      <c r="ML120" s="394"/>
      <c r="MM120" s="394"/>
      <c r="MN120" s="394"/>
      <c r="MO120" s="394"/>
      <c r="MP120" s="394"/>
      <c r="MQ120" s="394"/>
      <c r="MR120" s="394"/>
      <c r="MS120" s="394"/>
      <c r="MT120" s="394"/>
      <c r="MU120" s="394"/>
      <c r="MV120" s="394"/>
      <c r="MW120" s="394"/>
      <c r="MX120" s="394"/>
      <c r="MY120" s="394"/>
      <c r="MZ120" s="394"/>
      <c r="NA120" s="394"/>
      <c r="NB120" s="394"/>
      <c r="NC120" s="394"/>
      <c r="ND120" s="394"/>
      <c r="NE120" s="394"/>
      <c r="NF120" s="394"/>
      <c r="NG120" s="394"/>
      <c r="NH120" s="394"/>
      <c r="NI120" s="394"/>
      <c r="NJ120" s="394"/>
      <c r="NK120" s="394"/>
      <c r="NL120" s="394"/>
      <c r="NM120" s="394"/>
      <c r="NN120" s="394"/>
      <c r="NO120" s="394"/>
      <c r="NP120" s="394"/>
      <c r="NQ120" s="394"/>
      <c r="NR120" s="394"/>
      <c r="NS120" s="394"/>
      <c r="NT120" s="394"/>
      <c r="NU120" s="394"/>
      <c r="NV120" s="394"/>
      <c r="NW120" s="394"/>
      <c r="NX120" s="394"/>
      <c r="NY120" s="394"/>
      <c r="NZ120" s="394"/>
      <c r="OA120" s="394"/>
      <c r="OB120" s="394"/>
      <c r="OC120" s="394"/>
      <c r="OD120" s="394"/>
      <c r="OE120" s="394"/>
      <c r="OF120" s="394"/>
      <c r="OG120" s="394"/>
      <c r="OH120" s="394"/>
      <c r="OI120" s="394"/>
      <c r="OJ120" s="394"/>
      <c r="OK120" s="394"/>
      <c r="OL120" s="394"/>
      <c r="OM120" s="394"/>
      <c r="ON120" s="394"/>
      <c r="OO120" s="394"/>
      <c r="OP120" s="394"/>
      <c r="OQ120" s="394"/>
      <c r="OR120" s="394"/>
      <c r="OS120" s="394"/>
      <c r="OT120" s="394"/>
      <c r="OU120" s="394"/>
      <c r="OV120" s="394"/>
      <c r="OW120" s="394"/>
      <c r="OX120" s="394"/>
      <c r="OY120" s="394"/>
      <c r="OZ120" s="394"/>
      <c r="PA120" s="394"/>
      <c r="PB120" s="394"/>
      <c r="PC120" s="394"/>
      <c r="PD120" s="394"/>
      <c r="PE120" s="394"/>
      <c r="PF120" s="394"/>
      <c r="PG120" s="394"/>
      <c r="PH120" s="394"/>
      <c r="PI120" s="394"/>
      <c r="PJ120" s="394"/>
      <c r="PK120" s="394"/>
      <c r="PL120" s="394"/>
      <c r="PM120" s="394"/>
      <c r="PN120" s="394"/>
      <c r="PO120" s="394"/>
      <c r="PP120" s="394"/>
      <c r="PQ120" s="394"/>
      <c r="PR120" s="394"/>
      <c r="PS120" s="394"/>
      <c r="PT120" s="394"/>
      <c r="PU120" s="394"/>
      <c r="PV120" s="394"/>
      <c r="PW120" s="394"/>
      <c r="PX120" s="394"/>
      <c r="PY120" s="394"/>
      <c r="PZ120" s="394"/>
      <c r="QA120" s="394"/>
      <c r="QB120" s="394"/>
      <c r="QC120" s="394"/>
      <c r="QD120" s="394"/>
      <c r="QE120" s="394"/>
      <c r="QF120" s="394"/>
      <c r="QG120" s="394"/>
      <c r="QH120" s="394"/>
      <c r="QI120" s="394"/>
      <c r="QJ120" s="394"/>
      <c r="QK120" s="394"/>
      <c r="QL120" s="394"/>
      <c r="QM120" s="394"/>
      <c r="QN120" s="394"/>
      <c r="QO120" s="394"/>
      <c r="QP120" s="394"/>
      <c r="QQ120" s="394"/>
      <c r="QR120" s="394"/>
      <c r="QS120" s="394"/>
      <c r="QT120" s="394"/>
      <c r="QU120" s="394"/>
      <c r="QV120" s="394"/>
      <c r="QW120" s="394"/>
      <c r="QX120" s="394"/>
      <c r="QY120" s="394"/>
      <c r="QZ120" s="394"/>
      <c r="RA120" s="394"/>
      <c r="RB120" s="394"/>
      <c r="RC120" s="394"/>
      <c r="RD120" s="394"/>
      <c r="RE120" s="394"/>
      <c r="RF120" s="394"/>
      <c r="RG120" s="394"/>
      <c r="RH120" s="394"/>
      <c r="RI120" s="394"/>
      <c r="RJ120" s="394"/>
      <c r="RK120" s="394"/>
      <c r="RL120" s="394"/>
      <c r="RM120" s="394"/>
      <c r="RN120" s="394"/>
      <c r="RO120" s="394"/>
      <c r="RP120" s="394"/>
      <c r="RQ120" s="394"/>
      <c r="RR120" s="394"/>
      <c r="RS120" s="394"/>
      <c r="RT120" s="394"/>
      <c r="RU120" s="394"/>
      <c r="RV120" s="394"/>
      <c r="RW120" s="394"/>
      <c r="RX120" s="394"/>
      <c r="RY120" s="394"/>
      <c r="RZ120" s="394"/>
      <c r="SA120" s="394"/>
      <c r="SB120" s="394"/>
      <c r="SC120" s="394"/>
      <c r="SD120" s="394"/>
      <c r="SE120" s="394"/>
      <c r="SF120" s="394"/>
      <c r="SG120" s="394"/>
      <c r="SH120" s="394"/>
      <c r="SI120" s="394"/>
      <c r="SJ120" s="394"/>
    </row>
    <row r="121" spans="2:504" ht="30" customHeight="1" x14ac:dyDescent="0.25">
      <c r="B121" s="107" t="str">
        <f>'Graph Data'!M82</f>
        <v>AE OMISSION</v>
      </c>
      <c r="C121" s="106" t="str" cm="1">
        <f t="array" ref="C121">IFERROR(_xlfn.TEXTJOIN(", ",TRUE,IF($E$4:$SJ$4=B121,$E$11:$SJ$11,"")),"Excel 2019 or newer required for this function")</f>
        <v/>
      </c>
      <c r="D121" s="99">
        <f t="shared" si="18"/>
        <v>0</v>
      </c>
      <c r="E121" s="394"/>
      <c r="F121" s="394"/>
      <c r="G121" s="394"/>
      <c r="H121" s="394"/>
      <c r="I121" s="394"/>
      <c r="J121" s="394"/>
      <c r="K121" s="394"/>
      <c r="L121" s="394"/>
      <c r="M121" s="394"/>
      <c r="N121" s="394"/>
      <c r="O121" s="394"/>
      <c r="P121" s="394"/>
      <c r="Q121" s="394"/>
      <c r="R121" s="394"/>
      <c r="S121" s="394"/>
      <c r="T121" s="394"/>
      <c r="U121" s="394"/>
      <c r="V121" s="394"/>
      <c r="W121" s="394"/>
      <c r="X121" s="394"/>
      <c r="Y121" s="394"/>
      <c r="Z121" s="394"/>
      <c r="AA121" s="394"/>
      <c r="AB121" s="394"/>
      <c r="AC121" s="394"/>
      <c r="AD121" s="394"/>
      <c r="AE121" s="394"/>
      <c r="AF121" s="394"/>
      <c r="AG121" s="394"/>
      <c r="AH121" s="394"/>
      <c r="AI121" s="394"/>
      <c r="AJ121" s="394"/>
      <c r="AK121" s="394"/>
      <c r="AL121" s="394"/>
      <c r="AM121" s="394"/>
      <c r="AN121" s="394"/>
      <c r="AO121" s="394"/>
      <c r="AP121" s="394"/>
      <c r="AQ121" s="394"/>
      <c r="AR121" s="394"/>
      <c r="AS121" s="394"/>
      <c r="AT121" s="394"/>
      <c r="AU121" s="394"/>
      <c r="AV121" s="394"/>
      <c r="AW121" s="394"/>
      <c r="AX121" s="394"/>
      <c r="AY121" s="394"/>
      <c r="AZ121" s="394"/>
      <c r="BA121" s="394"/>
      <c r="BB121" s="394"/>
      <c r="BC121" s="394"/>
      <c r="BD121" s="394"/>
      <c r="BE121" s="394"/>
      <c r="BF121" s="394"/>
      <c r="BG121" s="394"/>
      <c r="BH121" s="394"/>
      <c r="BI121" s="394"/>
      <c r="BJ121" s="394"/>
      <c r="BK121" s="394"/>
      <c r="BL121" s="394"/>
      <c r="BM121" s="394"/>
      <c r="BN121" s="394"/>
      <c r="BO121" s="394"/>
      <c r="BP121" s="394"/>
      <c r="BQ121" s="394"/>
      <c r="BR121" s="394"/>
      <c r="BS121" s="394"/>
      <c r="BT121" s="394"/>
      <c r="BU121" s="394"/>
      <c r="BV121" s="394"/>
      <c r="BW121" s="394"/>
      <c r="BX121" s="394"/>
      <c r="BY121" s="394"/>
      <c r="BZ121" s="394"/>
      <c r="CA121" s="394"/>
      <c r="CB121" s="394"/>
      <c r="CC121" s="394"/>
      <c r="CD121" s="394"/>
      <c r="CE121" s="394"/>
      <c r="CF121" s="394"/>
      <c r="CG121" s="394"/>
      <c r="CH121" s="394"/>
      <c r="CI121" s="394"/>
      <c r="CJ121" s="394"/>
      <c r="CK121" s="394"/>
      <c r="CL121" s="394"/>
      <c r="CM121" s="394"/>
      <c r="CN121" s="394"/>
      <c r="CO121" s="394"/>
      <c r="CP121" s="394"/>
      <c r="CQ121" s="394"/>
      <c r="CR121" s="394"/>
      <c r="CS121" s="394"/>
      <c r="CT121" s="394"/>
      <c r="CU121" s="394"/>
      <c r="CV121" s="394"/>
      <c r="CW121" s="394"/>
      <c r="CX121" s="394"/>
      <c r="CY121" s="394"/>
      <c r="CZ121" s="394"/>
      <c r="DA121" s="394"/>
      <c r="DB121" s="394"/>
      <c r="DC121" s="394"/>
      <c r="DD121" s="394"/>
      <c r="DE121" s="394"/>
      <c r="DF121" s="394"/>
      <c r="DG121" s="394"/>
      <c r="DH121" s="394"/>
      <c r="DI121" s="394"/>
      <c r="DJ121" s="394"/>
      <c r="DK121" s="394"/>
      <c r="DL121" s="394"/>
      <c r="DM121" s="394"/>
      <c r="DN121" s="394"/>
      <c r="DO121" s="394"/>
      <c r="DP121" s="394"/>
      <c r="DQ121" s="394"/>
      <c r="DR121" s="394"/>
      <c r="DS121" s="394"/>
      <c r="DT121" s="394"/>
      <c r="DU121" s="394"/>
      <c r="DV121" s="394"/>
      <c r="DW121" s="394"/>
      <c r="DX121" s="394"/>
      <c r="DY121" s="394"/>
      <c r="DZ121" s="394"/>
      <c r="EA121" s="394"/>
      <c r="EB121" s="394"/>
      <c r="EC121" s="394"/>
      <c r="ED121" s="394"/>
      <c r="EE121" s="394"/>
      <c r="EF121" s="394"/>
      <c r="EG121" s="394"/>
      <c r="EH121" s="394"/>
      <c r="EI121" s="394"/>
      <c r="EJ121" s="394"/>
      <c r="EK121" s="394"/>
      <c r="EL121" s="394"/>
      <c r="EM121" s="394"/>
      <c r="EN121" s="394"/>
      <c r="EO121" s="394"/>
      <c r="EP121" s="394"/>
      <c r="EQ121" s="394"/>
      <c r="ER121" s="394"/>
      <c r="ES121" s="394"/>
      <c r="ET121" s="394"/>
      <c r="EU121" s="394"/>
      <c r="EV121" s="394"/>
      <c r="EW121" s="394"/>
      <c r="EX121" s="394"/>
      <c r="EY121" s="394"/>
      <c r="EZ121" s="394"/>
      <c r="FA121" s="394"/>
      <c r="FB121" s="394"/>
      <c r="FC121" s="394"/>
      <c r="FD121" s="394"/>
      <c r="FE121" s="394"/>
      <c r="FF121" s="394"/>
      <c r="FG121" s="394"/>
      <c r="FH121" s="394"/>
      <c r="FI121" s="394"/>
      <c r="FJ121" s="394"/>
      <c r="FK121" s="394"/>
      <c r="FL121" s="394"/>
      <c r="FM121" s="394"/>
      <c r="FN121" s="394"/>
      <c r="FO121" s="394"/>
      <c r="FP121" s="394"/>
      <c r="FQ121" s="394"/>
      <c r="FR121" s="394"/>
      <c r="FS121" s="394"/>
      <c r="FT121" s="394"/>
      <c r="FU121" s="394"/>
      <c r="FV121" s="394"/>
      <c r="FW121" s="394"/>
      <c r="FX121" s="394"/>
      <c r="FY121" s="394"/>
      <c r="FZ121" s="394"/>
      <c r="GA121" s="394"/>
      <c r="GB121" s="394"/>
      <c r="GC121" s="394"/>
      <c r="GD121" s="394"/>
      <c r="GE121" s="394"/>
      <c r="GF121" s="394"/>
      <c r="GG121" s="394"/>
      <c r="GH121" s="394"/>
      <c r="GI121" s="394"/>
      <c r="GJ121" s="394"/>
      <c r="GK121" s="394"/>
      <c r="GL121" s="394"/>
      <c r="GM121" s="394"/>
      <c r="GN121" s="394"/>
      <c r="GO121" s="394"/>
      <c r="GP121" s="394"/>
      <c r="GQ121" s="394"/>
      <c r="GR121" s="394"/>
      <c r="GS121" s="394"/>
      <c r="GT121" s="394"/>
      <c r="GU121" s="394"/>
      <c r="GV121" s="394"/>
      <c r="GW121" s="394"/>
      <c r="GX121" s="394"/>
      <c r="GY121" s="394"/>
      <c r="GZ121" s="394"/>
      <c r="HA121" s="394"/>
      <c r="HB121" s="394"/>
      <c r="HC121" s="394"/>
      <c r="HD121" s="394"/>
      <c r="HE121" s="394"/>
      <c r="HF121" s="394"/>
      <c r="HG121" s="394"/>
      <c r="HH121" s="394"/>
      <c r="HI121" s="394"/>
      <c r="HJ121" s="394"/>
      <c r="HK121" s="394"/>
      <c r="HL121" s="394"/>
      <c r="HM121" s="394"/>
      <c r="HN121" s="394"/>
      <c r="HO121" s="394"/>
      <c r="HP121" s="394"/>
      <c r="HQ121" s="394"/>
      <c r="HR121" s="394"/>
      <c r="HS121" s="394"/>
      <c r="HT121" s="394"/>
      <c r="HU121" s="394"/>
      <c r="HV121" s="394"/>
      <c r="HW121" s="394"/>
      <c r="HX121" s="394"/>
      <c r="HY121" s="394"/>
      <c r="HZ121" s="394"/>
      <c r="IA121" s="394"/>
      <c r="IB121" s="394"/>
      <c r="IC121" s="394"/>
      <c r="ID121" s="394"/>
      <c r="IE121" s="394"/>
      <c r="IF121" s="394"/>
      <c r="IG121" s="394"/>
      <c r="IH121" s="394"/>
      <c r="II121" s="394"/>
      <c r="IJ121" s="394"/>
      <c r="IK121" s="394"/>
      <c r="IL121" s="394"/>
      <c r="IM121" s="394"/>
      <c r="IN121" s="394"/>
      <c r="IO121" s="394"/>
      <c r="IP121" s="394"/>
      <c r="IQ121" s="394"/>
      <c r="IR121" s="394"/>
      <c r="IS121" s="394"/>
      <c r="IT121" s="394"/>
      <c r="IU121" s="394"/>
      <c r="IV121" s="394"/>
      <c r="IW121" s="394"/>
      <c r="IX121" s="394"/>
      <c r="IY121" s="394"/>
      <c r="IZ121" s="394"/>
      <c r="JA121" s="394"/>
      <c r="JB121" s="394"/>
      <c r="JC121" s="394"/>
      <c r="JD121" s="394"/>
      <c r="JE121" s="394"/>
      <c r="JF121" s="394"/>
      <c r="JG121" s="394"/>
      <c r="JH121" s="394"/>
      <c r="JI121" s="394"/>
      <c r="JJ121" s="394"/>
      <c r="JK121" s="394"/>
      <c r="JL121" s="394"/>
      <c r="JM121" s="394"/>
      <c r="JN121" s="394"/>
      <c r="JO121" s="394"/>
      <c r="JP121" s="394"/>
      <c r="JQ121" s="394"/>
      <c r="JR121" s="394"/>
      <c r="JS121" s="394"/>
      <c r="JT121" s="394"/>
      <c r="JU121" s="394"/>
      <c r="JV121" s="394"/>
      <c r="JW121" s="394"/>
      <c r="JX121" s="394"/>
      <c r="JY121" s="394"/>
      <c r="JZ121" s="394"/>
      <c r="KA121" s="394"/>
      <c r="KB121" s="394"/>
      <c r="KC121" s="394"/>
      <c r="KD121" s="394"/>
      <c r="KE121" s="394"/>
      <c r="KF121" s="394"/>
      <c r="KG121" s="394"/>
      <c r="KH121" s="394"/>
      <c r="KI121" s="394"/>
      <c r="KJ121" s="394"/>
      <c r="KK121" s="394"/>
      <c r="KL121" s="394"/>
      <c r="KM121" s="394"/>
      <c r="KN121" s="394"/>
      <c r="KO121" s="394"/>
      <c r="KP121" s="394"/>
      <c r="KQ121" s="394"/>
      <c r="KR121" s="394"/>
      <c r="KS121" s="394"/>
      <c r="KT121" s="394"/>
      <c r="KU121" s="394"/>
      <c r="KV121" s="394"/>
      <c r="KW121" s="394"/>
      <c r="KX121" s="394"/>
      <c r="KY121" s="394"/>
      <c r="KZ121" s="394"/>
      <c r="LA121" s="394"/>
      <c r="LB121" s="394"/>
      <c r="LC121" s="394"/>
      <c r="LD121" s="394"/>
      <c r="LE121" s="394"/>
      <c r="LF121" s="394"/>
      <c r="LG121" s="394"/>
      <c r="LH121" s="394"/>
      <c r="LI121" s="394"/>
      <c r="LJ121" s="394"/>
      <c r="LK121" s="394"/>
      <c r="LL121" s="394"/>
      <c r="LM121" s="394"/>
      <c r="LN121" s="394"/>
      <c r="LO121" s="394"/>
      <c r="LP121" s="394"/>
      <c r="LQ121" s="394"/>
      <c r="LR121" s="394"/>
      <c r="LS121" s="394"/>
      <c r="LT121" s="394"/>
      <c r="LU121" s="394"/>
      <c r="LV121" s="394"/>
      <c r="LW121" s="394"/>
      <c r="LX121" s="394"/>
      <c r="LY121" s="394"/>
      <c r="LZ121" s="394"/>
      <c r="MA121" s="394"/>
      <c r="MB121" s="394"/>
      <c r="MC121" s="394"/>
      <c r="MD121" s="394"/>
      <c r="ME121" s="394"/>
      <c r="MF121" s="394"/>
      <c r="MG121" s="394"/>
      <c r="MH121" s="394"/>
      <c r="MI121" s="394"/>
      <c r="MJ121" s="394"/>
      <c r="MK121" s="394"/>
      <c r="ML121" s="394"/>
      <c r="MM121" s="394"/>
      <c r="MN121" s="394"/>
      <c r="MO121" s="394"/>
      <c r="MP121" s="394"/>
      <c r="MQ121" s="394"/>
      <c r="MR121" s="394"/>
      <c r="MS121" s="394"/>
      <c r="MT121" s="394"/>
      <c r="MU121" s="394"/>
      <c r="MV121" s="394"/>
      <c r="MW121" s="394"/>
      <c r="MX121" s="394"/>
      <c r="MY121" s="394"/>
      <c r="MZ121" s="394"/>
      <c r="NA121" s="394"/>
      <c r="NB121" s="394"/>
      <c r="NC121" s="394"/>
      <c r="ND121" s="394"/>
      <c r="NE121" s="394"/>
      <c r="NF121" s="394"/>
      <c r="NG121" s="394"/>
      <c r="NH121" s="394"/>
      <c r="NI121" s="394"/>
      <c r="NJ121" s="394"/>
      <c r="NK121" s="394"/>
      <c r="NL121" s="394"/>
      <c r="NM121" s="394"/>
      <c r="NN121" s="394"/>
      <c r="NO121" s="394"/>
      <c r="NP121" s="394"/>
      <c r="NQ121" s="394"/>
      <c r="NR121" s="394"/>
      <c r="NS121" s="394"/>
      <c r="NT121" s="394"/>
      <c r="NU121" s="394"/>
      <c r="NV121" s="394"/>
      <c r="NW121" s="394"/>
      <c r="NX121" s="394"/>
      <c r="NY121" s="394"/>
      <c r="NZ121" s="394"/>
      <c r="OA121" s="394"/>
      <c r="OB121" s="394"/>
      <c r="OC121" s="394"/>
      <c r="OD121" s="394"/>
      <c r="OE121" s="394"/>
      <c r="OF121" s="394"/>
      <c r="OG121" s="394"/>
      <c r="OH121" s="394"/>
      <c r="OI121" s="394"/>
      <c r="OJ121" s="394"/>
      <c r="OK121" s="394"/>
      <c r="OL121" s="394"/>
      <c r="OM121" s="394"/>
      <c r="ON121" s="394"/>
      <c r="OO121" s="394"/>
      <c r="OP121" s="394"/>
      <c r="OQ121" s="394"/>
      <c r="OR121" s="394"/>
      <c r="OS121" s="394"/>
      <c r="OT121" s="394"/>
      <c r="OU121" s="394"/>
      <c r="OV121" s="394"/>
      <c r="OW121" s="394"/>
      <c r="OX121" s="394"/>
      <c r="OY121" s="394"/>
      <c r="OZ121" s="394"/>
      <c r="PA121" s="394"/>
      <c r="PB121" s="394"/>
      <c r="PC121" s="394"/>
      <c r="PD121" s="394"/>
      <c r="PE121" s="394"/>
      <c r="PF121" s="394"/>
      <c r="PG121" s="394"/>
      <c r="PH121" s="394"/>
      <c r="PI121" s="394"/>
      <c r="PJ121" s="394"/>
      <c r="PK121" s="394"/>
      <c r="PL121" s="394"/>
      <c r="PM121" s="394"/>
      <c r="PN121" s="394"/>
      <c r="PO121" s="394"/>
      <c r="PP121" s="394"/>
      <c r="PQ121" s="394"/>
      <c r="PR121" s="394"/>
      <c r="PS121" s="394"/>
      <c r="PT121" s="394"/>
      <c r="PU121" s="394"/>
      <c r="PV121" s="394"/>
      <c r="PW121" s="394"/>
      <c r="PX121" s="394"/>
      <c r="PY121" s="394"/>
      <c r="PZ121" s="394"/>
      <c r="QA121" s="394"/>
      <c r="QB121" s="394"/>
      <c r="QC121" s="394"/>
      <c r="QD121" s="394"/>
      <c r="QE121" s="394"/>
      <c r="QF121" s="394"/>
      <c r="QG121" s="394"/>
      <c r="QH121" s="394"/>
      <c r="QI121" s="394"/>
      <c r="QJ121" s="394"/>
      <c r="QK121" s="394"/>
      <c r="QL121" s="394"/>
      <c r="QM121" s="394"/>
      <c r="QN121" s="394"/>
      <c r="QO121" s="394"/>
      <c r="QP121" s="394"/>
      <c r="QQ121" s="394"/>
      <c r="QR121" s="394"/>
      <c r="QS121" s="394"/>
      <c r="QT121" s="394"/>
      <c r="QU121" s="394"/>
      <c r="QV121" s="394"/>
      <c r="QW121" s="394"/>
      <c r="QX121" s="394"/>
      <c r="QY121" s="394"/>
      <c r="QZ121" s="394"/>
      <c r="RA121" s="394"/>
      <c r="RB121" s="394"/>
      <c r="RC121" s="394"/>
      <c r="RD121" s="394"/>
      <c r="RE121" s="394"/>
      <c r="RF121" s="394"/>
      <c r="RG121" s="394"/>
      <c r="RH121" s="394"/>
      <c r="RI121" s="394"/>
      <c r="RJ121" s="394"/>
      <c r="RK121" s="394"/>
      <c r="RL121" s="394"/>
      <c r="RM121" s="394"/>
      <c r="RN121" s="394"/>
      <c r="RO121" s="394"/>
      <c r="RP121" s="394"/>
      <c r="RQ121" s="394"/>
      <c r="RR121" s="394"/>
      <c r="RS121" s="394"/>
      <c r="RT121" s="394"/>
      <c r="RU121" s="394"/>
      <c r="RV121" s="394"/>
      <c r="RW121" s="394"/>
      <c r="RX121" s="394"/>
      <c r="RY121" s="394"/>
      <c r="RZ121" s="394"/>
      <c r="SA121" s="394"/>
      <c r="SB121" s="394"/>
      <c r="SC121" s="394"/>
      <c r="SD121" s="394"/>
      <c r="SE121" s="394"/>
      <c r="SF121" s="394"/>
      <c r="SG121" s="394"/>
      <c r="SH121" s="394"/>
      <c r="SI121" s="394"/>
      <c r="SJ121" s="394"/>
    </row>
    <row r="122" spans="2:504" ht="30" customHeight="1" x14ac:dyDescent="0.25">
      <c r="B122" s="107" t="str">
        <f>'Graph Data'!M83</f>
        <v>BID PACKAGE</v>
      </c>
      <c r="C122" s="106" t="str" cm="1">
        <f t="array" ref="C122">IFERROR(_xlfn.TEXTJOIN(", ",TRUE,IF($E$4:$SJ$4=B122,$E$11:$SJ$11,"")),"Excel 2019 or newer required for this function")</f>
        <v/>
      </c>
      <c r="D122" s="99">
        <f t="shared" si="18"/>
        <v>0</v>
      </c>
      <c r="E122" s="394"/>
      <c r="F122" s="394"/>
      <c r="G122" s="394"/>
      <c r="H122" s="394"/>
      <c r="I122" s="394"/>
      <c r="J122" s="394"/>
      <c r="K122" s="394"/>
      <c r="L122" s="394"/>
      <c r="M122" s="394"/>
      <c r="N122" s="394"/>
      <c r="O122" s="394"/>
      <c r="P122" s="394"/>
      <c r="Q122" s="394"/>
      <c r="R122" s="394"/>
      <c r="S122" s="394"/>
      <c r="T122" s="394"/>
      <c r="U122" s="394"/>
      <c r="V122" s="394"/>
      <c r="W122" s="394"/>
      <c r="X122" s="394"/>
      <c r="Y122" s="394"/>
      <c r="Z122" s="394"/>
      <c r="AA122" s="394"/>
      <c r="AB122" s="394"/>
      <c r="AC122" s="394"/>
      <c r="AD122" s="394"/>
      <c r="AE122" s="394"/>
      <c r="AF122" s="394"/>
      <c r="AG122" s="394"/>
      <c r="AH122" s="394"/>
      <c r="AI122" s="394"/>
      <c r="AJ122" s="394"/>
      <c r="AK122" s="394"/>
      <c r="AL122" s="394"/>
      <c r="AM122" s="394"/>
      <c r="AN122" s="394"/>
      <c r="AO122" s="394"/>
      <c r="AP122" s="394"/>
      <c r="AQ122" s="394"/>
      <c r="AR122" s="394"/>
      <c r="AS122" s="394"/>
      <c r="AT122" s="394"/>
      <c r="AU122" s="394"/>
      <c r="AV122" s="394"/>
      <c r="AW122" s="394"/>
      <c r="AX122" s="394"/>
      <c r="AY122" s="394"/>
      <c r="AZ122" s="394"/>
      <c r="BA122" s="394"/>
      <c r="BB122" s="394"/>
      <c r="BC122" s="394"/>
      <c r="BD122" s="394"/>
      <c r="BE122" s="394"/>
      <c r="BF122" s="394"/>
      <c r="BG122" s="394"/>
      <c r="BH122" s="394"/>
      <c r="BI122" s="394"/>
      <c r="BJ122" s="394"/>
      <c r="BK122" s="394"/>
      <c r="BL122" s="394"/>
      <c r="BM122" s="394"/>
      <c r="BN122" s="394"/>
      <c r="BO122" s="394"/>
      <c r="BP122" s="394"/>
      <c r="BQ122" s="394"/>
      <c r="BR122" s="394"/>
      <c r="BS122" s="394"/>
      <c r="BT122" s="394"/>
      <c r="BU122" s="394"/>
      <c r="BV122" s="394"/>
      <c r="BW122" s="394"/>
      <c r="BX122" s="394"/>
      <c r="BY122" s="394"/>
      <c r="BZ122" s="394"/>
      <c r="CA122" s="394"/>
      <c r="CB122" s="394"/>
      <c r="CC122" s="394"/>
      <c r="CD122" s="394"/>
      <c r="CE122" s="394"/>
      <c r="CF122" s="394"/>
      <c r="CG122" s="394"/>
      <c r="CH122" s="394"/>
      <c r="CI122" s="394"/>
      <c r="CJ122" s="394"/>
      <c r="CK122" s="394"/>
      <c r="CL122" s="394"/>
      <c r="CM122" s="394"/>
      <c r="CN122" s="394"/>
      <c r="CO122" s="394"/>
      <c r="CP122" s="394"/>
      <c r="CQ122" s="394"/>
      <c r="CR122" s="394"/>
      <c r="CS122" s="394"/>
      <c r="CT122" s="394"/>
      <c r="CU122" s="394"/>
      <c r="CV122" s="394"/>
      <c r="CW122" s="394"/>
      <c r="CX122" s="394"/>
      <c r="CY122" s="394"/>
      <c r="CZ122" s="394"/>
      <c r="DA122" s="394"/>
      <c r="DB122" s="394"/>
      <c r="DC122" s="394"/>
      <c r="DD122" s="394"/>
      <c r="DE122" s="394"/>
      <c r="DF122" s="394"/>
      <c r="DG122" s="394"/>
      <c r="DH122" s="394"/>
      <c r="DI122" s="394"/>
      <c r="DJ122" s="394"/>
      <c r="DK122" s="394"/>
      <c r="DL122" s="394"/>
      <c r="DM122" s="394"/>
      <c r="DN122" s="394"/>
      <c r="DO122" s="394"/>
      <c r="DP122" s="394"/>
      <c r="DQ122" s="394"/>
      <c r="DR122" s="394"/>
      <c r="DS122" s="394"/>
      <c r="DT122" s="394"/>
      <c r="DU122" s="394"/>
      <c r="DV122" s="394"/>
      <c r="DW122" s="394"/>
      <c r="DX122" s="394"/>
      <c r="DY122" s="394"/>
      <c r="DZ122" s="394"/>
      <c r="EA122" s="394"/>
      <c r="EB122" s="394"/>
      <c r="EC122" s="394"/>
      <c r="ED122" s="394"/>
      <c r="EE122" s="394"/>
      <c r="EF122" s="394"/>
      <c r="EG122" s="394"/>
      <c r="EH122" s="394"/>
      <c r="EI122" s="394"/>
      <c r="EJ122" s="394"/>
      <c r="EK122" s="394"/>
      <c r="EL122" s="394"/>
      <c r="EM122" s="394"/>
      <c r="EN122" s="394"/>
      <c r="EO122" s="394"/>
      <c r="EP122" s="394"/>
      <c r="EQ122" s="394"/>
      <c r="ER122" s="394"/>
      <c r="ES122" s="394"/>
      <c r="ET122" s="394"/>
      <c r="EU122" s="394"/>
      <c r="EV122" s="394"/>
      <c r="EW122" s="394"/>
      <c r="EX122" s="394"/>
      <c r="EY122" s="394"/>
      <c r="EZ122" s="394"/>
      <c r="FA122" s="394"/>
      <c r="FB122" s="394"/>
      <c r="FC122" s="394"/>
      <c r="FD122" s="394"/>
      <c r="FE122" s="394"/>
      <c r="FF122" s="394"/>
      <c r="FG122" s="394"/>
      <c r="FH122" s="394"/>
      <c r="FI122" s="394"/>
      <c r="FJ122" s="394"/>
      <c r="FK122" s="394"/>
      <c r="FL122" s="394"/>
      <c r="FM122" s="394"/>
      <c r="FN122" s="394"/>
      <c r="FO122" s="394"/>
      <c r="FP122" s="394"/>
      <c r="FQ122" s="394"/>
      <c r="FR122" s="394"/>
      <c r="FS122" s="394"/>
      <c r="FT122" s="394"/>
      <c r="FU122" s="394"/>
      <c r="FV122" s="394"/>
      <c r="FW122" s="394"/>
      <c r="FX122" s="394"/>
      <c r="FY122" s="394"/>
      <c r="FZ122" s="394"/>
      <c r="GA122" s="394"/>
      <c r="GB122" s="394"/>
      <c r="GC122" s="394"/>
      <c r="GD122" s="394"/>
      <c r="GE122" s="394"/>
      <c r="GF122" s="394"/>
      <c r="GG122" s="394"/>
      <c r="GH122" s="394"/>
      <c r="GI122" s="394"/>
      <c r="GJ122" s="394"/>
      <c r="GK122" s="394"/>
      <c r="GL122" s="394"/>
      <c r="GM122" s="394"/>
      <c r="GN122" s="394"/>
      <c r="GO122" s="394"/>
      <c r="GP122" s="394"/>
      <c r="GQ122" s="394"/>
      <c r="GR122" s="394"/>
      <c r="GS122" s="394"/>
      <c r="GT122" s="394"/>
      <c r="GU122" s="394"/>
      <c r="GV122" s="394"/>
      <c r="GW122" s="394"/>
      <c r="GX122" s="394"/>
      <c r="GY122" s="394"/>
      <c r="GZ122" s="394"/>
      <c r="HA122" s="394"/>
      <c r="HB122" s="394"/>
      <c r="HC122" s="394"/>
      <c r="HD122" s="394"/>
      <c r="HE122" s="394"/>
      <c r="HF122" s="394"/>
      <c r="HG122" s="394"/>
      <c r="HH122" s="394"/>
      <c r="HI122" s="394"/>
      <c r="HJ122" s="394"/>
      <c r="HK122" s="394"/>
      <c r="HL122" s="394"/>
      <c r="HM122" s="394"/>
      <c r="HN122" s="394"/>
      <c r="HO122" s="394"/>
      <c r="HP122" s="394"/>
      <c r="HQ122" s="394"/>
      <c r="HR122" s="394"/>
      <c r="HS122" s="394"/>
      <c r="HT122" s="394"/>
      <c r="HU122" s="394"/>
      <c r="HV122" s="394"/>
      <c r="HW122" s="394"/>
      <c r="HX122" s="394"/>
      <c r="HY122" s="394"/>
      <c r="HZ122" s="394"/>
      <c r="IA122" s="394"/>
      <c r="IB122" s="394"/>
      <c r="IC122" s="394"/>
      <c r="ID122" s="394"/>
      <c r="IE122" s="394"/>
      <c r="IF122" s="394"/>
      <c r="IG122" s="394"/>
      <c r="IH122" s="394"/>
      <c r="II122" s="394"/>
      <c r="IJ122" s="394"/>
      <c r="IK122" s="394"/>
      <c r="IL122" s="394"/>
      <c r="IM122" s="394"/>
      <c r="IN122" s="394"/>
      <c r="IO122" s="394"/>
      <c r="IP122" s="394"/>
      <c r="IQ122" s="394"/>
      <c r="IR122" s="394"/>
      <c r="IS122" s="394"/>
      <c r="IT122" s="394"/>
      <c r="IU122" s="394"/>
      <c r="IV122" s="394"/>
      <c r="IW122" s="394"/>
      <c r="IX122" s="394"/>
      <c r="IY122" s="394"/>
      <c r="IZ122" s="394"/>
      <c r="JA122" s="394"/>
      <c r="JB122" s="394"/>
      <c r="JC122" s="394"/>
      <c r="JD122" s="394"/>
      <c r="JE122" s="394"/>
      <c r="JF122" s="394"/>
      <c r="JG122" s="394"/>
      <c r="JH122" s="394"/>
      <c r="JI122" s="394"/>
      <c r="JJ122" s="394"/>
      <c r="JK122" s="394"/>
      <c r="JL122" s="394"/>
      <c r="JM122" s="394"/>
      <c r="JN122" s="394"/>
      <c r="JO122" s="394"/>
      <c r="JP122" s="394"/>
      <c r="JQ122" s="394"/>
      <c r="JR122" s="394"/>
      <c r="JS122" s="394"/>
      <c r="JT122" s="394"/>
      <c r="JU122" s="394"/>
      <c r="JV122" s="394"/>
      <c r="JW122" s="394"/>
      <c r="JX122" s="394"/>
      <c r="JY122" s="394"/>
      <c r="JZ122" s="394"/>
      <c r="KA122" s="394"/>
      <c r="KB122" s="394"/>
      <c r="KC122" s="394"/>
      <c r="KD122" s="394"/>
      <c r="KE122" s="394"/>
      <c r="KF122" s="394"/>
      <c r="KG122" s="394"/>
      <c r="KH122" s="394"/>
      <c r="KI122" s="394"/>
      <c r="KJ122" s="394"/>
      <c r="KK122" s="394"/>
      <c r="KL122" s="394"/>
      <c r="KM122" s="394"/>
      <c r="KN122" s="394"/>
      <c r="KO122" s="394"/>
      <c r="KP122" s="394"/>
      <c r="KQ122" s="394"/>
      <c r="KR122" s="394"/>
      <c r="KS122" s="394"/>
      <c r="KT122" s="394"/>
      <c r="KU122" s="394"/>
      <c r="KV122" s="394"/>
      <c r="KW122" s="394"/>
      <c r="KX122" s="394"/>
      <c r="KY122" s="394"/>
      <c r="KZ122" s="394"/>
      <c r="LA122" s="394"/>
      <c r="LB122" s="394"/>
      <c r="LC122" s="394"/>
      <c r="LD122" s="394"/>
      <c r="LE122" s="394"/>
      <c r="LF122" s="394"/>
      <c r="LG122" s="394"/>
      <c r="LH122" s="394"/>
      <c r="LI122" s="394"/>
      <c r="LJ122" s="394"/>
      <c r="LK122" s="394"/>
      <c r="LL122" s="394"/>
      <c r="LM122" s="394"/>
      <c r="LN122" s="394"/>
      <c r="LO122" s="394"/>
      <c r="LP122" s="394"/>
      <c r="LQ122" s="394"/>
      <c r="LR122" s="394"/>
      <c r="LS122" s="394"/>
      <c r="LT122" s="394"/>
      <c r="LU122" s="394"/>
      <c r="LV122" s="394"/>
      <c r="LW122" s="394"/>
      <c r="LX122" s="394"/>
      <c r="LY122" s="394"/>
      <c r="LZ122" s="394"/>
      <c r="MA122" s="394"/>
      <c r="MB122" s="394"/>
      <c r="MC122" s="394"/>
      <c r="MD122" s="394"/>
      <c r="ME122" s="394"/>
      <c r="MF122" s="394"/>
      <c r="MG122" s="394"/>
      <c r="MH122" s="394"/>
      <c r="MI122" s="394"/>
      <c r="MJ122" s="394"/>
      <c r="MK122" s="394"/>
      <c r="ML122" s="394"/>
      <c r="MM122" s="394"/>
      <c r="MN122" s="394"/>
      <c r="MO122" s="394"/>
      <c r="MP122" s="394"/>
      <c r="MQ122" s="394"/>
      <c r="MR122" s="394"/>
      <c r="MS122" s="394"/>
      <c r="MT122" s="394"/>
      <c r="MU122" s="394"/>
      <c r="MV122" s="394"/>
      <c r="MW122" s="394"/>
      <c r="MX122" s="394"/>
      <c r="MY122" s="394"/>
      <c r="MZ122" s="394"/>
      <c r="NA122" s="394"/>
      <c r="NB122" s="394"/>
      <c r="NC122" s="394"/>
      <c r="ND122" s="394"/>
      <c r="NE122" s="394"/>
      <c r="NF122" s="394"/>
      <c r="NG122" s="394"/>
      <c r="NH122" s="394"/>
      <c r="NI122" s="394"/>
      <c r="NJ122" s="394"/>
      <c r="NK122" s="394"/>
      <c r="NL122" s="394"/>
      <c r="NM122" s="394"/>
      <c r="NN122" s="394"/>
      <c r="NO122" s="394"/>
      <c r="NP122" s="394"/>
      <c r="NQ122" s="394"/>
      <c r="NR122" s="394"/>
      <c r="NS122" s="394"/>
      <c r="NT122" s="394"/>
      <c r="NU122" s="394"/>
      <c r="NV122" s="394"/>
      <c r="NW122" s="394"/>
      <c r="NX122" s="394"/>
      <c r="NY122" s="394"/>
      <c r="NZ122" s="394"/>
      <c r="OA122" s="394"/>
      <c r="OB122" s="394"/>
      <c r="OC122" s="394"/>
      <c r="OD122" s="394"/>
      <c r="OE122" s="394"/>
      <c r="OF122" s="394"/>
      <c r="OG122" s="394"/>
      <c r="OH122" s="394"/>
      <c r="OI122" s="394"/>
      <c r="OJ122" s="394"/>
      <c r="OK122" s="394"/>
      <c r="OL122" s="394"/>
      <c r="OM122" s="394"/>
      <c r="ON122" s="394"/>
      <c r="OO122" s="394"/>
      <c r="OP122" s="394"/>
      <c r="OQ122" s="394"/>
      <c r="OR122" s="394"/>
      <c r="OS122" s="394"/>
      <c r="OT122" s="394"/>
      <c r="OU122" s="394"/>
      <c r="OV122" s="394"/>
      <c r="OW122" s="394"/>
      <c r="OX122" s="394"/>
      <c r="OY122" s="394"/>
      <c r="OZ122" s="394"/>
      <c r="PA122" s="394"/>
      <c r="PB122" s="394"/>
      <c r="PC122" s="394"/>
      <c r="PD122" s="394"/>
      <c r="PE122" s="394"/>
      <c r="PF122" s="394"/>
      <c r="PG122" s="394"/>
      <c r="PH122" s="394"/>
      <c r="PI122" s="394"/>
      <c r="PJ122" s="394"/>
      <c r="PK122" s="394"/>
      <c r="PL122" s="394"/>
      <c r="PM122" s="394"/>
      <c r="PN122" s="394"/>
      <c r="PO122" s="394"/>
      <c r="PP122" s="394"/>
      <c r="PQ122" s="394"/>
      <c r="PR122" s="394"/>
      <c r="PS122" s="394"/>
      <c r="PT122" s="394"/>
      <c r="PU122" s="394"/>
      <c r="PV122" s="394"/>
      <c r="PW122" s="394"/>
      <c r="PX122" s="394"/>
      <c r="PY122" s="394"/>
      <c r="PZ122" s="394"/>
      <c r="QA122" s="394"/>
      <c r="QB122" s="394"/>
      <c r="QC122" s="394"/>
      <c r="QD122" s="394"/>
      <c r="QE122" s="394"/>
      <c r="QF122" s="394"/>
      <c r="QG122" s="394"/>
      <c r="QH122" s="394"/>
      <c r="QI122" s="394"/>
      <c r="QJ122" s="394"/>
      <c r="QK122" s="394"/>
      <c r="QL122" s="394"/>
      <c r="QM122" s="394"/>
      <c r="QN122" s="394"/>
      <c r="QO122" s="394"/>
      <c r="QP122" s="394"/>
      <c r="QQ122" s="394"/>
      <c r="QR122" s="394"/>
      <c r="QS122" s="394"/>
      <c r="QT122" s="394"/>
      <c r="QU122" s="394"/>
      <c r="QV122" s="394"/>
      <c r="QW122" s="394"/>
      <c r="QX122" s="394"/>
      <c r="QY122" s="394"/>
      <c r="QZ122" s="394"/>
      <c r="RA122" s="394"/>
      <c r="RB122" s="394"/>
      <c r="RC122" s="394"/>
      <c r="RD122" s="394"/>
      <c r="RE122" s="394"/>
      <c r="RF122" s="394"/>
      <c r="RG122" s="394"/>
      <c r="RH122" s="394"/>
      <c r="RI122" s="394"/>
      <c r="RJ122" s="394"/>
      <c r="RK122" s="394"/>
      <c r="RL122" s="394"/>
      <c r="RM122" s="394"/>
      <c r="RN122" s="394"/>
      <c r="RO122" s="394"/>
      <c r="RP122" s="394"/>
      <c r="RQ122" s="394"/>
      <c r="RR122" s="394"/>
      <c r="RS122" s="394"/>
      <c r="RT122" s="394"/>
      <c r="RU122" s="394"/>
      <c r="RV122" s="394"/>
      <c r="RW122" s="394"/>
      <c r="RX122" s="394"/>
      <c r="RY122" s="394"/>
      <c r="RZ122" s="394"/>
      <c r="SA122" s="394"/>
      <c r="SB122" s="394"/>
      <c r="SC122" s="394"/>
      <c r="SD122" s="394"/>
      <c r="SE122" s="394"/>
      <c r="SF122" s="394"/>
      <c r="SG122" s="394"/>
      <c r="SH122" s="394"/>
      <c r="SI122" s="394"/>
      <c r="SJ122" s="394"/>
    </row>
    <row r="123" spans="2:504" ht="30" customHeight="1" x14ac:dyDescent="0.25">
      <c r="B123" s="107" t="str">
        <f>'Graph Data'!M84</f>
        <v>CONTINGENCY</v>
      </c>
      <c r="C123" s="106" t="str" cm="1">
        <f t="array" ref="C123">IFERROR(_xlfn.TEXTJOIN(", ",TRUE,IF($E$4:$SJ$4=B123,$E$11:$SJ$11,"")),"Excel 2019 or newer required for this function")</f>
        <v/>
      </c>
      <c r="D123" s="99">
        <f t="shared" si="18"/>
        <v>0</v>
      </c>
      <c r="E123" s="394"/>
      <c r="F123" s="394"/>
      <c r="G123" s="394"/>
      <c r="H123" s="394"/>
      <c r="I123" s="394"/>
      <c r="J123" s="394"/>
      <c r="K123" s="394"/>
      <c r="L123" s="394"/>
      <c r="M123" s="394"/>
      <c r="N123" s="394"/>
      <c r="O123" s="394"/>
      <c r="P123" s="394"/>
      <c r="Q123" s="394"/>
      <c r="R123" s="394"/>
      <c r="S123" s="394"/>
      <c r="T123" s="394"/>
      <c r="U123" s="394"/>
      <c r="V123" s="394"/>
      <c r="W123" s="394"/>
      <c r="X123" s="394"/>
      <c r="Y123" s="394"/>
      <c r="Z123" s="394"/>
      <c r="AA123" s="394"/>
      <c r="AB123" s="394"/>
      <c r="AC123" s="394"/>
      <c r="AD123" s="394"/>
      <c r="AE123" s="394"/>
      <c r="AF123" s="394"/>
      <c r="AG123" s="394"/>
      <c r="AH123" s="394"/>
      <c r="AI123" s="394"/>
      <c r="AJ123" s="394"/>
      <c r="AK123" s="394"/>
      <c r="AL123" s="394"/>
      <c r="AM123" s="394"/>
      <c r="AN123" s="394"/>
      <c r="AO123" s="394"/>
      <c r="AP123" s="394"/>
      <c r="AQ123" s="394"/>
      <c r="AR123" s="394"/>
      <c r="AS123" s="394"/>
      <c r="AT123" s="394"/>
      <c r="AU123" s="394"/>
      <c r="AV123" s="394"/>
      <c r="AW123" s="394"/>
      <c r="AX123" s="394"/>
      <c r="AY123" s="394"/>
      <c r="AZ123" s="394"/>
      <c r="BA123" s="394"/>
      <c r="BB123" s="394"/>
      <c r="BC123" s="394"/>
      <c r="BD123" s="394"/>
      <c r="BE123" s="394"/>
      <c r="BF123" s="394"/>
      <c r="BG123" s="394"/>
      <c r="BH123" s="394"/>
      <c r="BI123" s="394"/>
      <c r="BJ123" s="394"/>
      <c r="BK123" s="394"/>
      <c r="BL123" s="394"/>
      <c r="BM123" s="394"/>
      <c r="BN123" s="394"/>
      <c r="BO123" s="394"/>
      <c r="BP123" s="394"/>
      <c r="BQ123" s="394"/>
      <c r="BR123" s="394"/>
      <c r="BS123" s="394"/>
      <c r="BT123" s="394"/>
      <c r="BU123" s="394"/>
      <c r="BV123" s="394"/>
      <c r="BW123" s="394"/>
      <c r="BX123" s="394"/>
      <c r="BY123" s="394"/>
      <c r="BZ123" s="394"/>
      <c r="CA123" s="394"/>
      <c r="CB123" s="394"/>
      <c r="CC123" s="394"/>
      <c r="CD123" s="394"/>
      <c r="CE123" s="394"/>
      <c r="CF123" s="394"/>
      <c r="CG123" s="394"/>
      <c r="CH123" s="394"/>
      <c r="CI123" s="394"/>
      <c r="CJ123" s="394"/>
      <c r="CK123" s="394"/>
      <c r="CL123" s="394"/>
      <c r="CM123" s="394"/>
      <c r="CN123" s="394"/>
      <c r="CO123" s="394"/>
      <c r="CP123" s="394"/>
      <c r="CQ123" s="394"/>
      <c r="CR123" s="394"/>
      <c r="CS123" s="394"/>
      <c r="CT123" s="394"/>
      <c r="CU123" s="394"/>
      <c r="CV123" s="394"/>
      <c r="CW123" s="394"/>
      <c r="CX123" s="394"/>
      <c r="CY123" s="394"/>
      <c r="CZ123" s="394"/>
      <c r="DA123" s="394"/>
      <c r="DB123" s="394"/>
      <c r="DC123" s="394"/>
      <c r="DD123" s="394"/>
      <c r="DE123" s="394"/>
      <c r="DF123" s="394"/>
      <c r="DG123" s="394"/>
      <c r="DH123" s="394"/>
      <c r="DI123" s="394"/>
      <c r="DJ123" s="394"/>
      <c r="DK123" s="394"/>
      <c r="DL123" s="394"/>
      <c r="DM123" s="394"/>
      <c r="DN123" s="394"/>
      <c r="DO123" s="394"/>
      <c r="DP123" s="394"/>
      <c r="DQ123" s="394"/>
      <c r="DR123" s="394"/>
      <c r="DS123" s="394"/>
      <c r="DT123" s="394"/>
      <c r="DU123" s="394"/>
      <c r="DV123" s="394"/>
      <c r="DW123" s="394"/>
      <c r="DX123" s="394"/>
      <c r="DY123" s="394"/>
      <c r="DZ123" s="394"/>
      <c r="EA123" s="394"/>
      <c r="EB123" s="394"/>
      <c r="EC123" s="394"/>
      <c r="ED123" s="394"/>
      <c r="EE123" s="394"/>
      <c r="EF123" s="394"/>
      <c r="EG123" s="394"/>
      <c r="EH123" s="394"/>
      <c r="EI123" s="394"/>
      <c r="EJ123" s="394"/>
      <c r="EK123" s="394"/>
      <c r="EL123" s="394"/>
      <c r="EM123" s="394"/>
      <c r="EN123" s="394"/>
      <c r="EO123" s="394"/>
      <c r="EP123" s="394"/>
      <c r="EQ123" s="394"/>
      <c r="ER123" s="394"/>
      <c r="ES123" s="394"/>
      <c r="ET123" s="394"/>
      <c r="EU123" s="394"/>
      <c r="EV123" s="394"/>
      <c r="EW123" s="394"/>
      <c r="EX123" s="394"/>
      <c r="EY123" s="394"/>
      <c r="EZ123" s="394"/>
      <c r="FA123" s="394"/>
      <c r="FB123" s="394"/>
      <c r="FC123" s="394"/>
      <c r="FD123" s="394"/>
      <c r="FE123" s="394"/>
      <c r="FF123" s="394"/>
      <c r="FG123" s="394"/>
      <c r="FH123" s="394"/>
      <c r="FI123" s="394"/>
      <c r="FJ123" s="394"/>
      <c r="FK123" s="394"/>
      <c r="FL123" s="394"/>
      <c r="FM123" s="394"/>
      <c r="FN123" s="394"/>
      <c r="FO123" s="394"/>
      <c r="FP123" s="394"/>
      <c r="FQ123" s="394"/>
      <c r="FR123" s="394"/>
      <c r="FS123" s="394"/>
      <c r="FT123" s="394"/>
      <c r="FU123" s="394"/>
      <c r="FV123" s="394"/>
      <c r="FW123" s="394"/>
      <c r="FX123" s="394"/>
      <c r="FY123" s="394"/>
      <c r="FZ123" s="394"/>
      <c r="GA123" s="394"/>
      <c r="GB123" s="394"/>
      <c r="GC123" s="394"/>
      <c r="GD123" s="394"/>
      <c r="GE123" s="394"/>
      <c r="GF123" s="394"/>
      <c r="GG123" s="394"/>
      <c r="GH123" s="394"/>
      <c r="GI123" s="394"/>
      <c r="GJ123" s="394"/>
      <c r="GK123" s="394"/>
      <c r="GL123" s="394"/>
      <c r="GM123" s="394"/>
      <c r="GN123" s="394"/>
      <c r="GO123" s="394"/>
      <c r="GP123" s="394"/>
      <c r="GQ123" s="394"/>
      <c r="GR123" s="394"/>
      <c r="GS123" s="394"/>
      <c r="GT123" s="394"/>
      <c r="GU123" s="394"/>
      <c r="GV123" s="394"/>
      <c r="GW123" s="394"/>
      <c r="GX123" s="394"/>
      <c r="GY123" s="394"/>
      <c r="GZ123" s="394"/>
      <c r="HA123" s="394"/>
      <c r="HB123" s="394"/>
      <c r="HC123" s="394"/>
      <c r="HD123" s="394"/>
      <c r="HE123" s="394"/>
      <c r="HF123" s="394"/>
      <c r="HG123" s="394"/>
      <c r="HH123" s="394"/>
      <c r="HI123" s="394"/>
      <c r="HJ123" s="394"/>
      <c r="HK123" s="394"/>
      <c r="HL123" s="394"/>
      <c r="HM123" s="394"/>
      <c r="HN123" s="394"/>
      <c r="HO123" s="394"/>
      <c r="HP123" s="394"/>
      <c r="HQ123" s="394"/>
      <c r="HR123" s="394"/>
      <c r="HS123" s="394"/>
      <c r="HT123" s="394"/>
      <c r="HU123" s="394"/>
      <c r="HV123" s="394"/>
      <c r="HW123" s="394"/>
      <c r="HX123" s="394"/>
      <c r="HY123" s="394"/>
      <c r="HZ123" s="394"/>
      <c r="IA123" s="394"/>
      <c r="IB123" s="394"/>
      <c r="IC123" s="394"/>
      <c r="ID123" s="394"/>
      <c r="IE123" s="394"/>
      <c r="IF123" s="394"/>
      <c r="IG123" s="394"/>
      <c r="IH123" s="394"/>
      <c r="II123" s="394"/>
      <c r="IJ123" s="394"/>
      <c r="IK123" s="394"/>
      <c r="IL123" s="394"/>
      <c r="IM123" s="394"/>
      <c r="IN123" s="394"/>
      <c r="IO123" s="394"/>
      <c r="IP123" s="394"/>
      <c r="IQ123" s="394"/>
      <c r="IR123" s="394"/>
      <c r="IS123" s="394"/>
      <c r="IT123" s="394"/>
      <c r="IU123" s="394"/>
      <c r="IV123" s="394"/>
      <c r="IW123" s="394"/>
      <c r="IX123" s="394"/>
      <c r="IY123" s="394"/>
      <c r="IZ123" s="394"/>
      <c r="JA123" s="394"/>
      <c r="JB123" s="394"/>
      <c r="JC123" s="394"/>
      <c r="JD123" s="394"/>
      <c r="JE123" s="394"/>
      <c r="JF123" s="394"/>
      <c r="JG123" s="394"/>
      <c r="JH123" s="394"/>
      <c r="JI123" s="394"/>
      <c r="JJ123" s="394"/>
      <c r="JK123" s="394"/>
      <c r="JL123" s="394"/>
      <c r="JM123" s="394"/>
      <c r="JN123" s="394"/>
      <c r="JO123" s="394"/>
      <c r="JP123" s="394"/>
      <c r="JQ123" s="394"/>
      <c r="JR123" s="394"/>
      <c r="JS123" s="394"/>
      <c r="JT123" s="394"/>
      <c r="JU123" s="394"/>
      <c r="JV123" s="394"/>
      <c r="JW123" s="394"/>
      <c r="JX123" s="394"/>
      <c r="JY123" s="394"/>
      <c r="JZ123" s="394"/>
      <c r="KA123" s="394"/>
      <c r="KB123" s="394"/>
      <c r="KC123" s="394"/>
      <c r="KD123" s="394"/>
      <c r="KE123" s="394"/>
      <c r="KF123" s="394"/>
      <c r="KG123" s="394"/>
      <c r="KH123" s="394"/>
      <c r="KI123" s="394"/>
      <c r="KJ123" s="394"/>
      <c r="KK123" s="394"/>
      <c r="KL123" s="394"/>
      <c r="KM123" s="394"/>
      <c r="KN123" s="394"/>
      <c r="KO123" s="394"/>
      <c r="KP123" s="394"/>
      <c r="KQ123" s="394"/>
      <c r="KR123" s="394"/>
      <c r="KS123" s="394"/>
      <c r="KT123" s="394"/>
      <c r="KU123" s="394"/>
      <c r="KV123" s="394"/>
      <c r="KW123" s="394"/>
      <c r="KX123" s="394"/>
      <c r="KY123" s="394"/>
      <c r="KZ123" s="394"/>
      <c r="LA123" s="394"/>
      <c r="LB123" s="394"/>
      <c r="LC123" s="394"/>
      <c r="LD123" s="394"/>
      <c r="LE123" s="394"/>
      <c r="LF123" s="394"/>
      <c r="LG123" s="394"/>
      <c r="LH123" s="394"/>
      <c r="LI123" s="394"/>
      <c r="LJ123" s="394"/>
      <c r="LK123" s="394"/>
      <c r="LL123" s="394"/>
      <c r="LM123" s="394"/>
      <c r="LN123" s="394"/>
      <c r="LO123" s="394"/>
      <c r="LP123" s="394"/>
      <c r="LQ123" s="394"/>
      <c r="LR123" s="394"/>
      <c r="LS123" s="394"/>
      <c r="LT123" s="394"/>
      <c r="LU123" s="394"/>
      <c r="LV123" s="394"/>
      <c r="LW123" s="394"/>
      <c r="LX123" s="394"/>
      <c r="LY123" s="394"/>
      <c r="LZ123" s="394"/>
      <c r="MA123" s="394"/>
      <c r="MB123" s="394"/>
      <c r="MC123" s="394"/>
      <c r="MD123" s="394"/>
      <c r="ME123" s="394"/>
      <c r="MF123" s="394"/>
      <c r="MG123" s="394"/>
      <c r="MH123" s="394"/>
      <c r="MI123" s="394"/>
      <c r="MJ123" s="394"/>
      <c r="MK123" s="394"/>
      <c r="ML123" s="394"/>
      <c r="MM123" s="394"/>
      <c r="MN123" s="394"/>
      <c r="MO123" s="394"/>
      <c r="MP123" s="394"/>
      <c r="MQ123" s="394"/>
      <c r="MR123" s="394"/>
      <c r="MS123" s="394"/>
      <c r="MT123" s="394"/>
      <c r="MU123" s="394"/>
      <c r="MV123" s="394"/>
      <c r="MW123" s="394"/>
      <c r="MX123" s="394"/>
      <c r="MY123" s="394"/>
      <c r="MZ123" s="394"/>
      <c r="NA123" s="394"/>
      <c r="NB123" s="394"/>
      <c r="NC123" s="394"/>
      <c r="ND123" s="394"/>
      <c r="NE123" s="394"/>
      <c r="NF123" s="394"/>
      <c r="NG123" s="394"/>
      <c r="NH123" s="394"/>
      <c r="NI123" s="394"/>
      <c r="NJ123" s="394"/>
      <c r="NK123" s="394"/>
      <c r="NL123" s="394"/>
      <c r="NM123" s="394"/>
      <c r="NN123" s="394"/>
      <c r="NO123" s="394"/>
      <c r="NP123" s="394"/>
      <c r="NQ123" s="394"/>
      <c r="NR123" s="394"/>
      <c r="NS123" s="394"/>
      <c r="NT123" s="394"/>
      <c r="NU123" s="394"/>
      <c r="NV123" s="394"/>
      <c r="NW123" s="394"/>
      <c r="NX123" s="394"/>
      <c r="NY123" s="394"/>
      <c r="NZ123" s="394"/>
      <c r="OA123" s="394"/>
      <c r="OB123" s="394"/>
      <c r="OC123" s="394"/>
      <c r="OD123" s="394"/>
      <c r="OE123" s="394"/>
      <c r="OF123" s="394"/>
      <c r="OG123" s="394"/>
      <c r="OH123" s="394"/>
      <c r="OI123" s="394"/>
      <c r="OJ123" s="394"/>
      <c r="OK123" s="394"/>
      <c r="OL123" s="394"/>
      <c r="OM123" s="394"/>
      <c r="ON123" s="394"/>
      <c r="OO123" s="394"/>
      <c r="OP123" s="394"/>
      <c r="OQ123" s="394"/>
      <c r="OR123" s="394"/>
      <c r="OS123" s="394"/>
      <c r="OT123" s="394"/>
      <c r="OU123" s="394"/>
      <c r="OV123" s="394"/>
      <c r="OW123" s="394"/>
      <c r="OX123" s="394"/>
      <c r="OY123" s="394"/>
      <c r="OZ123" s="394"/>
      <c r="PA123" s="394"/>
      <c r="PB123" s="394"/>
      <c r="PC123" s="394"/>
      <c r="PD123" s="394"/>
      <c r="PE123" s="394"/>
      <c r="PF123" s="394"/>
      <c r="PG123" s="394"/>
      <c r="PH123" s="394"/>
      <c r="PI123" s="394"/>
      <c r="PJ123" s="394"/>
      <c r="PK123" s="394"/>
      <c r="PL123" s="394"/>
      <c r="PM123" s="394"/>
      <c r="PN123" s="394"/>
      <c r="PO123" s="394"/>
      <c r="PP123" s="394"/>
      <c r="PQ123" s="394"/>
      <c r="PR123" s="394"/>
      <c r="PS123" s="394"/>
      <c r="PT123" s="394"/>
      <c r="PU123" s="394"/>
      <c r="PV123" s="394"/>
      <c r="PW123" s="394"/>
      <c r="PX123" s="394"/>
      <c r="PY123" s="394"/>
      <c r="PZ123" s="394"/>
      <c r="QA123" s="394"/>
      <c r="QB123" s="394"/>
      <c r="QC123" s="394"/>
      <c r="QD123" s="394"/>
      <c r="QE123" s="394"/>
      <c r="QF123" s="394"/>
      <c r="QG123" s="394"/>
      <c r="QH123" s="394"/>
      <c r="QI123" s="394"/>
      <c r="QJ123" s="394"/>
      <c r="QK123" s="394"/>
      <c r="QL123" s="394"/>
      <c r="QM123" s="394"/>
      <c r="QN123" s="394"/>
      <c r="QO123" s="394"/>
      <c r="QP123" s="394"/>
      <c r="QQ123" s="394"/>
      <c r="QR123" s="394"/>
      <c r="QS123" s="394"/>
      <c r="QT123" s="394"/>
      <c r="QU123" s="394"/>
      <c r="QV123" s="394"/>
      <c r="QW123" s="394"/>
      <c r="QX123" s="394"/>
      <c r="QY123" s="394"/>
      <c r="QZ123" s="394"/>
      <c r="RA123" s="394"/>
      <c r="RB123" s="394"/>
      <c r="RC123" s="394"/>
      <c r="RD123" s="394"/>
      <c r="RE123" s="394"/>
      <c r="RF123" s="394"/>
      <c r="RG123" s="394"/>
      <c r="RH123" s="394"/>
      <c r="RI123" s="394"/>
      <c r="RJ123" s="394"/>
      <c r="RK123" s="394"/>
      <c r="RL123" s="394"/>
      <c r="RM123" s="394"/>
      <c r="RN123" s="394"/>
      <c r="RO123" s="394"/>
      <c r="RP123" s="394"/>
      <c r="RQ123" s="394"/>
      <c r="RR123" s="394"/>
      <c r="RS123" s="394"/>
      <c r="RT123" s="394"/>
      <c r="RU123" s="394"/>
      <c r="RV123" s="394"/>
      <c r="RW123" s="394"/>
      <c r="RX123" s="394"/>
      <c r="RY123" s="394"/>
      <c r="RZ123" s="394"/>
      <c r="SA123" s="394"/>
      <c r="SB123" s="394"/>
      <c r="SC123" s="394"/>
      <c r="SD123" s="394"/>
      <c r="SE123" s="394"/>
      <c r="SF123" s="394"/>
      <c r="SG123" s="394"/>
      <c r="SH123" s="394"/>
      <c r="SI123" s="394"/>
      <c r="SJ123" s="394"/>
    </row>
    <row r="124" spans="2:504" ht="30" customHeight="1" x14ac:dyDescent="0.25">
      <c r="B124" s="107" t="str">
        <f>'Graph Data'!M85</f>
        <v>SCOPE</v>
      </c>
      <c r="C124" s="106" t="str" cm="1">
        <f t="array" ref="C124">IFERROR(_xlfn.TEXTJOIN(", ",TRUE,IF($E$4:$SJ$4=B124,$E$11:$SJ$11,"")),"Excel 2019 or newer required for this function")</f>
        <v/>
      </c>
      <c r="D124" s="99">
        <f t="shared" si="18"/>
        <v>0</v>
      </c>
      <c r="E124" s="394"/>
      <c r="F124" s="394"/>
      <c r="G124" s="394"/>
      <c r="H124" s="394"/>
      <c r="I124" s="394"/>
      <c r="J124" s="394"/>
      <c r="K124" s="394"/>
      <c r="L124" s="394"/>
      <c r="M124" s="394"/>
      <c r="N124" s="394"/>
      <c r="O124" s="394"/>
      <c r="P124" s="394"/>
      <c r="Q124" s="394"/>
      <c r="R124" s="394"/>
      <c r="S124" s="394"/>
      <c r="T124" s="394"/>
      <c r="U124" s="394"/>
      <c r="V124" s="394"/>
      <c r="W124" s="394"/>
      <c r="X124" s="394"/>
      <c r="Y124" s="394"/>
      <c r="Z124" s="394"/>
      <c r="AA124" s="394"/>
      <c r="AB124" s="394"/>
      <c r="AC124" s="394"/>
      <c r="AD124" s="394"/>
      <c r="AE124" s="394"/>
      <c r="AF124" s="394"/>
      <c r="AG124" s="394"/>
      <c r="AH124" s="394"/>
      <c r="AI124" s="394"/>
      <c r="AJ124" s="394"/>
      <c r="AK124" s="394"/>
      <c r="AL124" s="394"/>
      <c r="AM124" s="394"/>
      <c r="AN124" s="394"/>
      <c r="AO124" s="394"/>
      <c r="AP124" s="394"/>
      <c r="AQ124" s="394"/>
      <c r="AR124" s="394"/>
      <c r="AS124" s="394"/>
      <c r="AT124" s="394"/>
      <c r="AU124" s="394"/>
      <c r="AV124" s="394"/>
      <c r="AW124" s="394"/>
      <c r="AX124" s="394"/>
      <c r="AY124" s="394"/>
      <c r="AZ124" s="394"/>
      <c r="BA124" s="394"/>
      <c r="BB124" s="394"/>
      <c r="BC124" s="394"/>
      <c r="BD124" s="394"/>
      <c r="BE124" s="394"/>
      <c r="BF124" s="394"/>
      <c r="BG124" s="394"/>
      <c r="BH124" s="394"/>
      <c r="BI124" s="394"/>
      <c r="BJ124" s="394"/>
      <c r="BK124" s="394"/>
      <c r="BL124" s="394"/>
      <c r="BM124" s="394"/>
      <c r="BN124" s="394"/>
      <c r="BO124" s="394"/>
      <c r="BP124" s="394"/>
      <c r="BQ124" s="394"/>
      <c r="BR124" s="394"/>
      <c r="BS124" s="394"/>
      <c r="BT124" s="394"/>
      <c r="BU124" s="394"/>
      <c r="BV124" s="394"/>
      <c r="BW124" s="394"/>
      <c r="BX124" s="394"/>
      <c r="BY124" s="394"/>
      <c r="BZ124" s="394"/>
      <c r="CA124" s="394"/>
      <c r="CB124" s="394"/>
      <c r="CC124" s="394"/>
      <c r="CD124" s="394"/>
      <c r="CE124" s="394"/>
      <c r="CF124" s="394"/>
      <c r="CG124" s="394"/>
      <c r="CH124" s="394"/>
      <c r="CI124" s="394"/>
      <c r="CJ124" s="394"/>
      <c r="CK124" s="394"/>
      <c r="CL124" s="394"/>
      <c r="CM124" s="394"/>
      <c r="CN124" s="394"/>
      <c r="CO124" s="394"/>
      <c r="CP124" s="394"/>
      <c r="CQ124" s="394"/>
      <c r="CR124" s="394"/>
      <c r="CS124" s="394"/>
      <c r="CT124" s="394"/>
      <c r="CU124" s="394"/>
      <c r="CV124" s="394"/>
      <c r="CW124" s="394"/>
      <c r="CX124" s="394"/>
      <c r="CY124" s="394"/>
      <c r="CZ124" s="394"/>
      <c r="DA124" s="394"/>
      <c r="DB124" s="394"/>
      <c r="DC124" s="394"/>
      <c r="DD124" s="394"/>
      <c r="DE124" s="394"/>
      <c r="DF124" s="394"/>
      <c r="DG124" s="394"/>
      <c r="DH124" s="394"/>
      <c r="DI124" s="394"/>
      <c r="DJ124" s="394"/>
      <c r="DK124" s="394"/>
      <c r="DL124" s="394"/>
      <c r="DM124" s="394"/>
      <c r="DN124" s="394"/>
      <c r="DO124" s="394"/>
      <c r="DP124" s="394"/>
      <c r="DQ124" s="394"/>
      <c r="DR124" s="394"/>
      <c r="DS124" s="394"/>
      <c r="DT124" s="394"/>
      <c r="DU124" s="394"/>
      <c r="DV124" s="394"/>
      <c r="DW124" s="394"/>
      <c r="DX124" s="394"/>
      <c r="DY124" s="394"/>
      <c r="DZ124" s="394"/>
      <c r="EA124" s="394"/>
      <c r="EB124" s="394"/>
      <c r="EC124" s="394"/>
      <c r="ED124" s="394"/>
      <c r="EE124" s="394"/>
      <c r="EF124" s="394"/>
      <c r="EG124" s="394"/>
      <c r="EH124" s="394"/>
      <c r="EI124" s="394"/>
      <c r="EJ124" s="394"/>
      <c r="EK124" s="394"/>
      <c r="EL124" s="394"/>
      <c r="EM124" s="394"/>
      <c r="EN124" s="394"/>
      <c r="EO124" s="394"/>
      <c r="EP124" s="394"/>
      <c r="EQ124" s="394"/>
      <c r="ER124" s="394"/>
      <c r="ES124" s="394"/>
      <c r="ET124" s="394"/>
      <c r="EU124" s="394"/>
      <c r="EV124" s="394"/>
      <c r="EW124" s="394"/>
      <c r="EX124" s="394"/>
      <c r="EY124" s="394"/>
      <c r="EZ124" s="394"/>
      <c r="FA124" s="394"/>
      <c r="FB124" s="394"/>
      <c r="FC124" s="394"/>
      <c r="FD124" s="394"/>
      <c r="FE124" s="394"/>
      <c r="FF124" s="394"/>
      <c r="FG124" s="394"/>
      <c r="FH124" s="394"/>
      <c r="FI124" s="394"/>
      <c r="FJ124" s="394"/>
      <c r="FK124" s="394"/>
      <c r="FL124" s="394"/>
      <c r="FM124" s="394"/>
      <c r="FN124" s="394"/>
      <c r="FO124" s="394"/>
      <c r="FP124" s="394"/>
      <c r="FQ124" s="394"/>
      <c r="FR124" s="394"/>
      <c r="FS124" s="394"/>
      <c r="FT124" s="394"/>
      <c r="FU124" s="394"/>
      <c r="FV124" s="394"/>
      <c r="FW124" s="394"/>
      <c r="FX124" s="394"/>
      <c r="FY124" s="394"/>
      <c r="FZ124" s="394"/>
      <c r="GA124" s="394"/>
      <c r="GB124" s="394"/>
      <c r="GC124" s="394"/>
      <c r="GD124" s="394"/>
      <c r="GE124" s="394"/>
      <c r="GF124" s="394"/>
      <c r="GG124" s="394"/>
      <c r="GH124" s="394"/>
      <c r="GI124" s="394"/>
      <c r="GJ124" s="394"/>
      <c r="GK124" s="394"/>
      <c r="GL124" s="394"/>
      <c r="GM124" s="394"/>
      <c r="GN124" s="394"/>
      <c r="GO124" s="394"/>
      <c r="GP124" s="394"/>
      <c r="GQ124" s="394"/>
      <c r="GR124" s="394"/>
      <c r="GS124" s="394"/>
      <c r="GT124" s="394"/>
      <c r="GU124" s="394"/>
      <c r="GV124" s="394"/>
      <c r="GW124" s="394"/>
      <c r="GX124" s="394"/>
      <c r="GY124" s="394"/>
      <c r="GZ124" s="394"/>
      <c r="HA124" s="394"/>
      <c r="HB124" s="394"/>
      <c r="HC124" s="394"/>
      <c r="HD124" s="394"/>
      <c r="HE124" s="394"/>
      <c r="HF124" s="394"/>
      <c r="HG124" s="394"/>
      <c r="HH124" s="394"/>
      <c r="HI124" s="394"/>
      <c r="HJ124" s="394"/>
      <c r="HK124" s="394"/>
      <c r="HL124" s="394"/>
      <c r="HM124" s="394"/>
      <c r="HN124" s="394"/>
      <c r="HO124" s="394"/>
      <c r="HP124" s="394"/>
      <c r="HQ124" s="394"/>
      <c r="HR124" s="394"/>
      <c r="HS124" s="394"/>
      <c r="HT124" s="394"/>
      <c r="HU124" s="394"/>
      <c r="HV124" s="394"/>
      <c r="HW124" s="394"/>
      <c r="HX124" s="394"/>
      <c r="HY124" s="394"/>
      <c r="HZ124" s="394"/>
      <c r="IA124" s="394"/>
      <c r="IB124" s="394"/>
      <c r="IC124" s="394"/>
      <c r="ID124" s="394"/>
      <c r="IE124" s="394"/>
      <c r="IF124" s="394"/>
      <c r="IG124" s="394"/>
      <c r="IH124" s="394"/>
      <c r="II124" s="394"/>
      <c r="IJ124" s="394"/>
      <c r="IK124" s="394"/>
      <c r="IL124" s="394"/>
      <c r="IM124" s="394"/>
      <c r="IN124" s="394"/>
      <c r="IO124" s="394"/>
      <c r="IP124" s="394"/>
      <c r="IQ124" s="394"/>
      <c r="IR124" s="394"/>
      <c r="IS124" s="394"/>
      <c r="IT124" s="394"/>
      <c r="IU124" s="394"/>
      <c r="IV124" s="394"/>
      <c r="IW124" s="394"/>
      <c r="IX124" s="394"/>
      <c r="IY124" s="394"/>
      <c r="IZ124" s="394"/>
      <c r="JA124" s="394"/>
      <c r="JB124" s="394"/>
      <c r="JC124" s="394"/>
      <c r="JD124" s="394"/>
      <c r="JE124" s="394"/>
      <c r="JF124" s="394"/>
      <c r="JG124" s="394"/>
      <c r="JH124" s="394"/>
      <c r="JI124" s="394"/>
      <c r="JJ124" s="394"/>
      <c r="JK124" s="394"/>
      <c r="JL124" s="394"/>
      <c r="JM124" s="394"/>
      <c r="JN124" s="394"/>
      <c r="JO124" s="394"/>
      <c r="JP124" s="394"/>
      <c r="JQ124" s="394"/>
      <c r="JR124" s="394"/>
      <c r="JS124" s="394"/>
      <c r="JT124" s="394"/>
      <c r="JU124" s="394"/>
      <c r="JV124" s="394"/>
      <c r="JW124" s="394"/>
      <c r="JX124" s="394"/>
      <c r="JY124" s="394"/>
      <c r="JZ124" s="394"/>
      <c r="KA124" s="394"/>
      <c r="KB124" s="394"/>
      <c r="KC124" s="394"/>
      <c r="KD124" s="394"/>
      <c r="KE124" s="394"/>
      <c r="KF124" s="394"/>
      <c r="KG124" s="394"/>
      <c r="KH124" s="394"/>
      <c r="KI124" s="394"/>
      <c r="KJ124" s="394"/>
      <c r="KK124" s="394"/>
      <c r="KL124" s="394"/>
      <c r="KM124" s="394"/>
      <c r="KN124" s="394"/>
      <c r="KO124" s="394"/>
      <c r="KP124" s="394"/>
      <c r="KQ124" s="394"/>
      <c r="KR124" s="394"/>
      <c r="KS124" s="394"/>
      <c r="KT124" s="394"/>
      <c r="KU124" s="394"/>
      <c r="KV124" s="394"/>
      <c r="KW124" s="394"/>
      <c r="KX124" s="394"/>
      <c r="KY124" s="394"/>
      <c r="KZ124" s="394"/>
      <c r="LA124" s="394"/>
      <c r="LB124" s="394"/>
      <c r="LC124" s="394"/>
      <c r="LD124" s="394"/>
      <c r="LE124" s="394"/>
      <c r="LF124" s="394"/>
      <c r="LG124" s="394"/>
      <c r="LH124" s="394"/>
      <c r="LI124" s="394"/>
      <c r="LJ124" s="394"/>
      <c r="LK124" s="394"/>
      <c r="LL124" s="394"/>
      <c r="LM124" s="394"/>
      <c r="LN124" s="394"/>
      <c r="LO124" s="394"/>
      <c r="LP124" s="394"/>
      <c r="LQ124" s="394"/>
      <c r="LR124" s="394"/>
      <c r="LS124" s="394"/>
      <c r="LT124" s="394"/>
      <c r="LU124" s="394"/>
      <c r="LV124" s="394"/>
      <c r="LW124" s="394"/>
      <c r="LX124" s="394"/>
      <c r="LY124" s="394"/>
      <c r="LZ124" s="394"/>
      <c r="MA124" s="394"/>
      <c r="MB124" s="394"/>
      <c r="MC124" s="394"/>
      <c r="MD124" s="394"/>
      <c r="ME124" s="394"/>
      <c r="MF124" s="394"/>
      <c r="MG124" s="394"/>
      <c r="MH124" s="394"/>
      <c r="MI124" s="394"/>
      <c r="MJ124" s="394"/>
      <c r="MK124" s="394"/>
      <c r="ML124" s="394"/>
      <c r="MM124" s="394"/>
      <c r="MN124" s="394"/>
      <c r="MO124" s="394"/>
      <c r="MP124" s="394"/>
      <c r="MQ124" s="394"/>
      <c r="MR124" s="394"/>
      <c r="MS124" s="394"/>
      <c r="MT124" s="394"/>
      <c r="MU124" s="394"/>
      <c r="MV124" s="394"/>
      <c r="MW124" s="394"/>
      <c r="MX124" s="394"/>
      <c r="MY124" s="394"/>
      <c r="MZ124" s="394"/>
      <c r="NA124" s="394"/>
      <c r="NB124" s="394"/>
      <c r="NC124" s="394"/>
      <c r="ND124" s="394"/>
      <c r="NE124" s="394"/>
      <c r="NF124" s="394"/>
      <c r="NG124" s="394"/>
      <c r="NH124" s="394"/>
      <c r="NI124" s="394"/>
      <c r="NJ124" s="394"/>
      <c r="NK124" s="394"/>
      <c r="NL124" s="394"/>
      <c r="NM124" s="394"/>
      <c r="NN124" s="394"/>
      <c r="NO124" s="394"/>
      <c r="NP124" s="394"/>
      <c r="NQ124" s="394"/>
      <c r="NR124" s="394"/>
      <c r="NS124" s="394"/>
      <c r="NT124" s="394"/>
      <c r="NU124" s="394"/>
      <c r="NV124" s="394"/>
      <c r="NW124" s="394"/>
      <c r="NX124" s="394"/>
      <c r="NY124" s="394"/>
      <c r="NZ124" s="394"/>
      <c r="OA124" s="394"/>
      <c r="OB124" s="394"/>
      <c r="OC124" s="394"/>
      <c r="OD124" s="394"/>
      <c r="OE124" s="394"/>
      <c r="OF124" s="394"/>
      <c r="OG124" s="394"/>
      <c r="OH124" s="394"/>
      <c r="OI124" s="394"/>
      <c r="OJ124" s="394"/>
      <c r="OK124" s="394"/>
      <c r="OL124" s="394"/>
      <c r="OM124" s="394"/>
      <c r="ON124" s="394"/>
      <c r="OO124" s="394"/>
      <c r="OP124" s="394"/>
      <c r="OQ124" s="394"/>
      <c r="OR124" s="394"/>
      <c r="OS124" s="394"/>
      <c r="OT124" s="394"/>
      <c r="OU124" s="394"/>
      <c r="OV124" s="394"/>
      <c r="OW124" s="394"/>
      <c r="OX124" s="394"/>
      <c r="OY124" s="394"/>
      <c r="OZ124" s="394"/>
      <c r="PA124" s="394"/>
      <c r="PB124" s="394"/>
      <c r="PC124" s="394"/>
      <c r="PD124" s="394"/>
      <c r="PE124" s="394"/>
      <c r="PF124" s="394"/>
      <c r="PG124" s="394"/>
      <c r="PH124" s="394"/>
      <c r="PI124" s="394"/>
      <c r="PJ124" s="394"/>
      <c r="PK124" s="394"/>
      <c r="PL124" s="394"/>
      <c r="PM124" s="394"/>
      <c r="PN124" s="394"/>
      <c r="PO124" s="394"/>
      <c r="PP124" s="394"/>
      <c r="PQ124" s="394"/>
      <c r="PR124" s="394"/>
      <c r="PS124" s="394"/>
      <c r="PT124" s="394"/>
      <c r="PU124" s="394"/>
      <c r="PV124" s="394"/>
      <c r="PW124" s="394"/>
      <c r="PX124" s="394"/>
      <c r="PY124" s="394"/>
      <c r="PZ124" s="394"/>
      <c r="QA124" s="394"/>
      <c r="QB124" s="394"/>
      <c r="QC124" s="394"/>
      <c r="QD124" s="394"/>
      <c r="QE124" s="394"/>
      <c r="QF124" s="394"/>
      <c r="QG124" s="394"/>
      <c r="QH124" s="394"/>
      <c r="QI124" s="394"/>
      <c r="QJ124" s="394"/>
      <c r="QK124" s="394"/>
      <c r="QL124" s="394"/>
      <c r="QM124" s="394"/>
      <c r="QN124" s="394"/>
      <c r="QO124" s="394"/>
      <c r="QP124" s="394"/>
      <c r="QQ124" s="394"/>
      <c r="QR124" s="394"/>
      <c r="QS124" s="394"/>
      <c r="QT124" s="394"/>
      <c r="QU124" s="394"/>
      <c r="QV124" s="394"/>
      <c r="QW124" s="394"/>
      <c r="QX124" s="394"/>
      <c r="QY124" s="394"/>
      <c r="QZ124" s="394"/>
      <c r="RA124" s="394"/>
      <c r="RB124" s="394"/>
      <c r="RC124" s="394"/>
      <c r="RD124" s="394"/>
      <c r="RE124" s="394"/>
      <c r="RF124" s="394"/>
      <c r="RG124" s="394"/>
      <c r="RH124" s="394"/>
      <c r="RI124" s="394"/>
      <c r="RJ124" s="394"/>
      <c r="RK124" s="394"/>
      <c r="RL124" s="394"/>
      <c r="RM124" s="394"/>
      <c r="RN124" s="394"/>
      <c r="RO124" s="394"/>
      <c r="RP124" s="394"/>
      <c r="RQ124" s="394"/>
      <c r="RR124" s="394"/>
      <c r="RS124" s="394"/>
      <c r="RT124" s="394"/>
      <c r="RU124" s="394"/>
      <c r="RV124" s="394"/>
      <c r="RW124" s="394"/>
      <c r="RX124" s="394"/>
      <c r="RY124" s="394"/>
      <c r="RZ124" s="394"/>
      <c r="SA124" s="394"/>
      <c r="SB124" s="394"/>
      <c r="SC124" s="394"/>
      <c r="SD124" s="394"/>
      <c r="SE124" s="394"/>
      <c r="SF124" s="394"/>
      <c r="SG124" s="394"/>
      <c r="SH124" s="394"/>
      <c r="SI124" s="394"/>
      <c r="SJ124" s="394"/>
    </row>
    <row r="125" spans="2:504" ht="30" customHeight="1" x14ac:dyDescent="0.25">
      <c r="B125" s="107" t="str">
        <f>'Graph Data'!M86</f>
        <v>TIME ADJUSTMENT</v>
      </c>
      <c r="C125" s="106" t="str" cm="1">
        <f t="array" ref="C125">IFERROR(_xlfn.TEXTJOIN(", ",TRUE,IF($E$4:$SJ$4=B125,$E$11:$SJ$11,"")),"Excel 2019 or newer required for this function")</f>
        <v/>
      </c>
      <c r="D125" s="99">
        <f t="shared" si="18"/>
        <v>0</v>
      </c>
      <c r="E125" s="394"/>
      <c r="F125" s="394"/>
      <c r="G125" s="394"/>
      <c r="H125" s="394"/>
      <c r="I125" s="394"/>
      <c r="J125" s="394"/>
      <c r="K125" s="394"/>
      <c r="L125" s="394"/>
      <c r="M125" s="394"/>
      <c r="N125" s="394"/>
      <c r="O125" s="394"/>
      <c r="P125" s="394"/>
      <c r="Q125" s="394"/>
      <c r="R125" s="394"/>
      <c r="S125" s="394"/>
      <c r="T125" s="394"/>
      <c r="U125" s="394"/>
      <c r="V125" s="394"/>
      <c r="W125" s="394"/>
      <c r="X125" s="394"/>
      <c r="Y125" s="394"/>
      <c r="Z125" s="394"/>
      <c r="AA125" s="394"/>
      <c r="AB125" s="394"/>
      <c r="AC125" s="394"/>
      <c r="AD125" s="394"/>
      <c r="AE125" s="394"/>
      <c r="AF125" s="394"/>
      <c r="AG125" s="394"/>
      <c r="AH125" s="394"/>
      <c r="AI125" s="394"/>
      <c r="AJ125" s="394"/>
      <c r="AK125" s="394"/>
      <c r="AL125" s="394"/>
      <c r="AM125" s="394"/>
      <c r="AN125" s="394"/>
      <c r="AO125" s="394"/>
      <c r="AP125" s="394"/>
      <c r="AQ125" s="394"/>
      <c r="AR125" s="394"/>
      <c r="AS125" s="394"/>
      <c r="AT125" s="394"/>
      <c r="AU125" s="394"/>
      <c r="AV125" s="394"/>
      <c r="AW125" s="394"/>
      <c r="AX125" s="394"/>
      <c r="AY125" s="394"/>
      <c r="AZ125" s="394"/>
      <c r="BA125" s="394"/>
      <c r="BB125" s="394"/>
      <c r="BC125" s="394"/>
      <c r="BD125" s="394"/>
      <c r="BE125" s="394"/>
      <c r="BF125" s="394"/>
      <c r="BG125" s="394"/>
      <c r="BH125" s="394"/>
      <c r="BI125" s="394"/>
      <c r="BJ125" s="394"/>
      <c r="BK125" s="394"/>
      <c r="BL125" s="394"/>
      <c r="BM125" s="394"/>
      <c r="BN125" s="394"/>
      <c r="BO125" s="394"/>
      <c r="BP125" s="394"/>
      <c r="BQ125" s="394"/>
      <c r="BR125" s="394"/>
      <c r="BS125" s="394"/>
      <c r="BT125" s="394"/>
      <c r="BU125" s="394"/>
      <c r="BV125" s="394"/>
      <c r="BW125" s="394"/>
      <c r="BX125" s="394"/>
      <c r="BY125" s="394"/>
      <c r="BZ125" s="394"/>
      <c r="CA125" s="394"/>
      <c r="CB125" s="394"/>
      <c r="CC125" s="394"/>
      <c r="CD125" s="394"/>
      <c r="CE125" s="394"/>
      <c r="CF125" s="394"/>
      <c r="CG125" s="394"/>
      <c r="CH125" s="394"/>
      <c r="CI125" s="394"/>
      <c r="CJ125" s="394"/>
      <c r="CK125" s="394"/>
      <c r="CL125" s="394"/>
      <c r="CM125" s="394"/>
      <c r="CN125" s="394"/>
      <c r="CO125" s="394"/>
      <c r="CP125" s="394"/>
      <c r="CQ125" s="394"/>
      <c r="CR125" s="394"/>
      <c r="CS125" s="394"/>
      <c r="CT125" s="394"/>
      <c r="CU125" s="394"/>
      <c r="CV125" s="394"/>
      <c r="CW125" s="394"/>
      <c r="CX125" s="394"/>
      <c r="CY125" s="394"/>
      <c r="CZ125" s="394"/>
      <c r="DA125" s="394"/>
      <c r="DB125" s="394"/>
      <c r="DC125" s="394"/>
      <c r="DD125" s="394"/>
      <c r="DE125" s="394"/>
      <c r="DF125" s="394"/>
      <c r="DG125" s="394"/>
      <c r="DH125" s="394"/>
      <c r="DI125" s="394"/>
      <c r="DJ125" s="394"/>
      <c r="DK125" s="394"/>
      <c r="DL125" s="394"/>
      <c r="DM125" s="394"/>
      <c r="DN125" s="394"/>
      <c r="DO125" s="394"/>
      <c r="DP125" s="394"/>
      <c r="DQ125" s="394"/>
      <c r="DR125" s="394"/>
      <c r="DS125" s="394"/>
      <c r="DT125" s="394"/>
      <c r="DU125" s="394"/>
      <c r="DV125" s="394"/>
      <c r="DW125" s="394"/>
      <c r="DX125" s="394"/>
      <c r="DY125" s="394"/>
      <c r="DZ125" s="394"/>
      <c r="EA125" s="394"/>
      <c r="EB125" s="394"/>
      <c r="EC125" s="394"/>
      <c r="ED125" s="394"/>
      <c r="EE125" s="394"/>
      <c r="EF125" s="394"/>
      <c r="EG125" s="394"/>
      <c r="EH125" s="394"/>
      <c r="EI125" s="394"/>
      <c r="EJ125" s="394"/>
      <c r="EK125" s="394"/>
      <c r="EL125" s="394"/>
      <c r="EM125" s="394"/>
      <c r="EN125" s="394"/>
      <c r="EO125" s="394"/>
      <c r="EP125" s="394"/>
      <c r="EQ125" s="394"/>
      <c r="ER125" s="394"/>
      <c r="ES125" s="394"/>
      <c r="ET125" s="394"/>
      <c r="EU125" s="394"/>
      <c r="EV125" s="394"/>
      <c r="EW125" s="394"/>
      <c r="EX125" s="394"/>
      <c r="EY125" s="394"/>
      <c r="EZ125" s="394"/>
      <c r="FA125" s="394"/>
      <c r="FB125" s="394"/>
      <c r="FC125" s="394"/>
      <c r="FD125" s="394"/>
      <c r="FE125" s="394"/>
      <c r="FF125" s="394"/>
      <c r="FG125" s="394"/>
      <c r="FH125" s="394"/>
      <c r="FI125" s="394"/>
      <c r="FJ125" s="394"/>
      <c r="FK125" s="394"/>
      <c r="FL125" s="394"/>
      <c r="FM125" s="394"/>
      <c r="FN125" s="394"/>
      <c r="FO125" s="394"/>
      <c r="FP125" s="394"/>
      <c r="FQ125" s="394"/>
      <c r="FR125" s="394"/>
      <c r="FS125" s="394"/>
      <c r="FT125" s="394"/>
      <c r="FU125" s="394"/>
      <c r="FV125" s="394"/>
      <c r="FW125" s="394"/>
      <c r="FX125" s="394"/>
      <c r="FY125" s="394"/>
      <c r="FZ125" s="394"/>
      <c r="GA125" s="394"/>
      <c r="GB125" s="394"/>
      <c r="GC125" s="394"/>
      <c r="GD125" s="394"/>
      <c r="GE125" s="394"/>
      <c r="GF125" s="394"/>
      <c r="GG125" s="394"/>
      <c r="GH125" s="394"/>
      <c r="GI125" s="394"/>
      <c r="GJ125" s="394"/>
      <c r="GK125" s="394"/>
      <c r="GL125" s="394"/>
      <c r="GM125" s="394"/>
      <c r="GN125" s="394"/>
      <c r="GO125" s="394"/>
      <c r="GP125" s="394"/>
      <c r="GQ125" s="394"/>
      <c r="GR125" s="394"/>
      <c r="GS125" s="394"/>
      <c r="GT125" s="394"/>
      <c r="GU125" s="394"/>
      <c r="GV125" s="394"/>
      <c r="GW125" s="394"/>
      <c r="GX125" s="394"/>
      <c r="GY125" s="394"/>
      <c r="GZ125" s="394"/>
      <c r="HA125" s="394"/>
      <c r="HB125" s="394"/>
      <c r="HC125" s="394"/>
      <c r="HD125" s="394"/>
      <c r="HE125" s="394"/>
      <c r="HF125" s="394"/>
      <c r="HG125" s="394"/>
      <c r="HH125" s="394"/>
      <c r="HI125" s="394"/>
      <c r="HJ125" s="394"/>
      <c r="HK125" s="394"/>
      <c r="HL125" s="394"/>
      <c r="HM125" s="394"/>
      <c r="HN125" s="394"/>
      <c r="HO125" s="394"/>
      <c r="HP125" s="394"/>
      <c r="HQ125" s="394"/>
      <c r="HR125" s="394"/>
      <c r="HS125" s="394"/>
      <c r="HT125" s="394"/>
      <c r="HU125" s="394"/>
      <c r="HV125" s="394"/>
      <c r="HW125" s="394"/>
      <c r="HX125" s="394"/>
      <c r="HY125" s="394"/>
      <c r="HZ125" s="394"/>
      <c r="IA125" s="394"/>
      <c r="IB125" s="394"/>
      <c r="IC125" s="394"/>
      <c r="ID125" s="394"/>
      <c r="IE125" s="394"/>
      <c r="IF125" s="394"/>
      <c r="IG125" s="394"/>
      <c r="IH125" s="394"/>
      <c r="II125" s="394"/>
      <c r="IJ125" s="394"/>
      <c r="IK125" s="394"/>
      <c r="IL125" s="394"/>
      <c r="IM125" s="394"/>
      <c r="IN125" s="394"/>
      <c r="IO125" s="394"/>
      <c r="IP125" s="394"/>
      <c r="IQ125" s="394"/>
      <c r="IR125" s="394"/>
      <c r="IS125" s="394"/>
      <c r="IT125" s="394"/>
      <c r="IU125" s="394"/>
      <c r="IV125" s="394"/>
      <c r="IW125" s="394"/>
      <c r="IX125" s="394"/>
      <c r="IY125" s="394"/>
      <c r="IZ125" s="394"/>
      <c r="JA125" s="394"/>
      <c r="JB125" s="394"/>
      <c r="JC125" s="394"/>
      <c r="JD125" s="394"/>
      <c r="JE125" s="394"/>
      <c r="JF125" s="394"/>
      <c r="JG125" s="394"/>
      <c r="JH125" s="394"/>
      <c r="JI125" s="394"/>
      <c r="JJ125" s="394"/>
      <c r="JK125" s="394"/>
      <c r="JL125" s="394"/>
      <c r="JM125" s="394"/>
      <c r="JN125" s="394"/>
      <c r="JO125" s="394"/>
      <c r="JP125" s="394"/>
      <c r="JQ125" s="394"/>
      <c r="JR125" s="394"/>
      <c r="JS125" s="394"/>
      <c r="JT125" s="394"/>
      <c r="JU125" s="394"/>
      <c r="JV125" s="394"/>
      <c r="JW125" s="394"/>
      <c r="JX125" s="394"/>
      <c r="JY125" s="394"/>
      <c r="JZ125" s="394"/>
      <c r="KA125" s="394"/>
      <c r="KB125" s="394"/>
      <c r="KC125" s="394"/>
      <c r="KD125" s="394"/>
      <c r="KE125" s="394"/>
      <c r="KF125" s="394"/>
      <c r="KG125" s="394"/>
      <c r="KH125" s="394"/>
      <c r="KI125" s="394"/>
      <c r="KJ125" s="394"/>
      <c r="KK125" s="394"/>
      <c r="KL125" s="394"/>
      <c r="KM125" s="394"/>
      <c r="KN125" s="394"/>
      <c r="KO125" s="394"/>
      <c r="KP125" s="394"/>
      <c r="KQ125" s="394"/>
      <c r="KR125" s="394"/>
      <c r="KS125" s="394"/>
      <c r="KT125" s="394"/>
      <c r="KU125" s="394"/>
      <c r="KV125" s="394"/>
      <c r="KW125" s="394"/>
      <c r="KX125" s="394"/>
      <c r="KY125" s="394"/>
      <c r="KZ125" s="394"/>
      <c r="LA125" s="394"/>
      <c r="LB125" s="394"/>
      <c r="LC125" s="394"/>
      <c r="LD125" s="394"/>
      <c r="LE125" s="394"/>
      <c r="LF125" s="394"/>
      <c r="LG125" s="394"/>
      <c r="LH125" s="394"/>
      <c r="LI125" s="394"/>
      <c r="LJ125" s="394"/>
      <c r="LK125" s="394"/>
      <c r="LL125" s="394"/>
      <c r="LM125" s="394"/>
      <c r="LN125" s="394"/>
      <c r="LO125" s="394"/>
      <c r="LP125" s="394"/>
      <c r="LQ125" s="394"/>
      <c r="LR125" s="394"/>
      <c r="LS125" s="394"/>
      <c r="LT125" s="394"/>
      <c r="LU125" s="394"/>
      <c r="LV125" s="394"/>
      <c r="LW125" s="394"/>
      <c r="LX125" s="394"/>
      <c r="LY125" s="394"/>
      <c r="LZ125" s="394"/>
      <c r="MA125" s="394"/>
      <c r="MB125" s="394"/>
      <c r="MC125" s="394"/>
      <c r="MD125" s="394"/>
      <c r="ME125" s="394"/>
      <c r="MF125" s="394"/>
      <c r="MG125" s="394"/>
      <c r="MH125" s="394"/>
      <c r="MI125" s="394"/>
      <c r="MJ125" s="394"/>
      <c r="MK125" s="394"/>
      <c r="ML125" s="394"/>
      <c r="MM125" s="394"/>
      <c r="MN125" s="394"/>
      <c r="MO125" s="394"/>
      <c r="MP125" s="394"/>
      <c r="MQ125" s="394"/>
      <c r="MR125" s="394"/>
      <c r="MS125" s="394"/>
      <c r="MT125" s="394"/>
      <c r="MU125" s="394"/>
      <c r="MV125" s="394"/>
      <c r="MW125" s="394"/>
      <c r="MX125" s="394"/>
      <c r="MY125" s="394"/>
      <c r="MZ125" s="394"/>
      <c r="NA125" s="394"/>
      <c r="NB125" s="394"/>
      <c r="NC125" s="394"/>
      <c r="ND125" s="394"/>
      <c r="NE125" s="394"/>
      <c r="NF125" s="394"/>
      <c r="NG125" s="394"/>
      <c r="NH125" s="394"/>
      <c r="NI125" s="394"/>
      <c r="NJ125" s="394"/>
      <c r="NK125" s="394"/>
      <c r="NL125" s="394"/>
      <c r="NM125" s="394"/>
      <c r="NN125" s="394"/>
      <c r="NO125" s="394"/>
      <c r="NP125" s="394"/>
      <c r="NQ125" s="394"/>
      <c r="NR125" s="394"/>
      <c r="NS125" s="394"/>
      <c r="NT125" s="394"/>
      <c r="NU125" s="394"/>
      <c r="NV125" s="394"/>
      <c r="NW125" s="394"/>
      <c r="NX125" s="394"/>
      <c r="NY125" s="394"/>
      <c r="NZ125" s="394"/>
      <c r="OA125" s="394"/>
      <c r="OB125" s="394"/>
      <c r="OC125" s="394"/>
      <c r="OD125" s="394"/>
      <c r="OE125" s="394"/>
      <c r="OF125" s="394"/>
      <c r="OG125" s="394"/>
      <c r="OH125" s="394"/>
      <c r="OI125" s="394"/>
      <c r="OJ125" s="394"/>
      <c r="OK125" s="394"/>
      <c r="OL125" s="394"/>
      <c r="OM125" s="394"/>
      <c r="ON125" s="394"/>
      <c r="OO125" s="394"/>
      <c r="OP125" s="394"/>
      <c r="OQ125" s="394"/>
      <c r="OR125" s="394"/>
      <c r="OS125" s="394"/>
      <c r="OT125" s="394"/>
      <c r="OU125" s="394"/>
      <c r="OV125" s="394"/>
      <c r="OW125" s="394"/>
      <c r="OX125" s="394"/>
      <c r="OY125" s="394"/>
      <c r="OZ125" s="394"/>
      <c r="PA125" s="394"/>
      <c r="PB125" s="394"/>
      <c r="PC125" s="394"/>
      <c r="PD125" s="394"/>
      <c r="PE125" s="394"/>
      <c r="PF125" s="394"/>
      <c r="PG125" s="394"/>
      <c r="PH125" s="394"/>
      <c r="PI125" s="394"/>
      <c r="PJ125" s="394"/>
      <c r="PK125" s="394"/>
      <c r="PL125" s="394"/>
      <c r="PM125" s="394"/>
      <c r="PN125" s="394"/>
      <c r="PO125" s="394"/>
      <c r="PP125" s="394"/>
      <c r="PQ125" s="394"/>
      <c r="PR125" s="394"/>
      <c r="PS125" s="394"/>
      <c r="PT125" s="394"/>
      <c r="PU125" s="394"/>
      <c r="PV125" s="394"/>
      <c r="PW125" s="394"/>
      <c r="PX125" s="394"/>
      <c r="PY125" s="394"/>
      <c r="PZ125" s="394"/>
      <c r="QA125" s="394"/>
      <c r="QB125" s="394"/>
      <c r="QC125" s="394"/>
      <c r="QD125" s="394"/>
      <c r="QE125" s="394"/>
      <c r="QF125" s="394"/>
      <c r="QG125" s="394"/>
      <c r="QH125" s="394"/>
      <c r="QI125" s="394"/>
      <c r="QJ125" s="394"/>
      <c r="QK125" s="394"/>
      <c r="QL125" s="394"/>
      <c r="QM125" s="394"/>
      <c r="QN125" s="394"/>
      <c r="QO125" s="394"/>
      <c r="QP125" s="394"/>
      <c r="QQ125" s="394"/>
      <c r="QR125" s="394"/>
      <c r="QS125" s="394"/>
      <c r="QT125" s="394"/>
      <c r="QU125" s="394"/>
      <c r="QV125" s="394"/>
      <c r="QW125" s="394"/>
      <c r="QX125" s="394"/>
      <c r="QY125" s="394"/>
      <c r="QZ125" s="394"/>
      <c r="RA125" s="394"/>
      <c r="RB125" s="394"/>
      <c r="RC125" s="394"/>
      <c r="RD125" s="394"/>
      <c r="RE125" s="394"/>
      <c r="RF125" s="394"/>
      <c r="RG125" s="394"/>
      <c r="RH125" s="394"/>
      <c r="RI125" s="394"/>
      <c r="RJ125" s="394"/>
      <c r="RK125" s="394"/>
      <c r="RL125" s="394"/>
      <c r="RM125" s="394"/>
      <c r="RN125" s="394"/>
      <c r="RO125" s="394"/>
      <c r="RP125" s="394"/>
      <c r="RQ125" s="394"/>
      <c r="RR125" s="394"/>
      <c r="RS125" s="394"/>
      <c r="RT125" s="394"/>
      <c r="RU125" s="394"/>
      <c r="RV125" s="394"/>
      <c r="RW125" s="394"/>
      <c r="RX125" s="394"/>
      <c r="RY125" s="394"/>
      <c r="RZ125" s="394"/>
      <c r="SA125" s="394"/>
      <c r="SB125" s="394"/>
      <c r="SC125" s="394"/>
      <c r="SD125" s="394"/>
      <c r="SE125" s="394"/>
      <c r="SF125" s="394"/>
      <c r="SG125" s="394"/>
      <c r="SH125" s="394"/>
      <c r="SI125" s="394"/>
      <c r="SJ125" s="394"/>
    </row>
    <row r="126" spans="2:504" ht="30" customHeight="1" x14ac:dyDescent="0.25">
      <c r="B126" s="107" t="str">
        <f>'Graph Data'!M87</f>
        <v>UNKN COND</v>
      </c>
      <c r="C126" s="106" t="str" cm="1">
        <f t="array" ref="C126">IFERROR(_xlfn.TEXTJOIN(", ",TRUE,IF($E$4:$SJ$4=B126,$E$11:$SJ$11,"")),"Excel 2019 or newer required for this function")</f>
        <v/>
      </c>
      <c r="D126" s="99">
        <f t="shared" si="18"/>
        <v>0</v>
      </c>
      <c r="E126" s="394"/>
      <c r="F126" s="394"/>
      <c r="G126" s="394"/>
      <c r="H126" s="394"/>
      <c r="I126" s="394"/>
      <c r="J126" s="394"/>
      <c r="K126" s="394"/>
      <c r="L126" s="394"/>
      <c r="M126" s="394"/>
      <c r="N126" s="394"/>
      <c r="O126" s="394"/>
      <c r="P126" s="394"/>
      <c r="Q126" s="394"/>
      <c r="R126" s="394"/>
      <c r="S126" s="394"/>
      <c r="T126" s="394"/>
      <c r="U126" s="394"/>
      <c r="V126" s="394"/>
      <c r="W126" s="394"/>
      <c r="X126" s="394"/>
      <c r="Y126" s="394"/>
      <c r="Z126" s="394"/>
      <c r="AA126" s="394"/>
      <c r="AB126" s="394"/>
      <c r="AC126" s="394"/>
      <c r="AD126" s="394"/>
      <c r="AE126" s="394"/>
      <c r="AF126" s="394"/>
      <c r="AG126" s="394"/>
      <c r="AH126" s="394"/>
      <c r="AI126" s="394"/>
      <c r="AJ126" s="394"/>
      <c r="AK126" s="394"/>
      <c r="AL126" s="394"/>
      <c r="AM126" s="394"/>
      <c r="AN126" s="394"/>
      <c r="AO126" s="394"/>
      <c r="AP126" s="394"/>
      <c r="AQ126" s="394"/>
      <c r="AR126" s="394"/>
      <c r="AS126" s="394"/>
      <c r="AT126" s="394"/>
      <c r="AU126" s="394"/>
      <c r="AV126" s="394"/>
      <c r="AW126" s="394"/>
      <c r="AX126" s="394"/>
      <c r="AY126" s="394"/>
      <c r="AZ126" s="394"/>
      <c r="BA126" s="394"/>
      <c r="BB126" s="394"/>
      <c r="BC126" s="394"/>
      <c r="BD126" s="394"/>
      <c r="BE126" s="394"/>
      <c r="BF126" s="394"/>
      <c r="BG126" s="394"/>
      <c r="BH126" s="394"/>
      <c r="BI126" s="394"/>
      <c r="BJ126" s="394"/>
      <c r="BK126" s="394"/>
      <c r="BL126" s="394"/>
      <c r="BM126" s="394"/>
      <c r="BN126" s="394"/>
      <c r="BO126" s="394"/>
      <c r="BP126" s="394"/>
      <c r="BQ126" s="394"/>
      <c r="BR126" s="394"/>
      <c r="BS126" s="394"/>
      <c r="BT126" s="394"/>
      <c r="BU126" s="394"/>
      <c r="BV126" s="394"/>
      <c r="BW126" s="394"/>
      <c r="BX126" s="394"/>
      <c r="BY126" s="394"/>
      <c r="BZ126" s="394"/>
      <c r="CA126" s="394"/>
      <c r="CB126" s="394"/>
      <c r="CC126" s="394"/>
      <c r="CD126" s="394"/>
      <c r="CE126" s="394"/>
      <c r="CF126" s="394"/>
      <c r="CG126" s="394"/>
      <c r="CH126" s="394"/>
      <c r="CI126" s="394"/>
      <c r="CJ126" s="394"/>
      <c r="CK126" s="394"/>
      <c r="CL126" s="394"/>
      <c r="CM126" s="394"/>
      <c r="CN126" s="394"/>
      <c r="CO126" s="394"/>
      <c r="CP126" s="394"/>
      <c r="CQ126" s="394"/>
      <c r="CR126" s="394"/>
      <c r="CS126" s="394"/>
      <c r="CT126" s="394"/>
      <c r="CU126" s="394"/>
      <c r="CV126" s="394"/>
      <c r="CW126" s="394"/>
      <c r="CX126" s="394"/>
      <c r="CY126" s="394"/>
      <c r="CZ126" s="394"/>
      <c r="DA126" s="394"/>
      <c r="DB126" s="394"/>
      <c r="DC126" s="394"/>
      <c r="DD126" s="394"/>
      <c r="DE126" s="394"/>
      <c r="DF126" s="394"/>
      <c r="DG126" s="394"/>
      <c r="DH126" s="394"/>
      <c r="DI126" s="394"/>
      <c r="DJ126" s="394"/>
      <c r="DK126" s="394"/>
      <c r="DL126" s="394"/>
      <c r="DM126" s="394"/>
      <c r="DN126" s="394"/>
      <c r="DO126" s="394"/>
      <c r="DP126" s="394"/>
      <c r="DQ126" s="394"/>
      <c r="DR126" s="394"/>
      <c r="DS126" s="394"/>
      <c r="DT126" s="394"/>
      <c r="DU126" s="394"/>
      <c r="DV126" s="394"/>
      <c r="DW126" s="394"/>
      <c r="DX126" s="394"/>
      <c r="DY126" s="394"/>
      <c r="DZ126" s="394"/>
      <c r="EA126" s="394"/>
      <c r="EB126" s="394"/>
      <c r="EC126" s="394"/>
      <c r="ED126" s="394"/>
      <c r="EE126" s="394"/>
      <c r="EF126" s="394"/>
      <c r="EG126" s="394"/>
      <c r="EH126" s="394"/>
      <c r="EI126" s="394"/>
      <c r="EJ126" s="394"/>
      <c r="EK126" s="394"/>
      <c r="EL126" s="394"/>
      <c r="EM126" s="394"/>
      <c r="EN126" s="394"/>
      <c r="EO126" s="394"/>
      <c r="EP126" s="394"/>
      <c r="EQ126" s="394"/>
      <c r="ER126" s="394"/>
      <c r="ES126" s="394"/>
      <c r="ET126" s="394"/>
      <c r="EU126" s="394"/>
      <c r="EV126" s="394"/>
      <c r="EW126" s="394"/>
      <c r="EX126" s="394"/>
      <c r="EY126" s="394"/>
      <c r="EZ126" s="394"/>
      <c r="FA126" s="394"/>
      <c r="FB126" s="394"/>
      <c r="FC126" s="394"/>
      <c r="FD126" s="394"/>
      <c r="FE126" s="394"/>
      <c r="FF126" s="394"/>
      <c r="FG126" s="394"/>
      <c r="FH126" s="394"/>
      <c r="FI126" s="394"/>
      <c r="FJ126" s="394"/>
      <c r="FK126" s="394"/>
      <c r="FL126" s="394"/>
      <c r="FM126" s="394"/>
      <c r="FN126" s="394"/>
      <c r="FO126" s="394"/>
      <c r="FP126" s="394"/>
      <c r="FQ126" s="394"/>
      <c r="FR126" s="394"/>
      <c r="FS126" s="394"/>
      <c r="FT126" s="394"/>
      <c r="FU126" s="394"/>
      <c r="FV126" s="394"/>
      <c r="FW126" s="394"/>
      <c r="FX126" s="394"/>
      <c r="FY126" s="394"/>
      <c r="FZ126" s="394"/>
      <c r="GA126" s="394"/>
      <c r="GB126" s="394"/>
      <c r="GC126" s="394"/>
      <c r="GD126" s="394"/>
      <c r="GE126" s="394"/>
      <c r="GF126" s="394"/>
      <c r="GG126" s="394"/>
      <c r="GH126" s="394"/>
      <c r="GI126" s="394"/>
      <c r="GJ126" s="394"/>
      <c r="GK126" s="394"/>
      <c r="GL126" s="394"/>
      <c r="GM126" s="394"/>
      <c r="GN126" s="394"/>
      <c r="GO126" s="394"/>
      <c r="GP126" s="394"/>
      <c r="GQ126" s="394"/>
      <c r="GR126" s="394"/>
      <c r="GS126" s="394"/>
      <c r="GT126" s="394"/>
      <c r="GU126" s="394"/>
      <c r="GV126" s="394"/>
      <c r="GW126" s="394"/>
      <c r="GX126" s="394"/>
      <c r="GY126" s="394"/>
      <c r="GZ126" s="394"/>
      <c r="HA126" s="394"/>
      <c r="HB126" s="394"/>
      <c r="HC126" s="394"/>
      <c r="HD126" s="394"/>
      <c r="HE126" s="394"/>
      <c r="HF126" s="394"/>
      <c r="HG126" s="394"/>
      <c r="HH126" s="394"/>
      <c r="HI126" s="394"/>
      <c r="HJ126" s="394"/>
      <c r="HK126" s="394"/>
      <c r="HL126" s="394"/>
      <c r="HM126" s="394"/>
      <c r="HN126" s="394"/>
      <c r="HO126" s="394"/>
      <c r="HP126" s="394"/>
      <c r="HQ126" s="394"/>
      <c r="HR126" s="394"/>
      <c r="HS126" s="394"/>
      <c r="HT126" s="394"/>
      <c r="HU126" s="394"/>
      <c r="HV126" s="394"/>
      <c r="HW126" s="394"/>
      <c r="HX126" s="394"/>
      <c r="HY126" s="394"/>
      <c r="HZ126" s="394"/>
      <c r="IA126" s="394"/>
      <c r="IB126" s="394"/>
      <c r="IC126" s="394"/>
      <c r="ID126" s="394"/>
      <c r="IE126" s="394"/>
      <c r="IF126" s="394"/>
      <c r="IG126" s="394"/>
      <c r="IH126" s="394"/>
      <c r="II126" s="394"/>
      <c r="IJ126" s="394"/>
      <c r="IK126" s="394"/>
      <c r="IL126" s="394"/>
      <c r="IM126" s="394"/>
      <c r="IN126" s="394"/>
      <c r="IO126" s="394"/>
      <c r="IP126" s="394"/>
      <c r="IQ126" s="394"/>
      <c r="IR126" s="394"/>
      <c r="IS126" s="394"/>
      <c r="IT126" s="394"/>
      <c r="IU126" s="394"/>
      <c r="IV126" s="394"/>
      <c r="IW126" s="394"/>
      <c r="IX126" s="394"/>
      <c r="IY126" s="394"/>
      <c r="IZ126" s="394"/>
      <c r="JA126" s="394"/>
      <c r="JB126" s="394"/>
      <c r="JC126" s="394"/>
      <c r="JD126" s="394"/>
      <c r="JE126" s="394"/>
      <c r="JF126" s="394"/>
      <c r="JG126" s="394"/>
      <c r="JH126" s="394"/>
      <c r="JI126" s="394"/>
      <c r="JJ126" s="394"/>
      <c r="JK126" s="394"/>
      <c r="JL126" s="394"/>
      <c r="JM126" s="394"/>
      <c r="JN126" s="394"/>
      <c r="JO126" s="394"/>
      <c r="JP126" s="394"/>
      <c r="JQ126" s="394"/>
      <c r="JR126" s="394"/>
      <c r="JS126" s="394"/>
      <c r="JT126" s="394"/>
      <c r="JU126" s="394"/>
      <c r="JV126" s="394"/>
      <c r="JW126" s="394"/>
      <c r="JX126" s="394"/>
      <c r="JY126" s="394"/>
      <c r="JZ126" s="394"/>
      <c r="KA126" s="394"/>
      <c r="KB126" s="394"/>
      <c r="KC126" s="394"/>
      <c r="KD126" s="394"/>
      <c r="KE126" s="394"/>
      <c r="KF126" s="394"/>
      <c r="KG126" s="394"/>
      <c r="KH126" s="394"/>
      <c r="KI126" s="394"/>
      <c r="KJ126" s="394"/>
      <c r="KK126" s="394"/>
      <c r="KL126" s="394"/>
      <c r="KM126" s="394"/>
      <c r="KN126" s="394"/>
      <c r="KO126" s="394"/>
      <c r="KP126" s="394"/>
      <c r="KQ126" s="394"/>
      <c r="KR126" s="394"/>
      <c r="KS126" s="394"/>
      <c r="KT126" s="394"/>
      <c r="KU126" s="394"/>
      <c r="KV126" s="394"/>
      <c r="KW126" s="394"/>
      <c r="KX126" s="394"/>
      <c r="KY126" s="394"/>
      <c r="KZ126" s="394"/>
      <c r="LA126" s="394"/>
      <c r="LB126" s="394"/>
      <c r="LC126" s="394"/>
      <c r="LD126" s="394"/>
      <c r="LE126" s="394"/>
      <c r="LF126" s="394"/>
      <c r="LG126" s="394"/>
      <c r="LH126" s="394"/>
      <c r="LI126" s="394"/>
      <c r="LJ126" s="394"/>
      <c r="LK126" s="394"/>
      <c r="LL126" s="394"/>
      <c r="LM126" s="394"/>
      <c r="LN126" s="394"/>
      <c r="LO126" s="394"/>
      <c r="LP126" s="394"/>
      <c r="LQ126" s="394"/>
      <c r="LR126" s="394"/>
      <c r="LS126" s="394"/>
      <c r="LT126" s="394"/>
      <c r="LU126" s="394"/>
      <c r="LV126" s="394"/>
      <c r="LW126" s="394"/>
      <c r="LX126" s="394"/>
      <c r="LY126" s="394"/>
      <c r="LZ126" s="394"/>
      <c r="MA126" s="394"/>
      <c r="MB126" s="394"/>
      <c r="MC126" s="394"/>
      <c r="MD126" s="394"/>
      <c r="ME126" s="394"/>
      <c r="MF126" s="394"/>
      <c r="MG126" s="394"/>
      <c r="MH126" s="394"/>
      <c r="MI126" s="394"/>
      <c r="MJ126" s="394"/>
      <c r="MK126" s="394"/>
      <c r="ML126" s="394"/>
      <c r="MM126" s="394"/>
      <c r="MN126" s="394"/>
      <c r="MO126" s="394"/>
      <c r="MP126" s="394"/>
      <c r="MQ126" s="394"/>
      <c r="MR126" s="394"/>
      <c r="MS126" s="394"/>
      <c r="MT126" s="394"/>
      <c r="MU126" s="394"/>
      <c r="MV126" s="394"/>
      <c r="MW126" s="394"/>
      <c r="MX126" s="394"/>
      <c r="MY126" s="394"/>
      <c r="MZ126" s="394"/>
      <c r="NA126" s="394"/>
      <c r="NB126" s="394"/>
      <c r="NC126" s="394"/>
      <c r="ND126" s="394"/>
      <c r="NE126" s="394"/>
      <c r="NF126" s="394"/>
      <c r="NG126" s="394"/>
      <c r="NH126" s="394"/>
      <c r="NI126" s="394"/>
      <c r="NJ126" s="394"/>
      <c r="NK126" s="394"/>
      <c r="NL126" s="394"/>
      <c r="NM126" s="394"/>
      <c r="NN126" s="394"/>
      <c r="NO126" s="394"/>
      <c r="NP126" s="394"/>
      <c r="NQ126" s="394"/>
      <c r="NR126" s="394"/>
      <c r="NS126" s="394"/>
      <c r="NT126" s="394"/>
      <c r="NU126" s="394"/>
      <c r="NV126" s="394"/>
      <c r="NW126" s="394"/>
      <c r="NX126" s="394"/>
      <c r="NY126" s="394"/>
      <c r="NZ126" s="394"/>
      <c r="OA126" s="394"/>
      <c r="OB126" s="394"/>
      <c r="OC126" s="394"/>
      <c r="OD126" s="394"/>
      <c r="OE126" s="394"/>
      <c r="OF126" s="394"/>
      <c r="OG126" s="394"/>
      <c r="OH126" s="394"/>
      <c r="OI126" s="394"/>
      <c r="OJ126" s="394"/>
      <c r="OK126" s="394"/>
      <c r="OL126" s="394"/>
      <c r="OM126" s="394"/>
      <c r="ON126" s="394"/>
      <c r="OO126" s="394"/>
      <c r="OP126" s="394"/>
      <c r="OQ126" s="394"/>
      <c r="OR126" s="394"/>
      <c r="OS126" s="394"/>
      <c r="OT126" s="394"/>
      <c r="OU126" s="394"/>
      <c r="OV126" s="394"/>
      <c r="OW126" s="394"/>
      <c r="OX126" s="394"/>
      <c r="OY126" s="394"/>
      <c r="OZ126" s="394"/>
      <c r="PA126" s="394"/>
      <c r="PB126" s="394"/>
      <c r="PC126" s="394"/>
      <c r="PD126" s="394"/>
      <c r="PE126" s="394"/>
      <c r="PF126" s="394"/>
      <c r="PG126" s="394"/>
      <c r="PH126" s="394"/>
      <c r="PI126" s="394"/>
      <c r="PJ126" s="394"/>
      <c r="PK126" s="394"/>
      <c r="PL126" s="394"/>
      <c r="PM126" s="394"/>
      <c r="PN126" s="394"/>
      <c r="PO126" s="394"/>
      <c r="PP126" s="394"/>
      <c r="PQ126" s="394"/>
      <c r="PR126" s="394"/>
      <c r="PS126" s="394"/>
      <c r="PT126" s="394"/>
      <c r="PU126" s="394"/>
      <c r="PV126" s="394"/>
      <c r="PW126" s="394"/>
      <c r="PX126" s="394"/>
      <c r="PY126" s="394"/>
      <c r="PZ126" s="394"/>
      <c r="QA126" s="394"/>
      <c r="QB126" s="394"/>
      <c r="QC126" s="394"/>
      <c r="QD126" s="394"/>
      <c r="QE126" s="394"/>
      <c r="QF126" s="394"/>
      <c r="QG126" s="394"/>
      <c r="QH126" s="394"/>
      <c r="QI126" s="394"/>
      <c r="QJ126" s="394"/>
      <c r="QK126" s="394"/>
      <c r="QL126" s="394"/>
      <c r="QM126" s="394"/>
      <c r="QN126" s="394"/>
      <c r="QO126" s="394"/>
      <c r="QP126" s="394"/>
      <c r="QQ126" s="394"/>
      <c r="QR126" s="394"/>
      <c r="QS126" s="394"/>
      <c r="QT126" s="394"/>
      <c r="QU126" s="394"/>
      <c r="QV126" s="394"/>
      <c r="QW126" s="394"/>
      <c r="QX126" s="394"/>
      <c r="QY126" s="394"/>
      <c r="QZ126" s="394"/>
      <c r="RA126" s="394"/>
      <c r="RB126" s="394"/>
      <c r="RC126" s="394"/>
      <c r="RD126" s="394"/>
      <c r="RE126" s="394"/>
      <c r="RF126" s="394"/>
      <c r="RG126" s="394"/>
      <c r="RH126" s="394"/>
      <c r="RI126" s="394"/>
      <c r="RJ126" s="394"/>
      <c r="RK126" s="394"/>
      <c r="RL126" s="394"/>
      <c r="RM126" s="394"/>
      <c r="RN126" s="394"/>
      <c r="RO126" s="394"/>
      <c r="RP126" s="394"/>
      <c r="RQ126" s="394"/>
      <c r="RR126" s="394"/>
      <c r="RS126" s="394"/>
      <c r="RT126" s="394"/>
      <c r="RU126" s="394"/>
      <c r="RV126" s="394"/>
      <c r="RW126" s="394"/>
      <c r="RX126" s="394"/>
      <c r="RY126" s="394"/>
      <c r="RZ126" s="394"/>
      <c r="SA126" s="394"/>
      <c r="SB126" s="394"/>
      <c r="SC126" s="394"/>
      <c r="SD126" s="394"/>
      <c r="SE126" s="394"/>
      <c r="SF126" s="394"/>
      <c r="SG126" s="394"/>
      <c r="SH126" s="394"/>
      <c r="SI126" s="394"/>
      <c r="SJ126" s="394"/>
    </row>
    <row r="127" spans="2:504" ht="15.75" thickBot="1" x14ac:dyDescent="0.3">
      <c r="B127" s="98" t="s">
        <v>104</v>
      </c>
      <c r="C127" s="98"/>
      <c r="D127" s="100">
        <f>SUM(D120:D126)</f>
        <v>0</v>
      </c>
      <c r="E127" s="394"/>
      <c r="F127" s="394"/>
      <c r="G127" s="394"/>
      <c r="H127" s="394"/>
      <c r="I127" s="394"/>
      <c r="J127" s="394"/>
      <c r="K127" s="394"/>
      <c r="L127" s="394"/>
      <c r="M127" s="394"/>
      <c r="N127" s="394"/>
      <c r="O127" s="394"/>
      <c r="P127" s="394"/>
      <c r="Q127" s="394"/>
      <c r="R127" s="394"/>
      <c r="S127" s="394"/>
      <c r="T127" s="394"/>
      <c r="U127" s="394"/>
      <c r="V127" s="394"/>
      <c r="W127" s="394"/>
      <c r="X127" s="394"/>
      <c r="Y127" s="394"/>
      <c r="Z127" s="394"/>
      <c r="AA127" s="394"/>
      <c r="AB127" s="394"/>
      <c r="AC127" s="394"/>
      <c r="AD127" s="394"/>
      <c r="AE127" s="394"/>
      <c r="AF127" s="394"/>
      <c r="AG127" s="394"/>
      <c r="AH127" s="394"/>
      <c r="AI127" s="394"/>
      <c r="AJ127" s="394"/>
      <c r="AK127" s="394"/>
      <c r="AL127" s="394"/>
      <c r="AM127" s="394"/>
      <c r="AN127" s="394"/>
      <c r="AO127" s="394"/>
      <c r="AP127" s="394"/>
      <c r="AQ127" s="394"/>
      <c r="AR127" s="394"/>
      <c r="AS127" s="394"/>
      <c r="AT127" s="394"/>
      <c r="AU127" s="394"/>
      <c r="AV127" s="394"/>
      <c r="AW127" s="394"/>
      <c r="AX127" s="394"/>
      <c r="AY127" s="394"/>
      <c r="AZ127" s="394"/>
      <c r="BA127" s="394"/>
      <c r="BB127" s="394"/>
      <c r="BC127" s="394"/>
      <c r="BD127" s="394"/>
      <c r="BE127" s="394"/>
      <c r="BF127" s="394"/>
      <c r="BG127" s="394"/>
      <c r="BH127" s="394"/>
      <c r="BI127" s="394"/>
      <c r="BJ127" s="394"/>
      <c r="BK127" s="394"/>
      <c r="BL127" s="394"/>
      <c r="BM127" s="394"/>
      <c r="BN127" s="394"/>
      <c r="BO127" s="394"/>
      <c r="BP127" s="394"/>
      <c r="BQ127" s="394"/>
      <c r="BR127" s="394"/>
      <c r="BS127" s="394"/>
      <c r="BT127" s="394"/>
      <c r="BU127" s="394"/>
      <c r="BV127" s="394"/>
      <c r="BW127" s="394"/>
      <c r="BX127" s="394"/>
      <c r="BY127" s="394"/>
      <c r="BZ127" s="394"/>
      <c r="CA127" s="394"/>
      <c r="CB127" s="394"/>
      <c r="CC127" s="394"/>
      <c r="CD127" s="394"/>
      <c r="CE127" s="394"/>
      <c r="CF127" s="394"/>
      <c r="CG127" s="394"/>
      <c r="CH127" s="394"/>
      <c r="CI127" s="394"/>
      <c r="CJ127" s="394"/>
      <c r="CK127" s="394"/>
      <c r="CL127" s="394"/>
      <c r="CM127" s="394"/>
      <c r="CN127" s="394"/>
      <c r="CO127" s="394"/>
      <c r="CP127" s="394"/>
      <c r="CQ127" s="394"/>
      <c r="CR127" s="394"/>
      <c r="CS127" s="394"/>
      <c r="CT127" s="394"/>
      <c r="CU127" s="394"/>
      <c r="CV127" s="394"/>
      <c r="CW127" s="394"/>
      <c r="CX127" s="394"/>
      <c r="CY127" s="394"/>
      <c r="CZ127" s="394"/>
      <c r="DA127" s="394"/>
      <c r="DB127" s="394"/>
      <c r="DC127" s="394"/>
      <c r="DD127" s="394"/>
      <c r="DE127" s="394"/>
      <c r="DF127" s="394"/>
      <c r="DG127" s="394"/>
      <c r="DH127" s="394"/>
      <c r="DI127" s="394"/>
      <c r="DJ127" s="394"/>
      <c r="DK127" s="394"/>
      <c r="DL127" s="394"/>
      <c r="DM127" s="394"/>
      <c r="DN127" s="394"/>
      <c r="DO127" s="394"/>
      <c r="DP127" s="394"/>
      <c r="DQ127" s="394"/>
      <c r="DR127" s="394"/>
      <c r="DS127" s="394"/>
      <c r="DT127" s="394"/>
      <c r="DU127" s="394"/>
      <c r="DV127" s="394"/>
      <c r="DW127" s="394"/>
      <c r="DX127" s="394"/>
      <c r="DY127" s="394"/>
      <c r="DZ127" s="394"/>
      <c r="EA127" s="394"/>
      <c r="EB127" s="394"/>
      <c r="EC127" s="394"/>
      <c r="ED127" s="394"/>
      <c r="EE127" s="394"/>
      <c r="EF127" s="394"/>
      <c r="EG127" s="394"/>
      <c r="EH127" s="394"/>
      <c r="EI127" s="394"/>
      <c r="EJ127" s="394"/>
      <c r="EK127" s="394"/>
      <c r="EL127" s="394"/>
      <c r="EM127" s="394"/>
      <c r="EN127" s="394"/>
      <c r="EO127" s="394"/>
      <c r="EP127" s="394"/>
      <c r="EQ127" s="394"/>
      <c r="ER127" s="394"/>
      <c r="ES127" s="394"/>
      <c r="ET127" s="394"/>
      <c r="EU127" s="394"/>
      <c r="EV127" s="394"/>
      <c r="EW127" s="394"/>
      <c r="EX127" s="394"/>
      <c r="EY127" s="394"/>
      <c r="EZ127" s="394"/>
      <c r="FA127" s="394"/>
      <c r="FB127" s="394"/>
      <c r="FC127" s="394"/>
      <c r="FD127" s="394"/>
      <c r="FE127" s="394"/>
      <c r="FF127" s="394"/>
      <c r="FG127" s="394"/>
      <c r="FH127" s="394"/>
      <c r="FI127" s="394"/>
      <c r="FJ127" s="394"/>
      <c r="FK127" s="394"/>
      <c r="FL127" s="394"/>
      <c r="FM127" s="394"/>
      <c r="FN127" s="394"/>
      <c r="FO127" s="394"/>
      <c r="FP127" s="394"/>
      <c r="FQ127" s="394"/>
      <c r="FR127" s="394"/>
      <c r="FS127" s="394"/>
      <c r="FT127" s="394"/>
      <c r="FU127" s="394"/>
      <c r="FV127" s="394"/>
      <c r="FW127" s="394"/>
      <c r="FX127" s="394"/>
      <c r="FY127" s="394"/>
      <c r="FZ127" s="394"/>
      <c r="GA127" s="394"/>
      <c r="GB127" s="394"/>
      <c r="GC127" s="394"/>
      <c r="GD127" s="394"/>
      <c r="GE127" s="394"/>
      <c r="GF127" s="394"/>
      <c r="GG127" s="394"/>
      <c r="GH127" s="394"/>
      <c r="GI127" s="394"/>
      <c r="GJ127" s="394"/>
      <c r="GK127" s="394"/>
      <c r="GL127" s="394"/>
      <c r="GM127" s="394"/>
      <c r="GN127" s="394"/>
      <c r="GO127" s="394"/>
      <c r="GP127" s="394"/>
      <c r="GQ127" s="394"/>
      <c r="GR127" s="394"/>
      <c r="GS127" s="394"/>
      <c r="GT127" s="394"/>
      <c r="GU127" s="394"/>
      <c r="GV127" s="394"/>
      <c r="GW127" s="394"/>
      <c r="GX127" s="394"/>
      <c r="GY127" s="394"/>
      <c r="GZ127" s="394"/>
      <c r="HA127" s="394"/>
      <c r="HB127" s="394"/>
      <c r="HC127" s="394"/>
      <c r="HD127" s="394"/>
      <c r="HE127" s="394"/>
      <c r="HF127" s="394"/>
      <c r="HG127" s="394"/>
      <c r="HH127" s="394"/>
      <c r="HI127" s="394"/>
      <c r="HJ127" s="394"/>
      <c r="HK127" s="394"/>
      <c r="HL127" s="394"/>
      <c r="HM127" s="394"/>
      <c r="HN127" s="394"/>
      <c r="HO127" s="394"/>
      <c r="HP127" s="394"/>
      <c r="HQ127" s="394"/>
      <c r="HR127" s="394"/>
      <c r="HS127" s="394"/>
      <c r="HT127" s="394"/>
      <c r="HU127" s="394"/>
      <c r="HV127" s="394"/>
      <c r="HW127" s="394"/>
      <c r="HX127" s="394"/>
      <c r="HY127" s="394"/>
      <c r="HZ127" s="394"/>
      <c r="IA127" s="394"/>
      <c r="IB127" s="394"/>
      <c r="IC127" s="394"/>
      <c r="ID127" s="394"/>
      <c r="IE127" s="394"/>
      <c r="IF127" s="394"/>
      <c r="IG127" s="394"/>
      <c r="IH127" s="394"/>
      <c r="II127" s="394"/>
      <c r="IJ127" s="394"/>
      <c r="IK127" s="394"/>
      <c r="IL127" s="394"/>
      <c r="IM127" s="394"/>
      <c r="IN127" s="394"/>
      <c r="IO127" s="394"/>
      <c r="IP127" s="394"/>
      <c r="IQ127" s="394"/>
      <c r="IR127" s="394"/>
      <c r="IS127" s="394"/>
      <c r="IT127" s="394"/>
      <c r="IU127" s="394"/>
      <c r="IV127" s="394"/>
      <c r="IW127" s="394"/>
      <c r="IX127" s="394"/>
      <c r="IY127" s="394"/>
      <c r="IZ127" s="394"/>
      <c r="JA127" s="394"/>
      <c r="JB127" s="394"/>
      <c r="JC127" s="394"/>
      <c r="JD127" s="394"/>
      <c r="JE127" s="394"/>
      <c r="JF127" s="394"/>
      <c r="JG127" s="394"/>
      <c r="JH127" s="394"/>
      <c r="JI127" s="394"/>
      <c r="JJ127" s="394"/>
      <c r="JK127" s="394"/>
      <c r="JL127" s="394"/>
      <c r="JM127" s="394"/>
      <c r="JN127" s="394"/>
      <c r="JO127" s="394"/>
      <c r="JP127" s="394"/>
      <c r="JQ127" s="394"/>
      <c r="JR127" s="394"/>
      <c r="JS127" s="394"/>
      <c r="JT127" s="394"/>
      <c r="JU127" s="394"/>
      <c r="JV127" s="394"/>
      <c r="JW127" s="394"/>
      <c r="JX127" s="394"/>
      <c r="JY127" s="394"/>
      <c r="JZ127" s="394"/>
      <c r="KA127" s="394"/>
      <c r="KB127" s="394"/>
      <c r="KC127" s="394"/>
      <c r="KD127" s="394"/>
      <c r="KE127" s="394"/>
      <c r="KF127" s="394"/>
      <c r="KG127" s="394"/>
      <c r="KH127" s="394"/>
      <c r="KI127" s="394"/>
      <c r="KJ127" s="394"/>
      <c r="KK127" s="394"/>
      <c r="KL127" s="394"/>
      <c r="KM127" s="394"/>
      <c r="KN127" s="394"/>
      <c r="KO127" s="394"/>
      <c r="KP127" s="394"/>
      <c r="KQ127" s="394"/>
      <c r="KR127" s="394"/>
      <c r="KS127" s="394"/>
      <c r="KT127" s="394"/>
      <c r="KU127" s="394"/>
      <c r="KV127" s="394"/>
      <c r="KW127" s="394"/>
      <c r="KX127" s="394"/>
      <c r="KY127" s="394"/>
      <c r="KZ127" s="394"/>
      <c r="LA127" s="394"/>
      <c r="LB127" s="394"/>
      <c r="LC127" s="394"/>
      <c r="LD127" s="394"/>
      <c r="LE127" s="394"/>
      <c r="LF127" s="394"/>
      <c r="LG127" s="394"/>
      <c r="LH127" s="394"/>
      <c r="LI127" s="394"/>
      <c r="LJ127" s="394"/>
      <c r="LK127" s="394"/>
      <c r="LL127" s="394"/>
      <c r="LM127" s="394"/>
      <c r="LN127" s="394"/>
      <c r="LO127" s="394"/>
      <c r="LP127" s="394"/>
      <c r="LQ127" s="394"/>
      <c r="LR127" s="394"/>
      <c r="LS127" s="394"/>
      <c r="LT127" s="394"/>
      <c r="LU127" s="394"/>
      <c r="LV127" s="394"/>
      <c r="LW127" s="394"/>
      <c r="LX127" s="394"/>
      <c r="LY127" s="394"/>
      <c r="LZ127" s="394"/>
      <c r="MA127" s="394"/>
      <c r="MB127" s="394"/>
      <c r="MC127" s="394"/>
      <c r="MD127" s="394"/>
      <c r="ME127" s="394"/>
      <c r="MF127" s="394"/>
      <c r="MG127" s="394"/>
      <c r="MH127" s="394"/>
      <c r="MI127" s="394"/>
      <c r="MJ127" s="394"/>
      <c r="MK127" s="394"/>
      <c r="ML127" s="394"/>
      <c r="MM127" s="394"/>
      <c r="MN127" s="394"/>
      <c r="MO127" s="394"/>
      <c r="MP127" s="394"/>
      <c r="MQ127" s="394"/>
      <c r="MR127" s="394"/>
      <c r="MS127" s="394"/>
      <c r="MT127" s="394"/>
      <c r="MU127" s="394"/>
      <c r="MV127" s="394"/>
      <c r="MW127" s="394"/>
      <c r="MX127" s="394"/>
      <c r="MY127" s="394"/>
      <c r="MZ127" s="394"/>
      <c r="NA127" s="394"/>
      <c r="NB127" s="394"/>
      <c r="NC127" s="394"/>
      <c r="ND127" s="394"/>
      <c r="NE127" s="394"/>
      <c r="NF127" s="394"/>
      <c r="NG127" s="394"/>
      <c r="NH127" s="394"/>
      <c r="NI127" s="394"/>
      <c r="NJ127" s="394"/>
      <c r="NK127" s="394"/>
      <c r="NL127" s="394"/>
      <c r="NM127" s="394"/>
      <c r="NN127" s="394"/>
      <c r="NO127" s="394"/>
      <c r="NP127" s="394"/>
      <c r="NQ127" s="394"/>
      <c r="NR127" s="394"/>
      <c r="NS127" s="394"/>
      <c r="NT127" s="394"/>
      <c r="NU127" s="394"/>
      <c r="NV127" s="394"/>
      <c r="NW127" s="394"/>
      <c r="NX127" s="394"/>
      <c r="NY127" s="394"/>
      <c r="NZ127" s="394"/>
      <c r="OA127" s="394"/>
      <c r="OB127" s="394"/>
      <c r="OC127" s="394"/>
      <c r="OD127" s="394"/>
      <c r="OE127" s="394"/>
      <c r="OF127" s="394"/>
      <c r="OG127" s="394"/>
      <c r="OH127" s="394"/>
      <c r="OI127" s="394"/>
      <c r="OJ127" s="394"/>
      <c r="OK127" s="394"/>
      <c r="OL127" s="394"/>
      <c r="OM127" s="394"/>
      <c r="ON127" s="394"/>
      <c r="OO127" s="394"/>
      <c r="OP127" s="394"/>
      <c r="OQ127" s="394"/>
      <c r="OR127" s="394"/>
      <c r="OS127" s="394"/>
      <c r="OT127" s="394"/>
      <c r="OU127" s="394"/>
      <c r="OV127" s="394"/>
      <c r="OW127" s="394"/>
      <c r="OX127" s="394"/>
      <c r="OY127" s="394"/>
      <c r="OZ127" s="394"/>
      <c r="PA127" s="394"/>
      <c r="PB127" s="394"/>
      <c r="PC127" s="394"/>
      <c r="PD127" s="394"/>
      <c r="PE127" s="394"/>
      <c r="PF127" s="394"/>
      <c r="PG127" s="394"/>
      <c r="PH127" s="394"/>
      <c r="PI127" s="394"/>
      <c r="PJ127" s="394"/>
      <c r="PK127" s="394"/>
      <c r="PL127" s="394"/>
      <c r="PM127" s="394"/>
      <c r="PN127" s="394"/>
      <c r="PO127" s="394"/>
      <c r="PP127" s="394"/>
      <c r="PQ127" s="394"/>
      <c r="PR127" s="394"/>
      <c r="PS127" s="394"/>
      <c r="PT127" s="394"/>
      <c r="PU127" s="394"/>
      <c r="PV127" s="394"/>
      <c r="PW127" s="394"/>
      <c r="PX127" s="394"/>
      <c r="PY127" s="394"/>
      <c r="PZ127" s="394"/>
      <c r="QA127" s="394"/>
      <c r="QB127" s="394"/>
      <c r="QC127" s="394"/>
      <c r="QD127" s="394"/>
      <c r="QE127" s="394"/>
      <c r="QF127" s="394"/>
      <c r="QG127" s="394"/>
      <c r="QH127" s="394"/>
      <c r="QI127" s="394"/>
      <c r="QJ127" s="394"/>
      <c r="QK127" s="394"/>
      <c r="QL127" s="394"/>
      <c r="QM127" s="394"/>
      <c r="QN127" s="394"/>
      <c r="QO127" s="394"/>
      <c r="QP127" s="394"/>
      <c r="QQ127" s="394"/>
      <c r="QR127" s="394"/>
      <c r="QS127" s="394"/>
      <c r="QT127" s="394"/>
      <c r="QU127" s="394"/>
      <c r="QV127" s="394"/>
      <c r="QW127" s="394"/>
      <c r="QX127" s="394"/>
      <c r="QY127" s="394"/>
      <c r="QZ127" s="394"/>
      <c r="RA127" s="394"/>
      <c r="RB127" s="394"/>
      <c r="RC127" s="394"/>
      <c r="RD127" s="394"/>
      <c r="RE127" s="394"/>
      <c r="RF127" s="394"/>
      <c r="RG127" s="394"/>
      <c r="RH127" s="394"/>
      <c r="RI127" s="394"/>
      <c r="RJ127" s="394"/>
      <c r="RK127" s="394"/>
      <c r="RL127" s="394"/>
      <c r="RM127" s="394"/>
      <c r="RN127" s="394"/>
      <c r="RO127" s="394"/>
      <c r="RP127" s="394"/>
      <c r="RQ127" s="394"/>
      <c r="RR127" s="394"/>
      <c r="RS127" s="394"/>
      <c r="RT127" s="394"/>
      <c r="RU127" s="394"/>
      <c r="RV127" s="394"/>
      <c r="RW127" s="394"/>
      <c r="RX127" s="394"/>
      <c r="RY127" s="394"/>
      <c r="RZ127" s="394"/>
      <c r="SA127" s="394"/>
      <c r="SB127" s="394"/>
      <c r="SC127" s="394"/>
      <c r="SD127" s="394"/>
      <c r="SE127" s="394"/>
      <c r="SF127" s="394"/>
      <c r="SG127" s="394"/>
      <c r="SH127" s="394"/>
      <c r="SI127" s="394"/>
      <c r="SJ127" s="394"/>
    </row>
    <row r="128" spans="2:504" ht="15.75" thickTop="1" x14ac:dyDescent="0.25"/>
  </sheetData>
  <sheetProtection algorithmName="SHA-512" hashValue="+/sd3F+yYDSkFsDf7Qck224Tnj2Ff+lCmFlNlbk1nYnfjhsnLDUVzp9SyDdpVahOkHE1EEgxCgtvRu5bxhmFuQ==" saltValue="Bc77xFEb/1esFcXE71zxGA==" spinCount="100000" sheet="1" objects="1" formatColumns="0" formatRows="0" selectLockedCells="1"/>
  <mergeCells count="502">
    <mergeCell ref="B3:C10"/>
    <mergeCell ref="SJ102:SJ127"/>
    <mergeCell ref="E102:E127"/>
    <mergeCell ref="F102:F127"/>
    <mergeCell ref="G102:G127"/>
    <mergeCell ref="H102:H127"/>
    <mergeCell ref="I102:I127"/>
    <mergeCell ref="J102:J127"/>
    <mergeCell ref="K102:K127"/>
    <mergeCell ref="L102:L127"/>
    <mergeCell ref="M102:M127"/>
    <mergeCell ref="N102:N127"/>
    <mergeCell ref="O102:O127"/>
    <mergeCell ref="P102:P127"/>
    <mergeCell ref="Q102:Q127"/>
    <mergeCell ref="R102:R127"/>
    <mergeCell ref="S102:S127"/>
    <mergeCell ref="SE102:SE127"/>
    <mergeCell ref="SF102:SF127"/>
    <mergeCell ref="SG102:SG127"/>
    <mergeCell ref="SH102:SH127"/>
    <mergeCell ref="SI102:SI127"/>
    <mergeCell ref="RZ102:RZ127"/>
    <mergeCell ref="SA102:SA127"/>
    <mergeCell ref="SB102:SB127"/>
    <mergeCell ref="SC102:SC127"/>
    <mergeCell ref="SD102:SD127"/>
    <mergeCell ref="RU102:RU127"/>
    <mergeCell ref="RV102:RV127"/>
    <mergeCell ref="RW102:RW127"/>
    <mergeCell ref="RX102:RX127"/>
    <mergeCell ref="RY102:RY127"/>
    <mergeCell ref="RP102:RP127"/>
    <mergeCell ref="RQ102:RQ127"/>
    <mergeCell ref="RR102:RR127"/>
    <mergeCell ref="RS102:RS127"/>
    <mergeCell ref="RT102:RT127"/>
    <mergeCell ref="RK102:RK127"/>
    <mergeCell ref="RL102:RL127"/>
    <mergeCell ref="RM102:RM127"/>
    <mergeCell ref="RN102:RN127"/>
    <mergeCell ref="RO102:RO127"/>
    <mergeCell ref="RF102:RF127"/>
    <mergeCell ref="RG102:RG127"/>
    <mergeCell ref="RH102:RH127"/>
    <mergeCell ref="RI102:RI127"/>
    <mergeCell ref="RJ102:RJ127"/>
    <mergeCell ref="RA102:RA127"/>
    <mergeCell ref="RB102:RB127"/>
    <mergeCell ref="RC102:RC127"/>
    <mergeCell ref="RD102:RD127"/>
    <mergeCell ref="RE102:RE127"/>
    <mergeCell ref="QV102:QV127"/>
    <mergeCell ref="QW102:QW127"/>
    <mergeCell ref="QX102:QX127"/>
    <mergeCell ref="QY102:QY127"/>
    <mergeCell ref="QZ102:QZ127"/>
    <mergeCell ref="QQ102:QQ127"/>
    <mergeCell ref="QR102:QR127"/>
    <mergeCell ref="QS102:QS127"/>
    <mergeCell ref="QT102:QT127"/>
    <mergeCell ref="QU102:QU127"/>
    <mergeCell ref="QL102:QL127"/>
    <mergeCell ref="QM102:QM127"/>
    <mergeCell ref="QN102:QN127"/>
    <mergeCell ref="QO102:QO127"/>
    <mergeCell ref="QP102:QP127"/>
    <mergeCell ref="QG102:QG127"/>
    <mergeCell ref="QH102:QH127"/>
    <mergeCell ref="QI102:QI127"/>
    <mergeCell ref="QJ102:QJ127"/>
    <mergeCell ref="QK102:QK127"/>
    <mergeCell ref="QB102:QB127"/>
    <mergeCell ref="QC102:QC127"/>
    <mergeCell ref="QD102:QD127"/>
    <mergeCell ref="QE102:QE127"/>
    <mergeCell ref="QF102:QF127"/>
    <mergeCell ref="PW102:PW127"/>
    <mergeCell ref="PX102:PX127"/>
    <mergeCell ref="PY102:PY127"/>
    <mergeCell ref="PZ102:PZ127"/>
    <mergeCell ref="QA102:QA127"/>
    <mergeCell ref="PR102:PR127"/>
    <mergeCell ref="PS102:PS127"/>
    <mergeCell ref="PT102:PT127"/>
    <mergeCell ref="PU102:PU127"/>
    <mergeCell ref="PV102:PV127"/>
    <mergeCell ref="PM102:PM127"/>
    <mergeCell ref="PN102:PN127"/>
    <mergeCell ref="PO102:PO127"/>
    <mergeCell ref="PP102:PP127"/>
    <mergeCell ref="PQ102:PQ127"/>
    <mergeCell ref="PH102:PH127"/>
    <mergeCell ref="PI102:PI127"/>
    <mergeCell ref="PJ102:PJ127"/>
    <mergeCell ref="PK102:PK127"/>
    <mergeCell ref="PL102:PL127"/>
    <mergeCell ref="PC102:PC127"/>
    <mergeCell ref="PD102:PD127"/>
    <mergeCell ref="PE102:PE127"/>
    <mergeCell ref="PF102:PF127"/>
    <mergeCell ref="PG102:PG127"/>
    <mergeCell ref="OX102:OX127"/>
    <mergeCell ref="OY102:OY127"/>
    <mergeCell ref="OZ102:OZ127"/>
    <mergeCell ref="PA102:PA127"/>
    <mergeCell ref="PB102:PB127"/>
    <mergeCell ref="OS102:OS127"/>
    <mergeCell ref="OT102:OT127"/>
    <mergeCell ref="OU102:OU127"/>
    <mergeCell ref="OV102:OV127"/>
    <mergeCell ref="OW102:OW127"/>
    <mergeCell ref="ON102:ON127"/>
    <mergeCell ref="OO102:OO127"/>
    <mergeCell ref="OP102:OP127"/>
    <mergeCell ref="OQ102:OQ127"/>
    <mergeCell ref="OR102:OR127"/>
    <mergeCell ref="OI102:OI127"/>
    <mergeCell ref="OJ102:OJ127"/>
    <mergeCell ref="OK102:OK127"/>
    <mergeCell ref="OL102:OL127"/>
    <mergeCell ref="OM102:OM127"/>
    <mergeCell ref="OD102:OD127"/>
    <mergeCell ref="OE102:OE127"/>
    <mergeCell ref="OF102:OF127"/>
    <mergeCell ref="OG102:OG127"/>
    <mergeCell ref="OH102:OH127"/>
    <mergeCell ref="NY102:NY127"/>
    <mergeCell ref="NZ102:NZ127"/>
    <mergeCell ref="OA102:OA127"/>
    <mergeCell ref="OB102:OB127"/>
    <mergeCell ref="OC102:OC127"/>
    <mergeCell ref="NT102:NT127"/>
    <mergeCell ref="NU102:NU127"/>
    <mergeCell ref="NV102:NV127"/>
    <mergeCell ref="NW102:NW127"/>
    <mergeCell ref="NX102:NX127"/>
    <mergeCell ref="NO102:NO127"/>
    <mergeCell ref="NP102:NP127"/>
    <mergeCell ref="NQ102:NQ127"/>
    <mergeCell ref="NR102:NR127"/>
    <mergeCell ref="NS102:NS127"/>
    <mergeCell ref="NJ102:NJ127"/>
    <mergeCell ref="NK102:NK127"/>
    <mergeCell ref="NL102:NL127"/>
    <mergeCell ref="NM102:NM127"/>
    <mergeCell ref="NN102:NN127"/>
    <mergeCell ref="NE102:NE127"/>
    <mergeCell ref="NF102:NF127"/>
    <mergeCell ref="NG102:NG127"/>
    <mergeCell ref="NH102:NH127"/>
    <mergeCell ref="NI102:NI127"/>
    <mergeCell ref="MZ102:MZ127"/>
    <mergeCell ref="NA102:NA127"/>
    <mergeCell ref="NB102:NB127"/>
    <mergeCell ref="NC102:NC127"/>
    <mergeCell ref="ND102:ND127"/>
    <mergeCell ref="MU102:MU127"/>
    <mergeCell ref="MV102:MV127"/>
    <mergeCell ref="MW102:MW127"/>
    <mergeCell ref="MX102:MX127"/>
    <mergeCell ref="MY102:MY127"/>
    <mergeCell ref="MP102:MP127"/>
    <mergeCell ref="MQ102:MQ127"/>
    <mergeCell ref="MR102:MR127"/>
    <mergeCell ref="MS102:MS127"/>
    <mergeCell ref="MT102:MT127"/>
    <mergeCell ref="MK102:MK127"/>
    <mergeCell ref="ML102:ML127"/>
    <mergeCell ref="MM102:MM127"/>
    <mergeCell ref="MN102:MN127"/>
    <mergeCell ref="MO102:MO127"/>
    <mergeCell ref="MF102:MF127"/>
    <mergeCell ref="MG102:MG127"/>
    <mergeCell ref="MH102:MH127"/>
    <mergeCell ref="MI102:MI127"/>
    <mergeCell ref="MJ102:MJ127"/>
    <mergeCell ref="MA102:MA127"/>
    <mergeCell ref="MB102:MB127"/>
    <mergeCell ref="MC102:MC127"/>
    <mergeCell ref="MD102:MD127"/>
    <mergeCell ref="ME102:ME127"/>
    <mergeCell ref="LV102:LV127"/>
    <mergeCell ref="LW102:LW127"/>
    <mergeCell ref="LX102:LX127"/>
    <mergeCell ref="LY102:LY127"/>
    <mergeCell ref="LZ102:LZ127"/>
    <mergeCell ref="LQ102:LQ127"/>
    <mergeCell ref="LR102:LR127"/>
    <mergeCell ref="LS102:LS127"/>
    <mergeCell ref="LT102:LT127"/>
    <mergeCell ref="LU102:LU127"/>
    <mergeCell ref="LL102:LL127"/>
    <mergeCell ref="LM102:LM127"/>
    <mergeCell ref="LN102:LN127"/>
    <mergeCell ref="LO102:LO127"/>
    <mergeCell ref="LP102:LP127"/>
    <mergeCell ref="LG102:LG127"/>
    <mergeCell ref="LH102:LH127"/>
    <mergeCell ref="LI102:LI127"/>
    <mergeCell ref="LJ102:LJ127"/>
    <mergeCell ref="LK102:LK127"/>
    <mergeCell ref="LB102:LB127"/>
    <mergeCell ref="LC102:LC127"/>
    <mergeCell ref="LD102:LD127"/>
    <mergeCell ref="LE102:LE127"/>
    <mergeCell ref="LF102:LF127"/>
    <mergeCell ref="KW102:KW127"/>
    <mergeCell ref="KX102:KX127"/>
    <mergeCell ref="KY102:KY127"/>
    <mergeCell ref="KZ102:KZ127"/>
    <mergeCell ref="LA102:LA127"/>
    <mergeCell ref="KR102:KR127"/>
    <mergeCell ref="KS102:KS127"/>
    <mergeCell ref="KT102:KT127"/>
    <mergeCell ref="KU102:KU127"/>
    <mergeCell ref="KV102:KV127"/>
    <mergeCell ref="KM102:KM127"/>
    <mergeCell ref="KN102:KN127"/>
    <mergeCell ref="KO102:KO127"/>
    <mergeCell ref="KP102:KP127"/>
    <mergeCell ref="KQ102:KQ127"/>
    <mergeCell ref="KH102:KH127"/>
    <mergeCell ref="KI102:KI127"/>
    <mergeCell ref="KJ102:KJ127"/>
    <mergeCell ref="KK102:KK127"/>
    <mergeCell ref="KL102:KL127"/>
    <mergeCell ref="KC102:KC127"/>
    <mergeCell ref="KD102:KD127"/>
    <mergeCell ref="KE102:KE127"/>
    <mergeCell ref="KF102:KF127"/>
    <mergeCell ref="KG102:KG127"/>
    <mergeCell ref="JX102:JX127"/>
    <mergeCell ref="JY102:JY127"/>
    <mergeCell ref="JZ102:JZ127"/>
    <mergeCell ref="KA102:KA127"/>
    <mergeCell ref="KB102:KB127"/>
    <mergeCell ref="JS102:JS127"/>
    <mergeCell ref="JT102:JT127"/>
    <mergeCell ref="JU102:JU127"/>
    <mergeCell ref="JV102:JV127"/>
    <mergeCell ref="JW102:JW127"/>
    <mergeCell ref="JN102:JN127"/>
    <mergeCell ref="JO102:JO127"/>
    <mergeCell ref="JP102:JP127"/>
    <mergeCell ref="JQ102:JQ127"/>
    <mergeCell ref="JR102:JR127"/>
    <mergeCell ref="JI102:JI127"/>
    <mergeCell ref="JJ102:JJ127"/>
    <mergeCell ref="JK102:JK127"/>
    <mergeCell ref="JL102:JL127"/>
    <mergeCell ref="JM102:JM127"/>
    <mergeCell ref="JD102:JD127"/>
    <mergeCell ref="JE102:JE127"/>
    <mergeCell ref="JF102:JF127"/>
    <mergeCell ref="JG102:JG127"/>
    <mergeCell ref="JH102:JH127"/>
    <mergeCell ref="IY102:IY127"/>
    <mergeCell ref="IZ102:IZ127"/>
    <mergeCell ref="JA102:JA127"/>
    <mergeCell ref="JB102:JB127"/>
    <mergeCell ref="JC102:JC127"/>
    <mergeCell ref="IT102:IT127"/>
    <mergeCell ref="IU102:IU127"/>
    <mergeCell ref="IV102:IV127"/>
    <mergeCell ref="IW102:IW127"/>
    <mergeCell ref="IX102:IX127"/>
    <mergeCell ref="IO102:IO127"/>
    <mergeCell ref="IP102:IP127"/>
    <mergeCell ref="IQ102:IQ127"/>
    <mergeCell ref="IR102:IR127"/>
    <mergeCell ref="IS102:IS127"/>
    <mergeCell ref="IJ102:IJ127"/>
    <mergeCell ref="IK102:IK127"/>
    <mergeCell ref="IL102:IL127"/>
    <mergeCell ref="IM102:IM127"/>
    <mergeCell ref="IN102:IN127"/>
    <mergeCell ref="IE102:IE127"/>
    <mergeCell ref="IF102:IF127"/>
    <mergeCell ref="IG102:IG127"/>
    <mergeCell ref="IH102:IH127"/>
    <mergeCell ref="II102:II127"/>
    <mergeCell ref="HZ102:HZ127"/>
    <mergeCell ref="IA102:IA127"/>
    <mergeCell ref="IB102:IB127"/>
    <mergeCell ref="IC102:IC127"/>
    <mergeCell ref="ID102:ID127"/>
    <mergeCell ref="HU102:HU127"/>
    <mergeCell ref="HV102:HV127"/>
    <mergeCell ref="HW102:HW127"/>
    <mergeCell ref="HX102:HX127"/>
    <mergeCell ref="HY102:HY127"/>
    <mergeCell ref="HP102:HP127"/>
    <mergeCell ref="HQ102:HQ127"/>
    <mergeCell ref="HR102:HR127"/>
    <mergeCell ref="HS102:HS127"/>
    <mergeCell ref="HT102:HT127"/>
    <mergeCell ref="HK102:HK127"/>
    <mergeCell ref="HL102:HL127"/>
    <mergeCell ref="HM102:HM127"/>
    <mergeCell ref="HN102:HN127"/>
    <mergeCell ref="HO102:HO127"/>
    <mergeCell ref="HF102:HF127"/>
    <mergeCell ref="HG102:HG127"/>
    <mergeCell ref="HH102:HH127"/>
    <mergeCell ref="HI102:HI127"/>
    <mergeCell ref="HJ102:HJ127"/>
    <mergeCell ref="HA102:HA127"/>
    <mergeCell ref="HB102:HB127"/>
    <mergeCell ref="HC102:HC127"/>
    <mergeCell ref="HD102:HD127"/>
    <mergeCell ref="HE102:HE127"/>
    <mergeCell ref="GV102:GV127"/>
    <mergeCell ref="GW102:GW127"/>
    <mergeCell ref="GX102:GX127"/>
    <mergeCell ref="GY102:GY127"/>
    <mergeCell ref="GZ102:GZ127"/>
    <mergeCell ref="GQ102:GQ127"/>
    <mergeCell ref="GR102:GR127"/>
    <mergeCell ref="GS102:GS127"/>
    <mergeCell ref="GT102:GT127"/>
    <mergeCell ref="GU102:GU127"/>
    <mergeCell ref="GL102:GL127"/>
    <mergeCell ref="GM102:GM127"/>
    <mergeCell ref="GN102:GN127"/>
    <mergeCell ref="GO102:GO127"/>
    <mergeCell ref="GP102:GP127"/>
    <mergeCell ref="GG102:GG127"/>
    <mergeCell ref="GH102:GH127"/>
    <mergeCell ref="GI102:GI127"/>
    <mergeCell ref="GJ102:GJ127"/>
    <mergeCell ref="GK102:GK127"/>
    <mergeCell ref="GB102:GB127"/>
    <mergeCell ref="GC102:GC127"/>
    <mergeCell ref="GD102:GD127"/>
    <mergeCell ref="GE102:GE127"/>
    <mergeCell ref="GF102:GF127"/>
    <mergeCell ref="FW102:FW127"/>
    <mergeCell ref="FX102:FX127"/>
    <mergeCell ref="FY102:FY127"/>
    <mergeCell ref="FZ102:FZ127"/>
    <mergeCell ref="GA102:GA127"/>
    <mergeCell ref="FR102:FR127"/>
    <mergeCell ref="FS102:FS127"/>
    <mergeCell ref="FT102:FT127"/>
    <mergeCell ref="FU102:FU127"/>
    <mergeCell ref="FV102:FV127"/>
    <mergeCell ref="FM102:FM127"/>
    <mergeCell ref="FN102:FN127"/>
    <mergeCell ref="FO102:FO127"/>
    <mergeCell ref="FP102:FP127"/>
    <mergeCell ref="FQ102:FQ127"/>
    <mergeCell ref="FH102:FH127"/>
    <mergeCell ref="FI102:FI127"/>
    <mergeCell ref="FJ102:FJ127"/>
    <mergeCell ref="FK102:FK127"/>
    <mergeCell ref="FL102:FL127"/>
    <mergeCell ref="FC102:FC127"/>
    <mergeCell ref="FD102:FD127"/>
    <mergeCell ref="FE102:FE127"/>
    <mergeCell ref="FF102:FF127"/>
    <mergeCell ref="FG102:FG127"/>
    <mergeCell ref="EX102:EX127"/>
    <mergeCell ref="EY102:EY127"/>
    <mergeCell ref="EZ102:EZ127"/>
    <mergeCell ref="FA102:FA127"/>
    <mergeCell ref="FB102:FB127"/>
    <mergeCell ref="ES102:ES127"/>
    <mergeCell ref="ET102:ET127"/>
    <mergeCell ref="EU102:EU127"/>
    <mergeCell ref="EV102:EV127"/>
    <mergeCell ref="EW102:EW127"/>
    <mergeCell ref="EN102:EN127"/>
    <mergeCell ref="EO102:EO127"/>
    <mergeCell ref="EP102:EP127"/>
    <mergeCell ref="EQ102:EQ127"/>
    <mergeCell ref="ER102:ER127"/>
    <mergeCell ref="EI102:EI127"/>
    <mergeCell ref="EJ102:EJ127"/>
    <mergeCell ref="EK102:EK127"/>
    <mergeCell ref="EL102:EL127"/>
    <mergeCell ref="EM102:EM127"/>
    <mergeCell ref="ED102:ED127"/>
    <mergeCell ref="EE102:EE127"/>
    <mergeCell ref="EF102:EF127"/>
    <mergeCell ref="EG102:EG127"/>
    <mergeCell ref="EH102:EH127"/>
    <mergeCell ref="DY102:DY127"/>
    <mergeCell ref="DZ102:DZ127"/>
    <mergeCell ref="EA102:EA127"/>
    <mergeCell ref="EB102:EB127"/>
    <mergeCell ref="EC102:EC127"/>
    <mergeCell ref="DT102:DT127"/>
    <mergeCell ref="DU102:DU127"/>
    <mergeCell ref="DV102:DV127"/>
    <mergeCell ref="DW102:DW127"/>
    <mergeCell ref="DX102:DX127"/>
    <mergeCell ref="DO102:DO127"/>
    <mergeCell ref="DP102:DP127"/>
    <mergeCell ref="DQ102:DQ127"/>
    <mergeCell ref="DR102:DR127"/>
    <mergeCell ref="DS102:DS127"/>
    <mergeCell ref="DJ102:DJ127"/>
    <mergeCell ref="DK102:DK127"/>
    <mergeCell ref="DL102:DL127"/>
    <mergeCell ref="DM102:DM127"/>
    <mergeCell ref="DN102:DN127"/>
    <mergeCell ref="DE102:DE127"/>
    <mergeCell ref="DF102:DF127"/>
    <mergeCell ref="DG102:DG127"/>
    <mergeCell ref="DH102:DH127"/>
    <mergeCell ref="DI102:DI127"/>
    <mergeCell ref="CZ102:CZ127"/>
    <mergeCell ref="DA102:DA127"/>
    <mergeCell ref="DB102:DB127"/>
    <mergeCell ref="DC102:DC127"/>
    <mergeCell ref="DD102:DD127"/>
    <mergeCell ref="CU102:CU127"/>
    <mergeCell ref="CV102:CV127"/>
    <mergeCell ref="CW102:CW127"/>
    <mergeCell ref="CX102:CX127"/>
    <mergeCell ref="CY102:CY127"/>
    <mergeCell ref="CP102:CP127"/>
    <mergeCell ref="CQ102:CQ127"/>
    <mergeCell ref="CR102:CR127"/>
    <mergeCell ref="CS102:CS127"/>
    <mergeCell ref="CT102:CT127"/>
    <mergeCell ref="CK102:CK127"/>
    <mergeCell ref="CL102:CL127"/>
    <mergeCell ref="CM102:CM127"/>
    <mergeCell ref="CN102:CN127"/>
    <mergeCell ref="CO102:CO127"/>
    <mergeCell ref="CF102:CF127"/>
    <mergeCell ref="CG102:CG127"/>
    <mergeCell ref="CH102:CH127"/>
    <mergeCell ref="CI102:CI127"/>
    <mergeCell ref="CJ102:CJ127"/>
    <mergeCell ref="CA102:CA127"/>
    <mergeCell ref="CB102:CB127"/>
    <mergeCell ref="CC102:CC127"/>
    <mergeCell ref="CD102:CD127"/>
    <mergeCell ref="CE102:CE127"/>
    <mergeCell ref="BV102:BV127"/>
    <mergeCell ref="BW102:BW127"/>
    <mergeCell ref="BX102:BX127"/>
    <mergeCell ref="BY102:BY127"/>
    <mergeCell ref="BZ102:BZ127"/>
    <mergeCell ref="BQ102:BQ127"/>
    <mergeCell ref="BR102:BR127"/>
    <mergeCell ref="BS102:BS127"/>
    <mergeCell ref="BT102:BT127"/>
    <mergeCell ref="BU102:BU127"/>
    <mergeCell ref="BL102:BL127"/>
    <mergeCell ref="BM102:BM127"/>
    <mergeCell ref="BN102:BN127"/>
    <mergeCell ref="BO102:BO127"/>
    <mergeCell ref="BP102:BP127"/>
    <mergeCell ref="BH102:BH127"/>
    <mergeCell ref="BI102:BI127"/>
    <mergeCell ref="BJ102:BJ127"/>
    <mergeCell ref="BK102:BK127"/>
    <mergeCell ref="BB102:BB127"/>
    <mergeCell ref="BC102:BC127"/>
    <mergeCell ref="BD102:BD127"/>
    <mergeCell ref="BE102:BE127"/>
    <mergeCell ref="BF102:BF127"/>
    <mergeCell ref="AY102:AY127"/>
    <mergeCell ref="AZ102:AZ127"/>
    <mergeCell ref="BA102:BA127"/>
    <mergeCell ref="AR102:AR127"/>
    <mergeCell ref="AS102:AS127"/>
    <mergeCell ref="AT102:AT127"/>
    <mergeCell ref="AU102:AU127"/>
    <mergeCell ref="AV102:AV127"/>
    <mergeCell ref="BG102:BG127"/>
    <mergeCell ref="AP102:AP127"/>
    <mergeCell ref="AQ102:AQ127"/>
    <mergeCell ref="AH102:AH127"/>
    <mergeCell ref="AI102:AI127"/>
    <mergeCell ref="AJ102:AJ127"/>
    <mergeCell ref="AK102:AK127"/>
    <mergeCell ref="AL102:AL127"/>
    <mergeCell ref="AW102:AW127"/>
    <mergeCell ref="AX102:AX127"/>
    <mergeCell ref="AG102:AG127"/>
    <mergeCell ref="X102:X127"/>
    <mergeCell ref="Y102:Y127"/>
    <mergeCell ref="Z102:Z127"/>
    <mergeCell ref="AA102:AA127"/>
    <mergeCell ref="AB102:AB127"/>
    <mergeCell ref="AM102:AM127"/>
    <mergeCell ref="AN102:AN127"/>
    <mergeCell ref="AO102:AO127"/>
    <mergeCell ref="T102:T127"/>
    <mergeCell ref="U102:U127"/>
    <mergeCell ref="V102:V127"/>
    <mergeCell ref="W102:W127"/>
    <mergeCell ref="AC102:AC127"/>
    <mergeCell ref="AD102:AD127"/>
    <mergeCell ref="AE102:AE127"/>
    <mergeCell ref="AF102:AF127"/>
    <mergeCell ref="B103:C103"/>
  </mergeCells>
  <phoneticPr fontId="13" type="noConversion"/>
  <conditionalFormatting sqref="E10:SJ10">
    <cfRule type="expression" dxfId="665" priority="37">
      <formula>E7="Rejected"</formula>
    </cfRule>
    <cfRule type="expression" dxfId="664" priority="38">
      <formula>E7="Pending Approval"</formula>
    </cfRule>
    <cfRule type="expression" dxfId="663" priority="39">
      <formula>E7="New"</formula>
    </cfRule>
    <cfRule type="expression" dxfId="662" priority="40">
      <formula>E7="Approved"</formula>
    </cfRule>
  </conditionalFormatting>
  <pageMargins left="0.7" right="0.7" top="0.75" bottom="0.75" header="0.3" footer="0.3"/>
  <pageSetup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F7301D68-584E-48EF-A9AA-2120F0C6923F}">
          <x14:formula1>
            <xm:f>'Graph Data'!$K$65:$K$124</xm:f>
          </x14:formula1>
          <xm:sqref>E9:SJ9 B107</xm:sqref>
        </x14:dataValidation>
        <x14:dataValidation type="list" allowBlank="1" showInputMessage="1" showErrorMessage="1" xr:uid="{02030A07-4F50-4C0A-995D-F6B2779241F7}">
          <x14:formula1>
            <xm:f>'Graph Data'!$M$65:$M$68</xm:f>
          </x14:formula1>
          <xm:sqref>E7:SJ7</xm:sqref>
        </x14:dataValidation>
        <x14:dataValidation type="list" allowBlank="1" showInputMessage="1" showErrorMessage="1" xr:uid="{42DAA746-3757-4CCB-B992-CA1756C12F71}">
          <x14:formula1>
            <xm:f>'Graph Data'!$L$65:$L$164</xm:f>
          </x14:formula1>
          <xm:sqref>E8:SJ8</xm:sqref>
        </x14:dataValidation>
        <x14:dataValidation type="list" allowBlank="1" showInputMessage="1" showErrorMessage="1" xr:uid="{E2A02BE8-9B59-4C30-A954-16305D73DEB9}">
          <x14:formula1>
            <xm:f>'Graph Data'!$M$81:$M$101</xm:f>
          </x14:formula1>
          <xm:sqref>E7:SJ7</xm:sqref>
        </x14:dataValidation>
        <x14:dataValidation type="list" allowBlank="1" showInputMessage="1" showErrorMessage="1" xr:uid="{477DF81A-5BB2-4740-877A-33C9F82961E5}">
          <x14:formula1>
            <xm:f>'Graph Data'!$N$108:$N$158</xm:f>
          </x14:formula1>
          <xm:sqref>E5:SJ5</xm:sqref>
        </x14:dataValidation>
        <x14:dataValidation type="list" allowBlank="1" showInputMessage="1" showErrorMessage="1" xr:uid="{C0CFAA96-7C78-486D-A5F0-317FE1263708}">
          <x14:formula1>
            <xm:f>IF('Summary Sheet'!$E$25="Yes",'Change Order Submission Form'!$N$13:$N$19,'Change Order Submission Form'!$O$14:$O$18)</xm:f>
          </x14:formula1>
          <xm:sqref>E4:SJ4</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92D050"/>
  </sheetPr>
  <dimension ref="B1:R670"/>
  <sheetViews>
    <sheetView showGridLines="0" tabSelected="1" view="pageLayout" zoomScaleNormal="100" zoomScaleSheetLayoutView="90" workbookViewId="0">
      <selection activeCell="G1" sqref="G1"/>
    </sheetView>
  </sheetViews>
  <sheetFormatPr defaultColWidth="9.140625" defaultRowHeight="12.75" x14ac:dyDescent="0.25"/>
  <cols>
    <col min="1" max="1" width="1.85546875" style="64" customWidth="1"/>
    <col min="2" max="2" width="4.5703125" style="64" customWidth="1"/>
    <col min="3" max="3" width="21.140625" style="64" customWidth="1"/>
    <col min="4" max="4" width="18.140625" style="64" customWidth="1"/>
    <col min="5" max="5" width="8.28515625" style="64" customWidth="1"/>
    <col min="6" max="6" width="12" style="64" customWidth="1"/>
    <col min="7" max="7" width="16.140625" style="64" customWidth="1"/>
    <col min="8" max="8" width="5.28515625" style="64" customWidth="1"/>
    <col min="9" max="9" width="8.85546875" style="64" customWidth="1"/>
    <col min="10" max="10" width="9.140625" style="64" customWidth="1"/>
    <col min="11" max="11" width="9.85546875" style="64" customWidth="1"/>
    <col min="12" max="12" width="9.140625" style="64" hidden="1" customWidth="1"/>
    <col min="13" max="13" width="8.42578125" style="64" customWidth="1"/>
    <col min="14" max="14" width="9.85546875" style="64" customWidth="1"/>
    <col min="15" max="15" width="8.28515625" style="64" customWidth="1"/>
    <col min="16" max="17" width="9.140625" style="64" customWidth="1"/>
    <col min="18" max="18" width="22.42578125" style="64" customWidth="1"/>
    <col min="19" max="16384" width="9.140625" style="64"/>
  </cols>
  <sheetData>
    <row r="1" spans="2:18" ht="21" customHeight="1" x14ac:dyDescent="0.3">
      <c r="B1" s="364"/>
      <c r="C1" s="364"/>
      <c r="D1" s="364"/>
      <c r="E1" s="63"/>
      <c r="G1" s="348" t="s">
        <v>957</v>
      </c>
      <c r="H1" s="347"/>
      <c r="I1" s="347"/>
      <c r="J1" s="347"/>
      <c r="K1" s="347"/>
      <c r="L1" s="347"/>
      <c r="M1" s="347"/>
      <c r="N1" s="347"/>
      <c r="R1" s="124" t="s">
        <v>925</v>
      </c>
    </row>
    <row r="2" spans="2:18" ht="13.5" customHeight="1" x14ac:dyDescent="0.25">
      <c r="B2" s="364"/>
      <c r="C2" s="364"/>
      <c r="D2" s="364"/>
      <c r="E2" s="63"/>
    </row>
    <row r="3" spans="2:18" ht="12" customHeight="1" x14ac:dyDescent="0.25">
      <c r="B3" s="343" t="s">
        <v>17</v>
      </c>
      <c r="C3" s="343"/>
      <c r="D3" s="343"/>
      <c r="E3" s="343"/>
      <c r="F3" s="343"/>
      <c r="G3" s="343"/>
      <c r="H3" s="343"/>
      <c r="I3" s="343"/>
      <c r="J3" s="343"/>
      <c r="K3" s="343"/>
      <c r="L3" s="343"/>
      <c r="M3" s="343"/>
      <c r="N3" s="343"/>
      <c r="O3" s="344"/>
      <c r="P3" s="344"/>
      <c r="Q3" s="344"/>
      <c r="R3" s="344"/>
    </row>
    <row r="4" spans="2:18" ht="11.25" customHeight="1" x14ac:dyDescent="0.25">
      <c r="B4" s="366" t="s">
        <v>959</v>
      </c>
      <c r="C4" s="366"/>
      <c r="D4" s="341" t="s">
        <v>928</v>
      </c>
      <c r="E4" s="121"/>
      <c r="F4" s="121"/>
      <c r="G4" s="121"/>
    </row>
    <row r="5" spans="2:18" ht="11.25" customHeight="1" x14ac:dyDescent="0.25">
      <c r="B5" s="366"/>
      <c r="C5" s="366"/>
      <c r="D5" s="342" t="s">
        <v>951</v>
      </c>
      <c r="E5" s="349"/>
      <c r="F5" s="349"/>
      <c r="G5" s="350"/>
      <c r="I5" s="358" t="s">
        <v>32</v>
      </c>
      <c r="J5" s="358"/>
      <c r="K5" s="358"/>
      <c r="L5" s="358"/>
      <c r="M5" s="358"/>
      <c r="N5" s="358"/>
      <c r="O5" s="358"/>
      <c r="P5" s="358"/>
      <c r="Q5" s="358"/>
      <c r="R5" s="358"/>
    </row>
    <row r="6" spans="2:18" ht="11.25" customHeight="1" x14ac:dyDescent="0.25">
      <c r="B6" s="366"/>
      <c r="C6" s="366"/>
      <c r="D6" s="342" t="s">
        <v>929</v>
      </c>
      <c r="E6" s="349"/>
      <c r="F6" s="349"/>
      <c r="G6" s="350"/>
      <c r="I6" s="363" t="s">
        <v>950</v>
      </c>
      <c r="J6" s="363"/>
      <c r="K6" s="363"/>
      <c r="L6" s="363"/>
      <c r="M6" s="363"/>
      <c r="N6" s="363"/>
      <c r="O6" s="363"/>
      <c r="P6" s="363"/>
      <c r="Q6" s="363"/>
      <c r="R6" s="363"/>
    </row>
    <row r="7" spans="2:18" ht="11.25" customHeight="1" x14ac:dyDescent="0.25">
      <c r="B7" s="366"/>
      <c r="C7" s="366"/>
      <c r="D7" s="342" t="s">
        <v>952</v>
      </c>
      <c r="E7" s="349"/>
      <c r="F7" s="349"/>
      <c r="G7" s="350"/>
      <c r="I7" s="363"/>
      <c r="J7" s="363"/>
      <c r="K7" s="363"/>
      <c r="L7" s="363"/>
      <c r="M7" s="363"/>
      <c r="N7" s="363"/>
      <c r="O7" s="363"/>
      <c r="P7" s="363"/>
      <c r="Q7" s="363"/>
      <c r="R7" s="363"/>
    </row>
    <row r="8" spans="2:18" ht="15" customHeight="1" x14ac:dyDescent="0.25">
      <c r="B8" s="362"/>
      <c r="C8" s="362"/>
      <c r="D8" s="121"/>
      <c r="E8" s="121"/>
      <c r="F8" s="121"/>
      <c r="G8" s="121"/>
      <c r="I8" s="363"/>
      <c r="J8" s="363"/>
      <c r="K8" s="363"/>
      <c r="L8" s="363"/>
      <c r="M8" s="363"/>
      <c r="N8" s="363"/>
      <c r="O8" s="363"/>
      <c r="P8" s="363"/>
      <c r="Q8" s="363"/>
      <c r="R8" s="363"/>
    </row>
    <row r="9" spans="2:18" ht="14.25" customHeight="1" x14ac:dyDescent="0.25">
      <c r="B9" s="362" t="s">
        <v>5</v>
      </c>
      <c r="C9" s="362"/>
      <c r="D9" s="359" t="s">
        <v>961</v>
      </c>
      <c r="E9" s="360"/>
      <c r="F9" s="360"/>
      <c r="G9" s="361"/>
      <c r="I9" s="363"/>
      <c r="J9" s="363"/>
      <c r="K9" s="363"/>
      <c r="L9" s="363"/>
      <c r="M9" s="363"/>
      <c r="N9" s="363"/>
      <c r="O9" s="363"/>
      <c r="P9" s="363"/>
      <c r="Q9" s="363"/>
      <c r="R9" s="363"/>
    </row>
    <row r="10" spans="2:18" ht="12.75" customHeight="1" x14ac:dyDescent="0.25">
      <c r="B10" s="362"/>
      <c r="C10" s="362"/>
      <c r="D10" s="121"/>
      <c r="E10" s="121"/>
      <c r="F10" s="121"/>
      <c r="G10" s="121"/>
      <c r="I10" s="363"/>
      <c r="J10" s="363"/>
      <c r="K10" s="363"/>
      <c r="L10" s="363"/>
      <c r="M10" s="363"/>
      <c r="N10" s="363"/>
      <c r="O10" s="363"/>
      <c r="P10" s="363"/>
      <c r="Q10" s="363"/>
      <c r="R10" s="363"/>
    </row>
    <row r="11" spans="2:18" ht="14.25" customHeight="1" x14ac:dyDescent="0.25">
      <c r="B11" s="366" t="s">
        <v>960</v>
      </c>
      <c r="C11" s="366"/>
      <c r="D11" s="359" t="s">
        <v>930</v>
      </c>
      <c r="E11" s="360"/>
      <c r="F11" s="360"/>
      <c r="G11" s="361"/>
      <c r="I11" s="363"/>
      <c r="J11" s="363"/>
      <c r="K11" s="363"/>
      <c r="L11" s="363"/>
      <c r="M11" s="363"/>
      <c r="N11" s="363"/>
      <c r="O11" s="363"/>
      <c r="P11" s="363"/>
      <c r="Q11" s="363"/>
      <c r="R11" s="363"/>
    </row>
    <row r="12" spans="2:18" ht="14.25" customHeight="1" x14ac:dyDescent="0.25">
      <c r="B12" s="366"/>
      <c r="C12" s="366"/>
      <c r="D12" s="359" t="s">
        <v>953</v>
      </c>
      <c r="E12" s="360"/>
      <c r="F12" s="360"/>
      <c r="G12" s="361"/>
      <c r="I12" s="363"/>
      <c r="J12" s="363"/>
      <c r="K12" s="363"/>
      <c r="L12" s="363"/>
      <c r="M12" s="363"/>
      <c r="N12" s="363"/>
      <c r="O12" s="363"/>
      <c r="P12" s="363"/>
      <c r="Q12" s="363"/>
      <c r="R12" s="363"/>
    </row>
    <row r="13" spans="2:18" ht="14.25" customHeight="1" x14ac:dyDescent="0.25">
      <c r="B13" s="366"/>
      <c r="C13" s="366"/>
      <c r="D13" s="359" t="s">
        <v>952</v>
      </c>
      <c r="E13" s="360"/>
      <c r="F13" s="360"/>
      <c r="G13" s="361"/>
      <c r="I13" s="363"/>
      <c r="J13" s="363"/>
      <c r="K13" s="363"/>
      <c r="L13" s="363"/>
      <c r="M13" s="363"/>
      <c r="N13" s="363"/>
      <c r="O13" s="363"/>
      <c r="P13" s="363"/>
      <c r="Q13" s="363"/>
      <c r="R13" s="363"/>
    </row>
    <row r="14" spans="2:18" ht="12" customHeight="1" x14ac:dyDescent="0.25">
      <c r="B14" s="362"/>
      <c r="C14" s="362"/>
      <c r="D14" s="121"/>
      <c r="E14" s="121"/>
      <c r="F14" s="121"/>
      <c r="G14" s="121"/>
      <c r="I14" s="363"/>
      <c r="J14" s="363"/>
      <c r="K14" s="363"/>
      <c r="L14" s="363"/>
      <c r="M14" s="363"/>
      <c r="N14" s="363"/>
      <c r="O14" s="363"/>
      <c r="P14" s="363"/>
      <c r="Q14" s="363"/>
      <c r="R14" s="363"/>
    </row>
    <row r="15" spans="2:18" ht="14.25" customHeight="1" x14ac:dyDescent="0.25">
      <c r="B15" s="362" t="s">
        <v>7</v>
      </c>
      <c r="C15" s="362"/>
      <c r="D15" s="359"/>
      <c r="E15" s="360"/>
      <c r="F15" s="360"/>
      <c r="G15" s="361"/>
      <c r="I15" s="363"/>
      <c r="J15" s="363"/>
      <c r="K15" s="363"/>
      <c r="L15" s="363"/>
      <c r="M15" s="363"/>
      <c r="N15" s="363"/>
      <c r="O15" s="363"/>
      <c r="P15" s="363"/>
      <c r="Q15" s="363"/>
      <c r="R15" s="363"/>
    </row>
    <row r="16" spans="2:18" ht="14.25" customHeight="1" x14ac:dyDescent="0.25">
      <c r="B16" s="362" t="s">
        <v>9</v>
      </c>
      <c r="C16" s="362"/>
      <c r="D16" s="359"/>
      <c r="E16" s="360"/>
      <c r="F16" s="360"/>
      <c r="G16" s="361"/>
      <c r="I16" s="363"/>
      <c r="J16" s="363"/>
      <c r="K16" s="363"/>
      <c r="L16" s="363"/>
      <c r="M16" s="363"/>
      <c r="N16" s="363"/>
      <c r="O16" s="363"/>
      <c r="P16" s="363"/>
      <c r="Q16" s="363"/>
      <c r="R16" s="363"/>
    </row>
    <row r="17" spans="2:18" ht="12" customHeight="1" x14ac:dyDescent="0.25">
      <c r="B17" s="362" t="s">
        <v>8</v>
      </c>
      <c r="C17" s="362"/>
      <c r="D17" s="359"/>
      <c r="E17" s="360"/>
      <c r="F17" s="360"/>
      <c r="G17" s="361"/>
      <c r="I17" s="363"/>
      <c r="J17" s="363"/>
      <c r="K17" s="363"/>
      <c r="L17" s="363"/>
      <c r="M17" s="363"/>
      <c r="N17" s="363"/>
      <c r="O17" s="363"/>
      <c r="P17" s="363"/>
      <c r="Q17" s="363"/>
      <c r="R17" s="363"/>
    </row>
    <row r="18" spans="2:18" ht="11.25" customHeight="1" x14ac:dyDescent="0.25">
      <c r="B18" s="362"/>
      <c r="C18" s="362"/>
      <c r="D18" s="68"/>
      <c r="E18" s="68"/>
      <c r="F18" s="298" t="s">
        <v>333</v>
      </c>
      <c r="G18" s="298" t="s">
        <v>334</v>
      </c>
      <c r="H18" s="68"/>
      <c r="I18" s="363"/>
      <c r="J18" s="363"/>
      <c r="K18" s="363"/>
      <c r="L18" s="363"/>
      <c r="M18" s="363"/>
      <c r="N18" s="363"/>
      <c r="O18" s="363"/>
      <c r="P18" s="363"/>
      <c r="Q18" s="363"/>
      <c r="R18" s="363"/>
    </row>
    <row r="19" spans="2:18" ht="14.25" customHeight="1" x14ac:dyDescent="0.25">
      <c r="B19" s="67" t="s">
        <v>910</v>
      </c>
      <c r="C19" s="67"/>
      <c r="D19" s="262"/>
      <c r="E19" s="68"/>
      <c r="F19" s="68"/>
      <c r="G19" s="68"/>
      <c r="H19" s="68"/>
      <c r="I19" s="363"/>
      <c r="J19" s="363"/>
      <c r="K19" s="363"/>
      <c r="L19" s="363"/>
      <c r="M19" s="363"/>
      <c r="N19" s="363"/>
      <c r="O19" s="363"/>
      <c r="P19" s="363"/>
      <c r="Q19" s="363"/>
      <c r="R19" s="363"/>
    </row>
    <row r="20" spans="2:18" ht="14.25" customHeight="1" x14ac:dyDescent="0.25">
      <c r="B20" s="67" t="s">
        <v>907</v>
      </c>
      <c r="C20" s="67"/>
      <c r="D20" s="319"/>
      <c r="E20" s="68"/>
      <c r="F20" s="68"/>
      <c r="G20" s="68"/>
      <c r="H20" s="68"/>
      <c r="I20" s="363"/>
      <c r="J20" s="363"/>
      <c r="K20" s="363"/>
      <c r="L20" s="363"/>
      <c r="M20" s="363"/>
      <c r="N20" s="363"/>
      <c r="O20" s="363"/>
      <c r="P20" s="363"/>
      <c r="Q20" s="363"/>
      <c r="R20" s="363"/>
    </row>
    <row r="21" spans="2:18" ht="14.25" customHeight="1" x14ac:dyDescent="0.25">
      <c r="B21" s="67" t="s">
        <v>908</v>
      </c>
      <c r="C21" s="67"/>
      <c r="D21" s="319"/>
      <c r="E21" s="68"/>
      <c r="F21" s="68"/>
      <c r="G21" s="68"/>
      <c r="H21" s="68"/>
      <c r="I21" s="363"/>
      <c r="J21" s="363"/>
      <c r="K21" s="363"/>
      <c r="L21" s="363"/>
      <c r="M21" s="363"/>
      <c r="N21" s="363"/>
      <c r="O21" s="363"/>
      <c r="P21" s="363"/>
      <c r="Q21" s="363"/>
      <c r="R21" s="363"/>
    </row>
    <row r="22" spans="2:18" ht="14.25" customHeight="1" x14ac:dyDescent="0.25">
      <c r="B22" s="326" t="s">
        <v>909</v>
      </c>
      <c r="C22" s="67"/>
      <c r="D22" s="320">
        <f>D21+'Graph Data'!M108</f>
        <v>0</v>
      </c>
      <c r="E22" s="68"/>
      <c r="F22" s="68"/>
      <c r="G22" s="68"/>
      <c r="H22" s="68"/>
      <c r="I22" s="363"/>
      <c r="J22" s="363"/>
      <c r="K22" s="363"/>
      <c r="L22" s="363"/>
      <c r="M22" s="363"/>
      <c r="N22" s="363"/>
      <c r="O22" s="363"/>
      <c r="P22" s="363"/>
      <c r="Q22" s="363"/>
      <c r="R22" s="363"/>
    </row>
    <row r="23" spans="2:18" ht="14.25" customHeight="1" x14ac:dyDescent="0.25">
      <c r="B23" s="326" t="s">
        <v>955</v>
      </c>
      <c r="C23" s="67"/>
      <c r="D23" s="320"/>
      <c r="E23" s="353" t="s">
        <v>333</v>
      </c>
      <c r="F23" s="352" t="s">
        <v>956</v>
      </c>
      <c r="G23" s="354">
        <v>0.05</v>
      </c>
      <c r="H23" s="68"/>
      <c r="I23" s="363"/>
      <c r="J23" s="363"/>
      <c r="K23" s="363"/>
      <c r="L23" s="363"/>
      <c r="M23" s="363"/>
      <c r="N23" s="363"/>
      <c r="O23" s="363"/>
      <c r="P23" s="363"/>
      <c r="Q23" s="363"/>
      <c r="R23" s="363"/>
    </row>
    <row r="24" spans="2:18" ht="9" customHeight="1" x14ac:dyDescent="0.25">
      <c r="B24" s="355"/>
      <c r="C24" s="355"/>
      <c r="D24" s="356"/>
      <c r="E24" s="352"/>
      <c r="F24" s="352"/>
      <c r="G24" s="352"/>
      <c r="H24" s="68"/>
      <c r="I24" s="363"/>
      <c r="J24" s="363"/>
      <c r="K24" s="363"/>
      <c r="L24" s="363"/>
      <c r="M24" s="363"/>
      <c r="N24" s="363"/>
      <c r="O24" s="363"/>
      <c r="P24" s="363"/>
      <c r="Q24" s="363"/>
      <c r="R24" s="363"/>
    </row>
    <row r="25" spans="2:18" ht="14.25" customHeight="1" x14ac:dyDescent="0.25">
      <c r="B25" s="326" t="s">
        <v>926</v>
      </c>
      <c r="C25" s="326"/>
      <c r="D25" s="357"/>
      <c r="E25" s="323" t="s">
        <v>333</v>
      </c>
      <c r="F25" s="68"/>
      <c r="G25" s="68"/>
      <c r="H25" s="68"/>
      <c r="I25" s="363"/>
      <c r="J25" s="363"/>
      <c r="K25" s="363"/>
      <c r="L25" s="363"/>
      <c r="M25" s="363"/>
      <c r="N25" s="363"/>
      <c r="O25" s="363"/>
      <c r="P25" s="363"/>
      <c r="Q25" s="363"/>
      <c r="R25" s="363"/>
    </row>
    <row r="26" spans="2:18" ht="6.75" customHeight="1" x14ac:dyDescent="0.25">
      <c r="B26" s="355"/>
      <c r="C26" s="355"/>
      <c r="D26" s="298"/>
      <c r="E26" s="68"/>
      <c r="F26" s="68"/>
      <c r="G26" s="68"/>
      <c r="H26" s="68"/>
      <c r="I26" s="363"/>
      <c r="J26" s="363"/>
      <c r="K26" s="363"/>
      <c r="L26" s="363"/>
      <c r="M26" s="363"/>
      <c r="N26" s="363"/>
      <c r="O26" s="363"/>
      <c r="P26" s="363"/>
      <c r="Q26" s="363"/>
      <c r="R26" s="363"/>
    </row>
    <row r="27" spans="2:18" ht="12" customHeight="1" x14ac:dyDescent="0.25">
      <c r="B27" s="65" t="s">
        <v>20</v>
      </c>
      <c r="C27" s="66"/>
      <c r="D27" s="66"/>
      <c r="E27" s="66"/>
      <c r="F27" s="66"/>
      <c r="G27" s="66"/>
      <c r="H27" s="69"/>
      <c r="I27" s="363"/>
      <c r="J27" s="363"/>
      <c r="K27" s="363"/>
      <c r="L27" s="363"/>
      <c r="M27" s="363"/>
      <c r="N27" s="363"/>
      <c r="O27" s="363"/>
      <c r="P27" s="363"/>
      <c r="Q27" s="363"/>
      <c r="R27" s="363"/>
    </row>
    <row r="28" spans="2:18" ht="12" customHeight="1" x14ac:dyDescent="0.25">
      <c r="B28" s="20" t="s">
        <v>21</v>
      </c>
      <c r="C28" s="310"/>
      <c r="D28" s="365">
        <f>'Pay App 1'!D149</f>
        <v>0</v>
      </c>
      <c r="E28" s="365"/>
      <c r="F28" s="365"/>
      <c r="G28" s="365"/>
      <c r="H28" s="70"/>
      <c r="I28" s="363"/>
      <c r="J28" s="363"/>
      <c r="K28" s="363"/>
      <c r="L28" s="363"/>
      <c r="M28" s="363"/>
      <c r="N28" s="363"/>
      <c r="O28" s="363"/>
      <c r="P28" s="363"/>
      <c r="Q28" s="363"/>
      <c r="R28" s="363"/>
    </row>
    <row r="29" spans="2:18" ht="12" customHeight="1" x14ac:dyDescent="0.25">
      <c r="B29" s="20" t="s">
        <v>919</v>
      </c>
      <c r="C29" s="310"/>
      <c r="D29" s="311"/>
      <c r="E29" s="311"/>
      <c r="F29" s="311"/>
      <c r="G29" s="311">
        <f>SUMIFS('Graph Data'!G2:G501,'Graph Data'!C2:C501,"=BID PACKAGE",'Graph Data'!B2:B501,"Approved")</f>
        <v>0</v>
      </c>
      <c r="H29" s="70"/>
      <c r="I29" s="363"/>
      <c r="J29" s="363"/>
      <c r="K29" s="363"/>
      <c r="L29" s="363"/>
      <c r="M29" s="363"/>
      <c r="N29" s="363"/>
      <c r="O29" s="363"/>
      <c r="P29" s="363"/>
      <c r="Q29" s="363"/>
      <c r="R29" s="363"/>
    </row>
    <row r="30" spans="2:18" ht="12" customHeight="1" x14ac:dyDescent="0.25">
      <c r="B30" s="327" t="str">
        <f>IF(E25="Yes","Open GMP",IF(E25="No","Final GMP","GMP"))</f>
        <v>Open GMP</v>
      </c>
      <c r="C30" s="328"/>
      <c r="D30" s="327"/>
      <c r="E30" s="329"/>
      <c r="F30" s="329"/>
      <c r="G30" s="329">
        <f>SUM(D28:G29)</f>
        <v>0</v>
      </c>
      <c r="H30" s="70"/>
      <c r="I30" s="363"/>
      <c r="J30" s="363"/>
      <c r="K30" s="363"/>
      <c r="L30" s="363"/>
      <c r="M30" s="363"/>
      <c r="N30" s="363"/>
      <c r="O30" s="363"/>
      <c r="P30" s="363"/>
      <c r="Q30" s="363"/>
      <c r="R30" s="363"/>
    </row>
    <row r="31" spans="2:18" ht="12" customHeight="1" x14ac:dyDescent="0.25">
      <c r="B31" s="20" t="s">
        <v>917</v>
      </c>
      <c r="C31" s="310"/>
      <c r="D31" s="312"/>
      <c r="E31" s="312"/>
      <c r="F31" s="312"/>
      <c r="G31" s="312">
        <f>SUM('Graph Data'!Q276:BX276)</f>
        <v>0</v>
      </c>
      <c r="H31" s="70"/>
      <c r="I31" s="363"/>
      <c r="J31" s="363"/>
      <c r="K31" s="363"/>
      <c r="L31" s="363"/>
      <c r="M31" s="363"/>
      <c r="N31" s="363"/>
      <c r="O31" s="363"/>
      <c r="P31" s="363"/>
      <c r="Q31" s="363"/>
      <c r="R31" s="363"/>
    </row>
    <row r="32" spans="2:18" ht="12" customHeight="1" thickBot="1" x14ac:dyDescent="0.3">
      <c r="B32" s="316" t="s">
        <v>16</v>
      </c>
      <c r="C32" s="317"/>
      <c r="D32" s="318"/>
      <c r="E32" s="318"/>
      <c r="F32" s="318"/>
      <c r="G32" s="318">
        <f>SUM(D28:G29,G31)</f>
        <v>0</v>
      </c>
      <c r="H32" s="70"/>
      <c r="I32" s="363"/>
      <c r="J32" s="363"/>
      <c r="K32" s="363"/>
      <c r="L32" s="363"/>
      <c r="M32" s="363"/>
      <c r="N32" s="363"/>
      <c r="O32" s="363"/>
      <c r="P32" s="363"/>
      <c r="Q32" s="363"/>
      <c r="R32" s="363"/>
    </row>
    <row r="33" spans="2:18" ht="6" customHeight="1" x14ac:dyDescent="0.25">
      <c r="B33" s="67"/>
      <c r="C33" s="120"/>
      <c r="D33" s="121"/>
      <c r="E33" s="122"/>
      <c r="F33" s="122"/>
      <c r="G33" s="122"/>
      <c r="H33" s="70"/>
      <c r="I33" s="363"/>
      <c r="J33" s="363"/>
      <c r="K33" s="363"/>
      <c r="L33" s="363"/>
      <c r="M33" s="363"/>
      <c r="N33" s="363"/>
      <c r="O33" s="363"/>
      <c r="P33" s="363"/>
      <c r="Q33" s="363"/>
      <c r="R33" s="363"/>
    </row>
    <row r="34" spans="2:18" ht="12" customHeight="1" x14ac:dyDescent="0.25">
      <c r="B34" s="20" t="s">
        <v>18</v>
      </c>
      <c r="C34" s="310"/>
      <c r="D34" s="123"/>
      <c r="E34" s="313"/>
      <c r="F34" s="313"/>
      <c r="G34" s="312">
        <f>SUM('Pay App 1:Pay App 60'!H37)</f>
        <v>0</v>
      </c>
      <c r="H34" s="70"/>
      <c r="I34" s="363"/>
      <c r="J34" s="363"/>
      <c r="K34" s="363"/>
      <c r="L34" s="363"/>
      <c r="M34" s="363"/>
      <c r="N34" s="363"/>
      <c r="O34" s="363"/>
      <c r="P34" s="363"/>
      <c r="Q34" s="363"/>
      <c r="R34" s="363"/>
    </row>
    <row r="35" spans="2:18" ht="12" customHeight="1" x14ac:dyDescent="0.25">
      <c r="B35" s="20" t="s">
        <v>958</v>
      </c>
      <c r="C35" s="310"/>
      <c r="D35" s="123"/>
      <c r="E35" s="313"/>
      <c r="F35" s="313"/>
      <c r="G35" s="312">
        <f>SUM('Pay App 1:Pay App 60'!G41)</f>
        <v>0</v>
      </c>
      <c r="H35" s="70"/>
      <c r="I35" s="363"/>
      <c r="J35" s="363"/>
      <c r="K35" s="363"/>
      <c r="L35" s="363"/>
      <c r="M35" s="363"/>
      <c r="N35" s="363"/>
      <c r="O35" s="363"/>
      <c r="P35" s="363"/>
      <c r="Q35" s="363"/>
      <c r="R35" s="363"/>
    </row>
    <row r="36" spans="2:18" ht="12" customHeight="1" x14ac:dyDescent="0.25">
      <c r="B36" s="20" t="s">
        <v>19</v>
      </c>
      <c r="C36" s="310"/>
      <c r="D36" s="123"/>
      <c r="E36" s="313"/>
      <c r="F36" s="313"/>
      <c r="G36" s="312">
        <f>G34-G35</f>
        <v>0</v>
      </c>
      <c r="H36" s="70"/>
      <c r="I36" s="363"/>
      <c r="J36" s="363"/>
      <c r="K36" s="363"/>
      <c r="L36" s="363"/>
      <c r="M36" s="363"/>
      <c r="N36" s="363"/>
      <c r="O36" s="363"/>
      <c r="P36" s="363"/>
      <c r="Q36" s="363"/>
      <c r="R36" s="363"/>
    </row>
    <row r="37" spans="2:18" ht="6" customHeight="1" x14ac:dyDescent="0.25">
      <c r="B37" s="7"/>
      <c r="C37" s="314"/>
      <c r="D37" s="123"/>
      <c r="E37" s="313"/>
      <c r="F37" s="313"/>
      <c r="G37" s="313"/>
      <c r="H37" s="70"/>
      <c r="I37" s="363"/>
      <c r="J37" s="363"/>
      <c r="K37" s="363"/>
      <c r="L37" s="363"/>
      <c r="M37" s="363"/>
      <c r="N37" s="363"/>
      <c r="O37" s="363"/>
      <c r="P37" s="363"/>
      <c r="Q37" s="363"/>
      <c r="R37" s="363"/>
    </row>
    <row r="38" spans="2:18" ht="12" customHeight="1" x14ac:dyDescent="0.25">
      <c r="B38" s="20" t="s">
        <v>129</v>
      </c>
      <c r="C38" s="310"/>
      <c r="D38" s="123"/>
      <c r="E38" s="313"/>
      <c r="F38" s="313"/>
      <c r="G38" s="312">
        <f>G32-G36</f>
        <v>0</v>
      </c>
      <c r="H38" s="70"/>
      <c r="I38" s="363"/>
      <c r="J38" s="363"/>
      <c r="K38" s="363"/>
      <c r="L38" s="363"/>
      <c r="M38" s="363"/>
      <c r="N38" s="363"/>
      <c r="O38" s="363"/>
      <c r="P38" s="363"/>
      <c r="Q38" s="363"/>
      <c r="R38" s="363"/>
    </row>
    <row r="39" spans="2:18" ht="6" customHeight="1" x14ac:dyDescent="0.25">
      <c r="B39" s="20"/>
      <c r="C39" s="310"/>
      <c r="D39" s="123"/>
      <c r="E39" s="313"/>
      <c r="F39" s="313"/>
      <c r="G39" s="313"/>
      <c r="H39" s="70"/>
      <c r="I39" s="363"/>
      <c r="J39" s="363"/>
      <c r="K39" s="363"/>
      <c r="L39" s="363"/>
      <c r="M39" s="363"/>
      <c r="N39" s="363"/>
      <c r="O39" s="363"/>
      <c r="P39" s="363"/>
      <c r="Q39" s="363"/>
      <c r="R39" s="363"/>
    </row>
    <row r="40" spans="2:18" ht="12" customHeight="1" x14ac:dyDescent="0.25">
      <c r="B40" s="20" t="s">
        <v>126</v>
      </c>
      <c r="C40" s="310"/>
      <c r="D40" s="123"/>
      <c r="E40" s="313"/>
      <c r="F40" s="313"/>
      <c r="G40" s="315">
        <f>COUNTIF('Graph Data'!M2:M61,"&gt;0")</f>
        <v>0</v>
      </c>
      <c r="H40" s="70"/>
      <c r="I40" s="69"/>
      <c r="J40" s="69"/>
      <c r="K40" s="69"/>
      <c r="L40" s="69"/>
      <c r="M40" s="69"/>
      <c r="N40" s="69"/>
      <c r="O40" s="69"/>
      <c r="P40" s="69"/>
      <c r="Q40" s="69"/>
      <c r="R40" s="69"/>
    </row>
    <row r="41" spans="2:18" ht="6" customHeight="1" x14ac:dyDescent="0.25">
      <c r="B41" s="68"/>
      <c r="C41" s="68"/>
      <c r="D41" s="68"/>
      <c r="E41" s="68"/>
      <c r="F41" s="68"/>
      <c r="G41" s="68"/>
      <c r="H41" s="68"/>
      <c r="I41" s="72"/>
      <c r="J41" s="72"/>
      <c r="K41" s="72"/>
      <c r="L41" s="72"/>
      <c r="M41" s="72"/>
      <c r="N41" s="72"/>
      <c r="O41" s="72"/>
    </row>
    <row r="42" spans="2:18" x14ac:dyDescent="0.25">
      <c r="B42" s="65" t="s">
        <v>854</v>
      </c>
      <c r="C42" s="66"/>
      <c r="D42" s="66"/>
      <c r="E42" s="66"/>
      <c r="F42" s="66"/>
      <c r="G42" s="66"/>
      <c r="H42" s="66"/>
      <c r="I42" s="66"/>
      <c r="J42" s="66"/>
      <c r="K42" s="66"/>
      <c r="L42" s="66" t="e">
        <f>(#REF!*0.05)-J42</f>
        <v>#REF!</v>
      </c>
      <c r="M42" s="66"/>
      <c r="N42" s="66"/>
      <c r="O42" s="66"/>
      <c r="P42" s="66"/>
      <c r="Q42" s="66"/>
      <c r="R42" s="66"/>
    </row>
    <row r="43" spans="2:18" ht="12.2" customHeight="1" x14ac:dyDescent="0.25">
      <c r="B43" s="67"/>
      <c r="C43" s="67"/>
      <c r="D43" s="67"/>
      <c r="E43" s="67"/>
      <c r="F43" s="67"/>
      <c r="G43" s="67"/>
      <c r="H43" s="67"/>
      <c r="I43" s="67"/>
      <c r="J43" s="67"/>
      <c r="K43" s="67"/>
      <c r="L43" s="67"/>
      <c r="M43" s="67"/>
      <c r="N43" s="67"/>
      <c r="O43" s="67"/>
    </row>
    <row r="44" spans="2:18" ht="12.2" customHeight="1" x14ac:dyDescent="0.25">
      <c r="B44" s="73"/>
      <c r="C44" s="74"/>
      <c r="D44" s="75"/>
      <c r="L44" s="71" t="e">
        <f>(#REF!*0.05)-J44</f>
        <v>#REF!</v>
      </c>
    </row>
    <row r="45" spans="2:18" ht="12.2" customHeight="1" x14ac:dyDescent="0.25">
      <c r="B45" s="68"/>
      <c r="C45" s="75"/>
      <c r="L45" s="71"/>
    </row>
    <row r="46" spans="2:18" ht="12.2" customHeight="1" x14ac:dyDescent="0.25">
      <c r="B46" s="68"/>
      <c r="C46" s="75"/>
      <c r="L46" s="71"/>
    </row>
    <row r="47" spans="2:18" ht="12.2" customHeight="1" x14ac:dyDescent="0.25">
      <c r="B47" s="68"/>
      <c r="C47" s="75"/>
      <c r="L47" s="71"/>
    </row>
    <row r="48" spans="2:18" ht="12.2" customHeight="1" x14ac:dyDescent="0.25">
      <c r="B48" s="68"/>
      <c r="C48" s="75"/>
      <c r="L48" s="71"/>
    </row>
    <row r="49" spans="2:15" ht="7.9" customHeight="1" x14ac:dyDescent="0.25">
      <c r="B49" s="68"/>
      <c r="C49" s="75"/>
      <c r="L49" s="71"/>
    </row>
    <row r="50" spans="2:15" ht="8.4499999999999993" customHeight="1" x14ac:dyDescent="0.25">
      <c r="B50" s="68"/>
      <c r="C50" s="75"/>
      <c r="L50" s="71"/>
    </row>
    <row r="51" spans="2:15" ht="9" customHeight="1" x14ac:dyDescent="0.25">
      <c r="B51" s="68"/>
      <c r="C51" s="75"/>
      <c r="L51" s="71"/>
    </row>
    <row r="52" spans="2:15" ht="9" customHeight="1" x14ac:dyDescent="0.25">
      <c r="B52" s="68"/>
      <c r="C52" s="75"/>
      <c r="L52" s="71"/>
    </row>
    <row r="53" spans="2:15" ht="9.6" customHeight="1" x14ac:dyDescent="0.25">
      <c r="B53" s="68"/>
      <c r="C53" s="75"/>
      <c r="L53" s="71"/>
    </row>
    <row r="54" spans="2:15" ht="7.15" customHeight="1" x14ac:dyDescent="0.25">
      <c r="I54" s="76"/>
      <c r="J54" s="76"/>
      <c r="K54" s="76"/>
      <c r="L54" s="76"/>
      <c r="M54" s="76"/>
      <c r="N54" s="76"/>
    </row>
    <row r="55" spans="2:15" ht="11.45" customHeight="1" x14ac:dyDescent="0.25">
      <c r="I55" s="76"/>
      <c r="J55" s="76"/>
      <c r="K55" s="76"/>
      <c r="L55" s="76"/>
      <c r="M55" s="76"/>
      <c r="N55" s="76"/>
    </row>
    <row r="56" spans="2:15" ht="13.5" customHeight="1" x14ac:dyDescent="0.25">
      <c r="L56" s="71" t="e">
        <f>(#REF!*0.05)-J56</f>
        <v>#REF!</v>
      </c>
    </row>
    <row r="57" spans="2:15" ht="13.5" customHeight="1" x14ac:dyDescent="0.25">
      <c r="L57" s="71" t="e">
        <f>(#REF!*0.05)-J57</f>
        <v>#REF!</v>
      </c>
      <c r="O57" s="77"/>
    </row>
    <row r="58" spans="2:15" ht="12" customHeight="1" x14ac:dyDescent="0.25">
      <c r="B58" s="78"/>
      <c r="L58" s="71" t="e">
        <f>(#REF!*0.05)-J58</f>
        <v>#REF!</v>
      </c>
      <c r="O58" s="77"/>
    </row>
    <row r="59" spans="2:15" x14ac:dyDescent="0.25">
      <c r="L59" s="71" t="e">
        <f>(#REF!*0.05)-J59</f>
        <v>#REF!</v>
      </c>
    </row>
    <row r="60" spans="2:15" x14ac:dyDescent="0.25">
      <c r="L60" s="71" t="e">
        <f>(#REF!*0.05)-J60</f>
        <v>#REF!</v>
      </c>
    </row>
    <row r="61" spans="2:15" x14ac:dyDescent="0.25">
      <c r="L61" s="71" t="e">
        <f>(#REF!*0.05)-J61</f>
        <v>#REF!</v>
      </c>
    </row>
    <row r="62" spans="2:15" x14ac:dyDescent="0.25">
      <c r="L62" s="71" t="e">
        <f>(#REF!*0.05)-J62</f>
        <v>#REF!</v>
      </c>
    </row>
    <row r="63" spans="2:15" x14ac:dyDescent="0.25">
      <c r="L63" s="71" t="e">
        <f>(#REF!*0.05)-J63</f>
        <v>#REF!</v>
      </c>
    </row>
    <row r="64" spans="2:15" x14ac:dyDescent="0.25">
      <c r="L64" s="71" t="e">
        <f>(#REF!*0.05)-J64</f>
        <v>#REF!</v>
      </c>
    </row>
    <row r="65" spans="12:12" x14ac:dyDescent="0.25">
      <c r="L65" s="71" t="e">
        <f>(#REF!*0.05)-J65</f>
        <v>#REF!</v>
      </c>
    </row>
    <row r="66" spans="12:12" x14ac:dyDescent="0.25">
      <c r="L66" s="71" t="e">
        <f>(#REF!*0.05)-J66</f>
        <v>#REF!</v>
      </c>
    </row>
    <row r="67" spans="12:12" x14ac:dyDescent="0.25">
      <c r="L67" s="71" t="e">
        <f>(#REF!*0.05)-J67</f>
        <v>#REF!</v>
      </c>
    </row>
    <row r="68" spans="12:12" x14ac:dyDescent="0.25">
      <c r="L68" s="71" t="e">
        <f>(#REF!*0.05)-J68</f>
        <v>#REF!</v>
      </c>
    </row>
    <row r="69" spans="12:12" x14ac:dyDescent="0.25">
      <c r="L69" s="71" t="e">
        <f>(#REF!*0.05)-J69</f>
        <v>#REF!</v>
      </c>
    </row>
    <row r="70" spans="12:12" x14ac:dyDescent="0.25">
      <c r="L70" s="71" t="e">
        <f>(#REF!*0.05)-J70</f>
        <v>#REF!</v>
      </c>
    </row>
    <row r="71" spans="12:12" x14ac:dyDescent="0.25">
      <c r="L71" s="71" t="e">
        <f>(#REF!*0.05)-J71</f>
        <v>#REF!</v>
      </c>
    </row>
    <row r="72" spans="12:12" x14ac:dyDescent="0.25">
      <c r="L72" s="71" t="e">
        <f>(#REF!*0.05)-J72</f>
        <v>#REF!</v>
      </c>
    </row>
    <row r="73" spans="12:12" x14ac:dyDescent="0.25">
      <c r="L73" s="71" t="e">
        <f>(#REF!*0.05)-J73</f>
        <v>#REF!</v>
      </c>
    </row>
    <row r="74" spans="12:12" x14ac:dyDescent="0.25">
      <c r="L74" s="71" t="e">
        <f>(#REF!*0.05)-J74</f>
        <v>#REF!</v>
      </c>
    </row>
    <row r="75" spans="12:12" x14ac:dyDescent="0.25">
      <c r="L75" s="71" t="e">
        <f>(#REF!*0.05)-J75</f>
        <v>#REF!</v>
      </c>
    </row>
    <row r="76" spans="12:12" x14ac:dyDescent="0.25">
      <c r="L76" s="71" t="e">
        <f>(#REF!*0.05)-J76</f>
        <v>#REF!</v>
      </c>
    </row>
    <row r="77" spans="12:12" x14ac:dyDescent="0.25">
      <c r="L77" s="71" t="e">
        <f>(#REF!*0.05)-J77</f>
        <v>#REF!</v>
      </c>
    </row>
    <row r="78" spans="12:12" x14ac:dyDescent="0.25">
      <c r="L78" s="71" t="e">
        <f>(#REF!*0.05)-J78</f>
        <v>#REF!</v>
      </c>
    </row>
    <row r="79" spans="12:12" x14ac:dyDescent="0.25">
      <c r="L79" s="71" t="e">
        <f>(#REF!*0.05)-J79</f>
        <v>#REF!</v>
      </c>
    </row>
    <row r="80" spans="12:12" x14ac:dyDescent="0.25">
      <c r="L80" s="71" t="e">
        <f>(#REF!*0.05)-J80</f>
        <v>#REF!</v>
      </c>
    </row>
    <row r="81" spans="12:12" x14ac:dyDescent="0.25">
      <c r="L81" s="71" t="e">
        <f>(#REF!*0.05)-J81</f>
        <v>#REF!</v>
      </c>
    </row>
    <row r="82" spans="12:12" x14ac:dyDescent="0.25">
      <c r="L82" s="71" t="e">
        <f>(#REF!*0.05)-J82</f>
        <v>#REF!</v>
      </c>
    </row>
    <row r="83" spans="12:12" x14ac:dyDescent="0.25">
      <c r="L83" s="71" t="e">
        <f>(#REF!*0.05)-J83</f>
        <v>#REF!</v>
      </c>
    </row>
    <row r="84" spans="12:12" x14ac:dyDescent="0.25">
      <c r="L84" s="71" t="e">
        <f>(#REF!*0.05)-J84</f>
        <v>#REF!</v>
      </c>
    </row>
    <row r="85" spans="12:12" x14ac:dyDescent="0.25">
      <c r="L85" s="71" t="e">
        <f>(#REF!*0.05)-J85</f>
        <v>#REF!</v>
      </c>
    </row>
    <row r="86" spans="12:12" x14ac:dyDescent="0.25">
      <c r="L86" s="71" t="e">
        <f>(#REF!*0.05)-J86</f>
        <v>#REF!</v>
      </c>
    </row>
    <row r="87" spans="12:12" x14ac:dyDescent="0.25">
      <c r="L87" s="71" t="e">
        <f>(#REF!*0.05)-J87</f>
        <v>#REF!</v>
      </c>
    </row>
    <row r="88" spans="12:12" x14ac:dyDescent="0.25">
      <c r="L88" s="71" t="e">
        <f>(#REF!*0.05)-J88</f>
        <v>#REF!</v>
      </c>
    </row>
    <row r="89" spans="12:12" x14ac:dyDescent="0.25">
      <c r="L89" s="71" t="e">
        <f>(#REF!*0.05)-J89</f>
        <v>#REF!</v>
      </c>
    </row>
    <row r="90" spans="12:12" x14ac:dyDescent="0.25">
      <c r="L90" s="71" t="e">
        <f>(#REF!*0.05)-J90</f>
        <v>#REF!</v>
      </c>
    </row>
    <row r="91" spans="12:12" x14ac:dyDescent="0.25">
      <c r="L91" s="71" t="e">
        <f>(#REF!*0.05)-J91</f>
        <v>#REF!</v>
      </c>
    </row>
    <row r="92" spans="12:12" x14ac:dyDescent="0.25">
      <c r="L92" s="71" t="e">
        <f>(#REF!*0.05)-J92</f>
        <v>#REF!</v>
      </c>
    </row>
    <row r="93" spans="12:12" x14ac:dyDescent="0.25">
      <c r="L93" s="71" t="e">
        <f>(#REF!*0.05)-J93</f>
        <v>#REF!</v>
      </c>
    </row>
    <row r="94" spans="12:12" x14ac:dyDescent="0.25">
      <c r="L94" s="71" t="e">
        <f>(#REF!*0.05)-J94</f>
        <v>#REF!</v>
      </c>
    </row>
    <row r="95" spans="12:12" x14ac:dyDescent="0.25">
      <c r="L95" s="71" t="e">
        <f>(#REF!*0.05)-J95</f>
        <v>#REF!</v>
      </c>
    </row>
    <row r="96" spans="12:12" x14ac:dyDescent="0.25">
      <c r="L96" s="71" t="e">
        <f>(#REF!*0.05)-J96</f>
        <v>#REF!</v>
      </c>
    </row>
    <row r="97" spans="12:12" x14ac:dyDescent="0.25">
      <c r="L97" s="71" t="e">
        <f>(#REF!*0.05)-J97</f>
        <v>#REF!</v>
      </c>
    </row>
    <row r="98" spans="12:12" x14ac:dyDescent="0.25">
      <c r="L98" s="71" t="e">
        <f>(#REF!*0.05)-J98</f>
        <v>#REF!</v>
      </c>
    </row>
    <row r="99" spans="12:12" x14ac:dyDescent="0.25">
      <c r="L99" s="71" t="e">
        <f>(#REF!*0.05)-J99</f>
        <v>#REF!</v>
      </c>
    </row>
    <row r="100" spans="12:12" x14ac:dyDescent="0.25">
      <c r="L100" s="71" t="e">
        <f>(#REF!*0.05)-J100</f>
        <v>#REF!</v>
      </c>
    </row>
    <row r="101" spans="12:12" x14ac:dyDescent="0.25">
      <c r="L101" s="71" t="e">
        <f>(#REF!*0.05)-J101</f>
        <v>#REF!</v>
      </c>
    </row>
    <row r="102" spans="12:12" x14ac:dyDescent="0.25">
      <c r="L102" s="71" t="e">
        <f>(#REF!*0.05)-J102</f>
        <v>#REF!</v>
      </c>
    </row>
    <row r="103" spans="12:12" x14ac:dyDescent="0.25">
      <c r="L103" s="71" t="e">
        <f>(#REF!*0.05)-J103</f>
        <v>#REF!</v>
      </c>
    </row>
    <row r="104" spans="12:12" x14ac:dyDescent="0.25">
      <c r="L104" s="71" t="e">
        <f>(#REF!*0.05)-J104</f>
        <v>#REF!</v>
      </c>
    </row>
    <row r="105" spans="12:12" x14ac:dyDescent="0.25">
      <c r="L105" s="71" t="e">
        <f>(#REF!*0.05)-J105</f>
        <v>#REF!</v>
      </c>
    </row>
    <row r="106" spans="12:12" x14ac:dyDescent="0.25">
      <c r="L106" s="71" t="e">
        <f>(#REF!*0.05)-J106</f>
        <v>#REF!</v>
      </c>
    </row>
    <row r="107" spans="12:12" x14ac:dyDescent="0.25">
      <c r="L107" s="71" t="e">
        <f>(#REF!*0.05)-J107</f>
        <v>#REF!</v>
      </c>
    </row>
    <row r="108" spans="12:12" x14ac:dyDescent="0.25">
      <c r="L108" s="71" t="e">
        <f>(#REF!*0.05)-J108</f>
        <v>#REF!</v>
      </c>
    </row>
    <row r="109" spans="12:12" x14ac:dyDescent="0.25">
      <c r="L109" s="71" t="e">
        <f>(#REF!*0.05)-J109</f>
        <v>#REF!</v>
      </c>
    </row>
    <row r="110" spans="12:12" x14ac:dyDescent="0.25">
      <c r="L110" s="71" t="e">
        <f>(#REF!*0.05)-J110</f>
        <v>#REF!</v>
      </c>
    </row>
    <row r="111" spans="12:12" x14ac:dyDescent="0.25">
      <c r="L111" s="71" t="e">
        <f>(#REF!*0.05)-J111</f>
        <v>#REF!</v>
      </c>
    </row>
    <row r="112" spans="12:12" x14ac:dyDescent="0.25">
      <c r="L112" s="71" t="e">
        <f>(#REF!*0.05)-J112</f>
        <v>#REF!</v>
      </c>
    </row>
    <row r="113" spans="12:12" x14ac:dyDescent="0.25">
      <c r="L113" s="71" t="e">
        <f>(#REF!*0.05)-J113</f>
        <v>#REF!</v>
      </c>
    </row>
    <row r="114" spans="12:12" x14ac:dyDescent="0.25">
      <c r="L114" s="71" t="e">
        <f>(#REF!*0.05)-J114</f>
        <v>#REF!</v>
      </c>
    </row>
    <row r="115" spans="12:12" x14ac:dyDescent="0.25">
      <c r="L115" s="71" t="e">
        <f>(#REF!*0.05)-J115</f>
        <v>#REF!</v>
      </c>
    </row>
    <row r="116" spans="12:12" x14ac:dyDescent="0.25">
      <c r="L116" s="71" t="e">
        <f>(#REF!*0.05)-J116</f>
        <v>#REF!</v>
      </c>
    </row>
    <row r="117" spans="12:12" x14ac:dyDescent="0.25">
      <c r="L117" s="71" t="e">
        <f>(#REF!*0.05)-J117</f>
        <v>#REF!</v>
      </c>
    </row>
    <row r="118" spans="12:12" x14ac:dyDescent="0.25">
      <c r="L118" s="71" t="e">
        <f>(#REF!*0.05)-J118</f>
        <v>#REF!</v>
      </c>
    </row>
    <row r="119" spans="12:12" x14ac:dyDescent="0.25">
      <c r="L119" s="71" t="e">
        <f>(#REF!*0.05)-J119</f>
        <v>#REF!</v>
      </c>
    </row>
    <row r="120" spans="12:12" x14ac:dyDescent="0.25">
      <c r="L120" s="71" t="e">
        <f>(#REF!*0.05)-J120</f>
        <v>#REF!</v>
      </c>
    </row>
    <row r="121" spans="12:12" x14ac:dyDescent="0.25">
      <c r="L121" s="71" t="e">
        <f>(#REF!*0.05)-J121</f>
        <v>#REF!</v>
      </c>
    </row>
    <row r="122" spans="12:12" x14ac:dyDescent="0.25">
      <c r="L122" s="71" t="e">
        <f>(#REF!*0.05)-J122</f>
        <v>#REF!</v>
      </c>
    </row>
    <row r="123" spans="12:12" x14ac:dyDescent="0.25">
      <c r="L123" s="71" t="e">
        <f>(#REF!*0.05)-J123</f>
        <v>#REF!</v>
      </c>
    </row>
    <row r="124" spans="12:12" x14ac:dyDescent="0.25">
      <c r="L124" s="71" t="e">
        <f>(#REF!*0.05)-J124</f>
        <v>#REF!</v>
      </c>
    </row>
    <row r="125" spans="12:12" x14ac:dyDescent="0.25">
      <c r="L125" s="71" t="e">
        <f>(#REF!*0.05)-J125</f>
        <v>#REF!</v>
      </c>
    </row>
    <row r="126" spans="12:12" x14ac:dyDescent="0.25">
      <c r="L126" s="71" t="e">
        <f>(#REF!*0.05)-J126</f>
        <v>#REF!</v>
      </c>
    </row>
    <row r="127" spans="12:12" x14ac:dyDescent="0.25">
      <c r="L127" s="71" t="e">
        <f>(#REF!*0.05)-J127</f>
        <v>#REF!</v>
      </c>
    </row>
    <row r="128" spans="12:12" x14ac:dyDescent="0.25">
      <c r="L128" s="71" t="e">
        <f>(#REF!*0.05)-J128</f>
        <v>#REF!</v>
      </c>
    </row>
    <row r="129" spans="12:12" x14ac:dyDescent="0.25">
      <c r="L129" s="71" t="e">
        <f>(#REF!*0.05)-J129</f>
        <v>#REF!</v>
      </c>
    </row>
    <row r="130" spans="12:12" x14ac:dyDescent="0.25">
      <c r="L130" s="71" t="e">
        <f>(#REF!*0.05)-J130</f>
        <v>#REF!</v>
      </c>
    </row>
    <row r="131" spans="12:12" x14ac:dyDescent="0.25">
      <c r="L131" s="71" t="e">
        <f>(#REF!*0.05)-J131</f>
        <v>#REF!</v>
      </c>
    </row>
    <row r="132" spans="12:12" x14ac:dyDescent="0.25">
      <c r="L132" s="71" t="e">
        <f>(#REF!*0.05)-J132</f>
        <v>#REF!</v>
      </c>
    </row>
    <row r="133" spans="12:12" x14ac:dyDescent="0.25">
      <c r="L133" s="71" t="e">
        <f>(#REF!*0.05)-J133</f>
        <v>#REF!</v>
      </c>
    </row>
    <row r="134" spans="12:12" x14ac:dyDescent="0.25">
      <c r="L134" s="71" t="e">
        <f>(#REF!*0.05)-J134</f>
        <v>#REF!</v>
      </c>
    </row>
    <row r="135" spans="12:12" x14ac:dyDescent="0.25">
      <c r="L135" s="71" t="e">
        <f>(#REF!*0.05)-J135</f>
        <v>#REF!</v>
      </c>
    </row>
    <row r="136" spans="12:12" x14ac:dyDescent="0.25">
      <c r="L136" s="71" t="e">
        <f>(#REF!*0.05)-J136</f>
        <v>#REF!</v>
      </c>
    </row>
    <row r="137" spans="12:12" x14ac:dyDescent="0.25">
      <c r="L137" s="71" t="e">
        <f>(#REF!*0.05)-J137</f>
        <v>#REF!</v>
      </c>
    </row>
    <row r="138" spans="12:12" x14ac:dyDescent="0.25">
      <c r="L138" s="71" t="e">
        <f>(#REF!*0.05)-J138</f>
        <v>#REF!</v>
      </c>
    </row>
    <row r="139" spans="12:12" x14ac:dyDescent="0.25">
      <c r="L139" s="71" t="e">
        <f>(#REF!*0.05)-J139</f>
        <v>#REF!</v>
      </c>
    </row>
    <row r="140" spans="12:12" x14ac:dyDescent="0.25">
      <c r="L140" s="71" t="e">
        <f>(#REF!*0.05)-J140</f>
        <v>#REF!</v>
      </c>
    </row>
    <row r="141" spans="12:12" x14ac:dyDescent="0.25">
      <c r="L141" s="71" t="e">
        <f>(#REF!*0.05)-J141</f>
        <v>#REF!</v>
      </c>
    </row>
    <row r="142" spans="12:12" x14ac:dyDescent="0.25">
      <c r="L142" s="71" t="e">
        <f>(#REF!*0.05)-J142</f>
        <v>#REF!</v>
      </c>
    </row>
    <row r="143" spans="12:12" x14ac:dyDescent="0.25">
      <c r="L143" s="71" t="e">
        <f>(#REF!*0.05)-J143</f>
        <v>#REF!</v>
      </c>
    </row>
    <row r="144" spans="12:12" x14ac:dyDescent="0.25">
      <c r="L144" s="71" t="e">
        <f>(#REF!*0.05)-J144</f>
        <v>#REF!</v>
      </c>
    </row>
    <row r="145" spans="12:12" x14ac:dyDescent="0.25">
      <c r="L145" s="71" t="e">
        <f>(#REF!*0.05)-J145</f>
        <v>#REF!</v>
      </c>
    </row>
    <row r="146" spans="12:12" x14ac:dyDescent="0.25">
      <c r="L146" s="71" t="e">
        <f>(#REF!*0.05)-J146</f>
        <v>#REF!</v>
      </c>
    </row>
    <row r="147" spans="12:12" x14ac:dyDescent="0.25">
      <c r="L147" s="71" t="e">
        <f>(#REF!*0.05)-J147</f>
        <v>#REF!</v>
      </c>
    </row>
    <row r="148" spans="12:12" x14ac:dyDescent="0.25">
      <c r="L148" s="71" t="e">
        <f>(#REF!*0.05)-J148</f>
        <v>#REF!</v>
      </c>
    </row>
    <row r="149" spans="12:12" x14ac:dyDescent="0.25">
      <c r="L149" s="71" t="e">
        <f>(#REF!*0.05)-J149</f>
        <v>#REF!</v>
      </c>
    </row>
    <row r="150" spans="12:12" x14ac:dyDescent="0.25">
      <c r="L150" s="71" t="e">
        <f>(#REF!*0.05)-J150</f>
        <v>#REF!</v>
      </c>
    </row>
    <row r="151" spans="12:12" x14ac:dyDescent="0.25">
      <c r="L151" s="71" t="e">
        <f>(#REF!*0.05)-J151</f>
        <v>#REF!</v>
      </c>
    </row>
    <row r="152" spans="12:12" x14ac:dyDescent="0.25">
      <c r="L152" s="71" t="e">
        <f>(#REF!*0.05)-J152</f>
        <v>#REF!</v>
      </c>
    </row>
    <row r="153" spans="12:12" x14ac:dyDescent="0.25">
      <c r="L153" s="71" t="e">
        <f>(#REF!*0.05)-J153</f>
        <v>#REF!</v>
      </c>
    </row>
    <row r="154" spans="12:12" x14ac:dyDescent="0.25">
      <c r="L154" s="71" t="e">
        <f>(#REF!*0.05)-J154</f>
        <v>#REF!</v>
      </c>
    </row>
    <row r="155" spans="12:12" x14ac:dyDescent="0.25">
      <c r="L155" s="71" t="e">
        <f>(#REF!*0.05)-J155</f>
        <v>#REF!</v>
      </c>
    </row>
    <row r="156" spans="12:12" x14ac:dyDescent="0.25">
      <c r="L156" s="71" t="e">
        <f>(#REF!*0.05)-J156</f>
        <v>#REF!</v>
      </c>
    </row>
    <row r="157" spans="12:12" x14ac:dyDescent="0.25">
      <c r="L157" s="71" t="e">
        <f>(#REF!*0.05)-J157</f>
        <v>#REF!</v>
      </c>
    </row>
    <row r="158" spans="12:12" x14ac:dyDescent="0.25">
      <c r="L158" s="71" t="e">
        <f>(#REF!*0.05)-J158</f>
        <v>#REF!</v>
      </c>
    </row>
    <row r="159" spans="12:12" x14ac:dyDescent="0.25">
      <c r="L159" s="71" t="e">
        <f>(#REF!*0.05)-J159</f>
        <v>#REF!</v>
      </c>
    </row>
    <row r="160" spans="12:12" x14ac:dyDescent="0.25">
      <c r="L160" s="71" t="e">
        <f>(#REF!*0.05)-J160</f>
        <v>#REF!</v>
      </c>
    </row>
    <row r="161" spans="12:12" x14ac:dyDescent="0.25">
      <c r="L161" s="71" t="e">
        <f>(#REF!*0.05)-J161</f>
        <v>#REF!</v>
      </c>
    </row>
    <row r="162" spans="12:12" x14ac:dyDescent="0.25">
      <c r="L162" s="71" t="e">
        <f>(#REF!*0.05)-J162</f>
        <v>#REF!</v>
      </c>
    </row>
    <row r="163" spans="12:12" x14ac:dyDescent="0.25">
      <c r="L163" s="71" t="e">
        <f>(#REF!*0.05)-J163</f>
        <v>#REF!</v>
      </c>
    </row>
    <row r="164" spans="12:12" x14ac:dyDescent="0.25">
      <c r="L164" s="71" t="e">
        <f>(#REF!*0.05)-J164</f>
        <v>#REF!</v>
      </c>
    </row>
    <row r="165" spans="12:12" x14ac:dyDescent="0.25">
      <c r="L165" s="71" t="e">
        <f>(#REF!*0.05)-J165</f>
        <v>#REF!</v>
      </c>
    </row>
    <row r="166" spans="12:12" x14ac:dyDescent="0.25">
      <c r="L166" s="71" t="e">
        <f>(#REF!*0.05)-J166</f>
        <v>#REF!</v>
      </c>
    </row>
    <row r="167" spans="12:12" x14ac:dyDescent="0.25">
      <c r="L167" s="71" t="e">
        <f>(#REF!*0.05)-J167</f>
        <v>#REF!</v>
      </c>
    </row>
    <row r="168" spans="12:12" x14ac:dyDescent="0.25">
      <c r="L168" s="71" t="e">
        <f>(#REF!*0.05)-J168</f>
        <v>#REF!</v>
      </c>
    </row>
    <row r="169" spans="12:12" x14ac:dyDescent="0.25">
      <c r="L169" s="71" t="e">
        <f>(#REF!*0.05)-J169</f>
        <v>#REF!</v>
      </c>
    </row>
    <row r="170" spans="12:12" x14ac:dyDescent="0.25">
      <c r="L170" s="71" t="e">
        <f>(#REF!*0.05)-J170</f>
        <v>#REF!</v>
      </c>
    </row>
    <row r="171" spans="12:12" x14ac:dyDescent="0.25">
      <c r="L171" s="71" t="e">
        <f>(#REF!*0.05)-J171</f>
        <v>#REF!</v>
      </c>
    </row>
    <row r="172" spans="12:12" x14ac:dyDescent="0.25">
      <c r="L172" s="71" t="e">
        <f>(#REF!*0.05)-J172</f>
        <v>#REF!</v>
      </c>
    </row>
    <row r="173" spans="12:12" x14ac:dyDescent="0.25">
      <c r="L173" s="71" t="e">
        <f>(#REF!*0.05)-J173</f>
        <v>#REF!</v>
      </c>
    </row>
    <row r="174" spans="12:12" x14ac:dyDescent="0.25">
      <c r="L174" s="71" t="e">
        <f>(#REF!*0.05)-J174</f>
        <v>#REF!</v>
      </c>
    </row>
    <row r="175" spans="12:12" x14ac:dyDescent="0.25">
      <c r="L175" s="71" t="e">
        <f>(#REF!*0.05)-J175</f>
        <v>#REF!</v>
      </c>
    </row>
    <row r="176" spans="12:12" x14ac:dyDescent="0.25">
      <c r="L176" s="71" t="e">
        <f>(#REF!*0.05)-J176</f>
        <v>#REF!</v>
      </c>
    </row>
    <row r="177" spans="12:12" x14ac:dyDescent="0.25">
      <c r="L177" s="71" t="e">
        <f>(#REF!*0.05)-J177</f>
        <v>#REF!</v>
      </c>
    </row>
    <row r="178" spans="12:12" x14ac:dyDescent="0.25">
      <c r="L178" s="71" t="e">
        <f>(#REF!*0.05)-J178</f>
        <v>#REF!</v>
      </c>
    </row>
    <row r="179" spans="12:12" x14ac:dyDescent="0.25">
      <c r="L179" s="71" t="e">
        <f>(#REF!*0.05)-J179</f>
        <v>#REF!</v>
      </c>
    </row>
    <row r="180" spans="12:12" x14ac:dyDescent="0.25">
      <c r="L180" s="71" t="e">
        <f>(#REF!*0.05)-J180</f>
        <v>#REF!</v>
      </c>
    </row>
    <row r="181" spans="12:12" x14ac:dyDescent="0.25">
      <c r="L181" s="71" t="e">
        <f>(#REF!*0.05)-J181</f>
        <v>#REF!</v>
      </c>
    </row>
    <row r="182" spans="12:12" x14ac:dyDescent="0.25">
      <c r="L182" s="71" t="e">
        <f>(#REF!*0.05)-J182</f>
        <v>#REF!</v>
      </c>
    </row>
    <row r="183" spans="12:12" x14ac:dyDescent="0.25">
      <c r="L183" s="71" t="e">
        <f>(#REF!*0.05)-J183</f>
        <v>#REF!</v>
      </c>
    </row>
    <row r="184" spans="12:12" x14ac:dyDescent="0.25">
      <c r="L184" s="71" t="e">
        <f>(#REF!*0.05)-J184</f>
        <v>#REF!</v>
      </c>
    </row>
    <row r="185" spans="12:12" x14ac:dyDescent="0.25">
      <c r="L185" s="71" t="e">
        <f>(#REF!*0.05)-J185</f>
        <v>#REF!</v>
      </c>
    </row>
    <row r="186" spans="12:12" x14ac:dyDescent="0.25">
      <c r="L186" s="71" t="e">
        <f>(#REF!*0.05)-J186</f>
        <v>#REF!</v>
      </c>
    </row>
    <row r="187" spans="12:12" x14ac:dyDescent="0.25">
      <c r="L187" s="71" t="e">
        <f>(#REF!*0.05)-J187</f>
        <v>#REF!</v>
      </c>
    </row>
    <row r="188" spans="12:12" x14ac:dyDescent="0.25">
      <c r="L188" s="71" t="e">
        <f>(#REF!*0.05)-J188</f>
        <v>#REF!</v>
      </c>
    </row>
    <row r="189" spans="12:12" x14ac:dyDescent="0.25">
      <c r="L189" s="71" t="e">
        <f>(#REF!*0.05)-J189</f>
        <v>#REF!</v>
      </c>
    </row>
    <row r="190" spans="12:12" x14ac:dyDescent="0.25">
      <c r="L190" s="71" t="e">
        <f>(#REF!*0.05)-J190</f>
        <v>#REF!</v>
      </c>
    </row>
    <row r="191" spans="12:12" x14ac:dyDescent="0.25">
      <c r="L191" s="71" t="e">
        <f>(#REF!*0.05)-J191</f>
        <v>#REF!</v>
      </c>
    </row>
    <row r="192" spans="12:12" x14ac:dyDescent="0.25">
      <c r="L192" s="71" t="e">
        <f>(#REF!*0.05)-J192</f>
        <v>#REF!</v>
      </c>
    </row>
    <row r="193" spans="12:12" x14ac:dyDescent="0.25">
      <c r="L193" s="71" t="e">
        <f>(#REF!*0.05)-J193</f>
        <v>#REF!</v>
      </c>
    </row>
    <row r="194" spans="12:12" x14ac:dyDescent="0.25">
      <c r="L194" s="71" t="e">
        <f>(#REF!*0.05)-J194</f>
        <v>#REF!</v>
      </c>
    </row>
    <row r="195" spans="12:12" x14ac:dyDescent="0.25">
      <c r="L195" s="71" t="e">
        <f>(#REF!*0.05)-J195</f>
        <v>#REF!</v>
      </c>
    </row>
    <row r="196" spans="12:12" x14ac:dyDescent="0.25">
      <c r="L196" s="71" t="e">
        <f>(#REF!*0.05)-J196</f>
        <v>#REF!</v>
      </c>
    </row>
    <row r="197" spans="12:12" x14ac:dyDescent="0.25">
      <c r="L197" s="71" t="e">
        <f>(#REF!*0.05)-J197</f>
        <v>#REF!</v>
      </c>
    </row>
    <row r="198" spans="12:12" x14ac:dyDescent="0.25">
      <c r="L198" s="71" t="e">
        <f>(#REF!*0.05)-J198</f>
        <v>#REF!</v>
      </c>
    </row>
    <row r="199" spans="12:12" x14ac:dyDescent="0.25">
      <c r="L199" s="71" t="e">
        <f>(#REF!*0.05)-J199</f>
        <v>#REF!</v>
      </c>
    </row>
    <row r="200" spans="12:12" x14ac:dyDescent="0.25">
      <c r="L200" s="71" t="e">
        <f>(#REF!*0.05)-J200</f>
        <v>#REF!</v>
      </c>
    </row>
    <row r="201" spans="12:12" x14ac:dyDescent="0.25">
      <c r="L201" s="71" t="e">
        <f>(#REF!*0.05)-J201</f>
        <v>#REF!</v>
      </c>
    </row>
    <row r="202" spans="12:12" x14ac:dyDescent="0.25">
      <c r="L202" s="71" t="e">
        <f>(#REF!*0.05)-J202</f>
        <v>#REF!</v>
      </c>
    </row>
    <row r="203" spans="12:12" x14ac:dyDescent="0.25">
      <c r="L203" s="71" t="e">
        <f>(#REF!*0.05)-J203</f>
        <v>#REF!</v>
      </c>
    </row>
    <row r="204" spans="12:12" x14ac:dyDescent="0.25">
      <c r="L204" s="71" t="e">
        <f>(#REF!*0.05)-J204</f>
        <v>#REF!</v>
      </c>
    </row>
    <row r="205" spans="12:12" x14ac:dyDescent="0.25">
      <c r="L205" s="71" t="e">
        <f>(#REF!*0.05)-J205</f>
        <v>#REF!</v>
      </c>
    </row>
    <row r="206" spans="12:12" x14ac:dyDescent="0.25">
      <c r="L206" s="71" t="e">
        <f>(#REF!*0.05)-J206</f>
        <v>#REF!</v>
      </c>
    </row>
    <row r="207" spans="12:12" x14ac:dyDescent="0.25">
      <c r="L207" s="71" t="e">
        <f>(#REF!*0.05)-J207</f>
        <v>#REF!</v>
      </c>
    </row>
    <row r="208" spans="12:12" x14ac:dyDescent="0.25">
      <c r="L208" s="71" t="e">
        <f>(#REF!*0.05)-J208</f>
        <v>#REF!</v>
      </c>
    </row>
    <row r="209" spans="12:12" x14ac:dyDescent="0.25">
      <c r="L209" s="71" t="e">
        <f>(#REF!*0.05)-J209</f>
        <v>#REF!</v>
      </c>
    </row>
    <row r="210" spans="12:12" x14ac:dyDescent="0.25">
      <c r="L210" s="71" t="e">
        <f>(#REF!*0.05)-J210</f>
        <v>#REF!</v>
      </c>
    </row>
    <row r="211" spans="12:12" x14ac:dyDescent="0.25">
      <c r="L211" s="71" t="e">
        <f>(#REF!*0.05)-J211</f>
        <v>#REF!</v>
      </c>
    </row>
    <row r="212" spans="12:12" x14ac:dyDescent="0.25">
      <c r="L212" s="71" t="e">
        <f>(#REF!*0.05)-J212</f>
        <v>#REF!</v>
      </c>
    </row>
    <row r="213" spans="12:12" x14ac:dyDescent="0.25">
      <c r="L213" s="71" t="e">
        <f>(#REF!*0.05)-J213</f>
        <v>#REF!</v>
      </c>
    </row>
    <row r="214" spans="12:12" x14ac:dyDescent="0.25">
      <c r="L214" s="71" t="e">
        <f>(#REF!*0.05)-J214</f>
        <v>#REF!</v>
      </c>
    </row>
    <row r="215" spans="12:12" x14ac:dyDescent="0.25">
      <c r="L215" s="71" t="e">
        <f>(#REF!*0.05)-J215</f>
        <v>#REF!</v>
      </c>
    </row>
    <row r="216" spans="12:12" x14ac:dyDescent="0.25">
      <c r="L216" s="71" t="e">
        <f>(#REF!*0.05)-J216</f>
        <v>#REF!</v>
      </c>
    </row>
    <row r="217" spans="12:12" x14ac:dyDescent="0.25">
      <c r="L217" s="71" t="e">
        <f>(#REF!*0.05)-J217</f>
        <v>#REF!</v>
      </c>
    </row>
    <row r="218" spans="12:12" x14ac:dyDescent="0.25">
      <c r="L218" s="71" t="e">
        <f>(#REF!*0.05)-J218</f>
        <v>#REF!</v>
      </c>
    </row>
    <row r="219" spans="12:12" x14ac:dyDescent="0.25">
      <c r="L219" s="71" t="e">
        <f>(#REF!*0.05)-J219</f>
        <v>#REF!</v>
      </c>
    </row>
    <row r="220" spans="12:12" x14ac:dyDescent="0.25">
      <c r="L220" s="71" t="e">
        <f>(#REF!*0.05)-J220</f>
        <v>#REF!</v>
      </c>
    </row>
    <row r="221" spans="12:12" x14ac:dyDescent="0.25">
      <c r="L221" s="71" t="e">
        <f>(#REF!*0.05)-J221</f>
        <v>#REF!</v>
      </c>
    </row>
    <row r="222" spans="12:12" x14ac:dyDescent="0.25">
      <c r="L222" s="71" t="e">
        <f>(#REF!*0.05)-J222</f>
        <v>#REF!</v>
      </c>
    </row>
    <row r="223" spans="12:12" x14ac:dyDescent="0.25">
      <c r="L223" s="71" t="e">
        <f>(#REF!*0.05)-J223</f>
        <v>#REF!</v>
      </c>
    </row>
    <row r="224" spans="12:12" x14ac:dyDescent="0.25">
      <c r="L224" s="71" t="e">
        <f>(#REF!*0.05)-J224</f>
        <v>#REF!</v>
      </c>
    </row>
    <row r="225" spans="12:12" x14ac:dyDescent="0.25">
      <c r="L225" s="71" t="e">
        <f>(#REF!*0.05)-J225</f>
        <v>#REF!</v>
      </c>
    </row>
    <row r="226" spans="12:12" x14ac:dyDescent="0.25">
      <c r="L226" s="71" t="e">
        <f>(#REF!*0.05)-J226</f>
        <v>#REF!</v>
      </c>
    </row>
    <row r="227" spans="12:12" x14ac:dyDescent="0.25">
      <c r="L227" s="71" t="e">
        <f>(#REF!*0.05)-J227</f>
        <v>#REF!</v>
      </c>
    </row>
    <row r="228" spans="12:12" x14ac:dyDescent="0.25">
      <c r="L228" s="71" t="e">
        <f>(#REF!*0.05)-J228</f>
        <v>#REF!</v>
      </c>
    </row>
    <row r="229" spans="12:12" x14ac:dyDescent="0.25">
      <c r="L229" s="71" t="e">
        <f>(#REF!*0.05)-J229</f>
        <v>#REF!</v>
      </c>
    </row>
    <row r="230" spans="12:12" x14ac:dyDescent="0.25">
      <c r="L230" s="71" t="e">
        <f>(#REF!*0.05)-J230</f>
        <v>#REF!</v>
      </c>
    </row>
    <row r="231" spans="12:12" x14ac:dyDescent="0.25">
      <c r="L231" s="71" t="e">
        <f>(#REF!*0.05)-J231</f>
        <v>#REF!</v>
      </c>
    </row>
    <row r="232" spans="12:12" x14ac:dyDescent="0.25">
      <c r="L232" s="71" t="e">
        <f>(#REF!*0.05)-J232</f>
        <v>#REF!</v>
      </c>
    </row>
    <row r="233" spans="12:12" x14ac:dyDescent="0.25">
      <c r="L233" s="71" t="e">
        <f>(#REF!*0.05)-J233</f>
        <v>#REF!</v>
      </c>
    </row>
    <row r="234" spans="12:12" x14ac:dyDescent="0.25">
      <c r="L234" s="71" t="e">
        <f>(#REF!*0.05)-J234</f>
        <v>#REF!</v>
      </c>
    </row>
    <row r="235" spans="12:12" x14ac:dyDescent="0.25">
      <c r="L235" s="71" t="e">
        <f>(#REF!*0.05)-J235</f>
        <v>#REF!</v>
      </c>
    </row>
    <row r="236" spans="12:12" x14ac:dyDescent="0.25">
      <c r="L236" s="71" t="e">
        <f>(#REF!*0.05)-J236</f>
        <v>#REF!</v>
      </c>
    </row>
    <row r="237" spans="12:12" x14ac:dyDescent="0.25">
      <c r="L237" s="71" t="e">
        <f>(#REF!*0.05)-J237</f>
        <v>#REF!</v>
      </c>
    </row>
    <row r="238" spans="12:12" x14ac:dyDescent="0.25">
      <c r="L238" s="71" t="e">
        <f>(#REF!*0.05)-J238</f>
        <v>#REF!</v>
      </c>
    </row>
    <row r="239" spans="12:12" x14ac:dyDescent="0.25">
      <c r="L239" s="71" t="e">
        <f>(#REF!*0.05)-J239</f>
        <v>#REF!</v>
      </c>
    </row>
    <row r="240" spans="12:12" x14ac:dyDescent="0.25">
      <c r="L240" s="71" t="e">
        <f>(#REF!*0.05)-J240</f>
        <v>#REF!</v>
      </c>
    </row>
    <row r="241" spans="12:12" x14ac:dyDescent="0.25">
      <c r="L241" s="71" t="e">
        <f>(#REF!*0.05)-J241</f>
        <v>#REF!</v>
      </c>
    </row>
    <row r="242" spans="12:12" x14ac:dyDescent="0.25">
      <c r="L242" s="71" t="e">
        <f>(#REF!*0.05)-J242</f>
        <v>#REF!</v>
      </c>
    </row>
    <row r="243" spans="12:12" x14ac:dyDescent="0.25">
      <c r="L243" s="71" t="e">
        <f>(#REF!*0.05)-J243</f>
        <v>#REF!</v>
      </c>
    </row>
    <row r="244" spans="12:12" x14ac:dyDescent="0.25">
      <c r="L244" s="71" t="e">
        <f>(#REF!*0.05)-J244</f>
        <v>#REF!</v>
      </c>
    </row>
    <row r="245" spans="12:12" x14ac:dyDescent="0.25">
      <c r="L245" s="71" t="e">
        <f>(#REF!*0.05)-J245</f>
        <v>#REF!</v>
      </c>
    </row>
    <row r="246" spans="12:12" x14ac:dyDescent="0.25">
      <c r="L246" s="71" t="e">
        <f>(#REF!*0.05)-J246</f>
        <v>#REF!</v>
      </c>
    </row>
    <row r="247" spans="12:12" x14ac:dyDescent="0.25">
      <c r="L247" s="71" t="e">
        <f>(#REF!*0.05)-J247</f>
        <v>#REF!</v>
      </c>
    </row>
    <row r="248" spans="12:12" x14ac:dyDescent="0.25">
      <c r="L248" s="71" t="e">
        <f>(#REF!*0.05)-J248</f>
        <v>#REF!</v>
      </c>
    </row>
    <row r="249" spans="12:12" x14ac:dyDescent="0.25">
      <c r="L249" s="71" t="e">
        <f>(#REF!*0.05)-J249</f>
        <v>#REF!</v>
      </c>
    </row>
    <row r="250" spans="12:12" x14ac:dyDescent="0.25">
      <c r="L250" s="71" t="e">
        <f>(#REF!*0.05)-J250</f>
        <v>#REF!</v>
      </c>
    </row>
    <row r="251" spans="12:12" x14ac:dyDescent="0.25">
      <c r="L251" s="71" t="e">
        <f>(#REF!*0.05)-J251</f>
        <v>#REF!</v>
      </c>
    </row>
    <row r="252" spans="12:12" x14ac:dyDescent="0.25">
      <c r="L252" s="71" t="e">
        <f>(#REF!*0.05)-J252</f>
        <v>#REF!</v>
      </c>
    </row>
    <row r="253" spans="12:12" x14ac:dyDescent="0.25">
      <c r="L253" s="71" t="e">
        <f>(#REF!*0.05)-J253</f>
        <v>#REF!</v>
      </c>
    </row>
    <row r="254" spans="12:12" x14ac:dyDescent="0.25">
      <c r="L254" s="71" t="e">
        <f>(#REF!*0.05)-J254</f>
        <v>#REF!</v>
      </c>
    </row>
    <row r="255" spans="12:12" x14ac:dyDescent="0.25">
      <c r="L255" s="71" t="e">
        <f>(#REF!*0.05)-J255</f>
        <v>#REF!</v>
      </c>
    </row>
    <row r="256" spans="12:12" x14ac:dyDescent="0.25">
      <c r="L256" s="71" t="e">
        <f>(#REF!*0.05)-J256</f>
        <v>#REF!</v>
      </c>
    </row>
    <row r="257" spans="12:12" x14ac:dyDescent="0.25">
      <c r="L257" s="71" t="e">
        <f>(#REF!*0.05)-J257</f>
        <v>#REF!</v>
      </c>
    </row>
    <row r="258" spans="12:12" x14ac:dyDescent="0.25">
      <c r="L258" s="71" t="e">
        <f>(#REF!*0.05)-J258</f>
        <v>#REF!</v>
      </c>
    </row>
    <row r="259" spans="12:12" x14ac:dyDescent="0.25">
      <c r="L259" s="71" t="e">
        <f>(#REF!*0.05)-J259</f>
        <v>#REF!</v>
      </c>
    </row>
    <row r="260" spans="12:12" x14ac:dyDescent="0.25">
      <c r="L260" s="71" t="e">
        <f>(#REF!*0.05)-J260</f>
        <v>#REF!</v>
      </c>
    </row>
    <row r="261" spans="12:12" x14ac:dyDescent="0.25">
      <c r="L261" s="71" t="e">
        <f>(#REF!*0.05)-J261</f>
        <v>#REF!</v>
      </c>
    </row>
    <row r="262" spans="12:12" x14ac:dyDescent="0.25">
      <c r="L262" s="71" t="e">
        <f>(#REF!*0.05)-J262</f>
        <v>#REF!</v>
      </c>
    </row>
    <row r="263" spans="12:12" x14ac:dyDescent="0.25">
      <c r="L263" s="71" t="e">
        <f>(#REF!*0.05)-J263</f>
        <v>#REF!</v>
      </c>
    </row>
    <row r="264" spans="12:12" x14ac:dyDescent="0.25">
      <c r="L264" s="71" t="e">
        <f>(#REF!*0.05)-J264</f>
        <v>#REF!</v>
      </c>
    </row>
    <row r="265" spans="12:12" x14ac:dyDescent="0.25">
      <c r="L265" s="71" t="e">
        <f>(#REF!*0.05)-J265</f>
        <v>#REF!</v>
      </c>
    </row>
    <row r="266" spans="12:12" x14ac:dyDescent="0.25">
      <c r="L266" s="71" t="e">
        <f>(#REF!*0.05)-J266</f>
        <v>#REF!</v>
      </c>
    </row>
    <row r="267" spans="12:12" x14ac:dyDescent="0.25">
      <c r="L267" s="71" t="e">
        <f>(#REF!*0.05)-J267</f>
        <v>#REF!</v>
      </c>
    </row>
    <row r="268" spans="12:12" x14ac:dyDescent="0.25">
      <c r="L268" s="71" t="e">
        <f>(#REF!*0.05)-J268</f>
        <v>#REF!</v>
      </c>
    </row>
    <row r="269" spans="12:12" x14ac:dyDescent="0.25">
      <c r="L269" s="71" t="e">
        <f>(#REF!*0.05)-J269</f>
        <v>#REF!</v>
      </c>
    </row>
    <row r="270" spans="12:12" x14ac:dyDescent="0.25">
      <c r="L270" s="71" t="e">
        <f>(#REF!*0.05)-J270</f>
        <v>#REF!</v>
      </c>
    </row>
    <row r="271" spans="12:12" x14ac:dyDescent="0.25">
      <c r="L271" s="71" t="e">
        <f>(#REF!*0.05)-J271</f>
        <v>#REF!</v>
      </c>
    </row>
    <row r="272" spans="12:12" x14ac:dyDescent="0.25">
      <c r="L272" s="71" t="e">
        <f>(#REF!*0.05)-J272</f>
        <v>#REF!</v>
      </c>
    </row>
    <row r="273" spans="12:12" x14ac:dyDescent="0.25">
      <c r="L273" s="71" t="e">
        <f>(#REF!*0.05)-J273</f>
        <v>#REF!</v>
      </c>
    </row>
    <row r="274" spans="12:12" x14ac:dyDescent="0.25">
      <c r="L274" s="71" t="e">
        <f>(#REF!*0.05)-J274</f>
        <v>#REF!</v>
      </c>
    </row>
    <row r="275" spans="12:12" x14ac:dyDescent="0.25">
      <c r="L275" s="71" t="e">
        <f>(#REF!*0.05)-J275</f>
        <v>#REF!</v>
      </c>
    </row>
    <row r="276" spans="12:12" x14ac:dyDescent="0.25">
      <c r="L276" s="71" t="e">
        <f>(#REF!*0.05)-J276</f>
        <v>#REF!</v>
      </c>
    </row>
    <row r="277" spans="12:12" x14ac:dyDescent="0.25">
      <c r="L277" s="71" t="e">
        <f>(#REF!*0.05)-J277</f>
        <v>#REF!</v>
      </c>
    </row>
    <row r="278" spans="12:12" x14ac:dyDescent="0.25">
      <c r="L278" s="71" t="e">
        <f>(#REF!*0.05)-J278</f>
        <v>#REF!</v>
      </c>
    </row>
    <row r="279" spans="12:12" x14ac:dyDescent="0.25">
      <c r="L279" s="71" t="e">
        <f>(#REF!*0.05)-J279</f>
        <v>#REF!</v>
      </c>
    </row>
    <row r="280" spans="12:12" x14ac:dyDescent="0.25">
      <c r="L280" s="71" t="e">
        <f>(#REF!*0.05)-J280</f>
        <v>#REF!</v>
      </c>
    </row>
    <row r="281" spans="12:12" x14ac:dyDescent="0.25">
      <c r="L281" s="71" t="e">
        <f>(#REF!*0.05)-J281</f>
        <v>#REF!</v>
      </c>
    </row>
    <row r="282" spans="12:12" x14ac:dyDescent="0.25">
      <c r="L282" s="71" t="e">
        <f>(#REF!*0.05)-J282</f>
        <v>#REF!</v>
      </c>
    </row>
    <row r="283" spans="12:12" x14ac:dyDescent="0.25">
      <c r="L283" s="71" t="e">
        <f>(#REF!*0.05)-J283</f>
        <v>#REF!</v>
      </c>
    </row>
    <row r="284" spans="12:12" x14ac:dyDescent="0.25">
      <c r="L284" s="71" t="e">
        <f>(#REF!*0.05)-J284</f>
        <v>#REF!</v>
      </c>
    </row>
    <row r="285" spans="12:12" x14ac:dyDescent="0.25">
      <c r="L285" s="71" t="e">
        <f>(#REF!*0.05)-J285</f>
        <v>#REF!</v>
      </c>
    </row>
    <row r="286" spans="12:12" x14ac:dyDescent="0.25">
      <c r="L286" s="71" t="e">
        <f>(#REF!*0.05)-J286</f>
        <v>#REF!</v>
      </c>
    </row>
    <row r="287" spans="12:12" x14ac:dyDescent="0.25">
      <c r="L287" s="71" t="e">
        <f>(#REF!*0.05)-J287</f>
        <v>#REF!</v>
      </c>
    </row>
    <row r="288" spans="12:12" x14ac:dyDescent="0.25">
      <c r="L288" s="71" t="e">
        <f>(#REF!*0.05)-J288</f>
        <v>#REF!</v>
      </c>
    </row>
    <row r="289" spans="12:12" x14ac:dyDescent="0.25">
      <c r="L289" s="71" t="e">
        <f>(#REF!*0.05)-J289</f>
        <v>#REF!</v>
      </c>
    </row>
    <row r="290" spans="12:12" x14ac:dyDescent="0.25">
      <c r="L290" s="71" t="e">
        <f>(#REF!*0.05)-J290</f>
        <v>#REF!</v>
      </c>
    </row>
    <row r="291" spans="12:12" x14ac:dyDescent="0.25">
      <c r="L291" s="71" t="e">
        <f>(#REF!*0.05)-J291</f>
        <v>#REF!</v>
      </c>
    </row>
    <row r="292" spans="12:12" x14ac:dyDescent="0.25">
      <c r="L292" s="71" t="e">
        <f>(#REF!*0.05)-J292</f>
        <v>#REF!</v>
      </c>
    </row>
    <row r="293" spans="12:12" x14ac:dyDescent="0.25">
      <c r="L293" s="71" t="e">
        <f>(#REF!*0.05)-J293</f>
        <v>#REF!</v>
      </c>
    </row>
    <row r="294" spans="12:12" x14ac:dyDescent="0.25">
      <c r="L294" s="71" t="e">
        <f>(#REF!*0.05)-J294</f>
        <v>#REF!</v>
      </c>
    </row>
    <row r="295" spans="12:12" x14ac:dyDescent="0.25">
      <c r="L295" s="71" t="e">
        <f>(#REF!*0.05)-J295</f>
        <v>#REF!</v>
      </c>
    </row>
    <row r="296" spans="12:12" x14ac:dyDescent="0.25">
      <c r="L296" s="71" t="e">
        <f>(#REF!*0.05)-J296</f>
        <v>#REF!</v>
      </c>
    </row>
    <row r="297" spans="12:12" x14ac:dyDescent="0.25">
      <c r="L297" s="71" t="e">
        <f>(#REF!*0.05)-J297</f>
        <v>#REF!</v>
      </c>
    </row>
    <row r="298" spans="12:12" x14ac:dyDescent="0.25">
      <c r="L298" s="71" t="e">
        <f>(#REF!*0.05)-J298</f>
        <v>#REF!</v>
      </c>
    </row>
    <row r="299" spans="12:12" x14ac:dyDescent="0.25">
      <c r="L299" s="71" t="e">
        <f>(#REF!*0.05)-J299</f>
        <v>#REF!</v>
      </c>
    </row>
    <row r="300" spans="12:12" x14ac:dyDescent="0.25">
      <c r="L300" s="71" t="e">
        <f>(#REF!*0.05)-J300</f>
        <v>#REF!</v>
      </c>
    </row>
    <row r="301" spans="12:12" x14ac:dyDescent="0.25">
      <c r="L301" s="71" t="e">
        <f>(#REF!*0.05)-J301</f>
        <v>#REF!</v>
      </c>
    </row>
    <row r="302" spans="12:12" x14ac:dyDescent="0.25">
      <c r="L302" s="71" t="e">
        <f>(#REF!*0.05)-J302</f>
        <v>#REF!</v>
      </c>
    </row>
    <row r="303" spans="12:12" x14ac:dyDescent="0.25">
      <c r="L303" s="71" t="e">
        <f>(#REF!*0.05)-J303</f>
        <v>#REF!</v>
      </c>
    </row>
    <row r="304" spans="12:12" x14ac:dyDescent="0.25">
      <c r="L304" s="71" t="e">
        <f>(#REF!*0.05)-J304</f>
        <v>#REF!</v>
      </c>
    </row>
    <row r="305" spans="12:12" x14ac:dyDescent="0.25">
      <c r="L305" s="71" t="e">
        <f>(#REF!*0.05)-J305</f>
        <v>#REF!</v>
      </c>
    </row>
    <row r="306" spans="12:12" x14ac:dyDescent="0.25">
      <c r="L306" s="71" t="e">
        <f>(#REF!*0.05)-J306</f>
        <v>#REF!</v>
      </c>
    </row>
    <row r="307" spans="12:12" x14ac:dyDescent="0.25">
      <c r="L307" s="71" t="e">
        <f>(#REF!*0.05)-J307</f>
        <v>#REF!</v>
      </c>
    </row>
    <row r="308" spans="12:12" x14ac:dyDescent="0.25">
      <c r="L308" s="71" t="e">
        <f>(#REF!*0.05)-J308</f>
        <v>#REF!</v>
      </c>
    </row>
    <row r="309" spans="12:12" x14ac:dyDescent="0.25">
      <c r="L309" s="71" t="e">
        <f>(#REF!*0.05)-J309</f>
        <v>#REF!</v>
      </c>
    </row>
    <row r="310" spans="12:12" x14ac:dyDescent="0.25">
      <c r="L310" s="71" t="e">
        <f>(#REF!*0.05)-J310</f>
        <v>#REF!</v>
      </c>
    </row>
    <row r="311" spans="12:12" x14ac:dyDescent="0.25">
      <c r="L311" s="71" t="e">
        <f>(#REF!*0.05)-J311</f>
        <v>#REF!</v>
      </c>
    </row>
    <row r="312" spans="12:12" x14ac:dyDescent="0.25">
      <c r="L312" s="71" t="e">
        <f>(#REF!*0.05)-J312</f>
        <v>#REF!</v>
      </c>
    </row>
    <row r="313" spans="12:12" x14ac:dyDescent="0.25">
      <c r="L313" s="71" t="e">
        <f>(#REF!*0.05)-J313</f>
        <v>#REF!</v>
      </c>
    </row>
    <row r="314" spans="12:12" x14ac:dyDescent="0.25">
      <c r="L314" s="71" t="e">
        <f>(#REF!*0.05)-J314</f>
        <v>#REF!</v>
      </c>
    </row>
    <row r="315" spans="12:12" x14ac:dyDescent="0.25">
      <c r="L315" s="71" t="e">
        <f>(#REF!*0.05)-J315</f>
        <v>#REF!</v>
      </c>
    </row>
    <row r="316" spans="12:12" x14ac:dyDescent="0.25">
      <c r="L316" s="71" t="e">
        <f>(#REF!*0.05)-J316</f>
        <v>#REF!</v>
      </c>
    </row>
    <row r="317" spans="12:12" x14ac:dyDescent="0.25">
      <c r="L317" s="71" t="e">
        <f>(#REF!*0.05)-J317</f>
        <v>#REF!</v>
      </c>
    </row>
    <row r="318" spans="12:12" x14ac:dyDescent="0.25">
      <c r="L318" s="71" t="e">
        <f>(#REF!*0.05)-J318</f>
        <v>#REF!</v>
      </c>
    </row>
    <row r="319" spans="12:12" x14ac:dyDescent="0.25">
      <c r="L319" s="71" t="e">
        <f>(#REF!*0.05)-J319</f>
        <v>#REF!</v>
      </c>
    </row>
    <row r="320" spans="12:12" x14ac:dyDescent="0.25">
      <c r="L320" s="71" t="e">
        <f>(#REF!*0.05)-J320</f>
        <v>#REF!</v>
      </c>
    </row>
    <row r="321" spans="12:12" x14ac:dyDescent="0.25">
      <c r="L321" s="71" t="e">
        <f>(#REF!*0.05)-J321</f>
        <v>#REF!</v>
      </c>
    </row>
    <row r="322" spans="12:12" x14ac:dyDescent="0.25">
      <c r="L322" s="71" t="e">
        <f>(#REF!*0.05)-J322</f>
        <v>#REF!</v>
      </c>
    </row>
    <row r="323" spans="12:12" x14ac:dyDescent="0.25">
      <c r="L323" s="71" t="e">
        <f>(#REF!*0.05)-J323</f>
        <v>#REF!</v>
      </c>
    </row>
    <row r="324" spans="12:12" x14ac:dyDescent="0.25">
      <c r="L324" s="71" t="e">
        <f>(#REF!*0.05)-J324</f>
        <v>#REF!</v>
      </c>
    </row>
    <row r="325" spans="12:12" x14ac:dyDescent="0.25">
      <c r="L325" s="71" t="e">
        <f>(#REF!*0.05)-J325</f>
        <v>#REF!</v>
      </c>
    </row>
    <row r="326" spans="12:12" x14ac:dyDescent="0.25">
      <c r="L326" s="71" t="e">
        <f>(#REF!*0.05)-J326</f>
        <v>#REF!</v>
      </c>
    </row>
    <row r="327" spans="12:12" x14ac:dyDescent="0.25">
      <c r="L327" s="71" t="e">
        <f>(#REF!*0.05)-J327</f>
        <v>#REF!</v>
      </c>
    </row>
    <row r="328" spans="12:12" x14ac:dyDescent="0.25">
      <c r="L328" s="71" t="e">
        <f>(#REF!*0.05)-J328</f>
        <v>#REF!</v>
      </c>
    </row>
    <row r="329" spans="12:12" x14ac:dyDescent="0.25">
      <c r="L329" s="71" t="e">
        <f>(#REF!*0.05)-J329</f>
        <v>#REF!</v>
      </c>
    </row>
    <row r="330" spans="12:12" x14ac:dyDescent="0.25">
      <c r="L330" s="71" t="e">
        <f>(#REF!*0.05)-J330</f>
        <v>#REF!</v>
      </c>
    </row>
    <row r="331" spans="12:12" x14ac:dyDescent="0.25">
      <c r="L331" s="71" t="e">
        <f>(#REF!*0.05)-J331</f>
        <v>#REF!</v>
      </c>
    </row>
    <row r="332" spans="12:12" x14ac:dyDescent="0.25">
      <c r="L332" s="71" t="e">
        <f>(#REF!*0.05)-J332</f>
        <v>#REF!</v>
      </c>
    </row>
    <row r="333" spans="12:12" x14ac:dyDescent="0.25">
      <c r="L333" s="71" t="e">
        <f>(#REF!*0.05)-J333</f>
        <v>#REF!</v>
      </c>
    </row>
    <row r="334" spans="12:12" x14ac:dyDescent="0.25">
      <c r="L334" s="71" t="e">
        <f>(#REF!*0.05)-J334</f>
        <v>#REF!</v>
      </c>
    </row>
    <row r="335" spans="12:12" x14ac:dyDescent="0.25">
      <c r="L335" s="71" t="e">
        <f>(#REF!*0.05)-J335</f>
        <v>#REF!</v>
      </c>
    </row>
    <row r="336" spans="12:12" x14ac:dyDescent="0.25">
      <c r="L336" s="71" t="e">
        <f>(#REF!*0.05)-J336</f>
        <v>#REF!</v>
      </c>
    </row>
    <row r="337" spans="12:12" x14ac:dyDescent="0.25">
      <c r="L337" s="71" t="e">
        <f>(#REF!*0.05)-J337</f>
        <v>#REF!</v>
      </c>
    </row>
    <row r="338" spans="12:12" x14ac:dyDescent="0.25">
      <c r="L338" s="71" t="e">
        <f>(#REF!*0.05)-J338</f>
        <v>#REF!</v>
      </c>
    </row>
    <row r="339" spans="12:12" x14ac:dyDescent="0.25">
      <c r="L339" s="71" t="e">
        <f>(#REF!*0.05)-J339</f>
        <v>#REF!</v>
      </c>
    </row>
    <row r="340" spans="12:12" x14ac:dyDescent="0.25">
      <c r="L340" s="71" t="e">
        <f>(#REF!*0.05)-J340</f>
        <v>#REF!</v>
      </c>
    </row>
    <row r="341" spans="12:12" x14ac:dyDescent="0.25">
      <c r="L341" s="71" t="e">
        <f>(#REF!*0.05)-J341</f>
        <v>#REF!</v>
      </c>
    </row>
    <row r="342" spans="12:12" x14ac:dyDescent="0.25">
      <c r="L342" s="71" t="e">
        <f>(#REF!*0.05)-J342</f>
        <v>#REF!</v>
      </c>
    </row>
    <row r="343" spans="12:12" x14ac:dyDescent="0.25">
      <c r="L343" s="71" t="e">
        <f>(#REF!*0.05)-J343</f>
        <v>#REF!</v>
      </c>
    </row>
    <row r="344" spans="12:12" x14ac:dyDescent="0.25">
      <c r="L344" s="71" t="e">
        <f>(#REF!*0.05)-J344</f>
        <v>#REF!</v>
      </c>
    </row>
    <row r="345" spans="12:12" x14ac:dyDescent="0.25">
      <c r="L345" s="71" t="e">
        <f>(#REF!*0.05)-J345</f>
        <v>#REF!</v>
      </c>
    </row>
    <row r="346" spans="12:12" x14ac:dyDescent="0.25">
      <c r="L346" s="71" t="e">
        <f>(#REF!*0.05)-J346</f>
        <v>#REF!</v>
      </c>
    </row>
    <row r="347" spans="12:12" x14ac:dyDescent="0.25">
      <c r="L347" s="71" t="e">
        <f>(#REF!*0.05)-J347</f>
        <v>#REF!</v>
      </c>
    </row>
    <row r="348" spans="12:12" x14ac:dyDescent="0.25">
      <c r="L348" s="71" t="e">
        <f>(#REF!*0.05)-J348</f>
        <v>#REF!</v>
      </c>
    </row>
    <row r="349" spans="12:12" x14ac:dyDescent="0.25">
      <c r="L349" s="71" t="e">
        <f>(#REF!*0.05)-J349</f>
        <v>#REF!</v>
      </c>
    </row>
    <row r="350" spans="12:12" x14ac:dyDescent="0.25">
      <c r="L350" s="71" t="e">
        <f>(#REF!*0.05)-J350</f>
        <v>#REF!</v>
      </c>
    </row>
    <row r="351" spans="12:12" x14ac:dyDescent="0.25">
      <c r="L351" s="71" t="e">
        <f>(#REF!*0.05)-J351</f>
        <v>#REF!</v>
      </c>
    </row>
    <row r="352" spans="12:12" x14ac:dyDescent="0.25">
      <c r="L352" s="71" t="e">
        <f>(#REF!*0.05)-J352</f>
        <v>#REF!</v>
      </c>
    </row>
    <row r="353" spans="12:12" x14ac:dyDescent="0.25">
      <c r="L353" s="71" t="e">
        <f>(#REF!*0.05)-J353</f>
        <v>#REF!</v>
      </c>
    </row>
    <row r="354" spans="12:12" x14ac:dyDescent="0.25">
      <c r="L354" s="71" t="e">
        <f>(#REF!*0.05)-J354</f>
        <v>#REF!</v>
      </c>
    </row>
    <row r="355" spans="12:12" x14ac:dyDescent="0.25">
      <c r="L355" s="71" t="e">
        <f>(#REF!*0.05)-J355</f>
        <v>#REF!</v>
      </c>
    </row>
    <row r="356" spans="12:12" x14ac:dyDescent="0.25">
      <c r="L356" s="71" t="e">
        <f>(#REF!*0.05)-J356</f>
        <v>#REF!</v>
      </c>
    </row>
    <row r="357" spans="12:12" x14ac:dyDescent="0.25">
      <c r="L357" s="71" t="e">
        <f>(#REF!*0.05)-J357</f>
        <v>#REF!</v>
      </c>
    </row>
    <row r="358" spans="12:12" x14ac:dyDescent="0.25">
      <c r="L358" s="71" t="e">
        <f>(#REF!*0.05)-J358</f>
        <v>#REF!</v>
      </c>
    </row>
    <row r="359" spans="12:12" x14ac:dyDescent="0.25">
      <c r="L359" s="71" t="e">
        <f>(#REF!*0.05)-J359</f>
        <v>#REF!</v>
      </c>
    </row>
    <row r="360" spans="12:12" x14ac:dyDescent="0.25">
      <c r="L360" s="71" t="e">
        <f>(#REF!*0.05)-J360</f>
        <v>#REF!</v>
      </c>
    </row>
    <row r="361" spans="12:12" x14ac:dyDescent="0.25">
      <c r="L361" s="71" t="e">
        <f>(#REF!*0.05)-J361</f>
        <v>#REF!</v>
      </c>
    </row>
    <row r="362" spans="12:12" x14ac:dyDescent="0.25">
      <c r="L362" s="71" t="e">
        <f>(#REF!*0.05)-J362</f>
        <v>#REF!</v>
      </c>
    </row>
    <row r="363" spans="12:12" x14ac:dyDescent="0.25">
      <c r="L363" s="71" t="e">
        <f>(#REF!*0.05)-J363</f>
        <v>#REF!</v>
      </c>
    </row>
    <row r="364" spans="12:12" x14ac:dyDescent="0.25">
      <c r="L364" s="71" t="e">
        <f>(#REF!*0.05)-J364</f>
        <v>#REF!</v>
      </c>
    </row>
    <row r="365" spans="12:12" x14ac:dyDescent="0.25">
      <c r="L365" s="71" t="e">
        <f>(#REF!*0.05)-J365</f>
        <v>#REF!</v>
      </c>
    </row>
    <row r="366" spans="12:12" x14ac:dyDescent="0.25">
      <c r="L366" s="71" t="e">
        <f>(#REF!*0.05)-J366</f>
        <v>#REF!</v>
      </c>
    </row>
    <row r="367" spans="12:12" x14ac:dyDescent="0.25">
      <c r="L367" s="71" t="e">
        <f>(#REF!*0.05)-J367</f>
        <v>#REF!</v>
      </c>
    </row>
    <row r="368" spans="12:12" x14ac:dyDescent="0.25">
      <c r="L368" s="71" t="e">
        <f>(#REF!*0.05)-J368</f>
        <v>#REF!</v>
      </c>
    </row>
    <row r="369" spans="12:12" x14ac:dyDescent="0.25">
      <c r="L369" s="71" t="e">
        <f>(#REF!*0.05)-J369</f>
        <v>#REF!</v>
      </c>
    </row>
    <row r="370" spans="12:12" x14ac:dyDescent="0.25">
      <c r="L370" s="71" t="e">
        <f>(#REF!*0.05)-J370</f>
        <v>#REF!</v>
      </c>
    </row>
    <row r="371" spans="12:12" x14ac:dyDescent="0.25">
      <c r="L371" s="71" t="e">
        <f>(#REF!*0.05)-J371</f>
        <v>#REF!</v>
      </c>
    </row>
    <row r="372" spans="12:12" x14ac:dyDescent="0.25">
      <c r="L372" s="71" t="e">
        <f>(#REF!*0.05)-J372</f>
        <v>#REF!</v>
      </c>
    </row>
    <row r="373" spans="12:12" x14ac:dyDescent="0.25">
      <c r="L373" s="71" t="e">
        <f>(#REF!*0.05)-J373</f>
        <v>#REF!</v>
      </c>
    </row>
    <row r="374" spans="12:12" x14ac:dyDescent="0.25">
      <c r="L374" s="71" t="e">
        <f>(#REF!*0.05)-J374</f>
        <v>#REF!</v>
      </c>
    </row>
    <row r="375" spans="12:12" x14ac:dyDescent="0.25">
      <c r="L375" s="71" t="e">
        <f>(#REF!*0.05)-J375</f>
        <v>#REF!</v>
      </c>
    </row>
    <row r="376" spans="12:12" x14ac:dyDescent="0.25">
      <c r="L376" s="71" t="e">
        <f>(#REF!*0.05)-J376</f>
        <v>#REF!</v>
      </c>
    </row>
    <row r="377" spans="12:12" x14ac:dyDescent="0.25">
      <c r="L377" s="71" t="e">
        <f>(#REF!*0.05)-J377</f>
        <v>#REF!</v>
      </c>
    </row>
    <row r="378" spans="12:12" x14ac:dyDescent="0.25">
      <c r="L378" s="71" t="e">
        <f>(#REF!*0.05)-J378</f>
        <v>#REF!</v>
      </c>
    </row>
    <row r="379" spans="12:12" x14ac:dyDescent="0.25">
      <c r="L379" s="71" t="e">
        <f>(#REF!*0.05)-J379</f>
        <v>#REF!</v>
      </c>
    </row>
    <row r="380" spans="12:12" x14ac:dyDescent="0.25">
      <c r="L380" s="71" t="e">
        <f>(#REF!*0.05)-J380</f>
        <v>#REF!</v>
      </c>
    </row>
    <row r="381" spans="12:12" x14ac:dyDescent="0.25">
      <c r="L381" s="71" t="e">
        <f>(#REF!*0.05)-J381</f>
        <v>#REF!</v>
      </c>
    </row>
    <row r="382" spans="12:12" x14ac:dyDescent="0.25">
      <c r="L382" s="71" t="e">
        <f>(#REF!*0.05)-J382</f>
        <v>#REF!</v>
      </c>
    </row>
    <row r="383" spans="12:12" x14ac:dyDescent="0.25">
      <c r="L383" s="71" t="e">
        <f>(#REF!*0.05)-J383</f>
        <v>#REF!</v>
      </c>
    </row>
    <row r="384" spans="12:12" x14ac:dyDescent="0.25">
      <c r="L384" s="71" t="e">
        <f>(#REF!*0.05)-J384</f>
        <v>#REF!</v>
      </c>
    </row>
    <row r="385" spans="12:12" x14ac:dyDescent="0.25">
      <c r="L385" s="71" t="e">
        <f>(#REF!*0.05)-J385</f>
        <v>#REF!</v>
      </c>
    </row>
    <row r="386" spans="12:12" x14ac:dyDescent="0.25">
      <c r="L386" s="71" t="e">
        <f>(#REF!*0.05)-J386</f>
        <v>#REF!</v>
      </c>
    </row>
    <row r="387" spans="12:12" x14ac:dyDescent="0.25">
      <c r="L387" s="71" t="e">
        <f>(#REF!*0.05)-J387</f>
        <v>#REF!</v>
      </c>
    </row>
    <row r="388" spans="12:12" x14ac:dyDescent="0.25">
      <c r="L388" s="71" t="e">
        <f>(#REF!*0.05)-J388</f>
        <v>#REF!</v>
      </c>
    </row>
    <row r="389" spans="12:12" x14ac:dyDescent="0.25">
      <c r="L389" s="71" t="e">
        <f>(#REF!*0.05)-J389</f>
        <v>#REF!</v>
      </c>
    </row>
    <row r="390" spans="12:12" x14ac:dyDescent="0.25">
      <c r="L390" s="71" t="e">
        <f>(#REF!*0.05)-J390</f>
        <v>#REF!</v>
      </c>
    </row>
    <row r="391" spans="12:12" x14ac:dyDescent="0.25">
      <c r="L391" s="71" t="e">
        <f>(#REF!*0.05)-J391</f>
        <v>#REF!</v>
      </c>
    </row>
    <row r="392" spans="12:12" x14ac:dyDescent="0.25">
      <c r="L392" s="71" t="e">
        <f>(#REF!*0.05)-J392</f>
        <v>#REF!</v>
      </c>
    </row>
    <row r="393" spans="12:12" x14ac:dyDescent="0.25">
      <c r="L393" s="71" t="e">
        <f>(#REF!*0.05)-J393</f>
        <v>#REF!</v>
      </c>
    </row>
    <row r="394" spans="12:12" x14ac:dyDescent="0.25">
      <c r="L394" s="71" t="e">
        <f>(#REF!*0.05)-J394</f>
        <v>#REF!</v>
      </c>
    </row>
    <row r="395" spans="12:12" x14ac:dyDescent="0.25">
      <c r="L395" s="71" t="e">
        <f>(#REF!*0.05)-J395</f>
        <v>#REF!</v>
      </c>
    </row>
    <row r="396" spans="12:12" x14ac:dyDescent="0.25">
      <c r="L396" s="71" t="e">
        <f>(#REF!*0.05)-J396</f>
        <v>#REF!</v>
      </c>
    </row>
    <row r="397" spans="12:12" x14ac:dyDescent="0.25">
      <c r="L397" s="71" t="e">
        <f>(#REF!*0.05)-J397</f>
        <v>#REF!</v>
      </c>
    </row>
    <row r="398" spans="12:12" x14ac:dyDescent="0.25">
      <c r="L398" s="71" t="e">
        <f>(#REF!*0.05)-J398</f>
        <v>#REF!</v>
      </c>
    </row>
    <row r="399" spans="12:12" x14ac:dyDescent="0.25">
      <c r="L399" s="71" t="e">
        <f>(#REF!*0.05)-J399</f>
        <v>#REF!</v>
      </c>
    </row>
    <row r="400" spans="12:12" x14ac:dyDescent="0.25">
      <c r="L400" s="71" t="e">
        <f>(#REF!*0.05)-J400</f>
        <v>#REF!</v>
      </c>
    </row>
    <row r="401" spans="12:12" x14ac:dyDescent="0.25">
      <c r="L401" s="71" t="e">
        <f>(#REF!*0.05)-J401</f>
        <v>#REF!</v>
      </c>
    </row>
    <row r="402" spans="12:12" x14ac:dyDescent="0.25">
      <c r="L402" s="71" t="e">
        <f>(#REF!*0.05)-J402</f>
        <v>#REF!</v>
      </c>
    </row>
    <row r="403" spans="12:12" x14ac:dyDescent="0.25">
      <c r="L403" s="71" t="e">
        <f>(#REF!*0.05)-J403</f>
        <v>#REF!</v>
      </c>
    </row>
    <row r="404" spans="12:12" x14ac:dyDescent="0.25">
      <c r="L404" s="71" t="e">
        <f>(#REF!*0.05)-J404</f>
        <v>#REF!</v>
      </c>
    </row>
    <row r="405" spans="12:12" x14ac:dyDescent="0.25">
      <c r="L405" s="71" t="e">
        <f>(#REF!*0.05)-J405</f>
        <v>#REF!</v>
      </c>
    </row>
    <row r="406" spans="12:12" x14ac:dyDescent="0.25">
      <c r="L406" s="71" t="e">
        <f>(#REF!*0.05)-J406</f>
        <v>#REF!</v>
      </c>
    </row>
    <row r="407" spans="12:12" x14ac:dyDescent="0.25">
      <c r="L407" s="71" t="e">
        <f>(#REF!*0.05)-J407</f>
        <v>#REF!</v>
      </c>
    </row>
    <row r="408" spans="12:12" x14ac:dyDescent="0.25">
      <c r="L408" s="71" t="e">
        <f>(#REF!*0.05)-J408</f>
        <v>#REF!</v>
      </c>
    </row>
    <row r="409" spans="12:12" x14ac:dyDescent="0.25">
      <c r="L409" s="71" t="e">
        <f>(#REF!*0.05)-J409</f>
        <v>#REF!</v>
      </c>
    </row>
    <row r="410" spans="12:12" x14ac:dyDescent="0.25">
      <c r="L410" s="71" t="e">
        <f>(#REF!*0.05)-J410</f>
        <v>#REF!</v>
      </c>
    </row>
    <row r="411" spans="12:12" x14ac:dyDescent="0.25">
      <c r="L411" s="71" t="e">
        <f>(#REF!*0.05)-J411</f>
        <v>#REF!</v>
      </c>
    </row>
    <row r="412" spans="12:12" x14ac:dyDescent="0.25">
      <c r="L412" s="71" t="e">
        <f>(#REF!*0.05)-J412</f>
        <v>#REF!</v>
      </c>
    </row>
    <row r="413" spans="12:12" x14ac:dyDescent="0.25">
      <c r="L413" s="71" t="e">
        <f>(#REF!*0.05)-J413</f>
        <v>#REF!</v>
      </c>
    </row>
    <row r="414" spans="12:12" x14ac:dyDescent="0.25">
      <c r="L414" s="71" t="e">
        <f>(#REF!*0.05)-J414</f>
        <v>#REF!</v>
      </c>
    </row>
    <row r="415" spans="12:12" x14ac:dyDescent="0.25">
      <c r="L415" s="71" t="e">
        <f>(#REF!*0.05)-J415</f>
        <v>#REF!</v>
      </c>
    </row>
    <row r="416" spans="12:12" x14ac:dyDescent="0.25">
      <c r="L416" s="71" t="e">
        <f>(#REF!*0.05)-J416</f>
        <v>#REF!</v>
      </c>
    </row>
    <row r="417" spans="12:12" x14ac:dyDescent="0.25">
      <c r="L417" s="71" t="e">
        <f>(#REF!*0.05)-J417</f>
        <v>#REF!</v>
      </c>
    </row>
    <row r="418" spans="12:12" x14ac:dyDescent="0.25">
      <c r="L418" s="71" t="e">
        <f>(#REF!*0.05)-J418</f>
        <v>#REF!</v>
      </c>
    </row>
    <row r="419" spans="12:12" x14ac:dyDescent="0.25">
      <c r="L419" s="71" t="e">
        <f>(#REF!*0.05)-J419</f>
        <v>#REF!</v>
      </c>
    </row>
    <row r="420" spans="12:12" x14ac:dyDescent="0.25">
      <c r="L420" s="71" t="e">
        <f>(#REF!*0.05)-J420</f>
        <v>#REF!</v>
      </c>
    </row>
    <row r="421" spans="12:12" x14ac:dyDescent="0.25">
      <c r="L421" s="71" t="e">
        <f>(#REF!*0.05)-J421</f>
        <v>#REF!</v>
      </c>
    </row>
    <row r="422" spans="12:12" x14ac:dyDescent="0.25">
      <c r="L422" s="71" t="e">
        <f>(#REF!*0.05)-J422</f>
        <v>#REF!</v>
      </c>
    </row>
    <row r="423" spans="12:12" x14ac:dyDescent="0.25">
      <c r="L423" s="71" t="e">
        <f>(#REF!*0.05)-J423</f>
        <v>#REF!</v>
      </c>
    </row>
    <row r="424" spans="12:12" x14ac:dyDescent="0.25">
      <c r="L424" s="71" t="e">
        <f>(#REF!*0.05)-J424</f>
        <v>#REF!</v>
      </c>
    </row>
    <row r="425" spans="12:12" x14ac:dyDescent="0.25">
      <c r="L425" s="71" t="e">
        <f>(#REF!*0.05)-J425</f>
        <v>#REF!</v>
      </c>
    </row>
    <row r="426" spans="12:12" x14ac:dyDescent="0.25">
      <c r="L426" s="71" t="e">
        <f>(#REF!*0.05)-J426</f>
        <v>#REF!</v>
      </c>
    </row>
    <row r="427" spans="12:12" x14ac:dyDescent="0.25">
      <c r="L427" s="71" t="e">
        <f>(#REF!*0.05)-J427</f>
        <v>#REF!</v>
      </c>
    </row>
    <row r="428" spans="12:12" x14ac:dyDescent="0.25">
      <c r="L428" s="71" t="e">
        <f>(#REF!*0.05)-J428</f>
        <v>#REF!</v>
      </c>
    </row>
    <row r="429" spans="12:12" x14ac:dyDescent="0.25">
      <c r="L429" s="71" t="e">
        <f>(#REF!*0.05)-J429</f>
        <v>#REF!</v>
      </c>
    </row>
    <row r="430" spans="12:12" x14ac:dyDescent="0.25">
      <c r="L430" s="71" t="e">
        <f>(#REF!*0.05)-J430</f>
        <v>#REF!</v>
      </c>
    </row>
    <row r="431" spans="12:12" x14ac:dyDescent="0.25">
      <c r="L431" s="71" t="e">
        <f>(#REF!*0.05)-J431</f>
        <v>#REF!</v>
      </c>
    </row>
    <row r="432" spans="12:12" x14ac:dyDescent="0.25">
      <c r="L432" s="71" t="e">
        <f>(#REF!*0.05)-J432</f>
        <v>#REF!</v>
      </c>
    </row>
    <row r="433" spans="12:12" x14ac:dyDescent="0.25">
      <c r="L433" s="71" t="e">
        <f>(#REF!*0.05)-J433</f>
        <v>#REF!</v>
      </c>
    </row>
    <row r="434" spans="12:12" x14ac:dyDescent="0.25">
      <c r="L434" s="71" t="e">
        <f>(#REF!*0.05)-J434</f>
        <v>#REF!</v>
      </c>
    </row>
    <row r="435" spans="12:12" x14ac:dyDescent="0.25">
      <c r="L435" s="71" t="e">
        <f>(#REF!*0.05)-J435</f>
        <v>#REF!</v>
      </c>
    </row>
    <row r="436" spans="12:12" x14ac:dyDescent="0.25">
      <c r="L436" s="71" t="e">
        <f>(#REF!*0.05)-J436</f>
        <v>#REF!</v>
      </c>
    </row>
    <row r="437" spans="12:12" x14ac:dyDescent="0.25">
      <c r="L437" s="71" t="e">
        <f>(#REF!*0.05)-J437</f>
        <v>#REF!</v>
      </c>
    </row>
    <row r="438" spans="12:12" x14ac:dyDescent="0.25">
      <c r="L438" s="71" t="e">
        <f>(#REF!*0.05)-J438</f>
        <v>#REF!</v>
      </c>
    </row>
    <row r="439" spans="12:12" x14ac:dyDescent="0.25">
      <c r="L439" s="71" t="e">
        <f>(#REF!*0.05)-J439</f>
        <v>#REF!</v>
      </c>
    </row>
    <row r="440" spans="12:12" x14ac:dyDescent="0.25">
      <c r="L440" s="71" t="e">
        <f>(#REF!*0.05)-J440</f>
        <v>#REF!</v>
      </c>
    </row>
    <row r="441" spans="12:12" x14ac:dyDescent="0.25">
      <c r="L441" s="71" t="e">
        <f>(#REF!*0.05)-J441</f>
        <v>#REF!</v>
      </c>
    </row>
    <row r="442" spans="12:12" x14ac:dyDescent="0.25">
      <c r="L442" s="71" t="e">
        <f>(#REF!*0.05)-J442</f>
        <v>#REF!</v>
      </c>
    </row>
    <row r="443" spans="12:12" x14ac:dyDescent="0.25">
      <c r="L443" s="71" t="e">
        <f>(#REF!*0.05)-J443</f>
        <v>#REF!</v>
      </c>
    </row>
    <row r="444" spans="12:12" x14ac:dyDescent="0.25">
      <c r="L444" s="71" t="e">
        <f>(#REF!*0.05)-J444</f>
        <v>#REF!</v>
      </c>
    </row>
    <row r="445" spans="12:12" x14ac:dyDescent="0.25">
      <c r="L445" s="71" t="e">
        <f>(#REF!*0.05)-J445</f>
        <v>#REF!</v>
      </c>
    </row>
    <row r="446" spans="12:12" x14ac:dyDescent="0.25">
      <c r="L446" s="71" t="e">
        <f>(#REF!*0.05)-J446</f>
        <v>#REF!</v>
      </c>
    </row>
    <row r="447" spans="12:12" x14ac:dyDescent="0.25">
      <c r="L447" s="71" t="e">
        <f>(#REF!*0.05)-J447</f>
        <v>#REF!</v>
      </c>
    </row>
    <row r="448" spans="12:12" x14ac:dyDescent="0.25">
      <c r="L448" s="71" t="e">
        <f>(#REF!*0.05)-J448</f>
        <v>#REF!</v>
      </c>
    </row>
    <row r="449" spans="12:12" x14ac:dyDescent="0.25">
      <c r="L449" s="71" t="e">
        <f>(#REF!*0.05)-J449</f>
        <v>#REF!</v>
      </c>
    </row>
    <row r="450" spans="12:12" x14ac:dyDescent="0.25">
      <c r="L450" s="71" t="e">
        <f>(#REF!*0.05)-J450</f>
        <v>#REF!</v>
      </c>
    </row>
    <row r="451" spans="12:12" x14ac:dyDescent="0.25">
      <c r="L451" s="71" t="e">
        <f>(#REF!*0.05)-J451</f>
        <v>#REF!</v>
      </c>
    </row>
    <row r="452" spans="12:12" x14ac:dyDescent="0.25">
      <c r="L452" s="71" t="e">
        <f>(#REF!*0.05)-J452</f>
        <v>#REF!</v>
      </c>
    </row>
    <row r="453" spans="12:12" x14ac:dyDescent="0.25">
      <c r="L453" s="71" t="e">
        <f>(#REF!*0.05)-J453</f>
        <v>#REF!</v>
      </c>
    </row>
    <row r="454" spans="12:12" x14ac:dyDescent="0.25">
      <c r="L454" s="71" t="e">
        <f>(#REF!*0.05)-J454</f>
        <v>#REF!</v>
      </c>
    </row>
    <row r="455" spans="12:12" x14ac:dyDescent="0.25">
      <c r="L455" s="71" t="e">
        <f>(#REF!*0.05)-J455</f>
        <v>#REF!</v>
      </c>
    </row>
    <row r="456" spans="12:12" x14ac:dyDescent="0.25">
      <c r="L456" s="71" t="e">
        <f>(#REF!*0.05)-J456</f>
        <v>#REF!</v>
      </c>
    </row>
    <row r="457" spans="12:12" x14ac:dyDescent="0.25">
      <c r="L457" s="71" t="e">
        <f>(#REF!*0.05)-J457</f>
        <v>#REF!</v>
      </c>
    </row>
    <row r="458" spans="12:12" x14ac:dyDescent="0.25">
      <c r="L458" s="71" t="e">
        <f>(#REF!*0.05)-J458</f>
        <v>#REF!</v>
      </c>
    </row>
    <row r="459" spans="12:12" x14ac:dyDescent="0.25">
      <c r="L459" s="71" t="e">
        <f>(#REF!*0.05)-J459</f>
        <v>#REF!</v>
      </c>
    </row>
    <row r="460" spans="12:12" x14ac:dyDescent="0.25">
      <c r="L460" s="71" t="e">
        <f>(#REF!*0.05)-J460</f>
        <v>#REF!</v>
      </c>
    </row>
    <row r="461" spans="12:12" x14ac:dyDescent="0.25">
      <c r="L461" s="71" t="e">
        <f>(#REF!*0.05)-J461</f>
        <v>#REF!</v>
      </c>
    </row>
    <row r="462" spans="12:12" x14ac:dyDescent="0.25">
      <c r="L462" s="71" t="e">
        <f>(#REF!*0.05)-J462</f>
        <v>#REF!</v>
      </c>
    </row>
    <row r="463" spans="12:12" x14ac:dyDescent="0.25">
      <c r="L463" s="71" t="e">
        <f>(#REF!*0.05)-J463</f>
        <v>#REF!</v>
      </c>
    </row>
    <row r="464" spans="12:12" x14ac:dyDescent="0.25">
      <c r="L464" s="71" t="e">
        <f>(#REF!*0.05)-J464</f>
        <v>#REF!</v>
      </c>
    </row>
    <row r="465" spans="12:12" x14ac:dyDescent="0.25">
      <c r="L465" s="71" t="e">
        <f>(#REF!*0.05)-J465</f>
        <v>#REF!</v>
      </c>
    </row>
    <row r="466" spans="12:12" x14ac:dyDescent="0.25">
      <c r="L466" s="71" t="e">
        <f>(#REF!*0.05)-J466</f>
        <v>#REF!</v>
      </c>
    </row>
    <row r="467" spans="12:12" x14ac:dyDescent="0.25">
      <c r="L467" s="71" t="e">
        <f>(#REF!*0.05)-J467</f>
        <v>#REF!</v>
      </c>
    </row>
    <row r="468" spans="12:12" x14ac:dyDescent="0.25">
      <c r="L468" s="71" t="e">
        <f>(#REF!*0.05)-J468</f>
        <v>#REF!</v>
      </c>
    </row>
    <row r="469" spans="12:12" x14ac:dyDescent="0.25">
      <c r="L469" s="71" t="e">
        <f>(#REF!*0.05)-J469</f>
        <v>#REF!</v>
      </c>
    </row>
    <row r="470" spans="12:12" x14ac:dyDescent="0.25">
      <c r="L470" s="71" t="e">
        <f>(#REF!*0.05)-J470</f>
        <v>#REF!</v>
      </c>
    </row>
    <row r="471" spans="12:12" x14ac:dyDescent="0.25">
      <c r="L471" s="71" t="e">
        <f>(#REF!*0.05)-J471</f>
        <v>#REF!</v>
      </c>
    </row>
    <row r="472" spans="12:12" x14ac:dyDescent="0.25">
      <c r="L472" s="71" t="e">
        <f>(#REF!*0.05)-J472</f>
        <v>#REF!</v>
      </c>
    </row>
    <row r="473" spans="12:12" x14ac:dyDescent="0.25">
      <c r="L473" s="71" t="e">
        <f>(#REF!*0.05)-J473</f>
        <v>#REF!</v>
      </c>
    </row>
    <row r="474" spans="12:12" x14ac:dyDescent="0.25">
      <c r="L474" s="71" t="e">
        <f>(#REF!*0.05)-J474</f>
        <v>#REF!</v>
      </c>
    </row>
    <row r="475" spans="12:12" x14ac:dyDescent="0.25">
      <c r="L475" s="71" t="e">
        <f>(#REF!*0.05)-J475</f>
        <v>#REF!</v>
      </c>
    </row>
    <row r="476" spans="12:12" x14ac:dyDescent="0.25">
      <c r="L476" s="71" t="e">
        <f>(#REF!*0.05)-J476</f>
        <v>#REF!</v>
      </c>
    </row>
    <row r="477" spans="12:12" x14ac:dyDescent="0.25">
      <c r="L477" s="71" t="e">
        <f>(#REF!*0.05)-J477</f>
        <v>#REF!</v>
      </c>
    </row>
    <row r="478" spans="12:12" x14ac:dyDescent="0.25">
      <c r="L478" s="71" t="e">
        <f>(#REF!*0.05)-J478</f>
        <v>#REF!</v>
      </c>
    </row>
    <row r="479" spans="12:12" x14ac:dyDescent="0.25">
      <c r="L479" s="71" t="e">
        <f>(#REF!*0.05)-J479</f>
        <v>#REF!</v>
      </c>
    </row>
    <row r="480" spans="12:12" x14ac:dyDescent="0.25">
      <c r="L480" s="71" t="e">
        <f>(#REF!*0.05)-J480</f>
        <v>#REF!</v>
      </c>
    </row>
    <row r="481" spans="12:12" x14ac:dyDescent="0.25">
      <c r="L481" s="71" t="e">
        <f>(#REF!*0.05)-J481</f>
        <v>#REF!</v>
      </c>
    </row>
    <row r="482" spans="12:12" x14ac:dyDescent="0.25">
      <c r="L482" s="71" t="e">
        <f>(#REF!*0.05)-J482</f>
        <v>#REF!</v>
      </c>
    </row>
    <row r="483" spans="12:12" x14ac:dyDescent="0.25">
      <c r="L483" s="71" t="e">
        <f>(#REF!*0.05)-J483</f>
        <v>#REF!</v>
      </c>
    </row>
    <row r="484" spans="12:12" x14ac:dyDescent="0.25">
      <c r="L484" s="71" t="e">
        <f>(#REF!*0.05)-J484</f>
        <v>#REF!</v>
      </c>
    </row>
    <row r="485" spans="12:12" x14ac:dyDescent="0.25">
      <c r="L485" s="71" t="e">
        <f>(#REF!*0.05)-J485</f>
        <v>#REF!</v>
      </c>
    </row>
    <row r="486" spans="12:12" x14ac:dyDescent="0.25">
      <c r="L486" s="71" t="e">
        <f>(#REF!*0.05)-J486</f>
        <v>#REF!</v>
      </c>
    </row>
    <row r="487" spans="12:12" x14ac:dyDescent="0.25">
      <c r="L487" s="71" t="e">
        <f>(#REF!*0.05)-J487</f>
        <v>#REF!</v>
      </c>
    </row>
    <row r="488" spans="12:12" x14ac:dyDescent="0.25">
      <c r="L488" s="71" t="e">
        <f>(#REF!*0.05)-J488</f>
        <v>#REF!</v>
      </c>
    </row>
    <row r="489" spans="12:12" x14ac:dyDescent="0.25">
      <c r="L489" s="71" t="e">
        <f>(#REF!*0.05)-J489</f>
        <v>#REF!</v>
      </c>
    </row>
    <row r="490" spans="12:12" x14ac:dyDescent="0.25">
      <c r="L490" s="71" t="e">
        <f>(#REF!*0.05)-J490</f>
        <v>#REF!</v>
      </c>
    </row>
    <row r="491" spans="12:12" x14ac:dyDescent="0.25">
      <c r="L491" s="71" t="e">
        <f>(#REF!*0.05)-J491</f>
        <v>#REF!</v>
      </c>
    </row>
    <row r="492" spans="12:12" x14ac:dyDescent="0.25">
      <c r="L492" s="71" t="e">
        <f>(#REF!*0.05)-J492</f>
        <v>#REF!</v>
      </c>
    </row>
    <row r="493" spans="12:12" x14ac:dyDescent="0.25">
      <c r="L493" s="71" t="e">
        <f>(#REF!*0.05)-J493</f>
        <v>#REF!</v>
      </c>
    </row>
    <row r="494" spans="12:12" x14ac:dyDescent="0.25">
      <c r="L494" s="71" t="e">
        <f>(#REF!*0.05)-J494</f>
        <v>#REF!</v>
      </c>
    </row>
    <row r="495" spans="12:12" x14ac:dyDescent="0.25">
      <c r="L495" s="71" t="e">
        <f>(#REF!*0.05)-J495</f>
        <v>#REF!</v>
      </c>
    </row>
    <row r="496" spans="12:12" x14ac:dyDescent="0.25">
      <c r="L496" s="71" t="e">
        <f>(#REF!*0.05)-J496</f>
        <v>#REF!</v>
      </c>
    </row>
    <row r="497" spans="12:12" x14ac:dyDescent="0.25">
      <c r="L497" s="71" t="e">
        <f>(#REF!*0.05)-J497</f>
        <v>#REF!</v>
      </c>
    </row>
    <row r="498" spans="12:12" x14ac:dyDescent="0.25">
      <c r="L498" s="71" t="e">
        <f>(#REF!*0.05)-J498</f>
        <v>#REF!</v>
      </c>
    </row>
    <row r="499" spans="12:12" x14ac:dyDescent="0.25">
      <c r="L499" s="71" t="e">
        <f>(#REF!*0.05)-J499</f>
        <v>#REF!</v>
      </c>
    </row>
    <row r="500" spans="12:12" x14ac:dyDescent="0.25">
      <c r="L500" s="71" t="e">
        <f>(#REF!*0.05)-J500</f>
        <v>#REF!</v>
      </c>
    </row>
    <row r="501" spans="12:12" x14ac:dyDescent="0.25">
      <c r="L501" s="71" t="e">
        <f>(#REF!*0.05)-J501</f>
        <v>#REF!</v>
      </c>
    </row>
    <row r="502" spans="12:12" x14ac:dyDescent="0.25">
      <c r="L502" s="71" t="e">
        <f>(#REF!*0.05)-J502</f>
        <v>#REF!</v>
      </c>
    </row>
    <row r="503" spans="12:12" x14ac:dyDescent="0.25">
      <c r="L503" s="71" t="e">
        <f>(#REF!*0.05)-J503</f>
        <v>#REF!</v>
      </c>
    </row>
    <row r="504" spans="12:12" x14ac:dyDescent="0.25">
      <c r="L504" s="71" t="e">
        <f>(#REF!*0.05)-J504</f>
        <v>#REF!</v>
      </c>
    </row>
    <row r="505" spans="12:12" x14ac:dyDescent="0.25">
      <c r="L505" s="71" t="e">
        <f>(#REF!*0.05)-J505</f>
        <v>#REF!</v>
      </c>
    </row>
    <row r="506" spans="12:12" x14ac:dyDescent="0.25">
      <c r="L506" s="71" t="e">
        <f>(#REF!*0.05)-J506</f>
        <v>#REF!</v>
      </c>
    </row>
    <row r="507" spans="12:12" x14ac:dyDescent="0.25">
      <c r="L507" s="71" t="e">
        <f>(#REF!*0.05)-J507</f>
        <v>#REF!</v>
      </c>
    </row>
    <row r="508" spans="12:12" x14ac:dyDescent="0.25">
      <c r="L508" s="71" t="e">
        <f>(#REF!*0.05)-J508</f>
        <v>#REF!</v>
      </c>
    </row>
    <row r="509" spans="12:12" x14ac:dyDescent="0.25">
      <c r="L509" s="71" t="e">
        <f>(#REF!*0.05)-J509</f>
        <v>#REF!</v>
      </c>
    </row>
    <row r="510" spans="12:12" x14ac:dyDescent="0.25">
      <c r="L510" s="71" t="e">
        <f>(#REF!*0.05)-J510</f>
        <v>#REF!</v>
      </c>
    </row>
    <row r="511" spans="12:12" x14ac:dyDescent="0.25">
      <c r="L511" s="71" t="e">
        <f>(#REF!*0.05)-J511</f>
        <v>#REF!</v>
      </c>
    </row>
    <row r="512" spans="12:12" x14ac:dyDescent="0.25">
      <c r="L512" s="71" t="e">
        <f>(#REF!*0.05)-J512</f>
        <v>#REF!</v>
      </c>
    </row>
    <row r="513" spans="12:12" x14ac:dyDescent="0.25">
      <c r="L513" s="71" t="e">
        <f>(#REF!*0.05)-J513</f>
        <v>#REF!</v>
      </c>
    </row>
    <row r="514" spans="12:12" x14ac:dyDescent="0.25">
      <c r="L514" s="71" t="e">
        <f>(#REF!*0.05)-J514</f>
        <v>#REF!</v>
      </c>
    </row>
    <row r="515" spans="12:12" x14ac:dyDescent="0.25">
      <c r="L515" s="71" t="e">
        <f>(#REF!*0.05)-J515</f>
        <v>#REF!</v>
      </c>
    </row>
    <row r="516" spans="12:12" x14ac:dyDescent="0.25">
      <c r="L516" s="71" t="e">
        <f>(#REF!*0.05)-J516</f>
        <v>#REF!</v>
      </c>
    </row>
    <row r="517" spans="12:12" x14ac:dyDescent="0.25">
      <c r="L517" s="71" t="e">
        <f>(#REF!*0.05)-J517</f>
        <v>#REF!</v>
      </c>
    </row>
    <row r="518" spans="12:12" x14ac:dyDescent="0.25">
      <c r="L518" s="71" t="e">
        <f>(#REF!*0.05)-J518</f>
        <v>#REF!</v>
      </c>
    </row>
    <row r="519" spans="12:12" x14ac:dyDescent="0.25">
      <c r="L519" s="71" t="e">
        <f>(#REF!*0.05)-J519</f>
        <v>#REF!</v>
      </c>
    </row>
    <row r="520" spans="12:12" x14ac:dyDescent="0.25">
      <c r="L520" s="71" t="e">
        <f>(#REF!*0.05)-J520</f>
        <v>#REF!</v>
      </c>
    </row>
    <row r="521" spans="12:12" x14ac:dyDescent="0.25">
      <c r="L521" s="71" t="e">
        <f>(#REF!*0.05)-J521</f>
        <v>#REF!</v>
      </c>
    </row>
    <row r="522" spans="12:12" x14ac:dyDescent="0.25">
      <c r="L522" s="71" t="e">
        <f>(#REF!*0.05)-J522</f>
        <v>#REF!</v>
      </c>
    </row>
    <row r="523" spans="12:12" x14ac:dyDescent="0.25">
      <c r="L523" s="71" t="e">
        <f>(#REF!*0.05)-J523</f>
        <v>#REF!</v>
      </c>
    </row>
    <row r="524" spans="12:12" x14ac:dyDescent="0.25">
      <c r="L524" s="71" t="e">
        <f>(#REF!*0.05)-J524</f>
        <v>#REF!</v>
      </c>
    </row>
    <row r="525" spans="12:12" x14ac:dyDescent="0.25">
      <c r="L525" s="71" t="e">
        <f>(#REF!*0.05)-J525</f>
        <v>#REF!</v>
      </c>
    </row>
    <row r="526" spans="12:12" x14ac:dyDescent="0.25">
      <c r="L526" s="71" t="e">
        <f>(#REF!*0.05)-J526</f>
        <v>#REF!</v>
      </c>
    </row>
    <row r="527" spans="12:12" x14ac:dyDescent="0.25">
      <c r="L527" s="71" t="e">
        <f>(#REF!*0.05)-J527</f>
        <v>#REF!</v>
      </c>
    </row>
    <row r="528" spans="12:12" x14ac:dyDescent="0.25">
      <c r="L528" s="71" t="e">
        <f>(#REF!*0.05)-J528</f>
        <v>#REF!</v>
      </c>
    </row>
    <row r="529" spans="12:12" x14ac:dyDescent="0.25">
      <c r="L529" s="71" t="e">
        <f>(#REF!*0.05)-J529</f>
        <v>#REF!</v>
      </c>
    </row>
    <row r="530" spans="12:12" x14ac:dyDescent="0.25">
      <c r="L530" s="71" t="e">
        <f>(#REF!*0.05)-J530</f>
        <v>#REF!</v>
      </c>
    </row>
    <row r="531" spans="12:12" x14ac:dyDescent="0.25">
      <c r="L531" s="71" t="e">
        <f>(#REF!*0.05)-J531</f>
        <v>#REF!</v>
      </c>
    </row>
    <row r="532" spans="12:12" x14ac:dyDescent="0.25">
      <c r="L532" s="71" t="e">
        <f>(#REF!*0.05)-J532</f>
        <v>#REF!</v>
      </c>
    </row>
    <row r="533" spans="12:12" x14ac:dyDescent="0.25">
      <c r="L533" s="71" t="e">
        <f>(#REF!*0.05)-J533</f>
        <v>#REF!</v>
      </c>
    </row>
    <row r="534" spans="12:12" x14ac:dyDescent="0.25">
      <c r="L534" s="71" t="e">
        <f>(#REF!*0.05)-J534</f>
        <v>#REF!</v>
      </c>
    </row>
    <row r="535" spans="12:12" x14ac:dyDescent="0.25">
      <c r="L535" s="71" t="e">
        <f>(#REF!*0.05)-J535</f>
        <v>#REF!</v>
      </c>
    </row>
    <row r="536" spans="12:12" x14ac:dyDescent="0.25">
      <c r="L536" s="71" t="e">
        <f>(#REF!*0.05)-J536</f>
        <v>#REF!</v>
      </c>
    </row>
    <row r="537" spans="12:12" x14ac:dyDescent="0.25">
      <c r="L537" s="71" t="e">
        <f>(#REF!*0.05)-J537</f>
        <v>#REF!</v>
      </c>
    </row>
    <row r="538" spans="12:12" x14ac:dyDescent="0.25">
      <c r="L538" s="71" t="e">
        <f>(#REF!*0.05)-J538</f>
        <v>#REF!</v>
      </c>
    </row>
    <row r="539" spans="12:12" x14ac:dyDescent="0.25">
      <c r="L539" s="71" t="e">
        <f>(#REF!*0.05)-J539</f>
        <v>#REF!</v>
      </c>
    </row>
    <row r="540" spans="12:12" x14ac:dyDescent="0.25">
      <c r="L540" s="71" t="e">
        <f>(#REF!*0.05)-J540</f>
        <v>#REF!</v>
      </c>
    </row>
    <row r="541" spans="12:12" x14ac:dyDescent="0.25">
      <c r="L541" s="71" t="e">
        <f>(#REF!*0.05)-J541</f>
        <v>#REF!</v>
      </c>
    </row>
    <row r="542" spans="12:12" x14ac:dyDescent="0.25">
      <c r="L542" s="71" t="e">
        <f>(#REF!*0.05)-J542</f>
        <v>#REF!</v>
      </c>
    </row>
    <row r="543" spans="12:12" x14ac:dyDescent="0.25">
      <c r="L543" s="71" t="e">
        <f>(#REF!*0.05)-J543</f>
        <v>#REF!</v>
      </c>
    </row>
    <row r="544" spans="12:12" x14ac:dyDescent="0.25">
      <c r="L544" s="71" t="e">
        <f>(#REF!*0.05)-J544</f>
        <v>#REF!</v>
      </c>
    </row>
    <row r="545" spans="12:12" x14ac:dyDescent="0.25">
      <c r="L545" s="71" t="e">
        <f>(#REF!*0.05)-J545</f>
        <v>#REF!</v>
      </c>
    </row>
    <row r="546" spans="12:12" x14ac:dyDescent="0.25">
      <c r="L546" s="71" t="e">
        <f>(#REF!*0.05)-J546</f>
        <v>#REF!</v>
      </c>
    </row>
    <row r="547" spans="12:12" x14ac:dyDescent="0.25">
      <c r="L547" s="71" t="e">
        <f>(#REF!*0.05)-J547</f>
        <v>#REF!</v>
      </c>
    </row>
    <row r="548" spans="12:12" x14ac:dyDescent="0.25">
      <c r="L548" s="71" t="e">
        <f>(#REF!*0.05)-J548</f>
        <v>#REF!</v>
      </c>
    </row>
    <row r="549" spans="12:12" x14ac:dyDescent="0.25">
      <c r="L549" s="71" t="e">
        <f>(#REF!*0.05)-J549</f>
        <v>#REF!</v>
      </c>
    </row>
    <row r="550" spans="12:12" x14ac:dyDescent="0.25">
      <c r="L550" s="71" t="e">
        <f>(#REF!*0.05)-J550</f>
        <v>#REF!</v>
      </c>
    </row>
    <row r="551" spans="12:12" x14ac:dyDescent="0.25">
      <c r="L551" s="71" t="e">
        <f>(#REF!*0.05)-J551</f>
        <v>#REF!</v>
      </c>
    </row>
    <row r="552" spans="12:12" x14ac:dyDescent="0.25">
      <c r="L552" s="71" t="e">
        <f>(#REF!*0.05)-J552</f>
        <v>#REF!</v>
      </c>
    </row>
    <row r="553" spans="12:12" x14ac:dyDescent="0.25">
      <c r="L553" s="71" t="e">
        <f>(#REF!*0.05)-J553</f>
        <v>#REF!</v>
      </c>
    </row>
    <row r="554" spans="12:12" x14ac:dyDescent="0.25">
      <c r="L554" s="71" t="e">
        <f>(#REF!*0.05)-J554</f>
        <v>#REF!</v>
      </c>
    </row>
    <row r="555" spans="12:12" x14ac:dyDescent="0.25">
      <c r="L555" s="71" t="e">
        <f>(#REF!*0.05)-J555</f>
        <v>#REF!</v>
      </c>
    </row>
    <row r="556" spans="12:12" x14ac:dyDescent="0.25">
      <c r="L556" s="71" t="e">
        <f>(#REF!*0.05)-J556</f>
        <v>#REF!</v>
      </c>
    </row>
    <row r="557" spans="12:12" x14ac:dyDescent="0.25">
      <c r="L557" s="71" t="e">
        <f>(#REF!*0.05)-J557</f>
        <v>#REF!</v>
      </c>
    </row>
    <row r="558" spans="12:12" x14ac:dyDescent="0.25">
      <c r="L558" s="71" t="e">
        <f>(#REF!*0.05)-J558</f>
        <v>#REF!</v>
      </c>
    </row>
    <row r="559" spans="12:12" x14ac:dyDescent="0.25">
      <c r="L559" s="71" t="e">
        <f>(#REF!*0.05)-J559</f>
        <v>#REF!</v>
      </c>
    </row>
    <row r="560" spans="12:12" x14ac:dyDescent="0.25">
      <c r="L560" s="71" t="e">
        <f>(#REF!*0.05)-J560</f>
        <v>#REF!</v>
      </c>
    </row>
    <row r="561" spans="12:12" x14ac:dyDescent="0.25">
      <c r="L561" s="71" t="e">
        <f>(#REF!*0.05)-J561</f>
        <v>#REF!</v>
      </c>
    </row>
    <row r="562" spans="12:12" x14ac:dyDescent="0.25">
      <c r="L562" s="71" t="e">
        <f>(#REF!*0.05)-J562</f>
        <v>#REF!</v>
      </c>
    </row>
    <row r="563" spans="12:12" x14ac:dyDescent="0.25">
      <c r="L563" s="71" t="e">
        <f>(#REF!*0.05)-J563</f>
        <v>#REF!</v>
      </c>
    </row>
    <row r="564" spans="12:12" x14ac:dyDescent="0.25">
      <c r="L564" s="71" t="e">
        <f>(#REF!*0.05)-J564</f>
        <v>#REF!</v>
      </c>
    </row>
    <row r="565" spans="12:12" x14ac:dyDescent="0.25">
      <c r="L565" s="71" t="e">
        <f>(#REF!*0.05)-J565</f>
        <v>#REF!</v>
      </c>
    </row>
    <row r="566" spans="12:12" x14ac:dyDescent="0.25">
      <c r="L566" s="71" t="e">
        <f>(#REF!*0.05)-J566</f>
        <v>#REF!</v>
      </c>
    </row>
    <row r="567" spans="12:12" x14ac:dyDescent="0.25">
      <c r="L567" s="71" t="e">
        <f>(#REF!*0.05)-J567</f>
        <v>#REF!</v>
      </c>
    </row>
    <row r="568" spans="12:12" x14ac:dyDescent="0.25">
      <c r="L568" s="71" t="e">
        <f>(#REF!*0.05)-J568</f>
        <v>#REF!</v>
      </c>
    </row>
    <row r="569" spans="12:12" x14ac:dyDescent="0.25">
      <c r="L569" s="71" t="e">
        <f>(#REF!*0.05)-J569</f>
        <v>#REF!</v>
      </c>
    </row>
    <row r="570" spans="12:12" x14ac:dyDescent="0.25">
      <c r="L570" s="71" t="e">
        <f>(#REF!*0.05)-J570</f>
        <v>#REF!</v>
      </c>
    </row>
    <row r="571" spans="12:12" x14ac:dyDescent="0.25">
      <c r="L571" s="71" t="e">
        <f>(#REF!*0.05)-J571</f>
        <v>#REF!</v>
      </c>
    </row>
    <row r="572" spans="12:12" x14ac:dyDescent="0.25">
      <c r="L572" s="71" t="e">
        <f>(#REF!*0.05)-J572</f>
        <v>#REF!</v>
      </c>
    </row>
    <row r="573" spans="12:12" x14ac:dyDescent="0.25">
      <c r="L573" s="71" t="e">
        <f>(#REF!*0.05)-J573</f>
        <v>#REF!</v>
      </c>
    </row>
    <row r="574" spans="12:12" x14ac:dyDescent="0.25">
      <c r="L574" s="71" t="e">
        <f>(#REF!*0.05)-J574</f>
        <v>#REF!</v>
      </c>
    </row>
    <row r="575" spans="12:12" x14ac:dyDescent="0.25">
      <c r="L575" s="71" t="e">
        <f>(#REF!*0.05)-J575</f>
        <v>#REF!</v>
      </c>
    </row>
    <row r="576" spans="12:12" x14ac:dyDescent="0.25">
      <c r="L576" s="71" t="e">
        <f>(#REF!*0.05)-J576</f>
        <v>#REF!</v>
      </c>
    </row>
    <row r="577" spans="12:12" x14ac:dyDescent="0.25">
      <c r="L577" s="71" t="e">
        <f>(#REF!*0.05)-J577</f>
        <v>#REF!</v>
      </c>
    </row>
    <row r="578" spans="12:12" x14ac:dyDescent="0.25">
      <c r="L578" s="71" t="e">
        <f>(#REF!*0.05)-J578</f>
        <v>#REF!</v>
      </c>
    </row>
    <row r="579" spans="12:12" x14ac:dyDescent="0.25">
      <c r="L579" s="71" t="e">
        <f>(#REF!*0.05)-J579</f>
        <v>#REF!</v>
      </c>
    </row>
    <row r="580" spans="12:12" x14ac:dyDescent="0.25">
      <c r="L580" s="71" t="e">
        <f>(#REF!*0.05)-J580</f>
        <v>#REF!</v>
      </c>
    </row>
    <row r="581" spans="12:12" x14ac:dyDescent="0.25">
      <c r="L581" s="71" t="e">
        <f>(#REF!*0.05)-J581</f>
        <v>#REF!</v>
      </c>
    </row>
    <row r="582" spans="12:12" x14ac:dyDescent="0.25">
      <c r="L582" s="71" t="e">
        <f>(#REF!*0.05)-J582</f>
        <v>#REF!</v>
      </c>
    </row>
    <row r="583" spans="12:12" x14ac:dyDescent="0.25">
      <c r="L583" s="71" t="e">
        <f>(#REF!*0.05)-J583</f>
        <v>#REF!</v>
      </c>
    </row>
    <row r="584" spans="12:12" x14ac:dyDescent="0.25">
      <c r="L584" s="71" t="e">
        <f>(#REF!*0.05)-J584</f>
        <v>#REF!</v>
      </c>
    </row>
    <row r="585" spans="12:12" x14ac:dyDescent="0.25">
      <c r="L585" s="71" t="e">
        <f>(#REF!*0.05)-J585</f>
        <v>#REF!</v>
      </c>
    </row>
    <row r="586" spans="12:12" x14ac:dyDescent="0.25">
      <c r="L586" s="71" t="e">
        <f>(#REF!*0.05)-J586</f>
        <v>#REF!</v>
      </c>
    </row>
    <row r="587" spans="12:12" x14ac:dyDescent="0.25">
      <c r="L587" s="71" t="e">
        <f>(#REF!*0.05)-J587</f>
        <v>#REF!</v>
      </c>
    </row>
    <row r="588" spans="12:12" x14ac:dyDescent="0.25">
      <c r="L588" s="71" t="e">
        <f>(#REF!*0.05)-J588</f>
        <v>#REF!</v>
      </c>
    </row>
    <row r="589" spans="12:12" x14ac:dyDescent="0.25">
      <c r="L589" s="71" t="e">
        <f>(#REF!*0.05)-J589</f>
        <v>#REF!</v>
      </c>
    </row>
    <row r="590" spans="12:12" x14ac:dyDescent="0.25">
      <c r="L590" s="71" t="e">
        <f>(#REF!*0.05)-J590</f>
        <v>#REF!</v>
      </c>
    </row>
    <row r="591" spans="12:12" x14ac:dyDescent="0.25">
      <c r="L591" s="71" t="e">
        <f>(#REF!*0.05)-J591</f>
        <v>#REF!</v>
      </c>
    </row>
    <row r="592" spans="12:12" x14ac:dyDescent="0.25">
      <c r="L592" s="71" t="e">
        <f>(#REF!*0.05)-J592</f>
        <v>#REF!</v>
      </c>
    </row>
    <row r="593" spans="12:12" x14ac:dyDescent="0.25">
      <c r="L593" s="71" t="e">
        <f>(#REF!*0.05)-J593</f>
        <v>#REF!</v>
      </c>
    </row>
    <row r="594" spans="12:12" x14ac:dyDescent="0.25">
      <c r="L594" s="71" t="e">
        <f>(#REF!*0.05)-J594</f>
        <v>#REF!</v>
      </c>
    </row>
    <row r="595" spans="12:12" x14ac:dyDescent="0.25">
      <c r="L595" s="71" t="e">
        <f>(#REF!*0.05)-J595</f>
        <v>#REF!</v>
      </c>
    </row>
    <row r="596" spans="12:12" x14ac:dyDescent="0.25">
      <c r="L596" s="71" t="e">
        <f>(#REF!*0.05)-J596</f>
        <v>#REF!</v>
      </c>
    </row>
    <row r="597" spans="12:12" x14ac:dyDescent="0.25">
      <c r="L597" s="71" t="e">
        <f>(#REF!*0.05)-J597</f>
        <v>#REF!</v>
      </c>
    </row>
    <row r="598" spans="12:12" x14ac:dyDescent="0.25">
      <c r="L598" s="71" t="e">
        <f>(#REF!*0.05)-J598</f>
        <v>#REF!</v>
      </c>
    </row>
    <row r="599" spans="12:12" x14ac:dyDescent="0.25">
      <c r="L599" s="71" t="e">
        <f>(#REF!*0.05)-J599</f>
        <v>#REF!</v>
      </c>
    </row>
    <row r="600" spans="12:12" x14ac:dyDescent="0.25">
      <c r="L600" s="71" t="e">
        <f>(#REF!*0.05)-J600</f>
        <v>#REF!</v>
      </c>
    </row>
    <row r="601" spans="12:12" x14ac:dyDescent="0.25">
      <c r="L601" s="71" t="e">
        <f>(#REF!*0.05)-J601</f>
        <v>#REF!</v>
      </c>
    </row>
    <row r="602" spans="12:12" x14ac:dyDescent="0.25">
      <c r="L602" s="71" t="e">
        <f>(#REF!*0.05)-J602</f>
        <v>#REF!</v>
      </c>
    </row>
    <row r="603" spans="12:12" x14ac:dyDescent="0.25">
      <c r="L603" s="71" t="e">
        <f>(#REF!*0.05)-J603</f>
        <v>#REF!</v>
      </c>
    </row>
    <row r="604" spans="12:12" x14ac:dyDescent="0.25">
      <c r="L604" s="71" t="e">
        <f>(#REF!*0.05)-J604</f>
        <v>#REF!</v>
      </c>
    </row>
    <row r="605" spans="12:12" x14ac:dyDescent="0.25">
      <c r="L605" s="71" t="e">
        <f>(#REF!*0.05)-J605</f>
        <v>#REF!</v>
      </c>
    </row>
    <row r="606" spans="12:12" x14ac:dyDescent="0.25">
      <c r="L606" s="71" t="e">
        <f>(#REF!*0.05)-J606</f>
        <v>#REF!</v>
      </c>
    </row>
    <row r="607" spans="12:12" x14ac:dyDescent="0.25">
      <c r="L607" s="71" t="e">
        <f>(#REF!*0.05)-J607</f>
        <v>#REF!</v>
      </c>
    </row>
    <row r="608" spans="12:12" x14ac:dyDescent="0.25">
      <c r="L608" s="71" t="e">
        <f>(#REF!*0.05)-J608</f>
        <v>#REF!</v>
      </c>
    </row>
    <row r="609" spans="12:12" x14ac:dyDescent="0.25">
      <c r="L609" s="71" t="e">
        <f>(#REF!*0.05)-J609</f>
        <v>#REF!</v>
      </c>
    </row>
    <row r="610" spans="12:12" x14ac:dyDescent="0.25">
      <c r="L610" s="71" t="e">
        <f>(#REF!*0.05)-J610</f>
        <v>#REF!</v>
      </c>
    </row>
    <row r="611" spans="12:12" x14ac:dyDescent="0.25">
      <c r="L611" s="71" t="e">
        <f>(#REF!*0.05)-J611</f>
        <v>#REF!</v>
      </c>
    </row>
    <row r="612" spans="12:12" x14ac:dyDescent="0.25">
      <c r="L612" s="71" t="e">
        <f>(#REF!*0.05)-J612</f>
        <v>#REF!</v>
      </c>
    </row>
    <row r="613" spans="12:12" x14ac:dyDescent="0.25">
      <c r="L613" s="71" t="e">
        <f>(#REF!*0.05)-J613</f>
        <v>#REF!</v>
      </c>
    </row>
    <row r="614" spans="12:12" x14ac:dyDescent="0.25">
      <c r="L614" s="71" t="e">
        <f>(#REF!*0.05)-J614</f>
        <v>#REF!</v>
      </c>
    </row>
    <row r="615" spans="12:12" x14ac:dyDescent="0.25">
      <c r="L615" s="71" t="e">
        <f>(#REF!*0.05)-J615</f>
        <v>#REF!</v>
      </c>
    </row>
    <row r="616" spans="12:12" x14ac:dyDescent="0.25">
      <c r="L616" s="71" t="e">
        <f>(#REF!*0.05)-J616</f>
        <v>#REF!</v>
      </c>
    </row>
    <row r="617" spans="12:12" x14ac:dyDescent="0.25">
      <c r="L617" s="71" t="e">
        <f>(#REF!*0.05)-J617</f>
        <v>#REF!</v>
      </c>
    </row>
    <row r="618" spans="12:12" x14ac:dyDescent="0.25">
      <c r="L618" s="71" t="e">
        <f>(#REF!*0.05)-J618</f>
        <v>#REF!</v>
      </c>
    </row>
    <row r="619" spans="12:12" x14ac:dyDescent="0.25">
      <c r="L619" s="71" t="e">
        <f>(#REF!*0.05)-J619</f>
        <v>#REF!</v>
      </c>
    </row>
    <row r="620" spans="12:12" x14ac:dyDescent="0.25">
      <c r="L620" s="71" t="e">
        <f>(#REF!*0.05)-J620</f>
        <v>#REF!</v>
      </c>
    </row>
    <row r="621" spans="12:12" x14ac:dyDescent="0.25">
      <c r="L621" s="71" t="e">
        <f>(#REF!*0.05)-J621</f>
        <v>#REF!</v>
      </c>
    </row>
    <row r="622" spans="12:12" x14ac:dyDescent="0.25">
      <c r="L622" s="71" t="e">
        <f>(#REF!*0.05)-J622</f>
        <v>#REF!</v>
      </c>
    </row>
    <row r="623" spans="12:12" x14ac:dyDescent="0.25">
      <c r="L623" s="71" t="e">
        <f>(#REF!*0.05)-J623</f>
        <v>#REF!</v>
      </c>
    </row>
    <row r="624" spans="12:12" x14ac:dyDescent="0.25">
      <c r="L624" s="71" t="e">
        <f>(#REF!*0.05)-J624</f>
        <v>#REF!</v>
      </c>
    </row>
    <row r="625" spans="12:12" x14ac:dyDescent="0.25">
      <c r="L625" s="71" t="e">
        <f>(#REF!*0.05)-J625</f>
        <v>#REF!</v>
      </c>
    </row>
    <row r="626" spans="12:12" x14ac:dyDescent="0.25">
      <c r="L626" s="71" t="e">
        <f>(#REF!*0.05)-J626</f>
        <v>#REF!</v>
      </c>
    </row>
    <row r="627" spans="12:12" x14ac:dyDescent="0.25">
      <c r="L627" s="71" t="e">
        <f>(#REF!*0.05)-J627</f>
        <v>#REF!</v>
      </c>
    </row>
    <row r="628" spans="12:12" x14ac:dyDescent="0.25">
      <c r="L628" s="71" t="e">
        <f>(#REF!*0.05)-J628</f>
        <v>#REF!</v>
      </c>
    </row>
    <row r="629" spans="12:12" x14ac:dyDescent="0.25">
      <c r="L629" s="71" t="e">
        <f>(#REF!*0.05)-J629</f>
        <v>#REF!</v>
      </c>
    </row>
    <row r="630" spans="12:12" x14ac:dyDescent="0.25">
      <c r="L630" s="71" t="e">
        <f>(#REF!*0.05)-J630</f>
        <v>#REF!</v>
      </c>
    </row>
    <row r="631" spans="12:12" x14ac:dyDescent="0.25">
      <c r="L631" s="71" t="e">
        <f>(#REF!*0.05)-J631</f>
        <v>#REF!</v>
      </c>
    </row>
    <row r="632" spans="12:12" x14ac:dyDescent="0.25">
      <c r="L632" s="71" t="e">
        <f>(#REF!*0.05)-J632</f>
        <v>#REF!</v>
      </c>
    </row>
    <row r="633" spans="12:12" x14ac:dyDescent="0.25">
      <c r="L633" s="71" t="e">
        <f>(#REF!*0.05)-J633</f>
        <v>#REF!</v>
      </c>
    </row>
    <row r="634" spans="12:12" x14ac:dyDescent="0.25">
      <c r="L634" s="71" t="e">
        <f>(#REF!*0.05)-J634</f>
        <v>#REF!</v>
      </c>
    </row>
    <row r="635" spans="12:12" x14ac:dyDescent="0.25">
      <c r="L635" s="71" t="e">
        <f>(#REF!*0.05)-J635</f>
        <v>#REF!</v>
      </c>
    </row>
    <row r="636" spans="12:12" x14ac:dyDescent="0.25">
      <c r="L636" s="71" t="e">
        <f>(#REF!*0.05)-J636</f>
        <v>#REF!</v>
      </c>
    </row>
    <row r="637" spans="12:12" x14ac:dyDescent="0.25">
      <c r="L637" s="71" t="e">
        <f>(#REF!*0.05)-J637</f>
        <v>#REF!</v>
      </c>
    </row>
    <row r="638" spans="12:12" x14ac:dyDescent="0.25">
      <c r="L638" s="71" t="e">
        <f>(#REF!*0.05)-J638</f>
        <v>#REF!</v>
      </c>
    </row>
    <row r="639" spans="12:12" x14ac:dyDescent="0.25">
      <c r="L639" s="71" t="e">
        <f>(#REF!*0.05)-J639</f>
        <v>#REF!</v>
      </c>
    </row>
    <row r="640" spans="12:12" x14ac:dyDescent="0.25">
      <c r="L640" s="71" t="e">
        <f>(#REF!*0.05)-J640</f>
        <v>#REF!</v>
      </c>
    </row>
    <row r="641" spans="12:12" x14ac:dyDescent="0.25">
      <c r="L641" s="71" t="e">
        <f>(#REF!*0.05)-J641</f>
        <v>#REF!</v>
      </c>
    </row>
    <row r="642" spans="12:12" x14ac:dyDescent="0.25">
      <c r="L642" s="71" t="e">
        <f>(#REF!*0.05)-J642</f>
        <v>#REF!</v>
      </c>
    </row>
    <row r="643" spans="12:12" x14ac:dyDescent="0.25">
      <c r="L643" s="71" t="e">
        <f>(#REF!*0.05)-J643</f>
        <v>#REF!</v>
      </c>
    </row>
    <row r="644" spans="12:12" x14ac:dyDescent="0.25">
      <c r="L644" s="71" t="e">
        <f>(#REF!*0.05)-J644</f>
        <v>#REF!</v>
      </c>
    </row>
    <row r="645" spans="12:12" x14ac:dyDescent="0.25">
      <c r="L645" s="71" t="e">
        <f>(#REF!*0.05)-J645</f>
        <v>#REF!</v>
      </c>
    </row>
    <row r="646" spans="12:12" x14ac:dyDescent="0.25">
      <c r="L646" s="71" t="e">
        <f>(#REF!*0.05)-J646</f>
        <v>#REF!</v>
      </c>
    </row>
    <row r="647" spans="12:12" x14ac:dyDescent="0.25">
      <c r="L647" s="71" t="e">
        <f>(#REF!*0.05)-J647</f>
        <v>#REF!</v>
      </c>
    </row>
    <row r="648" spans="12:12" x14ac:dyDescent="0.25">
      <c r="L648" s="71" t="e">
        <f>(#REF!*0.05)-J648</f>
        <v>#REF!</v>
      </c>
    </row>
    <row r="649" spans="12:12" x14ac:dyDescent="0.25">
      <c r="L649" s="71" t="e">
        <f>(#REF!*0.05)-J649</f>
        <v>#REF!</v>
      </c>
    </row>
    <row r="650" spans="12:12" x14ac:dyDescent="0.25">
      <c r="L650" s="71" t="e">
        <f>(#REF!*0.05)-J650</f>
        <v>#REF!</v>
      </c>
    </row>
    <row r="651" spans="12:12" x14ac:dyDescent="0.25">
      <c r="L651" s="71" t="e">
        <f>(#REF!*0.05)-J651</f>
        <v>#REF!</v>
      </c>
    </row>
    <row r="652" spans="12:12" x14ac:dyDescent="0.25">
      <c r="L652" s="71" t="e">
        <f>(#REF!*0.05)-J652</f>
        <v>#REF!</v>
      </c>
    </row>
    <row r="653" spans="12:12" x14ac:dyDescent="0.25">
      <c r="L653" s="71" t="e">
        <f>(#REF!*0.05)-J653</f>
        <v>#REF!</v>
      </c>
    </row>
    <row r="654" spans="12:12" x14ac:dyDescent="0.25">
      <c r="L654" s="71" t="e">
        <f>(#REF!*0.05)-J654</f>
        <v>#REF!</v>
      </c>
    </row>
    <row r="655" spans="12:12" x14ac:dyDescent="0.25">
      <c r="L655" s="71" t="e">
        <f>(#REF!*0.05)-J655</f>
        <v>#REF!</v>
      </c>
    </row>
    <row r="656" spans="12:12" x14ac:dyDescent="0.25">
      <c r="L656" s="71" t="e">
        <f>(#REF!*0.05)-J656</f>
        <v>#REF!</v>
      </c>
    </row>
    <row r="657" spans="12:12" x14ac:dyDescent="0.25">
      <c r="L657" s="71" t="e">
        <f>(#REF!*0.05)-J657</f>
        <v>#REF!</v>
      </c>
    </row>
    <row r="658" spans="12:12" x14ac:dyDescent="0.25">
      <c r="L658" s="71" t="e">
        <f>(#REF!*0.05)-J658</f>
        <v>#REF!</v>
      </c>
    </row>
    <row r="659" spans="12:12" x14ac:dyDescent="0.25">
      <c r="L659" s="71" t="e">
        <f>(#REF!*0.05)-J659</f>
        <v>#REF!</v>
      </c>
    </row>
    <row r="660" spans="12:12" x14ac:dyDescent="0.25">
      <c r="L660" s="71" t="e">
        <f>(#REF!*0.05)-J660</f>
        <v>#REF!</v>
      </c>
    </row>
    <row r="661" spans="12:12" x14ac:dyDescent="0.25">
      <c r="L661" s="71" t="e">
        <f>(#REF!*0.05)-J661</f>
        <v>#REF!</v>
      </c>
    </row>
    <row r="662" spans="12:12" x14ac:dyDescent="0.25">
      <c r="L662" s="71" t="e">
        <f>(#REF!*0.05)-J662</f>
        <v>#REF!</v>
      </c>
    </row>
    <row r="663" spans="12:12" x14ac:dyDescent="0.25">
      <c r="L663" s="71" t="e">
        <f>(#REF!*0.05)-J663</f>
        <v>#REF!</v>
      </c>
    </row>
    <row r="664" spans="12:12" x14ac:dyDescent="0.25">
      <c r="L664" s="71" t="e">
        <f>(#REF!*0.05)-J664</f>
        <v>#REF!</v>
      </c>
    </row>
    <row r="665" spans="12:12" x14ac:dyDescent="0.25">
      <c r="L665" s="71" t="e">
        <f>(#REF!*0.05)-J665</f>
        <v>#REF!</v>
      </c>
    </row>
    <row r="666" spans="12:12" x14ac:dyDescent="0.25">
      <c r="L666" s="71" t="e">
        <f>(#REF!*0.05)-J666</f>
        <v>#REF!</v>
      </c>
    </row>
    <row r="667" spans="12:12" x14ac:dyDescent="0.25">
      <c r="L667" s="71" t="e">
        <f>(#REF!*0.05)-J667</f>
        <v>#REF!</v>
      </c>
    </row>
    <row r="668" spans="12:12" x14ac:dyDescent="0.25">
      <c r="L668" s="71" t="e">
        <f>(#REF!*0.05)-J668</f>
        <v>#REF!</v>
      </c>
    </row>
    <row r="669" spans="12:12" x14ac:dyDescent="0.25">
      <c r="L669" s="71" t="e">
        <f>(#REF!*0.05)-J669</f>
        <v>#REF!</v>
      </c>
    </row>
    <row r="670" spans="12:12" x14ac:dyDescent="0.25">
      <c r="L670" s="71" t="e">
        <f>(#REF!*0.05)-J670</f>
        <v>#REF!</v>
      </c>
    </row>
  </sheetData>
  <sheetProtection algorithmName="SHA-512" hashValue="tLRCQRObs2Cdq1ZPeSHBMuAac35pTbBVOPfgcZSxT4GTPSoCajIgkFGpCJJXJDZEA+QG8B4VlNjU55CiRhTa5A==" saltValue="QnohHpHI+LfgVUhVu8Vvqw==" spinCount="100000" sheet="1" scenarios="1" selectLockedCells="1"/>
  <mergeCells count="21">
    <mergeCell ref="B1:D2"/>
    <mergeCell ref="D28:G28"/>
    <mergeCell ref="B18:C18"/>
    <mergeCell ref="B16:C16"/>
    <mergeCell ref="B17:C17"/>
    <mergeCell ref="D12:G12"/>
    <mergeCell ref="D13:G13"/>
    <mergeCell ref="D15:G15"/>
    <mergeCell ref="D16:G16"/>
    <mergeCell ref="B14:C14"/>
    <mergeCell ref="B15:C15"/>
    <mergeCell ref="B11:C13"/>
    <mergeCell ref="D17:G17"/>
    <mergeCell ref="B4:C7"/>
    <mergeCell ref="D9:G9"/>
    <mergeCell ref="I5:R5"/>
    <mergeCell ref="D11:G11"/>
    <mergeCell ref="B10:C10"/>
    <mergeCell ref="B8:C8"/>
    <mergeCell ref="B9:C9"/>
    <mergeCell ref="I6:R39"/>
  </mergeCells>
  <conditionalFormatting sqref="B30">
    <cfRule type="cellIs" dxfId="661" priority="1" operator="equal">
      <formula>"Final GMP"</formula>
    </cfRule>
    <cfRule type="cellIs" dxfId="660" priority="2" operator="equal">
      <formula>"Open GMP"</formula>
    </cfRule>
  </conditionalFormatting>
  <conditionalFormatting sqref="D22:D25">
    <cfRule type="cellIs" dxfId="659" priority="3" operator="equal">
      <formula>"1/0/1900"</formula>
    </cfRule>
  </conditionalFormatting>
  <dataValidations count="1">
    <dataValidation type="list" allowBlank="1" showInputMessage="1" showErrorMessage="1" sqref="E23:E25" xr:uid="{29C301E7-FB2B-4ACC-9B15-F426824AAFDE}">
      <formula1>$F$18:$G$18</formula1>
    </dataValidation>
  </dataValidations>
  <pageMargins left="0.25" right="0.25" top="0.26515151515151514" bottom="0.42424242424242425" header="0.3" footer="0.3"/>
  <pageSetup scale="73" fitToWidth="0" fitToHeight="0" orientation="landscape" r:id="rId1"/>
  <headerFooter>
    <oddFooter xml:space="preserve">&amp;L&amp;"Arial Narrow,Regular"&amp;8&amp;A - &amp;D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v>
      </c>
    </row>
    <row r="2" spans="1:14" ht="9" customHeight="1" x14ac:dyDescent="0.25">
      <c r="D2" s="398"/>
      <c r="E2" s="398"/>
      <c r="F2" s="398"/>
      <c r="G2" s="398"/>
      <c r="H2" s="398"/>
      <c r="I2" s="398"/>
      <c r="J2" s="398"/>
      <c r="K2" s="398"/>
      <c r="L2" s="398"/>
    </row>
    <row r="3" spans="1:14" ht="9" customHeight="1" x14ac:dyDescent="0.25">
      <c r="A3" s="55"/>
      <c r="B3" s="56"/>
      <c r="C3" s="56"/>
      <c r="D3" s="345"/>
      <c r="E3" s="345"/>
      <c r="F3" s="345"/>
      <c r="G3" s="57"/>
      <c r="H3" s="58"/>
      <c r="I3" s="57"/>
      <c r="J3" s="403"/>
      <c r="K3" s="403"/>
      <c r="L3" s="403"/>
      <c r="M3" s="56"/>
      <c r="N3" s="62" t="str">
        <f>'Summary Sheet'!R1</f>
        <v>Revised September 2026</v>
      </c>
    </row>
    <row r="4" spans="1:14" ht="12.75"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4.45" customHeight="1" x14ac:dyDescent="0.25">
      <c r="A14" s="366"/>
      <c r="B14" s="366"/>
      <c r="C14" s="366"/>
      <c r="D14" s="402" t="str" cm="1">
        <f t="array" ref="D14:G14">'Summary Sheet'!D13:G13</f>
        <v>City, State ZIP Code</v>
      </c>
      <c r="E14" s="402">
        <v>0</v>
      </c>
      <c r="F14" s="402">
        <v>0</v>
      </c>
      <c r="G14" s="402">
        <v>0</v>
      </c>
      <c r="H14" s="402"/>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IFERROR(L149+M149,0)</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0</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1.1000000000000001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
        <v>131</v>
      </c>
      <c r="C57" s="134" t="s">
        <v>47</v>
      </c>
      <c r="D57" s="154"/>
      <c r="E57" s="155">
        <f>VLOOKUP(B57,'Graph Data'!$O$2:$BX$88,3,FALSE)</f>
        <v>0</v>
      </c>
      <c r="F57" s="155">
        <f>IFERROR(D57+E57,"")</f>
        <v>0</v>
      </c>
      <c r="G57" s="155"/>
      <c r="H57" s="154"/>
      <c r="I57" s="155">
        <f>G57+H57</f>
        <v>0</v>
      </c>
      <c r="J57" s="156">
        <f>IFERROR(I57/F57,0)</f>
        <v>0</v>
      </c>
      <c r="K57" s="155">
        <f>IFERROR(F57-I57,"")</f>
        <v>0</v>
      </c>
      <c r="L57" s="155" t="str">
        <f>IF(AND('Summary Sheet'!$E$23="No",$H$33&gt;0,H57&gt;=1),"",IF(AND('Summary Sheet'!$E$23="Yes",H57&lt;&gt;""),H57*'Summary Sheet'!$G$23,""))</f>
        <v/>
      </c>
      <c r="M57" s="154"/>
      <c r="N57" s="155">
        <f>SUM('Pay App 1'!L57)+SUM('Pay App 1'!M57)</f>
        <v>0</v>
      </c>
    </row>
    <row r="58" spans="1:16" ht="11.25" customHeight="1" x14ac:dyDescent="0.25">
      <c r="A58" s="152">
        <v>2</v>
      </c>
      <c r="B58" s="145" t="s">
        <v>132</v>
      </c>
      <c r="C58" s="134" t="s">
        <v>48</v>
      </c>
      <c r="D58" s="154"/>
      <c r="E58" s="155">
        <f>VLOOKUP(B58,'Graph Data'!$O$2:$BX$88,3,FALSE)</f>
        <v>0</v>
      </c>
      <c r="F58" s="155">
        <f>IFERROR(D58+E58,"")</f>
        <v>0</v>
      </c>
      <c r="G58" s="155"/>
      <c r="H58" s="154"/>
      <c r="I58" s="155">
        <f>G58+H58</f>
        <v>0</v>
      </c>
      <c r="J58" s="156">
        <f>IFERROR(I58/F58,0)</f>
        <v>0</v>
      </c>
      <c r="K58" s="155">
        <f>IFERROR(F58-I58,"")</f>
        <v>0</v>
      </c>
      <c r="L58" s="155" t="str">
        <f>IF(AND('Summary Sheet'!$E$23="No",$H$33&gt;0,H58&gt;=1),"",IF(AND('Summary Sheet'!$E$23="Yes",H58&lt;&gt;""),H58*'Summary Sheet'!$G$23,""))</f>
        <v/>
      </c>
      <c r="M58" s="154"/>
      <c r="N58" s="155">
        <f>SUM('Pay App 1'!L58)+SUM('Pay App 1'!M58)</f>
        <v>0</v>
      </c>
    </row>
    <row r="59" spans="1:16" ht="11.25" customHeight="1" x14ac:dyDescent="0.25">
      <c r="A59" s="152">
        <v>3</v>
      </c>
      <c r="B59" s="146" t="s">
        <v>133</v>
      </c>
      <c r="C59" s="135" t="s">
        <v>165</v>
      </c>
      <c r="D59" s="154"/>
      <c r="E59" s="155">
        <f>VLOOKUP(B59,'Graph Data'!$O$2:$BX$88,3,FALSE)</f>
        <v>0</v>
      </c>
      <c r="F59" s="155">
        <f t="shared" ref="F59:F98" si="0">IFERROR(D59+E59,"")</f>
        <v>0</v>
      </c>
      <c r="G59" s="155"/>
      <c r="H59" s="154"/>
      <c r="I59" s="155">
        <f t="shared" ref="I59:I98" si="1">G59+H59</f>
        <v>0</v>
      </c>
      <c r="J59" s="156">
        <f t="shared" ref="J59:J98" si="2">IFERROR(I59/F59,0)</f>
        <v>0</v>
      </c>
      <c r="K59" s="155">
        <f t="shared" ref="K59:K98" si="3">IFERROR(F59-I59,"")</f>
        <v>0</v>
      </c>
      <c r="L59" s="155" t="str">
        <f>IF(AND('Summary Sheet'!$E$23="No",$H$33&gt;0,H59&gt;=1),"",IF(AND('Summary Sheet'!$E$23="Yes",H59&lt;&gt;""),H59*'Summary Sheet'!$G$23,""))</f>
        <v/>
      </c>
      <c r="M59" s="154"/>
      <c r="N59" s="155">
        <f>SUM('Pay App 1'!L59)+SUM('Pay App 1'!M59)</f>
        <v>0</v>
      </c>
    </row>
    <row r="60" spans="1:16" ht="11.25" customHeight="1" x14ac:dyDescent="0.25">
      <c r="A60" s="152">
        <v>4</v>
      </c>
      <c r="B60" s="146" t="s">
        <v>190</v>
      </c>
      <c r="C60" s="135" t="s">
        <v>134</v>
      </c>
      <c r="D60" s="154"/>
      <c r="E60" s="155">
        <f>VLOOKUP(B60,'Graph Data'!$O$2:$BX$88,3,FALSE)</f>
        <v>0</v>
      </c>
      <c r="F60" s="155">
        <f t="shared" si="0"/>
        <v>0</v>
      </c>
      <c r="G60" s="155"/>
      <c r="H60" s="154"/>
      <c r="I60" s="155">
        <f t="shared" si="1"/>
        <v>0</v>
      </c>
      <c r="J60" s="156">
        <f t="shared" si="2"/>
        <v>0</v>
      </c>
      <c r="K60" s="155">
        <f t="shared" si="3"/>
        <v>0</v>
      </c>
      <c r="L60" s="155" t="str">
        <f>IF(AND('Summary Sheet'!$E$23="No",$H$33&gt;0,H60&gt;=1),"",IF(AND('Summary Sheet'!$E$23="Yes",H60&lt;&gt;""),H60*'Summary Sheet'!$G$23,""))</f>
        <v/>
      </c>
      <c r="M60" s="154"/>
      <c r="N60" s="155">
        <f>SUM('Pay App 1'!L60)+SUM('Pay App 1'!M60)</f>
        <v>0</v>
      </c>
    </row>
    <row r="61" spans="1:16" ht="11.25" customHeight="1" x14ac:dyDescent="0.25">
      <c r="A61" s="152">
        <v>5</v>
      </c>
      <c r="B61" s="146" t="s">
        <v>191</v>
      </c>
      <c r="C61" s="135" t="s">
        <v>135</v>
      </c>
      <c r="D61" s="154"/>
      <c r="E61" s="155">
        <f>VLOOKUP(B61,'Graph Data'!$O$2:$BX$88,3,FALSE)</f>
        <v>0</v>
      </c>
      <c r="F61" s="155">
        <f t="shared" si="0"/>
        <v>0</v>
      </c>
      <c r="G61" s="155"/>
      <c r="H61" s="154"/>
      <c r="I61" s="155">
        <f t="shared" si="1"/>
        <v>0</v>
      </c>
      <c r="J61" s="156">
        <f t="shared" si="2"/>
        <v>0</v>
      </c>
      <c r="K61" s="155">
        <f t="shared" si="3"/>
        <v>0</v>
      </c>
      <c r="L61" s="155" t="str">
        <f>IF(AND('Summary Sheet'!$E$23="No",$H$33&gt;0,H61&gt;=1),"",IF(AND('Summary Sheet'!$E$23="Yes",H61&lt;&gt;""),H61*'Summary Sheet'!$G$23,""))</f>
        <v/>
      </c>
      <c r="M61" s="154"/>
      <c r="N61" s="155">
        <f>SUM('Pay App 1'!L61)+SUM('Pay App 1'!M61)</f>
        <v>0</v>
      </c>
      <c r="P61" s="26"/>
    </row>
    <row r="62" spans="1:16" ht="11.25" customHeight="1" x14ac:dyDescent="0.25">
      <c r="A62" s="152">
        <v>6</v>
      </c>
      <c r="B62" s="146" t="s">
        <v>192</v>
      </c>
      <c r="C62" s="135" t="s">
        <v>136</v>
      </c>
      <c r="D62" s="154"/>
      <c r="E62" s="155">
        <f>VLOOKUP(B62,'Graph Data'!$O$2:$BX$88,3,FALSE)</f>
        <v>0</v>
      </c>
      <c r="F62" s="155">
        <f t="shared" si="0"/>
        <v>0</v>
      </c>
      <c r="G62" s="155"/>
      <c r="H62" s="154"/>
      <c r="I62" s="155">
        <f t="shared" si="1"/>
        <v>0</v>
      </c>
      <c r="J62" s="156">
        <f t="shared" si="2"/>
        <v>0</v>
      </c>
      <c r="K62" s="155">
        <f t="shared" si="3"/>
        <v>0</v>
      </c>
      <c r="L62" s="155" t="str">
        <f>IF(AND('Summary Sheet'!$E$23="No",$H$33&gt;0,H62&gt;=1),"",IF(AND('Summary Sheet'!$E$23="Yes",H62&lt;&gt;""),H62*'Summary Sheet'!$G$23,""))</f>
        <v/>
      </c>
      <c r="M62" s="154"/>
      <c r="N62" s="155">
        <f>SUM('Pay App 1'!L62)+SUM('Pay App 1'!M62)</f>
        <v>0</v>
      </c>
    </row>
    <row r="63" spans="1:16" ht="11.25" customHeight="1" x14ac:dyDescent="0.25">
      <c r="A63" s="152">
        <v>7</v>
      </c>
      <c r="B63" s="146" t="s">
        <v>189</v>
      </c>
      <c r="C63" s="135" t="s">
        <v>49</v>
      </c>
      <c r="D63" s="154"/>
      <c r="E63" s="155">
        <f>VLOOKUP(B63,'Graph Data'!$O$2:$BX$88,3,FALSE)</f>
        <v>0</v>
      </c>
      <c r="F63" s="155">
        <f t="shared" si="0"/>
        <v>0</v>
      </c>
      <c r="G63" s="155"/>
      <c r="H63" s="154"/>
      <c r="I63" s="155">
        <f t="shared" si="1"/>
        <v>0</v>
      </c>
      <c r="J63" s="156">
        <f t="shared" si="2"/>
        <v>0</v>
      </c>
      <c r="K63" s="155">
        <f t="shared" si="3"/>
        <v>0</v>
      </c>
      <c r="L63" s="155" t="str">
        <f>IF(AND('Summary Sheet'!$E$23="No",$H$33&gt;0,H63&gt;=1),"",IF(AND('Summary Sheet'!$E$23="Yes",H63&lt;&gt;""),H63*'Summary Sheet'!$G$23,""))</f>
        <v/>
      </c>
      <c r="M63" s="154"/>
      <c r="N63" s="155">
        <f>SUM('Pay App 1'!L63)+SUM('Pay App 1'!M63)</f>
        <v>0</v>
      </c>
    </row>
    <row r="64" spans="1:16" ht="11.25" customHeight="1" x14ac:dyDescent="0.25">
      <c r="A64" s="152">
        <v>8</v>
      </c>
      <c r="B64" s="146" t="s">
        <v>137</v>
      </c>
      <c r="C64" s="135" t="s">
        <v>50</v>
      </c>
      <c r="D64" s="154"/>
      <c r="E64" s="155">
        <f>VLOOKUP(B64,'Graph Data'!$O$2:$BX$88,3,FALSE)</f>
        <v>0</v>
      </c>
      <c r="F64" s="155">
        <f t="shared" si="0"/>
        <v>0</v>
      </c>
      <c r="G64" s="155"/>
      <c r="H64" s="154"/>
      <c r="I64" s="155">
        <f t="shared" si="1"/>
        <v>0</v>
      </c>
      <c r="J64" s="156">
        <f t="shared" si="2"/>
        <v>0</v>
      </c>
      <c r="K64" s="155">
        <f t="shared" si="3"/>
        <v>0</v>
      </c>
      <c r="L64" s="155" t="str">
        <f>IF(AND('Summary Sheet'!$E$23="No",$H$33&gt;0,H64&gt;=1),"",IF(AND('Summary Sheet'!$E$23="Yes",H64&lt;&gt;""),H64*'Summary Sheet'!$G$23,""))</f>
        <v/>
      </c>
      <c r="M64" s="154"/>
      <c r="N64" s="155">
        <f>SUM('Pay App 1'!L64)+SUM('Pay App 1'!M64)</f>
        <v>0</v>
      </c>
    </row>
    <row r="65" spans="1:17" ht="11.25" customHeight="1" x14ac:dyDescent="0.25">
      <c r="A65" s="152">
        <v>9</v>
      </c>
      <c r="B65" s="146" t="s">
        <v>138</v>
      </c>
      <c r="C65" s="135" t="s">
        <v>139</v>
      </c>
      <c r="D65" s="154"/>
      <c r="E65" s="155">
        <f>VLOOKUP(B65,'Graph Data'!$O$2:$BX$88,3,FALSE)</f>
        <v>0</v>
      </c>
      <c r="F65" s="155">
        <f t="shared" si="0"/>
        <v>0</v>
      </c>
      <c r="G65" s="155"/>
      <c r="H65" s="154"/>
      <c r="I65" s="155">
        <f t="shared" si="1"/>
        <v>0</v>
      </c>
      <c r="J65" s="156">
        <f t="shared" si="2"/>
        <v>0</v>
      </c>
      <c r="K65" s="155">
        <f t="shared" si="3"/>
        <v>0</v>
      </c>
      <c r="L65" s="155" t="str">
        <f>IF(AND('Summary Sheet'!$E$23="No",$H$33&gt;0,H65&gt;=1),"",IF(AND('Summary Sheet'!$E$23="Yes",H65&lt;&gt;""),H65*'Summary Sheet'!$G$23,""))</f>
        <v/>
      </c>
      <c r="M65" s="154"/>
      <c r="N65" s="155">
        <f>SUM('Pay App 1'!L65)+SUM('Pay App 1'!M65)</f>
        <v>0</v>
      </c>
    </row>
    <row r="66" spans="1:17" ht="11.25" customHeight="1" x14ac:dyDescent="0.25">
      <c r="A66" s="152">
        <v>10</v>
      </c>
      <c r="B66" s="146" t="s">
        <v>140</v>
      </c>
      <c r="C66" s="135" t="s">
        <v>141</v>
      </c>
      <c r="D66" s="154"/>
      <c r="E66" s="155">
        <f>VLOOKUP(B66,'Graph Data'!$O$2:$BX$88,3,FALSE)</f>
        <v>0</v>
      </c>
      <c r="F66" s="155">
        <f t="shared" si="0"/>
        <v>0</v>
      </c>
      <c r="G66" s="155"/>
      <c r="H66" s="154"/>
      <c r="I66" s="155">
        <f t="shared" si="1"/>
        <v>0</v>
      </c>
      <c r="J66" s="156">
        <f t="shared" si="2"/>
        <v>0</v>
      </c>
      <c r="K66" s="155">
        <f t="shared" si="3"/>
        <v>0</v>
      </c>
      <c r="L66" s="155" t="str">
        <f>IF(AND('Summary Sheet'!$E$23="No",$H$33&gt;0,H66&gt;=1),"",IF(AND('Summary Sheet'!$E$23="Yes",H66&lt;&gt;""),H66*'Summary Sheet'!$G$23,""))</f>
        <v/>
      </c>
      <c r="M66" s="154"/>
      <c r="N66" s="155">
        <f>SUM('Pay App 1'!L66)+SUM('Pay App 1'!M66)</f>
        <v>0</v>
      </c>
    </row>
    <row r="67" spans="1:17" ht="11.25" customHeight="1" x14ac:dyDescent="0.25">
      <c r="A67" s="152">
        <v>11</v>
      </c>
      <c r="B67" s="146" t="s">
        <v>142</v>
      </c>
      <c r="C67" s="135" t="s">
        <v>143</v>
      </c>
      <c r="D67" s="154"/>
      <c r="E67" s="155">
        <f>VLOOKUP(B67,'Graph Data'!$O$2:$BX$88,3,FALSE)</f>
        <v>0</v>
      </c>
      <c r="F67" s="155">
        <f t="shared" si="0"/>
        <v>0</v>
      </c>
      <c r="G67" s="155"/>
      <c r="H67" s="154"/>
      <c r="I67" s="155">
        <f t="shared" si="1"/>
        <v>0</v>
      </c>
      <c r="J67" s="156">
        <f t="shared" si="2"/>
        <v>0</v>
      </c>
      <c r="K67" s="155">
        <f t="shared" si="3"/>
        <v>0</v>
      </c>
      <c r="L67" s="155" t="str">
        <f>IF(AND('Summary Sheet'!$E$23="No",$H$33&gt;0,H67&gt;=1),"",IF(AND('Summary Sheet'!$E$23="Yes",H67&lt;&gt;""),H67*'Summary Sheet'!$G$23,""))</f>
        <v/>
      </c>
      <c r="M67" s="154"/>
      <c r="N67" s="155">
        <f>SUM('Pay App 1'!L67)+SUM('Pay App 1'!M67)</f>
        <v>0</v>
      </c>
    </row>
    <row r="68" spans="1:17" ht="11.25" customHeight="1" x14ac:dyDescent="0.25">
      <c r="A68" s="152">
        <v>12</v>
      </c>
      <c r="B68" s="146" t="s">
        <v>144</v>
      </c>
      <c r="C68" s="135" t="s">
        <v>51</v>
      </c>
      <c r="D68" s="154"/>
      <c r="E68" s="155">
        <f>VLOOKUP(B68,'Graph Data'!$O$2:$BX$88,3,FALSE)</f>
        <v>0</v>
      </c>
      <c r="F68" s="155">
        <f t="shared" si="0"/>
        <v>0</v>
      </c>
      <c r="G68" s="155"/>
      <c r="H68" s="154"/>
      <c r="I68" s="155">
        <f t="shared" si="1"/>
        <v>0</v>
      </c>
      <c r="J68" s="156">
        <f t="shared" si="2"/>
        <v>0</v>
      </c>
      <c r="K68" s="155">
        <f t="shared" si="3"/>
        <v>0</v>
      </c>
      <c r="L68" s="155" t="str">
        <f>IF(AND('Summary Sheet'!$E$23="No",$H$33&gt;0,H68&gt;=1),"",IF(AND('Summary Sheet'!$E$23="Yes",H68&lt;&gt;""),H68*'Summary Sheet'!$G$23,""))</f>
        <v/>
      </c>
      <c r="M68" s="154"/>
      <c r="N68" s="155">
        <f>SUM('Pay App 1'!L68)+SUM('Pay App 1'!M68)</f>
        <v>0</v>
      </c>
    </row>
    <row r="69" spans="1:17" ht="11.25" customHeight="1" x14ac:dyDescent="0.25">
      <c r="A69" s="152">
        <v>13</v>
      </c>
      <c r="B69" s="146" t="s">
        <v>145</v>
      </c>
      <c r="C69" s="135" t="s">
        <v>146</v>
      </c>
      <c r="D69" s="154"/>
      <c r="E69" s="155">
        <f>VLOOKUP(B69,'Graph Data'!$O$2:$BX$88,3,FALSE)</f>
        <v>0</v>
      </c>
      <c r="F69" s="155">
        <f t="shared" si="0"/>
        <v>0</v>
      </c>
      <c r="G69" s="155"/>
      <c r="H69" s="154"/>
      <c r="I69" s="155">
        <f t="shared" si="1"/>
        <v>0</v>
      </c>
      <c r="J69" s="156">
        <f t="shared" si="2"/>
        <v>0</v>
      </c>
      <c r="K69" s="155">
        <f t="shared" si="3"/>
        <v>0</v>
      </c>
      <c r="L69" s="155" t="str">
        <f>IF(AND('Summary Sheet'!$E$23="No",$H$33&gt;0,H69&gt;=1),"",IF(AND('Summary Sheet'!$E$23="Yes",H69&lt;&gt;""),H69*'Summary Sheet'!$G$23,""))</f>
        <v/>
      </c>
      <c r="M69" s="154"/>
      <c r="N69" s="155">
        <f>SUM('Pay App 1'!L69)+SUM('Pay App 1'!M69)</f>
        <v>0</v>
      </c>
    </row>
    <row r="70" spans="1:17" ht="11.25" customHeight="1" x14ac:dyDescent="0.25">
      <c r="A70" s="152">
        <v>14</v>
      </c>
      <c r="B70" s="146" t="s">
        <v>193</v>
      </c>
      <c r="C70" s="135" t="s">
        <v>147</v>
      </c>
      <c r="D70" s="154"/>
      <c r="E70" s="155">
        <f>VLOOKUP(B70,'Graph Data'!$O$2:$BX$88,3,FALSE)</f>
        <v>0</v>
      </c>
      <c r="F70" s="155">
        <f t="shared" si="0"/>
        <v>0</v>
      </c>
      <c r="G70" s="155"/>
      <c r="H70" s="154"/>
      <c r="I70" s="155">
        <f t="shared" si="1"/>
        <v>0</v>
      </c>
      <c r="J70" s="156">
        <f t="shared" si="2"/>
        <v>0</v>
      </c>
      <c r="K70" s="155">
        <f t="shared" si="3"/>
        <v>0</v>
      </c>
      <c r="L70" s="155" t="str">
        <f>IF(AND('Summary Sheet'!$E$23="No",$H$33&gt;0,H70&gt;=1),"",IF(AND('Summary Sheet'!$E$23="Yes",H70&lt;&gt;""),H70*'Summary Sheet'!$G$23,""))</f>
        <v/>
      </c>
      <c r="M70" s="154"/>
      <c r="N70" s="155">
        <f>SUM('Pay App 1'!L70)+SUM('Pay App 1'!M70)</f>
        <v>0</v>
      </c>
    </row>
    <row r="71" spans="1:17" ht="11.25" customHeight="1" x14ac:dyDescent="0.25">
      <c r="A71" s="152">
        <v>15</v>
      </c>
      <c r="B71" s="147" t="s">
        <v>194</v>
      </c>
      <c r="C71" s="136" t="s">
        <v>52</v>
      </c>
      <c r="D71" s="154"/>
      <c r="E71" s="155">
        <f>VLOOKUP(B71,'Graph Data'!$O$2:$BX$88,3,FALSE)</f>
        <v>0</v>
      </c>
      <c r="F71" s="155">
        <f t="shared" si="0"/>
        <v>0</v>
      </c>
      <c r="G71" s="155"/>
      <c r="H71" s="154"/>
      <c r="I71" s="155">
        <f t="shared" si="1"/>
        <v>0</v>
      </c>
      <c r="J71" s="156">
        <f t="shared" si="2"/>
        <v>0</v>
      </c>
      <c r="K71" s="155">
        <f t="shared" si="3"/>
        <v>0</v>
      </c>
      <c r="L71" s="155" t="str">
        <f>IF(AND('Summary Sheet'!$E$23="No",$H$33&gt;0,H71&gt;=1),"",IF(AND('Summary Sheet'!$E$23="Yes",H71&lt;&gt;""),H71*'Summary Sheet'!$G$23,""))</f>
        <v/>
      </c>
      <c r="M71" s="154"/>
      <c r="N71" s="155">
        <f>SUM('Pay App 1'!L71)+SUM('Pay App 1'!M71)</f>
        <v>0</v>
      </c>
      <c r="Q71" s="28"/>
    </row>
    <row r="72" spans="1:17" ht="11.25" customHeight="1" x14ac:dyDescent="0.25">
      <c r="A72" s="152">
        <v>16</v>
      </c>
      <c r="B72" s="147" t="s">
        <v>195</v>
      </c>
      <c r="C72" s="136" t="s">
        <v>53</v>
      </c>
      <c r="D72" s="154"/>
      <c r="E72" s="155">
        <f>VLOOKUP(B72,'Graph Data'!$O$2:$BX$88,3,FALSE)</f>
        <v>0</v>
      </c>
      <c r="F72" s="155">
        <f t="shared" si="0"/>
        <v>0</v>
      </c>
      <c r="G72" s="155"/>
      <c r="H72" s="154"/>
      <c r="I72" s="155">
        <f t="shared" si="1"/>
        <v>0</v>
      </c>
      <c r="J72" s="156">
        <f t="shared" si="2"/>
        <v>0</v>
      </c>
      <c r="K72" s="155">
        <f t="shared" si="3"/>
        <v>0</v>
      </c>
      <c r="L72" s="155" t="str">
        <f>IF(AND('Summary Sheet'!$E$23="No",$H$33&gt;0,H72&gt;=1),"",IF(AND('Summary Sheet'!$E$23="Yes",H72&lt;&gt;""),H72*'Summary Sheet'!$G$23,""))</f>
        <v/>
      </c>
      <c r="M72" s="154"/>
      <c r="N72" s="155">
        <f>SUM('Pay App 1'!L72)+SUM('Pay App 1'!M72)</f>
        <v>0</v>
      </c>
      <c r="Q72" s="28"/>
    </row>
    <row r="73" spans="1:17" ht="11.25" customHeight="1" x14ac:dyDescent="0.25">
      <c r="A73" s="152">
        <v>17</v>
      </c>
      <c r="B73" s="147" t="s">
        <v>196</v>
      </c>
      <c r="C73" s="137" t="s">
        <v>54</v>
      </c>
      <c r="D73" s="154"/>
      <c r="E73" s="155">
        <f>VLOOKUP(B73,'Graph Data'!$O$2:$BX$88,3,FALSE)</f>
        <v>0</v>
      </c>
      <c r="F73" s="155">
        <f t="shared" si="0"/>
        <v>0</v>
      </c>
      <c r="G73" s="155"/>
      <c r="H73" s="154"/>
      <c r="I73" s="155">
        <f t="shared" si="1"/>
        <v>0</v>
      </c>
      <c r="J73" s="156">
        <f t="shared" si="2"/>
        <v>0</v>
      </c>
      <c r="K73" s="155">
        <f t="shared" si="3"/>
        <v>0</v>
      </c>
      <c r="L73" s="155" t="str">
        <f>IF(AND('Summary Sheet'!$E$23="No",$H$33&gt;0,H73&gt;=1),"",IF(AND('Summary Sheet'!$E$23="Yes",H73&lt;&gt;""),H73*'Summary Sheet'!$G$23,""))</f>
        <v/>
      </c>
      <c r="M73" s="154"/>
      <c r="N73" s="155">
        <f>SUM('Pay App 1'!L73)+SUM('Pay App 1'!M73)</f>
        <v>0</v>
      </c>
    </row>
    <row r="74" spans="1:17" ht="11.25" customHeight="1" x14ac:dyDescent="0.25">
      <c r="A74" s="152">
        <v>18</v>
      </c>
      <c r="B74" s="148" t="s">
        <v>197</v>
      </c>
      <c r="C74" s="138" t="s">
        <v>148</v>
      </c>
      <c r="D74" s="154"/>
      <c r="E74" s="155">
        <f>VLOOKUP(B74,'Graph Data'!$O$2:$BX$88,3,FALSE)</f>
        <v>0</v>
      </c>
      <c r="F74" s="155">
        <f t="shared" si="0"/>
        <v>0</v>
      </c>
      <c r="G74" s="155"/>
      <c r="H74" s="154"/>
      <c r="I74" s="155">
        <f t="shared" si="1"/>
        <v>0</v>
      </c>
      <c r="J74" s="156">
        <f t="shared" si="2"/>
        <v>0</v>
      </c>
      <c r="K74" s="155">
        <f t="shared" si="3"/>
        <v>0</v>
      </c>
      <c r="L74" s="155" t="str">
        <f>IF(AND('Summary Sheet'!$E$23="No",$H$33&gt;0,H74&gt;=1),"",IF(AND('Summary Sheet'!$E$23="Yes",H74&lt;&gt;""),H74*'Summary Sheet'!$G$23,""))</f>
        <v/>
      </c>
      <c r="M74" s="154"/>
      <c r="N74" s="155">
        <f>SUM('Pay App 1'!L74)+SUM('Pay App 1'!M74)</f>
        <v>0</v>
      </c>
    </row>
    <row r="75" spans="1:17" ht="11.25" customHeight="1" x14ac:dyDescent="0.25">
      <c r="A75" s="152">
        <v>19</v>
      </c>
      <c r="B75" s="148" t="s">
        <v>198</v>
      </c>
      <c r="C75" s="138" t="s">
        <v>149</v>
      </c>
      <c r="D75" s="154"/>
      <c r="E75" s="155">
        <f>VLOOKUP(B75,'Graph Data'!$O$2:$BX$88,3,FALSE)</f>
        <v>0</v>
      </c>
      <c r="F75" s="155">
        <f t="shared" si="0"/>
        <v>0</v>
      </c>
      <c r="G75" s="155"/>
      <c r="H75" s="154"/>
      <c r="I75" s="155">
        <f t="shared" si="1"/>
        <v>0</v>
      </c>
      <c r="J75" s="156">
        <f t="shared" si="2"/>
        <v>0</v>
      </c>
      <c r="K75" s="155">
        <f t="shared" si="3"/>
        <v>0</v>
      </c>
      <c r="L75" s="155" t="str">
        <f>IF(AND('Summary Sheet'!$E$23="No",$H$33&gt;0,H75&gt;=1),"",IF(AND('Summary Sheet'!$E$23="Yes",H75&lt;&gt;""),H75*'Summary Sheet'!$G$23,""))</f>
        <v/>
      </c>
      <c r="M75" s="154"/>
      <c r="N75" s="155">
        <f>SUM('Pay App 1'!L75)+SUM('Pay App 1'!M75)</f>
        <v>0</v>
      </c>
    </row>
    <row r="76" spans="1:17" ht="11.25" customHeight="1" x14ac:dyDescent="0.25">
      <c r="A76" s="152">
        <v>20</v>
      </c>
      <c r="B76" s="148" t="s">
        <v>199</v>
      </c>
      <c r="C76" s="138" t="s">
        <v>55</v>
      </c>
      <c r="D76" s="154"/>
      <c r="E76" s="155">
        <f>VLOOKUP(B76,'Graph Data'!$O$2:$BX$88,3,FALSE)</f>
        <v>0</v>
      </c>
      <c r="F76" s="155">
        <f t="shared" si="0"/>
        <v>0</v>
      </c>
      <c r="G76" s="155"/>
      <c r="H76" s="154"/>
      <c r="I76" s="155">
        <f t="shared" si="1"/>
        <v>0</v>
      </c>
      <c r="J76" s="156">
        <f t="shared" si="2"/>
        <v>0</v>
      </c>
      <c r="K76" s="155">
        <f t="shared" si="3"/>
        <v>0</v>
      </c>
      <c r="L76" s="155" t="str">
        <f>IF(AND('Summary Sheet'!$E$23="No",$H$33&gt;0,H76&gt;=1),"",IF(AND('Summary Sheet'!$E$23="Yes",H76&lt;&gt;""),H76*'Summary Sheet'!$G$23,""))</f>
        <v/>
      </c>
      <c r="M76" s="154"/>
      <c r="N76" s="155">
        <f>SUM('Pay App 1'!L76)+SUM('Pay App 1'!M76)</f>
        <v>0</v>
      </c>
    </row>
    <row r="77" spans="1:17" ht="11.25" customHeight="1" x14ac:dyDescent="0.25">
      <c r="A77" s="152">
        <v>21</v>
      </c>
      <c r="B77" s="149" t="s">
        <v>200</v>
      </c>
      <c r="C77" s="139" t="s">
        <v>150</v>
      </c>
      <c r="D77" s="154"/>
      <c r="E77" s="155">
        <f>VLOOKUP(B77,'Graph Data'!$O$2:$BX$88,3,FALSE)</f>
        <v>0</v>
      </c>
      <c r="F77" s="155">
        <f t="shared" si="0"/>
        <v>0</v>
      </c>
      <c r="G77" s="155"/>
      <c r="H77" s="154"/>
      <c r="I77" s="155">
        <f t="shared" si="1"/>
        <v>0</v>
      </c>
      <c r="J77" s="156">
        <f t="shared" si="2"/>
        <v>0</v>
      </c>
      <c r="K77" s="155">
        <f t="shared" si="3"/>
        <v>0</v>
      </c>
      <c r="L77" s="155" t="str">
        <f>IF(AND('Summary Sheet'!$E$23="No",$H$33&gt;0,H77&gt;=1),"",IF(AND('Summary Sheet'!$E$23="Yes",H77&lt;&gt;""),H77*'Summary Sheet'!$G$23,""))</f>
        <v/>
      </c>
      <c r="M77" s="154"/>
      <c r="N77" s="155">
        <f>SUM('Pay App 1'!L77)+SUM('Pay App 1'!M77)</f>
        <v>0</v>
      </c>
    </row>
    <row r="78" spans="1:17" ht="11.25" customHeight="1" x14ac:dyDescent="0.25">
      <c r="A78" s="152">
        <v>22</v>
      </c>
      <c r="B78" s="149" t="s">
        <v>201</v>
      </c>
      <c r="C78" s="139" t="s">
        <v>151</v>
      </c>
      <c r="D78" s="154"/>
      <c r="E78" s="155">
        <f>VLOOKUP(B78,'Graph Data'!$O$2:$BX$88,3,FALSE)</f>
        <v>0</v>
      </c>
      <c r="F78" s="155">
        <f t="shared" si="0"/>
        <v>0</v>
      </c>
      <c r="G78" s="155"/>
      <c r="H78" s="154"/>
      <c r="I78" s="155">
        <f t="shared" si="1"/>
        <v>0</v>
      </c>
      <c r="J78" s="156">
        <f t="shared" si="2"/>
        <v>0</v>
      </c>
      <c r="K78" s="155">
        <f t="shared" si="3"/>
        <v>0</v>
      </c>
      <c r="L78" s="155" t="str">
        <f>IF(AND('Summary Sheet'!$E$23="No",$H$33&gt;0,H78&gt;=1),"",IF(AND('Summary Sheet'!$E$23="Yes",H78&lt;&gt;""),H78*'Summary Sheet'!$G$23,""))</f>
        <v/>
      </c>
      <c r="M78" s="154"/>
      <c r="N78" s="155">
        <f>SUM('Pay App 1'!L78)+SUM('Pay App 1'!M78)</f>
        <v>0</v>
      </c>
    </row>
    <row r="79" spans="1:17" ht="11.25" customHeight="1" x14ac:dyDescent="0.25">
      <c r="A79" s="152">
        <v>23</v>
      </c>
      <c r="B79" s="150" t="s">
        <v>202</v>
      </c>
      <c r="C79" s="140" t="s">
        <v>56</v>
      </c>
      <c r="D79" s="154"/>
      <c r="E79" s="155">
        <f>VLOOKUP(B79,'Graph Data'!$O$2:$BX$88,3,FALSE)</f>
        <v>0</v>
      </c>
      <c r="F79" s="155">
        <f t="shared" si="0"/>
        <v>0</v>
      </c>
      <c r="G79" s="155"/>
      <c r="H79" s="154"/>
      <c r="I79" s="155">
        <f t="shared" si="1"/>
        <v>0</v>
      </c>
      <c r="J79" s="156">
        <f t="shared" si="2"/>
        <v>0</v>
      </c>
      <c r="K79" s="155">
        <f t="shared" si="3"/>
        <v>0</v>
      </c>
      <c r="L79" s="155" t="str">
        <f>IF(AND('Summary Sheet'!$E$23="No",$H$33&gt;0,H79&gt;=1),"",IF(AND('Summary Sheet'!$E$23="Yes",H79&lt;&gt;""),H79*'Summary Sheet'!$G$23,""))</f>
        <v/>
      </c>
      <c r="M79" s="154"/>
      <c r="N79" s="155">
        <f>SUM('Pay App 1'!L79)+SUM('Pay App 1'!M79)</f>
        <v>0</v>
      </c>
    </row>
    <row r="80" spans="1:17" ht="11.25" customHeight="1" x14ac:dyDescent="0.25">
      <c r="A80" s="152">
        <v>24</v>
      </c>
      <c r="B80" s="150" t="s">
        <v>203</v>
      </c>
      <c r="C80" s="140" t="s">
        <v>57</v>
      </c>
      <c r="D80" s="154"/>
      <c r="E80" s="155">
        <f>VLOOKUP(B80,'Graph Data'!$O$2:$BX$88,3,FALSE)</f>
        <v>0</v>
      </c>
      <c r="F80" s="155">
        <f t="shared" si="0"/>
        <v>0</v>
      </c>
      <c r="G80" s="155"/>
      <c r="H80" s="154"/>
      <c r="I80" s="155">
        <f t="shared" si="1"/>
        <v>0</v>
      </c>
      <c r="J80" s="156">
        <f t="shared" si="2"/>
        <v>0</v>
      </c>
      <c r="K80" s="155">
        <f t="shared" si="3"/>
        <v>0</v>
      </c>
      <c r="L80" s="155" t="str">
        <f>IF(AND('Summary Sheet'!$E$23="No",$H$33&gt;0,H80&gt;=1),"",IF(AND('Summary Sheet'!$E$23="Yes",H80&lt;&gt;""),H80*'Summary Sheet'!$G$23,""))</f>
        <v/>
      </c>
      <c r="M80" s="154"/>
      <c r="N80" s="155">
        <f>SUM('Pay App 1'!L80)+SUM('Pay App 1'!M80)</f>
        <v>0</v>
      </c>
    </row>
    <row r="81" spans="1:14" ht="11.25" customHeight="1" x14ac:dyDescent="0.25">
      <c r="A81" s="152">
        <v>25</v>
      </c>
      <c r="B81" s="150" t="s">
        <v>204</v>
      </c>
      <c r="C81" s="140" t="s">
        <v>58</v>
      </c>
      <c r="D81" s="154"/>
      <c r="E81" s="155">
        <f>VLOOKUP(B81,'Graph Data'!$O$2:$BX$88,3,FALSE)</f>
        <v>0</v>
      </c>
      <c r="F81" s="155">
        <f t="shared" si="0"/>
        <v>0</v>
      </c>
      <c r="G81" s="155"/>
      <c r="H81" s="154"/>
      <c r="I81" s="155">
        <f t="shared" si="1"/>
        <v>0</v>
      </c>
      <c r="J81" s="156">
        <f t="shared" si="2"/>
        <v>0</v>
      </c>
      <c r="K81" s="155">
        <f t="shared" si="3"/>
        <v>0</v>
      </c>
      <c r="L81" s="155" t="str">
        <f>IF(AND('Summary Sheet'!$E$23="No",$H$33&gt;0,H81&gt;=1),"",IF(AND('Summary Sheet'!$E$23="Yes",H81&lt;&gt;""),H81*'Summary Sheet'!$G$23,""))</f>
        <v/>
      </c>
      <c r="M81" s="154"/>
      <c r="N81" s="155">
        <f>SUM('Pay App 1'!L81)+SUM('Pay App 1'!M81)</f>
        <v>0</v>
      </c>
    </row>
    <row r="82" spans="1:14" ht="11.25" customHeight="1" x14ac:dyDescent="0.25">
      <c r="A82" s="152">
        <v>26</v>
      </c>
      <c r="B82" s="145" t="s">
        <v>205</v>
      </c>
      <c r="C82" s="141" t="s">
        <v>59</v>
      </c>
      <c r="D82" s="154"/>
      <c r="E82" s="155">
        <f>VLOOKUP(B82,'Graph Data'!$O$2:$BX$88,3,FALSE)</f>
        <v>0</v>
      </c>
      <c r="F82" s="155">
        <f t="shared" si="0"/>
        <v>0</v>
      </c>
      <c r="G82" s="155"/>
      <c r="H82" s="154"/>
      <c r="I82" s="155">
        <f t="shared" si="1"/>
        <v>0</v>
      </c>
      <c r="J82" s="156">
        <f t="shared" si="2"/>
        <v>0</v>
      </c>
      <c r="K82" s="155">
        <f t="shared" si="3"/>
        <v>0</v>
      </c>
      <c r="L82" s="155" t="str">
        <f>IF(AND('Summary Sheet'!$E$23="No",$H$33&gt;0,H82&gt;=1),"",IF(AND('Summary Sheet'!$E$23="Yes",H82&lt;&gt;""),H82*'Summary Sheet'!$G$23,""))</f>
        <v/>
      </c>
      <c r="M82" s="154"/>
      <c r="N82" s="155">
        <f>SUM('Pay App 1'!L82)+SUM('Pay App 1'!M82)</f>
        <v>0</v>
      </c>
    </row>
    <row r="83" spans="1:14" ht="11.25" customHeight="1" x14ac:dyDescent="0.25">
      <c r="A83" s="152">
        <v>27</v>
      </c>
      <c r="B83" s="145" t="s">
        <v>206</v>
      </c>
      <c r="C83" s="141" t="s">
        <v>127</v>
      </c>
      <c r="D83" s="154"/>
      <c r="E83" s="155">
        <f>VLOOKUP(B83,'Graph Data'!$O$2:$BX$88,3,FALSE)</f>
        <v>0</v>
      </c>
      <c r="F83" s="155">
        <f t="shared" si="0"/>
        <v>0</v>
      </c>
      <c r="G83" s="155"/>
      <c r="H83" s="154"/>
      <c r="I83" s="155">
        <f t="shared" si="1"/>
        <v>0</v>
      </c>
      <c r="J83" s="156">
        <f t="shared" si="2"/>
        <v>0</v>
      </c>
      <c r="K83" s="155">
        <f t="shared" si="3"/>
        <v>0</v>
      </c>
      <c r="L83" s="155" t="str">
        <f>IF(AND('Summary Sheet'!$E$23="No",$H$33&gt;0,H83&gt;=1),"",IF(AND('Summary Sheet'!$E$23="Yes",H83&lt;&gt;""),H83*'Summary Sheet'!$G$23,""))</f>
        <v/>
      </c>
      <c r="M83" s="154"/>
      <c r="N83" s="155">
        <f>SUM('Pay App 1'!L83)+SUM('Pay App 1'!M83)</f>
        <v>0</v>
      </c>
    </row>
    <row r="84" spans="1:14" ht="11.25" customHeight="1" x14ac:dyDescent="0.25">
      <c r="A84" s="152">
        <v>28</v>
      </c>
      <c r="B84" s="146" t="s">
        <v>207</v>
      </c>
      <c r="C84" s="142" t="s">
        <v>152</v>
      </c>
      <c r="D84" s="154"/>
      <c r="E84" s="155">
        <f>VLOOKUP(B84,'Graph Data'!$O$2:$BX$88,3,FALSE)</f>
        <v>0</v>
      </c>
      <c r="F84" s="155">
        <f t="shared" si="0"/>
        <v>0</v>
      </c>
      <c r="G84" s="155"/>
      <c r="H84" s="154"/>
      <c r="I84" s="155">
        <f t="shared" si="1"/>
        <v>0</v>
      </c>
      <c r="J84" s="156">
        <f t="shared" si="2"/>
        <v>0</v>
      </c>
      <c r="K84" s="155">
        <f t="shared" si="3"/>
        <v>0</v>
      </c>
      <c r="L84" s="155" t="str">
        <f>IF(AND('Summary Sheet'!$E$23="No",$H$33&gt;0,H84&gt;=1),"",IF(AND('Summary Sheet'!$E$23="Yes",H84&lt;&gt;""),H84*'Summary Sheet'!$G$23,""))</f>
        <v/>
      </c>
      <c r="M84" s="154"/>
      <c r="N84" s="155">
        <f>SUM('Pay App 1'!L84)+SUM('Pay App 1'!M84)</f>
        <v>0</v>
      </c>
    </row>
    <row r="85" spans="1:14" ht="11.25" customHeight="1" x14ac:dyDescent="0.25">
      <c r="A85" s="152">
        <v>29</v>
      </c>
      <c r="B85" s="146" t="s">
        <v>208</v>
      </c>
      <c r="C85" s="142" t="s">
        <v>61</v>
      </c>
      <c r="D85" s="154"/>
      <c r="E85" s="155">
        <f>VLOOKUP(B85,'Graph Data'!$O$2:$BX$88,3,FALSE)</f>
        <v>0</v>
      </c>
      <c r="F85" s="155">
        <f t="shared" si="0"/>
        <v>0</v>
      </c>
      <c r="G85" s="155"/>
      <c r="H85" s="154"/>
      <c r="I85" s="155">
        <f t="shared" si="1"/>
        <v>0</v>
      </c>
      <c r="J85" s="156">
        <f t="shared" si="2"/>
        <v>0</v>
      </c>
      <c r="K85" s="155">
        <f t="shared" si="3"/>
        <v>0</v>
      </c>
      <c r="L85" s="155" t="str">
        <f>IF(AND('Summary Sheet'!$E$23="No",$H$33&gt;0,H85&gt;=1),"",IF(AND('Summary Sheet'!$E$23="Yes",H85&lt;&gt;""),H85*'Summary Sheet'!$G$23,""))</f>
        <v/>
      </c>
      <c r="M85" s="154"/>
      <c r="N85" s="155">
        <f>SUM('Pay App 1'!L85)+SUM('Pay App 1'!M85)</f>
        <v>0</v>
      </c>
    </row>
    <row r="86" spans="1:14" ht="11.25" customHeight="1" x14ac:dyDescent="0.25">
      <c r="A86" s="152">
        <v>30</v>
      </c>
      <c r="B86" s="146" t="s">
        <v>209</v>
      </c>
      <c r="C86" s="142" t="s">
        <v>62</v>
      </c>
      <c r="D86" s="154"/>
      <c r="E86" s="155">
        <f>VLOOKUP(B86,'Graph Data'!$O$2:$BX$88,3,FALSE)</f>
        <v>0</v>
      </c>
      <c r="F86" s="155">
        <f t="shared" si="0"/>
        <v>0</v>
      </c>
      <c r="G86" s="155"/>
      <c r="H86" s="154"/>
      <c r="I86" s="155">
        <f t="shared" si="1"/>
        <v>0</v>
      </c>
      <c r="J86" s="156">
        <f t="shared" si="2"/>
        <v>0</v>
      </c>
      <c r="K86" s="155">
        <f t="shared" si="3"/>
        <v>0</v>
      </c>
      <c r="L86" s="155" t="str">
        <f>IF(AND('Summary Sheet'!$E$23="No",$H$33&gt;0,H86&gt;=1),"",IF(AND('Summary Sheet'!$E$23="Yes",H86&lt;&gt;""),H86*'Summary Sheet'!$G$23,""))</f>
        <v/>
      </c>
      <c r="M86" s="154"/>
      <c r="N86" s="155">
        <f>SUM('Pay App 1'!L86)+SUM('Pay App 1'!M86)</f>
        <v>0</v>
      </c>
    </row>
    <row r="87" spans="1:14" ht="11.25" customHeight="1" x14ac:dyDescent="0.25">
      <c r="A87" s="152">
        <v>31</v>
      </c>
      <c r="B87" s="146" t="s">
        <v>210</v>
      </c>
      <c r="C87" s="142" t="s">
        <v>60</v>
      </c>
      <c r="D87" s="154"/>
      <c r="E87" s="155">
        <f>VLOOKUP(B87,'Graph Data'!$O$2:$BX$88,3,FALSE)</f>
        <v>0</v>
      </c>
      <c r="F87" s="155">
        <f t="shared" si="0"/>
        <v>0</v>
      </c>
      <c r="G87" s="155"/>
      <c r="H87" s="154"/>
      <c r="I87" s="155">
        <f t="shared" si="1"/>
        <v>0</v>
      </c>
      <c r="J87" s="156">
        <f t="shared" si="2"/>
        <v>0</v>
      </c>
      <c r="K87" s="155">
        <f t="shared" si="3"/>
        <v>0</v>
      </c>
      <c r="L87" s="155" t="str">
        <f>IF(AND('Summary Sheet'!$E$23="No",$H$33&gt;0,H87&gt;=1),"",IF(AND('Summary Sheet'!$E$23="Yes",H87&lt;&gt;""),H87*'Summary Sheet'!$G$23,""))</f>
        <v/>
      </c>
      <c r="M87" s="154"/>
      <c r="N87" s="155">
        <f>SUM('Pay App 1'!L87)+SUM('Pay App 1'!M87)</f>
        <v>0</v>
      </c>
    </row>
    <row r="88" spans="1:14" ht="11.25" customHeight="1" x14ac:dyDescent="0.25">
      <c r="A88" s="152">
        <v>32</v>
      </c>
      <c r="B88" s="146" t="s">
        <v>211</v>
      </c>
      <c r="C88" s="142" t="s">
        <v>63</v>
      </c>
      <c r="D88" s="154"/>
      <c r="E88" s="155">
        <f>VLOOKUP(B88,'Graph Data'!$O$2:$BX$88,3,FALSE)</f>
        <v>0</v>
      </c>
      <c r="F88" s="155">
        <f t="shared" si="0"/>
        <v>0</v>
      </c>
      <c r="G88" s="155"/>
      <c r="H88" s="154"/>
      <c r="I88" s="155">
        <f t="shared" si="1"/>
        <v>0</v>
      </c>
      <c r="J88" s="156">
        <f t="shared" si="2"/>
        <v>0</v>
      </c>
      <c r="K88" s="155">
        <f t="shared" si="3"/>
        <v>0</v>
      </c>
      <c r="L88" s="155" t="str">
        <f>IF(AND('Summary Sheet'!$E$23="No",$H$33&gt;0,H88&gt;=1),"",IF(AND('Summary Sheet'!$E$23="Yes",H88&lt;&gt;""),H88*'Summary Sheet'!$G$23,""))</f>
        <v/>
      </c>
      <c r="M88" s="154"/>
      <c r="N88" s="155">
        <f>SUM('Pay App 1'!L88)+SUM('Pay App 1'!M88)</f>
        <v>0</v>
      </c>
    </row>
    <row r="89" spans="1:14" ht="11.25" customHeight="1" x14ac:dyDescent="0.25">
      <c r="A89" s="152">
        <v>33</v>
      </c>
      <c r="B89" s="146" t="s">
        <v>212</v>
      </c>
      <c r="C89" s="135" t="s">
        <v>128</v>
      </c>
      <c r="D89" s="154"/>
      <c r="E89" s="155">
        <f>VLOOKUP(B89,'Graph Data'!$O$2:$BX$88,3,FALSE)</f>
        <v>0</v>
      </c>
      <c r="F89" s="155">
        <f t="shared" si="0"/>
        <v>0</v>
      </c>
      <c r="G89" s="155"/>
      <c r="H89" s="154"/>
      <c r="I89" s="155">
        <f t="shared" si="1"/>
        <v>0</v>
      </c>
      <c r="J89" s="156">
        <f t="shared" si="2"/>
        <v>0</v>
      </c>
      <c r="K89" s="155">
        <f t="shared" si="3"/>
        <v>0</v>
      </c>
      <c r="L89" s="155" t="str">
        <f>IF(AND('Summary Sheet'!$E$23="No",$H$33&gt;0,H89&gt;=1),"",IF(AND('Summary Sheet'!$E$23="Yes",H89&lt;&gt;""),H89*'Summary Sheet'!$G$23,""))</f>
        <v/>
      </c>
      <c r="M89" s="154"/>
      <c r="N89" s="155">
        <f>SUM('Pay App 1'!L89)+SUM('Pay App 1'!M89)</f>
        <v>0</v>
      </c>
    </row>
    <row r="90" spans="1:14" ht="11.25" customHeight="1" x14ac:dyDescent="0.25">
      <c r="A90" s="152">
        <v>34</v>
      </c>
      <c r="B90" s="146" t="s">
        <v>213</v>
      </c>
      <c r="C90" s="135" t="s">
        <v>64</v>
      </c>
      <c r="D90" s="154"/>
      <c r="E90" s="155">
        <f>VLOOKUP(B90,'Graph Data'!$O$2:$BX$88,3,FALSE)</f>
        <v>0</v>
      </c>
      <c r="F90" s="155">
        <f t="shared" si="0"/>
        <v>0</v>
      </c>
      <c r="G90" s="155"/>
      <c r="H90" s="154"/>
      <c r="I90" s="155">
        <f t="shared" si="1"/>
        <v>0</v>
      </c>
      <c r="J90" s="156">
        <f t="shared" si="2"/>
        <v>0</v>
      </c>
      <c r="K90" s="155">
        <f t="shared" si="3"/>
        <v>0</v>
      </c>
      <c r="L90" s="155" t="str">
        <f>IF(AND('Summary Sheet'!$E$23="No",$H$33&gt;0,H90&gt;=1),"",IF(AND('Summary Sheet'!$E$23="Yes",H90&lt;&gt;""),H90*'Summary Sheet'!$G$23,""))</f>
        <v/>
      </c>
      <c r="M90" s="154"/>
      <c r="N90" s="155">
        <f>SUM('Pay App 1'!L90)+SUM('Pay App 1'!M90)</f>
        <v>0</v>
      </c>
    </row>
    <row r="91" spans="1:14" ht="11.25" customHeight="1" x14ac:dyDescent="0.25">
      <c r="A91" s="152">
        <v>35</v>
      </c>
      <c r="B91" s="146" t="s">
        <v>214</v>
      </c>
      <c r="C91" s="135" t="s">
        <v>65</v>
      </c>
      <c r="D91" s="154"/>
      <c r="E91" s="155">
        <f>VLOOKUP(B91,'Graph Data'!$O$2:$BX$88,3,FALSE)</f>
        <v>0</v>
      </c>
      <c r="F91" s="155">
        <f t="shared" si="0"/>
        <v>0</v>
      </c>
      <c r="G91" s="155"/>
      <c r="H91" s="154"/>
      <c r="I91" s="155">
        <f t="shared" si="1"/>
        <v>0</v>
      </c>
      <c r="J91" s="156">
        <f t="shared" si="2"/>
        <v>0</v>
      </c>
      <c r="K91" s="155">
        <f t="shared" si="3"/>
        <v>0</v>
      </c>
      <c r="L91" s="155" t="str">
        <f>IF(AND('Summary Sheet'!$E$23="No",$H$33&gt;0,H91&gt;=1),"",IF(AND('Summary Sheet'!$E$23="Yes",H91&lt;&gt;""),H91*'Summary Sheet'!$G$23,""))</f>
        <v/>
      </c>
      <c r="M91" s="154"/>
      <c r="N91" s="155">
        <f>SUM('Pay App 1'!L91)+SUM('Pay App 1'!M91)</f>
        <v>0</v>
      </c>
    </row>
    <row r="92" spans="1:14" ht="11.25" customHeight="1" x14ac:dyDescent="0.25">
      <c r="A92" s="152">
        <v>36</v>
      </c>
      <c r="B92" s="146" t="s">
        <v>215</v>
      </c>
      <c r="C92" s="135" t="s">
        <v>66</v>
      </c>
      <c r="D92" s="154"/>
      <c r="E92" s="155">
        <f>VLOOKUP(B92,'Graph Data'!$O$2:$BX$88,3,FALSE)</f>
        <v>0</v>
      </c>
      <c r="F92" s="155">
        <f t="shared" si="0"/>
        <v>0</v>
      </c>
      <c r="G92" s="155"/>
      <c r="H92" s="154"/>
      <c r="I92" s="155">
        <f t="shared" si="1"/>
        <v>0</v>
      </c>
      <c r="J92" s="156">
        <f t="shared" si="2"/>
        <v>0</v>
      </c>
      <c r="K92" s="155">
        <f t="shared" si="3"/>
        <v>0</v>
      </c>
      <c r="L92" s="155" t="str">
        <f>IF(AND('Summary Sheet'!$E$23="No",$H$33&gt;0,H92&gt;=1),"",IF(AND('Summary Sheet'!$E$23="Yes",H92&lt;&gt;""),H92*'Summary Sheet'!$G$23,""))</f>
        <v/>
      </c>
      <c r="M92" s="154"/>
      <c r="N92" s="155">
        <f>SUM('Pay App 1'!L92)+SUM('Pay App 1'!M92)</f>
        <v>0</v>
      </c>
    </row>
    <row r="93" spans="1:14" ht="11.25" customHeight="1" x14ac:dyDescent="0.25">
      <c r="A93" s="152">
        <v>37</v>
      </c>
      <c r="B93" s="146" t="s">
        <v>216</v>
      </c>
      <c r="C93" s="135" t="s">
        <v>67</v>
      </c>
      <c r="D93" s="154"/>
      <c r="E93" s="155">
        <f>VLOOKUP(B93,'Graph Data'!$O$2:$BX$88,3,FALSE)</f>
        <v>0</v>
      </c>
      <c r="F93" s="155">
        <f t="shared" si="0"/>
        <v>0</v>
      </c>
      <c r="G93" s="155"/>
      <c r="H93" s="154"/>
      <c r="I93" s="155">
        <f t="shared" si="1"/>
        <v>0</v>
      </c>
      <c r="J93" s="156">
        <f t="shared" si="2"/>
        <v>0</v>
      </c>
      <c r="K93" s="155">
        <f t="shared" si="3"/>
        <v>0</v>
      </c>
      <c r="L93" s="155" t="str">
        <f>IF(AND('Summary Sheet'!$E$23="No",$H$33&gt;0,H93&gt;=1),"",IF(AND('Summary Sheet'!$E$23="Yes",H93&lt;&gt;""),H93*'Summary Sheet'!$G$23,""))</f>
        <v/>
      </c>
      <c r="M93" s="154"/>
      <c r="N93" s="155">
        <f>SUM('Pay App 1'!L93)+SUM('Pay App 1'!M93)</f>
        <v>0</v>
      </c>
    </row>
    <row r="94" spans="1:14" ht="11.25" customHeight="1" x14ac:dyDescent="0.25">
      <c r="A94" s="152">
        <v>38</v>
      </c>
      <c r="B94" s="147" t="s">
        <v>217</v>
      </c>
      <c r="C94" s="136" t="s">
        <v>68</v>
      </c>
      <c r="D94" s="154"/>
      <c r="E94" s="155">
        <f>VLOOKUP(B94,'Graph Data'!$O$2:$BX$88,3,FALSE)</f>
        <v>0</v>
      </c>
      <c r="F94" s="155">
        <f t="shared" si="0"/>
        <v>0</v>
      </c>
      <c r="G94" s="155"/>
      <c r="H94" s="154"/>
      <c r="I94" s="155">
        <f t="shared" si="1"/>
        <v>0</v>
      </c>
      <c r="J94" s="156">
        <f t="shared" si="2"/>
        <v>0</v>
      </c>
      <c r="K94" s="155">
        <f t="shared" si="3"/>
        <v>0</v>
      </c>
      <c r="L94" s="155" t="str">
        <f>IF(AND('Summary Sheet'!$E$23="No",$H$33&gt;0,H94&gt;=1),"",IF(AND('Summary Sheet'!$E$23="Yes",H94&lt;&gt;""),H94*'Summary Sheet'!$G$23,""))</f>
        <v/>
      </c>
      <c r="M94" s="154"/>
      <c r="N94" s="155">
        <f>SUM('Pay App 1'!L94)+SUM('Pay App 1'!M94)</f>
        <v>0</v>
      </c>
    </row>
    <row r="95" spans="1:14" ht="11.25" customHeight="1" x14ac:dyDescent="0.25">
      <c r="A95" s="152">
        <v>39</v>
      </c>
      <c r="B95" s="147" t="s">
        <v>218</v>
      </c>
      <c r="C95" s="136" t="s">
        <v>69</v>
      </c>
      <c r="D95" s="154"/>
      <c r="E95" s="155">
        <f>VLOOKUP(B95,'Graph Data'!$O$2:$BX$88,3,FALSE)</f>
        <v>0</v>
      </c>
      <c r="F95" s="155">
        <f t="shared" si="0"/>
        <v>0</v>
      </c>
      <c r="G95" s="155"/>
      <c r="H95" s="154"/>
      <c r="I95" s="155">
        <f t="shared" si="1"/>
        <v>0</v>
      </c>
      <c r="J95" s="156">
        <f t="shared" si="2"/>
        <v>0</v>
      </c>
      <c r="K95" s="155">
        <f t="shared" si="3"/>
        <v>0</v>
      </c>
      <c r="L95" s="155" t="str">
        <f>IF(AND('Summary Sheet'!$E$23="No",$H$33&gt;0,H95&gt;=1),"",IF(AND('Summary Sheet'!$E$23="Yes",H95&lt;&gt;""),H95*'Summary Sheet'!$G$23,""))</f>
        <v/>
      </c>
      <c r="M95" s="154"/>
      <c r="N95" s="155">
        <f>SUM('Pay App 1'!L95)+SUM('Pay App 1'!M95)</f>
        <v>0</v>
      </c>
    </row>
    <row r="96" spans="1:14" ht="11.25" customHeight="1" x14ac:dyDescent="0.25">
      <c r="A96" s="152">
        <v>40</v>
      </c>
      <c r="B96" s="147" t="s">
        <v>219</v>
      </c>
      <c r="C96" s="136" t="s">
        <v>153</v>
      </c>
      <c r="D96" s="154"/>
      <c r="E96" s="155">
        <f>VLOOKUP(B96,'Graph Data'!$O$2:$BX$88,3,FALSE)</f>
        <v>0</v>
      </c>
      <c r="F96" s="155">
        <f t="shared" si="0"/>
        <v>0</v>
      </c>
      <c r="G96" s="155"/>
      <c r="H96" s="154"/>
      <c r="I96" s="155">
        <f t="shared" si="1"/>
        <v>0</v>
      </c>
      <c r="J96" s="156">
        <f t="shared" si="2"/>
        <v>0</v>
      </c>
      <c r="K96" s="155">
        <f t="shared" si="3"/>
        <v>0</v>
      </c>
      <c r="L96" s="155" t="str">
        <f>IF(AND('Summary Sheet'!$E$23="No",$H$33&gt;0,H96&gt;=1),"",IF(AND('Summary Sheet'!$E$23="Yes",H96&lt;&gt;""),H96*'Summary Sheet'!$G$23,""))</f>
        <v/>
      </c>
      <c r="M96" s="154"/>
      <c r="N96" s="155">
        <f>SUM('Pay App 1'!L96)+SUM('Pay App 1'!M96)</f>
        <v>0</v>
      </c>
    </row>
    <row r="97" spans="1:15" ht="11.25" customHeight="1" x14ac:dyDescent="0.25">
      <c r="A97" s="152">
        <v>41</v>
      </c>
      <c r="B97" s="147" t="s">
        <v>220</v>
      </c>
      <c r="C97" s="136" t="s">
        <v>70</v>
      </c>
      <c r="D97" s="154"/>
      <c r="E97" s="155">
        <f>VLOOKUP(B97,'Graph Data'!$O$2:$BX$88,3,FALSE)</f>
        <v>0</v>
      </c>
      <c r="F97" s="155">
        <f t="shared" si="0"/>
        <v>0</v>
      </c>
      <c r="G97" s="155"/>
      <c r="H97" s="154"/>
      <c r="I97" s="155">
        <f t="shared" si="1"/>
        <v>0</v>
      </c>
      <c r="J97" s="156">
        <f t="shared" si="2"/>
        <v>0</v>
      </c>
      <c r="K97" s="155">
        <f t="shared" si="3"/>
        <v>0</v>
      </c>
      <c r="L97" s="155" t="str">
        <f>IF(AND('Summary Sheet'!$E$23="No",$H$33&gt;0,H97&gt;=1),"",IF(AND('Summary Sheet'!$E$23="Yes",H97&lt;&gt;""),H97*'Summary Sheet'!$G$23,""))</f>
        <v/>
      </c>
      <c r="M97" s="154"/>
      <c r="N97" s="155">
        <f>SUM('Pay App 1'!L97)+SUM('Pay App 1'!M97)</f>
        <v>0</v>
      </c>
    </row>
    <row r="98" spans="1:15" ht="10.9" customHeight="1" x14ac:dyDescent="0.25">
      <c r="A98" s="152">
        <v>42</v>
      </c>
      <c r="B98" s="147" t="s">
        <v>221</v>
      </c>
      <c r="C98" s="136" t="s">
        <v>71</v>
      </c>
      <c r="D98" s="154"/>
      <c r="E98" s="155">
        <f>VLOOKUP(B98,'Graph Data'!$O$2:$BX$88,3,FALSE)</f>
        <v>0</v>
      </c>
      <c r="F98" s="155">
        <f t="shared" si="0"/>
        <v>0</v>
      </c>
      <c r="G98" s="155"/>
      <c r="H98" s="154"/>
      <c r="I98" s="155">
        <f t="shared" si="1"/>
        <v>0</v>
      </c>
      <c r="J98" s="156">
        <f t="shared" si="2"/>
        <v>0</v>
      </c>
      <c r="K98" s="155">
        <f t="shared" si="3"/>
        <v>0</v>
      </c>
      <c r="L98" s="155" t="str">
        <f>IF(AND('Summary Sheet'!$E$23="No",$H$33&gt;0,H98&gt;=1),"",IF(AND('Summary Sheet'!$E$23="Yes",H98&lt;&gt;""),H98*'Summary Sheet'!$G$23,""))</f>
        <v/>
      </c>
      <c r="M98" s="154"/>
      <c r="N98" s="155">
        <f>SUM('Pay App 1'!L98)+SUM('Pay App 1'!M98)</f>
        <v>0</v>
      </c>
    </row>
    <row r="99" spans="1:15" ht="10.9" customHeight="1" x14ac:dyDescent="0.25">
      <c r="A99" s="152">
        <v>43</v>
      </c>
      <c r="B99" s="147" t="s">
        <v>222</v>
      </c>
      <c r="C99" s="136" t="s">
        <v>72</v>
      </c>
      <c r="D99" s="154"/>
      <c r="E99" s="155">
        <f>VLOOKUP(B99,'Graph Data'!$O$2:$BX$88,3,FALSE)</f>
        <v>0</v>
      </c>
      <c r="F99" s="155">
        <f t="shared" ref="F99" si="4">IFERROR(D99+E99,"")</f>
        <v>0</v>
      </c>
      <c r="G99" s="155"/>
      <c r="H99" s="154"/>
      <c r="I99" s="155">
        <f t="shared" ref="I99" si="5">G99+H99</f>
        <v>0</v>
      </c>
      <c r="J99" s="156">
        <f t="shared" ref="J99" si="6">IFERROR(I99/F99,0)</f>
        <v>0</v>
      </c>
      <c r="K99" s="155">
        <f t="shared" ref="K99" si="7">IFERROR(F99-I99,"")</f>
        <v>0</v>
      </c>
      <c r="L99" s="155" t="str">
        <f>IF(AND('Summary Sheet'!$E$23="No",$H$33&gt;0,H99&gt;=1),"",IF(AND('Summary Sheet'!$E$23="Yes",H99&lt;&gt;""),H99*'Summary Sheet'!$G$23,""))</f>
        <v/>
      </c>
      <c r="M99" s="154"/>
      <c r="N99" s="155">
        <f>SUM('Pay App 1'!L99)+SUM('Pay App 1'!M99)</f>
        <v>0</v>
      </c>
    </row>
    <row r="100" spans="1:15" ht="11.25" customHeight="1" x14ac:dyDescent="0.25">
      <c r="A100" s="153">
        <v>44</v>
      </c>
      <c r="B100" s="148" t="s">
        <v>223</v>
      </c>
      <c r="C100" s="143" t="s">
        <v>73</v>
      </c>
      <c r="D100" s="154"/>
      <c r="E100" s="155">
        <f>VLOOKUP(B100,'Graph Data'!$O$2:$BX$88,3,FALSE)</f>
        <v>0</v>
      </c>
      <c r="F100" s="155">
        <f>IFERROR(D100+E100,"")</f>
        <v>0</v>
      </c>
      <c r="G100" s="155"/>
      <c r="H100" s="154"/>
      <c r="I100" s="155">
        <f>G100+H100</f>
        <v>0</v>
      </c>
      <c r="J100" s="156">
        <f>IFERROR(I100/F100,0)</f>
        <v>0</v>
      </c>
      <c r="K100" s="155">
        <f>IFERROR(F100-I100,"")</f>
        <v>0</v>
      </c>
      <c r="L100" s="155" t="str">
        <f>IF(AND('Summary Sheet'!$E$23="No",$H$33&gt;0,H100&gt;=1),"",IF(AND('Summary Sheet'!$E$23="Yes",H100&lt;&gt;""),H100*'Summary Sheet'!$G$23,""))</f>
        <v/>
      </c>
      <c r="M100" s="154"/>
      <c r="N100" s="155">
        <f>SUM('Pay App 1'!L100)+SUM('Pay App 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
        <v>224</v>
      </c>
      <c r="C106" s="143" t="s">
        <v>74</v>
      </c>
      <c r="D106" s="154"/>
      <c r="E106" s="155">
        <f>VLOOKUP(B106,'Graph Data'!$O$2:$BX$88,3,FALSE)</f>
        <v>0</v>
      </c>
      <c r="F106" s="155">
        <f>IFERROR(D106+E106,"")</f>
        <v>0</v>
      </c>
      <c r="G106" s="155"/>
      <c r="H106" s="154"/>
      <c r="I106" s="155">
        <f>G106+H106</f>
        <v>0</v>
      </c>
      <c r="J106" s="156">
        <f>IFERROR(I106/F106,0)</f>
        <v>0</v>
      </c>
      <c r="K106" s="155">
        <f>IFERROR(F106-I106,"")</f>
        <v>0</v>
      </c>
      <c r="L106" s="155" t="str">
        <f>IF(AND('Summary Sheet'!$E$23="No",$H$33&gt;0,H106&gt;=1),"",IF(AND('Summary Sheet'!$E$23="Yes",H106&lt;&gt;""),H106*'Summary Sheet'!$G$23,""))</f>
        <v/>
      </c>
      <c r="M106" s="154"/>
      <c r="N106" s="155">
        <f>SUM('Pay App 1'!L106)+SUM('Pay App 1'!M106)</f>
        <v>0</v>
      </c>
    </row>
    <row r="107" spans="1:15" ht="11.25" customHeight="1" x14ac:dyDescent="0.25">
      <c r="A107" s="152">
        <f t="shared" ref="A107:A148" si="8">A106+1</f>
        <v>46</v>
      </c>
      <c r="B107" s="148" t="s">
        <v>225</v>
      </c>
      <c r="C107" s="143" t="s">
        <v>75</v>
      </c>
      <c r="D107" s="154"/>
      <c r="E107" s="155">
        <f>VLOOKUP(B107,'Graph Data'!$O$2:$BX$88,3,FALSE)</f>
        <v>0</v>
      </c>
      <c r="F107" s="155">
        <f t="shared" ref="F107:F148" si="9">IFERROR(D107+E107,"")</f>
        <v>0</v>
      </c>
      <c r="G107" s="155"/>
      <c r="H107" s="154"/>
      <c r="I107" s="155">
        <f t="shared" ref="I107:I148" si="10">G107+H107</f>
        <v>0</v>
      </c>
      <c r="J107" s="156">
        <f t="shared" ref="J107:J148" si="11">IFERROR(I107/F107,0)</f>
        <v>0</v>
      </c>
      <c r="K107" s="155">
        <f t="shared" ref="K107:K148" si="12">IFERROR(F107-I107,"")</f>
        <v>0</v>
      </c>
      <c r="L107" s="155" t="str">
        <f>IF(AND('Summary Sheet'!$E$23="No",$H$33&gt;0,H107&gt;=1),"",IF(AND('Summary Sheet'!$E$23="Yes",H107&lt;&gt;""),H107*'Summary Sheet'!$G$23,""))</f>
        <v/>
      </c>
      <c r="M107" s="154"/>
      <c r="N107" s="155">
        <f>SUM('Pay App 1'!L107)+SUM('Pay App 1'!M107)</f>
        <v>0</v>
      </c>
    </row>
    <row r="108" spans="1:15" ht="11.25" customHeight="1" x14ac:dyDescent="0.25">
      <c r="A108" s="152">
        <f t="shared" si="8"/>
        <v>47</v>
      </c>
      <c r="B108" s="148" t="s">
        <v>226</v>
      </c>
      <c r="C108" s="143" t="s">
        <v>76</v>
      </c>
      <c r="D108" s="154"/>
      <c r="E108" s="155">
        <f>VLOOKUP(B108,'Graph Data'!$O$2:$BX$88,3,FALSE)</f>
        <v>0</v>
      </c>
      <c r="F108" s="155">
        <f t="shared" si="9"/>
        <v>0</v>
      </c>
      <c r="G108" s="155"/>
      <c r="H108" s="154"/>
      <c r="I108" s="155">
        <f t="shared" si="10"/>
        <v>0</v>
      </c>
      <c r="J108" s="156">
        <f t="shared" si="11"/>
        <v>0</v>
      </c>
      <c r="K108" s="155">
        <f t="shared" si="12"/>
        <v>0</v>
      </c>
      <c r="L108" s="155" t="str">
        <f>IF(AND('Summary Sheet'!$E$23="No",$H$33&gt;0,H108&gt;=1),"",IF(AND('Summary Sheet'!$E$23="Yes",H108&lt;&gt;""),H108*'Summary Sheet'!$G$23,""))</f>
        <v/>
      </c>
      <c r="M108" s="154"/>
      <c r="N108" s="155">
        <f>SUM('Pay App 1'!L108)+SUM('Pay App 1'!M108)</f>
        <v>0</v>
      </c>
    </row>
    <row r="109" spans="1:15" ht="11.25" customHeight="1" x14ac:dyDescent="0.25">
      <c r="A109" s="152">
        <f t="shared" si="8"/>
        <v>48</v>
      </c>
      <c r="B109" s="148" t="s">
        <v>227</v>
      </c>
      <c r="C109" s="143" t="s">
        <v>77</v>
      </c>
      <c r="D109" s="154"/>
      <c r="E109" s="155">
        <f>VLOOKUP(B109,'Graph Data'!$O$2:$BX$88,3,FALSE)</f>
        <v>0</v>
      </c>
      <c r="F109" s="155">
        <f t="shared" si="9"/>
        <v>0</v>
      </c>
      <c r="G109" s="155"/>
      <c r="H109" s="154"/>
      <c r="I109" s="155">
        <f t="shared" si="10"/>
        <v>0</v>
      </c>
      <c r="J109" s="156">
        <f t="shared" si="11"/>
        <v>0</v>
      </c>
      <c r="K109" s="155">
        <f t="shared" si="12"/>
        <v>0</v>
      </c>
      <c r="L109" s="155" t="str">
        <f>IF(AND('Summary Sheet'!$E$23="No",$H$33&gt;0,H109&gt;=1),"",IF(AND('Summary Sheet'!$E$23="Yes",H109&lt;&gt;""),H109*'Summary Sheet'!$G$23,""))</f>
        <v/>
      </c>
      <c r="M109" s="154"/>
      <c r="N109" s="155">
        <f>SUM('Pay App 1'!L109)+SUM('Pay App 1'!M109)</f>
        <v>0</v>
      </c>
    </row>
    <row r="110" spans="1:15" ht="11.25" customHeight="1" x14ac:dyDescent="0.25">
      <c r="A110" s="152">
        <f t="shared" si="8"/>
        <v>49</v>
      </c>
      <c r="B110" s="148" t="s">
        <v>228</v>
      </c>
      <c r="C110" s="143" t="s">
        <v>78</v>
      </c>
      <c r="D110" s="154"/>
      <c r="E110" s="155">
        <f>VLOOKUP(B110,'Graph Data'!$O$2:$BX$88,3,FALSE)</f>
        <v>0</v>
      </c>
      <c r="F110" s="155">
        <f t="shared" si="9"/>
        <v>0</v>
      </c>
      <c r="G110" s="155"/>
      <c r="H110" s="154"/>
      <c r="I110" s="155">
        <f t="shared" si="10"/>
        <v>0</v>
      </c>
      <c r="J110" s="156">
        <f t="shared" si="11"/>
        <v>0</v>
      </c>
      <c r="K110" s="155">
        <f t="shared" si="12"/>
        <v>0</v>
      </c>
      <c r="L110" s="155" t="str">
        <f>IF(AND('Summary Sheet'!$E$23="No",$H$33&gt;0,H110&gt;=1),"",IF(AND('Summary Sheet'!$E$23="Yes",H110&lt;&gt;""),H110*'Summary Sheet'!$G$23,""))</f>
        <v/>
      </c>
      <c r="M110" s="154"/>
      <c r="N110" s="155">
        <f>SUM('Pay App 1'!L110)+SUM('Pay App 1'!M110)</f>
        <v>0</v>
      </c>
    </row>
    <row r="111" spans="1:15" ht="11.25" customHeight="1" x14ac:dyDescent="0.25">
      <c r="A111" s="152">
        <f t="shared" si="8"/>
        <v>50</v>
      </c>
      <c r="B111" s="148" t="s">
        <v>229</v>
      </c>
      <c r="C111" s="143" t="s">
        <v>155</v>
      </c>
      <c r="D111" s="154"/>
      <c r="E111" s="155">
        <f>VLOOKUP(B111,'Graph Data'!$O$2:$BX$88,3,FALSE)</f>
        <v>0</v>
      </c>
      <c r="F111" s="155">
        <f t="shared" si="9"/>
        <v>0</v>
      </c>
      <c r="G111" s="155"/>
      <c r="H111" s="154"/>
      <c r="I111" s="155">
        <f t="shared" si="10"/>
        <v>0</v>
      </c>
      <c r="J111" s="156">
        <f t="shared" si="11"/>
        <v>0</v>
      </c>
      <c r="K111" s="155">
        <f t="shared" si="12"/>
        <v>0</v>
      </c>
      <c r="L111" s="155" t="str">
        <f>IF(AND('Summary Sheet'!$E$23="No",$H$33&gt;0,H111&gt;=1),"",IF(AND('Summary Sheet'!$E$23="Yes",H111&lt;&gt;""),H111*'Summary Sheet'!$G$23,""))</f>
        <v/>
      </c>
      <c r="M111" s="154"/>
      <c r="N111" s="155">
        <f>SUM('Pay App 1'!L111)+SUM('Pay App 1'!M111)</f>
        <v>0</v>
      </c>
    </row>
    <row r="112" spans="1:15" ht="11.25" customHeight="1" x14ac:dyDescent="0.25">
      <c r="A112" s="152">
        <f t="shared" si="8"/>
        <v>51</v>
      </c>
      <c r="B112" s="148" t="s">
        <v>230</v>
      </c>
      <c r="C112" s="143" t="s">
        <v>79</v>
      </c>
      <c r="D112" s="154"/>
      <c r="E112" s="155">
        <f>VLOOKUP(B112,'Graph Data'!$O$2:$BX$88,3,FALSE)</f>
        <v>0</v>
      </c>
      <c r="F112" s="155">
        <f t="shared" si="9"/>
        <v>0</v>
      </c>
      <c r="G112" s="155"/>
      <c r="H112" s="154"/>
      <c r="I112" s="155">
        <f t="shared" si="10"/>
        <v>0</v>
      </c>
      <c r="J112" s="156">
        <f t="shared" si="11"/>
        <v>0</v>
      </c>
      <c r="K112" s="155">
        <f t="shared" si="12"/>
        <v>0</v>
      </c>
      <c r="L112" s="155" t="str">
        <f>IF(AND('Summary Sheet'!$E$23="No",$H$33&gt;0,H112&gt;=1),"",IF(AND('Summary Sheet'!$E$23="Yes",H112&lt;&gt;""),H112*'Summary Sheet'!$G$23,""))</f>
        <v/>
      </c>
      <c r="M112" s="154"/>
      <c r="N112" s="155">
        <f>SUM('Pay App 1'!L112)+SUM('Pay App 1'!M112)</f>
        <v>0</v>
      </c>
    </row>
    <row r="113" spans="1:14" ht="11.25" customHeight="1" x14ac:dyDescent="0.25">
      <c r="A113" s="152">
        <f t="shared" si="8"/>
        <v>52</v>
      </c>
      <c r="B113" s="149" t="s">
        <v>231</v>
      </c>
      <c r="C113" s="157" t="s">
        <v>80</v>
      </c>
      <c r="D113" s="154"/>
      <c r="E113" s="155">
        <f>VLOOKUP(B113,'Graph Data'!$O$2:$BX$88,3,FALSE)</f>
        <v>0</v>
      </c>
      <c r="F113" s="155">
        <f t="shared" si="9"/>
        <v>0</v>
      </c>
      <c r="G113" s="155"/>
      <c r="H113" s="154"/>
      <c r="I113" s="155">
        <f t="shared" si="10"/>
        <v>0</v>
      </c>
      <c r="J113" s="156">
        <f t="shared" si="11"/>
        <v>0</v>
      </c>
      <c r="K113" s="155">
        <f t="shared" si="12"/>
        <v>0</v>
      </c>
      <c r="L113" s="155" t="str">
        <f>IF(AND('Summary Sheet'!$E$23="No",$H$33&gt;0,H113&gt;=1),"",IF(AND('Summary Sheet'!$E$23="Yes",H113&lt;&gt;""),H113*'Summary Sheet'!$G$23,""))</f>
        <v/>
      </c>
      <c r="M113" s="154"/>
      <c r="N113" s="155">
        <f>SUM('Pay App 1'!L113)+SUM('Pay App 1'!M113)</f>
        <v>0</v>
      </c>
    </row>
    <row r="114" spans="1:14" ht="11.25" customHeight="1" x14ac:dyDescent="0.25">
      <c r="A114" s="152">
        <f t="shared" si="8"/>
        <v>53</v>
      </c>
      <c r="B114" s="149" t="s">
        <v>232</v>
      </c>
      <c r="C114" s="157" t="s">
        <v>156</v>
      </c>
      <c r="D114" s="154"/>
      <c r="E114" s="155">
        <f>VLOOKUP(B114,'Graph Data'!$O$2:$BX$88,3,FALSE)</f>
        <v>0</v>
      </c>
      <c r="F114" s="155">
        <f t="shared" si="9"/>
        <v>0</v>
      </c>
      <c r="G114" s="155"/>
      <c r="H114" s="154"/>
      <c r="I114" s="155">
        <f t="shared" si="10"/>
        <v>0</v>
      </c>
      <c r="J114" s="156">
        <f t="shared" si="11"/>
        <v>0</v>
      </c>
      <c r="K114" s="155">
        <f t="shared" si="12"/>
        <v>0</v>
      </c>
      <c r="L114" s="155" t="str">
        <f>IF(AND('Summary Sheet'!$E$23="No",$H$33&gt;0,H114&gt;=1),"",IF(AND('Summary Sheet'!$E$23="Yes",H114&lt;&gt;""),H114*'Summary Sheet'!$G$23,""))</f>
        <v/>
      </c>
      <c r="M114" s="154"/>
      <c r="N114" s="155">
        <f>SUM('Pay App 1'!L114)+SUM('Pay App 1'!M114)</f>
        <v>0</v>
      </c>
    </row>
    <row r="115" spans="1:14" ht="11.25" customHeight="1" x14ac:dyDescent="0.25">
      <c r="A115" s="152">
        <f t="shared" si="8"/>
        <v>54</v>
      </c>
      <c r="B115" s="149" t="s">
        <v>233</v>
      </c>
      <c r="C115" s="157" t="s">
        <v>157</v>
      </c>
      <c r="D115" s="154"/>
      <c r="E115" s="155">
        <f>VLOOKUP(B115,'Graph Data'!$O$2:$BX$88,3,FALSE)</f>
        <v>0</v>
      </c>
      <c r="F115" s="155">
        <f t="shared" si="9"/>
        <v>0</v>
      </c>
      <c r="G115" s="155"/>
      <c r="H115" s="154"/>
      <c r="I115" s="155">
        <f t="shared" si="10"/>
        <v>0</v>
      </c>
      <c r="J115" s="156">
        <f t="shared" si="11"/>
        <v>0</v>
      </c>
      <c r="K115" s="155">
        <f t="shared" si="12"/>
        <v>0</v>
      </c>
      <c r="L115" s="155" t="str">
        <f>IF(AND('Summary Sheet'!$E$23="No",$H$33&gt;0,H115&gt;=1),"",IF(AND('Summary Sheet'!$E$23="Yes",H115&lt;&gt;""),H115*'Summary Sheet'!$G$23,""))</f>
        <v/>
      </c>
      <c r="M115" s="154"/>
      <c r="N115" s="155">
        <f>SUM('Pay App 1'!L115)+SUM('Pay App 1'!M115)</f>
        <v>0</v>
      </c>
    </row>
    <row r="116" spans="1:14" ht="11.25" customHeight="1" x14ac:dyDescent="0.25">
      <c r="A116" s="152">
        <f t="shared" si="8"/>
        <v>55</v>
      </c>
      <c r="B116" s="150" t="s">
        <v>234</v>
      </c>
      <c r="C116" s="158" t="s">
        <v>84</v>
      </c>
      <c r="D116" s="154"/>
      <c r="E116" s="155">
        <f>VLOOKUP(B116,'Graph Data'!$O$2:$BX$88,3,FALSE)</f>
        <v>0</v>
      </c>
      <c r="F116" s="155">
        <f t="shared" si="9"/>
        <v>0</v>
      </c>
      <c r="G116" s="155"/>
      <c r="H116" s="154"/>
      <c r="I116" s="155">
        <f t="shared" si="10"/>
        <v>0</v>
      </c>
      <c r="J116" s="156">
        <f t="shared" si="11"/>
        <v>0</v>
      </c>
      <c r="K116" s="155">
        <f t="shared" si="12"/>
        <v>0</v>
      </c>
      <c r="L116" s="155" t="str">
        <f>IF(AND('Summary Sheet'!$E$23="No",$H$33&gt;0,H116&gt;=1),"",IF(AND('Summary Sheet'!$E$23="Yes",H116&lt;&gt;""),H116*'Summary Sheet'!$G$23,""))</f>
        <v/>
      </c>
      <c r="M116" s="154"/>
      <c r="N116" s="155">
        <f>SUM('Pay App 1'!L116)+SUM('Pay App 1'!M116)</f>
        <v>0</v>
      </c>
    </row>
    <row r="117" spans="1:14" ht="11.25" customHeight="1" x14ac:dyDescent="0.25">
      <c r="A117" s="152">
        <f t="shared" si="8"/>
        <v>56</v>
      </c>
      <c r="B117" s="150" t="s">
        <v>235</v>
      </c>
      <c r="C117" s="158" t="s">
        <v>82</v>
      </c>
      <c r="D117" s="154"/>
      <c r="E117" s="155">
        <f>VLOOKUP(B117,'Graph Data'!$O$2:$BX$88,3,FALSE)</f>
        <v>0</v>
      </c>
      <c r="F117" s="155">
        <f t="shared" si="9"/>
        <v>0</v>
      </c>
      <c r="G117" s="155"/>
      <c r="H117" s="154"/>
      <c r="I117" s="155">
        <f t="shared" si="10"/>
        <v>0</v>
      </c>
      <c r="J117" s="156">
        <f t="shared" si="11"/>
        <v>0</v>
      </c>
      <c r="K117" s="155">
        <f t="shared" si="12"/>
        <v>0</v>
      </c>
      <c r="L117" s="155" t="str">
        <f>IF(AND('Summary Sheet'!$E$23="No",$H$33&gt;0,H117&gt;=1),"",IF(AND('Summary Sheet'!$E$23="Yes",H117&lt;&gt;""),H117*'Summary Sheet'!$G$23,""))</f>
        <v/>
      </c>
      <c r="M117" s="154"/>
      <c r="N117" s="155">
        <f>SUM('Pay App 1'!L117)+SUM('Pay App 1'!M117)</f>
        <v>0</v>
      </c>
    </row>
    <row r="118" spans="1:14" ht="11.25" customHeight="1" x14ac:dyDescent="0.25">
      <c r="A118" s="152">
        <f t="shared" si="8"/>
        <v>57</v>
      </c>
      <c r="B118" s="150" t="s">
        <v>236</v>
      </c>
      <c r="C118" s="158" t="s">
        <v>81</v>
      </c>
      <c r="D118" s="154"/>
      <c r="E118" s="155">
        <f>VLOOKUP(B118,'Graph Data'!$O$2:$BX$88,3,FALSE)</f>
        <v>0</v>
      </c>
      <c r="F118" s="155">
        <f t="shared" si="9"/>
        <v>0</v>
      </c>
      <c r="G118" s="155"/>
      <c r="H118" s="154"/>
      <c r="I118" s="155">
        <f t="shared" si="10"/>
        <v>0</v>
      </c>
      <c r="J118" s="156">
        <f t="shared" si="11"/>
        <v>0</v>
      </c>
      <c r="K118" s="155">
        <f t="shared" si="12"/>
        <v>0</v>
      </c>
      <c r="L118" s="155" t="str">
        <f>IF(AND('Summary Sheet'!$E$23="No",$H$33&gt;0,H118&gt;=1),"",IF(AND('Summary Sheet'!$E$23="Yes",H118&lt;&gt;""),H118*'Summary Sheet'!$G$23,""))</f>
        <v/>
      </c>
      <c r="M118" s="154"/>
      <c r="N118" s="155">
        <f>SUM('Pay App 1'!L118)+SUM('Pay App 1'!M118)</f>
        <v>0</v>
      </c>
    </row>
    <row r="119" spans="1:14" ht="11.25" customHeight="1" x14ac:dyDescent="0.25">
      <c r="A119" s="152">
        <f t="shared" si="8"/>
        <v>58</v>
      </c>
      <c r="B119" s="150" t="s">
        <v>237</v>
      </c>
      <c r="C119" s="158" t="s">
        <v>83</v>
      </c>
      <c r="D119" s="154"/>
      <c r="E119" s="155">
        <f>VLOOKUP(B119,'Graph Data'!$O$2:$BX$88,3,FALSE)</f>
        <v>0</v>
      </c>
      <c r="F119" s="155">
        <f t="shared" si="9"/>
        <v>0</v>
      </c>
      <c r="G119" s="155"/>
      <c r="H119" s="154"/>
      <c r="I119" s="155">
        <f t="shared" si="10"/>
        <v>0</v>
      </c>
      <c r="J119" s="156">
        <f t="shared" si="11"/>
        <v>0</v>
      </c>
      <c r="K119" s="155">
        <f t="shared" si="12"/>
        <v>0</v>
      </c>
      <c r="L119" s="155" t="str">
        <f>IF(AND('Summary Sheet'!$E$23="No",$H$33&gt;0,H119&gt;=1),"",IF(AND('Summary Sheet'!$E$23="Yes",H119&lt;&gt;""),H119*'Summary Sheet'!$G$23,""))</f>
        <v/>
      </c>
      <c r="M119" s="154"/>
      <c r="N119" s="155">
        <f>SUM('Pay App 1'!L119)+SUM('Pay App 1'!M119)</f>
        <v>0</v>
      </c>
    </row>
    <row r="120" spans="1:14" ht="11.25" customHeight="1" x14ac:dyDescent="0.25">
      <c r="A120" s="152">
        <f t="shared" si="8"/>
        <v>59</v>
      </c>
      <c r="B120" s="150" t="s">
        <v>238</v>
      </c>
      <c r="C120" s="158" t="s">
        <v>85</v>
      </c>
      <c r="D120" s="154"/>
      <c r="E120" s="155">
        <f>VLOOKUP(B120,'Graph Data'!$O$2:$BX$88,3,FALSE)</f>
        <v>0</v>
      </c>
      <c r="F120" s="155">
        <f t="shared" si="9"/>
        <v>0</v>
      </c>
      <c r="G120" s="155"/>
      <c r="H120" s="154"/>
      <c r="I120" s="155">
        <f t="shared" si="10"/>
        <v>0</v>
      </c>
      <c r="J120" s="156">
        <f t="shared" si="11"/>
        <v>0</v>
      </c>
      <c r="K120" s="155">
        <f t="shared" si="12"/>
        <v>0</v>
      </c>
      <c r="L120" s="155" t="str">
        <f>IF(AND('Summary Sheet'!$E$23="No",$H$33&gt;0,H120&gt;=1),"",IF(AND('Summary Sheet'!$E$23="Yes",H120&lt;&gt;""),H120*'Summary Sheet'!$G$23,""))</f>
        <v/>
      </c>
      <c r="M120" s="154"/>
      <c r="N120" s="155">
        <f>SUM('Pay App 1'!L120)+SUM('Pay App 1'!M120)</f>
        <v>0</v>
      </c>
    </row>
    <row r="121" spans="1:14" ht="11.25" customHeight="1" x14ac:dyDescent="0.25">
      <c r="A121" s="152">
        <f t="shared" si="8"/>
        <v>60</v>
      </c>
      <c r="B121" s="168" t="s">
        <v>239</v>
      </c>
      <c r="C121" s="159" t="s">
        <v>158</v>
      </c>
      <c r="D121" s="154"/>
      <c r="E121" s="155">
        <f>VLOOKUP(B121,'Graph Data'!$O$2:$BX$88,3,FALSE)</f>
        <v>0</v>
      </c>
      <c r="F121" s="155">
        <f t="shared" si="9"/>
        <v>0</v>
      </c>
      <c r="G121" s="155"/>
      <c r="H121" s="154"/>
      <c r="I121" s="155">
        <f t="shared" si="10"/>
        <v>0</v>
      </c>
      <c r="J121" s="156">
        <f t="shared" si="11"/>
        <v>0</v>
      </c>
      <c r="K121" s="155">
        <f t="shared" si="12"/>
        <v>0</v>
      </c>
      <c r="L121" s="155" t="str">
        <f>IF(AND('Summary Sheet'!$E$23="No",$H$33&gt;0,H121&gt;=1),"",IF(AND('Summary Sheet'!$E$23="Yes",H121&lt;&gt;""),H121*'Summary Sheet'!$G$23,""))</f>
        <v/>
      </c>
      <c r="M121" s="154"/>
      <c r="N121" s="155">
        <f>SUM('Pay App 1'!L121)+SUM('Pay App 1'!M121)</f>
        <v>0</v>
      </c>
    </row>
    <row r="122" spans="1:14" ht="11.25" customHeight="1" x14ac:dyDescent="0.25">
      <c r="A122" s="152">
        <f t="shared" si="8"/>
        <v>61</v>
      </c>
      <c r="B122" s="168" t="s">
        <v>240</v>
      </c>
      <c r="C122" s="159" t="s">
        <v>87</v>
      </c>
      <c r="D122" s="154"/>
      <c r="E122" s="155">
        <f>VLOOKUP(B122,'Graph Data'!$O$2:$BX$88,3,FALSE)</f>
        <v>0</v>
      </c>
      <c r="F122" s="155">
        <f t="shared" si="9"/>
        <v>0</v>
      </c>
      <c r="G122" s="155"/>
      <c r="H122" s="154"/>
      <c r="I122" s="155">
        <f t="shared" si="10"/>
        <v>0</v>
      </c>
      <c r="J122" s="156">
        <f t="shared" si="11"/>
        <v>0</v>
      </c>
      <c r="K122" s="155">
        <f t="shared" si="12"/>
        <v>0</v>
      </c>
      <c r="L122" s="155" t="str">
        <f>IF(AND('Summary Sheet'!$E$23="No",$H$33&gt;0,H122&gt;=1),"",IF(AND('Summary Sheet'!$E$23="Yes",H122&lt;&gt;""),H122*'Summary Sheet'!$G$23,""))</f>
        <v/>
      </c>
      <c r="M122" s="154"/>
      <c r="N122" s="155">
        <f>SUM('Pay App 1'!L122)+SUM('Pay App 1'!M122)</f>
        <v>0</v>
      </c>
    </row>
    <row r="123" spans="1:14" ht="11.25" customHeight="1" x14ac:dyDescent="0.25">
      <c r="A123" s="152">
        <f t="shared" si="8"/>
        <v>62</v>
      </c>
      <c r="B123" s="168" t="s">
        <v>241</v>
      </c>
      <c r="C123" s="159" t="s">
        <v>86</v>
      </c>
      <c r="D123" s="154"/>
      <c r="E123" s="155">
        <f>VLOOKUP(B123,'Graph Data'!$O$2:$BX$88,3,FALSE)</f>
        <v>0</v>
      </c>
      <c r="F123" s="155">
        <f t="shared" si="9"/>
        <v>0</v>
      </c>
      <c r="G123" s="155"/>
      <c r="H123" s="154"/>
      <c r="I123" s="155">
        <f t="shared" si="10"/>
        <v>0</v>
      </c>
      <c r="J123" s="156">
        <f t="shared" si="11"/>
        <v>0</v>
      </c>
      <c r="K123" s="155">
        <f t="shared" si="12"/>
        <v>0</v>
      </c>
      <c r="L123" s="155" t="str">
        <f>IF(AND('Summary Sheet'!$E$23="No",$H$33&gt;0,H123&gt;=1),"",IF(AND('Summary Sheet'!$E$23="Yes",H123&lt;&gt;""),H123*'Summary Sheet'!$G$23,""))</f>
        <v/>
      </c>
      <c r="M123" s="154"/>
      <c r="N123" s="155">
        <f>SUM('Pay App 1'!L123)+SUM('Pay App 1'!M123)</f>
        <v>0</v>
      </c>
    </row>
    <row r="124" spans="1:14" ht="11.25" customHeight="1" x14ac:dyDescent="0.25">
      <c r="A124" s="152">
        <f t="shared" si="8"/>
        <v>63</v>
      </c>
      <c r="B124" s="169" t="s">
        <v>242</v>
      </c>
      <c r="C124" s="160" t="s">
        <v>89</v>
      </c>
      <c r="D124" s="154"/>
      <c r="E124" s="155">
        <f>VLOOKUP(B124,'Graph Data'!$O$2:$BX$88,3,FALSE)</f>
        <v>0</v>
      </c>
      <c r="F124" s="155">
        <f t="shared" si="9"/>
        <v>0</v>
      </c>
      <c r="G124" s="155"/>
      <c r="H124" s="154"/>
      <c r="I124" s="155">
        <f t="shared" si="10"/>
        <v>0</v>
      </c>
      <c r="J124" s="156">
        <f t="shared" si="11"/>
        <v>0</v>
      </c>
      <c r="K124" s="155">
        <f t="shared" si="12"/>
        <v>0</v>
      </c>
      <c r="L124" s="155" t="str">
        <f>IF(AND('Summary Sheet'!$E$23="No",$H$33&gt;0,H124&gt;=1),"",IF(AND('Summary Sheet'!$E$23="Yes",H124&lt;&gt;""),H124*'Summary Sheet'!$G$23,""))</f>
        <v/>
      </c>
      <c r="M124" s="154"/>
      <c r="N124" s="155">
        <f>SUM('Pay App 1'!L124)+SUM('Pay App 1'!M124)</f>
        <v>0</v>
      </c>
    </row>
    <row r="125" spans="1:14" ht="11.25" customHeight="1" x14ac:dyDescent="0.25">
      <c r="A125" s="152">
        <f t="shared" si="8"/>
        <v>64</v>
      </c>
      <c r="B125" s="169" t="s">
        <v>243</v>
      </c>
      <c r="C125" s="160" t="s">
        <v>88</v>
      </c>
      <c r="D125" s="154"/>
      <c r="E125" s="155">
        <f>VLOOKUP(B125,'Graph Data'!$O$2:$BX$88,3,FALSE)</f>
        <v>0</v>
      </c>
      <c r="F125" s="155">
        <f t="shared" si="9"/>
        <v>0</v>
      </c>
      <c r="G125" s="155"/>
      <c r="H125" s="154"/>
      <c r="I125" s="155">
        <f t="shared" si="10"/>
        <v>0</v>
      </c>
      <c r="J125" s="156">
        <f t="shared" si="11"/>
        <v>0</v>
      </c>
      <c r="K125" s="155">
        <f t="shared" si="12"/>
        <v>0</v>
      </c>
      <c r="L125" s="155" t="str">
        <f>IF(AND('Summary Sheet'!$E$23="No",$H$33&gt;0,H125&gt;=1),"",IF(AND('Summary Sheet'!$E$23="Yes",H125&lt;&gt;""),H125*'Summary Sheet'!$G$23,""))</f>
        <v/>
      </c>
      <c r="M125" s="154"/>
      <c r="N125" s="155">
        <f>SUM('Pay App 1'!L125)+SUM('Pay App 1'!M125)</f>
        <v>0</v>
      </c>
    </row>
    <row r="126" spans="1:14" ht="11.25" customHeight="1" x14ac:dyDescent="0.25">
      <c r="A126" s="152">
        <f t="shared" si="8"/>
        <v>65</v>
      </c>
      <c r="B126" s="147" t="s">
        <v>244</v>
      </c>
      <c r="C126" s="136" t="s">
        <v>90</v>
      </c>
      <c r="D126" s="154"/>
      <c r="E126" s="155">
        <f>VLOOKUP(B126,'Graph Data'!$O$2:$BX$88,3,FALSE)</f>
        <v>0</v>
      </c>
      <c r="F126" s="155">
        <f t="shared" si="9"/>
        <v>0</v>
      </c>
      <c r="G126" s="155"/>
      <c r="H126" s="154"/>
      <c r="I126" s="155">
        <f t="shared" si="10"/>
        <v>0</v>
      </c>
      <c r="J126" s="156">
        <f t="shared" si="11"/>
        <v>0</v>
      </c>
      <c r="K126" s="155">
        <f t="shared" si="12"/>
        <v>0</v>
      </c>
      <c r="L126" s="155" t="str">
        <f>IF(AND('Summary Sheet'!$E$23="No",$H$33&gt;0,H126&gt;=1),"",IF(AND('Summary Sheet'!$E$23="Yes",H126&lt;&gt;""),H126*'Summary Sheet'!$G$23,""))</f>
        <v/>
      </c>
      <c r="M126" s="154"/>
      <c r="N126" s="155">
        <f>SUM('Pay App 1'!L126)+SUM('Pay App 1'!M126)</f>
        <v>0</v>
      </c>
    </row>
    <row r="127" spans="1:14" ht="11.25" customHeight="1" x14ac:dyDescent="0.25">
      <c r="A127" s="152">
        <f t="shared" si="8"/>
        <v>66</v>
      </c>
      <c r="B127" s="147" t="s">
        <v>245</v>
      </c>
      <c r="C127" s="136" t="s">
        <v>91</v>
      </c>
      <c r="D127" s="154"/>
      <c r="E127" s="155">
        <f>VLOOKUP(B127,'Graph Data'!$O$2:$BX$88,3,FALSE)</f>
        <v>0</v>
      </c>
      <c r="F127" s="155">
        <f t="shared" si="9"/>
        <v>0</v>
      </c>
      <c r="G127" s="155"/>
      <c r="H127" s="154"/>
      <c r="I127" s="155">
        <f t="shared" si="10"/>
        <v>0</v>
      </c>
      <c r="J127" s="156">
        <f t="shared" si="11"/>
        <v>0</v>
      </c>
      <c r="K127" s="155">
        <f t="shared" si="12"/>
        <v>0</v>
      </c>
      <c r="L127" s="155" t="str">
        <f>IF(AND('Summary Sheet'!$E$23="No",$H$33&gt;0,H127&gt;=1),"",IF(AND('Summary Sheet'!$E$23="Yes",H127&lt;&gt;""),H127*'Summary Sheet'!$G$23,""))</f>
        <v/>
      </c>
      <c r="M127" s="154"/>
      <c r="N127" s="155">
        <f>SUM('Pay App 1'!L127)+SUM('Pay App 1'!M127)</f>
        <v>0</v>
      </c>
    </row>
    <row r="128" spans="1:14" ht="11.25" customHeight="1" x14ac:dyDescent="0.25">
      <c r="A128" s="152">
        <f t="shared" si="8"/>
        <v>67</v>
      </c>
      <c r="B128" s="148" t="s">
        <v>246</v>
      </c>
      <c r="C128" s="143" t="s">
        <v>93</v>
      </c>
      <c r="D128" s="154"/>
      <c r="E128" s="155">
        <f>VLOOKUP(B128,'Graph Data'!$O$2:$BX$88,3,FALSE)</f>
        <v>0</v>
      </c>
      <c r="F128" s="155">
        <f t="shared" si="9"/>
        <v>0</v>
      </c>
      <c r="G128" s="155"/>
      <c r="H128" s="154"/>
      <c r="I128" s="155">
        <f t="shared" si="10"/>
        <v>0</v>
      </c>
      <c r="J128" s="156">
        <f t="shared" si="11"/>
        <v>0</v>
      </c>
      <c r="K128" s="155">
        <f t="shared" si="12"/>
        <v>0</v>
      </c>
      <c r="L128" s="155" t="str">
        <f>IF(AND('Summary Sheet'!$E$23="No",$H$33&gt;0,H128&gt;=1),"",IF(AND('Summary Sheet'!$E$23="Yes",H128&lt;&gt;""),H128*'Summary Sheet'!$G$23,""))</f>
        <v/>
      </c>
      <c r="M128" s="154"/>
      <c r="N128" s="155">
        <f>SUM('Pay App 1'!L128)+SUM('Pay App 1'!M128)</f>
        <v>0</v>
      </c>
    </row>
    <row r="129" spans="1:14" ht="11.25" customHeight="1" x14ac:dyDescent="0.25">
      <c r="A129" s="152">
        <f t="shared" si="8"/>
        <v>68</v>
      </c>
      <c r="B129" s="170" t="s">
        <v>247</v>
      </c>
      <c r="C129" s="161" t="s">
        <v>92</v>
      </c>
      <c r="D129" s="154"/>
      <c r="E129" s="155">
        <f>VLOOKUP(B129,'Graph Data'!$O$2:$BX$88,3,FALSE)</f>
        <v>0</v>
      </c>
      <c r="F129" s="155">
        <f t="shared" si="9"/>
        <v>0</v>
      </c>
      <c r="G129" s="155"/>
      <c r="H129" s="154"/>
      <c r="I129" s="155">
        <f t="shared" si="10"/>
        <v>0</v>
      </c>
      <c r="J129" s="156">
        <f t="shared" si="11"/>
        <v>0</v>
      </c>
      <c r="K129" s="155">
        <f t="shared" si="12"/>
        <v>0</v>
      </c>
      <c r="L129" s="155" t="str">
        <f>IF(AND('Summary Sheet'!$E$23="No",$H$33&gt;0,H129&gt;=1),"",IF(AND('Summary Sheet'!$E$23="Yes",H129&lt;&gt;""),H129*'Summary Sheet'!$G$23,""))</f>
        <v/>
      </c>
      <c r="M129" s="154"/>
      <c r="N129" s="155">
        <f>SUM('Pay App 1'!L129)+SUM('Pay App 1'!M129)</f>
        <v>0</v>
      </c>
    </row>
    <row r="130" spans="1:14" ht="11.25" customHeight="1" x14ac:dyDescent="0.25">
      <c r="A130" s="152">
        <f t="shared" si="8"/>
        <v>69</v>
      </c>
      <c r="B130" s="150" t="s">
        <v>248</v>
      </c>
      <c r="C130" s="158" t="s">
        <v>94</v>
      </c>
      <c r="D130" s="154"/>
      <c r="E130" s="155">
        <f>VLOOKUP(B130,'Graph Data'!$O$2:$BX$88,3,FALSE)</f>
        <v>0</v>
      </c>
      <c r="F130" s="155">
        <f t="shared" si="9"/>
        <v>0</v>
      </c>
      <c r="G130" s="155"/>
      <c r="H130" s="154"/>
      <c r="I130" s="155">
        <f t="shared" si="10"/>
        <v>0</v>
      </c>
      <c r="J130" s="156">
        <f t="shared" si="11"/>
        <v>0</v>
      </c>
      <c r="K130" s="155">
        <f t="shared" si="12"/>
        <v>0</v>
      </c>
      <c r="L130" s="155" t="str">
        <f>IF(AND('Summary Sheet'!$E$23="No",$H$33&gt;0,H130&gt;=1),"",IF(AND('Summary Sheet'!$E$23="Yes",H130&lt;&gt;""),H130*'Summary Sheet'!$G$23,""))</f>
        <v/>
      </c>
      <c r="M130" s="154"/>
      <c r="N130" s="155">
        <f>SUM('Pay App 1'!L130)+SUM('Pay App 1'!M130)</f>
        <v>0</v>
      </c>
    </row>
    <row r="131" spans="1:14" ht="11.25" customHeight="1" x14ac:dyDescent="0.25">
      <c r="A131" s="152">
        <f t="shared" si="8"/>
        <v>70</v>
      </c>
      <c r="B131" s="145" t="s">
        <v>249</v>
      </c>
      <c r="C131" s="134" t="s">
        <v>95</v>
      </c>
      <c r="D131" s="154"/>
      <c r="E131" s="155">
        <f>VLOOKUP(B131,'Graph Data'!$O$2:$BX$88,3,FALSE)</f>
        <v>0</v>
      </c>
      <c r="F131" s="155">
        <f t="shared" si="9"/>
        <v>0</v>
      </c>
      <c r="G131" s="155"/>
      <c r="H131" s="154"/>
      <c r="I131" s="155">
        <f t="shared" si="10"/>
        <v>0</v>
      </c>
      <c r="J131" s="156">
        <f t="shared" si="11"/>
        <v>0</v>
      </c>
      <c r="K131" s="155">
        <f t="shared" si="12"/>
        <v>0</v>
      </c>
      <c r="L131" s="155" t="str">
        <f>IF(AND('Summary Sheet'!$E$23="No",$H$33&gt;0,H131&gt;=1),"",IF(AND('Summary Sheet'!$E$23="Yes",H131&lt;&gt;""),H131*'Summary Sheet'!$G$23,""))</f>
        <v/>
      </c>
      <c r="M131" s="154"/>
      <c r="N131" s="155">
        <f>SUM('Pay App 1'!L131)+SUM('Pay App 1'!M131)</f>
        <v>0</v>
      </c>
    </row>
    <row r="132" spans="1:14" ht="11.25" customHeight="1" x14ac:dyDescent="0.25">
      <c r="A132" s="152">
        <f t="shared" si="8"/>
        <v>71</v>
      </c>
      <c r="B132" s="146" t="s">
        <v>250</v>
      </c>
      <c r="C132" s="135" t="s">
        <v>96</v>
      </c>
      <c r="D132" s="154"/>
      <c r="E132" s="155">
        <f>VLOOKUP(B132,'Graph Data'!$O$2:$BX$88,3,FALSE)</f>
        <v>0</v>
      </c>
      <c r="F132" s="155">
        <f t="shared" si="9"/>
        <v>0</v>
      </c>
      <c r="G132" s="155"/>
      <c r="H132" s="154"/>
      <c r="I132" s="155">
        <f t="shared" si="10"/>
        <v>0</v>
      </c>
      <c r="J132" s="156">
        <f t="shared" si="11"/>
        <v>0</v>
      </c>
      <c r="K132" s="155">
        <f t="shared" si="12"/>
        <v>0</v>
      </c>
      <c r="L132" s="155" t="str">
        <f>IF(AND('Summary Sheet'!$E$23="No",$H$33&gt;0,H132&gt;=1),"",IF(AND('Summary Sheet'!$E$23="Yes",H132&lt;&gt;""),H132*'Summary Sheet'!$G$23,""))</f>
        <v/>
      </c>
      <c r="M132" s="154"/>
      <c r="N132" s="155">
        <f>SUM('Pay App 1'!L132)+SUM('Pay App 1'!M132)</f>
        <v>0</v>
      </c>
    </row>
    <row r="133" spans="1:14" ht="11.25" customHeight="1" x14ac:dyDescent="0.25">
      <c r="A133" s="152">
        <f t="shared" si="8"/>
        <v>72</v>
      </c>
      <c r="B133" s="147" t="s">
        <v>251</v>
      </c>
      <c r="C133" s="136" t="s">
        <v>97</v>
      </c>
      <c r="D133" s="154"/>
      <c r="E133" s="155">
        <f>VLOOKUP(B133,'Graph Data'!$O$2:$BX$88,3,FALSE)</f>
        <v>0</v>
      </c>
      <c r="F133" s="155">
        <f t="shared" si="9"/>
        <v>0</v>
      </c>
      <c r="G133" s="155"/>
      <c r="H133" s="154"/>
      <c r="I133" s="155">
        <f t="shared" si="10"/>
        <v>0</v>
      </c>
      <c r="J133" s="156">
        <f t="shared" si="11"/>
        <v>0</v>
      </c>
      <c r="K133" s="155">
        <f t="shared" si="12"/>
        <v>0</v>
      </c>
      <c r="L133" s="155" t="str">
        <f>IF(AND('Summary Sheet'!$E$23="No",$H$33&gt;0,H133&gt;=1),"",IF(AND('Summary Sheet'!$E$23="Yes",H133&lt;&gt;""),H133*'Summary Sheet'!$G$23,""))</f>
        <v/>
      </c>
      <c r="M133" s="154"/>
      <c r="N133" s="155">
        <f>SUM('Pay App 1'!L133)+SUM('Pay App 1'!M133)</f>
        <v>0</v>
      </c>
    </row>
    <row r="134" spans="1:14" ht="11.25" customHeight="1" x14ac:dyDescent="0.25">
      <c r="A134" s="152">
        <f t="shared" si="8"/>
        <v>73</v>
      </c>
      <c r="B134" s="148" t="s">
        <v>159</v>
      </c>
      <c r="C134" s="143" t="s">
        <v>107</v>
      </c>
      <c r="D134" s="154"/>
      <c r="E134" s="155">
        <f>VLOOKUP(B134,'Graph Data'!$O$2:$BX$88,3,FALSE)</f>
        <v>0</v>
      </c>
      <c r="F134" s="155">
        <f t="shared" si="9"/>
        <v>0</v>
      </c>
      <c r="G134" s="155"/>
      <c r="H134" s="154"/>
      <c r="I134" s="155">
        <f t="shared" si="10"/>
        <v>0</v>
      </c>
      <c r="J134" s="156">
        <f t="shared" si="11"/>
        <v>0</v>
      </c>
      <c r="K134" s="155">
        <f t="shared" si="12"/>
        <v>0</v>
      </c>
      <c r="L134" s="155" t="str">
        <f>IF(AND('Summary Sheet'!$E$23="No",$H$33&gt;0,H134&gt;=1),"",IF(AND('Summary Sheet'!$E$23="Yes",H134&lt;&gt;""),H134*'Summary Sheet'!$G$23,""))</f>
        <v/>
      </c>
      <c r="M134" s="154"/>
      <c r="N134" s="155">
        <f>SUM('Pay App 1'!L134)+SUM('Pay App 1'!M134)</f>
        <v>0</v>
      </c>
    </row>
    <row r="135" spans="1:14" ht="11.25" customHeight="1" x14ac:dyDescent="0.25">
      <c r="A135" s="152">
        <f t="shared" si="8"/>
        <v>74</v>
      </c>
      <c r="B135" s="170" t="s">
        <v>252</v>
      </c>
      <c r="C135" s="161" t="s">
        <v>98</v>
      </c>
      <c r="D135" s="154"/>
      <c r="E135" s="155">
        <f>VLOOKUP(B135,'Graph Data'!$O$2:$BX$88,3,FALSE)</f>
        <v>0</v>
      </c>
      <c r="F135" s="155">
        <f t="shared" si="9"/>
        <v>0</v>
      </c>
      <c r="G135" s="155"/>
      <c r="H135" s="154"/>
      <c r="I135" s="155">
        <f t="shared" si="10"/>
        <v>0</v>
      </c>
      <c r="J135" s="156">
        <f t="shared" si="11"/>
        <v>0</v>
      </c>
      <c r="K135" s="155">
        <f t="shared" si="12"/>
        <v>0</v>
      </c>
      <c r="L135" s="155" t="str">
        <f>IF(AND('Summary Sheet'!$E$23="No",$H$33&gt;0,H135&gt;=1),"",IF(AND('Summary Sheet'!$E$23="Yes",H135&lt;&gt;""),H135*'Summary Sheet'!$G$23,""))</f>
        <v/>
      </c>
      <c r="M135" s="154"/>
      <c r="N135" s="155">
        <f>SUM('Pay App 1'!L135)+SUM('Pay App 1'!M135)</f>
        <v>0</v>
      </c>
    </row>
    <row r="136" spans="1:14" ht="11.25" customHeight="1" x14ac:dyDescent="0.25">
      <c r="A136" s="152">
        <f t="shared" si="8"/>
        <v>75</v>
      </c>
      <c r="B136" s="150" t="s">
        <v>253</v>
      </c>
      <c r="C136" s="158" t="s">
        <v>99</v>
      </c>
      <c r="D136" s="154"/>
      <c r="E136" s="155">
        <f>VLOOKUP(B136,'Graph Data'!$O$2:$BX$88,3,FALSE)</f>
        <v>0</v>
      </c>
      <c r="F136" s="155">
        <f t="shared" si="9"/>
        <v>0</v>
      </c>
      <c r="G136" s="155"/>
      <c r="H136" s="154"/>
      <c r="I136" s="155">
        <f t="shared" si="10"/>
        <v>0</v>
      </c>
      <c r="J136" s="156">
        <f t="shared" si="11"/>
        <v>0</v>
      </c>
      <c r="K136" s="155">
        <f t="shared" si="12"/>
        <v>0</v>
      </c>
      <c r="L136" s="155" t="str">
        <f>IF(AND('Summary Sheet'!$E$23="No",$H$33&gt;0,H136&gt;=1),"",IF(AND('Summary Sheet'!$E$23="Yes",H136&lt;&gt;""),H136*'Summary Sheet'!$G$23,""))</f>
        <v/>
      </c>
      <c r="M136" s="154"/>
      <c r="N136" s="155">
        <f>SUM('Pay App 1'!L136)+SUM('Pay App 1'!M136)</f>
        <v>0</v>
      </c>
    </row>
    <row r="137" spans="1:14" ht="11.25" customHeight="1" x14ac:dyDescent="0.25">
      <c r="A137" s="152">
        <f t="shared" si="8"/>
        <v>76</v>
      </c>
      <c r="B137" s="150" t="s">
        <v>254</v>
      </c>
      <c r="C137" s="158" t="s">
        <v>160</v>
      </c>
      <c r="D137" s="154"/>
      <c r="E137" s="155">
        <f>VLOOKUP(B137,'Graph Data'!$O$2:$BX$88,3,FALSE)</f>
        <v>0</v>
      </c>
      <c r="F137" s="155">
        <f t="shared" si="9"/>
        <v>0</v>
      </c>
      <c r="G137" s="155"/>
      <c r="H137" s="154"/>
      <c r="I137" s="155">
        <f t="shared" si="10"/>
        <v>0</v>
      </c>
      <c r="J137" s="156">
        <f t="shared" si="11"/>
        <v>0</v>
      </c>
      <c r="K137" s="155">
        <f t="shared" si="12"/>
        <v>0</v>
      </c>
      <c r="L137" s="155" t="str">
        <f>IF(AND('Summary Sheet'!$E$23="No",$H$33&gt;0,H137&gt;=1),"",IF(AND('Summary Sheet'!$E$23="Yes",H137&lt;&gt;""),H137*'Summary Sheet'!$G$23,""))</f>
        <v/>
      </c>
      <c r="M137" s="154"/>
      <c r="N137" s="155">
        <f>SUM('Pay App 1'!L137)+SUM('Pay App 1'!M137)</f>
        <v>0</v>
      </c>
    </row>
    <row r="138" spans="1:14" ht="11.25" customHeight="1" x14ac:dyDescent="0.25">
      <c r="A138" s="152">
        <f t="shared" si="8"/>
        <v>77</v>
      </c>
      <c r="B138" s="150" t="s">
        <v>255</v>
      </c>
      <c r="C138" s="158" t="s">
        <v>161</v>
      </c>
      <c r="D138" s="154"/>
      <c r="E138" s="155">
        <f>VLOOKUP(B138,'Graph Data'!$O$2:$BX$88,3,FALSE)</f>
        <v>0</v>
      </c>
      <c r="F138" s="155">
        <f t="shared" si="9"/>
        <v>0</v>
      </c>
      <c r="G138" s="155"/>
      <c r="H138" s="154"/>
      <c r="I138" s="155">
        <f t="shared" si="10"/>
        <v>0</v>
      </c>
      <c r="J138" s="156">
        <f t="shared" si="11"/>
        <v>0</v>
      </c>
      <c r="K138" s="155">
        <f t="shared" si="12"/>
        <v>0</v>
      </c>
      <c r="L138" s="155" t="str">
        <f>IF(AND('Summary Sheet'!$E$23="No",$H$33&gt;0,H138&gt;=1),"",IF(AND('Summary Sheet'!$E$23="Yes",H138&lt;&gt;""),H138*'Summary Sheet'!$G$23,""))</f>
        <v/>
      </c>
      <c r="M138" s="154"/>
      <c r="N138" s="155">
        <f>SUM('Pay App 1'!L138)+SUM('Pay App 1'!M138)</f>
        <v>0</v>
      </c>
    </row>
    <row r="139" spans="1:14" ht="11.25" customHeight="1" x14ac:dyDescent="0.25">
      <c r="A139" s="152">
        <f t="shared" si="8"/>
        <v>78</v>
      </c>
      <c r="B139" s="168" t="s">
        <v>256</v>
      </c>
      <c r="C139" s="159" t="s">
        <v>101</v>
      </c>
      <c r="D139" s="154"/>
      <c r="E139" s="155">
        <f>VLOOKUP(B139,'Graph Data'!$O$2:$BX$88,3,FALSE)</f>
        <v>0</v>
      </c>
      <c r="F139" s="155">
        <f t="shared" si="9"/>
        <v>0</v>
      </c>
      <c r="G139" s="155"/>
      <c r="H139" s="154"/>
      <c r="I139" s="155">
        <f t="shared" si="10"/>
        <v>0</v>
      </c>
      <c r="J139" s="156">
        <f t="shared" si="11"/>
        <v>0</v>
      </c>
      <c r="K139" s="155">
        <f t="shared" si="12"/>
        <v>0</v>
      </c>
      <c r="L139" s="155" t="str">
        <f>IF(AND('Summary Sheet'!$E$23="No",$H$33&gt;0,H139&gt;=1),"",IF(AND('Summary Sheet'!$E$23="Yes",H139&lt;&gt;""),H139*'Summary Sheet'!$G$23,""))</f>
        <v/>
      </c>
      <c r="M139" s="154"/>
      <c r="N139" s="155">
        <f>SUM('Pay App 1'!L139)+SUM('Pay App 1'!M139)</f>
        <v>0</v>
      </c>
    </row>
    <row r="140" spans="1:14" ht="11.25" customHeight="1" x14ac:dyDescent="0.25">
      <c r="A140" s="152">
        <f t="shared" si="8"/>
        <v>79</v>
      </c>
      <c r="B140" s="168" t="s">
        <v>257</v>
      </c>
      <c r="C140" s="159" t="s">
        <v>102</v>
      </c>
      <c r="D140" s="154"/>
      <c r="E140" s="155">
        <f>VLOOKUP(B140,'Graph Data'!$O$2:$BX$88,3,FALSE)</f>
        <v>0</v>
      </c>
      <c r="F140" s="155">
        <f t="shared" si="9"/>
        <v>0</v>
      </c>
      <c r="G140" s="155"/>
      <c r="H140" s="154"/>
      <c r="I140" s="155">
        <f t="shared" si="10"/>
        <v>0</v>
      </c>
      <c r="J140" s="156">
        <f t="shared" si="11"/>
        <v>0</v>
      </c>
      <c r="K140" s="155">
        <f t="shared" si="12"/>
        <v>0</v>
      </c>
      <c r="L140" s="155" t="str">
        <f>IF(AND('Summary Sheet'!$E$23="No",$H$33&gt;0,H140&gt;=1),"",IF(AND('Summary Sheet'!$E$23="Yes",H140&lt;&gt;""),H140*'Summary Sheet'!$G$23,""))</f>
        <v/>
      </c>
      <c r="M140" s="154"/>
      <c r="N140" s="155">
        <f>SUM('Pay App 1'!L140)+SUM('Pay App 1'!M140)</f>
        <v>0</v>
      </c>
    </row>
    <row r="141" spans="1:14" ht="11.25" customHeight="1" x14ac:dyDescent="0.25">
      <c r="A141" s="152">
        <f t="shared" si="8"/>
        <v>80</v>
      </c>
      <c r="B141" s="168" t="s">
        <v>258</v>
      </c>
      <c r="C141" s="159" t="s">
        <v>103</v>
      </c>
      <c r="D141" s="154"/>
      <c r="E141" s="155">
        <f>VLOOKUP(B141,'Graph Data'!$O$2:$BX$88,3,FALSE)</f>
        <v>0</v>
      </c>
      <c r="F141" s="155">
        <f t="shared" si="9"/>
        <v>0</v>
      </c>
      <c r="G141" s="155"/>
      <c r="H141" s="154"/>
      <c r="I141" s="155">
        <f t="shared" si="10"/>
        <v>0</v>
      </c>
      <c r="J141" s="156">
        <f t="shared" si="11"/>
        <v>0</v>
      </c>
      <c r="K141" s="155">
        <f t="shared" si="12"/>
        <v>0</v>
      </c>
      <c r="L141" s="155" t="str">
        <f>IF(AND('Summary Sheet'!$E$23="No",$H$33&gt;0,H141&gt;=1),"",IF(AND('Summary Sheet'!$E$23="Yes",H141&lt;&gt;""),H141*'Summary Sheet'!$G$23,""))</f>
        <v/>
      </c>
      <c r="M141" s="154"/>
      <c r="N141" s="155">
        <f>SUM('Pay App 1'!L141)+SUM('Pay App 1'!M141)</f>
        <v>0</v>
      </c>
    </row>
    <row r="142" spans="1:14" ht="11.25" customHeight="1" x14ac:dyDescent="0.25">
      <c r="A142" s="152">
        <f t="shared" si="8"/>
        <v>81</v>
      </c>
      <c r="B142" s="168" t="s">
        <v>259</v>
      </c>
      <c r="C142" s="159" t="s">
        <v>162</v>
      </c>
      <c r="D142" s="154"/>
      <c r="E142" s="155">
        <f>VLOOKUP(B142,'Graph Data'!$O$2:$BX$88,3,FALSE)</f>
        <v>0</v>
      </c>
      <c r="F142" s="155">
        <f t="shared" si="9"/>
        <v>0</v>
      </c>
      <c r="G142" s="155"/>
      <c r="H142" s="154"/>
      <c r="I142" s="155">
        <f t="shared" si="10"/>
        <v>0</v>
      </c>
      <c r="J142" s="156">
        <f t="shared" si="11"/>
        <v>0</v>
      </c>
      <c r="K142" s="155">
        <f t="shared" si="12"/>
        <v>0</v>
      </c>
      <c r="L142" s="155" t="str">
        <f>IF(AND('Summary Sheet'!$E$23="No",$H$33&gt;0,H142&gt;=1),"",IF(AND('Summary Sheet'!$E$23="Yes",H142&lt;&gt;""),H142*'Summary Sheet'!$G$23,""))</f>
        <v/>
      </c>
      <c r="M142" s="154"/>
      <c r="N142" s="155">
        <f>SUM('Pay App 1'!L142)+SUM('Pay App 1'!M142)</f>
        <v>0</v>
      </c>
    </row>
    <row r="143" spans="1:14" ht="11.25" customHeight="1" x14ac:dyDescent="0.25">
      <c r="A143" s="152">
        <f t="shared" si="8"/>
        <v>82</v>
      </c>
      <c r="B143" s="169" t="s">
        <v>260</v>
      </c>
      <c r="C143" s="160" t="s">
        <v>100</v>
      </c>
      <c r="D143" s="154"/>
      <c r="E143" s="155">
        <f>VLOOKUP(B143,'Graph Data'!$O$2:$BX$88,3,FALSE)</f>
        <v>0</v>
      </c>
      <c r="F143" s="155">
        <f t="shared" si="9"/>
        <v>0</v>
      </c>
      <c r="G143" s="155"/>
      <c r="H143" s="154"/>
      <c r="I143" s="155">
        <f t="shared" si="10"/>
        <v>0</v>
      </c>
      <c r="J143" s="156">
        <f t="shared" si="11"/>
        <v>0</v>
      </c>
      <c r="K143" s="155">
        <f t="shared" si="12"/>
        <v>0</v>
      </c>
      <c r="L143" s="155" t="str">
        <f>IF(AND('Summary Sheet'!$E$23="No",$H$33&gt;0,H143&gt;=1),"",IF(AND('Summary Sheet'!$E$23="Yes",H143&lt;&gt;""),H143*'Summary Sheet'!$G$23,""))</f>
        <v/>
      </c>
      <c r="M143" s="154"/>
      <c r="N143" s="155">
        <f>SUM('Pay App 1'!L143)+SUM('Pay App 1'!M143)</f>
        <v>0</v>
      </c>
    </row>
    <row r="144" spans="1:14" ht="11.25" customHeight="1" x14ac:dyDescent="0.25">
      <c r="A144" s="152">
        <f t="shared" si="8"/>
        <v>83</v>
      </c>
      <c r="B144" s="169" t="s">
        <v>261</v>
      </c>
      <c r="C144" s="160" t="s">
        <v>163</v>
      </c>
      <c r="D144" s="154"/>
      <c r="E144" s="155">
        <f>VLOOKUP(B144,'Graph Data'!$O$2:$BX$88,3,FALSE)</f>
        <v>0</v>
      </c>
      <c r="F144" s="155">
        <f t="shared" si="9"/>
        <v>0</v>
      </c>
      <c r="G144" s="155"/>
      <c r="H144" s="154"/>
      <c r="I144" s="155">
        <f t="shared" si="10"/>
        <v>0</v>
      </c>
      <c r="J144" s="156">
        <f t="shared" si="11"/>
        <v>0</v>
      </c>
      <c r="K144" s="155">
        <f t="shared" si="12"/>
        <v>0</v>
      </c>
      <c r="L144" s="155" t="str">
        <f>IF(AND('Summary Sheet'!$E$23="No",$H$33&gt;0,H144&gt;=1),"",IF(AND('Summary Sheet'!$E$23="Yes",H144&lt;&gt;""),H144*'Summary Sheet'!$G$23,""))</f>
        <v/>
      </c>
      <c r="M144" s="154"/>
      <c r="N144" s="155">
        <f>SUM('Pay App 1'!L144)+SUM('Pay App 1'!M144)</f>
        <v>0</v>
      </c>
    </row>
    <row r="145" spans="1:14" ht="11.25" customHeight="1" x14ac:dyDescent="0.25">
      <c r="A145" s="152">
        <f t="shared" si="8"/>
        <v>84</v>
      </c>
      <c r="B145" s="171" t="s">
        <v>262</v>
      </c>
      <c r="C145" s="162" t="s">
        <v>900</v>
      </c>
      <c r="D145" s="154"/>
      <c r="E145" s="155">
        <f>VLOOKUP(B145,'Graph Data'!$O$2:$BX$88,3,FALSE)</f>
        <v>0</v>
      </c>
      <c r="F145" s="155">
        <f t="shared" si="9"/>
        <v>0</v>
      </c>
      <c r="G145" s="155"/>
      <c r="H145" s="154"/>
      <c r="I145" s="155">
        <f t="shared" si="10"/>
        <v>0</v>
      </c>
      <c r="J145" s="156">
        <f t="shared" si="11"/>
        <v>0</v>
      </c>
      <c r="K145" s="155">
        <f t="shared" si="12"/>
        <v>0</v>
      </c>
      <c r="L145" s="155" t="str">
        <f>IF(AND('Summary Sheet'!$E$23="No",$H$33&gt;0,H145&gt;=1),"",IF(AND('Summary Sheet'!$E$23="Yes",H145&lt;&gt;""),H145*'Summary Sheet'!$G$23,""))</f>
        <v/>
      </c>
      <c r="M145" s="154"/>
      <c r="N145" s="155">
        <f>SUM('Pay App 1'!L145)+SUM('Pay App 1'!M145)</f>
        <v>0</v>
      </c>
    </row>
    <row r="146" spans="1:14" ht="11.25" customHeight="1" x14ac:dyDescent="0.25">
      <c r="A146" s="152">
        <f t="shared" si="8"/>
        <v>85</v>
      </c>
      <c r="B146" s="171" t="s">
        <v>263</v>
      </c>
      <c r="C146" s="162" t="s">
        <v>900</v>
      </c>
      <c r="D146" s="154"/>
      <c r="E146" s="155">
        <f>VLOOKUP(B146,'Graph Data'!$O$2:$BX$88,3,FALSE)</f>
        <v>0</v>
      </c>
      <c r="F146" s="155">
        <f t="shared" si="9"/>
        <v>0</v>
      </c>
      <c r="G146" s="155"/>
      <c r="H146" s="154"/>
      <c r="I146" s="155">
        <f t="shared" si="10"/>
        <v>0</v>
      </c>
      <c r="J146" s="156">
        <f t="shared" si="11"/>
        <v>0</v>
      </c>
      <c r="K146" s="155">
        <f t="shared" si="12"/>
        <v>0</v>
      </c>
      <c r="L146" s="155" t="str">
        <f>IF(AND('Summary Sheet'!$E$23="No",$H$33&gt;0,H146&gt;=1),"",IF(AND('Summary Sheet'!$E$23="Yes",H146&lt;&gt;""),H146*'Summary Sheet'!$G$23,""))</f>
        <v/>
      </c>
      <c r="M146" s="154"/>
      <c r="N146" s="155">
        <f>SUM('Pay App 1'!L146)+SUM('Pay App 1'!M146)</f>
        <v>0</v>
      </c>
    </row>
    <row r="147" spans="1:14" ht="11.25" customHeight="1" x14ac:dyDescent="0.25">
      <c r="A147" s="152">
        <f t="shared" si="8"/>
        <v>86</v>
      </c>
      <c r="B147" s="171" t="s">
        <v>264</v>
      </c>
      <c r="C147" s="162" t="s">
        <v>900</v>
      </c>
      <c r="D147" s="154"/>
      <c r="E147" s="155">
        <f>VLOOKUP(B147,'Graph Data'!$O$2:$BX$88,3,FALSE)</f>
        <v>0</v>
      </c>
      <c r="F147" s="155">
        <f t="shared" si="9"/>
        <v>0</v>
      </c>
      <c r="G147" s="155"/>
      <c r="H147" s="154"/>
      <c r="I147" s="155">
        <f t="shared" si="10"/>
        <v>0</v>
      </c>
      <c r="J147" s="156">
        <f t="shared" si="11"/>
        <v>0</v>
      </c>
      <c r="K147" s="155">
        <f t="shared" si="12"/>
        <v>0</v>
      </c>
      <c r="L147" s="155" t="str">
        <f>IF(AND('Summary Sheet'!$E$23="No",$H$33&gt;0,H147&gt;=1),"",IF(AND('Summary Sheet'!$E$23="Yes",H147&lt;&gt;""),H147*'Summary Sheet'!$G$23,""))</f>
        <v/>
      </c>
      <c r="M147" s="154"/>
      <c r="N147" s="155">
        <f>SUM('Pay App 1'!L147)+SUM('Pay App 1'!M147)</f>
        <v>0</v>
      </c>
    </row>
    <row r="148" spans="1:14" ht="11.25" customHeight="1" x14ac:dyDescent="0.25">
      <c r="A148" s="153">
        <f t="shared" si="8"/>
        <v>87</v>
      </c>
      <c r="B148" s="171" t="s">
        <v>265</v>
      </c>
      <c r="C148" s="162" t="s">
        <v>900</v>
      </c>
      <c r="D148" s="154"/>
      <c r="E148" s="155">
        <f>VLOOKUP(B148,'Graph Data'!$O$2:$BX$88,3,FALSE)</f>
        <v>0</v>
      </c>
      <c r="F148" s="155">
        <f t="shared" si="9"/>
        <v>0</v>
      </c>
      <c r="G148" s="155"/>
      <c r="H148" s="154"/>
      <c r="I148" s="155">
        <f t="shared" si="10"/>
        <v>0</v>
      </c>
      <c r="J148" s="156">
        <f t="shared" si="11"/>
        <v>0</v>
      </c>
      <c r="K148" s="155">
        <f t="shared" si="12"/>
        <v>0</v>
      </c>
      <c r="L148" s="155" t="str">
        <f>IF(AND('Summary Sheet'!$E$23="No",$H$33&gt;0,H148&gt;=1),"",IF(AND('Summary Sheet'!$E$23="Yes",H148&lt;&gt;""),H148*'Summary Sheet'!$G$23,""))</f>
        <v/>
      </c>
      <c r="M148" s="154"/>
      <c r="N148" s="155">
        <f>SUM('Pay App 1'!L148)+SUM('Pay App 1'!M148)</f>
        <v>0</v>
      </c>
    </row>
    <row r="149" spans="1:14" ht="11.25" customHeight="1" x14ac:dyDescent="0.25">
      <c r="B149" s="8"/>
      <c r="C149" s="163" t="s">
        <v>104</v>
      </c>
      <c r="D149" s="155">
        <f t="shared" ref="D149:I149" si="13">SUM(D57:D100,D106:D148)</f>
        <v>0</v>
      </c>
      <c r="E149" s="155">
        <f t="shared" si="13"/>
        <v>0</v>
      </c>
      <c r="F149" s="155">
        <f t="shared" si="13"/>
        <v>0</v>
      </c>
      <c r="G149" s="155">
        <f t="shared" si="13"/>
        <v>0</v>
      </c>
      <c r="H149" s="155">
        <f t="shared" si="13"/>
        <v>0</v>
      </c>
      <c r="I149" s="155">
        <f t="shared" si="13"/>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lVlJyqzKDFnvLjzn3+ivEE2aLSXWNkjcXQru399Y8FF0GTNKOgaidnPHC16pVO64nx2HL30hiH/m6ZTsQDMoGQ==" saltValue="rLiKaVOH2abbTCollnlUmA==" spinCount="100000" sheet="1" objects="1" scenarios="1" selectLockedCells="1"/>
  <mergeCells count="59">
    <mergeCell ref="F17:H17"/>
    <mergeCell ref="D103:F103"/>
    <mergeCell ref="J101:L101"/>
    <mergeCell ref="J102:L102"/>
    <mergeCell ref="J103:L103"/>
    <mergeCell ref="D102:F102"/>
    <mergeCell ref="J52:L52"/>
    <mergeCell ref="J53:L53"/>
    <mergeCell ref="J54:L54"/>
    <mergeCell ref="I45:K45"/>
    <mergeCell ref="I24:N33"/>
    <mergeCell ref="D10:H10"/>
    <mergeCell ref="F16:H16"/>
    <mergeCell ref="D101:F101"/>
    <mergeCell ref="D52:F52"/>
    <mergeCell ref="D53:F53"/>
    <mergeCell ref="D54:F54"/>
    <mergeCell ref="D20:H20"/>
    <mergeCell ref="A24:H25"/>
    <mergeCell ref="A16:C16"/>
    <mergeCell ref="A17:C17"/>
    <mergeCell ref="A23:H23"/>
    <mergeCell ref="D16:E16"/>
    <mergeCell ref="D17:E17"/>
    <mergeCell ref="A18:C18"/>
    <mergeCell ref="D18:H18"/>
    <mergeCell ref="F15:H15"/>
    <mergeCell ref="A9:C9"/>
    <mergeCell ref="D9:H9"/>
    <mergeCell ref="A10:C10"/>
    <mergeCell ref="L22:N22"/>
    <mergeCell ref="A11:C11"/>
    <mergeCell ref="D11:H11"/>
    <mergeCell ref="A12:C14"/>
    <mergeCell ref="D12:H12"/>
    <mergeCell ref="D13:H13"/>
    <mergeCell ref="D14:H14"/>
    <mergeCell ref="A15:C15"/>
    <mergeCell ref="A19:C19"/>
    <mergeCell ref="D19:H19"/>
    <mergeCell ref="A20:C20"/>
    <mergeCell ref="A21:C21"/>
    <mergeCell ref="D21:H21"/>
    <mergeCell ref="D1:L2"/>
    <mergeCell ref="G52:H52"/>
    <mergeCell ref="G101:H101"/>
    <mergeCell ref="I22:K22"/>
    <mergeCell ref="A4:H4"/>
    <mergeCell ref="A5:C8"/>
    <mergeCell ref="D5:H5"/>
    <mergeCell ref="D6:H6"/>
    <mergeCell ref="D7:H7"/>
    <mergeCell ref="D8:H8"/>
    <mergeCell ref="J3:L3"/>
    <mergeCell ref="I37:K37"/>
    <mergeCell ref="I41:K41"/>
    <mergeCell ref="I48:N51"/>
    <mergeCell ref="I5:K5"/>
    <mergeCell ref="I6:N18"/>
  </mergeCells>
  <conditionalFormatting sqref="D10:H10 D12:H14 D19:H21">
    <cfRule type="cellIs" dxfId="658" priority="5" operator="equal">
      <formula>0</formula>
    </cfRule>
  </conditionalFormatting>
  <conditionalFormatting sqref="E57:F100">
    <cfRule type="cellIs" dxfId="657" priority="4" operator="equal">
      <formula>0</formula>
    </cfRule>
  </conditionalFormatting>
  <conditionalFormatting sqref="H51">
    <cfRule type="cellIs" dxfId="656" priority="25" operator="lessThan">
      <formula>0</formula>
    </cfRule>
  </conditionalFormatting>
  <conditionalFormatting sqref="I57:I100 K57:K100 E106:F148 I106:I148 K106:K148 N106:N148">
    <cfRule type="cellIs" dxfId="655" priority="38" operator="equal">
      <formula>0</formula>
    </cfRule>
  </conditionalFormatting>
  <conditionalFormatting sqref="J57:J100 J106:J149">
    <cfRule type="cellIs" dxfId="654" priority="27" operator="greaterThan">
      <formula>1</formula>
    </cfRule>
    <cfRule type="cellIs" dxfId="653" priority="28" operator="equal">
      <formula>0</formula>
    </cfRule>
  </conditionalFormatting>
  <conditionalFormatting sqref="K57:K100 K106:K148">
    <cfRule type="cellIs" dxfId="652" priority="26" operator="lessThan">
      <formula>0</formula>
    </cfRule>
  </conditionalFormatting>
  <conditionalFormatting sqref="M57:M100">
    <cfRule type="cellIs" dxfId="651" priority="37" operator="lessThan">
      <formula>0</formula>
    </cfRule>
  </conditionalFormatting>
  <conditionalFormatting sqref="M106:M148">
    <cfRule type="cellIs" dxfId="650" priority="12" operator="lessThan">
      <formula>0</formula>
    </cfRule>
  </conditionalFormatting>
  <conditionalFormatting sqref="N57:N100">
    <cfRule type="cellIs" dxfId="649" priority="6"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00000000-0002-0000-0100-00000000000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ignoredErrors>
    <ignoredError sqref="A32 A27:A30 A34 A36 A38 A40:A44 A46 A48 A50" numberStoredAsText="1"/>
  </ignoredErrors>
  <drawing r:id="rId2"/>
  <legacyDrawing r:id="rId3"/>
  <legacyDrawingHF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74334-32EC-42B9-8CD8-0188DF723E55}">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'Pay App 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Data'!$O$2:$BX$88,4,FALSE)</f>
        <v>0</v>
      </c>
      <c r="F57" s="155">
        <f>IFERROR(E57+'Pay App 1'!F57,"")</f>
        <v>0</v>
      </c>
      <c r="G57" s="155">
        <f>'Pay App 1'!H57</f>
        <v>0</v>
      </c>
      <c r="H57" s="154"/>
      <c r="I57" s="155">
        <f>G57+H57</f>
        <v>0</v>
      </c>
      <c r="J57" s="156">
        <f>IFERROR(I57/F57,0)</f>
        <v>0</v>
      </c>
      <c r="K57" s="155">
        <f>IFERROR(F57-I57,"")</f>
        <v>0</v>
      </c>
      <c r="L57" s="155" t="str">
        <f>IF(AND('Summary Sheet'!$E$23="No",$H$33&gt;0,H57&gt;=1),"",IF(AND('Summary Sheet'!$E$23="Yes",H57&lt;&gt;""),H57*'Summary Sheet'!$G$23,""))</f>
        <v/>
      </c>
      <c r="M57" s="154"/>
      <c r="N57" s="155">
        <f>SUM('Pay App 1:Pay App 2'!L57)+SUM('Pay App 1:Pay App 2'!M57)</f>
        <v>0</v>
      </c>
    </row>
    <row r="58" spans="1:16" ht="11.25" customHeight="1" x14ac:dyDescent="0.25">
      <c r="A58" s="152">
        <v>2</v>
      </c>
      <c r="B58" s="145" t="str">
        <f>'Pay App 1'!B58</f>
        <v>00 02 00</v>
      </c>
      <c r="C58" s="134" t="str">
        <f>'Pay App 1'!C58</f>
        <v>Preconstruction Services</v>
      </c>
      <c r="D58" s="155">
        <f>'Pay App 1'!D58</f>
        <v>0</v>
      </c>
      <c r="E58" s="155">
        <f>VLOOKUP(B58,'Graph Data'!$O$2:$BX$88,4,FALSE)</f>
        <v>0</v>
      </c>
      <c r="F58" s="155">
        <f>IFERROR(E58+'Pay App 1'!F58,"")</f>
        <v>0</v>
      </c>
      <c r="G58" s="155">
        <f>'Pay App 1'!H58</f>
        <v>0</v>
      </c>
      <c r="H58" s="154"/>
      <c r="I58" s="155">
        <f>G58+H58</f>
        <v>0</v>
      </c>
      <c r="J58" s="156">
        <f>IFERROR(I58/F58,0)</f>
        <v>0</v>
      </c>
      <c r="K58" s="155">
        <f>IFERROR(F58-I58,"")</f>
        <v>0</v>
      </c>
      <c r="L58" s="155" t="str">
        <f>IF(AND('Summary Sheet'!$E$23="No",$H$33&gt;0,H58&gt;=1),"",IF(AND('Summary Sheet'!$E$23="Yes",H58&lt;&gt;""),H58*'Summary Sheet'!$G$23,""))</f>
        <v/>
      </c>
      <c r="M58" s="154"/>
      <c r="N58" s="155">
        <f>SUM('Pay App 1:Pay App 2'!L58)+SUM('Pay App 1:Pay App 2'!M58)</f>
        <v>0</v>
      </c>
    </row>
    <row r="59" spans="1:16" ht="11.25" customHeight="1" x14ac:dyDescent="0.25">
      <c r="A59" s="152">
        <v>3</v>
      </c>
      <c r="B59" s="174" t="str">
        <f>'Pay App 1'!B59</f>
        <v>01 00 00</v>
      </c>
      <c r="C59" s="179" t="str">
        <f>'Pay App 1'!C59</f>
        <v>General Conditions/Requirements</v>
      </c>
      <c r="D59" s="155">
        <f>'Pay App 1'!D59</f>
        <v>0</v>
      </c>
      <c r="E59" s="155">
        <f>VLOOKUP(B59,'Graph Data'!$O$2:$BX$88,4,FALSE)</f>
        <v>0</v>
      </c>
      <c r="F59" s="155">
        <f>IFERROR(E59+'Pay App 1'!F59,"")</f>
        <v>0</v>
      </c>
      <c r="G59" s="155">
        <f>'Pay App 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2'!L59)+SUM('Pay App 1:Pay App 2'!M59)</f>
        <v>0</v>
      </c>
    </row>
    <row r="60" spans="1:16" ht="11.25" customHeight="1" x14ac:dyDescent="0.25">
      <c r="A60" s="152">
        <v>4</v>
      </c>
      <c r="B60" s="174" t="str">
        <f>'Pay App 1'!B60</f>
        <v>01 13 41</v>
      </c>
      <c r="C60" s="179" t="str">
        <f>'Pay App 1'!C60</f>
        <v>Temp. Scaffolding and Platforms</v>
      </c>
      <c r="D60" s="155">
        <f>'Pay App 1'!D60</f>
        <v>0</v>
      </c>
      <c r="E60" s="155">
        <f>VLOOKUP(B60,'Graph Data'!$O$2:$BX$88,4,FALSE)</f>
        <v>0</v>
      </c>
      <c r="F60" s="155">
        <f>IFERROR(E60+'Pay App 1'!F60,"")</f>
        <v>0</v>
      </c>
      <c r="G60" s="155">
        <f>'Pay App 1'!H60</f>
        <v>0</v>
      </c>
      <c r="H60" s="154"/>
      <c r="I60" s="155">
        <f t="shared" si="0"/>
        <v>0</v>
      </c>
      <c r="J60" s="156">
        <f t="shared" si="1"/>
        <v>0</v>
      </c>
      <c r="K60" s="155">
        <f t="shared" si="2"/>
        <v>0</v>
      </c>
      <c r="L60" s="155" t="str">
        <f>IF(AND('Summary Sheet'!$E$23="No",$H$33&gt;0,H60&gt;=1),"",IF(AND('Summary Sheet'!$E$23="Yes",H60&lt;&gt;""),H60*'Summary Sheet'!$G$23,""))</f>
        <v/>
      </c>
      <c r="M60" s="154"/>
      <c r="N60" s="155">
        <f>SUM('Pay App 1:Pay App 2'!L60)+SUM('Pay App 1:Pay App 2'!M60)</f>
        <v>0</v>
      </c>
    </row>
    <row r="61" spans="1:16" ht="11.25" customHeight="1" x14ac:dyDescent="0.25">
      <c r="A61" s="152">
        <v>5</v>
      </c>
      <c r="B61" s="174" t="str">
        <f>'Pay App 1'!B61</f>
        <v>01 13 60</v>
      </c>
      <c r="C61" s="179" t="str">
        <f>'Pay App 1'!C61</f>
        <v>SWPPP</v>
      </c>
      <c r="D61" s="155">
        <f>'Pay App 1'!D61</f>
        <v>0</v>
      </c>
      <c r="E61" s="155">
        <f>VLOOKUP(B61,'Graph Data'!$O$2:$BX$88,4,FALSE)</f>
        <v>0</v>
      </c>
      <c r="F61" s="155">
        <f>IFERROR(E61+'Pay App 1'!F61,"")</f>
        <v>0</v>
      </c>
      <c r="G61" s="155">
        <f>'Pay App 1'!H61</f>
        <v>0</v>
      </c>
      <c r="H61" s="154"/>
      <c r="I61" s="155">
        <f t="shared" si="0"/>
        <v>0</v>
      </c>
      <c r="J61" s="156">
        <f t="shared" si="1"/>
        <v>0</v>
      </c>
      <c r="K61" s="155">
        <f t="shared" si="2"/>
        <v>0</v>
      </c>
      <c r="L61" s="155" t="str">
        <f>IF(AND('Summary Sheet'!$E$23="No",$H$33&gt;0,H61&gt;=1),"",IF(AND('Summary Sheet'!$E$23="Yes",H61&lt;&gt;""),H61*'Summary Sheet'!$G$23,""))</f>
        <v/>
      </c>
      <c r="M61" s="154"/>
      <c r="N61" s="155">
        <f>SUM('Pay App 1:Pay App 2'!L61)+SUM('Pay App 1:Pay App 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Data'!$O$2:$BX$88,4,FALSE)</f>
        <v>0</v>
      </c>
      <c r="F62" s="155">
        <f>IFERROR(E62+'Pay App 1'!F62,"")</f>
        <v>0</v>
      </c>
      <c r="G62" s="155">
        <f>'Pay App 1'!H62</f>
        <v>0</v>
      </c>
      <c r="H62" s="154"/>
      <c r="I62" s="155">
        <f t="shared" si="0"/>
        <v>0</v>
      </c>
      <c r="J62" s="156">
        <f t="shared" si="1"/>
        <v>0</v>
      </c>
      <c r="K62" s="155">
        <f t="shared" si="2"/>
        <v>0</v>
      </c>
      <c r="L62" s="155" t="str">
        <f>IF(AND('Summary Sheet'!$E$23="No",$H$33&gt;0,H62&gt;=1),"",IF(AND('Summary Sheet'!$E$23="Yes",H62&lt;&gt;""),H62*'Summary Sheet'!$G$23,""))</f>
        <v/>
      </c>
      <c r="M62" s="154"/>
      <c r="N62" s="155">
        <f>SUM('Pay App 1:Pay App 2'!L62)+SUM('Pay App 1:Pay App 2'!M62)</f>
        <v>0</v>
      </c>
    </row>
    <row r="63" spans="1:16" ht="11.25" customHeight="1" x14ac:dyDescent="0.25">
      <c r="A63" s="152">
        <v>7</v>
      </c>
      <c r="B63" s="174" t="str">
        <f>'Pay App 1'!B63</f>
        <v>01 31 00</v>
      </c>
      <c r="C63" s="179" t="str">
        <f>'Pay App 1'!C63</f>
        <v>Contractor's Supervision</v>
      </c>
      <c r="D63" s="155">
        <f>'Pay App 1'!D63</f>
        <v>0</v>
      </c>
      <c r="E63" s="155">
        <f>VLOOKUP(B63,'Graph Data'!$O$2:$BX$88,4,FALSE)</f>
        <v>0</v>
      </c>
      <c r="F63" s="155">
        <f>IFERROR(E63+'Pay App 1'!F63,"")</f>
        <v>0</v>
      </c>
      <c r="G63" s="155">
        <f>'Pay App 1'!H63</f>
        <v>0</v>
      </c>
      <c r="H63" s="154"/>
      <c r="I63" s="155">
        <f t="shared" si="0"/>
        <v>0</v>
      </c>
      <c r="J63" s="156">
        <f t="shared" si="1"/>
        <v>0</v>
      </c>
      <c r="K63" s="155">
        <f t="shared" si="2"/>
        <v>0</v>
      </c>
      <c r="L63" s="155" t="str">
        <f>IF(AND('Summary Sheet'!$E$23="No",$H$33&gt;0,H63&gt;=1),"",IF(AND('Summary Sheet'!$E$23="Yes",H63&lt;&gt;""),H63*'Summary Sheet'!$G$23,""))</f>
        <v/>
      </c>
      <c r="M63" s="154"/>
      <c r="N63" s="155">
        <f>SUM('Pay App 1:Pay App 2'!L63)+SUM('Pay App 1:Pay App 2'!M63)</f>
        <v>0</v>
      </c>
    </row>
    <row r="64" spans="1:16" ht="11.25" customHeight="1" x14ac:dyDescent="0.25">
      <c r="A64" s="152">
        <v>8</v>
      </c>
      <c r="B64" s="174" t="str">
        <f>'Pay App 1'!B64</f>
        <v>01 32 00</v>
      </c>
      <c r="C64" s="179" t="str">
        <f>'Pay App 1'!C64</f>
        <v>General Liability Insurance</v>
      </c>
      <c r="D64" s="155">
        <f>'Pay App 1'!D64</f>
        <v>0</v>
      </c>
      <c r="E64" s="155">
        <f>VLOOKUP(B64,'Graph Data'!$O$2:$BX$88,4,FALSE)</f>
        <v>0</v>
      </c>
      <c r="F64" s="155">
        <f>IFERROR(E64+'Pay App 1'!F64,"")</f>
        <v>0</v>
      </c>
      <c r="G64" s="155">
        <f>'Pay App 1'!H64</f>
        <v>0</v>
      </c>
      <c r="H64" s="154"/>
      <c r="I64" s="155">
        <f t="shared" si="0"/>
        <v>0</v>
      </c>
      <c r="J64" s="156">
        <f t="shared" si="1"/>
        <v>0</v>
      </c>
      <c r="K64" s="155">
        <f t="shared" si="2"/>
        <v>0</v>
      </c>
      <c r="L64" s="155" t="str">
        <f>IF(AND('Summary Sheet'!$E$23="No",$H$33&gt;0,H64&gt;=1),"",IF(AND('Summary Sheet'!$E$23="Yes",H64&lt;&gt;""),H64*'Summary Sheet'!$G$23,""))</f>
        <v/>
      </c>
      <c r="M64" s="154"/>
      <c r="N64" s="155">
        <f>SUM('Pay App 1:Pay App 2'!L64)+SUM('Pay App 1:Pay App 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Data'!$O$2:$BX$88,4,FALSE)</f>
        <v>0</v>
      </c>
      <c r="F65" s="155">
        <f>IFERROR(E65+'Pay App 1'!F65,"")</f>
        <v>0</v>
      </c>
      <c r="G65" s="155">
        <f>'Pay App 1'!H65</f>
        <v>0</v>
      </c>
      <c r="H65" s="154"/>
      <c r="I65" s="155">
        <f t="shared" si="0"/>
        <v>0</v>
      </c>
      <c r="J65" s="156">
        <f t="shared" si="1"/>
        <v>0</v>
      </c>
      <c r="K65" s="155">
        <f t="shared" si="2"/>
        <v>0</v>
      </c>
      <c r="L65" s="155" t="str">
        <f>IF(AND('Summary Sheet'!$E$23="No",$H$33&gt;0,H65&gt;=1),"",IF(AND('Summary Sheet'!$E$23="Yes",H65&lt;&gt;""),H65*'Summary Sheet'!$G$23,""))</f>
        <v/>
      </c>
      <c r="M65" s="154"/>
      <c r="N65" s="155">
        <f>SUM('Pay App 1:Pay App 2'!L65)+SUM('Pay App 1:Pay App 2'!M65)</f>
        <v>0</v>
      </c>
    </row>
    <row r="66" spans="1:17" ht="11.25" customHeight="1" x14ac:dyDescent="0.25">
      <c r="A66" s="152">
        <v>10</v>
      </c>
      <c r="B66" s="174" t="str">
        <f>'Pay App 1'!B66</f>
        <v>01 34 00</v>
      </c>
      <c r="C66" s="179" t="str">
        <f>'Pay App 1'!C66</f>
        <v>Subcontractor Default Insurance</v>
      </c>
      <c r="D66" s="155">
        <f>'Pay App 1'!D66</f>
        <v>0</v>
      </c>
      <c r="E66" s="155">
        <f>VLOOKUP(B66,'Graph Data'!$O$2:$BX$88,4,FALSE)</f>
        <v>0</v>
      </c>
      <c r="F66" s="155">
        <f>IFERROR(E66+'Pay App 1'!F66,"")</f>
        <v>0</v>
      </c>
      <c r="G66" s="155">
        <f>'Pay App 1'!H66</f>
        <v>0</v>
      </c>
      <c r="H66" s="154"/>
      <c r="I66" s="155">
        <f t="shared" si="0"/>
        <v>0</v>
      </c>
      <c r="J66" s="156">
        <f t="shared" si="1"/>
        <v>0</v>
      </c>
      <c r="K66" s="155">
        <f t="shared" si="2"/>
        <v>0</v>
      </c>
      <c r="L66" s="155" t="str">
        <f>IF(AND('Summary Sheet'!$E$23="No",$H$33&gt;0,H66&gt;=1),"",IF(AND('Summary Sheet'!$E$23="Yes",H66&lt;&gt;""),H66*'Summary Sheet'!$G$23,""))</f>
        <v/>
      </c>
      <c r="M66" s="154"/>
      <c r="N66" s="155">
        <f>SUM('Pay App 1:Pay App 2'!L66)+SUM('Pay App 1:Pay App 2'!M66)</f>
        <v>0</v>
      </c>
    </row>
    <row r="67" spans="1:17" ht="11.25" customHeight="1" x14ac:dyDescent="0.25">
      <c r="A67" s="152">
        <v>11</v>
      </c>
      <c r="B67" s="174" t="str">
        <f>'Pay App 1'!B67</f>
        <v>01 35 00</v>
      </c>
      <c r="C67" s="179" t="str">
        <f>'Pay App 1'!C67</f>
        <v>Construction Management Fee</v>
      </c>
      <c r="D67" s="155">
        <f>'Pay App 1'!D67</f>
        <v>0</v>
      </c>
      <c r="E67" s="155">
        <f>VLOOKUP(B67,'Graph Data'!$O$2:$BX$88,4,FALSE)</f>
        <v>0</v>
      </c>
      <c r="F67" s="155">
        <f>IFERROR(E67+'Pay App 1'!F67,"")</f>
        <v>0</v>
      </c>
      <c r="G67" s="155">
        <f>'Pay App 1'!H67</f>
        <v>0</v>
      </c>
      <c r="H67" s="154"/>
      <c r="I67" s="155">
        <f t="shared" si="0"/>
        <v>0</v>
      </c>
      <c r="J67" s="156">
        <f t="shared" si="1"/>
        <v>0</v>
      </c>
      <c r="K67" s="155">
        <f t="shared" si="2"/>
        <v>0</v>
      </c>
      <c r="L67" s="155" t="str">
        <f>IF(AND('Summary Sheet'!$E$23="No",$H$33&gt;0,H67&gt;=1),"",IF(AND('Summary Sheet'!$E$23="Yes",H67&lt;&gt;""),H67*'Summary Sheet'!$G$23,""))</f>
        <v/>
      </c>
      <c r="M67" s="154"/>
      <c r="N67" s="155">
        <f>SUM('Pay App 1:Pay App 2'!L67)+SUM('Pay App 1:Pay App 2'!M67)</f>
        <v>0</v>
      </c>
    </row>
    <row r="68" spans="1:17" ht="11.25" customHeight="1" x14ac:dyDescent="0.25">
      <c r="A68" s="152">
        <v>12</v>
      </c>
      <c r="B68" s="174" t="str">
        <f>'Pay App 1'!B68</f>
        <v>01 36 00</v>
      </c>
      <c r="C68" s="179" t="str">
        <f>'Pay App 1'!C68</f>
        <v>Contingency</v>
      </c>
      <c r="D68" s="155">
        <f>'Pay App 1'!D68</f>
        <v>0</v>
      </c>
      <c r="E68" s="155">
        <f>VLOOKUP(B68,'Graph Data'!$O$2:$BX$88,4,FALSE)</f>
        <v>0</v>
      </c>
      <c r="F68" s="155">
        <f>IFERROR(E68+'Pay App 1'!F68,"")</f>
        <v>0</v>
      </c>
      <c r="G68" s="155">
        <f>'Pay App 1'!H68</f>
        <v>0</v>
      </c>
      <c r="H68" s="154"/>
      <c r="I68" s="155">
        <f t="shared" si="0"/>
        <v>0</v>
      </c>
      <c r="J68" s="156">
        <f t="shared" si="1"/>
        <v>0</v>
      </c>
      <c r="K68" s="155">
        <f t="shared" si="2"/>
        <v>0</v>
      </c>
      <c r="L68" s="155" t="str">
        <f>IF(AND('Summary Sheet'!$E$23="No",$H$33&gt;0,H68&gt;=1),"",IF(AND('Summary Sheet'!$E$23="Yes",H68&lt;&gt;""),H68*'Summary Sheet'!$G$23,""))</f>
        <v/>
      </c>
      <c r="M68" s="154"/>
      <c r="N68" s="155">
        <f>SUM('Pay App 1:Pay App 2'!L68)+SUM('Pay App 1:Pay App 2'!M68)</f>
        <v>0</v>
      </c>
    </row>
    <row r="69" spans="1:17" ht="11.25" customHeight="1" x14ac:dyDescent="0.25">
      <c r="A69" s="152">
        <v>13</v>
      </c>
      <c r="B69" s="174" t="str">
        <f>'Pay App 1'!B69</f>
        <v>01 37 00</v>
      </c>
      <c r="C69" s="179" t="str">
        <f>'Pay App 1'!C69</f>
        <v>Weather Allowance (All Trades)</v>
      </c>
      <c r="D69" s="155">
        <f>'Pay App 1'!D69</f>
        <v>0</v>
      </c>
      <c r="E69" s="155">
        <f>VLOOKUP(B69,'Graph Data'!$O$2:$BX$88,4,FALSE)</f>
        <v>0</v>
      </c>
      <c r="F69" s="155">
        <f>IFERROR(E69+'Pay App 1'!F69,"")</f>
        <v>0</v>
      </c>
      <c r="G69" s="155">
        <f>'Pay App 1'!H69</f>
        <v>0</v>
      </c>
      <c r="H69" s="154"/>
      <c r="I69" s="155">
        <f t="shared" si="0"/>
        <v>0</v>
      </c>
      <c r="J69" s="156">
        <f t="shared" si="1"/>
        <v>0</v>
      </c>
      <c r="K69" s="155">
        <f t="shared" si="2"/>
        <v>0</v>
      </c>
      <c r="L69" s="155" t="str">
        <f>IF(AND('Summary Sheet'!$E$23="No",$H$33&gt;0,H69&gt;=1),"",IF(AND('Summary Sheet'!$E$23="Yes",H69&lt;&gt;""),H69*'Summary Sheet'!$G$23,""))</f>
        <v/>
      </c>
      <c r="M69" s="154"/>
      <c r="N69" s="155">
        <f>SUM('Pay App 1:Pay App 2'!L69)+SUM('Pay App 1:Pay App 2'!M69)</f>
        <v>0</v>
      </c>
    </row>
    <row r="70" spans="1:17" ht="11.25" customHeight="1" x14ac:dyDescent="0.25">
      <c r="A70" s="152">
        <v>14</v>
      </c>
      <c r="B70" s="174" t="str">
        <f>'Pay App 1'!B70</f>
        <v>01 74 23</v>
      </c>
      <c r="C70" s="179" t="str">
        <f>'Pay App 1'!C70</f>
        <v>Cleaning (Final)</v>
      </c>
      <c r="D70" s="155">
        <f>'Pay App 1'!D70</f>
        <v>0</v>
      </c>
      <c r="E70" s="155">
        <f>VLOOKUP(B70,'Graph Data'!$O$2:$BX$88,4,FALSE)</f>
        <v>0</v>
      </c>
      <c r="F70" s="155">
        <f>IFERROR(E70+'Pay App 1'!F70,"")</f>
        <v>0</v>
      </c>
      <c r="G70" s="155">
        <f>'Pay App 1'!H70</f>
        <v>0</v>
      </c>
      <c r="H70" s="154"/>
      <c r="I70" s="155">
        <f t="shared" si="0"/>
        <v>0</v>
      </c>
      <c r="J70" s="156">
        <f t="shared" si="1"/>
        <v>0</v>
      </c>
      <c r="K70" s="155">
        <f t="shared" si="2"/>
        <v>0</v>
      </c>
      <c r="L70" s="155" t="str">
        <f>IF(AND('Summary Sheet'!$E$23="No",$H$33&gt;0,H70&gt;=1),"",IF(AND('Summary Sheet'!$E$23="Yes",H70&lt;&gt;""),H70*'Summary Sheet'!$G$23,""))</f>
        <v/>
      </c>
      <c r="M70" s="154"/>
      <c r="N70" s="155">
        <f>SUM('Pay App 1:Pay App 2'!L70)+SUM('Pay App 1:Pay App 2'!M70)</f>
        <v>0</v>
      </c>
    </row>
    <row r="71" spans="1:17" ht="11.25" customHeight="1" x14ac:dyDescent="0.25">
      <c r="A71" s="152">
        <v>15</v>
      </c>
      <c r="B71" s="175" t="str">
        <f>'Pay App 1'!B71</f>
        <v>02 21 00</v>
      </c>
      <c r="C71" s="180" t="str">
        <f>'Pay App 1'!C71</f>
        <v>Survey/Engineering</v>
      </c>
      <c r="D71" s="155">
        <f>'Pay App 1'!D71</f>
        <v>0</v>
      </c>
      <c r="E71" s="155">
        <f>VLOOKUP(B71,'Graph Data'!$O$2:$BX$88,4,FALSE)</f>
        <v>0</v>
      </c>
      <c r="F71" s="155">
        <f>IFERROR(E71+'Pay App 1'!F71,"")</f>
        <v>0</v>
      </c>
      <c r="G71" s="155">
        <f>'Pay App 1'!H71</f>
        <v>0</v>
      </c>
      <c r="H71" s="154"/>
      <c r="I71" s="155">
        <f t="shared" si="0"/>
        <v>0</v>
      </c>
      <c r="J71" s="156">
        <f t="shared" si="1"/>
        <v>0</v>
      </c>
      <c r="K71" s="155">
        <f t="shared" si="2"/>
        <v>0</v>
      </c>
      <c r="L71" s="155" t="str">
        <f>IF(AND('Summary Sheet'!$E$23="No",$H$33&gt;0,H71&gt;=1),"",IF(AND('Summary Sheet'!$E$23="Yes",H71&lt;&gt;""),H71*'Summary Sheet'!$G$23,""))</f>
        <v/>
      </c>
      <c r="M71" s="154"/>
      <c r="N71" s="155">
        <f>SUM('Pay App 1:Pay App 2'!L71)+SUM('Pay App 1:Pay App 2'!M71)</f>
        <v>0</v>
      </c>
      <c r="Q71" s="28"/>
    </row>
    <row r="72" spans="1:17" ht="11.25" customHeight="1" x14ac:dyDescent="0.25">
      <c r="A72" s="152">
        <v>16</v>
      </c>
      <c r="B72" s="175" t="str">
        <f>'Pay App 1'!B72</f>
        <v>02 41 00</v>
      </c>
      <c r="C72" s="180" t="str">
        <f>'Pay App 1'!C72</f>
        <v>Demolition</v>
      </c>
      <c r="D72" s="155">
        <f>'Pay App 1'!D72</f>
        <v>0</v>
      </c>
      <c r="E72" s="155">
        <f>VLOOKUP(B72,'Graph Data'!$O$2:$BX$88,4,FALSE)</f>
        <v>0</v>
      </c>
      <c r="F72" s="155">
        <f>IFERROR(E72+'Pay App 1'!F72,"")</f>
        <v>0</v>
      </c>
      <c r="G72" s="155">
        <f>'Pay App 1'!H72</f>
        <v>0</v>
      </c>
      <c r="H72" s="154"/>
      <c r="I72" s="155">
        <f t="shared" si="0"/>
        <v>0</v>
      </c>
      <c r="J72" s="156">
        <f t="shared" si="1"/>
        <v>0</v>
      </c>
      <c r="K72" s="155">
        <f t="shared" si="2"/>
        <v>0</v>
      </c>
      <c r="L72" s="155" t="str">
        <f>IF(AND('Summary Sheet'!$E$23="No",$H$33&gt;0,H72&gt;=1),"",IF(AND('Summary Sheet'!$E$23="Yes",H72&lt;&gt;""),H72*'Summary Sheet'!$G$23,""))</f>
        <v/>
      </c>
      <c r="M72" s="154"/>
      <c r="N72" s="155">
        <f>SUM('Pay App 1:Pay App 2'!L72)+SUM('Pay App 1:Pay App 2'!M72)</f>
        <v>0</v>
      </c>
      <c r="Q72" s="28"/>
    </row>
    <row r="73" spans="1:17" ht="11.25" customHeight="1" x14ac:dyDescent="0.25">
      <c r="A73" s="152">
        <v>17</v>
      </c>
      <c r="B73" s="175" t="str">
        <f>'Pay App 1'!B73</f>
        <v>02 82 00</v>
      </c>
      <c r="C73" s="180" t="str">
        <f>'Pay App 1'!C73</f>
        <v>Asbestos Abatement</v>
      </c>
      <c r="D73" s="155">
        <f>'Pay App 1'!D73</f>
        <v>0</v>
      </c>
      <c r="E73" s="155">
        <f>VLOOKUP(B73,'Graph Data'!$O$2:$BX$88,4,FALSE)</f>
        <v>0</v>
      </c>
      <c r="F73" s="155">
        <f>IFERROR(E73+'Pay App 1'!F73,"")</f>
        <v>0</v>
      </c>
      <c r="G73" s="155">
        <f>'Pay App 1'!H73</f>
        <v>0</v>
      </c>
      <c r="H73" s="154"/>
      <c r="I73" s="155">
        <f t="shared" si="0"/>
        <v>0</v>
      </c>
      <c r="J73" s="156">
        <f t="shared" si="1"/>
        <v>0</v>
      </c>
      <c r="K73" s="155">
        <f t="shared" si="2"/>
        <v>0</v>
      </c>
      <c r="L73" s="155" t="str">
        <f>IF(AND('Summary Sheet'!$E$23="No",$H$33&gt;0,H73&gt;=1),"",IF(AND('Summary Sheet'!$E$23="Yes",H73&lt;&gt;""),H73*'Summary Sheet'!$G$23,""))</f>
        <v/>
      </c>
      <c r="M73" s="154"/>
      <c r="N73" s="155">
        <f>SUM('Pay App 1:Pay App 2'!L73)+SUM('Pay App 1:Pay App 2'!M73)</f>
        <v>0</v>
      </c>
    </row>
    <row r="74" spans="1:17" ht="11.25" customHeight="1" x14ac:dyDescent="0.25">
      <c r="A74" s="152">
        <v>18</v>
      </c>
      <c r="B74" s="176" t="str">
        <f>'Pay App 1'!B74</f>
        <v>03 00 00</v>
      </c>
      <c r="C74" s="181" t="str">
        <f>'Pay App 1'!C74</f>
        <v>Building Concrete</v>
      </c>
      <c r="D74" s="155">
        <f>'Pay App 1'!D74</f>
        <v>0</v>
      </c>
      <c r="E74" s="155">
        <f>VLOOKUP(B74,'Graph Data'!$O$2:$BX$88,4,FALSE)</f>
        <v>0</v>
      </c>
      <c r="F74" s="155">
        <f>IFERROR(E74+'Pay App 1'!F74,"")</f>
        <v>0</v>
      </c>
      <c r="G74" s="155">
        <f>'Pay App 1'!H74</f>
        <v>0</v>
      </c>
      <c r="H74" s="154"/>
      <c r="I74" s="155">
        <f t="shared" si="0"/>
        <v>0</v>
      </c>
      <c r="J74" s="156">
        <f t="shared" si="1"/>
        <v>0</v>
      </c>
      <c r="K74" s="155">
        <f t="shared" si="2"/>
        <v>0</v>
      </c>
      <c r="L74" s="155" t="str">
        <f>IF(AND('Summary Sheet'!$E$23="No",$H$33&gt;0,H74&gt;=1),"",IF(AND('Summary Sheet'!$E$23="Yes",H74&lt;&gt;""),H74*'Summary Sheet'!$G$23,""))</f>
        <v/>
      </c>
      <c r="M74" s="154"/>
      <c r="N74" s="155">
        <f>SUM('Pay App 1:Pay App 2'!L74)+SUM('Pay App 1:Pay App 2'!M74)</f>
        <v>0</v>
      </c>
    </row>
    <row r="75" spans="1:17" ht="11.25" customHeight="1" x14ac:dyDescent="0.25">
      <c r="A75" s="152">
        <v>19</v>
      </c>
      <c r="B75" s="176" t="str">
        <f>'Pay App 1'!B75</f>
        <v>03 20 00</v>
      </c>
      <c r="C75" s="181" t="str">
        <f>'Pay App 1'!C75</f>
        <v>Building Concrete Reinforcing</v>
      </c>
      <c r="D75" s="155">
        <f>'Pay App 1'!D75</f>
        <v>0</v>
      </c>
      <c r="E75" s="155">
        <f>VLOOKUP(B75,'Graph Data'!$O$2:$BX$88,4,FALSE)</f>
        <v>0</v>
      </c>
      <c r="F75" s="155">
        <f>IFERROR(E75+'Pay App 1'!F75,"")</f>
        <v>0</v>
      </c>
      <c r="G75" s="155">
        <f>'Pay App 1'!H75</f>
        <v>0</v>
      </c>
      <c r="H75" s="154"/>
      <c r="I75" s="155">
        <f t="shared" si="0"/>
        <v>0</v>
      </c>
      <c r="J75" s="156">
        <f t="shared" si="1"/>
        <v>0</v>
      </c>
      <c r="K75" s="155">
        <f t="shared" si="2"/>
        <v>0</v>
      </c>
      <c r="L75" s="155" t="str">
        <f>IF(AND('Summary Sheet'!$E$23="No",$H$33&gt;0,H75&gt;=1),"",IF(AND('Summary Sheet'!$E$23="Yes",H75&lt;&gt;""),H75*'Summary Sheet'!$G$23,""))</f>
        <v/>
      </c>
      <c r="M75" s="154"/>
      <c r="N75" s="155">
        <f>SUM('Pay App 1:Pay App 2'!L75)+SUM('Pay App 1:Pay App 2'!M75)</f>
        <v>0</v>
      </c>
    </row>
    <row r="76" spans="1:17" ht="11.25" customHeight="1" x14ac:dyDescent="0.25">
      <c r="A76" s="152">
        <v>20</v>
      </c>
      <c r="B76" s="176" t="str">
        <f>'Pay App 1'!B76</f>
        <v>03 40 00</v>
      </c>
      <c r="C76" s="181" t="str">
        <f>'Pay App 1'!C76</f>
        <v>Precast</v>
      </c>
      <c r="D76" s="155">
        <f>'Pay App 1'!D76</f>
        <v>0</v>
      </c>
      <c r="E76" s="155">
        <f>VLOOKUP(B76,'Graph Data'!$O$2:$BX$88,4,FALSE)</f>
        <v>0</v>
      </c>
      <c r="F76" s="155">
        <f>IFERROR(E76+'Pay App 1'!F76,"")</f>
        <v>0</v>
      </c>
      <c r="G76" s="155">
        <f>'Pay App 1'!H76</f>
        <v>0</v>
      </c>
      <c r="H76" s="154"/>
      <c r="I76" s="155">
        <f t="shared" si="0"/>
        <v>0</v>
      </c>
      <c r="J76" s="156">
        <f t="shared" si="1"/>
        <v>0</v>
      </c>
      <c r="K76" s="155">
        <f t="shared" si="2"/>
        <v>0</v>
      </c>
      <c r="L76" s="155" t="str">
        <f>IF(AND('Summary Sheet'!$E$23="No",$H$33&gt;0,H76&gt;=1),"",IF(AND('Summary Sheet'!$E$23="Yes",H76&lt;&gt;""),H76*'Summary Sheet'!$G$23,""))</f>
        <v/>
      </c>
      <c r="M76" s="154"/>
      <c r="N76" s="155">
        <f>SUM('Pay App 1:Pay App 2'!L76)+SUM('Pay App 1:Pay App 2'!M76)</f>
        <v>0</v>
      </c>
    </row>
    <row r="77" spans="1:17" ht="11.25" customHeight="1" x14ac:dyDescent="0.25">
      <c r="A77" s="152">
        <v>21</v>
      </c>
      <c r="B77" s="177" t="str">
        <f>'Pay App 1'!B77</f>
        <v>04 00 00</v>
      </c>
      <c r="C77" s="182" t="str">
        <f>'Pay App 1'!C77</f>
        <v>Masonry</v>
      </c>
      <c r="D77" s="155">
        <f>'Pay App 1'!D77</f>
        <v>0</v>
      </c>
      <c r="E77" s="155">
        <f>VLOOKUP(B77,'Graph Data'!$O$2:$BX$88,4,FALSE)</f>
        <v>0</v>
      </c>
      <c r="F77" s="155">
        <f>IFERROR(E77+'Pay App 1'!F77,"")</f>
        <v>0</v>
      </c>
      <c r="G77" s="155">
        <f>'Pay App 1'!H77</f>
        <v>0</v>
      </c>
      <c r="H77" s="154"/>
      <c r="I77" s="155">
        <f t="shared" si="0"/>
        <v>0</v>
      </c>
      <c r="J77" s="156">
        <f t="shared" si="1"/>
        <v>0</v>
      </c>
      <c r="K77" s="155">
        <f t="shared" si="2"/>
        <v>0</v>
      </c>
      <c r="L77" s="155" t="str">
        <f>IF(AND('Summary Sheet'!$E$23="No",$H$33&gt;0,H77&gt;=1),"",IF(AND('Summary Sheet'!$E$23="Yes",H77&lt;&gt;""),H77*'Summary Sheet'!$G$23,""))</f>
        <v/>
      </c>
      <c r="M77" s="154"/>
      <c r="N77" s="155">
        <f>SUM('Pay App 1:Pay App 2'!L77)+SUM('Pay App 1:Pay App 2'!M77)</f>
        <v>0</v>
      </c>
    </row>
    <row r="78" spans="1:17" ht="11.25" customHeight="1" x14ac:dyDescent="0.25">
      <c r="A78" s="152">
        <v>22</v>
      </c>
      <c r="B78" s="177" t="str">
        <f>'Pay App 1'!B78</f>
        <v>04 05 19</v>
      </c>
      <c r="C78" s="182" t="str">
        <f>'Pay App 1'!C78</f>
        <v>Masonry Reinforcing</v>
      </c>
      <c r="D78" s="155">
        <f>'Pay App 1'!D78</f>
        <v>0</v>
      </c>
      <c r="E78" s="155">
        <f>VLOOKUP(B78,'Graph Data'!$O$2:$BX$88,4,FALSE)</f>
        <v>0</v>
      </c>
      <c r="F78" s="155">
        <f>IFERROR(E78+'Pay App 1'!F78,"")</f>
        <v>0</v>
      </c>
      <c r="G78" s="155">
        <f>'Pay App 1'!H78</f>
        <v>0</v>
      </c>
      <c r="H78" s="154"/>
      <c r="I78" s="155">
        <f t="shared" si="0"/>
        <v>0</v>
      </c>
      <c r="J78" s="156">
        <f t="shared" si="1"/>
        <v>0</v>
      </c>
      <c r="K78" s="155">
        <f t="shared" si="2"/>
        <v>0</v>
      </c>
      <c r="L78" s="155" t="str">
        <f>IF(AND('Summary Sheet'!$E$23="No",$H$33&gt;0,H78&gt;=1),"",IF(AND('Summary Sheet'!$E$23="Yes",H78&lt;&gt;""),H78*'Summary Sheet'!$G$23,""))</f>
        <v/>
      </c>
      <c r="M78" s="154"/>
      <c r="N78" s="155">
        <f>SUM('Pay App 1:Pay App 2'!L78)+SUM('Pay App 1:Pay App 2'!M78)</f>
        <v>0</v>
      </c>
    </row>
    <row r="79" spans="1:17" ht="11.25" customHeight="1" x14ac:dyDescent="0.25">
      <c r="A79" s="152">
        <v>23</v>
      </c>
      <c r="B79" s="178" t="str">
        <f>'Pay App 1'!B79</f>
        <v>05 10 00</v>
      </c>
      <c r="C79" s="183" t="str">
        <f>'Pay App 1'!C79</f>
        <v>Structural Steel/Misc. Steel Fab</v>
      </c>
      <c r="D79" s="155">
        <f>'Pay App 1'!D79</f>
        <v>0</v>
      </c>
      <c r="E79" s="155">
        <f>VLOOKUP(B79,'Graph Data'!$O$2:$BX$88,4,FALSE)</f>
        <v>0</v>
      </c>
      <c r="F79" s="155">
        <f>IFERROR(E79+'Pay App 1'!F79,"")</f>
        <v>0</v>
      </c>
      <c r="G79" s="155">
        <f>'Pay App 1'!H79</f>
        <v>0</v>
      </c>
      <c r="H79" s="154"/>
      <c r="I79" s="155">
        <f t="shared" si="0"/>
        <v>0</v>
      </c>
      <c r="J79" s="156">
        <f t="shared" si="1"/>
        <v>0</v>
      </c>
      <c r="K79" s="155">
        <f t="shared" si="2"/>
        <v>0</v>
      </c>
      <c r="L79" s="155" t="str">
        <f>IF(AND('Summary Sheet'!$E$23="No",$H$33&gt;0,H79&gt;=1),"",IF(AND('Summary Sheet'!$E$23="Yes",H79&lt;&gt;""),H79*'Summary Sheet'!$G$23,""))</f>
        <v/>
      </c>
      <c r="M79" s="154"/>
      <c r="N79" s="155">
        <f>SUM('Pay App 1:Pay App 2'!L79)+SUM('Pay App 1:Pay App 2'!M79)</f>
        <v>0</v>
      </c>
    </row>
    <row r="80" spans="1:17" ht="11.25" customHeight="1" x14ac:dyDescent="0.25">
      <c r="A80" s="152">
        <v>24</v>
      </c>
      <c r="B80" s="178" t="str">
        <f>'Pay App 1'!B80</f>
        <v>05 20 00</v>
      </c>
      <c r="C80" s="183" t="str">
        <f>'Pay App 1'!C80</f>
        <v>Joists &amp; Deck</v>
      </c>
      <c r="D80" s="155">
        <f>'Pay App 1'!D80</f>
        <v>0</v>
      </c>
      <c r="E80" s="155">
        <f>VLOOKUP(B80,'Graph Data'!$O$2:$BX$88,4,FALSE)</f>
        <v>0</v>
      </c>
      <c r="F80" s="155">
        <f>IFERROR(E80+'Pay App 1'!F80,"")</f>
        <v>0</v>
      </c>
      <c r="G80" s="155">
        <f>'Pay App 1'!H80</f>
        <v>0</v>
      </c>
      <c r="H80" s="154"/>
      <c r="I80" s="155">
        <f t="shared" si="0"/>
        <v>0</v>
      </c>
      <c r="J80" s="156">
        <f t="shared" si="1"/>
        <v>0</v>
      </c>
      <c r="K80" s="155">
        <f t="shared" si="2"/>
        <v>0</v>
      </c>
      <c r="L80" s="155" t="str">
        <f>IF(AND('Summary Sheet'!$E$23="No",$H$33&gt;0,H80&gt;=1),"",IF(AND('Summary Sheet'!$E$23="Yes",H80&lt;&gt;""),H80*'Summary Sheet'!$G$23,""))</f>
        <v/>
      </c>
      <c r="M80" s="154"/>
      <c r="N80" s="155">
        <f>SUM('Pay App 1:Pay App 2'!L80)+SUM('Pay App 1:Pay App 2'!M80)</f>
        <v>0</v>
      </c>
    </row>
    <row r="81" spans="1:14" ht="11.25" customHeight="1" x14ac:dyDescent="0.25">
      <c r="A81" s="152">
        <v>25</v>
      </c>
      <c r="B81" s="178" t="str">
        <f>'Pay App 1'!B81</f>
        <v>05 70 00</v>
      </c>
      <c r="C81" s="183" t="str">
        <f>'Pay App 1'!C81</f>
        <v>Ornamental Metal</v>
      </c>
      <c r="D81" s="155">
        <f>'Pay App 1'!D81</f>
        <v>0</v>
      </c>
      <c r="E81" s="155">
        <f>VLOOKUP(B81,'Graph Data'!$O$2:$BX$88,4,FALSE)</f>
        <v>0</v>
      </c>
      <c r="F81" s="155">
        <f>IFERROR(E81+'Pay App 1'!F81,"")</f>
        <v>0</v>
      </c>
      <c r="G81" s="155">
        <f>'Pay App 1'!H81</f>
        <v>0</v>
      </c>
      <c r="H81" s="154"/>
      <c r="I81" s="155">
        <f t="shared" si="0"/>
        <v>0</v>
      </c>
      <c r="J81" s="156">
        <f t="shared" si="1"/>
        <v>0</v>
      </c>
      <c r="K81" s="155">
        <f t="shared" si="2"/>
        <v>0</v>
      </c>
      <c r="L81" s="155" t="str">
        <f>IF(AND('Summary Sheet'!$E$23="No",$H$33&gt;0,H81&gt;=1),"",IF(AND('Summary Sheet'!$E$23="Yes",H81&lt;&gt;""),H81*'Summary Sheet'!$G$23,""))</f>
        <v/>
      </c>
      <c r="M81" s="154"/>
      <c r="N81" s="155">
        <f>SUM('Pay App 1:Pay App 2'!L81)+SUM('Pay App 1:Pay App 2'!M81)</f>
        <v>0</v>
      </c>
    </row>
    <row r="82" spans="1:14" ht="11.25" customHeight="1" x14ac:dyDescent="0.25">
      <c r="A82" s="152">
        <v>26</v>
      </c>
      <c r="B82" s="145" t="str">
        <f>'Pay App 1'!B82</f>
        <v>06 10 00</v>
      </c>
      <c r="C82" s="134" t="str">
        <f>'Pay App 1'!C82</f>
        <v>Rough Carpentry</v>
      </c>
      <c r="D82" s="155">
        <f>'Pay App 1'!D82</f>
        <v>0</v>
      </c>
      <c r="E82" s="155">
        <f>VLOOKUP(B82,'Graph Data'!$O$2:$BX$88,4,FALSE)</f>
        <v>0</v>
      </c>
      <c r="F82" s="155">
        <f>IFERROR(E82+'Pay App 1'!F82,"")</f>
        <v>0</v>
      </c>
      <c r="G82" s="155">
        <f>'Pay App 1'!H82</f>
        <v>0</v>
      </c>
      <c r="H82" s="154"/>
      <c r="I82" s="155">
        <f t="shared" si="0"/>
        <v>0</v>
      </c>
      <c r="J82" s="156">
        <f t="shared" si="1"/>
        <v>0</v>
      </c>
      <c r="K82" s="155">
        <f t="shared" si="2"/>
        <v>0</v>
      </c>
      <c r="L82" s="155" t="str">
        <f>IF(AND('Summary Sheet'!$E$23="No",$H$33&gt;0,H82&gt;=1),"",IF(AND('Summary Sheet'!$E$23="Yes",H82&lt;&gt;""),H82*'Summary Sheet'!$G$23,""))</f>
        <v/>
      </c>
      <c r="M82" s="154"/>
      <c r="N82" s="155">
        <f>SUM('Pay App 1:Pay App 2'!L82)+SUM('Pay App 1:Pay App 2'!M82)</f>
        <v>0</v>
      </c>
    </row>
    <row r="83" spans="1:14" ht="11.25" customHeight="1" x14ac:dyDescent="0.25">
      <c r="A83" s="152">
        <v>27</v>
      </c>
      <c r="B83" s="145" t="str">
        <f>'Pay App 1'!B83</f>
        <v>06 40 00</v>
      </c>
      <c r="C83" s="134" t="str">
        <f>'Pay App 1'!C83</f>
        <v>Arch. Woodwork &amp; Finish Carp.</v>
      </c>
      <c r="D83" s="155">
        <f>'Pay App 1'!D83</f>
        <v>0</v>
      </c>
      <c r="E83" s="155">
        <f>VLOOKUP(B83,'Graph Data'!$O$2:$BX$88,4,FALSE)</f>
        <v>0</v>
      </c>
      <c r="F83" s="155">
        <f>IFERROR(E83+'Pay App 1'!F83,"")</f>
        <v>0</v>
      </c>
      <c r="G83" s="155">
        <f>'Pay App 1'!H83</f>
        <v>0</v>
      </c>
      <c r="H83" s="154"/>
      <c r="I83" s="155">
        <f t="shared" si="0"/>
        <v>0</v>
      </c>
      <c r="J83" s="156">
        <f t="shared" si="1"/>
        <v>0</v>
      </c>
      <c r="K83" s="155">
        <f t="shared" si="2"/>
        <v>0</v>
      </c>
      <c r="L83" s="155" t="str">
        <f>IF(AND('Summary Sheet'!$E$23="No",$H$33&gt;0,H83&gt;=1),"",IF(AND('Summary Sheet'!$E$23="Yes",H83&lt;&gt;""),H83*'Summary Sheet'!$G$23,""))</f>
        <v/>
      </c>
      <c r="M83" s="154"/>
      <c r="N83" s="155">
        <f>SUM('Pay App 1:Pay App 2'!L83)+SUM('Pay App 1:Pay App 2'!M83)</f>
        <v>0</v>
      </c>
    </row>
    <row r="84" spans="1:14" ht="11.25" customHeight="1" x14ac:dyDescent="0.25">
      <c r="A84" s="152">
        <v>28</v>
      </c>
      <c r="B84" s="174" t="str">
        <f>'Pay App 1'!B84</f>
        <v>07 10 00</v>
      </c>
      <c r="C84" s="179" t="str">
        <f>'Pay App 1'!C84</f>
        <v>Waterproofing/Water Repellents</v>
      </c>
      <c r="D84" s="155">
        <f>'Pay App 1'!D84</f>
        <v>0</v>
      </c>
      <c r="E84" s="155">
        <f>VLOOKUP(B84,'Graph Data'!$O$2:$BX$88,4,FALSE)</f>
        <v>0</v>
      </c>
      <c r="F84" s="155">
        <f>IFERROR(E84+'Pay App 1'!F84,"")</f>
        <v>0</v>
      </c>
      <c r="G84" s="155">
        <f>'Pay App 1'!H84</f>
        <v>0</v>
      </c>
      <c r="H84" s="154"/>
      <c r="I84" s="155">
        <f t="shared" si="0"/>
        <v>0</v>
      </c>
      <c r="J84" s="156">
        <f t="shared" si="1"/>
        <v>0</v>
      </c>
      <c r="K84" s="155">
        <f t="shared" si="2"/>
        <v>0</v>
      </c>
      <c r="L84" s="155" t="str">
        <f>IF(AND('Summary Sheet'!$E$23="No",$H$33&gt;0,H84&gt;=1),"",IF(AND('Summary Sheet'!$E$23="Yes",H84&lt;&gt;""),H84*'Summary Sheet'!$G$23,""))</f>
        <v/>
      </c>
      <c r="M84" s="154"/>
      <c r="N84" s="155">
        <f>SUM('Pay App 1:Pay App 2'!L84)+SUM('Pay App 1:Pay App 2'!M84)</f>
        <v>0</v>
      </c>
    </row>
    <row r="85" spans="1:14" ht="11.25" customHeight="1" x14ac:dyDescent="0.25">
      <c r="A85" s="152">
        <v>29</v>
      </c>
      <c r="B85" s="174" t="str">
        <f>'Pay App 1'!B85</f>
        <v>07 20 00</v>
      </c>
      <c r="C85" s="179" t="str">
        <f>'Pay App 1'!C85</f>
        <v>Insulation</v>
      </c>
      <c r="D85" s="155">
        <f>'Pay App 1'!D85</f>
        <v>0</v>
      </c>
      <c r="E85" s="155">
        <f>VLOOKUP(B85,'Graph Data'!$O$2:$BX$88,4,FALSE)</f>
        <v>0</v>
      </c>
      <c r="F85" s="155">
        <f>IFERROR(E85+'Pay App 1'!F85,"")</f>
        <v>0</v>
      </c>
      <c r="G85" s="155">
        <f>'Pay App 1'!H85</f>
        <v>0</v>
      </c>
      <c r="H85" s="154"/>
      <c r="I85" s="155">
        <f t="shared" si="0"/>
        <v>0</v>
      </c>
      <c r="J85" s="156">
        <f t="shared" si="1"/>
        <v>0</v>
      </c>
      <c r="K85" s="155">
        <f t="shared" si="2"/>
        <v>0</v>
      </c>
      <c r="L85" s="155" t="str">
        <f>IF(AND('Summary Sheet'!$E$23="No",$H$33&gt;0,H85&gt;=1),"",IF(AND('Summary Sheet'!$E$23="Yes",H85&lt;&gt;""),H85*'Summary Sheet'!$G$23,""))</f>
        <v/>
      </c>
      <c r="M85" s="154"/>
      <c r="N85" s="155">
        <f>SUM('Pay App 1:Pay App 2'!L85)+SUM('Pay App 1:Pay App 2'!M85)</f>
        <v>0</v>
      </c>
    </row>
    <row r="86" spans="1:14" ht="11.25" customHeight="1" x14ac:dyDescent="0.25">
      <c r="A86" s="152">
        <v>30</v>
      </c>
      <c r="B86" s="174" t="str">
        <f>'Pay App 1'!B86</f>
        <v>07 24 00</v>
      </c>
      <c r="C86" s="179" t="str">
        <f>'Pay App 1'!C86</f>
        <v>EIFS</v>
      </c>
      <c r="D86" s="155">
        <f>'Pay App 1'!D86</f>
        <v>0</v>
      </c>
      <c r="E86" s="155">
        <f>VLOOKUP(B86,'Graph Data'!$O$2:$BX$88,4,FALSE)</f>
        <v>0</v>
      </c>
      <c r="F86" s="155">
        <f>IFERROR(E86+'Pay App 1'!F86,"")</f>
        <v>0</v>
      </c>
      <c r="G86" s="155">
        <f>'Pay App 1'!H86</f>
        <v>0</v>
      </c>
      <c r="H86" s="154"/>
      <c r="I86" s="155">
        <f t="shared" si="0"/>
        <v>0</v>
      </c>
      <c r="J86" s="156">
        <f t="shared" si="1"/>
        <v>0</v>
      </c>
      <c r="K86" s="155">
        <f t="shared" si="2"/>
        <v>0</v>
      </c>
      <c r="L86" s="155" t="str">
        <f>IF(AND('Summary Sheet'!$E$23="No",$H$33&gt;0,H86&gt;=1),"",IF(AND('Summary Sheet'!$E$23="Yes",H86&lt;&gt;""),H86*'Summary Sheet'!$G$23,""))</f>
        <v/>
      </c>
      <c r="M86" s="154"/>
      <c r="N86" s="155">
        <f>SUM('Pay App 1:Pay App 2'!L86)+SUM('Pay App 1:Pay App 2'!M86)</f>
        <v>0</v>
      </c>
    </row>
    <row r="87" spans="1:14" ht="11.25" customHeight="1" x14ac:dyDescent="0.25">
      <c r="A87" s="152">
        <v>31</v>
      </c>
      <c r="B87" s="174" t="str">
        <f>'Pay App 1'!B87</f>
        <v>07 26 00</v>
      </c>
      <c r="C87" s="179" t="str">
        <f>'Pay App 1'!C87</f>
        <v>Vapor Retarders</v>
      </c>
      <c r="D87" s="155">
        <f>'Pay App 1'!D87</f>
        <v>0</v>
      </c>
      <c r="E87" s="155">
        <f>VLOOKUP(B87,'Graph Data'!$O$2:$BX$88,4,FALSE)</f>
        <v>0</v>
      </c>
      <c r="F87" s="155">
        <f>IFERROR(E87+'Pay App 1'!F87,"")</f>
        <v>0</v>
      </c>
      <c r="G87" s="155">
        <f>'Pay App 1'!H87</f>
        <v>0</v>
      </c>
      <c r="H87" s="154"/>
      <c r="I87" s="155">
        <f t="shared" si="0"/>
        <v>0</v>
      </c>
      <c r="J87" s="156">
        <f t="shared" si="1"/>
        <v>0</v>
      </c>
      <c r="K87" s="155">
        <f t="shared" si="2"/>
        <v>0</v>
      </c>
      <c r="L87" s="155" t="str">
        <f>IF(AND('Summary Sheet'!$E$23="No",$H$33&gt;0,H87&gt;=1),"",IF(AND('Summary Sheet'!$E$23="Yes",H87&lt;&gt;""),H87*'Summary Sheet'!$G$23,""))</f>
        <v/>
      </c>
      <c r="M87" s="154"/>
      <c r="N87" s="155">
        <f>SUM('Pay App 1:Pay App 2'!L87)+SUM('Pay App 1:Pay App 2'!M87)</f>
        <v>0</v>
      </c>
    </row>
    <row r="88" spans="1:14" ht="11.25" customHeight="1" x14ac:dyDescent="0.25">
      <c r="A88" s="152">
        <v>32</v>
      </c>
      <c r="B88" s="174" t="str">
        <f>'Pay App 1'!B88</f>
        <v>07 41 00</v>
      </c>
      <c r="C88" s="179" t="str">
        <f>'Pay App 1'!C88</f>
        <v>Roofing</v>
      </c>
      <c r="D88" s="155">
        <f>'Pay App 1'!D88</f>
        <v>0</v>
      </c>
      <c r="E88" s="155">
        <f>VLOOKUP(B88,'Graph Data'!$O$2:$BX$88,4,FALSE)</f>
        <v>0</v>
      </c>
      <c r="F88" s="155">
        <f>IFERROR(E88+'Pay App 1'!F88,"")</f>
        <v>0</v>
      </c>
      <c r="G88" s="155">
        <f>'Pay App 1'!H88</f>
        <v>0</v>
      </c>
      <c r="H88" s="154"/>
      <c r="I88" s="155">
        <f t="shared" si="0"/>
        <v>0</v>
      </c>
      <c r="J88" s="156">
        <f t="shared" si="1"/>
        <v>0</v>
      </c>
      <c r="K88" s="155">
        <f t="shared" si="2"/>
        <v>0</v>
      </c>
      <c r="L88" s="155" t="str">
        <f>IF(AND('Summary Sheet'!$E$23="No",$H$33&gt;0,H88&gt;=1),"",IF(AND('Summary Sheet'!$E$23="Yes",H88&lt;&gt;""),H88*'Summary Sheet'!$G$23,""))</f>
        <v/>
      </c>
      <c r="M88" s="154"/>
      <c r="N88" s="155">
        <f>SUM('Pay App 1:Pay App 2'!L88)+SUM('Pay App 1:Pay App 2'!M88)</f>
        <v>0</v>
      </c>
    </row>
    <row r="89" spans="1:14" ht="11.25" customHeight="1" x14ac:dyDescent="0.25">
      <c r="A89" s="152">
        <v>33</v>
      </c>
      <c r="B89" s="174" t="str">
        <f>'Pay App 1'!B89</f>
        <v>07 42 00</v>
      </c>
      <c r="C89" s="179" t="str">
        <f>'Pay App 1'!C89</f>
        <v>Metal Panels</v>
      </c>
      <c r="D89" s="155">
        <f>'Pay App 1'!D89</f>
        <v>0</v>
      </c>
      <c r="E89" s="155">
        <f>VLOOKUP(B89,'Graph Data'!$O$2:$BX$88,4,FALSE)</f>
        <v>0</v>
      </c>
      <c r="F89" s="155">
        <f>IFERROR(E89+'Pay App 1'!F89,"")</f>
        <v>0</v>
      </c>
      <c r="G89" s="155">
        <f>'Pay App 1'!H89</f>
        <v>0</v>
      </c>
      <c r="H89" s="154"/>
      <c r="I89" s="155">
        <f t="shared" si="0"/>
        <v>0</v>
      </c>
      <c r="J89" s="156">
        <f t="shared" si="1"/>
        <v>0</v>
      </c>
      <c r="K89" s="155">
        <f t="shared" si="2"/>
        <v>0</v>
      </c>
      <c r="L89" s="155" t="str">
        <f>IF(AND('Summary Sheet'!$E$23="No",$H$33&gt;0,H89&gt;=1),"",IF(AND('Summary Sheet'!$E$23="Yes",H89&lt;&gt;""),H89*'Summary Sheet'!$G$23,""))</f>
        <v/>
      </c>
      <c r="M89" s="154"/>
      <c r="N89" s="155">
        <f>SUM('Pay App 1:Pay App 2'!L89)+SUM('Pay App 1:Pay App 2'!M89)</f>
        <v>0</v>
      </c>
    </row>
    <row r="90" spans="1:14" ht="11.25" customHeight="1" x14ac:dyDescent="0.25">
      <c r="A90" s="152">
        <v>34</v>
      </c>
      <c r="B90" s="174" t="str">
        <f>'Pay App 1'!B90</f>
        <v>07 60 00</v>
      </c>
      <c r="C90" s="179" t="str">
        <f>'Pay App 1'!C90</f>
        <v>Sheet Metal Flashing &amp; Trim</v>
      </c>
      <c r="D90" s="155">
        <f>'Pay App 1'!D90</f>
        <v>0</v>
      </c>
      <c r="E90" s="155">
        <f>VLOOKUP(B90,'Graph Data'!$O$2:$BX$88,4,FALSE)</f>
        <v>0</v>
      </c>
      <c r="F90" s="155">
        <f>IFERROR(E90+'Pay App 1'!F90,"")</f>
        <v>0</v>
      </c>
      <c r="G90" s="155">
        <f>'Pay App 1'!H90</f>
        <v>0</v>
      </c>
      <c r="H90" s="154"/>
      <c r="I90" s="155">
        <f t="shared" si="0"/>
        <v>0</v>
      </c>
      <c r="J90" s="156">
        <f t="shared" si="1"/>
        <v>0</v>
      </c>
      <c r="K90" s="155">
        <f t="shared" si="2"/>
        <v>0</v>
      </c>
      <c r="L90" s="155" t="str">
        <f>IF(AND('Summary Sheet'!$E$23="No",$H$33&gt;0,H90&gt;=1),"",IF(AND('Summary Sheet'!$E$23="Yes",H90&lt;&gt;""),H90*'Summary Sheet'!$G$23,""))</f>
        <v/>
      </c>
      <c r="M90" s="154"/>
      <c r="N90" s="155">
        <f>SUM('Pay App 1:Pay App 2'!L90)+SUM('Pay App 1:Pay App 2'!M90)</f>
        <v>0</v>
      </c>
    </row>
    <row r="91" spans="1:14" ht="11.25" customHeight="1" x14ac:dyDescent="0.25">
      <c r="A91" s="152">
        <v>35</v>
      </c>
      <c r="B91" s="174" t="str">
        <f>'Pay App 1'!B91</f>
        <v>07 80 00</v>
      </c>
      <c r="C91" s="179" t="str">
        <f>'Pay App 1'!C91</f>
        <v>Fireproofing</v>
      </c>
      <c r="D91" s="155">
        <f>'Pay App 1'!D91</f>
        <v>0</v>
      </c>
      <c r="E91" s="155">
        <f>VLOOKUP(B91,'Graph Data'!$O$2:$BX$88,4,FALSE)</f>
        <v>0</v>
      </c>
      <c r="F91" s="155">
        <f>IFERROR(E91+'Pay App 1'!F91,"")</f>
        <v>0</v>
      </c>
      <c r="G91" s="155">
        <f>'Pay App 1'!H91</f>
        <v>0</v>
      </c>
      <c r="H91" s="154"/>
      <c r="I91" s="155">
        <f t="shared" si="0"/>
        <v>0</v>
      </c>
      <c r="J91" s="156">
        <f t="shared" si="1"/>
        <v>0</v>
      </c>
      <c r="K91" s="155">
        <f t="shared" si="2"/>
        <v>0</v>
      </c>
      <c r="L91" s="155" t="str">
        <f>IF(AND('Summary Sheet'!$E$23="No",$H$33&gt;0,H91&gt;=1),"",IF(AND('Summary Sheet'!$E$23="Yes",H91&lt;&gt;""),H91*'Summary Sheet'!$G$23,""))</f>
        <v/>
      </c>
      <c r="M91" s="154"/>
      <c r="N91" s="155">
        <f>SUM('Pay App 1:Pay App 2'!L91)+SUM('Pay App 1:Pay App 2'!M91)</f>
        <v>0</v>
      </c>
    </row>
    <row r="92" spans="1:14" ht="11.25" customHeight="1" x14ac:dyDescent="0.25">
      <c r="A92" s="152">
        <v>36</v>
      </c>
      <c r="B92" s="174" t="str">
        <f>'Pay App 1'!B92</f>
        <v>07 90 00</v>
      </c>
      <c r="C92" s="179" t="str">
        <f>'Pay App 1'!C92</f>
        <v>Joint Sealants</v>
      </c>
      <c r="D92" s="155">
        <f>'Pay App 1'!D92</f>
        <v>0</v>
      </c>
      <c r="E92" s="155">
        <f>VLOOKUP(B92,'Graph Data'!$O$2:$BX$88,4,FALSE)</f>
        <v>0</v>
      </c>
      <c r="F92" s="155">
        <f>IFERROR(E92+'Pay App 1'!F92,"")</f>
        <v>0</v>
      </c>
      <c r="G92" s="155">
        <f>'Pay App 1'!H92</f>
        <v>0</v>
      </c>
      <c r="H92" s="154"/>
      <c r="I92" s="155">
        <f t="shared" si="0"/>
        <v>0</v>
      </c>
      <c r="J92" s="156">
        <f t="shared" si="1"/>
        <v>0</v>
      </c>
      <c r="K92" s="155">
        <f t="shared" si="2"/>
        <v>0</v>
      </c>
      <c r="L92" s="155" t="str">
        <f>IF(AND('Summary Sheet'!$E$23="No",$H$33&gt;0,H92&gt;=1),"",IF(AND('Summary Sheet'!$E$23="Yes",H92&lt;&gt;""),H92*'Summary Sheet'!$G$23,""))</f>
        <v/>
      </c>
      <c r="M92" s="154"/>
      <c r="N92" s="155">
        <f>SUM('Pay App 1:Pay App 2'!L92)+SUM('Pay App 1:Pay App 2'!M92)</f>
        <v>0</v>
      </c>
    </row>
    <row r="93" spans="1:14" ht="11.25" customHeight="1" x14ac:dyDescent="0.25">
      <c r="A93" s="152">
        <v>37</v>
      </c>
      <c r="B93" s="174" t="str">
        <f>'Pay App 1'!B93</f>
        <v>07 95 00</v>
      </c>
      <c r="C93" s="179" t="str">
        <f>'Pay App 1'!C93</f>
        <v>Expansion Joints</v>
      </c>
      <c r="D93" s="155">
        <f>'Pay App 1'!D93</f>
        <v>0</v>
      </c>
      <c r="E93" s="155">
        <f>VLOOKUP(B93,'Graph Data'!$O$2:$BX$88,4,FALSE)</f>
        <v>0</v>
      </c>
      <c r="F93" s="155">
        <f>IFERROR(E93+'Pay App 1'!F93,"")</f>
        <v>0</v>
      </c>
      <c r="G93" s="155">
        <f>'Pay App 1'!H93</f>
        <v>0</v>
      </c>
      <c r="H93" s="154"/>
      <c r="I93" s="155">
        <f t="shared" si="0"/>
        <v>0</v>
      </c>
      <c r="J93" s="156">
        <f t="shared" si="1"/>
        <v>0</v>
      </c>
      <c r="K93" s="155">
        <f t="shared" si="2"/>
        <v>0</v>
      </c>
      <c r="L93" s="155" t="str">
        <f>IF(AND('Summary Sheet'!$E$23="No",$H$33&gt;0,H93&gt;=1),"",IF(AND('Summary Sheet'!$E$23="Yes",H93&lt;&gt;""),H93*'Summary Sheet'!$G$23,""))</f>
        <v/>
      </c>
      <c r="M93" s="154"/>
      <c r="N93" s="155">
        <f>SUM('Pay App 1:Pay App 2'!L93)+SUM('Pay App 1:Pay App 2'!M93)</f>
        <v>0</v>
      </c>
    </row>
    <row r="94" spans="1:14" ht="11.25" customHeight="1" x14ac:dyDescent="0.25">
      <c r="A94" s="152">
        <v>38</v>
      </c>
      <c r="B94" s="175" t="str">
        <f>'Pay App 1'!B94</f>
        <v>08 10 00</v>
      </c>
      <c r="C94" s="180" t="str">
        <f>'Pay App 1'!C94</f>
        <v>Doors, Frames &amp; Hardware</v>
      </c>
      <c r="D94" s="155">
        <f>'Pay App 1'!D94</f>
        <v>0</v>
      </c>
      <c r="E94" s="155">
        <f>VLOOKUP(B94,'Graph Data'!$O$2:$BX$88,4,FALSE)</f>
        <v>0</v>
      </c>
      <c r="F94" s="155">
        <f>IFERROR(E94+'Pay App 1'!F94,"")</f>
        <v>0</v>
      </c>
      <c r="G94" s="155">
        <f>'Pay App 1'!H94</f>
        <v>0</v>
      </c>
      <c r="H94" s="154"/>
      <c r="I94" s="155">
        <f t="shared" si="0"/>
        <v>0</v>
      </c>
      <c r="J94" s="156">
        <f t="shared" si="1"/>
        <v>0</v>
      </c>
      <c r="K94" s="155">
        <f t="shared" si="2"/>
        <v>0</v>
      </c>
      <c r="L94" s="155" t="str">
        <f>IF(AND('Summary Sheet'!$E$23="No",$H$33&gt;0,H94&gt;=1),"",IF(AND('Summary Sheet'!$E$23="Yes",H94&lt;&gt;""),H94*'Summary Sheet'!$G$23,""))</f>
        <v/>
      </c>
      <c r="M94" s="154"/>
      <c r="N94" s="155">
        <f>SUM('Pay App 1:Pay App 2'!L94)+SUM('Pay App 1:Pay App 2'!M94)</f>
        <v>0</v>
      </c>
    </row>
    <row r="95" spans="1:14" ht="11.25" customHeight="1" x14ac:dyDescent="0.25">
      <c r="A95" s="152">
        <v>39</v>
      </c>
      <c r="B95" s="175" t="str">
        <f>'Pay App 1'!B95</f>
        <v>08 30 00</v>
      </c>
      <c r="C95" s="180" t="str">
        <f>'Pay App 1'!C95</f>
        <v>Specialty Doors</v>
      </c>
      <c r="D95" s="155">
        <f>'Pay App 1'!D95</f>
        <v>0</v>
      </c>
      <c r="E95" s="155">
        <f>VLOOKUP(B95,'Graph Data'!$O$2:$BX$88,4,FALSE)</f>
        <v>0</v>
      </c>
      <c r="F95" s="155">
        <f>IFERROR(E95+'Pay App 1'!F95,"")</f>
        <v>0</v>
      </c>
      <c r="G95" s="155">
        <f>'Pay App 1'!H95</f>
        <v>0</v>
      </c>
      <c r="H95" s="154"/>
      <c r="I95" s="155">
        <f t="shared" si="0"/>
        <v>0</v>
      </c>
      <c r="J95" s="156">
        <f t="shared" si="1"/>
        <v>0</v>
      </c>
      <c r="K95" s="155">
        <f t="shared" si="2"/>
        <v>0</v>
      </c>
      <c r="L95" s="155" t="str">
        <f>IF(AND('Summary Sheet'!$E$23="No",$H$33&gt;0,H95&gt;=1),"",IF(AND('Summary Sheet'!$E$23="Yes",H95&lt;&gt;""),H95*'Summary Sheet'!$G$23,""))</f>
        <v/>
      </c>
      <c r="M95" s="154"/>
      <c r="N95" s="155">
        <f>SUM('Pay App 1:Pay App 2'!L95)+SUM('Pay App 1:Pay App 2'!M95)</f>
        <v>0</v>
      </c>
    </row>
    <row r="96" spans="1:14" ht="11.25" customHeight="1" x14ac:dyDescent="0.25">
      <c r="A96" s="152">
        <v>40</v>
      </c>
      <c r="B96" s="175" t="str">
        <f>'Pay App 1'!B96</f>
        <v>08 33 00</v>
      </c>
      <c r="C96" s="180" t="str">
        <f>'Pay App 1'!C96</f>
        <v>Overhead Doors/Coiling Doors</v>
      </c>
      <c r="D96" s="155">
        <f>'Pay App 1'!D96</f>
        <v>0</v>
      </c>
      <c r="E96" s="155">
        <f>VLOOKUP(B96,'Graph Data'!$O$2:$BX$88,4,FALSE)</f>
        <v>0</v>
      </c>
      <c r="F96" s="155">
        <f>IFERROR(E96+'Pay App 1'!F96,"")</f>
        <v>0</v>
      </c>
      <c r="G96" s="155">
        <f>'Pay App 1'!H96</f>
        <v>0</v>
      </c>
      <c r="H96" s="154"/>
      <c r="I96" s="155">
        <f t="shared" si="0"/>
        <v>0</v>
      </c>
      <c r="J96" s="156">
        <f t="shared" si="1"/>
        <v>0</v>
      </c>
      <c r="K96" s="155">
        <f t="shared" si="2"/>
        <v>0</v>
      </c>
      <c r="L96" s="155" t="str">
        <f>IF(AND('Summary Sheet'!$E$23="No",$H$33&gt;0,H96&gt;=1),"",IF(AND('Summary Sheet'!$E$23="Yes",H96&lt;&gt;""),H96*'Summary Sheet'!$G$23,""))</f>
        <v/>
      </c>
      <c r="M96" s="154"/>
      <c r="N96" s="155">
        <f>SUM('Pay App 1:Pay App 2'!L96)+SUM('Pay App 1:Pay App 2'!M96)</f>
        <v>0</v>
      </c>
    </row>
    <row r="97" spans="1:15" ht="11.25" customHeight="1" x14ac:dyDescent="0.25">
      <c r="A97" s="152">
        <v>41</v>
      </c>
      <c r="B97" s="175" t="str">
        <f>'Pay App 1'!B97</f>
        <v>08 40 00</v>
      </c>
      <c r="C97" s="180" t="str">
        <f>'Pay App 1'!C97</f>
        <v>Curtain Wall, Glass &amp; Glazing</v>
      </c>
      <c r="D97" s="155">
        <f>'Pay App 1'!D97</f>
        <v>0</v>
      </c>
      <c r="E97" s="155">
        <f>VLOOKUP(B97,'Graph Data'!$O$2:$BX$88,4,FALSE)</f>
        <v>0</v>
      </c>
      <c r="F97" s="155">
        <f>IFERROR(E97+'Pay App 1'!F97,"")</f>
        <v>0</v>
      </c>
      <c r="G97" s="155">
        <f>'Pay App 1'!H97</f>
        <v>0</v>
      </c>
      <c r="H97" s="154"/>
      <c r="I97" s="155">
        <f t="shared" si="0"/>
        <v>0</v>
      </c>
      <c r="J97" s="156">
        <f t="shared" si="1"/>
        <v>0</v>
      </c>
      <c r="K97" s="155">
        <f t="shared" si="2"/>
        <v>0</v>
      </c>
      <c r="L97" s="155" t="str">
        <f>IF(AND('Summary Sheet'!$E$23="No",$H$33&gt;0,H97&gt;=1),"",IF(AND('Summary Sheet'!$E$23="Yes",H97&lt;&gt;""),H97*'Summary Sheet'!$G$23,""))</f>
        <v/>
      </c>
      <c r="M97" s="154"/>
      <c r="N97" s="155">
        <f>SUM('Pay App 1:Pay App 2'!L97)+SUM('Pay App 1:Pay App 2'!M97)</f>
        <v>0</v>
      </c>
    </row>
    <row r="98" spans="1:15" ht="10.9" customHeight="1" x14ac:dyDescent="0.25">
      <c r="A98" s="152">
        <v>42</v>
      </c>
      <c r="B98" s="175" t="str">
        <f>'Pay App 1'!B98</f>
        <v>08 60 00</v>
      </c>
      <c r="C98" s="180" t="str">
        <f>'Pay App 1'!C98</f>
        <v>Skylights</v>
      </c>
      <c r="D98" s="155">
        <f>'Pay App 1'!D98</f>
        <v>0</v>
      </c>
      <c r="E98" s="155">
        <f>VLOOKUP(B98,'Graph Data'!$O$2:$BX$88,4,FALSE)</f>
        <v>0</v>
      </c>
      <c r="F98" s="155">
        <f>IFERROR(E98+'Pay App 1'!F98,"")</f>
        <v>0</v>
      </c>
      <c r="G98" s="155">
        <f>'Pay App 1'!H98</f>
        <v>0</v>
      </c>
      <c r="H98" s="154"/>
      <c r="I98" s="155">
        <f t="shared" si="0"/>
        <v>0</v>
      </c>
      <c r="J98" s="156">
        <f t="shared" si="1"/>
        <v>0</v>
      </c>
      <c r="K98" s="155">
        <f t="shared" si="2"/>
        <v>0</v>
      </c>
      <c r="L98" s="155" t="str">
        <f>IF(AND('Summary Sheet'!$E$23="No",$H$33&gt;0,H98&gt;=1),"",IF(AND('Summary Sheet'!$E$23="Yes",H98&lt;&gt;""),H98*'Summary Sheet'!$G$23,""))</f>
        <v/>
      </c>
      <c r="M98" s="154"/>
      <c r="N98" s="155">
        <f>SUM('Pay App 1:Pay App 2'!L98)+SUM('Pay App 1:Pay App 2'!M98)</f>
        <v>0</v>
      </c>
    </row>
    <row r="99" spans="1:15" ht="10.9" customHeight="1" x14ac:dyDescent="0.25">
      <c r="A99" s="152">
        <v>43</v>
      </c>
      <c r="B99" s="175" t="str">
        <f>'Pay App 1'!B99</f>
        <v>08 90 00</v>
      </c>
      <c r="C99" s="180" t="str">
        <f>'Pay App 1'!C99</f>
        <v>Louvers &amp; Vents</v>
      </c>
      <c r="D99" s="155">
        <f>'Pay App 1'!D99</f>
        <v>0</v>
      </c>
      <c r="E99" s="155">
        <f>VLOOKUP(B99,'Graph Data'!$O$2:$BX$88,4,FALSE)</f>
        <v>0</v>
      </c>
      <c r="F99" s="155">
        <f>IFERROR(E99+'Pay App 1'!F99,"")</f>
        <v>0</v>
      </c>
      <c r="G99" s="155">
        <f>'Pay App 1'!H99</f>
        <v>0</v>
      </c>
      <c r="H99" s="154"/>
      <c r="I99" s="155">
        <f t="shared" si="0"/>
        <v>0</v>
      </c>
      <c r="J99" s="156">
        <f t="shared" si="1"/>
        <v>0</v>
      </c>
      <c r="K99" s="155">
        <f t="shared" si="2"/>
        <v>0</v>
      </c>
      <c r="L99" s="155" t="str">
        <f>IF(AND('Summary Sheet'!$E$23="No",$H$33&gt;0,H99&gt;=1),"",IF(AND('Summary Sheet'!$E$23="Yes",H99&lt;&gt;""),H99*'Summary Sheet'!$G$23,""))</f>
        <v/>
      </c>
      <c r="M99" s="154"/>
      <c r="N99" s="155">
        <f>SUM('Pay App 1:Pay App 2'!L99)+SUM('Pay App 1:Pay App 2'!M99)</f>
        <v>0</v>
      </c>
    </row>
    <row r="100" spans="1:15" ht="11.25" customHeight="1" x14ac:dyDescent="0.25">
      <c r="A100" s="153">
        <v>44</v>
      </c>
      <c r="B100" s="176" t="str">
        <f>'Pay App 1'!B100</f>
        <v>09 20 00</v>
      </c>
      <c r="C100" s="181" t="str">
        <f>'Pay App 1'!C100</f>
        <v>Gypsum Board Systems</v>
      </c>
      <c r="D100" s="155">
        <f>'Pay App 1'!D100</f>
        <v>0</v>
      </c>
      <c r="E100" s="155">
        <f>VLOOKUP(B100,'Graph Data'!$O$2:$BX$88,4,FALSE)</f>
        <v>0</v>
      </c>
      <c r="F100" s="155">
        <f>IFERROR(E100+'Pay App 1'!F100,"")</f>
        <v>0</v>
      </c>
      <c r="G100" s="155">
        <f>'Pay App 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2'!L100)+SUM('Pay App 1:Pay App 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2.2000000000000002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Data'!$O$2:$BX$88,4,FALSE)</f>
        <v>0</v>
      </c>
      <c r="F106" s="155">
        <f>IFERROR(E106+'Pay App 1'!F106,"")</f>
        <v>0</v>
      </c>
      <c r="G106" s="155">
        <f>'Pay App 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2'!L106)+SUM('Pay App 1:Pay App 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Data'!$O$2:$BX$88,4,FALSE)</f>
        <v>0</v>
      </c>
      <c r="F107" s="155">
        <f>IFERROR(E107+'Pay App 1'!F107,"")</f>
        <v>0</v>
      </c>
      <c r="G107" s="155">
        <f>'Pay App 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2'!L107)+SUM('Pay App 1:Pay App 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Data'!$O$2:$BX$88,4,FALSE)</f>
        <v>0</v>
      </c>
      <c r="F108" s="155">
        <f>IFERROR(E108+'Pay App 1'!F108,"")</f>
        <v>0</v>
      </c>
      <c r="G108" s="155">
        <f>'Pay App 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2'!L108)+SUM('Pay App 1:Pay App 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Data'!$O$2:$BX$88,4,FALSE)</f>
        <v>0</v>
      </c>
      <c r="F109" s="155">
        <f>IFERROR(E109+'Pay App 1'!F109,"")</f>
        <v>0</v>
      </c>
      <c r="G109" s="155">
        <f>'Pay App 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2'!L109)+SUM('Pay App 1:Pay App 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Data'!$O$2:$BX$88,4,FALSE)</f>
        <v>0</v>
      </c>
      <c r="F110" s="155">
        <f>IFERROR(E110+'Pay App 1'!F110,"")</f>
        <v>0</v>
      </c>
      <c r="G110" s="155">
        <f>'Pay App 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2'!L110)+SUM('Pay App 1:Pay App 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Data'!$O$2:$BX$88,4,FALSE)</f>
        <v>0</v>
      </c>
      <c r="F111" s="155">
        <f>IFERROR(E111+'Pay App 1'!F111,"")</f>
        <v>0</v>
      </c>
      <c r="G111" s="155">
        <f>'Pay App 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2'!L111)+SUM('Pay App 1:Pay App 2'!M111)</f>
        <v>0</v>
      </c>
    </row>
    <row r="112" spans="1:15" ht="11.25" customHeight="1" x14ac:dyDescent="0.25">
      <c r="A112" s="152">
        <f t="shared" si="3"/>
        <v>51</v>
      </c>
      <c r="B112" s="148" t="str">
        <f>'Pay App 1'!B112</f>
        <v>09 90 00</v>
      </c>
      <c r="C112" s="143" t="str">
        <f>'Pay App 1'!C112</f>
        <v>Painting</v>
      </c>
      <c r="D112" s="155">
        <f>'Pay App 1'!D112</f>
        <v>0</v>
      </c>
      <c r="E112" s="155">
        <f>VLOOKUP(B112,'Graph Data'!$O$2:$BX$88,4,FALSE)</f>
        <v>0</v>
      </c>
      <c r="F112" s="155">
        <f>IFERROR(E112+'Pay App 1'!F112,"")</f>
        <v>0</v>
      </c>
      <c r="G112" s="155">
        <f>'Pay App 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2'!L112)+SUM('Pay App 1:Pay App 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Data'!$O$2:$BX$88,4,FALSE)</f>
        <v>0</v>
      </c>
      <c r="F113" s="155">
        <f>IFERROR(E113+'Pay App 1'!F113,"")</f>
        <v>0</v>
      </c>
      <c r="G113" s="155">
        <f>'Pay App 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2'!L113)+SUM('Pay App 1:Pay App 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Data'!$O$2:$BX$88,4,FALSE)</f>
        <v>0</v>
      </c>
      <c r="F114" s="155">
        <f>IFERROR(E114+'Pay App 1'!F114,"")</f>
        <v>0</v>
      </c>
      <c r="G114" s="155">
        <f>'Pay App 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2'!L114)+SUM('Pay App 1:Pay App 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Data'!$O$2:$BX$88,4,FALSE)</f>
        <v>0</v>
      </c>
      <c r="F115" s="155">
        <f>IFERROR(E115+'Pay App 1'!F115,"")</f>
        <v>0</v>
      </c>
      <c r="G115" s="155">
        <f>'Pay App 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2'!L115)+SUM('Pay App 1:Pay App 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Data'!$O$2:$BX$88,4,FALSE)</f>
        <v>0</v>
      </c>
      <c r="F116" s="155">
        <f>IFERROR(E116+'Pay App 1'!F116,"")</f>
        <v>0</v>
      </c>
      <c r="G116" s="155">
        <f>'Pay App 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2'!L116)+SUM('Pay App 1:Pay App 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Data'!$O$2:$BX$88,4,FALSE)</f>
        <v>0</v>
      </c>
      <c r="F117" s="155">
        <f>IFERROR(E117+'Pay App 1'!F117,"")</f>
        <v>0</v>
      </c>
      <c r="G117" s="155">
        <f>'Pay App 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2'!L117)+SUM('Pay App 1:Pay App 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Data'!$O$2:$BX$88,4,FALSE)</f>
        <v>0</v>
      </c>
      <c r="F118" s="155">
        <f>IFERROR(E118+'Pay App 1'!F118,"")</f>
        <v>0</v>
      </c>
      <c r="G118" s="155">
        <f>'Pay App 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2'!L118)+SUM('Pay App 1:Pay App 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Data'!$O$2:$BX$88,4,FALSE)</f>
        <v>0</v>
      </c>
      <c r="F119" s="155">
        <f>IFERROR(E119+'Pay App 1'!F119,"")</f>
        <v>0</v>
      </c>
      <c r="G119" s="155">
        <f>'Pay App 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2'!L119)+SUM('Pay App 1:Pay App 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Data'!$O$2:$BX$88,4,FALSE)</f>
        <v>0</v>
      </c>
      <c r="F120" s="155">
        <f>IFERROR(E120+'Pay App 1'!F120,"")</f>
        <v>0</v>
      </c>
      <c r="G120" s="155">
        <f>'Pay App 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2'!L120)+SUM('Pay App 1:Pay App 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Data'!$O$2:$BX$88,4,FALSE)</f>
        <v>0</v>
      </c>
      <c r="F121" s="155">
        <f>IFERROR(E121+'Pay App 1'!F121,"")</f>
        <v>0</v>
      </c>
      <c r="G121" s="155">
        <f>'Pay App 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2'!L121)+SUM('Pay App 1:Pay App 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Data'!$O$2:$BX$88,4,FALSE)</f>
        <v>0</v>
      </c>
      <c r="F122" s="155">
        <f>IFERROR(E122+'Pay App 1'!F122,"")</f>
        <v>0</v>
      </c>
      <c r="G122" s="155">
        <f>'Pay App 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2'!L122)+SUM('Pay App 1:Pay App 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Data'!$O$2:$BX$88,4,FALSE)</f>
        <v>0</v>
      </c>
      <c r="F123" s="155">
        <f>IFERROR(E123+'Pay App 1'!F123,"")</f>
        <v>0</v>
      </c>
      <c r="G123" s="155">
        <f>'Pay App 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2'!L123)+SUM('Pay App 1:Pay App 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Data'!$O$2:$BX$88,4,FALSE)</f>
        <v>0</v>
      </c>
      <c r="F124" s="155">
        <f>IFERROR(E124+'Pay App 1'!F124,"")</f>
        <v>0</v>
      </c>
      <c r="G124" s="155">
        <f>'Pay App 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2'!L124)+SUM('Pay App 1:Pay App 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Data'!$O$2:$BX$88,4,FALSE)</f>
        <v>0</v>
      </c>
      <c r="F125" s="155">
        <f>IFERROR(E125+'Pay App 1'!F125,"")</f>
        <v>0</v>
      </c>
      <c r="G125" s="155">
        <f>'Pay App 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2'!L125)+SUM('Pay App 1:Pay App 2'!M125)</f>
        <v>0</v>
      </c>
    </row>
    <row r="126" spans="1:14" ht="11.25" customHeight="1" x14ac:dyDescent="0.25">
      <c r="A126" s="152">
        <f t="shared" si="3"/>
        <v>65</v>
      </c>
      <c r="B126" s="188" t="str">
        <f>'Pay App 1'!B126</f>
        <v>14 20 00</v>
      </c>
      <c r="C126" s="194" t="str">
        <f>'Pay App 1'!C126</f>
        <v>Elevator</v>
      </c>
      <c r="D126" s="155">
        <f>'Pay App 1'!D126</f>
        <v>0</v>
      </c>
      <c r="E126" s="155">
        <f>VLOOKUP(B126,'Graph Data'!$O$2:$BX$88,4,FALSE)</f>
        <v>0</v>
      </c>
      <c r="F126" s="155">
        <f>IFERROR(E126+'Pay App 1'!F126,"")</f>
        <v>0</v>
      </c>
      <c r="G126" s="155">
        <f>'Pay App 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2'!L126)+SUM('Pay App 1:Pay App 2'!M126)</f>
        <v>0</v>
      </c>
    </row>
    <row r="127" spans="1:14" ht="11.25" customHeight="1" x14ac:dyDescent="0.25">
      <c r="A127" s="152">
        <f t="shared" si="3"/>
        <v>66</v>
      </c>
      <c r="B127" s="188" t="str">
        <f>'Pay App 1'!B127</f>
        <v>14 40 00</v>
      </c>
      <c r="C127" s="194" t="str">
        <f>'Pay App 1'!C127</f>
        <v>Lifts</v>
      </c>
      <c r="D127" s="155">
        <f>'Pay App 1'!D127</f>
        <v>0</v>
      </c>
      <c r="E127" s="155">
        <f>VLOOKUP(B127,'Graph Data'!$O$2:$BX$88,4,FALSE)</f>
        <v>0</v>
      </c>
      <c r="F127" s="155">
        <f>IFERROR(E127+'Pay App 1'!F127,"")</f>
        <v>0</v>
      </c>
      <c r="G127" s="155">
        <f>'Pay App 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2'!L127)+SUM('Pay App 1:Pay App 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Data'!$O$2:$BX$88,4,FALSE)</f>
        <v>0</v>
      </c>
      <c r="F128" s="155">
        <f>IFERROR(E128+'Pay App 1'!F128,"")</f>
        <v>0</v>
      </c>
      <c r="G128" s="155">
        <f>'Pay App 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2'!L128)+SUM('Pay App 1:Pay App 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Data'!$O$2:$BX$88,4,FALSE)</f>
        <v>0</v>
      </c>
      <c r="F129" s="155">
        <f>IFERROR(E129+'Pay App 1'!F129,"")</f>
        <v>0</v>
      </c>
      <c r="G129" s="155">
        <f>'Pay App 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2'!L129)+SUM('Pay App 1:Pay App 2'!M129)</f>
        <v>0</v>
      </c>
    </row>
    <row r="130" spans="1:14" ht="11.25" customHeight="1" x14ac:dyDescent="0.25">
      <c r="A130" s="152">
        <f t="shared" si="3"/>
        <v>69</v>
      </c>
      <c r="B130" s="185" t="str">
        <f>'Pay App 1'!B130</f>
        <v>22 00 00</v>
      </c>
      <c r="C130" s="191" t="str">
        <f>'Pay App 1'!C130</f>
        <v>Plumbing</v>
      </c>
      <c r="D130" s="155">
        <f>'Pay App 1'!D130</f>
        <v>0</v>
      </c>
      <c r="E130" s="155">
        <f>VLOOKUP(B130,'Graph Data'!$O$2:$BX$88,4,FALSE)</f>
        <v>0</v>
      </c>
      <c r="F130" s="155">
        <f>IFERROR(E130+'Pay App 1'!F130,"")</f>
        <v>0</v>
      </c>
      <c r="G130" s="155">
        <f>'Pay App 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2'!L130)+SUM('Pay App 1:Pay App 2'!M130)</f>
        <v>0</v>
      </c>
    </row>
    <row r="131" spans="1:14" ht="11.25" customHeight="1" x14ac:dyDescent="0.25">
      <c r="A131" s="152">
        <f t="shared" si="3"/>
        <v>70</v>
      </c>
      <c r="B131" s="186" t="str">
        <f>'Pay App 1'!B131</f>
        <v>23 00 00</v>
      </c>
      <c r="C131" s="192" t="str">
        <f>'Pay App 1'!C131</f>
        <v>HVAC</v>
      </c>
      <c r="D131" s="155">
        <f>'Pay App 1'!D131</f>
        <v>0</v>
      </c>
      <c r="E131" s="155">
        <f>VLOOKUP(B131,'Graph Data'!$O$2:$BX$88,4,FALSE)</f>
        <v>0</v>
      </c>
      <c r="F131" s="155">
        <f>IFERROR(E131+'Pay App 1'!F131,"")</f>
        <v>0</v>
      </c>
      <c r="G131" s="155">
        <f>'Pay App 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2'!L131)+SUM('Pay App 1:Pay App 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Data'!$O$2:$BX$88,4,FALSE)</f>
        <v>0</v>
      </c>
      <c r="F132" s="155">
        <f>IFERROR(E132+'Pay App 1'!F132,"")</f>
        <v>0</v>
      </c>
      <c r="G132" s="155">
        <f>'Pay App 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2'!L132)+SUM('Pay App 1:Pay App 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Data'!$O$2:$BX$88,4,FALSE)</f>
        <v>0</v>
      </c>
      <c r="F133" s="155">
        <f>IFERROR(E133+'Pay App 1'!F133,"")</f>
        <v>0</v>
      </c>
      <c r="G133" s="155">
        <f>'Pay App 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2'!L133)+SUM('Pay App 1:Pay App 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Data'!$O$2:$BX$88,4,FALSE)</f>
        <v>0</v>
      </c>
      <c r="F134" s="155">
        <f>IFERROR(E134+'Pay App 1'!F134,"")</f>
        <v>0</v>
      </c>
      <c r="G134" s="155">
        <f>'Pay App 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2'!L134)+SUM('Pay App 1:Pay App 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Data'!$O$2:$BX$88,4,FALSE)</f>
        <v>0</v>
      </c>
      <c r="F135" s="155">
        <f>IFERROR(E135+'Pay App 1'!F135,"")</f>
        <v>0</v>
      </c>
      <c r="G135" s="155">
        <f>'Pay App 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2'!L135)+SUM('Pay App 1:Pay App 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Data'!$O$2:$BX$88,4,FALSE)</f>
        <v>0</v>
      </c>
      <c r="F136" s="155">
        <f>IFERROR(E136+'Pay App 1'!F136,"")</f>
        <v>0</v>
      </c>
      <c r="G136" s="155">
        <f>'Pay App 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2'!L136)+SUM('Pay App 1:Pay App 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Data'!$O$2:$BX$88,4,FALSE)</f>
        <v>0</v>
      </c>
      <c r="F137" s="155">
        <f>IFERROR(E137+'Pay App 1'!F137,"")</f>
        <v>0</v>
      </c>
      <c r="G137" s="155">
        <f>'Pay App 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2'!L137)+SUM('Pay App 1:Pay App 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Data'!$O$2:$BX$88,4,FALSE)</f>
        <v>0</v>
      </c>
      <c r="F138" s="155">
        <f>IFERROR(E138+'Pay App 1'!F138,"")</f>
        <v>0</v>
      </c>
      <c r="G138" s="155">
        <f>'Pay App 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2'!L138)+SUM('Pay App 1:Pay App 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Data'!$O$2:$BX$88,4,FALSE)</f>
        <v>0</v>
      </c>
      <c r="F139" s="155">
        <f>IFERROR(E139+'Pay App 1'!F139,"")</f>
        <v>0</v>
      </c>
      <c r="G139" s="155">
        <f>'Pay App 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2'!L139)+SUM('Pay App 1:Pay App 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Data'!$O$2:$BX$88,4,FALSE)</f>
        <v>0</v>
      </c>
      <c r="F140" s="155">
        <f>IFERROR(E140+'Pay App 1'!F140,"")</f>
        <v>0</v>
      </c>
      <c r="G140" s="155">
        <f>'Pay App 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2'!L140)+SUM('Pay App 1:Pay App 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Data'!$O$2:$BX$88,4,FALSE)</f>
        <v>0</v>
      </c>
      <c r="F141" s="155">
        <f>IFERROR(E141+'Pay App 1'!F141,"")</f>
        <v>0</v>
      </c>
      <c r="G141" s="155">
        <f>'Pay App 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2'!L141)+SUM('Pay App 1:Pay App 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Data'!$O$2:$BX$88,4,FALSE)</f>
        <v>0</v>
      </c>
      <c r="F142" s="155">
        <f>IFERROR(E142+'Pay App 1'!F142,"")</f>
        <v>0</v>
      </c>
      <c r="G142" s="155">
        <f>'Pay App 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2'!L142)+SUM('Pay App 1:Pay App 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Data'!$O$2:$BX$88,4,FALSE)</f>
        <v>0</v>
      </c>
      <c r="F143" s="155">
        <f>IFERROR(E143+'Pay App 1'!F143,"")</f>
        <v>0</v>
      </c>
      <c r="G143" s="155">
        <f>'Pay App 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2'!L143)+SUM('Pay App 1:Pay App 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Data'!$O$2:$BX$88,4,FALSE)</f>
        <v>0</v>
      </c>
      <c r="F144" s="155">
        <f>IFERROR(E144+'Pay App 1'!F144,"")</f>
        <v>0</v>
      </c>
      <c r="G144" s="155">
        <f>'Pay App 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2'!L144)+SUM('Pay App 1:Pay App 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Data'!$O$2:$BX$88,4,FALSE)</f>
        <v>0</v>
      </c>
      <c r="F145" s="155">
        <f>IFERROR(E145+'Pay App 1'!F145,"")</f>
        <v>0</v>
      </c>
      <c r="G145" s="155">
        <f>'Pay App 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2'!L145)+SUM('Pay App 1:Pay App 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Data'!$O$2:$BX$88,4,FALSE)</f>
        <v>0</v>
      </c>
      <c r="F146" s="155">
        <f>IFERROR(E146+'Pay App 1'!F146,"")</f>
        <v>0</v>
      </c>
      <c r="G146" s="155">
        <f>'Pay App 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2'!L146)+SUM('Pay App 1:Pay App 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Data'!$O$2:$BX$88,4,FALSE)</f>
        <v>0</v>
      </c>
      <c r="F147" s="155">
        <f>IFERROR(E147+'Pay App 1'!F147,"")</f>
        <v>0</v>
      </c>
      <c r="G147" s="155">
        <f>'Pay App 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2'!L147)+SUM('Pay App 1:Pay App 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Data'!$O$2:$BX$88,4,FALSE)</f>
        <v>0</v>
      </c>
      <c r="F148" s="155">
        <f>IFERROR(E148+'Pay App 1'!F148,"")</f>
        <v>0</v>
      </c>
      <c r="G148" s="155">
        <f>'Pay App 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2'!L148)+SUM('Pay App 1:Pay App 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dSyIM4r8WHvgbJhzbHPr+xo18Dgy6oLibKz8iNV2oo5V/DB0KEk1Z+dPwIgF5Gzq8iXx+QS6ix0Q8S0/cTqMww==" saltValue="AhEgFqQRnZycOt+hehoijQ==" spinCount="100000" sheet="1" objects="1" scenarios="1" selectLockedCells="1"/>
  <mergeCells count="60">
    <mergeCell ref="D102:F102"/>
    <mergeCell ref="J102:L102"/>
    <mergeCell ref="D103:F103"/>
    <mergeCell ref="J103:L103"/>
    <mergeCell ref="D53:F53"/>
    <mergeCell ref="J53:L53"/>
    <mergeCell ref="D54:F54"/>
    <mergeCell ref="J54:L54"/>
    <mergeCell ref="D101:F101"/>
    <mergeCell ref="G101:H101"/>
    <mergeCell ref="J101:L101"/>
    <mergeCell ref="I45:K45"/>
    <mergeCell ref="I48:N51"/>
    <mergeCell ref="D52:F52"/>
    <mergeCell ref="G52:H52"/>
    <mergeCell ref="J52:L52"/>
    <mergeCell ref="L22:N22"/>
    <mergeCell ref="A23:H23"/>
    <mergeCell ref="A24:H25"/>
    <mergeCell ref="I24:N33"/>
    <mergeCell ref="I41:K41"/>
    <mergeCell ref="I37:K37"/>
    <mergeCell ref="A20:C20"/>
    <mergeCell ref="D20:H20"/>
    <mergeCell ref="A21:C21"/>
    <mergeCell ref="D21:H21"/>
    <mergeCell ref="I22:K22"/>
    <mergeCell ref="A17:C17"/>
    <mergeCell ref="D17:E17"/>
    <mergeCell ref="A18:C18"/>
    <mergeCell ref="D18:H18"/>
    <mergeCell ref="A19:C19"/>
    <mergeCell ref="D19:H19"/>
    <mergeCell ref="F17:H17"/>
    <mergeCell ref="A15:C15"/>
    <mergeCell ref="F15:H15"/>
    <mergeCell ref="A16:C16"/>
    <mergeCell ref="D16:E16"/>
    <mergeCell ref="F16:H16"/>
    <mergeCell ref="D11:H11"/>
    <mergeCell ref="A12:C14"/>
    <mergeCell ref="D12:H12"/>
    <mergeCell ref="D13:H13"/>
    <mergeCell ref="D14:G14"/>
    <mergeCell ref="D1:L2"/>
    <mergeCell ref="A4:H4"/>
    <mergeCell ref="D3:F3"/>
    <mergeCell ref="J3:L3"/>
    <mergeCell ref="A5:C8"/>
    <mergeCell ref="D5:H5"/>
    <mergeCell ref="I5:K5"/>
    <mergeCell ref="D6:H6"/>
    <mergeCell ref="I6:N18"/>
    <mergeCell ref="D7:H7"/>
    <mergeCell ref="D8:H8"/>
    <mergeCell ref="A9:C9"/>
    <mergeCell ref="D9:H9"/>
    <mergeCell ref="A10:C10"/>
    <mergeCell ref="D10:H10"/>
    <mergeCell ref="A11:C11"/>
  </mergeCells>
  <conditionalFormatting sqref="D57:G100">
    <cfRule type="cellIs" dxfId="648" priority="2" operator="equal">
      <formula>0</formula>
    </cfRule>
  </conditionalFormatting>
  <conditionalFormatting sqref="D106:G148">
    <cfRule type="cellIs" dxfId="647" priority="1" operator="equal">
      <formula>0</formula>
    </cfRule>
  </conditionalFormatting>
  <conditionalFormatting sqref="D10:H10 D12:H14 D19:H21">
    <cfRule type="cellIs" dxfId="646" priority="6" operator="equal">
      <formula>0</formula>
    </cfRule>
  </conditionalFormatting>
  <conditionalFormatting sqref="H51">
    <cfRule type="cellIs" dxfId="645" priority="9" operator="lessThan">
      <formula>0</formula>
    </cfRule>
  </conditionalFormatting>
  <conditionalFormatting sqref="I57:I100 K57:K100 I106:I148 K106:K148 N106:N148">
    <cfRule type="cellIs" dxfId="644" priority="14" operator="equal">
      <formula>0</formula>
    </cfRule>
  </conditionalFormatting>
  <conditionalFormatting sqref="J57:J100 J106:J149">
    <cfRule type="cellIs" dxfId="643" priority="11" operator="greaterThan">
      <formula>1</formula>
    </cfRule>
    <cfRule type="cellIs" dxfId="642" priority="12" operator="equal">
      <formula>0</formula>
    </cfRule>
  </conditionalFormatting>
  <conditionalFormatting sqref="K57:K100 K106:K148">
    <cfRule type="cellIs" dxfId="641" priority="10" operator="lessThan">
      <formula>0</formula>
    </cfRule>
  </conditionalFormatting>
  <conditionalFormatting sqref="M57:M100">
    <cfRule type="cellIs" dxfId="640" priority="13" operator="lessThan">
      <formula>0</formula>
    </cfRule>
  </conditionalFormatting>
  <conditionalFormatting sqref="M106:M148">
    <cfRule type="cellIs" dxfId="639" priority="8" operator="lessThan">
      <formula>0</formula>
    </cfRule>
  </conditionalFormatting>
  <conditionalFormatting sqref="N57:N100">
    <cfRule type="cellIs" dxfId="638"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8AF33FC-C6B3-4FF0-A14D-136226CDC38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count="1">
        <x14:dataValidation type="list" allowBlank="1" showInputMessage="1" showErrorMessage="1" xr:uid="{9E39A307-7AE1-496A-820D-041F6B170EBE}">
          <x14:formula1>
            <xm:f>'Graph Data'!$M$74:$M$76</xm:f>
          </x14:formula1>
          <xm:sqref>G17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17309-A9A6-4E3E-97F6-656226CD6DD8}">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935</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Data'!$O$2:$BX$88,5,FALSE)</f>
        <v>0</v>
      </c>
      <c r="F57" s="155">
        <f>IFERROR(E57+'Pay App 2'!F57,"")</f>
        <v>0</v>
      </c>
      <c r="G57" s="155">
        <f>SUM('Pay App 1:Pay App 2'!H57)</f>
        <v>0</v>
      </c>
      <c r="H57" s="154"/>
      <c r="I57" s="155">
        <f>G57+H57</f>
        <v>0</v>
      </c>
      <c r="J57" s="156">
        <f>IFERROR(I57/F57,0)</f>
        <v>0</v>
      </c>
      <c r="K57" s="155">
        <f>IFERROR(F57-I57,"")</f>
        <v>0</v>
      </c>
      <c r="L57" s="155" t="str">
        <f>IF(AND('Summary Sheet'!$E$23="No",$H$33&gt;0,H57&gt;=1),"",IF(AND('Summary Sheet'!$E$23="Yes",H57&lt;&gt;""),H57*'Summary Sheet'!$G$23,""))</f>
        <v/>
      </c>
      <c r="M57" s="154"/>
      <c r="N57" s="155">
        <f>SUM('Pay App 1:Pay App 3'!L57)+SUM('Pay App 1:Pay App 3'!M57)</f>
        <v>0</v>
      </c>
    </row>
    <row r="58" spans="1:16" ht="11.25" customHeight="1" x14ac:dyDescent="0.25">
      <c r="A58" s="152">
        <v>2</v>
      </c>
      <c r="B58" s="145" t="str">
        <f>'Pay App 1'!B58</f>
        <v>00 02 00</v>
      </c>
      <c r="C58" s="134" t="str">
        <f>'Pay App 1'!C58</f>
        <v>Preconstruction Services</v>
      </c>
      <c r="D58" s="155">
        <f>'Pay App 1'!D58</f>
        <v>0</v>
      </c>
      <c r="E58" s="155">
        <f>VLOOKUP(B58,'Graph Data'!$O$2:$BX$88,5,FALSE)</f>
        <v>0</v>
      </c>
      <c r="F58" s="155">
        <f>IFERROR(E58+'Pay App 2'!F58,"")</f>
        <v>0</v>
      </c>
      <c r="G58" s="155">
        <f>SUM('Pay App 1:Pay App 2'!H58)</f>
        <v>0</v>
      </c>
      <c r="H58" s="154"/>
      <c r="I58" s="155">
        <f>G58+H58</f>
        <v>0</v>
      </c>
      <c r="J58" s="156">
        <f>IFERROR(I58/F58,0)</f>
        <v>0</v>
      </c>
      <c r="K58" s="155">
        <f>IFERROR(F58-I58,"")</f>
        <v>0</v>
      </c>
      <c r="L58" s="155" t="str">
        <f>IF(AND('Summary Sheet'!$E$23="No",$H$33&gt;0,H58&gt;=1),"",IF(AND('Summary Sheet'!$E$23="Yes",H58&lt;&gt;""),H58*'Summary Sheet'!$G$23,""))</f>
        <v/>
      </c>
      <c r="M58" s="154"/>
      <c r="N58" s="155">
        <f>SUM('Pay App 1:Pay App 3'!L58)+SUM('Pay App 1:Pay App 3'!M58)</f>
        <v>0</v>
      </c>
    </row>
    <row r="59" spans="1:16" ht="11.25" customHeight="1" x14ac:dyDescent="0.25">
      <c r="A59" s="152">
        <v>3</v>
      </c>
      <c r="B59" s="174" t="str">
        <f>'Pay App 1'!B59</f>
        <v>01 00 00</v>
      </c>
      <c r="C59" s="179" t="str">
        <f>'Pay App 1'!C59</f>
        <v>General Conditions/Requirements</v>
      </c>
      <c r="D59" s="155">
        <f>'Pay App 1'!D59</f>
        <v>0</v>
      </c>
      <c r="E59" s="155">
        <f>VLOOKUP(B59,'Graph Data'!$O$2:$BX$88,5,FALSE)</f>
        <v>0</v>
      </c>
      <c r="F59" s="155">
        <f>IFERROR(E59+'Pay App 2'!F59,"")</f>
        <v>0</v>
      </c>
      <c r="G59" s="155">
        <f>SUM('Pay App 1:Pay App 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3'!L59)+SUM('Pay App 1:Pay App 3'!M59)</f>
        <v>0</v>
      </c>
    </row>
    <row r="60" spans="1:16" ht="11.25" customHeight="1" x14ac:dyDescent="0.25">
      <c r="A60" s="152">
        <v>4</v>
      </c>
      <c r="B60" s="174" t="str">
        <f>'Pay App 1'!B60</f>
        <v>01 13 41</v>
      </c>
      <c r="C60" s="179" t="str">
        <f>'Pay App 1'!C60</f>
        <v>Temp. Scaffolding and Platforms</v>
      </c>
      <c r="D60" s="155">
        <f>'Pay App 1'!D60</f>
        <v>0</v>
      </c>
      <c r="E60" s="155">
        <f>VLOOKUP(B60,'Graph Data'!$O$2:$BX$88,5,FALSE)</f>
        <v>0</v>
      </c>
      <c r="F60" s="155">
        <f>IFERROR(E60+'Pay App 2'!F60,"")</f>
        <v>0</v>
      </c>
      <c r="G60" s="155">
        <f>SUM('Pay App 1:Pay App 2'!H60)</f>
        <v>0</v>
      </c>
      <c r="H60" s="154"/>
      <c r="I60" s="155">
        <f t="shared" si="0"/>
        <v>0</v>
      </c>
      <c r="J60" s="156">
        <f t="shared" si="1"/>
        <v>0</v>
      </c>
      <c r="K60" s="155">
        <f t="shared" si="2"/>
        <v>0</v>
      </c>
      <c r="L60" s="155" t="str">
        <f>IF(AND('Summary Sheet'!$E$23="No",$H$33&gt;0,H60&gt;=1),"",IF(AND('Summary Sheet'!$E$23="Yes",H60&lt;&gt;""),H60*'Summary Sheet'!$G$23,""))</f>
        <v/>
      </c>
      <c r="M60" s="154"/>
      <c r="N60" s="155">
        <f>SUM('Pay App 1:Pay App 3'!L60)+SUM('Pay App 1:Pay App 3'!M60)</f>
        <v>0</v>
      </c>
    </row>
    <row r="61" spans="1:16" ht="11.25" customHeight="1" x14ac:dyDescent="0.25">
      <c r="A61" s="152">
        <v>5</v>
      </c>
      <c r="B61" s="174" t="str">
        <f>'Pay App 1'!B61</f>
        <v>01 13 60</v>
      </c>
      <c r="C61" s="179" t="str">
        <f>'Pay App 1'!C61</f>
        <v>SWPPP</v>
      </c>
      <c r="D61" s="155">
        <f>'Pay App 1'!D61</f>
        <v>0</v>
      </c>
      <c r="E61" s="155">
        <f>VLOOKUP(B61,'Graph Data'!$O$2:$BX$88,5,FALSE)</f>
        <v>0</v>
      </c>
      <c r="F61" s="155">
        <f>IFERROR(E61+'Pay App 2'!F61,"")</f>
        <v>0</v>
      </c>
      <c r="G61" s="155">
        <f>SUM('Pay App 1:Pay App 2'!H61)</f>
        <v>0</v>
      </c>
      <c r="H61" s="154"/>
      <c r="I61" s="155">
        <f t="shared" si="0"/>
        <v>0</v>
      </c>
      <c r="J61" s="156">
        <f t="shared" si="1"/>
        <v>0</v>
      </c>
      <c r="K61" s="155">
        <f t="shared" si="2"/>
        <v>0</v>
      </c>
      <c r="L61" s="155" t="str">
        <f>IF(AND('Summary Sheet'!$E$23="No",$H$33&gt;0,H61&gt;=1),"",IF(AND('Summary Sheet'!$E$23="Yes",H61&lt;&gt;""),H61*'Summary Sheet'!$G$23,""))</f>
        <v/>
      </c>
      <c r="M61" s="154"/>
      <c r="N61" s="155">
        <f>SUM('Pay App 1:Pay App 3'!L61)+SUM('Pay App 1:Pay App 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Data'!$O$2:$BX$88,5,FALSE)</f>
        <v>0</v>
      </c>
      <c r="F62" s="155">
        <f>IFERROR(E62+'Pay App 2'!F62,"")</f>
        <v>0</v>
      </c>
      <c r="G62" s="155">
        <f>SUM('Pay App 1:Pay App 2'!H62)</f>
        <v>0</v>
      </c>
      <c r="H62" s="154"/>
      <c r="I62" s="155">
        <f t="shared" si="0"/>
        <v>0</v>
      </c>
      <c r="J62" s="156">
        <f t="shared" si="1"/>
        <v>0</v>
      </c>
      <c r="K62" s="155">
        <f t="shared" si="2"/>
        <v>0</v>
      </c>
      <c r="L62" s="155" t="str">
        <f>IF(AND('Summary Sheet'!$E$23="No",$H$33&gt;0,H62&gt;=1),"",IF(AND('Summary Sheet'!$E$23="Yes",H62&lt;&gt;""),H62*'Summary Sheet'!$G$23,""))</f>
        <v/>
      </c>
      <c r="M62" s="154"/>
      <c r="N62" s="155">
        <f>SUM('Pay App 1:Pay App 3'!L62)+SUM('Pay App 1:Pay App 3'!M62)</f>
        <v>0</v>
      </c>
    </row>
    <row r="63" spans="1:16" ht="11.25" customHeight="1" x14ac:dyDescent="0.25">
      <c r="A63" s="152">
        <v>7</v>
      </c>
      <c r="B63" s="174" t="str">
        <f>'Pay App 1'!B63</f>
        <v>01 31 00</v>
      </c>
      <c r="C63" s="179" t="str">
        <f>'Pay App 1'!C63</f>
        <v>Contractor's Supervision</v>
      </c>
      <c r="D63" s="155">
        <f>'Pay App 1'!D63</f>
        <v>0</v>
      </c>
      <c r="E63" s="155">
        <f>VLOOKUP(B63,'Graph Data'!$O$2:$BX$88,5,FALSE)</f>
        <v>0</v>
      </c>
      <c r="F63" s="155">
        <f>IFERROR(E63+'Pay App 2'!F63,"")</f>
        <v>0</v>
      </c>
      <c r="G63" s="155">
        <f>SUM('Pay App 1:Pay App 2'!H63)</f>
        <v>0</v>
      </c>
      <c r="H63" s="154"/>
      <c r="I63" s="155">
        <f t="shared" si="0"/>
        <v>0</v>
      </c>
      <c r="J63" s="156">
        <f t="shared" si="1"/>
        <v>0</v>
      </c>
      <c r="K63" s="155">
        <f t="shared" si="2"/>
        <v>0</v>
      </c>
      <c r="L63" s="155" t="str">
        <f>IF(AND('Summary Sheet'!$E$23="No",$H$33&gt;0,H63&gt;=1),"",IF(AND('Summary Sheet'!$E$23="Yes",H63&lt;&gt;""),H63*'Summary Sheet'!$G$23,""))</f>
        <v/>
      </c>
      <c r="M63" s="154"/>
      <c r="N63" s="155">
        <f>SUM('Pay App 1:Pay App 3'!L63)+SUM('Pay App 1:Pay App 3'!M63)</f>
        <v>0</v>
      </c>
    </row>
    <row r="64" spans="1:16" ht="11.25" customHeight="1" x14ac:dyDescent="0.25">
      <c r="A64" s="152">
        <v>8</v>
      </c>
      <c r="B64" s="174" t="str">
        <f>'Pay App 1'!B64</f>
        <v>01 32 00</v>
      </c>
      <c r="C64" s="179" t="str">
        <f>'Pay App 1'!C64</f>
        <v>General Liability Insurance</v>
      </c>
      <c r="D64" s="155">
        <f>'Pay App 1'!D64</f>
        <v>0</v>
      </c>
      <c r="E64" s="155">
        <f>VLOOKUP(B64,'Graph Data'!$O$2:$BX$88,5,FALSE)</f>
        <v>0</v>
      </c>
      <c r="F64" s="155">
        <f>IFERROR(E64+'Pay App 2'!F64,"")</f>
        <v>0</v>
      </c>
      <c r="G64" s="155">
        <f>SUM('Pay App 1:Pay App 2'!H64)</f>
        <v>0</v>
      </c>
      <c r="H64" s="154"/>
      <c r="I64" s="155">
        <f t="shared" si="0"/>
        <v>0</v>
      </c>
      <c r="J64" s="156">
        <f t="shared" si="1"/>
        <v>0</v>
      </c>
      <c r="K64" s="155">
        <f t="shared" si="2"/>
        <v>0</v>
      </c>
      <c r="L64" s="155" t="str">
        <f>IF(AND('Summary Sheet'!$E$23="No",$H$33&gt;0,H64&gt;=1),"",IF(AND('Summary Sheet'!$E$23="Yes",H64&lt;&gt;""),H64*'Summary Sheet'!$G$23,""))</f>
        <v/>
      </c>
      <c r="M64" s="154"/>
      <c r="N64" s="155">
        <f>SUM('Pay App 1:Pay App 3'!L64)+SUM('Pay App 1:Pay App 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Data'!$O$2:$BX$88,5,FALSE)</f>
        <v>0</v>
      </c>
      <c r="F65" s="155">
        <f>IFERROR(E65+'Pay App 2'!F65,"")</f>
        <v>0</v>
      </c>
      <c r="G65" s="155">
        <f>SUM('Pay App 1:Pay App 2'!H65)</f>
        <v>0</v>
      </c>
      <c r="H65" s="154"/>
      <c r="I65" s="155">
        <f t="shared" si="0"/>
        <v>0</v>
      </c>
      <c r="J65" s="156">
        <f t="shared" si="1"/>
        <v>0</v>
      </c>
      <c r="K65" s="155">
        <f t="shared" si="2"/>
        <v>0</v>
      </c>
      <c r="L65" s="155" t="str">
        <f>IF(AND('Summary Sheet'!$E$23="No",$H$33&gt;0,H65&gt;=1),"",IF(AND('Summary Sheet'!$E$23="Yes",H65&lt;&gt;""),H65*'Summary Sheet'!$G$23,""))</f>
        <v/>
      </c>
      <c r="M65" s="154"/>
      <c r="N65" s="155">
        <f>SUM('Pay App 1:Pay App 3'!L65)+SUM('Pay App 1:Pay App 3'!M65)</f>
        <v>0</v>
      </c>
    </row>
    <row r="66" spans="1:17" ht="11.25" customHeight="1" x14ac:dyDescent="0.25">
      <c r="A66" s="152">
        <v>10</v>
      </c>
      <c r="B66" s="174" t="str">
        <f>'Pay App 1'!B66</f>
        <v>01 34 00</v>
      </c>
      <c r="C66" s="179" t="str">
        <f>'Pay App 1'!C66</f>
        <v>Subcontractor Default Insurance</v>
      </c>
      <c r="D66" s="155">
        <f>'Pay App 1'!D66</f>
        <v>0</v>
      </c>
      <c r="E66" s="155">
        <f>VLOOKUP(B66,'Graph Data'!$O$2:$BX$88,5,FALSE)</f>
        <v>0</v>
      </c>
      <c r="F66" s="155">
        <f>IFERROR(E66+'Pay App 2'!F66,"")</f>
        <v>0</v>
      </c>
      <c r="G66" s="155">
        <f>SUM('Pay App 1:Pay App 2'!H66)</f>
        <v>0</v>
      </c>
      <c r="H66" s="154"/>
      <c r="I66" s="155">
        <f t="shared" si="0"/>
        <v>0</v>
      </c>
      <c r="J66" s="156">
        <f t="shared" si="1"/>
        <v>0</v>
      </c>
      <c r="K66" s="155">
        <f t="shared" si="2"/>
        <v>0</v>
      </c>
      <c r="L66" s="155" t="str">
        <f>IF(AND('Summary Sheet'!$E$23="No",$H$33&gt;0,H66&gt;=1),"",IF(AND('Summary Sheet'!$E$23="Yes",H66&lt;&gt;""),H66*'Summary Sheet'!$G$23,""))</f>
        <v/>
      </c>
      <c r="M66" s="154"/>
      <c r="N66" s="155">
        <f>SUM('Pay App 1:Pay App 3'!L66)+SUM('Pay App 1:Pay App 3'!M66)</f>
        <v>0</v>
      </c>
    </row>
    <row r="67" spans="1:17" ht="11.25" customHeight="1" x14ac:dyDescent="0.25">
      <c r="A67" s="152">
        <v>11</v>
      </c>
      <c r="B67" s="174" t="str">
        <f>'Pay App 1'!B67</f>
        <v>01 35 00</v>
      </c>
      <c r="C67" s="179" t="str">
        <f>'Pay App 1'!C67</f>
        <v>Construction Management Fee</v>
      </c>
      <c r="D67" s="155">
        <f>'Pay App 1'!D67</f>
        <v>0</v>
      </c>
      <c r="E67" s="155">
        <f>VLOOKUP(B67,'Graph Data'!$O$2:$BX$88,5,FALSE)</f>
        <v>0</v>
      </c>
      <c r="F67" s="155">
        <f>IFERROR(E67+'Pay App 2'!F67,"")</f>
        <v>0</v>
      </c>
      <c r="G67" s="155">
        <f>SUM('Pay App 1:Pay App 2'!H67)</f>
        <v>0</v>
      </c>
      <c r="H67" s="154"/>
      <c r="I67" s="155">
        <f t="shared" si="0"/>
        <v>0</v>
      </c>
      <c r="J67" s="156">
        <f t="shared" si="1"/>
        <v>0</v>
      </c>
      <c r="K67" s="155">
        <f t="shared" si="2"/>
        <v>0</v>
      </c>
      <c r="L67" s="155" t="str">
        <f>IF(AND('Summary Sheet'!$E$23="No",$H$33&gt;0,H67&gt;=1),"",IF(AND('Summary Sheet'!$E$23="Yes",H67&lt;&gt;""),H67*'Summary Sheet'!$G$23,""))</f>
        <v/>
      </c>
      <c r="M67" s="154"/>
      <c r="N67" s="155">
        <f>SUM('Pay App 1:Pay App 3'!L67)+SUM('Pay App 1:Pay App 3'!M67)</f>
        <v>0</v>
      </c>
    </row>
    <row r="68" spans="1:17" ht="11.25" customHeight="1" x14ac:dyDescent="0.25">
      <c r="A68" s="152">
        <v>12</v>
      </c>
      <c r="B68" s="174" t="str">
        <f>'Pay App 1'!B68</f>
        <v>01 36 00</v>
      </c>
      <c r="C68" s="179" t="str">
        <f>'Pay App 1'!C68</f>
        <v>Contingency</v>
      </c>
      <c r="D68" s="155">
        <f>'Pay App 1'!D68</f>
        <v>0</v>
      </c>
      <c r="E68" s="155">
        <f>VLOOKUP(B68,'Graph Data'!$O$2:$BX$88,5,FALSE)</f>
        <v>0</v>
      </c>
      <c r="F68" s="155">
        <f>IFERROR(E68+'Pay App 2'!F68,"")</f>
        <v>0</v>
      </c>
      <c r="G68" s="155">
        <f>SUM('Pay App 1:Pay App 2'!H68)</f>
        <v>0</v>
      </c>
      <c r="H68" s="154"/>
      <c r="I68" s="155">
        <f t="shared" si="0"/>
        <v>0</v>
      </c>
      <c r="J68" s="156">
        <f t="shared" si="1"/>
        <v>0</v>
      </c>
      <c r="K68" s="155">
        <f t="shared" si="2"/>
        <v>0</v>
      </c>
      <c r="L68" s="155" t="str">
        <f>IF(AND('Summary Sheet'!$E$23="No",$H$33&gt;0,H68&gt;=1),"",IF(AND('Summary Sheet'!$E$23="Yes",H68&lt;&gt;""),H68*'Summary Sheet'!$G$23,""))</f>
        <v/>
      </c>
      <c r="M68" s="154"/>
      <c r="N68" s="155">
        <f>SUM('Pay App 1:Pay App 3'!L68)+SUM('Pay App 1:Pay App 3'!M68)</f>
        <v>0</v>
      </c>
    </row>
    <row r="69" spans="1:17" ht="11.25" customHeight="1" x14ac:dyDescent="0.25">
      <c r="A69" s="152">
        <v>13</v>
      </c>
      <c r="B69" s="174" t="str">
        <f>'Pay App 1'!B69</f>
        <v>01 37 00</v>
      </c>
      <c r="C69" s="179" t="str">
        <f>'Pay App 1'!C69</f>
        <v>Weather Allowance (All Trades)</v>
      </c>
      <c r="D69" s="155">
        <f>'Pay App 1'!D69</f>
        <v>0</v>
      </c>
      <c r="E69" s="155">
        <f>VLOOKUP(B69,'Graph Data'!$O$2:$BX$88,5,FALSE)</f>
        <v>0</v>
      </c>
      <c r="F69" s="155">
        <f>IFERROR(E69+'Pay App 2'!F69,"")</f>
        <v>0</v>
      </c>
      <c r="G69" s="155">
        <f>SUM('Pay App 1:Pay App 2'!H69)</f>
        <v>0</v>
      </c>
      <c r="H69" s="154"/>
      <c r="I69" s="155">
        <f t="shared" si="0"/>
        <v>0</v>
      </c>
      <c r="J69" s="156">
        <f t="shared" si="1"/>
        <v>0</v>
      </c>
      <c r="K69" s="155">
        <f t="shared" si="2"/>
        <v>0</v>
      </c>
      <c r="L69" s="155" t="str">
        <f>IF(AND('Summary Sheet'!$E$23="No",$H$33&gt;0,H69&gt;=1),"",IF(AND('Summary Sheet'!$E$23="Yes",H69&lt;&gt;""),H69*'Summary Sheet'!$G$23,""))</f>
        <v/>
      </c>
      <c r="M69" s="154"/>
      <c r="N69" s="155">
        <f>SUM('Pay App 1:Pay App 3'!L69)+SUM('Pay App 1:Pay App 3'!M69)</f>
        <v>0</v>
      </c>
    </row>
    <row r="70" spans="1:17" ht="11.25" customHeight="1" x14ac:dyDescent="0.25">
      <c r="A70" s="152">
        <v>14</v>
      </c>
      <c r="B70" s="174" t="str">
        <f>'Pay App 1'!B70</f>
        <v>01 74 23</v>
      </c>
      <c r="C70" s="179" t="str">
        <f>'Pay App 1'!C70</f>
        <v>Cleaning (Final)</v>
      </c>
      <c r="D70" s="155">
        <f>'Pay App 1'!D70</f>
        <v>0</v>
      </c>
      <c r="E70" s="155">
        <f>VLOOKUP(B70,'Graph Data'!$O$2:$BX$88,5,FALSE)</f>
        <v>0</v>
      </c>
      <c r="F70" s="155">
        <f>IFERROR(E70+'Pay App 2'!F70,"")</f>
        <v>0</v>
      </c>
      <c r="G70" s="155">
        <f>SUM('Pay App 1:Pay App 2'!H70)</f>
        <v>0</v>
      </c>
      <c r="H70" s="154"/>
      <c r="I70" s="155">
        <f t="shared" si="0"/>
        <v>0</v>
      </c>
      <c r="J70" s="156">
        <f t="shared" si="1"/>
        <v>0</v>
      </c>
      <c r="K70" s="155">
        <f t="shared" si="2"/>
        <v>0</v>
      </c>
      <c r="L70" s="155" t="str">
        <f>IF(AND('Summary Sheet'!$E$23="No",$H$33&gt;0,H70&gt;=1),"",IF(AND('Summary Sheet'!$E$23="Yes",H70&lt;&gt;""),H70*'Summary Sheet'!$G$23,""))</f>
        <v/>
      </c>
      <c r="M70" s="154"/>
      <c r="N70" s="155">
        <f>SUM('Pay App 1:Pay App 3'!L70)+SUM('Pay App 1:Pay App 3'!M70)</f>
        <v>0</v>
      </c>
    </row>
    <row r="71" spans="1:17" ht="11.25" customHeight="1" x14ac:dyDescent="0.25">
      <c r="A71" s="152">
        <v>15</v>
      </c>
      <c r="B71" s="175" t="str">
        <f>'Pay App 1'!B71</f>
        <v>02 21 00</v>
      </c>
      <c r="C71" s="180" t="str">
        <f>'Pay App 1'!C71</f>
        <v>Survey/Engineering</v>
      </c>
      <c r="D71" s="155">
        <f>'Pay App 1'!D71</f>
        <v>0</v>
      </c>
      <c r="E71" s="155">
        <f>VLOOKUP(B71,'Graph Data'!$O$2:$BX$88,5,FALSE)</f>
        <v>0</v>
      </c>
      <c r="F71" s="155">
        <f>IFERROR(E71+'Pay App 2'!F71,"")</f>
        <v>0</v>
      </c>
      <c r="G71" s="155">
        <f>SUM('Pay App 1:Pay App 2'!H71)</f>
        <v>0</v>
      </c>
      <c r="H71" s="154"/>
      <c r="I71" s="155">
        <f t="shared" si="0"/>
        <v>0</v>
      </c>
      <c r="J71" s="156">
        <f t="shared" si="1"/>
        <v>0</v>
      </c>
      <c r="K71" s="155">
        <f t="shared" si="2"/>
        <v>0</v>
      </c>
      <c r="L71" s="155" t="str">
        <f>IF(AND('Summary Sheet'!$E$23="No",$H$33&gt;0,H71&gt;=1),"",IF(AND('Summary Sheet'!$E$23="Yes",H71&lt;&gt;""),H71*'Summary Sheet'!$G$23,""))</f>
        <v/>
      </c>
      <c r="M71" s="154"/>
      <c r="N71" s="155">
        <f>SUM('Pay App 1:Pay App 3'!L71)+SUM('Pay App 1:Pay App 3'!M71)</f>
        <v>0</v>
      </c>
      <c r="Q71" s="28"/>
    </row>
    <row r="72" spans="1:17" ht="11.25" customHeight="1" x14ac:dyDescent="0.25">
      <c r="A72" s="152">
        <v>16</v>
      </c>
      <c r="B72" s="175" t="str">
        <f>'Pay App 1'!B72</f>
        <v>02 41 00</v>
      </c>
      <c r="C72" s="180" t="str">
        <f>'Pay App 1'!C72</f>
        <v>Demolition</v>
      </c>
      <c r="D72" s="155">
        <f>'Pay App 1'!D72</f>
        <v>0</v>
      </c>
      <c r="E72" s="155">
        <f>VLOOKUP(B72,'Graph Data'!$O$2:$BX$88,5,FALSE)</f>
        <v>0</v>
      </c>
      <c r="F72" s="155">
        <f>IFERROR(E72+'Pay App 2'!F72,"")</f>
        <v>0</v>
      </c>
      <c r="G72" s="155">
        <f>SUM('Pay App 1:Pay App 2'!H72)</f>
        <v>0</v>
      </c>
      <c r="H72" s="154"/>
      <c r="I72" s="155">
        <f t="shared" si="0"/>
        <v>0</v>
      </c>
      <c r="J72" s="156">
        <f t="shared" si="1"/>
        <v>0</v>
      </c>
      <c r="K72" s="155">
        <f t="shared" si="2"/>
        <v>0</v>
      </c>
      <c r="L72" s="155" t="str">
        <f>IF(AND('Summary Sheet'!$E$23="No",$H$33&gt;0,H72&gt;=1),"",IF(AND('Summary Sheet'!$E$23="Yes",H72&lt;&gt;""),H72*'Summary Sheet'!$G$23,""))</f>
        <v/>
      </c>
      <c r="M72" s="154"/>
      <c r="N72" s="155">
        <f>SUM('Pay App 1:Pay App 3'!L72)+SUM('Pay App 1:Pay App 3'!M72)</f>
        <v>0</v>
      </c>
      <c r="Q72" s="28"/>
    </row>
    <row r="73" spans="1:17" ht="11.25" customHeight="1" x14ac:dyDescent="0.25">
      <c r="A73" s="152">
        <v>17</v>
      </c>
      <c r="B73" s="175" t="str">
        <f>'Pay App 1'!B73</f>
        <v>02 82 00</v>
      </c>
      <c r="C73" s="180" t="str">
        <f>'Pay App 1'!C73</f>
        <v>Asbestos Abatement</v>
      </c>
      <c r="D73" s="155">
        <f>'Pay App 1'!D73</f>
        <v>0</v>
      </c>
      <c r="E73" s="155">
        <f>VLOOKUP(B73,'Graph Data'!$O$2:$BX$88,5,FALSE)</f>
        <v>0</v>
      </c>
      <c r="F73" s="155">
        <f>IFERROR(E73+'Pay App 2'!F73,"")</f>
        <v>0</v>
      </c>
      <c r="G73" s="155">
        <f>SUM('Pay App 1:Pay App 2'!H73)</f>
        <v>0</v>
      </c>
      <c r="H73" s="154"/>
      <c r="I73" s="155">
        <f t="shared" si="0"/>
        <v>0</v>
      </c>
      <c r="J73" s="156">
        <f t="shared" si="1"/>
        <v>0</v>
      </c>
      <c r="K73" s="155">
        <f t="shared" si="2"/>
        <v>0</v>
      </c>
      <c r="L73" s="155" t="str">
        <f>IF(AND('Summary Sheet'!$E$23="No",$H$33&gt;0,H73&gt;=1),"",IF(AND('Summary Sheet'!$E$23="Yes",H73&lt;&gt;""),H73*'Summary Sheet'!$G$23,""))</f>
        <v/>
      </c>
      <c r="M73" s="154"/>
      <c r="N73" s="155">
        <f>SUM('Pay App 1:Pay App 3'!L73)+SUM('Pay App 1:Pay App 3'!M73)</f>
        <v>0</v>
      </c>
    </row>
    <row r="74" spans="1:17" ht="11.25" customHeight="1" x14ac:dyDescent="0.25">
      <c r="A74" s="152">
        <v>18</v>
      </c>
      <c r="B74" s="176" t="str">
        <f>'Pay App 1'!B74</f>
        <v>03 00 00</v>
      </c>
      <c r="C74" s="181" t="str">
        <f>'Pay App 1'!C74</f>
        <v>Building Concrete</v>
      </c>
      <c r="D74" s="155">
        <f>'Pay App 1'!D74</f>
        <v>0</v>
      </c>
      <c r="E74" s="155">
        <f>VLOOKUP(B74,'Graph Data'!$O$2:$BX$88,5,FALSE)</f>
        <v>0</v>
      </c>
      <c r="F74" s="155">
        <f>IFERROR(E74+'Pay App 2'!F74,"")</f>
        <v>0</v>
      </c>
      <c r="G74" s="155">
        <f>SUM('Pay App 1:Pay App 2'!H74)</f>
        <v>0</v>
      </c>
      <c r="H74" s="154"/>
      <c r="I74" s="155">
        <f t="shared" si="0"/>
        <v>0</v>
      </c>
      <c r="J74" s="156">
        <f t="shared" si="1"/>
        <v>0</v>
      </c>
      <c r="K74" s="155">
        <f t="shared" si="2"/>
        <v>0</v>
      </c>
      <c r="L74" s="155" t="str">
        <f>IF(AND('Summary Sheet'!$E$23="No",$H$33&gt;0,H74&gt;=1),"",IF(AND('Summary Sheet'!$E$23="Yes",H74&lt;&gt;""),H74*'Summary Sheet'!$G$23,""))</f>
        <v/>
      </c>
      <c r="M74" s="154"/>
      <c r="N74" s="155">
        <f>SUM('Pay App 1:Pay App 3'!L74)+SUM('Pay App 1:Pay App 3'!M74)</f>
        <v>0</v>
      </c>
    </row>
    <row r="75" spans="1:17" ht="11.25" customHeight="1" x14ac:dyDescent="0.25">
      <c r="A75" s="152">
        <v>19</v>
      </c>
      <c r="B75" s="176" t="str">
        <f>'Pay App 1'!B75</f>
        <v>03 20 00</v>
      </c>
      <c r="C75" s="181" t="str">
        <f>'Pay App 1'!C75</f>
        <v>Building Concrete Reinforcing</v>
      </c>
      <c r="D75" s="155">
        <f>'Pay App 1'!D75</f>
        <v>0</v>
      </c>
      <c r="E75" s="155">
        <f>VLOOKUP(B75,'Graph Data'!$O$2:$BX$88,5,FALSE)</f>
        <v>0</v>
      </c>
      <c r="F75" s="155">
        <f>IFERROR(E75+'Pay App 2'!F75,"")</f>
        <v>0</v>
      </c>
      <c r="G75" s="155">
        <f>SUM('Pay App 1:Pay App 2'!H75)</f>
        <v>0</v>
      </c>
      <c r="H75" s="154"/>
      <c r="I75" s="155">
        <f t="shared" si="0"/>
        <v>0</v>
      </c>
      <c r="J75" s="156">
        <f t="shared" si="1"/>
        <v>0</v>
      </c>
      <c r="K75" s="155">
        <f t="shared" si="2"/>
        <v>0</v>
      </c>
      <c r="L75" s="155" t="str">
        <f>IF(AND('Summary Sheet'!$E$23="No",$H$33&gt;0,H75&gt;=1),"",IF(AND('Summary Sheet'!$E$23="Yes",H75&lt;&gt;""),H75*'Summary Sheet'!$G$23,""))</f>
        <v/>
      </c>
      <c r="M75" s="154"/>
      <c r="N75" s="155">
        <f>SUM('Pay App 1:Pay App 3'!L75)+SUM('Pay App 1:Pay App 3'!M75)</f>
        <v>0</v>
      </c>
    </row>
    <row r="76" spans="1:17" ht="11.25" customHeight="1" x14ac:dyDescent="0.25">
      <c r="A76" s="152">
        <v>20</v>
      </c>
      <c r="B76" s="176" t="str">
        <f>'Pay App 1'!B76</f>
        <v>03 40 00</v>
      </c>
      <c r="C76" s="181" t="str">
        <f>'Pay App 1'!C76</f>
        <v>Precast</v>
      </c>
      <c r="D76" s="155">
        <f>'Pay App 1'!D76</f>
        <v>0</v>
      </c>
      <c r="E76" s="155">
        <f>VLOOKUP(B76,'Graph Data'!$O$2:$BX$88,5,FALSE)</f>
        <v>0</v>
      </c>
      <c r="F76" s="155">
        <f>IFERROR(E76+'Pay App 2'!F76,"")</f>
        <v>0</v>
      </c>
      <c r="G76" s="155">
        <f>SUM('Pay App 1:Pay App 2'!H76)</f>
        <v>0</v>
      </c>
      <c r="H76" s="154"/>
      <c r="I76" s="155">
        <f t="shared" si="0"/>
        <v>0</v>
      </c>
      <c r="J76" s="156">
        <f t="shared" si="1"/>
        <v>0</v>
      </c>
      <c r="K76" s="155">
        <f t="shared" si="2"/>
        <v>0</v>
      </c>
      <c r="L76" s="155" t="str">
        <f>IF(AND('Summary Sheet'!$E$23="No",$H$33&gt;0,H76&gt;=1),"",IF(AND('Summary Sheet'!$E$23="Yes",H76&lt;&gt;""),H76*'Summary Sheet'!$G$23,""))</f>
        <v/>
      </c>
      <c r="M76" s="154"/>
      <c r="N76" s="155">
        <f>SUM('Pay App 1:Pay App 3'!L76)+SUM('Pay App 1:Pay App 3'!M76)</f>
        <v>0</v>
      </c>
    </row>
    <row r="77" spans="1:17" ht="11.25" customHeight="1" x14ac:dyDescent="0.25">
      <c r="A77" s="152">
        <v>21</v>
      </c>
      <c r="B77" s="177" t="str">
        <f>'Pay App 1'!B77</f>
        <v>04 00 00</v>
      </c>
      <c r="C77" s="182" t="str">
        <f>'Pay App 1'!C77</f>
        <v>Masonry</v>
      </c>
      <c r="D77" s="155">
        <f>'Pay App 1'!D77</f>
        <v>0</v>
      </c>
      <c r="E77" s="155">
        <f>VLOOKUP(B77,'Graph Data'!$O$2:$BX$88,5,FALSE)</f>
        <v>0</v>
      </c>
      <c r="F77" s="155">
        <f>IFERROR(E77+'Pay App 2'!F77,"")</f>
        <v>0</v>
      </c>
      <c r="G77" s="155">
        <f>SUM('Pay App 1:Pay App 2'!H77)</f>
        <v>0</v>
      </c>
      <c r="H77" s="154"/>
      <c r="I77" s="155">
        <f t="shared" si="0"/>
        <v>0</v>
      </c>
      <c r="J77" s="156">
        <f t="shared" si="1"/>
        <v>0</v>
      </c>
      <c r="K77" s="155">
        <f t="shared" si="2"/>
        <v>0</v>
      </c>
      <c r="L77" s="155" t="str">
        <f>IF(AND('Summary Sheet'!$E$23="No",$H$33&gt;0,H77&gt;=1),"",IF(AND('Summary Sheet'!$E$23="Yes",H77&lt;&gt;""),H77*'Summary Sheet'!$G$23,""))</f>
        <v/>
      </c>
      <c r="M77" s="154"/>
      <c r="N77" s="155">
        <f>SUM('Pay App 1:Pay App 3'!L77)+SUM('Pay App 1:Pay App 3'!M77)</f>
        <v>0</v>
      </c>
    </row>
    <row r="78" spans="1:17" ht="11.25" customHeight="1" x14ac:dyDescent="0.25">
      <c r="A78" s="152">
        <v>22</v>
      </c>
      <c r="B78" s="177" t="str">
        <f>'Pay App 1'!B78</f>
        <v>04 05 19</v>
      </c>
      <c r="C78" s="182" t="str">
        <f>'Pay App 1'!C78</f>
        <v>Masonry Reinforcing</v>
      </c>
      <c r="D78" s="155">
        <f>'Pay App 1'!D78</f>
        <v>0</v>
      </c>
      <c r="E78" s="155">
        <f>VLOOKUP(B78,'Graph Data'!$O$2:$BX$88,5,FALSE)</f>
        <v>0</v>
      </c>
      <c r="F78" s="155">
        <f>IFERROR(E78+'Pay App 2'!F78,"")</f>
        <v>0</v>
      </c>
      <c r="G78" s="155">
        <f>SUM('Pay App 1:Pay App 2'!H78)</f>
        <v>0</v>
      </c>
      <c r="H78" s="154"/>
      <c r="I78" s="155">
        <f t="shared" si="0"/>
        <v>0</v>
      </c>
      <c r="J78" s="156">
        <f t="shared" si="1"/>
        <v>0</v>
      </c>
      <c r="K78" s="155">
        <f t="shared" si="2"/>
        <v>0</v>
      </c>
      <c r="L78" s="155" t="str">
        <f>IF(AND('Summary Sheet'!$E$23="No",$H$33&gt;0,H78&gt;=1),"",IF(AND('Summary Sheet'!$E$23="Yes",H78&lt;&gt;""),H78*'Summary Sheet'!$G$23,""))</f>
        <v/>
      </c>
      <c r="M78" s="154"/>
      <c r="N78" s="155">
        <f>SUM('Pay App 1:Pay App 3'!L78)+SUM('Pay App 1:Pay App 3'!M78)</f>
        <v>0</v>
      </c>
    </row>
    <row r="79" spans="1:17" ht="11.25" customHeight="1" x14ac:dyDescent="0.25">
      <c r="A79" s="152">
        <v>23</v>
      </c>
      <c r="B79" s="178" t="str">
        <f>'Pay App 1'!B79</f>
        <v>05 10 00</v>
      </c>
      <c r="C79" s="183" t="str">
        <f>'Pay App 1'!C79</f>
        <v>Structural Steel/Misc. Steel Fab</v>
      </c>
      <c r="D79" s="155">
        <f>'Pay App 1'!D79</f>
        <v>0</v>
      </c>
      <c r="E79" s="155">
        <f>VLOOKUP(B79,'Graph Data'!$O$2:$BX$88,5,FALSE)</f>
        <v>0</v>
      </c>
      <c r="F79" s="155">
        <f>IFERROR(E79+'Pay App 2'!F79,"")</f>
        <v>0</v>
      </c>
      <c r="G79" s="155">
        <f>SUM('Pay App 1:Pay App 2'!H79)</f>
        <v>0</v>
      </c>
      <c r="H79" s="154"/>
      <c r="I79" s="155">
        <f t="shared" si="0"/>
        <v>0</v>
      </c>
      <c r="J79" s="156">
        <f t="shared" si="1"/>
        <v>0</v>
      </c>
      <c r="K79" s="155">
        <f t="shared" si="2"/>
        <v>0</v>
      </c>
      <c r="L79" s="155" t="str">
        <f>IF(AND('Summary Sheet'!$E$23="No",$H$33&gt;0,H79&gt;=1),"",IF(AND('Summary Sheet'!$E$23="Yes",H79&lt;&gt;""),H79*'Summary Sheet'!$G$23,""))</f>
        <v/>
      </c>
      <c r="M79" s="154"/>
      <c r="N79" s="155">
        <f>SUM('Pay App 1:Pay App 3'!L79)+SUM('Pay App 1:Pay App 3'!M79)</f>
        <v>0</v>
      </c>
    </row>
    <row r="80" spans="1:17" ht="11.25" customHeight="1" x14ac:dyDescent="0.25">
      <c r="A80" s="152">
        <v>24</v>
      </c>
      <c r="B80" s="178" t="str">
        <f>'Pay App 1'!B80</f>
        <v>05 20 00</v>
      </c>
      <c r="C80" s="183" t="str">
        <f>'Pay App 1'!C80</f>
        <v>Joists &amp; Deck</v>
      </c>
      <c r="D80" s="155">
        <f>'Pay App 1'!D80</f>
        <v>0</v>
      </c>
      <c r="E80" s="155">
        <f>VLOOKUP(B80,'Graph Data'!$O$2:$BX$88,5,FALSE)</f>
        <v>0</v>
      </c>
      <c r="F80" s="155">
        <f>IFERROR(E80+'Pay App 2'!F80,"")</f>
        <v>0</v>
      </c>
      <c r="G80" s="155">
        <f>SUM('Pay App 1:Pay App 2'!H80)</f>
        <v>0</v>
      </c>
      <c r="H80" s="154"/>
      <c r="I80" s="155">
        <f t="shared" si="0"/>
        <v>0</v>
      </c>
      <c r="J80" s="156">
        <f t="shared" si="1"/>
        <v>0</v>
      </c>
      <c r="K80" s="155">
        <f t="shared" si="2"/>
        <v>0</v>
      </c>
      <c r="L80" s="155" t="str">
        <f>IF(AND('Summary Sheet'!$E$23="No",$H$33&gt;0,H80&gt;=1),"",IF(AND('Summary Sheet'!$E$23="Yes",H80&lt;&gt;""),H80*'Summary Sheet'!$G$23,""))</f>
        <v/>
      </c>
      <c r="M80" s="154"/>
      <c r="N80" s="155">
        <f>SUM('Pay App 1:Pay App 3'!L80)+SUM('Pay App 1:Pay App 3'!M80)</f>
        <v>0</v>
      </c>
    </row>
    <row r="81" spans="1:14" ht="11.25" customHeight="1" x14ac:dyDescent="0.25">
      <c r="A81" s="152">
        <v>25</v>
      </c>
      <c r="B81" s="178" t="str">
        <f>'Pay App 1'!B81</f>
        <v>05 70 00</v>
      </c>
      <c r="C81" s="183" t="str">
        <f>'Pay App 1'!C81</f>
        <v>Ornamental Metal</v>
      </c>
      <c r="D81" s="155">
        <f>'Pay App 1'!D81</f>
        <v>0</v>
      </c>
      <c r="E81" s="155">
        <f>VLOOKUP(B81,'Graph Data'!$O$2:$BX$88,5,FALSE)</f>
        <v>0</v>
      </c>
      <c r="F81" s="155">
        <f>IFERROR(E81+'Pay App 2'!F81,"")</f>
        <v>0</v>
      </c>
      <c r="G81" s="155">
        <f>SUM('Pay App 1:Pay App 2'!H81)</f>
        <v>0</v>
      </c>
      <c r="H81" s="154"/>
      <c r="I81" s="155">
        <f t="shared" si="0"/>
        <v>0</v>
      </c>
      <c r="J81" s="156">
        <f t="shared" si="1"/>
        <v>0</v>
      </c>
      <c r="K81" s="155">
        <f t="shared" si="2"/>
        <v>0</v>
      </c>
      <c r="L81" s="155" t="str">
        <f>IF(AND('Summary Sheet'!$E$23="No",$H$33&gt;0,H81&gt;=1),"",IF(AND('Summary Sheet'!$E$23="Yes",H81&lt;&gt;""),H81*'Summary Sheet'!$G$23,""))</f>
        <v/>
      </c>
      <c r="M81" s="154"/>
      <c r="N81" s="155">
        <f>SUM('Pay App 1:Pay App 3'!L81)+SUM('Pay App 1:Pay App 3'!M81)</f>
        <v>0</v>
      </c>
    </row>
    <row r="82" spans="1:14" ht="11.25" customHeight="1" x14ac:dyDescent="0.25">
      <c r="A82" s="152">
        <v>26</v>
      </c>
      <c r="B82" s="145" t="str">
        <f>'Pay App 1'!B82</f>
        <v>06 10 00</v>
      </c>
      <c r="C82" s="134" t="str">
        <f>'Pay App 1'!C82</f>
        <v>Rough Carpentry</v>
      </c>
      <c r="D82" s="155">
        <f>'Pay App 1'!D82</f>
        <v>0</v>
      </c>
      <c r="E82" s="155">
        <f>VLOOKUP(B82,'Graph Data'!$O$2:$BX$88,5,FALSE)</f>
        <v>0</v>
      </c>
      <c r="F82" s="155">
        <f>IFERROR(E82+'Pay App 2'!F82,"")</f>
        <v>0</v>
      </c>
      <c r="G82" s="155">
        <f>SUM('Pay App 1:Pay App 2'!H82)</f>
        <v>0</v>
      </c>
      <c r="H82" s="154"/>
      <c r="I82" s="155">
        <f t="shared" si="0"/>
        <v>0</v>
      </c>
      <c r="J82" s="156">
        <f t="shared" si="1"/>
        <v>0</v>
      </c>
      <c r="K82" s="155">
        <f t="shared" si="2"/>
        <v>0</v>
      </c>
      <c r="L82" s="155" t="str">
        <f>IF(AND('Summary Sheet'!$E$23="No",$H$33&gt;0,H82&gt;=1),"",IF(AND('Summary Sheet'!$E$23="Yes",H82&lt;&gt;""),H82*'Summary Sheet'!$G$23,""))</f>
        <v/>
      </c>
      <c r="M82" s="154"/>
      <c r="N82" s="155">
        <f>SUM('Pay App 1:Pay App 3'!L82)+SUM('Pay App 1:Pay App 3'!M82)</f>
        <v>0</v>
      </c>
    </row>
    <row r="83" spans="1:14" ht="11.25" customHeight="1" x14ac:dyDescent="0.25">
      <c r="A83" s="152">
        <v>27</v>
      </c>
      <c r="B83" s="145" t="str">
        <f>'Pay App 1'!B83</f>
        <v>06 40 00</v>
      </c>
      <c r="C83" s="134" t="str">
        <f>'Pay App 1'!C83</f>
        <v>Arch. Woodwork &amp; Finish Carp.</v>
      </c>
      <c r="D83" s="155">
        <f>'Pay App 1'!D83</f>
        <v>0</v>
      </c>
      <c r="E83" s="155">
        <f>VLOOKUP(B83,'Graph Data'!$O$2:$BX$88,5,FALSE)</f>
        <v>0</v>
      </c>
      <c r="F83" s="155">
        <f>IFERROR(E83+'Pay App 2'!F83,"")</f>
        <v>0</v>
      </c>
      <c r="G83" s="155">
        <f>SUM('Pay App 1:Pay App 2'!H83)</f>
        <v>0</v>
      </c>
      <c r="H83" s="154"/>
      <c r="I83" s="155">
        <f t="shared" si="0"/>
        <v>0</v>
      </c>
      <c r="J83" s="156">
        <f t="shared" si="1"/>
        <v>0</v>
      </c>
      <c r="K83" s="155">
        <f t="shared" si="2"/>
        <v>0</v>
      </c>
      <c r="L83" s="155" t="str">
        <f>IF(AND('Summary Sheet'!$E$23="No",$H$33&gt;0,H83&gt;=1),"",IF(AND('Summary Sheet'!$E$23="Yes",H83&lt;&gt;""),H83*'Summary Sheet'!$G$23,""))</f>
        <v/>
      </c>
      <c r="M83" s="154"/>
      <c r="N83" s="155">
        <f>SUM('Pay App 1:Pay App 3'!L83)+SUM('Pay App 1:Pay App 3'!M83)</f>
        <v>0</v>
      </c>
    </row>
    <row r="84" spans="1:14" ht="11.25" customHeight="1" x14ac:dyDescent="0.25">
      <c r="A84" s="152">
        <v>28</v>
      </c>
      <c r="B84" s="174" t="str">
        <f>'Pay App 1'!B84</f>
        <v>07 10 00</v>
      </c>
      <c r="C84" s="179" t="str">
        <f>'Pay App 1'!C84</f>
        <v>Waterproofing/Water Repellents</v>
      </c>
      <c r="D84" s="155">
        <f>'Pay App 1'!D84</f>
        <v>0</v>
      </c>
      <c r="E84" s="155">
        <f>VLOOKUP(B84,'Graph Data'!$O$2:$BX$88,5,FALSE)</f>
        <v>0</v>
      </c>
      <c r="F84" s="155">
        <f>IFERROR(E84+'Pay App 2'!F84,"")</f>
        <v>0</v>
      </c>
      <c r="G84" s="155">
        <f>SUM('Pay App 1:Pay App 2'!H84)</f>
        <v>0</v>
      </c>
      <c r="H84" s="154"/>
      <c r="I84" s="155">
        <f t="shared" si="0"/>
        <v>0</v>
      </c>
      <c r="J84" s="156">
        <f t="shared" si="1"/>
        <v>0</v>
      </c>
      <c r="K84" s="155">
        <f t="shared" si="2"/>
        <v>0</v>
      </c>
      <c r="L84" s="155" t="str">
        <f>IF(AND('Summary Sheet'!$E$23="No",$H$33&gt;0,H84&gt;=1),"",IF(AND('Summary Sheet'!$E$23="Yes",H84&lt;&gt;""),H84*'Summary Sheet'!$G$23,""))</f>
        <v/>
      </c>
      <c r="M84" s="154"/>
      <c r="N84" s="155">
        <f>SUM('Pay App 1:Pay App 3'!L84)+SUM('Pay App 1:Pay App 3'!M84)</f>
        <v>0</v>
      </c>
    </row>
    <row r="85" spans="1:14" ht="11.25" customHeight="1" x14ac:dyDescent="0.25">
      <c r="A85" s="152">
        <v>29</v>
      </c>
      <c r="B85" s="174" t="str">
        <f>'Pay App 1'!B85</f>
        <v>07 20 00</v>
      </c>
      <c r="C85" s="179" t="str">
        <f>'Pay App 1'!C85</f>
        <v>Insulation</v>
      </c>
      <c r="D85" s="155">
        <f>'Pay App 1'!D85</f>
        <v>0</v>
      </c>
      <c r="E85" s="155">
        <f>VLOOKUP(B85,'Graph Data'!$O$2:$BX$88,5,FALSE)</f>
        <v>0</v>
      </c>
      <c r="F85" s="155">
        <f>IFERROR(E85+'Pay App 2'!F85,"")</f>
        <v>0</v>
      </c>
      <c r="G85" s="155">
        <f>SUM('Pay App 1:Pay App 2'!H85)</f>
        <v>0</v>
      </c>
      <c r="H85" s="154"/>
      <c r="I85" s="155">
        <f t="shared" si="0"/>
        <v>0</v>
      </c>
      <c r="J85" s="156">
        <f t="shared" si="1"/>
        <v>0</v>
      </c>
      <c r="K85" s="155">
        <f t="shared" si="2"/>
        <v>0</v>
      </c>
      <c r="L85" s="155" t="str">
        <f>IF(AND('Summary Sheet'!$E$23="No",$H$33&gt;0,H85&gt;=1),"",IF(AND('Summary Sheet'!$E$23="Yes",H85&lt;&gt;""),H85*'Summary Sheet'!$G$23,""))</f>
        <v/>
      </c>
      <c r="M85" s="154"/>
      <c r="N85" s="155">
        <f>SUM('Pay App 1:Pay App 3'!L85)+SUM('Pay App 1:Pay App 3'!M85)</f>
        <v>0</v>
      </c>
    </row>
    <row r="86" spans="1:14" ht="11.25" customHeight="1" x14ac:dyDescent="0.25">
      <c r="A86" s="152">
        <v>30</v>
      </c>
      <c r="B86" s="174" t="str">
        <f>'Pay App 1'!B86</f>
        <v>07 24 00</v>
      </c>
      <c r="C86" s="179" t="str">
        <f>'Pay App 1'!C86</f>
        <v>EIFS</v>
      </c>
      <c r="D86" s="155">
        <f>'Pay App 1'!D86</f>
        <v>0</v>
      </c>
      <c r="E86" s="155">
        <f>VLOOKUP(B86,'Graph Data'!$O$2:$BX$88,5,FALSE)</f>
        <v>0</v>
      </c>
      <c r="F86" s="155">
        <f>IFERROR(E86+'Pay App 2'!F86,"")</f>
        <v>0</v>
      </c>
      <c r="G86" s="155">
        <f>SUM('Pay App 1:Pay App 2'!H86)</f>
        <v>0</v>
      </c>
      <c r="H86" s="154"/>
      <c r="I86" s="155">
        <f t="shared" si="0"/>
        <v>0</v>
      </c>
      <c r="J86" s="156">
        <f t="shared" si="1"/>
        <v>0</v>
      </c>
      <c r="K86" s="155">
        <f t="shared" si="2"/>
        <v>0</v>
      </c>
      <c r="L86" s="155" t="str">
        <f>IF(AND('Summary Sheet'!$E$23="No",$H$33&gt;0,H86&gt;=1),"",IF(AND('Summary Sheet'!$E$23="Yes",H86&lt;&gt;""),H86*'Summary Sheet'!$G$23,""))</f>
        <v/>
      </c>
      <c r="M86" s="154"/>
      <c r="N86" s="155">
        <f>SUM('Pay App 1:Pay App 3'!L86)+SUM('Pay App 1:Pay App 3'!M86)</f>
        <v>0</v>
      </c>
    </row>
    <row r="87" spans="1:14" ht="11.25" customHeight="1" x14ac:dyDescent="0.25">
      <c r="A87" s="152">
        <v>31</v>
      </c>
      <c r="B87" s="174" t="str">
        <f>'Pay App 1'!B87</f>
        <v>07 26 00</v>
      </c>
      <c r="C87" s="179" t="str">
        <f>'Pay App 1'!C87</f>
        <v>Vapor Retarders</v>
      </c>
      <c r="D87" s="155">
        <f>'Pay App 1'!D87</f>
        <v>0</v>
      </c>
      <c r="E87" s="155">
        <f>VLOOKUP(B87,'Graph Data'!$O$2:$BX$88,5,FALSE)</f>
        <v>0</v>
      </c>
      <c r="F87" s="155">
        <f>IFERROR(E87+'Pay App 2'!F87,"")</f>
        <v>0</v>
      </c>
      <c r="G87" s="155">
        <f>SUM('Pay App 1:Pay App 2'!H87)</f>
        <v>0</v>
      </c>
      <c r="H87" s="154"/>
      <c r="I87" s="155">
        <f t="shared" si="0"/>
        <v>0</v>
      </c>
      <c r="J87" s="156">
        <f t="shared" si="1"/>
        <v>0</v>
      </c>
      <c r="K87" s="155">
        <f t="shared" si="2"/>
        <v>0</v>
      </c>
      <c r="L87" s="155" t="str">
        <f>IF(AND('Summary Sheet'!$E$23="No",$H$33&gt;0,H87&gt;=1),"",IF(AND('Summary Sheet'!$E$23="Yes",H87&lt;&gt;""),H87*'Summary Sheet'!$G$23,""))</f>
        <v/>
      </c>
      <c r="M87" s="154"/>
      <c r="N87" s="155">
        <f>SUM('Pay App 1:Pay App 3'!L87)+SUM('Pay App 1:Pay App 3'!M87)</f>
        <v>0</v>
      </c>
    </row>
    <row r="88" spans="1:14" ht="11.25" customHeight="1" x14ac:dyDescent="0.25">
      <c r="A88" s="152">
        <v>32</v>
      </c>
      <c r="B88" s="174" t="str">
        <f>'Pay App 1'!B88</f>
        <v>07 41 00</v>
      </c>
      <c r="C88" s="179" t="str">
        <f>'Pay App 1'!C88</f>
        <v>Roofing</v>
      </c>
      <c r="D88" s="155">
        <f>'Pay App 1'!D88</f>
        <v>0</v>
      </c>
      <c r="E88" s="155">
        <f>VLOOKUP(B88,'Graph Data'!$O$2:$BX$88,5,FALSE)</f>
        <v>0</v>
      </c>
      <c r="F88" s="155">
        <f>IFERROR(E88+'Pay App 2'!F88,"")</f>
        <v>0</v>
      </c>
      <c r="G88" s="155">
        <f>SUM('Pay App 1:Pay App 2'!H88)</f>
        <v>0</v>
      </c>
      <c r="H88" s="154"/>
      <c r="I88" s="155">
        <f t="shared" si="0"/>
        <v>0</v>
      </c>
      <c r="J88" s="156">
        <f t="shared" si="1"/>
        <v>0</v>
      </c>
      <c r="K88" s="155">
        <f t="shared" si="2"/>
        <v>0</v>
      </c>
      <c r="L88" s="155" t="str">
        <f>IF(AND('Summary Sheet'!$E$23="No",$H$33&gt;0,H88&gt;=1),"",IF(AND('Summary Sheet'!$E$23="Yes",H88&lt;&gt;""),H88*'Summary Sheet'!$G$23,""))</f>
        <v/>
      </c>
      <c r="M88" s="154"/>
      <c r="N88" s="155">
        <f>SUM('Pay App 1:Pay App 3'!L88)+SUM('Pay App 1:Pay App 3'!M88)</f>
        <v>0</v>
      </c>
    </row>
    <row r="89" spans="1:14" ht="11.25" customHeight="1" x14ac:dyDescent="0.25">
      <c r="A89" s="152">
        <v>33</v>
      </c>
      <c r="B89" s="174" t="str">
        <f>'Pay App 1'!B89</f>
        <v>07 42 00</v>
      </c>
      <c r="C89" s="179" t="str">
        <f>'Pay App 1'!C89</f>
        <v>Metal Panels</v>
      </c>
      <c r="D89" s="155">
        <f>'Pay App 1'!D89</f>
        <v>0</v>
      </c>
      <c r="E89" s="155">
        <f>VLOOKUP(B89,'Graph Data'!$O$2:$BX$88,5,FALSE)</f>
        <v>0</v>
      </c>
      <c r="F89" s="155">
        <f>IFERROR(E89+'Pay App 2'!F89,"")</f>
        <v>0</v>
      </c>
      <c r="G89" s="155">
        <f>SUM('Pay App 1:Pay App 2'!H89)</f>
        <v>0</v>
      </c>
      <c r="H89" s="154"/>
      <c r="I89" s="155">
        <f t="shared" si="0"/>
        <v>0</v>
      </c>
      <c r="J89" s="156">
        <f t="shared" si="1"/>
        <v>0</v>
      </c>
      <c r="K89" s="155">
        <f t="shared" si="2"/>
        <v>0</v>
      </c>
      <c r="L89" s="155" t="str">
        <f>IF(AND('Summary Sheet'!$E$23="No",$H$33&gt;0,H89&gt;=1),"",IF(AND('Summary Sheet'!$E$23="Yes",H89&lt;&gt;""),H89*'Summary Sheet'!$G$23,""))</f>
        <v/>
      </c>
      <c r="M89" s="154"/>
      <c r="N89" s="155">
        <f>SUM('Pay App 1:Pay App 3'!L89)+SUM('Pay App 1:Pay App 3'!M89)</f>
        <v>0</v>
      </c>
    </row>
    <row r="90" spans="1:14" ht="11.25" customHeight="1" x14ac:dyDescent="0.25">
      <c r="A90" s="152">
        <v>34</v>
      </c>
      <c r="B90" s="174" t="str">
        <f>'Pay App 1'!B90</f>
        <v>07 60 00</v>
      </c>
      <c r="C90" s="179" t="str">
        <f>'Pay App 1'!C90</f>
        <v>Sheet Metal Flashing &amp; Trim</v>
      </c>
      <c r="D90" s="155">
        <f>'Pay App 1'!D90</f>
        <v>0</v>
      </c>
      <c r="E90" s="155">
        <f>VLOOKUP(B90,'Graph Data'!$O$2:$BX$88,5,FALSE)</f>
        <v>0</v>
      </c>
      <c r="F90" s="155">
        <f>IFERROR(E90+'Pay App 2'!F90,"")</f>
        <v>0</v>
      </c>
      <c r="G90" s="155">
        <f>SUM('Pay App 1:Pay App 2'!H90)</f>
        <v>0</v>
      </c>
      <c r="H90" s="154"/>
      <c r="I90" s="155">
        <f t="shared" si="0"/>
        <v>0</v>
      </c>
      <c r="J90" s="156">
        <f t="shared" si="1"/>
        <v>0</v>
      </c>
      <c r="K90" s="155">
        <f t="shared" si="2"/>
        <v>0</v>
      </c>
      <c r="L90" s="155" t="str">
        <f>IF(AND('Summary Sheet'!$E$23="No",$H$33&gt;0,H90&gt;=1),"",IF(AND('Summary Sheet'!$E$23="Yes",H90&lt;&gt;""),H90*'Summary Sheet'!$G$23,""))</f>
        <v/>
      </c>
      <c r="M90" s="154"/>
      <c r="N90" s="155">
        <f>SUM('Pay App 1:Pay App 3'!L90)+SUM('Pay App 1:Pay App 3'!M90)</f>
        <v>0</v>
      </c>
    </row>
    <row r="91" spans="1:14" ht="11.25" customHeight="1" x14ac:dyDescent="0.25">
      <c r="A91" s="152">
        <v>35</v>
      </c>
      <c r="B91" s="174" t="str">
        <f>'Pay App 1'!B91</f>
        <v>07 80 00</v>
      </c>
      <c r="C91" s="179" t="str">
        <f>'Pay App 1'!C91</f>
        <v>Fireproofing</v>
      </c>
      <c r="D91" s="155">
        <f>'Pay App 1'!D91</f>
        <v>0</v>
      </c>
      <c r="E91" s="155">
        <f>VLOOKUP(B91,'Graph Data'!$O$2:$BX$88,5,FALSE)</f>
        <v>0</v>
      </c>
      <c r="F91" s="155">
        <f>IFERROR(E91+'Pay App 2'!F91,"")</f>
        <v>0</v>
      </c>
      <c r="G91" s="155">
        <f>SUM('Pay App 1:Pay App 2'!H91)</f>
        <v>0</v>
      </c>
      <c r="H91" s="154"/>
      <c r="I91" s="155">
        <f t="shared" si="0"/>
        <v>0</v>
      </c>
      <c r="J91" s="156">
        <f t="shared" si="1"/>
        <v>0</v>
      </c>
      <c r="K91" s="155">
        <f t="shared" si="2"/>
        <v>0</v>
      </c>
      <c r="L91" s="155" t="str">
        <f>IF(AND('Summary Sheet'!$E$23="No",$H$33&gt;0,H91&gt;=1),"",IF(AND('Summary Sheet'!$E$23="Yes",H91&lt;&gt;""),H91*'Summary Sheet'!$G$23,""))</f>
        <v/>
      </c>
      <c r="M91" s="154"/>
      <c r="N91" s="155">
        <f>SUM('Pay App 1:Pay App 3'!L91)+SUM('Pay App 1:Pay App 3'!M91)</f>
        <v>0</v>
      </c>
    </row>
    <row r="92" spans="1:14" ht="11.25" customHeight="1" x14ac:dyDescent="0.25">
      <c r="A92" s="152">
        <v>36</v>
      </c>
      <c r="B92" s="174" t="str">
        <f>'Pay App 1'!B92</f>
        <v>07 90 00</v>
      </c>
      <c r="C92" s="179" t="str">
        <f>'Pay App 1'!C92</f>
        <v>Joint Sealants</v>
      </c>
      <c r="D92" s="155">
        <f>'Pay App 1'!D92</f>
        <v>0</v>
      </c>
      <c r="E92" s="155">
        <f>VLOOKUP(B92,'Graph Data'!$O$2:$BX$88,5,FALSE)</f>
        <v>0</v>
      </c>
      <c r="F92" s="155">
        <f>IFERROR(E92+'Pay App 2'!F92,"")</f>
        <v>0</v>
      </c>
      <c r="G92" s="155">
        <f>SUM('Pay App 1:Pay App 2'!H92)</f>
        <v>0</v>
      </c>
      <c r="H92" s="154"/>
      <c r="I92" s="155">
        <f t="shared" si="0"/>
        <v>0</v>
      </c>
      <c r="J92" s="156">
        <f t="shared" si="1"/>
        <v>0</v>
      </c>
      <c r="K92" s="155">
        <f t="shared" si="2"/>
        <v>0</v>
      </c>
      <c r="L92" s="155" t="str">
        <f>IF(AND('Summary Sheet'!$E$23="No",$H$33&gt;0,H92&gt;=1),"",IF(AND('Summary Sheet'!$E$23="Yes",H92&lt;&gt;""),H92*'Summary Sheet'!$G$23,""))</f>
        <v/>
      </c>
      <c r="M92" s="154"/>
      <c r="N92" s="155">
        <f>SUM('Pay App 1:Pay App 3'!L92)+SUM('Pay App 1:Pay App 3'!M92)</f>
        <v>0</v>
      </c>
    </row>
    <row r="93" spans="1:14" ht="11.25" customHeight="1" x14ac:dyDescent="0.25">
      <c r="A93" s="152">
        <v>37</v>
      </c>
      <c r="B93" s="174" t="str">
        <f>'Pay App 1'!B93</f>
        <v>07 95 00</v>
      </c>
      <c r="C93" s="179" t="str">
        <f>'Pay App 1'!C93</f>
        <v>Expansion Joints</v>
      </c>
      <c r="D93" s="155">
        <f>'Pay App 1'!D93</f>
        <v>0</v>
      </c>
      <c r="E93" s="155">
        <f>VLOOKUP(B93,'Graph Data'!$O$2:$BX$88,5,FALSE)</f>
        <v>0</v>
      </c>
      <c r="F93" s="155">
        <f>IFERROR(E93+'Pay App 2'!F93,"")</f>
        <v>0</v>
      </c>
      <c r="G93" s="155">
        <f>SUM('Pay App 1:Pay App 2'!H93)</f>
        <v>0</v>
      </c>
      <c r="H93" s="154"/>
      <c r="I93" s="155">
        <f t="shared" si="0"/>
        <v>0</v>
      </c>
      <c r="J93" s="156">
        <f t="shared" si="1"/>
        <v>0</v>
      </c>
      <c r="K93" s="155">
        <f t="shared" si="2"/>
        <v>0</v>
      </c>
      <c r="L93" s="155" t="str">
        <f>IF(AND('Summary Sheet'!$E$23="No",$H$33&gt;0,H93&gt;=1),"",IF(AND('Summary Sheet'!$E$23="Yes",H93&lt;&gt;""),H93*'Summary Sheet'!$G$23,""))</f>
        <v/>
      </c>
      <c r="M93" s="154"/>
      <c r="N93" s="155">
        <f>SUM('Pay App 1:Pay App 3'!L93)+SUM('Pay App 1:Pay App 3'!M93)</f>
        <v>0</v>
      </c>
    </row>
    <row r="94" spans="1:14" ht="11.25" customHeight="1" x14ac:dyDescent="0.25">
      <c r="A94" s="152">
        <v>38</v>
      </c>
      <c r="B94" s="175" t="str">
        <f>'Pay App 1'!B94</f>
        <v>08 10 00</v>
      </c>
      <c r="C94" s="180" t="str">
        <f>'Pay App 1'!C94</f>
        <v>Doors, Frames &amp; Hardware</v>
      </c>
      <c r="D94" s="155">
        <f>'Pay App 1'!D94</f>
        <v>0</v>
      </c>
      <c r="E94" s="155">
        <f>VLOOKUP(B94,'Graph Data'!$O$2:$BX$88,5,FALSE)</f>
        <v>0</v>
      </c>
      <c r="F94" s="155">
        <f>IFERROR(E94+'Pay App 2'!F94,"")</f>
        <v>0</v>
      </c>
      <c r="G94" s="155">
        <f>SUM('Pay App 1:Pay App 2'!H94)</f>
        <v>0</v>
      </c>
      <c r="H94" s="154"/>
      <c r="I94" s="155">
        <f t="shared" si="0"/>
        <v>0</v>
      </c>
      <c r="J94" s="156">
        <f t="shared" si="1"/>
        <v>0</v>
      </c>
      <c r="K94" s="155">
        <f t="shared" si="2"/>
        <v>0</v>
      </c>
      <c r="L94" s="155" t="str">
        <f>IF(AND('Summary Sheet'!$E$23="No",$H$33&gt;0,H94&gt;=1),"",IF(AND('Summary Sheet'!$E$23="Yes",H94&lt;&gt;""),H94*'Summary Sheet'!$G$23,""))</f>
        <v/>
      </c>
      <c r="M94" s="154"/>
      <c r="N94" s="155">
        <f>SUM('Pay App 1:Pay App 3'!L94)+SUM('Pay App 1:Pay App 3'!M94)</f>
        <v>0</v>
      </c>
    </row>
    <row r="95" spans="1:14" ht="11.25" customHeight="1" x14ac:dyDescent="0.25">
      <c r="A95" s="152">
        <v>39</v>
      </c>
      <c r="B95" s="175" t="str">
        <f>'Pay App 1'!B95</f>
        <v>08 30 00</v>
      </c>
      <c r="C95" s="180" t="str">
        <f>'Pay App 1'!C95</f>
        <v>Specialty Doors</v>
      </c>
      <c r="D95" s="155">
        <f>'Pay App 1'!D95</f>
        <v>0</v>
      </c>
      <c r="E95" s="155">
        <f>VLOOKUP(B95,'Graph Data'!$O$2:$BX$88,5,FALSE)</f>
        <v>0</v>
      </c>
      <c r="F95" s="155">
        <f>IFERROR(E95+'Pay App 2'!F95,"")</f>
        <v>0</v>
      </c>
      <c r="G95" s="155">
        <f>SUM('Pay App 1:Pay App 2'!H95)</f>
        <v>0</v>
      </c>
      <c r="H95" s="154"/>
      <c r="I95" s="155">
        <f t="shared" si="0"/>
        <v>0</v>
      </c>
      <c r="J95" s="156">
        <f t="shared" si="1"/>
        <v>0</v>
      </c>
      <c r="K95" s="155">
        <f t="shared" si="2"/>
        <v>0</v>
      </c>
      <c r="L95" s="155" t="str">
        <f>IF(AND('Summary Sheet'!$E$23="No",$H$33&gt;0,H95&gt;=1),"",IF(AND('Summary Sheet'!$E$23="Yes",H95&lt;&gt;""),H95*'Summary Sheet'!$G$23,""))</f>
        <v/>
      </c>
      <c r="M95" s="154"/>
      <c r="N95" s="155">
        <f>SUM('Pay App 1:Pay App 3'!L95)+SUM('Pay App 1:Pay App 3'!M95)</f>
        <v>0</v>
      </c>
    </row>
    <row r="96" spans="1:14" ht="11.25" customHeight="1" x14ac:dyDescent="0.25">
      <c r="A96" s="152">
        <v>40</v>
      </c>
      <c r="B96" s="175" t="str">
        <f>'Pay App 1'!B96</f>
        <v>08 33 00</v>
      </c>
      <c r="C96" s="180" t="str">
        <f>'Pay App 1'!C96</f>
        <v>Overhead Doors/Coiling Doors</v>
      </c>
      <c r="D96" s="155">
        <f>'Pay App 1'!D96</f>
        <v>0</v>
      </c>
      <c r="E96" s="155">
        <f>VLOOKUP(B96,'Graph Data'!$O$2:$BX$88,5,FALSE)</f>
        <v>0</v>
      </c>
      <c r="F96" s="155">
        <f>IFERROR(E96+'Pay App 2'!F96,"")</f>
        <v>0</v>
      </c>
      <c r="G96" s="155">
        <f>SUM('Pay App 1:Pay App 2'!H96)</f>
        <v>0</v>
      </c>
      <c r="H96" s="154"/>
      <c r="I96" s="155">
        <f t="shared" si="0"/>
        <v>0</v>
      </c>
      <c r="J96" s="156">
        <f t="shared" si="1"/>
        <v>0</v>
      </c>
      <c r="K96" s="155">
        <f t="shared" si="2"/>
        <v>0</v>
      </c>
      <c r="L96" s="155" t="str">
        <f>IF(AND('Summary Sheet'!$E$23="No",$H$33&gt;0,H96&gt;=1),"",IF(AND('Summary Sheet'!$E$23="Yes",H96&lt;&gt;""),H96*'Summary Sheet'!$G$23,""))</f>
        <v/>
      </c>
      <c r="M96" s="154"/>
      <c r="N96" s="155">
        <f>SUM('Pay App 1:Pay App 3'!L96)+SUM('Pay App 1:Pay App 3'!M96)</f>
        <v>0</v>
      </c>
    </row>
    <row r="97" spans="1:15" ht="11.25" customHeight="1" x14ac:dyDescent="0.25">
      <c r="A97" s="152">
        <v>41</v>
      </c>
      <c r="B97" s="175" t="str">
        <f>'Pay App 1'!B97</f>
        <v>08 40 00</v>
      </c>
      <c r="C97" s="180" t="str">
        <f>'Pay App 1'!C97</f>
        <v>Curtain Wall, Glass &amp; Glazing</v>
      </c>
      <c r="D97" s="155">
        <f>'Pay App 1'!D97</f>
        <v>0</v>
      </c>
      <c r="E97" s="155">
        <f>VLOOKUP(B97,'Graph Data'!$O$2:$BX$88,5,FALSE)</f>
        <v>0</v>
      </c>
      <c r="F97" s="155">
        <f>IFERROR(E97+'Pay App 2'!F97,"")</f>
        <v>0</v>
      </c>
      <c r="G97" s="155">
        <f>SUM('Pay App 1:Pay App 2'!H97)</f>
        <v>0</v>
      </c>
      <c r="H97" s="154"/>
      <c r="I97" s="155">
        <f t="shared" si="0"/>
        <v>0</v>
      </c>
      <c r="J97" s="156">
        <f t="shared" si="1"/>
        <v>0</v>
      </c>
      <c r="K97" s="155">
        <f t="shared" si="2"/>
        <v>0</v>
      </c>
      <c r="L97" s="155" t="str">
        <f>IF(AND('Summary Sheet'!$E$23="No",$H$33&gt;0,H97&gt;=1),"",IF(AND('Summary Sheet'!$E$23="Yes",H97&lt;&gt;""),H97*'Summary Sheet'!$G$23,""))</f>
        <v/>
      </c>
      <c r="M97" s="154"/>
      <c r="N97" s="155">
        <f>SUM('Pay App 1:Pay App 3'!L97)+SUM('Pay App 1:Pay App 3'!M97)</f>
        <v>0</v>
      </c>
    </row>
    <row r="98" spans="1:15" ht="10.9" customHeight="1" x14ac:dyDescent="0.25">
      <c r="A98" s="152">
        <v>42</v>
      </c>
      <c r="B98" s="175" t="str">
        <f>'Pay App 1'!B98</f>
        <v>08 60 00</v>
      </c>
      <c r="C98" s="180" t="str">
        <f>'Pay App 1'!C98</f>
        <v>Skylights</v>
      </c>
      <c r="D98" s="155">
        <f>'Pay App 1'!D98</f>
        <v>0</v>
      </c>
      <c r="E98" s="155">
        <f>VLOOKUP(B98,'Graph Data'!$O$2:$BX$88,5,FALSE)</f>
        <v>0</v>
      </c>
      <c r="F98" s="155">
        <f>IFERROR(E98+'Pay App 2'!F98,"")</f>
        <v>0</v>
      </c>
      <c r="G98" s="155">
        <f>SUM('Pay App 1:Pay App 2'!H98)</f>
        <v>0</v>
      </c>
      <c r="H98" s="154"/>
      <c r="I98" s="155">
        <f t="shared" si="0"/>
        <v>0</v>
      </c>
      <c r="J98" s="156">
        <f t="shared" si="1"/>
        <v>0</v>
      </c>
      <c r="K98" s="155">
        <f t="shared" si="2"/>
        <v>0</v>
      </c>
      <c r="L98" s="155" t="str">
        <f>IF(AND('Summary Sheet'!$E$23="No",$H$33&gt;0,H98&gt;=1),"",IF(AND('Summary Sheet'!$E$23="Yes",H98&lt;&gt;""),H98*'Summary Sheet'!$G$23,""))</f>
        <v/>
      </c>
      <c r="M98" s="154"/>
      <c r="N98" s="155">
        <f>SUM('Pay App 1:Pay App 3'!L98)+SUM('Pay App 1:Pay App 3'!M98)</f>
        <v>0</v>
      </c>
    </row>
    <row r="99" spans="1:15" ht="10.9" customHeight="1" x14ac:dyDescent="0.25">
      <c r="A99" s="152">
        <v>43</v>
      </c>
      <c r="B99" s="175" t="str">
        <f>'Pay App 1'!B99</f>
        <v>08 90 00</v>
      </c>
      <c r="C99" s="180" t="str">
        <f>'Pay App 1'!C99</f>
        <v>Louvers &amp; Vents</v>
      </c>
      <c r="D99" s="155">
        <f>'Pay App 1'!D99</f>
        <v>0</v>
      </c>
      <c r="E99" s="155">
        <f>VLOOKUP(B99,'Graph Data'!$O$2:$BX$88,5,FALSE)</f>
        <v>0</v>
      </c>
      <c r="F99" s="155">
        <f>IFERROR(E99+'Pay App 2'!F99,"")</f>
        <v>0</v>
      </c>
      <c r="G99" s="155">
        <f>SUM('Pay App 1:Pay App 2'!H99)</f>
        <v>0</v>
      </c>
      <c r="H99" s="154"/>
      <c r="I99" s="155">
        <f t="shared" si="0"/>
        <v>0</v>
      </c>
      <c r="J99" s="156">
        <f t="shared" si="1"/>
        <v>0</v>
      </c>
      <c r="K99" s="155">
        <f t="shared" si="2"/>
        <v>0</v>
      </c>
      <c r="L99" s="155" t="str">
        <f>IF(AND('Summary Sheet'!$E$23="No",$H$33&gt;0,H99&gt;=1),"",IF(AND('Summary Sheet'!$E$23="Yes",H99&lt;&gt;""),H99*'Summary Sheet'!$G$23,""))</f>
        <v/>
      </c>
      <c r="M99" s="154"/>
      <c r="N99" s="155">
        <f>SUM('Pay App 1:Pay App 3'!L99)+SUM('Pay App 1:Pay App 3'!M99)</f>
        <v>0</v>
      </c>
    </row>
    <row r="100" spans="1:15" ht="11.25" customHeight="1" x14ac:dyDescent="0.25">
      <c r="A100" s="153">
        <v>44</v>
      </c>
      <c r="B100" s="176" t="str">
        <f>'Pay App 1'!B100</f>
        <v>09 20 00</v>
      </c>
      <c r="C100" s="181" t="str">
        <f>'Pay App 1'!C100</f>
        <v>Gypsum Board Systems</v>
      </c>
      <c r="D100" s="155">
        <f>'Pay App 1'!D100</f>
        <v>0</v>
      </c>
      <c r="E100" s="155">
        <f>VLOOKUP(B100,'Graph Data'!$O$2:$BX$88,5,FALSE)</f>
        <v>0</v>
      </c>
      <c r="F100" s="155">
        <f>IFERROR(E100+'Pay App 2'!F100,"")</f>
        <v>0</v>
      </c>
      <c r="G100" s="155">
        <f>SUM('Pay App 1:Pay App 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3'!L100)+SUM('Pay App 1:Pay App 3'!M100)</f>
        <v>0</v>
      </c>
    </row>
    <row r="101" spans="1:15" ht="11.45" customHeight="1" x14ac:dyDescent="0.25">
      <c r="B101" s="20"/>
      <c r="C101" s="3" t="s">
        <v>4</v>
      </c>
      <c r="D101" s="407" t="str">
        <f>D12</f>
        <v>Contractor Name</v>
      </c>
      <c r="E101" s="407"/>
      <c r="F101" s="407"/>
      <c r="G101" s="399" t="s">
        <v>935</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Data'!$O$2:$BX$88,5,FALSE)</f>
        <v>0</v>
      </c>
      <c r="F106" s="155">
        <f>IFERROR(E106+'Pay App 2'!F106,"")</f>
        <v>0</v>
      </c>
      <c r="G106" s="155">
        <f>SUM('Pay App 1:Pay App 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3'!L106)+SUM('Pay App 1:Pay App 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Data'!$O$2:$BX$88,5,FALSE)</f>
        <v>0</v>
      </c>
      <c r="F107" s="155">
        <f>IFERROR(E107+'Pay App 2'!F107,"")</f>
        <v>0</v>
      </c>
      <c r="G107" s="155">
        <f>SUM('Pay App 1:Pay App 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3'!L107)+SUM('Pay App 1:Pay App 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Data'!$O$2:$BX$88,5,FALSE)</f>
        <v>0</v>
      </c>
      <c r="F108" s="155">
        <f>IFERROR(E108+'Pay App 2'!F108,"")</f>
        <v>0</v>
      </c>
      <c r="G108" s="155">
        <f>SUM('Pay App 1:Pay App 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3'!L108)+SUM('Pay App 1:Pay App 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Data'!$O$2:$BX$88,5,FALSE)</f>
        <v>0</v>
      </c>
      <c r="F109" s="155">
        <f>IFERROR(E109+'Pay App 2'!F109,"")</f>
        <v>0</v>
      </c>
      <c r="G109" s="155">
        <f>SUM('Pay App 1:Pay App 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3'!L109)+SUM('Pay App 1:Pay App 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Data'!$O$2:$BX$88,5,FALSE)</f>
        <v>0</v>
      </c>
      <c r="F110" s="155">
        <f>IFERROR(E110+'Pay App 2'!F110,"")</f>
        <v>0</v>
      </c>
      <c r="G110" s="155">
        <f>SUM('Pay App 1:Pay App 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3'!L110)+SUM('Pay App 1:Pay App 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Data'!$O$2:$BX$88,5,FALSE)</f>
        <v>0</v>
      </c>
      <c r="F111" s="155">
        <f>IFERROR(E111+'Pay App 2'!F111,"")</f>
        <v>0</v>
      </c>
      <c r="G111" s="155">
        <f>SUM('Pay App 1:Pay App 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3'!L111)+SUM('Pay App 1:Pay App 3'!M111)</f>
        <v>0</v>
      </c>
    </row>
    <row r="112" spans="1:15" ht="11.25" customHeight="1" x14ac:dyDescent="0.25">
      <c r="A112" s="152">
        <f t="shared" si="3"/>
        <v>51</v>
      </c>
      <c r="B112" s="148" t="str">
        <f>'Pay App 1'!B112</f>
        <v>09 90 00</v>
      </c>
      <c r="C112" s="143" t="str">
        <f>'Pay App 1'!C112</f>
        <v>Painting</v>
      </c>
      <c r="D112" s="155">
        <f>'Pay App 1'!D112</f>
        <v>0</v>
      </c>
      <c r="E112" s="155">
        <f>VLOOKUP(B112,'Graph Data'!$O$2:$BX$88,5,FALSE)</f>
        <v>0</v>
      </c>
      <c r="F112" s="155">
        <f>IFERROR(E112+'Pay App 2'!F112,"")</f>
        <v>0</v>
      </c>
      <c r="G112" s="155">
        <f>SUM('Pay App 1:Pay App 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3'!L112)+SUM('Pay App 1:Pay App 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Data'!$O$2:$BX$88,5,FALSE)</f>
        <v>0</v>
      </c>
      <c r="F113" s="155">
        <f>IFERROR(E113+'Pay App 2'!F113,"")</f>
        <v>0</v>
      </c>
      <c r="G113" s="155">
        <f>SUM('Pay App 1:Pay App 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3'!L113)+SUM('Pay App 1:Pay App 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Data'!$O$2:$BX$88,5,FALSE)</f>
        <v>0</v>
      </c>
      <c r="F114" s="155">
        <f>IFERROR(E114+'Pay App 2'!F114,"")</f>
        <v>0</v>
      </c>
      <c r="G114" s="155">
        <f>SUM('Pay App 1:Pay App 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3'!L114)+SUM('Pay App 1:Pay App 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Data'!$O$2:$BX$88,5,FALSE)</f>
        <v>0</v>
      </c>
      <c r="F115" s="155">
        <f>IFERROR(E115+'Pay App 2'!F115,"")</f>
        <v>0</v>
      </c>
      <c r="G115" s="155">
        <f>SUM('Pay App 1:Pay App 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3'!L115)+SUM('Pay App 1:Pay App 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Data'!$O$2:$BX$88,5,FALSE)</f>
        <v>0</v>
      </c>
      <c r="F116" s="155">
        <f>IFERROR(E116+'Pay App 2'!F116,"")</f>
        <v>0</v>
      </c>
      <c r="G116" s="155">
        <f>SUM('Pay App 1:Pay App 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3'!L116)+SUM('Pay App 1:Pay App 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Data'!$O$2:$BX$88,5,FALSE)</f>
        <v>0</v>
      </c>
      <c r="F117" s="155">
        <f>IFERROR(E117+'Pay App 2'!F117,"")</f>
        <v>0</v>
      </c>
      <c r="G117" s="155">
        <f>SUM('Pay App 1:Pay App 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3'!L117)+SUM('Pay App 1:Pay App 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Data'!$O$2:$BX$88,5,FALSE)</f>
        <v>0</v>
      </c>
      <c r="F118" s="155">
        <f>IFERROR(E118+'Pay App 2'!F118,"")</f>
        <v>0</v>
      </c>
      <c r="G118" s="155">
        <f>SUM('Pay App 1:Pay App 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3'!L118)+SUM('Pay App 1:Pay App 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Data'!$O$2:$BX$88,5,FALSE)</f>
        <v>0</v>
      </c>
      <c r="F119" s="155">
        <f>IFERROR(E119+'Pay App 2'!F119,"")</f>
        <v>0</v>
      </c>
      <c r="G119" s="155">
        <f>SUM('Pay App 1:Pay App 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3'!L119)+SUM('Pay App 1:Pay App 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Data'!$O$2:$BX$88,5,FALSE)</f>
        <v>0</v>
      </c>
      <c r="F120" s="155">
        <f>IFERROR(E120+'Pay App 2'!F120,"")</f>
        <v>0</v>
      </c>
      <c r="G120" s="155">
        <f>SUM('Pay App 1:Pay App 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3'!L120)+SUM('Pay App 1:Pay App 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Data'!$O$2:$BX$88,5,FALSE)</f>
        <v>0</v>
      </c>
      <c r="F121" s="155">
        <f>IFERROR(E121+'Pay App 2'!F121,"")</f>
        <v>0</v>
      </c>
      <c r="G121" s="155">
        <f>SUM('Pay App 1:Pay App 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3'!L121)+SUM('Pay App 1:Pay App 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Data'!$O$2:$BX$88,5,FALSE)</f>
        <v>0</v>
      </c>
      <c r="F122" s="155">
        <f>IFERROR(E122+'Pay App 2'!F122,"")</f>
        <v>0</v>
      </c>
      <c r="G122" s="155">
        <f>SUM('Pay App 1:Pay App 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3'!L122)+SUM('Pay App 1:Pay App 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Data'!$O$2:$BX$88,5,FALSE)</f>
        <v>0</v>
      </c>
      <c r="F123" s="155">
        <f>IFERROR(E123+'Pay App 2'!F123,"")</f>
        <v>0</v>
      </c>
      <c r="G123" s="155">
        <f>SUM('Pay App 1:Pay App 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3'!L123)+SUM('Pay App 1:Pay App 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Data'!$O$2:$BX$88,5,FALSE)</f>
        <v>0</v>
      </c>
      <c r="F124" s="155">
        <f>IFERROR(E124+'Pay App 2'!F124,"")</f>
        <v>0</v>
      </c>
      <c r="G124" s="155">
        <f>SUM('Pay App 1:Pay App 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3'!L124)+SUM('Pay App 1:Pay App 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Data'!$O$2:$BX$88,5,FALSE)</f>
        <v>0</v>
      </c>
      <c r="F125" s="155">
        <f>IFERROR(E125+'Pay App 2'!F125,"")</f>
        <v>0</v>
      </c>
      <c r="G125" s="155">
        <f>SUM('Pay App 1:Pay App 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3'!L125)+SUM('Pay App 1:Pay App 3'!M125)</f>
        <v>0</v>
      </c>
    </row>
    <row r="126" spans="1:14" ht="11.25" customHeight="1" x14ac:dyDescent="0.25">
      <c r="A126" s="152">
        <f t="shared" si="3"/>
        <v>65</v>
      </c>
      <c r="B126" s="188" t="str">
        <f>'Pay App 1'!B126</f>
        <v>14 20 00</v>
      </c>
      <c r="C126" s="194" t="str">
        <f>'Pay App 1'!C126</f>
        <v>Elevator</v>
      </c>
      <c r="D126" s="155">
        <f>'Pay App 1'!D126</f>
        <v>0</v>
      </c>
      <c r="E126" s="155">
        <f>VLOOKUP(B126,'Graph Data'!$O$2:$BX$88,5,FALSE)</f>
        <v>0</v>
      </c>
      <c r="F126" s="155">
        <f>IFERROR(E126+'Pay App 2'!F126,"")</f>
        <v>0</v>
      </c>
      <c r="G126" s="155">
        <f>SUM('Pay App 1:Pay App 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3'!L126)+SUM('Pay App 1:Pay App 3'!M126)</f>
        <v>0</v>
      </c>
    </row>
    <row r="127" spans="1:14" ht="11.25" customHeight="1" x14ac:dyDescent="0.25">
      <c r="A127" s="152">
        <f t="shared" si="3"/>
        <v>66</v>
      </c>
      <c r="B127" s="188" t="str">
        <f>'Pay App 1'!B127</f>
        <v>14 40 00</v>
      </c>
      <c r="C127" s="194" t="str">
        <f>'Pay App 1'!C127</f>
        <v>Lifts</v>
      </c>
      <c r="D127" s="155">
        <f>'Pay App 1'!D127</f>
        <v>0</v>
      </c>
      <c r="E127" s="155">
        <f>VLOOKUP(B127,'Graph Data'!$O$2:$BX$88,5,FALSE)</f>
        <v>0</v>
      </c>
      <c r="F127" s="155">
        <f>IFERROR(E127+'Pay App 2'!F127,"")</f>
        <v>0</v>
      </c>
      <c r="G127" s="155">
        <f>SUM('Pay App 1:Pay App 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3'!L127)+SUM('Pay App 1:Pay App 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Data'!$O$2:$BX$88,5,FALSE)</f>
        <v>0</v>
      </c>
      <c r="F128" s="155">
        <f>IFERROR(E128+'Pay App 2'!F128,"")</f>
        <v>0</v>
      </c>
      <c r="G128" s="155">
        <f>SUM('Pay App 1:Pay App 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3'!L128)+SUM('Pay App 1:Pay App 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Data'!$O$2:$BX$88,5,FALSE)</f>
        <v>0</v>
      </c>
      <c r="F129" s="155">
        <f>IFERROR(E129+'Pay App 2'!F129,"")</f>
        <v>0</v>
      </c>
      <c r="G129" s="155">
        <f>SUM('Pay App 1:Pay App 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3'!L129)+SUM('Pay App 1:Pay App 3'!M129)</f>
        <v>0</v>
      </c>
    </row>
    <row r="130" spans="1:14" ht="11.25" customHeight="1" x14ac:dyDescent="0.25">
      <c r="A130" s="152">
        <f t="shared" si="3"/>
        <v>69</v>
      </c>
      <c r="B130" s="185" t="str">
        <f>'Pay App 1'!B130</f>
        <v>22 00 00</v>
      </c>
      <c r="C130" s="191" t="str">
        <f>'Pay App 1'!C130</f>
        <v>Plumbing</v>
      </c>
      <c r="D130" s="155">
        <f>'Pay App 1'!D130</f>
        <v>0</v>
      </c>
      <c r="E130" s="155">
        <f>VLOOKUP(B130,'Graph Data'!$O$2:$BX$88,5,FALSE)</f>
        <v>0</v>
      </c>
      <c r="F130" s="155">
        <f>IFERROR(E130+'Pay App 2'!F130,"")</f>
        <v>0</v>
      </c>
      <c r="G130" s="155">
        <f>SUM('Pay App 1:Pay App 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3'!L130)+SUM('Pay App 1:Pay App 3'!M130)</f>
        <v>0</v>
      </c>
    </row>
    <row r="131" spans="1:14" ht="11.25" customHeight="1" x14ac:dyDescent="0.25">
      <c r="A131" s="152">
        <f t="shared" si="3"/>
        <v>70</v>
      </c>
      <c r="B131" s="186" t="str">
        <f>'Pay App 1'!B131</f>
        <v>23 00 00</v>
      </c>
      <c r="C131" s="192" t="str">
        <f>'Pay App 1'!C131</f>
        <v>HVAC</v>
      </c>
      <c r="D131" s="155">
        <f>'Pay App 1'!D131</f>
        <v>0</v>
      </c>
      <c r="E131" s="155">
        <f>VLOOKUP(B131,'Graph Data'!$O$2:$BX$88,5,FALSE)</f>
        <v>0</v>
      </c>
      <c r="F131" s="155">
        <f>IFERROR(E131+'Pay App 2'!F131,"")</f>
        <v>0</v>
      </c>
      <c r="G131" s="155">
        <f>SUM('Pay App 1:Pay App 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3'!L131)+SUM('Pay App 1:Pay App 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Data'!$O$2:$BX$88,5,FALSE)</f>
        <v>0</v>
      </c>
      <c r="F132" s="155">
        <f>IFERROR(E132+'Pay App 2'!F132,"")</f>
        <v>0</v>
      </c>
      <c r="G132" s="155">
        <f>SUM('Pay App 1:Pay App 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3'!L132)+SUM('Pay App 1:Pay App 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Data'!$O$2:$BX$88,5,FALSE)</f>
        <v>0</v>
      </c>
      <c r="F133" s="155">
        <f>IFERROR(E133+'Pay App 2'!F133,"")</f>
        <v>0</v>
      </c>
      <c r="G133" s="155">
        <f>SUM('Pay App 1:Pay App 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3'!L133)+SUM('Pay App 1:Pay App 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Data'!$O$2:$BX$88,5,FALSE)</f>
        <v>0</v>
      </c>
      <c r="F134" s="155">
        <f>IFERROR(E134+'Pay App 2'!F134,"")</f>
        <v>0</v>
      </c>
      <c r="G134" s="155">
        <f>SUM('Pay App 1:Pay App 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3'!L134)+SUM('Pay App 1:Pay App 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Data'!$O$2:$BX$88,5,FALSE)</f>
        <v>0</v>
      </c>
      <c r="F135" s="155">
        <f>IFERROR(E135+'Pay App 2'!F135,"")</f>
        <v>0</v>
      </c>
      <c r="G135" s="155">
        <f>SUM('Pay App 1:Pay App 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3'!L135)+SUM('Pay App 1:Pay App 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Data'!$O$2:$BX$88,5,FALSE)</f>
        <v>0</v>
      </c>
      <c r="F136" s="155">
        <f>IFERROR(E136+'Pay App 2'!F136,"")</f>
        <v>0</v>
      </c>
      <c r="G136" s="155">
        <f>SUM('Pay App 1:Pay App 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3'!L136)+SUM('Pay App 1:Pay App 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Data'!$O$2:$BX$88,5,FALSE)</f>
        <v>0</v>
      </c>
      <c r="F137" s="155">
        <f>IFERROR(E137+'Pay App 2'!F137,"")</f>
        <v>0</v>
      </c>
      <c r="G137" s="155">
        <f>SUM('Pay App 1:Pay App 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3'!L137)+SUM('Pay App 1:Pay App 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Data'!$O$2:$BX$88,5,FALSE)</f>
        <v>0</v>
      </c>
      <c r="F138" s="155">
        <f>IFERROR(E138+'Pay App 2'!F138,"")</f>
        <v>0</v>
      </c>
      <c r="G138" s="155">
        <f>SUM('Pay App 1:Pay App 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3'!L138)+SUM('Pay App 1:Pay App 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Data'!$O$2:$BX$88,5,FALSE)</f>
        <v>0</v>
      </c>
      <c r="F139" s="155">
        <f>IFERROR(E139+'Pay App 2'!F139,"")</f>
        <v>0</v>
      </c>
      <c r="G139" s="155">
        <f>SUM('Pay App 1:Pay App 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3'!L139)+SUM('Pay App 1:Pay App 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Data'!$O$2:$BX$88,5,FALSE)</f>
        <v>0</v>
      </c>
      <c r="F140" s="155">
        <f>IFERROR(E140+'Pay App 2'!F140,"")</f>
        <v>0</v>
      </c>
      <c r="G140" s="155">
        <f>SUM('Pay App 1:Pay App 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3'!L140)+SUM('Pay App 1:Pay App 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Data'!$O$2:$BX$88,5,FALSE)</f>
        <v>0</v>
      </c>
      <c r="F141" s="155">
        <f>IFERROR(E141+'Pay App 2'!F141,"")</f>
        <v>0</v>
      </c>
      <c r="G141" s="155">
        <f>SUM('Pay App 1:Pay App 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3'!L141)+SUM('Pay App 1:Pay App 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Data'!$O$2:$BX$88,5,FALSE)</f>
        <v>0</v>
      </c>
      <c r="F142" s="155">
        <f>IFERROR(E142+'Pay App 2'!F142,"")</f>
        <v>0</v>
      </c>
      <c r="G142" s="155">
        <f>SUM('Pay App 1:Pay App 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3'!L142)+SUM('Pay App 1:Pay App 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Data'!$O$2:$BX$88,5,FALSE)</f>
        <v>0</v>
      </c>
      <c r="F143" s="155">
        <f>IFERROR(E143+'Pay App 2'!F143,"")</f>
        <v>0</v>
      </c>
      <c r="G143" s="155">
        <f>SUM('Pay App 1:Pay App 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3'!L143)+SUM('Pay App 1:Pay App 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Data'!$O$2:$BX$88,5,FALSE)</f>
        <v>0</v>
      </c>
      <c r="F144" s="155">
        <f>IFERROR(E144+'Pay App 2'!F144,"")</f>
        <v>0</v>
      </c>
      <c r="G144" s="155">
        <f>SUM('Pay App 1:Pay App 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3'!L144)+SUM('Pay App 1:Pay App 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Data'!$O$2:$BX$88,5,FALSE)</f>
        <v>0</v>
      </c>
      <c r="F145" s="155">
        <f>IFERROR(E145+'Pay App 2'!F145,"")</f>
        <v>0</v>
      </c>
      <c r="G145" s="155">
        <f>SUM('Pay App 1:Pay App 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3'!L145)+SUM('Pay App 1:Pay App 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Data'!$O$2:$BX$88,5,FALSE)</f>
        <v>0</v>
      </c>
      <c r="F146" s="155">
        <f>IFERROR(E146+'Pay App 2'!F146,"")</f>
        <v>0</v>
      </c>
      <c r="G146" s="155">
        <f>SUM('Pay App 1:Pay App 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3'!L146)+SUM('Pay App 1:Pay App 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Data'!$O$2:$BX$88,5,FALSE)</f>
        <v>0</v>
      </c>
      <c r="F147" s="155">
        <f>IFERROR(E147+'Pay App 2'!F147,"")</f>
        <v>0</v>
      </c>
      <c r="G147" s="155">
        <f>SUM('Pay App 1:Pay App 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3'!L147)+SUM('Pay App 1:Pay App 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Data'!$O$2:$BX$88,5,FALSE)</f>
        <v>0</v>
      </c>
      <c r="F148" s="155">
        <f>IFERROR(E148+'Pay App 2'!F148,"")</f>
        <v>0</v>
      </c>
      <c r="G148" s="155">
        <f>SUM('Pay App 1:Pay App 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3'!L148)+SUM('Pay App 1:Pay App 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mSEfnTUOENeEzYvnj0ngbMcfdk4iA42ycJhqxOfjEiU0CTeT/IzwAXNtToo6Hv4Vxs8DQWPWELIU7kFpzQYIhg==" saltValue="sKIOKuCiuL1rTlcDsoODZQ==" spinCount="100000" sheet="1" objects="1" scenarios="1" selectLockedCells="1"/>
  <mergeCells count="60">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20:C20"/>
    <mergeCell ref="D20:H20"/>
    <mergeCell ref="I48:N51"/>
    <mergeCell ref="A21:C21"/>
    <mergeCell ref="D21:H21"/>
    <mergeCell ref="I22:K22"/>
    <mergeCell ref="L22:N22"/>
    <mergeCell ref="A23:H23"/>
    <mergeCell ref="A24:H25"/>
    <mergeCell ref="I24:N33"/>
    <mergeCell ref="I37:K37"/>
    <mergeCell ref="I41:K41"/>
    <mergeCell ref="I45:K45"/>
    <mergeCell ref="A18:C18"/>
    <mergeCell ref="D18:H18"/>
    <mergeCell ref="F17:H17"/>
    <mergeCell ref="A19:C19"/>
    <mergeCell ref="D19:H19"/>
    <mergeCell ref="A15:C15"/>
    <mergeCell ref="F15:H15"/>
    <mergeCell ref="A16:C16"/>
    <mergeCell ref="D16:E16"/>
    <mergeCell ref="F16:H16"/>
    <mergeCell ref="D10:H10"/>
    <mergeCell ref="A11:C11"/>
    <mergeCell ref="D11:H11"/>
    <mergeCell ref="A12:C14"/>
    <mergeCell ref="D12:H12"/>
    <mergeCell ref="D13:H13"/>
    <mergeCell ref="D14:G14"/>
    <mergeCell ref="D1:L2"/>
    <mergeCell ref="A4:H4"/>
    <mergeCell ref="D3:F3"/>
    <mergeCell ref="J3:L3"/>
    <mergeCell ref="A5:C8"/>
    <mergeCell ref="D5:H5"/>
    <mergeCell ref="I5:K5"/>
    <mergeCell ref="D6:H6"/>
    <mergeCell ref="I6:N18"/>
    <mergeCell ref="D7:H7"/>
    <mergeCell ref="D8:H8"/>
    <mergeCell ref="A9:C9"/>
    <mergeCell ref="D9:H9"/>
    <mergeCell ref="A10:C10"/>
    <mergeCell ref="A17:C17"/>
    <mergeCell ref="D17:E17"/>
  </mergeCells>
  <conditionalFormatting sqref="D57:G100">
    <cfRule type="cellIs" dxfId="637" priority="2" operator="equal">
      <formula>0</formula>
    </cfRule>
  </conditionalFormatting>
  <conditionalFormatting sqref="D106:G148">
    <cfRule type="cellIs" dxfId="636" priority="1" operator="equal">
      <formula>0</formula>
    </cfRule>
  </conditionalFormatting>
  <conditionalFormatting sqref="D10:H10 D12:H14 D19:H21">
    <cfRule type="cellIs" dxfId="635" priority="6" operator="equal">
      <formula>0</formula>
    </cfRule>
  </conditionalFormatting>
  <conditionalFormatting sqref="H51">
    <cfRule type="cellIs" dxfId="634" priority="9" operator="lessThan">
      <formula>0</formula>
    </cfRule>
  </conditionalFormatting>
  <conditionalFormatting sqref="I57:I100 K57:K100 I106:I148 K106:K148 N106:N148">
    <cfRule type="cellIs" dxfId="633" priority="14" operator="equal">
      <formula>0</formula>
    </cfRule>
  </conditionalFormatting>
  <conditionalFormatting sqref="J57:J100 J106:J149">
    <cfRule type="cellIs" dxfId="632" priority="11" operator="greaterThan">
      <formula>1</formula>
    </cfRule>
    <cfRule type="cellIs" dxfId="631" priority="12" operator="equal">
      <formula>0</formula>
    </cfRule>
  </conditionalFormatting>
  <conditionalFormatting sqref="K57:K100 K106:K148">
    <cfRule type="cellIs" dxfId="630" priority="10" operator="lessThan">
      <formula>0</formula>
    </cfRule>
  </conditionalFormatting>
  <conditionalFormatting sqref="M57:M100">
    <cfRule type="cellIs" dxfId="629" priority="13" operator="lessThan">
      <formula>0</formula>
    </cfRule>
  </conditionalFormatting>
  <conditionalFormatting sqref="M106:M148">
    <cfRule type="cellIs" dxfId="628" priority="8" operator="lessThan">
      <formula>0</formula>
    </cfRule>
  </conditionalFormatting>
  <conditionalFormatting sqref="N57:N100">
    <cfRule type="cellIs" dxfId="62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4E6F2343-1F4A-41B2-BA7D-1B0871EEAB54}">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ignoredErrors>
    <ignoredError sqref="I62" evalError="1"/>
  </ignoredError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9CEF2F6C-FBB5-460B-88CC-AC7B8DCDD6F4}">
          <x14:formula1>
            <xm:f>'Graph Data'!$M$74:$M$76</xm:f>
          </x14:formula1>
          <xm:sqref>G17</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7429-D61C-49AF-8E21-4EDB64B4DA37}">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935</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4.0999999999999996</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Data'!$O$2:$BX$88,6,FALSE)</f>
        <v>0</v>
      </c>
      <c r="F57" s="155">
        <f>IFERROR(E57+'Pay App 3'!F57,"")</f>
        <v>0</v>
      </c>
      <c r="G57" s="155">
        <f>SUM('Pay App 1:Pay App 3'!H57)</f>
        <v>0</v>
      </c>
      <c r="H57" s="154"/>
      <c r="I57" s="155">
        <f>G57+H57</f>
        <v>0</v>
      </c>
      <c r="J57" s="156">
        <f>IFERROR(I57/F57,0)</f>
        <v>0</v>
      </c>
      <c r="K57" s="155">
        <f>IFERROR(F57-I57,"")</f>
        <v>0</v>
      </c>
      <c r="L57" s="155" t="str">
        <f>IF(AND('Summary Sheet'!$E$23="No",$H$33&gt;0,H57&gt;=1),"",IF(AND('Summary Sheet'!$E$23="Yes",H57&lt;&gt;""),H57*'Summary Sheet'!$G$23,""))</f>
        <v/>
      </c>
      <c r="M57" s="154"/>
      <c r="N57" s="155">
        <f>SUM('Pay App 1:Pay App 4'!L57)+SUM('Pay App 1:Pay App 4'!M57)</f>
        <v>0</v>
      </c>
    </row>
    <row r="58" spans="1:16" ht="11.25" customHeight="1" x14ac:dyDescent="0.25">
      <c r="A58" s="152">
        <v>2</v>
      </c>
      <c r="B58" s="145" t="str">
        <f>'Pay App 1'!B58</f>
        <v>00 02 00</v>
      </c>
      <c r="C58" s="134" t="str">
        <f>'Pay App 1'!C58</f>
        <v>Preconstruction Services</v>
      </c>
      <c r="D58" s="155">
        <f>'Pay App 1'!D58</f>
        <v>0</v>
      </c>
      <c r="E58" s="155">
        <f>VLOOKUP(B58,'Graph Data'!$O$2:$BX$88,6,FALSE)</f>
        <v>0</v>
      </c>
      <c r="F58" s="155">
        <f>IFERROR(E58+'Pay App 3'!F58,"")</f>
        <v>0</v>
      </c>
      <c r="G58" s="155">
        <f>SUM('Pay App 1:Pay App 3'!H58)</f>
        <v>0</v>
      </c>
      <c r="H58" s="154"/>
      <c r="I58" s="155">
        <f>G58+H58</f>
        <v>0</v>
      </c>
      <c r="J58" s="156">
        <f>IFERROR(I58/F58,0)</f>
        <v>0</v>
      </c>
      <c r="K58" s="155">
        <f>IFERROR(F58-I58,"")</f>
        <v>0</v>
      </c>
      <c r="L58" s="155" t="str">
        <f>IF(AND('Summary Sheet'!$E$23="No",$H$33&gt;0,H58&gt;=1),"",IF(AND('Summary Sheet'!$E$23="Yes",H58&lt;&gt;""),H58*'Summary Sheet'!$G$23,""))</f>
        <v/>
      </c>
      <c r="M58" s="154"/>
      <c r="N58" s="155">
        <f>SUM('Pay App 1:Pay App 4'!L58)+SUM('Pay App 1:Pay App 4'!M58)</f>
        <v>0</v>
      </c>
    </row>
    <row r="59" spans="1:16" ht="11.25" customHeight="1" x14ac:dyDescent="0.25">
      <c r="A59" s="152">
        <v>3</v>
      </c>
      <c r="B59" s="174" t="str">
        <f>'Pay App 1'!B59</f>
        <v>01 00 00</v>
      </c>
      <c r="C59" s="179" t="str">
        <f>'Pay App 1'!C59</f>
        <v>General Conditions/Requirements</v>
      </c>
      <c r="D59" s="155">
        <f>'Pay App 1'!D59</f>
        <v>0</v>
      </c>
      <c r="E59" s="155">
        <f>VLOOKUP(B59,'Graph Data'!$O$2:$BX$88,6,FALSE)</f>
        <v>0</v>
      </c>
      <c r="F59" s="155">
        <f>IFERROR(E59+'Pay App 3'!F59,"")</f>
        <v>0</v>
      </c>
      <c r="G59" s="155">
        <f>SUM('Pay App 1:Pay App 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4'!L59)+SUM('Pay App 1:Pay App 4'!M59)</f>
        <v>0</v>
      </c>
    </row>
    <row r="60" spans="1:16" ht="11.25" customHeight="1" x14ac:dyDescent="0.25">
      <c r="A60" s="152">
        <v>4</v>
      </c>
      <c r="B60" s="174" t="str">
        <f>'Pay App 1'!B60</f>
        <v>01 13 41</v>
      </c>
      <c r="C60" s="179" t="str">
        <f>'Pay App 1'!C60</f>
        <v>Temp. Scaffolding and Platforms</v>
      </c>
      <c r="D60" s="155">
        <f>'Pay App 1'!D60</f>
        <v>0</v>
      </c>
      <c r="E60" s="155">
        <f>VLOOKUP(B60,'Graph Data'!$O$2:$BX$88,6,FALSE)</f>
        <v>0</v>
      </c>
      <c r="F60" s="155">
        <f>IFERROR(E60+'Pay App 3'!F60,"")</f>
        <v>0</v>
      </c>
      <c r="G60" s="155">
        <f>SUM('Pay App 1:Pay App 3'!H60)</f>
        <v>0</v>
      </c>
      <c r="H60" s="154"/>
      <c r="I60" s="155">
        <f t="shared" si="0"/>
        <v>0</v>
      </c>
      <c r="J60" s="156">
        <f t="shared" si="1"/>
        <v>0</v>
      </c>
      <c r="K60" s="155">
        <f t="shared" si="2"/>
        <v>0</v>
      </c>
      <c r="L60" s="155" t="str">
        <f>IF(AND('Summary Sheet'!$E$23="No",$H$33&gt;0,H60&gt;=1),"",IF(AND('Summary Sheet'!$E$23="Yes",H60&lt;&gt;""),H60*'Summary Sheet'!$G$23,""))</f>
        <v/>
      </c>
      <c r="M60" s="154"/>
      <c r="N60" s="155">
        <f>SUM('Pay App 1:Pay App 4'!L60)+SUM('Pay App 1:Pay App 4'!M60)</f>
        <v>0</v>
      </c>
    </row>
    <row r="61" spans="1:16" ht="11.25" customHeight="1" x14ac:dyDescent="0.25">
      <c r="A61" s="152">
        <v>5</v>
      </c>
      <c r="B61" s="174" t="str">
        <f>'Pay App 1'!B61</f>
        <v>01 13 60</v>
      </c>
      <c r="C61" s="179" t="str">
        <f>'Pay App 1'!C61</f>
        <v>SWPPP</v>
      </c>
      <c r="D61" s="155">
        <f>'Pay App 1'!D61</f>
        <v>0</v>
      </c>
      <c r="E61" s="155">
        <f>VLOOKUP(B61,'Graph Data'!$O$2:$BX$88,6,FALSE)</f>
        <v>0</v>
      </c>
      <c r="F61" s="155">
        <f>IFERROR(E61+'Pay App 3'!F61,"")</f>
        <v>0</v>
      </c>
      <c r="G61" s="155">
        <f>SUM('Pay App 1:Pay App 3'!H61)</f>
        <v>0</v>
      </c>
      <c r="H61" s="154"/>
      <c r="I61" s="155">
        <f t="shared" si="0"/>
        <v>0</v>
      </c>
      <c r="J61" s="156">
        <f t="shared" si="1"/>
        <v>0</v>
      </c>
      <c r="K61" s="155">
        <f t="shared" si="2"/>
        <v>0</v>
      </c>
      <c r="L61" s="155" t="str">
        <f>IF(AND('Summary Sheet'!$E$23="No",$H$33&gt;0,H61&gt;=1),"",IF(AND('Summary Sheet'!$E$23="Yes",H61&lt;&gt;""),H61*'Summary Sheet'!$G$23,""))</f>
        <v/>
      </c>
      <c r="M61" s="154"/>
      <c r="N61" s="155">
        <f>SUM('Pay App 1:Pay App 4'!L61)+SUM('Pay App 1:Pay App 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Data'!$O$2:$BX$88,6,FALSE)</f>
        <v>0</v>
      </c>
      <c r="F62" s="155">
        <f>IFERROR(E62+'Pay App 3'!F62,"")</f>
        <v>0</v>
      </c>
      <c r="G62" s="155">
        <f>SUM('Pay App 1:Pay App 3'!H62)</f>
        <v>0</v>
      </c>
      <c r="H62" s="154"/>
      <c r="I62" s="155">
        <f t="shared" si="0"/>
        <v>0</v>
      </c>
      <c r="J62" s="156">
        <f t="shared" si="1"/>
        <v>0</v>
      </c>
      <c r="K62" s="155">
        <f t="shared" si="2"/>
        <v>0</v>
      </c>
      <c r="L62" s="155" t="str">
        <f>IF(AND('Summary Sheet'!$E$23="No",$H$33&gt;0,H62&gt;=1),"",IF(AND('Summary Sheet'!$E$23="Yes",H62&lt;&gt;""),H62*'Summary Sheet'!$G$23,""))</f>
        <v/>
      </c>
      <c r="M62" s="154"/>
      <c r="N62" s="155">
        <f>SUM('Pay App 1:Pay App 4'!L62)+SUM('Pay App 1:Pay App 4'!M62)</f>
        <v>0</v>
      </c>
    </row>
    <row r="63" spans="1:16" ht="11.25" customHeight="1" x14ac:dyDescent="0.25">
      <c r="A63" s="152">
        <v>7</v>
      </c>
      <c r="B63" s="174" t="str">
        <f>'Pay App 1'!B63</f>
        <v>01 31 00</v>
      </c>
      <c r="C63" s="179" t="str">
        <f>'Pay App 1'!C63</f>
        <v>Contractor's Supervision</v>
      </c>
      <c r="D63" s="155">
        <f>'Pay App 1'!D63</f>
        <v>0</v>
      </c>
      <c r="E63" s="155">
        <f>VLOOKUP(B63,'Graph Data'!$O$2:$BX$88,6,FALSE)</f>
        <v>0</v>
      </c>
      <c r="F63" s="155">
        <f>IFERROR(E63+'Pay App 3'!F63,"")</f>
        <v>0</v>
      </c>
      <c r="G63" s="155">
        <f>SUM('Pay App 1:Pay App 3'!H63)</f>
        <v>0</v>
      </c>
      <c r="H63" s="154"/>
      <c r="I63" s="155">
        <f t="shared" si="0"/>
        <v>0</v>
      </c>
      <c r="J63" s="156">
        <f t="shared" si="1"/>
        <v>0</v>
      </c>
      <c r="K63" s="155">
        <f t="shared" si="2"/>
        <v>0</v>
      </c>
      <c r="L63" s="155" t="str">
        <f>IF(AND('Summary Sheet'!$E$23="No",$H$33&gt;0,H63&gt;=1),"",IF(AND('Summary Sheet'!$E$23="Yes",H63&lt;&gt;""),H63*'Summary Sheet'!$G$23,""))</f>
        <v/>
      </c>
      <c r="M63" s="154"/>
      <c r="N63" s="155">
        <f>SUM('Pay App 1:Pay App 4'!L63)+SUM('Pay App 1:Pay App 4'!M63)</f>
        <v>0</v>
      </c>
    </row>
    <row r="64" spans="1:16" ht="11.25" customHeight="1" x14ac:dyDescent="0.25">
      <c r="A64" s="152">
        <v>8</v>
      </c>
      <c r="B64" s="174" t="str">
        <f>'Pay App 1'!B64</f>
        <v>01 32 00</v>
      </c>
      <c r="C64" s="179" t="str">
        <f>'Pay App 1'!C64</f>
        <v>General Liability Insurance</v>
      </c>
      <c r="D64" s="155">
        <f>'Pay App 1'!D64</f>
        <v>0</v>
      </c>
      <c r="E64" s="155">
        <f>VLOOKUP(B64,'Graph Data'!$O$2:$BX$88,6,FALSE)</f>
        <v>0</v>
      </c>
      <c r="F64" s="155">
        <f>IFERROR(E64+'Pay App 3'!F64,"")</f>
        <v>0</v>
      </c>
      <c r="G64" s="155">
        <f>SUM('Pay App 1:Pay App 3'!H64)</f>
        <v>0</v>
      </c>
      <c r="H64" s="154"/>
      <c r="I64" s="155">
        <f t="shared" si="0"/>
        <v>0</v>
      </c>
      <c r="J64" s="156">
        <f t="shared" si="1"/>
        <v>0</v>
      </c>
      <c r="K64" s="155">
        <f t="shared" si="2"/>
        <v>0</v>
      </c>
      <c r="L64" s="155" t="str">
        <f>IF(AND('Summary Sheet'!$E$23="No",$H$33&gt;0,H64&gt;=1),"",IF(AND('Summary Sheet'!$E$23="Yes",H64&lt;&gt;""),H64*'Summary Sheet'!$G$23,""))</f>
        <v/>
      </c>
      <c r="M64" s="154"/>
      <c r="N64" s="155">
        <f>SUM('Pay App 1:Pay App 4'!L64)+SUM('Pay App 1:Pay App 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Data'!$O$2:$BX$88,6,FALSE)</f>
        <v>0</v>
      </c>
      <c r="F65" s="155">
        <f>IFERROR(E65+'Pay App 3'!F65,"")</f>
        <v>0</v>
      </c>
      <c r="G65" s="155">
        <f>SUM('Pay App 1:Pay App 3'!H65)</f>
        <v>0</v>
      </c>
      <c r="H65" s="154"/>
      <c r="I65" s="155">
        <f t="shared" si="0"/>
        <v>0</v>
      </c>
      <c r="J65" s="156">
        <f t="shared" si="1"/>
        <v>0</v>
      </c>
      <c r="K65" s="155">
        <f t="shared" si="2"/>
        <v>0</v>
      </c>
      <c r="L65" s="155" t="str">
        <f>IF(AND('Summary Sheet'!$E$23="No",$H$33&gt;0,H65&gt;=1),"",IF(AND('Summary Sheet'!$E$23="Yes",H65&lt;&gt;""),H65*'Summary Sheet'!$G$23,""))</f>
        <v/>
      </c>
      <c r="M65" s="154"/>
      <c r="N65" s="155">
        <f>SUM('Pay App 1:Pay App 4'!L65)+SUM('Pay App 1:Pay App 4'!M65)</f>
        <v>0</v>
      </c>
    </row>
    <row r="66" spans="1:17" ht="11.25" customHeight="1" x14ac:dyDescent="0.25">
      <c r="A66" s="152">
        <v>10</v>
      </c>
      <c r="B66" s="174" t="str">
        <f>'Pay App 1'!B66</f>
        <v>01 34 00</v>
      </c>
      <c r="C66" s="179" t="str">
        <f>'Pay App 1'!C66</f>
        <v>Subcontractor Default Insurance</v>
      </c>
      <c r="D66" s="155">
        <f>'Pay App 1'!D66</f>
        <v>0</v>
      </c>
      <c r="E66" s="155">
        <f>VLOOKUP(B66,'Graph Data'!$O$2:$BX$88,6,FALSE)</f>
        <v>0</v>
      </c>
      <c r="F66" s="155">
        <f>IFERROR(E66+'Pay App 3'!F66,"")</f>
        <v>0</v>
      </c>
      <c r="G66" s="155">
        <f>SUM('Pay App 1:Pay App 3'!H66)</f>
        <v>0</v>
      </c>
      <c r="H66" s="154"/>
      <c r="I66" s="155">
        <f t="shared" si="0"/>
        <v>0</v>
      </c>
      <c r="J66" s="156">
        <f t="shared" si="1"/>
        <v>0</v>
      </c>
      <c r="K66" s="155">
        <f t="shared" si="2"/>
        <v>0</v>
      </c>
      <c r="L66" s="155" t="str">
        <f>IF(AND('Summary Sheet'!$E$23="No",$H$33&gt;0,H66&gt;=1),"",IF(AND('Summary Sheet'!$E$23="Yes",H66&lt;&gt;""),H66*'Summary Sheet'!$G$23,""))</f>
        <v/>
      </c>
      <c r="M66" s="154"/>
      <c r="N66" s="155">
        <f>SUM('Pay App 1:Pay App 4'!L66)+SUM('Pay App 1:Pay App 4'!M66)</f>
        <v>0</v>
      </c>
    </row>
    <row r="67" spans="1:17" ht="11.25" customHeight="1" x14ac:dyDescent="0.25">
      <c r="A67" s="152">
        <v>11</v>
      </c>
      <c r="B67" s="174" t="str">
        <f>'Pay App 1'!B67</f>
        <v>01 35 00</v>
      </c>
      <c r="C67" s="179" t="str">
        <f>'Pay App 1'!C67</f>
        <v>Construction Management Fee</v>
      </c>
      <c r="D67" s="155">
        <f>'Pay App 1'!D67</f>
        <v>0</v>
      </c>
      <c r="E67" s="155">
        <f>VLOOKUP(B67,'Graph Data'!$O$2:$BX$88,6,FALSE)</f>
        <v>0</v>
      </c>
      <c r="F67" s="155">
        <f>IFERROR(E67+'Pay App 3'!F67,"")</f>
        <v>0</v>
      </c>
      <c r="G67" s="155">
        <f>SUM('Pay App 1:Pay App 3'!H67)</f>
        <v>0</v>
      </c>
      <c r="H67" s="154"/>
      <c r="I67" s="155">
        <f t="shared" si="0"/>
        <v>0</v>
      </c>
      <c r="J67" s="156">
        <f t="shared" si="1"/>
        <v>0</v>
      </c>
      <c r="K67" s="155">
        <f t="shared" si="2"/>
        <v>0</v>
      </c>
      <c r="L67" s="155" t="str">
        <f>IF(AND('Summary Sheet'!$E$23="No",$H$33&gt;0,H67&gt;=1),"",IF(AND('Summary Sheet'!$E$23="Yes",H67&lt;&gt;""),H67*'Summary Sheet'!$G$23,""))</f>
        <v/>
      </c>
      <c r="M67" s="154"/>
      <c r="N67" s="155">
        <f>SUM('Pay App 1:Pay App 4'!L67)+SUM('Pay App 1:Pay App 4'!M67)</f>
        <v>0</v>
      </c>
    </row>
    <row r="68" spans="1:17" ht="11.25" customHeight="1" x14ac:dyDescent="0.25">
      <c r="A68" s="152">
        <v>12</v>
      </c>
      <c r="B68" s="174" t="str">
        <f>'Pay App 1'!B68</f>
        <v>01 36 00</v>
      </c>
      <c r="C68" s="179" t="str">
        <f>'Pay App 1'!C68</f>
        <v>Contingency</v>
      </c>
      <c r="D68" s="155">
        <f>'Pay App 1'!D68</f>
        <v>0</v>
      </c>
      <c r="E68" s="155">
        <f>VLOOKUP(B68,'Graph Data'!$O$2:$BX$88,6,FALSE)</f>
        <v>0</v>
      </c>
      <c r="F68" s="155">
        <f>IFERROR(E68+'Pay App 3'!F68,"")</f>
        <v>0</v>
      </c>
      <c r="G68" s="155">
        <f>SUM('Pay App 1:Pay App 3'!H68)</f>
        <v>0</v>
      </c>
      <c r="H68" s="154"/>
      <c r="I68" s="155">
        <f t="shared" si="0"/>
        <v>0</v>
      </c>
      <c r="J68" s="156">
        <f t="shared" si="1"/>
        <v>0</v>
      </c>
      <c r="K68" s="155">
        <f t="shared" si="2"/>
        <v>0</v>
      </c>
      <c r="L68" s="155" t="str">
        <f>IF(AND('Summary Sheet'!$E$23="No",$H$33&gt;0,H68&gt;=1),"",IF(AND('Summary Sheet'!$E$23="Yes",H68&lt;&gt;""),H68*'Summary Sheet'!$G$23,""))</f>
        <v/>
      </c>
      <c r="M68" s="154"/>
      <c r="N68" s="155">
        <f>SUM('Pay App 1:Pay App 4'!L68)+SUM('Pay App 1:Pay App 4'!M68)</f>
        <v>0</v>
      </c>
    </row>
    <row r="69" spans="1:17" ht="11.25" customHeight="1" x14ac:dyDescent="0.25">
      <c r="A69" s="152">
        <v>13</v>
      </c>
      <c r="B69" s="174" t="str">
        <f>'Pay App 1'!B69</f>
        <v>01 37 00</v>
      </c>
      <c r="C69" s="179" t="str">
        <f>'Pay App 1'!C69</f>
        <v>Weather Allowance (All Trades)</v>
      </c>
      <c r="D69" s="155">
        <f>'Pay App 1'!D69</f>
        <v>0</v>
      </c>
      <c r="E69" s="155">
        <f>VLOOKUP(B69,'Graph Data'!$O$2:$BX$88,6,FALSE)</f>
        <v>0</v>
      </c>
      <c r="F69" s="155">
        <f>IFERROR(E69+'Pay App 3'!F69,"")</f>
        <v>0</v>
      </c>
      <c r="G69" s="155">
        <f>SUM('Pay App 1:Pay App 3'!H69)</f>
        <v>0</v>
      </c>
      <c r="H69" s="154"/>
      <c r="I69" s="155">
        <f t="shared" si="0"/>
        <v>0</v>
      </c>
      <c r="J69" s="156">
        <f t="shared" si="1"/>
        <v>0</v>
      </c>
      <c r="K69" s="155">
        <f t="shared" si="2"/>
        <v>0</v>
      </c>
      <c r="L69" s="155" t="str">
        <f>IF(AND('Summary Sheet'!$E$23="No",$H$33&gt;0,H69&gt;=1),"",IF(AND('Summary Sheet'!$E$23="Yes",H69&lt;&gt;""),H69*'Summary Sheet'!$G$23,""))</f>
        <v/>
      </c>
      <c r="M69" s="154"/>
      <c r="N69" s="155">
        <f>SUM('Pay App 1:Pay App 4'!L69)+SUM('Pay App 1:Pay App 4'!M69)</f>
        <v>0</v>
      </c>
    </row>
    <row r="70" spans="1:17" ht="11.25" customHeight="1" x14ac:dyDescent="0.25">
      <c r="A70" s="152">
        <v>14</v>
      </c>
      <c r="B70" s="174" t="str">
        <f>'Pay App 1'!B70</f>
        <v>01 74 23</v>
      </c>
      <c r="C70" s="179" t="str">
        <f>'Pay App 1'!C70</f>
        <v>Cleaning (Final)</v>
      </c>
      <c r="D70" s="155">
        <f>'Pay App 1'!D70</f>
        <v>0</v>
      </c>
      <c r="E70" s="155">
        <f>VLOOKUP(B70,'Graph Data'!$O$2:$BX$88,6,FALSE)</f>
        <v>0</v>
      </c>
      <c r="F70" s="155">
        <f>IFERROR(E70+'Pay App 3'!F70,"")</f>
        <v>0</v>
      </c>
      <c r="G70" s="155">
        <f>SUM('Pay App 1:Pay App 3'!H70)</f>
        <v>0</v>
      </c>
      <c r="H70" s="154"/>
      <c r="I70" s="155">
        <f t="shared" si="0"/>
        <v>0</v>
      </c>
      <c r="J70" s="156">
        <f t="shared" si="1"/>
        <v>0</v>
      </c>
      <c r="K70" s="155">
        <f t="shared" si="2"/>
        <v>0</v>
      </c>
      <c r="L70" s="155" t="str">
        <f>IF(AND('Summary Sheet'!$E$23="No",$H$33&gt;0,H70&gt;=1),"",IF(AND('Summary Sheet'!$E$23="Yes",H70&lt;&gt;""),H70*'Summary Sheet'!$G$23,""))</f>
        <v/>
      </c>
      <c r="M70" s="154"/>
      <c r="N70" s="155">
        <f>SUM('Pay App 1:Pay App 4'!L70)+SUM('Pay App 1:Pay App 4'!M70)</f>
        <v>0</v>
      </c>
    </row>
    <row r="71" spans="1:17" ht="11.25" customHeight="1" x14ac:dyDescent="0.25">
      <c r="A71" s="152">
        <v>15</v>
      </c>
      <c r="B71" s="175" t="str">
        <f>'Pay App 1'!B71</f>
        <v>02 21 00</v>
      </c>
      <c r="C71" s="180" t="str">
        <f>'Pay App 1'!C71</f>
        <v>Survey/Engineering</v>
      </c>
      <c r="D71" s="155">
        <f>'Pay App 1'!D71</f>
        <v>0</v>
      </c>
      <c r="E71" s="155">
        <f>VLOOKUP(B71,'Graph Data'!$O$2:$BX$88,6,FALSE)</f>
        <v>0</v>
      </c>
      <c r="F71" s="155">
        <f>IFERROR(E71+'Pay App 3'!F71,"")</f>
        <v>0</v>
      </c>
      <c r="G71" s="155">
        <f>SUM('Pay App 1:Pay App 3'!H71)</f>
        <v>0</v>
      </c>
      <c r="H71" s="154"/>
      <c r="I71" s="155">
        <f t="shared" si="0"/>
        <v>0</v>
      </c>
      <c r="J71" s="156">
        <f t="shared" si="1"/>
        <v>0</v>
      </c>
      <c r="K71" s="155">
        <f t="shared" si="2"/>
        <v>0</v>
      </c>
      <c r="L71" s="155" t="str">
        <f>IF(AND('Summary Sheet'!$E$23="No",$H$33&gt;0,H71&gt;=1),"",IF(AND('Summary Sheet'!$E$23="Yes",H71&lt;&gt;""),H71*'Summary Sheet'!$G$23,""))</f>
        <v/>
      </c>
      <c r="M71" s="154"/>
      <c r="N71" s="155">
        <f>SUM('Pay App 1:Pay App 4'!L71)+SUM('Pay App 1:Pay App 4'!M71)</f>
        <v>0</v>
      </c>
      <c r="Q71" s="28"/>
    </row>
    <row r="72" spans="1:17" ht="11.25" customHeight="1" x14ac:dyDescent="0.25">
      <c r="A72" s="152">
        <v>16</v>
      </c>
      <c r="B72" s="175" t="str">
        <f>'Pay App 1'!B72</f>
        <v>02 41 00</v>
      </c>
      <c r="C72" s="180" t="str">
        <f>'Pay App 1'!C72</f>
        <v>Demolition</v>
      </c>
      <c r="D72" s="155">
        <f>'Pay App 1'!D72</f>
        <v>0</v>
      </c>
      <c r="E72" s="155">
        <f>VLOOKUP(B72,'Graph Data'!$O$2:$BX$88,6,FALSE)</f>
        <v>0</v>
      </c>
      <c r="F72" s="155">
        <f>IFERROR(E72+'Pay App 3'!F72,"")</f>
        <v>0</v>
      </c>
      <c r="G72" s="155">
        <f>SUM('Pay App 1:Pay App 3'!H72)</f>
        <v>0</v>
      </c>
      <c r="H72" s="154"/>
      <c r="I72" s="155">
        <f t="shared" si="0"/>
        <v>0</v>
      </c>
      <c r="J72" s="156">
        <f t="shared" si="1"/>
        <v>0</v>
      </c>
      <c r="K72" s="155">
        <f t="shared" si="2"/>
        <v>0</v>
      </c>
      <c r="L72" s="155" t="str">
        <f>IF(AND('Summary Sheet'!$E$23="No",$H$33&gt;0,H72&gt;=1),"",IF(AND('Summary Sheet'!$E$23="Yes",H72&lt;&gt;""),H72*'Summary Sheet'!$G$23,""))</f>
        <v/>
      </c>
      <c r="M72" s="154"/>
      <c r="N72" s="155">
        <f>SUM('Pay App 1:Pay App 4'!L72)+SUM('Pay App 1:Pay App 4'!M72)</f>
        <v>0</v>
      </c>
      <c r="Q72" s="28"/>
    </row>
    <row r="73" spans="1:17" ht="11.25" customHeight="1" x14ac:dyDescent="0.25">
      <c r="A73" s="152">
        <v>17</v>
      </c>
      <c r="B73" s="175" t="str">
        <f>'Pay App 1'!B73</f>
        <v>02 82 00</v>
      </c>
      <c r="C73" s="180" t="str">
        <f>'Pay App 1'!C73</f>
        <v>Asbestos Abatement</v>
      </c>
      <c r="D73" s="155">
        <f>'Pay App 1'!D73</f>
        <v>0</v>
      </c>
      <c r="E73" s="155">
        <f>VLOOKUP(B73,'Graph Data'!$O$2:$BX$88,6,FALSE)</f>
        <v>0</v>
      </c>
      <c r="F73" s="155">
        <f>IFERROR(E73+'Pay App 3'!F73,"")</f>
        <v>0</v>
      </c>
      <c r="G73" s="155">
        <f>SUM('Pay App 1:Pay App 3'!H73)</f>
        <v>0</v>
      </c>
      <c r="H73" s="154"/>
      <c r="I73" s="155">
        <f t="shared" si="0"/>
        <v>0</v>
      </c>
      <c r="J73" s="156">
        <f t="shared" si="1"/>
        <v>0</v>
      </c>
      <c r="K73" s="155">
        <f t="shared" si="2"/>
        <v>0</v>
      </c>
      <c r="L73" s="155" t="str">
        <f>IF(AND('Summary Sheet'!$E$23="No",$H$33&gt;0,H73&gt;=1),"",IF(AND('Summary Sheet'!$E$23="Yes",H73&lt;&gt;""),H73*'Summary Sheet'!$G$23,""))</f>
        <v/>
      </c>
      <c r="M73" s="154"/>
      <c r="N73" s="155">
        <f>SUM('Pay App 1:Pay App 4'!L73)+SUM('Pay App 1:Pay App 4'!M73)</f>
        <v>0</v>
      </c>
    </row>
    <row r="74" spans="1:17" ht="11.25" customHeight="1" x14ac:dyDescent="0.25">
      <c r="A74" s="152">
        <v>18</v>
      </c>
      <c r="B74" s="176" t="str">
        <f>'Pay App 1'!B74</f>
        <v>03 00 00</v>
      </c>
      <c r="C74" s="181" t="str">
        <f>'Pay App 1'!C74</f>
        <v>Building Concrete</v>
      </c>
      <c r="D74" s="155">
        <f>'Pay App 1'!D74</f>
        <v>0</v>
      </c>
      <c r="E74" s="155">
        <f>VLOOKUP(B74,'Graph Data'!$O$2:$BX$88,6,FALSE)</f>
        <v>0</v>
      </c>
      <c r="F74" s="155">
        <f>IFERROR(E74+'Pay App 3'!F74,"")</f>
        <v>0</v>
      </c>
      <c r="G74" s="155">
        <f>SUM('Pay App 1:Pay App 3'!H74)</f>
        <v>0</v>
      </c>
      <c r="H74" s="154"/>
      <c r="I74" s="155">
        <f t="shared" si="0"/>
        <v>0</v>
      </c>
      <c r="J74" s="156">
        <f t="shared" si="1"/>
        <v>0</v>
      </c>
      <c r="K74" s="155">
        <f t="shared" si="2"/>
        <v>0</v>
      </c>
      <c r="L74" s="155" t="str">
        <f>IF(AND('Summary Sheet'!$E$23="No",$H$33&gt;0,H74&gt;=1),"",IF(AND('Summary Sheet'!$E$23="Yes",H74&lt;&gt;""),H74*'Summary Sheet'!$G$23,""))</f>
        <v/>
      </c>
      <c r="M74" s="154"/>
      <c r="N74" s="155">
        <f>SUM('Pay App 1:Pay App 4'!L74)+SUM('Pay App 1:Pay App 4'!M74)</f>
        <v>0</v>
      </c>
    </row>
    <row r="75" spans="1:17" ht="11.25" customHeight="1" x14ac:dyDescent="0.25">
      <c r="A75" s="152">
        <v>19</v>
      </c>
      <c r="B75" s="176" t="str">
        <f>'Pay App 1'!B75</f>
        <v>03 20 00</v>
      </c>
      <c r="C75" s="181" t="str">
        <f>'Pay App 1'!C75</f>
        <v>Building Concrete Reinforcing</v>
      </c>
      <c r="D75" s="155">
        <f>'Pay App 1'!D75</f>
        <v>0</v>
      </c>
      <c r="E75" s="155">
        <f>VLOOKUP(B75,'Graph Data'!$O$2:$BX$88,6,FALSE)</f>
        <v>0</v>
      </c>
      <c r="F75" s="155">
        <f>IFERROR(E75+'Pay App 3'!F75,"")</f>
        <v>0</v>
      </c>
      <c r="G75" s="155">
        <f>SUM('Pay App 1:Pay App 3'!H75)</f>
        <v>0</v>
      </c>
      <c r="H75" s="154"/>
      <c r="I75" s="155">
        <f t="shared" si="0"/>
        <v>0</v>
      </c>
      <c r="J75" s="156">
        <f t="shared" si="1"/>
        <v>0</v>
      </c>
      <c r="K75" s="155">
        <f t="shared" si="2"/>
        <v>0</v>
      </c>
      <c r="L75" s="155" t="str">
        <f>IF(AND('Summary Sheet'!$E$23="No",$H$33&gt;0,H75&gt;=1),"",IF(AND('Summary Sheet'!$E$23="Yes",H75&lt;&gt;""),H75*'Summary Sheet'!$G$23,""))</f>
        <v/>
      </c>
      <c r="M75" s="154"/>
      <c r="N75" s="155">
        <f>SUM('Pay App 1:Pay App 4'!L75)+SUM('Pay App 1:Pay App 4'!M75)</f>
        <v>0</v>
      </c>
    </row>
    <row r="76" spans="1:17" ht="11.25" customHeight="1" x14ac:dyDescent="0.25">
      <c r="A76" s="152">
        <v>20</v>
      </c>
      <c r="B76" s="176" t="str">
        <f>'Pay App 1'!B76</f>
        <v>03 40 00</v>
      </c>
      <c r="C76" s="181" t="str">
        <f>'Pay App 1'!C76</f>
        <v>Precast</v>
      </c>
      <c r="D76" s="155">
        <f>'Pay App 1'!D76</f>
        <v>0</v>
      </c>
      <c r="E76" s="155">
        <f>VLOOKUP(B76,'Graph Data'!$O$2:$BX$88,6,FALSE)</f>
        <v>0</v>
      </c>
      <c r="F76" s="155">
        <f>IFERROR(E76+'Pay App 3'!F76,"")</f>
        <v>0</v>
      </c>
      <c r="G76" s="155">
        <f>SUM('Pay App 1:Pay App 3'!H76)</f>
        <v>0</v>
      </c>
      <c r="H76" s="154"/>
      <c r="I76" s="155">
        <f t="shared" si="0"/>
        <v>0</v>
      </c>
      <c r="J76" s="156">
        <f t="shared" si="1"/>
        <v>0</v>
      </c>
      <c r="K76" s="155">
        <f t="shared" si="2"/>
        <v>0</v>
      </c>
      <c r="L76" s="155" t="str">
        <f>IF(AND('Summary Sheet'!$E$23="No",$H$33&gt;0,H76&gt;=1),"",IF(AND('Summary Sheet'!$E$23="Yes",H76&lt;&gt;""),H76*'Summary Sheet'!$G$23,""))</f>
        <v/>
      </c>
      <c r="M76" s="154"/>
      <c r="N76" s="155">
        <f>SUM('Pay App 1:Pay App 4'!L76)+SUM('Pay App 1:Pay App 4'!M76)</f>
        <v>0</v>
      </c>
    </row>
    <row r="77" spans="1:17" ht="11.25" customHeight="1" x14ac:dyDescent="0.25">
      <c r="A77" s="152">
        <v>21</v>
      </c>
      <c r="B77" s="177" t="str">
        <f>'Pay App 1'!B77</f>
        <v>04 00 00</v>
      </c>
      <c r="C77" s="182" t="str">
        <f>'Pay App 1'!C77</f>
        <v>Masonry</v>
      </c>
      <c r="D77" s="155">
        <f>'Pay App 1'!D77</f>
        <v>0</v>
      </c>
      <c r="E77" s="155">
        <f>VLOOKUP(B77,'Graph Data'!$O$2:$BX$88,6,FALSE)</f>
        <v>0</v>
      </c>
      <c r="F77" s="155">
        <f>IFERROR(E77+'Pay App 3'!F77,"")</f>
        <v>0</v>
      </c>
      <c r="G77" s="155">
        <f>SUM('Pay App 1:Pay App 3'!H77)</f>
        <v>0</v>
      </c>
      <c r="H77" s="154"/>
      <c r="I77" s="155">
        <f t="shared" si="0"/>
        <v>0</v>
      </c>
      <c r="J77" s="156">
        <f t="shared" si="1"/>
        <v>0</v>
      </c>
      <c r="K77" s="155">
        <f t="shared" si="2"/>
        <v>0</v>
      </c>
      <c r="L77" s="155" t="str">
        <f>IF(AND('Summary Sheet'!$E$23="No",$H$33&gt;0,H77&gt;=1),"",IF(AND('Summary Sheet'!$E$23="Yes",H77&lt;&gt;""),H77*'Summary Sheet'!$G$23,""))</f>
        <v/>
      </c>
      <c r="M77" s="154"/>
      <c r="N77" s="155">
        <f>SUM('Pay App 1:Pay App 4'!L77)+SUM('Pay App 1:Pay App 4'!M77)</f>
        <v>0</v>
      </c>
    </row>
    <row r="78" spans="1:17" ht="11.25" customHeight="1" x14ac:dyDescent="0.25">
      <c r="A78" s="152">
        <v>22</v>
      </c>
      <c r="B78" s="177" t="str">
        <f>'Pay App 1'!B78</f>
        <v>04 05 19</v>
      </c>
      <c r="C78" s="182" t="str">
        <f>'Pay App 1'!C78</f>
        <v>Masonry Reinforcing</v>
      </c>
      <c r="D78" s="155">
        <f>'Pay App 1'!D78</f>
        <v>0</v>
      </c>
      <c r="E78" s="155">
        <f>VLOOKUP(B78,'Graph Data'!$O$2:$BX$88,6,FALSE)</f>
        <v>0</v>
      </c>
      <c r="F78" s="155">
        <f>IFERROR(E78+'Pay App 3'!F78,"")</f>
        <v>0</v>
      </c>
      <c r="G78" s="155">
        <f>SUM('Pay App 1:Pay App 3'!H78)</f>
        <v>0</v>
      </c>
      <c r="H78" s="154"/>
      <c r="I78" s="155">
        <f t="shared" si="0"/>
        <v>0</v>
      </c>
      <c r="J78" s="156">
        <f t="shared" si="1"/>
        <v>0</v>
      </c>
      <c r="K78" s="155">
        <f t="shared" si="2"/>
        <v>0</v>
      </c>
      <c r="L78" s="155" t="str">
        <f>IF(AND('Summary Sheet'!$E$23="No",$H$33&gt;0,H78&gt;=1),"",IF(AND('Summary Sheet'!$E$23="Yes",H78&lt;&gt;""),H78*'Summary Sheet'!$G$23,""))</f>
        <v/>
      </c>
      <c r="M78" s="154"/>
      <c r="N78" s="155">
        <f>SUM('Pay App 1:Pay App 4'!L78)+SUM('Pay App 1:Pay App 4'!M78)</f>
        <v>0</v>
      </c>
    </row>
    <row r="79" spans="1:17" ht="11.25" customHeight="1" x14ac:dyDescent="0.25">
      <c r="A79" s="152">
        <v>23</v>
      </c>
      <c r="B79" s="178" t="str">
        <f>'Pay App 1'!B79</f>
        <v>05 10 00</v>
      </c>
      <c r="C79" s="183" t="str">
        <f>'Pay App 1'!C79</f>
        <v>Structural Steel/Misc. Steel Fab</v>
      </c>
      <c r="D79" s="155">
        <f>'Pay App 1'!D79</f>
        <v>0</v>
      </c>
      <c r="E79" s="155">
        <f>VLOOKUP(B79,'Graph Data'!$O$2:$BX$88,6,FALSE)</f>
        <v>0</v>
      </c>
      <c r="F79" s="155">
        <f>IFERROR(E79+'Pay App 3'!F79,"")</f>
        <v>0</v>
      </c>
      <c r="G79" s="155">
        <f>SUM('Pay App 1:Pay App 3'!H79)</f>
        <v>0</v>
      </c>
      <c r="H79" s="154"/>
      <c r="I79" s="155">
        <f t="shared" si="0"/>
        <v>0</v>
      </c>
      <c r="J79" s="156">
        <f t="shared" si="1"/>
        <v>0</v>
      </c>
      <c r="K79" s="155">
        <f t="shared" si="2"/>
        <v>0</v>
      </c>
      <c r="L79" s="155" t="str">
        <f>IF(AND('Summary Sheet'!$E$23="No",$H$33&gt;0,H79&gt;=1),"",IF(AND('Summary Sheet'!$E$23="Yes",H79&lt;&gt;""),H79*'Summary Sheet'!$G$23,""))</f>
        <v/>
      </c>
      <c r="M79" s="154"/>
      <c r="N79" s="155">
        <f>SUM('Pay App 1:Pay App 4'!L79)+SUM('Pay App 1:Pay App 4'!M79)</f>
        <v>0</v>
      </c>
    </row>
    <row r="80" spans="1:17" ht="11.25" customHeight="1" x14ac:dyDescent="0.25">
      <c r="A80" s="152">
        <v>24</v>
      </c>
      <c r="B80" s="178" t="str">
        <f>'Pay App 1'!B80</f>
        <v>05 20 00</v>
      </c>
      <c r="C80" s="183" t="str">
        <f>'Pay App 1'!C80</f>
        <v>Joists &amp; Deck</v>
      </c>
      <c r="D80" s="155">
        <f>'Pay App 1'!D80</f>
        <v>0</v>
      </c>
      <c r="E80" s="155">
        <f>VLOOKUP(B80,'Graph Data'!$O$2:$BX$88,6,FALSE)</f>
        <v>0</v>
      </c>
      <c r="F80" s="155">
        <f>IFERROR(E80+'Pay App 3'!F80,"")</f>
        <v>0</v>
      </c>
      <c r="G80" s="155">
        <f>SUM('Pay App 1:Pay App 3'!H80)</f>
        <v>0</v>
      </c>
      <c r="H80" s="154"/>
      <c r="I80" s="155">
        <f t="shared" si="0"/>
        <v>0</v>
      </c>
      <c r="J80" s="156">
        <f t="shared" si="1"/>
        <v>0</v>
      </c>
      <c r="K80" s="155">
        <f t="shared" si="2"/>
        <v>0</v>
      </c>
      <c r="L80" s="155" t="str">
        <f>IF(AND('Summary Sheet'!$E$23="No",$H$33&gt;0,H80&gt;=1),"",IF(AND('Summary Sheet'!$E$23="Yes",H80&lt;&gt;""),H80*'Summary Sheet'!$G$23,""))</f>
        <v/>
      </c>
      <c r="M80" s="154"/>
      <c r="N80" s="155">
        <f>SUM('Pay App 1:Pay App 4'!L80)+SUM('Pay App 1:Pay App 4'!M80)</f>
        <v>0</v>
      </c>
    </row>
    <row r="81" spans="1:14" ht="11.25" customHeight="1" x14ac:dyDescent="0.25">
      <c r="A81" s="152">
        <v>25</v>
      </c>
      <c r="B81" s="178" t="str">
        <f>'Pay App 1'!B81</f>
        <v>05 70 00</v>
      </c>
      <c r="C81" s="183" t="str">
        <f>'Pay App 1'!C81</f>
        <v>Ornamental Metal</v>
      </c>
      <c r="D81" s="155">
        <f>'Pay App 1'!D81</f>
        <v>0</v>
      </c>
      <c r="E81" s="155">
        <f>VLOOKUP(B81,'Graph Data'!$O$2:$BX$88,6,FALSE)</f>
        <v>0</v>
      </c>
      <c r="F81" s="155">
        <f>IFERROR(E81+'Pay App 3'!F81,"")</f>
        <v>0</v>
      </c>
      <c r="G81" s="155">
        <f>SUM('Pay App 1:Pay App 3'!H81)</f>
        <v>0</v>
      </c>
      <c r="H81" s="154"/>
      <c r="I81" s="155">
        <f t="shared" si="0"/>
        <v>0</v>
      </c>
      <c r="J81" s="156">
        <f t="shared" si="1"/>
        <v>0</v>
      </c>
      <c r="K81" s="155">
        <f t="shared" si="2"/>
        <v>0</v>
      </c>
      <c r="L81" s="155" t="str">
        <f>IF(AND('Summary Sheet'!$E$23="No",$H$33&gt;0,H81&gt;=1),"",IF(AND('Summary Sheet'!$E$23="Yes",H81&lt;&gt;""),H81*'Summary Sheet'!$G$23,""))</f>
        <v/>
      </c>
      <c r="M81" s="154"/>
      <c r="N81" s="155">
        <f>SUM('Pay App 1:Pay App 4'!L81)+SUM('Pay App 1:Pay App 4'!M81)</f>
        <v>0</v>
      </c>
    </row>
    <row r="82" spans="1:14" ht="11.25" customHeight="1" x14ac:dyDescent="0.25">
      <c r="A82" s="152">
        <v>26</v>
      </c>
      <c r="B82" s="145" t="str">
        <f>'Pay App 1'!B82</f>
        <v>06 10 00</v>
      </c>
      <c r="C82" s="134" t="str">
        <f>'Pay App 1'!C82</f>
        <v>Rough Carpentry</v>
      </c>
      <c r="D82" s="155">
        <f>'Pay App 1'!D82</f>
        <v>0</v>
      </c>
      <c r="E82" s="155">
        <f>VLOOKUP(B82,'Graph Data'!$O$2:$BX$88,6,FALSE)</f>
        <v>0</v>
      </c>
      <c r="F82" s="155">
        <f>IFERROR(E82+'Pay App 3'!F82,"")</f>
        <v>0</v>
      </c>
      <c r="G82" s="155">
        <f>SUM('Pay App 1:Pay App 3'!H82)</f>
        <v>0</v>
      </c>
      <c r="H82" s="154"/>
      <c r="I82" s="155">
        <f t="shared" si="0"/>
        <v>0</v>
      </c>
      <c r="J82" s="156">
        <f t="shared" si="1"/>
        <v>0</v>
      </c>
      <c r="K82" s="155">
        <f t="shared" si="2"/>
        <v>0</v>
      </c>
      <c r="L82" s="155" t="str">
        <f>IF(AND('Summary Sheet'!$E$23="No",$H$33&gt;0,H82&gt;=1),"",IF(AND('Summary Sheet'!$E$23="Yes",H82&lt;&gt;""),H82*'Summary Sheet'!$G$23,""))</f>
        <v/>
      </c>
      <c r="M82" s="154"/>
      <c r="N82" s="155">
        <f>SUM('Pay App 1:Pay App 4'!L82)+SUM('Pay App 1:Pay App 4'!M82)</f>
        <v>0</v>
      </c>
    </row>
    <row r="83" spans="1:14" ht="11.25" customHeight="1" x14ac:dyDescent="0.25">
      <c r="A83" s="152">
        <v>27</v>
      </c>
      <c r="B83" s="145" t="str">
        <f>'Pay App 1'!B83</f>
        <v>06 40 00</v>
      </c>
      <c r="C83" s="134" t="str">
        <f>'Pay App 1'!C83</f>
        <v>Arch. Woodwork &amp; Finish Carp.</v>
      </c>
      <c r="D83" s="155">
        <f>'Pay App 1'!D83</f>
        <v>0</v>
      </c>
      <c r="E83" s="155">
        <f>VLOOKUP(B83,'Graph Data'!$O$2:$BX$88,6,FALSE)</f>
        <v>0</v>
      </c>
      <c r="F83" s="155">
        <f>IFERROR(E83+'Pay App 3'!F83,"")</f>
        <v>0</v>
      </c>
      <c r="G83" s="155">
        <f>SUM('Pay App 1:Pay App 3'!H83)</f>
        <v>0</v>
      </c>
      <c r="H83" s="154"/>
      <c r="I83" s="155">
        <f t="shared" si="0"/>
        <v>0</v>
      </c>
      <c r="J83" s="156">
        <f t="shared" si="1"/>
        <v>0</v>
      </c>
      <c r="K83" s="155">
        <f t="shared" si="2"/>
        <v>0</v>
      </c>
      <c r="L83" s="155" t="str">
        <f>IF(AND('Summary Sheet'!$E$23="No",$H$33&gt;0,H83&gt;=1),"",IF(AND('Summary Sheet'!$E$23="Yes",H83&lt;&gt;""),H83*'Summary Sheet'!$G$23,""))</f>
        <v/>
      </c>
      <c r="M83" s="154"/>
      <c r="N83" s="155">
        <f>SUM('Pay App 1:Pay App 4'!L83)+SUM('Pay App 1:Pay App 4'!M83)</f>
        <v>0</v>
      </c>
    </row>
    <row r="84" spans="1:14" ht="11.25" customHeight="1" x14ac:dyDescent="0.25">
      <c r="A84" s="152">
        <v>28</v>
      </c>
      <c r="B84" s="174" t="str">
        <f>'Pay App 1'!B84</f>
        <v>07 10 00</v>
      </c>
      <c r="C84" s="179" t="str">
        <f>'Pay App 1'!C84</f>
        <v>Waterproofing/Water Repellents</v>
      </c>
      <c r="D84" s="155">
        <f>'Pay App 1'!D84</f>
        <v>0</v>
      </c>
      <c r="E84" s="155">
        <f>VLOOKUP(B84,'Graph Data'!$O$2:$BX$88,6,FALSE)</f>
        <v>0</v>
      </c>
      <c r="F84" s="155">
        <f>IFERROR(E84+'Pay App 3'!F84,"")</f>
        <v>0</v>
      </c>
      <c r="G84" s="155">
        <f>SUM('Pay App 1:Pay App 3'!H84)</f>
        <v>0</v>
      </c>
      <c r="H84" s="154"/>
      <c r="I84" s="155">
        <f t="shared" si="0"/>
        <v>0</v>
      </c>
      <c r="J84" s="156">
        <f t="shared" si="1"/>
        <v>0</v>
      </c>
      <c r="K84" s="155">
        <f t="shared" si="2"/>
        <v>0</v>
      </c>
      <c r="L84" s="155" t="str">
        <f>IF(AND('Summary Sheet'!$E$23="No",$H$33&gt;0,H84&gt;=1),"",IF(AND('Summary Sheet'!$E$23="Yes",H84&lt;&gt;""),H84*'Summary Sheet'!$G$23,""))</f>
        <v/>
      </c>
      <c r="M84" s="154"/>
      <c r="N84" s="155">
        <f>SUM('Pay App 1:Pay App 4'!L84)+SUM('Pay App 1:Pay App 4'!M84)</f>
        <v>0</v>
      </c>
    </row>
    <row r="85" spans="1:14" ht="11.25" customHeight="1" x14ac:dyDescent="0.25">
      <c r="A85" s="152">
        <v>29</v>
      </c>
      <c r="B85" s="174" t="str">
        <f>'Pay App 1'!B85</f>
        <v>07 20 00</v>
      </c>
      <c r="C85" s="179" t="str">
        <f>'Pay App 1'!C85</f>
        <v>Insulation</v>
      </c>
      <c r="D85" s="155">
        <f>'Pay App 1'!D85</f>
        <v>0</v>
      </c>
      <c r="E85" s="155">
        <f>VLOOKUP(B85,'Graph Data'!$O$2:$BX$88,6,FALSE)</f>
        <v>0</v>
      </c>
      <c r="F85" s="155">
        <f>IFERROR(E85+'Pay App 3'!F85,"")</f>
        <v>0</v>
      </c>
      <c r="G85" s="155">
        <f>SUM('Pay App 1:Pay App 3'!H85)</f>
        <v>0</v>
      </c>
      <c r="H85" s="154"/>
      <c r="I85" s="155">
        <f t="shared" si="0"/>
        <v>0</v>
      </c>
      <c r="J85" s="156">
        <f t="shared" si="1"/>
        <v>0</v>
      </c>
      <c r="K85" s="155">
        <f t="shared" si="2"/>
        <v>0</v>
      </c>
      <c r="L85" s="155" t="str">
        <f>IF(AND('Summary Sheet'!$E$23="No",$H$33&gt;0,H85&gt;=1),"",IF(AND('Summary Sheet'!$E$23="Yes",H85&lt;&gt;""),H85*'Summary Sheet'!$G$23,""))</f>
        <v/>
      </c>
      <c r="M85" s="154"/>
      <c r="N85" s="155">
        <f>SUM('Pay App 1:Pay App 4'!L85)+SUM('Pay App 1:Pay App 4'!M85)</f>
        <v>0</v>
      </c>
    </row>
    <row r="86" spans="1:14" ht="11.25" customHeight="1" x14ac:dyDescent="0.25">
      <c r="A86" s="152">
        <v>30</v>
      </c>
      <c r="B86" s="174" t="str">
        <f>'Pay App 1'!B86</f>
        <v>07 24 00</v>
      </c>
      <c r="C86" s="179" t="str">
        <f>'Pay App 1'!C86</f>
        <v>EIFS</v>
      </c>
      <c r="D86" s="155">
        <f>'Pay App 1'!D86</f>
        <v>0</v>
      </c>
      <c r="E86" s="155">
        <f>VLOOKUP(B86,'Graph Data'!$O$2:$BX$88,6,FALSE)</f>
        <v>0</v>
      </c>
      <c r="F86" s="155">
        <f>IFERROR(E86+'Pay App 3'!F86,"")</f>
        <v>0</v>
      </c>
      <c r="G86" s="155">
        <f>SUM('Pay App 1:Pay App 3'!H86)</f>
        <v>0</v>
      </c>
      <c r="H86" s="154"/>
      <c r="I86" s="155">
        <f t="shared" si="0"/>
        <v>0</v>
      </c>
      <c r="J86" s="156">
        <f t="shared" si="1"/>
        <v>0</v>
      </c>
      <c r="K86" s="155">
        <f t="shared" si="2"/>
        <v>0</v>
      </c>
      <c r="L86" s="155" t="str">
        <f>IF(AND('Summary Sheet'!$E$23="No",$H$33&gt;0,H86&gt;=1),"",IF(AND('Summary Sheet'!$E$23="Yes",H86&lt;&gt;""),H86*'Summary Sheet'!$G$23,""))</f>
        <v/>
      </c>
      <c r="M86" s="154"/>
      <c r="N86" s="155">
        <f>SUM('Pay App 1:Pay App 4'!L86)+SUM('Pay App 1:Pay App 4'!M86)</f>
        <v>0</v>
      </c>
    </row>
    <row r="87" spans="1:14" ht="11.25" customHeight="1" x14ac:dyDescent="0.25">
      <c r="A87" s="152">
        <v>31</v>
      </c>
      <c r="B87" s="174" t="str">
        <f>'Pay App 1'!B87</f>
        <v>07 26 00</v>
      </c>
      <c r="C87" s="179" t="str">
        <f>'Pay App 1'!C87</f>
        <v>Vapor Retarders</v>
      </c>
      <c r="D87" s="155">
        <f>'Pay App 1'!D87</f>
        <v>0</v>
      </c>
      <c r="E87" s="155">
        <f>VLOOKUP(B87,'Graph Data'!$O$2:$BX$88,6,FALSE)</f>
        <v>0</v>
      </c>
      <c r="F87" s="155">
        <f>IFERROR(E87+'Pay App 3'!F87,"")</f>
        <v>0</v>
      </c>
      <c r="G87" s="155">
        <f>SUM('Pay App 1:Pay App 3'!H87)</f>
        <v>0</v>
      </c>
      <c r="H87" s="154"/>
      <c r="I87" s="155">
        <f t="shared" si="0"/>
        <v>0</v>
      </c>
      <c r="J87" s="156">
        <f t="shared" si="1"/>
        <v>0</v>
      </c>
      <c r="K87" s="155">
        <f t="shared" si="2"/>
        <v>0</v>
      </c>
      <c r="L87" s="155" t="str">
        <f>IF(AND('Summary Sheet'!$E$23="No",$H$33&gt;0,H87&gt;=1),"",IF(AND('Summary Sheet'!$E$23="Yes",H87&lt;&gt;""),H87*'Summary Sheet'!$G$23,""))</f>
        <v/>
      </c>
      <c r="M87" s="154"/>
      <c r="N87" s="155">
        <f>SUM('Pay App 1:Pay App 4'!L87)+SUM('Pay App 1:Pay App 4'!M87)</f>
        <v>0</v>
      </c>
    </row>
    <row r="88" spans="1:14" ht="11.25" customHeight="1" x14ac:dyDescent="0.25">
      <c r="A88" s="152">
        <v>32</v>
      </c>
      <c r="B88" s="174" t="str">
        <f>'Pay App 1'!B88</f>
        <v>07 41 00</v>
      </c>
      <c r="C88" s="179" t="str">
        <f>'Pay App 1'!C88</f>
        <v>Roofing</v>
      </c>
      <c r="D88" s="155">
        <f>'Pay App 1'!D88</f>
        <v>0</v>
      </c>
      <c r="E88" s="155">
        <f>VLOOKUP(B88,'Graph Data'!$O$2:$BX$88,6,FALSE)</f>
        <v>0</v>
      </c>
      <c r="F88" s="155">
        <f>IFERROR(E88+'Pay App 3'!F88,"")</f>
        <v>0</v>
      </c>
      <c r="G88" s="155">
        <f>SUM('Pay App 1:Pay App 3'!H88)</f>
        <v>0</v>
      </c>
      <c r="H88" s="154"/>
      <c r="I88" s="155">
        <f t="shared" si="0"/>
        <v>0</v>
      </c>
      <c r="J88" s="156">
        <f t="shared" si="1"/>
        <v>0</v>
      </c>
      <c r="K88" s="155">
        <f t="shared" si="2"/>
        <v>0</v>
      </c>
      <c r="L88" s="155" t="str">
        <f>IF(AND('Summary Sheet'!$E$23="No",$H$33&gt;0,H88&gt;=1),"",IF(AND('Summary Sheet'!$E$23="Yes",H88&lt;&gt;""),H88*'Summary Sheet'!$G$23,""))</f>
        <v/>
      </c>
      <c r="M88" s="154"/>
      <c r="N88" s="155">
        <f>SUM('Pay App 1:Pay App 4'!L88)+SUM('Pay App 1:Pay App 4'!M88)</f>
        <v>0</v>
      </c>
    </row>
    <row r="89" spans="1:14" ht="11.25" customHeight="1" x14ac:dyDescent="0.25">
      <c r="A89" s="152">
        <v>33</v>
      </c>
      <c r="B89" s="174" t="str">
        <f>'Pay App 1'!B89</f>
        <v>07 42 00</v>
      </c>
      <c r="C89" s="179" t="str">
        <f>'Pay App 1'!C89</f>
        <v>Metal Panels</v>
      </c>
      <c r="D89" s="155">
        <f>'Pay App 1'!D89</f>
        <v>0</v>
      </c>
      <c r="E89" s="155">
        <f>VLOOKUP(B89,'Graph Data'!$O$2:$BX$88,6,FALSE)</f>
        <v>0</v>
      </c>
      <c r="F89" s="155">
        <f>IFERROR(E89+'Pay App 3'!F89,"")</f>
        <v>0</v>
      </c>
      <c r="G89" s="155">
        <f>SUM('Pay App 1:Pay App 3'!H89)</f>
        <v>0</v>
      </c>
      <c r="H89" s="154"/>
      <c r="I89" s="155">
        <f t="shared" si="0"/>
        <v>0</v>
      </c>
      <c r="J89" s="156">
        <f t="shared" si="1"/>
        <v>0</v>
      </c>
      <c r="K89" s="155">
        <f t="shared" si="2"/>
        <v>0</v>
      </c>
      <c r="L89" s="155" t="str">
        <f>IF(AND('Summary Sheet'!$E$23="No",$H$33&gt;0,H89&gt;=1),"",IF(AND('Summary Sheet'!$E$23="Yes",H89&lt;&gt;""),H89*'Summary Sheet'!$G$23,""))</f>
        <v/>
      </c>
      <c r="M89" s="154"/>
      <c r="N89" s="155">
        <f>SUM('Pay App 1:Pay App 4'!L89)+SUM('Pay App 1:Pay App 4'!M89)</f>
        <v>0</v>
      </c>
    </row>
    <row r="90" spans="1:14" ht="11.25" customHeight="1" x14ac:dyDescent="0.25">
      <c r="A90" s="152">
        <v>34</v>
      </c>
      <c r="B90" s="174" t="str">
        <f>'Pay App 1'!B90</f>
        <v>07 60 00</v>
      </c>
      <c r="C90" s="179" t="str">
        <f>'Pay App 1'!C90</f>
        <v>Sheet Metal Flashing &amp; Trim</v>
      </c>
      <c r="D90" s="155">
        <f>'Pay App 1'!D90</f>
        <v>0</v>
      </c>
      <c r="E90" s="155">
        <f>VLOOKUP(B90,'Graph Data'!$O$2:$BX$88,6,FALSE)</f>
        <v>0</v>
      </c>
      <c r="F90" s="155">
        <f>IFERROR(E90+'Pay App 3'!F90,"")</f>
        <v>0</v>
      </c>
      <c r="G90" s="155">
        <f>SUM('Pay App 1:Pay App 3'!H90)</f>
        <v>0</v>
      </c>
      <c r="H90" s="154"/>
      <c r="I90" s="155">
        <f t="shared" si="0"/>
        <v>0</v>
      </c>
      <c r="J90" s="156">
        <f t="shared" si="1"/>
        <v>0</v>
      </c>
      <c r="K90" s="155">
        <f t="shared" si="2"/>
        <v>0</v>
      </c>
      <c r="L90" s="155" t="str">
        <f>IF(AND('Summary Sheet'!$E$23="No",$H$33&gt;0,H90&gt;=1),"",IF(AND('Summary Sheet'!$E$23="Yes",H90&lt;&gt;""),H90*'Summary Sheet'!$G$23,""))</f>
        <v/>
      </c>
      <c r="M90" s="154"/>
      <c r="N90" s="155">
        <f>SUM('Pay App 1:Pay App 4'!L90)+SUM('Pay App 1:Pay App 4'!M90)</f>
        <v>0</v>
      </c>
    </row>
    <row r="91" spans="1:14" ht="11.25" customHeight="1" x14ac:dyDescent="0.25">
      <c r="A91" s="152">
        <v>35</v>
      </c>
      <c r="B91" s="174" t="str">
        <f>'Pay App 1'!B91</f>
        <v>07 80 00</v>
      </c>
      <c r="C91" s="179" t="str">
        <f>'Pay App 1'!C91</f>
        <v>Fireproofing</v>
      </c>
      <c r="D91" s="155">
        <f>'Pay App 1'!D91</f>
        <v>0</v>
      </c>
      <c r="E91" s="155">
        <f>VLOOKUP(B91,'Graph Data'!$O$2:$BX$88,6,FALSE)</f>
        <v>0</v>
      </c>
      <c r="F91" s="155">
        <f>IFERROR(E91+'Pay App 3'!F91,"")</f>
        <v>0</v>
      </c>
      <c r="G91" s="155">
        <f>SUM('Pay App 1:Pay App 3'!H91)</f>
        <v>0</v>
      </c>
      <c r="H91" s="154"/>
      <c r="I91" s="155">
        <f t="shared" si="0"/>
        <v>0</v>
      </c>
      <c r="J91" s="156">
        <f t="shared" si="1"/>
        <v>0</v>
      </c>
      <c r="K91" s="155">
        <f t="shared" si="2"/>
        <v>0</v>
      </c>
      <c r="L91" s="155" t="str">
        <f>IF(AND('Summary Sheet'!$E$23="No",$H$33&gt;0,H91&gt;=1),"",IF(AND('Summary Sheet'!$E$23="Yes",H91&lt;&gt;""),H91*'Summary Sheet'!$G$23,""))</f>
        <v/>
      </c>
      <c r="M91" s="154"/>
      <c r="N91" s="155">
        <f>SUM('Pay App 1:Pay App 4'!L91)+SUM('Pay App 1:Pay App 4'!M91)</f>
        <v>0</v>
      </c>
    </row>
    <row r="92" spans="1:14" ht="11.25" customHeight="1" x14ac:dyDescent="0.25">
      <c r="A92" s="152">
        <v>36</v>
      </c>
      <c r="B92" s="174" t="str">
        <f>'Pay App 1'!B92</f>
        <v>07 90 00</v>
      </c>
      <c r="C92" s="179" t="str">
        <f>'Pay App 1'!C92</f>
        <v>Joint Sealants</v>
      </c>
      <c r="D92" s="155">
        <f>'Pay App 1'!D92</f>
        <v>0</v>
      </c>
      <c r="E92" s="155">
        <f>VLOOKUP(B92,'Graph Data'!$O$2:$BX$88,6,FALSE)</f>
        <v>0</v>
      </c>
      <c r="F92" s="155">
        <f>IFERROR(E92+'Pay App 3'!F92,"")</f>
        <v>0</v>
      </c>
      <c r="G92" s="155">
        <f>SUM('Pay App 1:Pay App 3'!H92)</f>
        <v>0</v>
      </c>
      <c r="H92" s="154"/>
      <c r="I92" s="155">
        <f t="shared" si="0"/>
        <v>0</v>
      </c>
      <c r="J92" s="156">
        <f t="shared" si="1"/>
        <v>0</v>
      </c>
      <c r="K92" s="155">
        <f t="shared" si="2"/>
        <v>0</v>
      </c>
      <c r="L92" s="155" t="str">
        <f>IF(AND('Summary Sheet'!$E$23="No",$H$33&gt;0,H92&gt;=1),"",IF(AND('Summary Sheet'!$E$23="Yes",H92&lt;&gt;""),H92*'Summary Sheet'!$G$23,""))</f>
        <v/>
      </c>
      <c r="M92" s="154"/>
      <c r="N92" s="155">
        <f>SUM('Pay App 1:Pay App 4'!L92)+SUM('Pay App 1:Pay App 4'!M92)</f>
        <v>0</v>
      </c>
    </row>
    <row r="93" spans="1:14" ht="11.25" customHeight="1" x14ac:dyDescent="0.25">
      <c r="A93" s="152">
        <v>37</v>
      </c>
      <c r="B93" s="174" t="str">
        <f>'Pay App 1'!B93</f>
        <v>07 95 00</v>
      </c>
      <c r="C93" s="179" t="str">
        <f>'Pay App 1'!C93</f>
        <v>Expansion Joints</v>
      </c>
      <c r="D93" s="155">
        <f>'Pay App 1'!D93</f>
        <v>0</v>
      </c>
      <c r="E93" s="155">
        <f>VLOOKUP(B93,'Graph Data'!$O$2:$BX$88,6,FALSE)</f>
        <v>0</v>
      </c>
      <c r="F93" s="155">
        <f>IFERROR(E93+'Pay App 3'!F93,"")</f>
        <v>0</v>
      </c>
      <c r="G93" s="155">
        <f>SUM('Pay App 1:Pay App 3'!H93)</f>
        <v>0</v>
      </c>
      <c r="H93" s="154"/>
      <c r="I93" s="155">
        <f t="shared" si="0"/>
        <v>0</v>
      </c>
      <c r="J93" s="156">
        <f t="shared" si="1"/>
        <v>0</v>
      </c>
      <c r="K93" s="155">
        <f t="shared" si="2"/>
        <v>0</v>
      </c>
      <c r="L93" s="155" t="str">
        <f>IF(AND('Summary Sheet'!$E$23="No",$H$33&gt;0,H93&gt;=1),"",IF(AND('Summary Sheet'!$E$23="Yes",H93&lt;&gt;""),H93*'Summary Sheet'!$G$23,""))</f>
        <v/>
      </c>
      <c r="M93" s="154"/>
      <c r="N93" s="155">
        <f>SUM('Pay App 1:Pay App 4'!L93)+SUM('Pay App 1:Pay App 4'!M93)</f>
        <v>0</v>
      </c>
    </row>
    <row r="94" spans="1:14" ht="11.25" customHeight="1" x14ac:dyDescent="0.25">
      <c r="A94" s="152">
        <v>38</v>
      </c>
      <c r="B94" s="175" t="str">
        <f>'Pay App 1'!B94</f>
        <v>08 10 00</v>
      </c>
      <c r="C94" s="180" t="str">
        <f>'Pay App 1'!C94</f>
        <v>Doors, Frames &amp; Hardware</v>
      </c>
      <c r="D94" s="155">
        <f>'Pay App 1'!D94</f>
        <v>0</v>
      </c>
      <c r="E94" s="155">
        <f>VLOOKUP(B94,'Graph Data'!$O$2:$BX$88,6,FALSE)</f>
        <v>0</v>
      </c>
      <c r="F94" s="155">
        <f>IFERROR(E94+'Pay App 3'!F94,"")</f>
        <v>0</v>
      </c>
      <c r="G94" s="155">
        <f>SUM('Pay App 1:Pay App 3'!H94)</f>
        <v>0</v>
      </c>
      <c r="H94" s="154"/>
      <c r="I94" s="155">
        <f t="shared" si="0"/>
        <v>0</v>
      </c>
      <c r="J94" s="156">
        <f t="shared" si="1"/>
        <v>0</v>
      </c>
      <c r="K94" s="155">
        <f t="shared" si="2"/>
        <v>0</v>
      </c>
      <c r="L94" s="155" t="str">
        <f>IF(AND('Summary Sheet'!$E$23="No",$H$33&gt;0,H94&gt;=1),"",IF(AND('Summary Sheet'!$E$23="Yes",H94&lt;&gt;""),H94*'Summary Sheet'!$G$23,""))</f>
        <v/>
      </c>
      <c r="M94" s="154"/>
      <c r="N94" s="155">
        <f>SUM('Pay App 1:Pay App 4'!L94)+SUM('Pay App 1:Pay App 4'!M94)</f>
        <v>0</v>
      </c>
    </row>
    <row r="95" spans="1:14" ht="11.25" customHeight="1" x14ac:dyDescent="0.25">
      <c r="A95" s="152">
        <v>39</v>
      </c>
      <c r="B95" s="175" t="str">
        <f>'Pay App 1'!B95</f>
        <v>08 30 00</v>
      </c>
      <c r="C95" s="180" t="str">
        <f>'Pay App 1'!C95</f>
        <v>Specialty Doors</v>
      </c>
      <c r="D95" s="155">
        <f>'Pay App 1'!D95</f>
        <v>0</v>
      </c>
      <c r="E95" s="155">
        <f>VLOOKUP(B95,'Graph Data'!$O$2:$BX$88,6,FALSE)</f>
        <v>0</v>
      </c>
      <c r="F95" s="155">
        <f>IFERROR(E95+'Pay App 3'!F95,"")</f>
        <v>0</v>
      </c>
      <c r="G95" s="155">
        <f>SUM('Pay App 1:Pay App 3'!H95)</f>
        <v>0</v>
      </c>
      <c r="H95" s="154"/>
      <c r="I95" s="155">
        <f t="shared" si="0"/>
        <v>0</v>
      </c>
      <c r="J95" s="156">
        <f t="shared" si="1"/>
        <v>0</v>
      </c>
      <c r="K95" s="155">
        <f t="shared" si="2"/>
        <v>0</v>
      </c>
      <c r="L95" s="155" t="str">
        <f>IF(AND('Summary Sheet'!$E$23="No",$H$33&gt;0,H95&gt;=1),"",IF(AND('Summary Sheet'!$E$23="Yes",H95&lt;&gt;""),H95*'Summary Sheet'!$G$23,""))</f>
        <v/>
      </c>
      <c r="M95" s="154"/>
      <c r="N95" s="155">
        <f>SUM('Pay App 1:Pay App 4'!L95)+SUM('Pay App 1:Pay App 4'!M95)</f>
        <v>0</v>
      </c>
    </row>
    <row r="96" spans="1:14" ht="11.25" customHeight="1" x14ac:dyDescent="0.25">
      <c r="A96" s="152">
        <v>40</v>
      </c>
      <c r="B96" s="175" t="str">
        <f>'Pay App 1'!B96</f>
        <v>08 33 00</v>
      </c>
      <c r="C96" s="180" t="str">
        <f>'Pay App 1'!C96</f>
        <v>Overhead Doors/Coiling Doors</v>
      </c>
      <c r="D96" s="155">
        <f>'Pay App 1'!D96</f>
        <v>0</v>
      </c>
      <c r="E96" s="155">
        <f>VLOOKUP(B96,'Graph Data'!$O$2:$BX$88,6,FALSE)</f>
        <v>0</v>
      </c>
      <c r="F96" s="155">
        <f>IFERROR(E96+'Pay App 3'!F96,"")</f>
        <v>0</v>
      </c>
      <c r="G96" s="155">
        <f>SUM('Pay App 1:Pay App 3'!H96)</f>
        <v>0</v>
      </c>
      <c r="H96" s="154"/>
      <c r="I96" s="155">
        <f t="shared" si="0"/>
        <v>0</v>
      </c>
      <c r="J96" s="156">
        <f t="shared" si="1"/>
        <v>0</v>
      </c>
      <c r="K96" s="155">
        <f t="shared" si="2"/>
        <v>0</v>
      </c>
      <c r="L96" s="155" t="str">
        <f>IF(AND('Summary Sheet'!$E$23="No",$H$33&gt;0,H96&gt;=1),"",IF(AND('Summary Sheet'!$E$23="Yes",H96&lt;&gt;""),H96*'Summary Sheet'!$G$23,""))</f>
        <v/>
      </c>
      <c r="M96" s="154"/>
      <c r="N96" s="155">
        <f>SUM('Pay App 1:Pay App 4'!L96)+SUM('Pay App 1:Pay App 4'!M96)</f>
        <v>0</v>
      </c>
    </row>
    <row r="97" spans="1:15" ht="11.25" customHeight="1" x14ac:dyDescent="0.25">
      <c r="A97" s="152">
        <v>41</v>
      </c>
      <c r="B97" s="175" t="str">
        <f>'Pay App 1'!B97</f>
        <v>08 40 00</v>
      </c>
      <c r="C97" s="180" t="str">
        <f>'Pay App 1'!C97</f>
        <v>Curtain Wall, Glass &amp; Glazing</v>
      </c>
      <c r="D97" s="155">
        <f>'Pay App 1'!D97</f>
        <v>0</v>
      </c>
      <c r="E97" s="155">
        <f>VLOOKUP(B97,'Graph Data'!$O$2:$BX$88,6,FALSE)</f>
        <v>0</v>
      </c>
      <c r="F97" s="155">
        <f>IFERROR(E97+'Pay App 3'!F97,"")</f>
        <v>0</v>
      </c>
      <c r="G97" s="155">
        <f>SUM('Pay App 1:Pay App 3'!H97)</f>
        <v>0</v>
      </c>
      <c r="H97" s="154"/>
      <c r="I97" s="155">
        <f t="shared" si="0"/>
        <v>0</v>
      </c>
      <c r="J97" s="156">
        <f t="shared" si="1"/>
        <v>0</v>
      </c>
      <c r="K97" s="155">
        <f t="shared" si="2"/>
        <v>0</v>
      </c>
      <c r="L97" s="155" t="str">
        <f>IF(AND('Summary Sheet'!$E$23="No",$H$33&gt;0,H97&gt;=1),"",IF(AND('Summary Sheet'!$E$23="Yes",H97&lt;&gt;""),H97*'Summary Sheet'!$G$23,""))</f>
        <v/>
      </c>
      <c r="M97" s="154"/>
      <c r="N97" s="155">
        <f>SUM('Pay App 1:Pay App 4'!L97)+SUM('Pay App 1:Pay App 4'!M97)</f>
        <v>0</v>
      </c>
    </row>
    <row r="98" spans="1:15" ht="10.9" customHeight="1" x14ac:dyDescent="0.25">
      <c r="A98" s="152">
        <v>42</v>
      </c>
      <c r="B98" s="175" t="str">
        <f>'Pay App 1'!B98</f>
        <v>08 60 00</v>
      </c>
      <c r="C98" s="180" t="str">
        <f>'Pay App 1'!C98</f>
        <v>Skylights</v>
      </c>
      <c r="D98" s="155">
        <f>'Pay App 1'!D98</f>
        <v>0</v>
      </c>
      <c r="E98" s="155">
        <f>VLOOKUP(B98,'Graph Data'!$O$2:$BX$88,6,FALSE)</f>
        <v>0</v>
      </c>
      <c r="F98" s="155">
        <f>IFERROR(E98+'Pay App 3'!F98,"")</f>
        <v>0</v>
      </c>
      <c r="G98" s="155">
        <f>SUM('Pay App 1:Pay App 3'!H98)</f>
        <v>0</v>
      </c>
      <c r="H98" s="154"/>
      <c r="I98" s="155">
        <f t="shared" si="0"/>
        <v>0</v>
      </c>
      <c r="J98" s="156">
        <f t="shared" si="1"/>
        <v>0</v>
      </c>
      <c r="K98" s="155">
        <f t="shared" si="2"/>
        <v>0</v>
      </c>
      <c r="L98" s="155" t="str">
        <f>IF(AND('Summary Sheet'!$E$23="No",$H$33&gt;0,H98&gt;=1),"",IF(AND('Summary Sheet'!$E$23="Yes",H98&lt;&gt;""),H98*'Summary Sheet'!$G$23,""))</f>
        <v/>
      </c>
      <c r="M98" s="154"/>
      <c r="N98" s="155">
        <f>SUM('Pay App 1:Pay App 4'!L98)+SUM('Pay App 1:Pay App 4'!M98)</f>
        <v>0</v>
      </c>
    </row>
    <row r="99" spans="1:15" ht="10.9" customHeight="1" x14ac:dyDescent="0.25">
      <c r="A99" s="152">
        <v>43</v>
      </c>
      <c r="B99" s="175" t="str">
        <f>'Pay App 1'!B99</f>
        <v>08 90 00</v>
      </c>
      <c r="C99" s="180" t="str">
        <f>'Pay App 1'!C99</f>
        <v>Louvers &amp; Vents</v>
      </c>
      <c r="D99" s="155">
        <f>'Pay App 1'!D99</f>
        <v>0</v>
      </c>
      <c r="E99" s="155">
        <f>VLOOKUP(B99,'Graph Data'!$O$2:$BX$88,6,FALSE)</f>
        <v>0</v>
      </c>
      <c r="F99" s="155">
        <f>IFERROR(E99+'Pay App 3'!F99,"")</f>
        <v>0</v>
      </c>
      <c r="G99" s="155">
        <f>SUM('Pay App 1:Pay App 3'!H99)</f>
        <v>0</v>
      </c>
      <c r="H99" s="154"/>
      <c r="I99" s="155">
        <f t="shared" si="0"/>
        <v>0</v>
      </c>
      <c r="J99" s="156">
        <f t="shared" si="1"/>
        <v>0</v>
      </c>
      <c r="K99" s="155">
        <f t="shared" si="2"/>
        <v>0</v>
      </c>
      <c r="L99" s="155" t="str">
        <f>IF(AND('Summary Sheet'!$E$23="No",$H$33&gt;0,H99&gt;=1),"",IF(AND('Summary Sheet'!$E$23="Yes",H99&lt;&gt;""),H99*'Summary Sheet'!$G$23,""))</f>
        <v/>
      </c>
      <c r="M99" s="154"/>
      <c r="N99" s="155">
        <f>SUM('Pay App 1:Pay App 4'!L99)+SUM('Pay App 1:Pay App 4'!M99)</f>
        <v>0</v>
      </c>
    </row>
    <row r="100" spans="1:15" ht="11.25" customHeight="1" x14ac:dyDescent="0.25">
      <c r="A100" s="153">
        <v>44</v>
      </c>
      <c r="B100" s="176" t="str">
        <f>'Pay App 1'!B100</f>
        <v>09 20 00</v>
      </c>
      <c r="C100" s="181" t="str">
        <f>'Pay App 1'!C100</f>
        <v>Gypsum Board Systems</v>
      </c>
      <c r="D100" s="155">
        <f>'Pay App 1'!D100</f>
        <v>0</v>
      </c>
      <c r="E100" s="155">
        <f>VLOOKUP(B100,'Graph Data'!$O$2:$BX$88,6,FALSE)</f>
        <v>0</v>
      </c>
      <c r="F100" s="155">
        <f>IFERROR(E100+'Pay App 3'!F100,"")</f>
        <v>0</v>
      </c>
      <c r="G100" s="155">
        <f>SUM('Pay App 1:Pay App 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4'!L100)+SUM('Pay App 1:Pay App 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Data'!$O$2:$BX$88,6,FALSE)</f>
        <v>0</v>
      </c>
      <c r="F106" s="155">
        <f>IFERROR(E106+'Pay App 3'!F106,"")</f>
        <v>0</v>
      </c>
      <c r="G106" s="155">
        <f>SUM('Pay App 1:Pay App 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4'!L106)+SUM('Pay App 1:Pay App 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Data'!$O$2:$BX$88,6,FALSE)</f>
        <v>0</v>
      </c>
      <c r="F107" s="155">
        <f>IFERROR(E107+'Pay App 3'!F107,"")</f>
        <v>0</v>
      </c>
      <c r="G107" s="155">
        <f>SUM('Pay App 1:Pay App 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4'!L107)+SUM('Pay App 1:Pay App 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Data'!$O$2:$BX$88,6,FALSE)</f>
        <v>0</v>
      </c>
      <c r="F108" s="155">
        <f>IFERROR(E108+'Pay App 3'!F108,"")</f>
        <v>0</v>
      </c>
      <c r="G108" s="155">
        <f>SUM('Pay App 1:Pay App 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4'!L108)+SUM('Pay App 1:Pay App 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Data'!$O$2:$BX$88,6,FALSE)</f>
        <v>0</v>
      </c>
      <c r="F109" s="155">
        <f>IFERROR(E109+'Pay App 3'!F109,"")</f>
        <v>0</v>
      </c>
      <c r="G109" s="155">
        <f>SUM('Pay App 1:Pay App 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4'!L109)+SUM('Pay App 1:Pay App 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Data'!$O$2:$BX$88,6,FALSE)</f>
        <v>0</v>
      </c>
      <c r="F110" s="155">
        <f>IFERROR(E110+'Pay App 3'!F110,"")</f>
        <v>0</v>
      </c>
      <c r="G110" s="155">
        <f>SUM('Pay App 1:Pay App 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4'!L110)+SUM('Pay App 1:Pay App 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Data'!$O$2:$BX$88,6,FALSE)</f>
        <v>0</v>
      </c>
      <c r="F111" s="155">
        <f>IFERROR(E111+'Pay App 3'!F111,"")</f>
        <v>0</v>
      </c>
      <c r="G111" s="155">
        <f>SUM('Pay App 1:Pay App 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4'!L111)+SUM('Pay App 1:Pay App 4'!M111)</f>
        <v>0</v>
      </c>
    </row>
    <row r="112" spans="1:15" ht="11.25" customHeight="1" x14ac:dyDescent="0.25">
      <c r="A112" s="152">
        <f t="shared" si="3"/>
        <v>51</v>
      </c>
      <c r="B112" s="148" t="str">
        <f>'Pay App 1'!B112</f>
        <v>09 90 00</v>
      </c>
      <c r="C112" s="143" t="str">
        <f>'Pay App 1'!C112</f>
        <v>Painting</v>
      </c>
      <c r="D112" s="155">
        <f>'Pay App 1'!D112</f>
        <v>0</v>
      </c>
      <c r="E112" s="155">
        <f>VLOOKUP(B112,'Graph Data'!$O$2:$BX$88,6,FALSE)</f>
        <v>0</v>
      </c>
      <c r="F112" s="155">
        <f>IFERROR(E112+'Pay App 3'!F112,"")</f>
        <v>0</v>
      </c>
      <c r="G112" s="155">
        <f>SUM('Pay App 1:Pay App 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4'!L112)+SUM('Pay App 1:Pay App 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Data'!$O$2:$BX$88,6,FALSE)</f>
        <v>0</v>
      </c>
      <c r="F113" s="155">
        <f>IFERROR(E113+'Pay App 3'!F113,"")</f>
        <v>0</v>
      </c>
      <c r="G113" s="155">
        <f>SUM('Pay App 1:Pay App 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4'!L113)+SUM('Pay App 1:Pay App 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Data'!$O$2:$BX$88,6,FALSE)</f>
        <v>0</v>
      </c>
      <c r="F114" s="155">
        <f>IFERROR(E114+'Pay App 3'!F114,"")</f>
        <v>0</v>
      </c>
      <c r="G114" s="155">
        <f>SUM('Pay App 1:Pay App 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4'!L114)+SUM('Pay App 1:Pay App 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Data'!$O$2:$BX$88,6,FALSE)</f>
        <v>0</v>
      </c>
      <c r="F115" s="155">
        <f>IFERROR(E115+'Pay App 3'!F115,"")</f>
        <v>0</v>
      </c>
      <c r="G115" s="155">
        <f>SUM('Pay App 1:Pay App 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4'!L115)+SUM('Pay App 1:Pay App 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Data'!$O$2:$BX$88,6,FALSE)</f>
        <v>0</v>
      </c>
      <c r="F116" s="155">
        <f>IFERROR(E116+'Pay App 3'!F116,"")</f>
        <v>0</v>
      </c>
      <c r="G116" s="155">
        <f>SUM('Pay App 1:Pay App 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4'!L116)+SUM('Pay App 1:Pay App 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Data'!$O$2:$BX$88,6,FALSE)</f>
        <v>0</v>
      </c>
      <c r="F117" s="155">
        <f>IFERROR(E117+'Pay App 3'!F117,"")</f>
        <v>0</v>
      </c>
      <c r="G117" s="155">
        <f>SUM('Pay App 1:Pay App 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4'!L117)+SUM('Pay App 1:Pay App 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Data'!$O$2:$BX$88,6,FALSE)</f>
        <v>0</v>
      </c>
      <c r="F118" s="155">
        <f>IFERROR(E118+'Pay App 3'!F118,"")</f>
        <v>0</v>
      </c>
      <c r="G118" s="155">
        <f>SUM('Pay App 1:Pay App 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4'!L118)+SUM('Pay App 1:Pay App 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Data'!$O$2:$BX$88,6,FALSE)</f>
        <v>0</v>
      </c>
      <c r="F119" s="155">
        <f>IFERROR(E119+'Pay App 3'!F119,"")</f>
        <v>0</v>
      </c>
      <c r="G119" s="155">
        <f>SUM('Pay App 1:Pay App 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4'!L119)+SUM('Pay App 1:Pay App 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Data'!$O$2:$BX$88,6,FALSE)</f>
        <v>0</v>
      </c>
      <c r="F120" s="155">
        <f>IFERROR(E120+'Pay App 3'!F120,"")</f>
        <v>0</v>
      </c>
      <c r="G120" s="155">
        <f>SUM('Pay App 1:Pay App 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4'!L120)+SUM('Pay App 1:Pay App 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Data'!$O$2:$BX$88,6,FALSE)</f>
        <v>0</v>
      </c>
      <c r="F121" s="155">
        <f>IFERROR(E121+'Pay App 3'!F121,"")</f>
        <v>0</v>
      </c>
      <c r="G121" s="155">
        <f>SUM('Pay App 1:Pay App 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4'!L121)+SUM('Pay App 1:Pay App 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Data'!$O$2:$BX$88,6,FALSE)</f>
        <v>0</v>
      </c>
      <c r="F122" s="155">
        <f>IFERROR(E122+'Pay App 3'!F122,"")</f>
        <v>0</v>
      </c>
      <c r="G122" s="155">
        <f>SUM('Pay App 1:Pay App 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4'!L122)+SUM('Pay App 1:Pay App 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Data'!$O$2:$BX$88,6,FALSE)</f>
        <v>0</v>
      </c>
      <c r="F123" s="155">
        <f>IFERROR(E123+'Pay App 3'!F123,"")</f>
        <v>0</v>
      </c>
      <c r="G123" s="155">
        <f>SUM('Pay App 1:Pay App 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4'!L123)+SUM('Pay App 1:Pay App 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Data'!$O$2:$BX$88,6,FALSE)</f>
        <v>0</v>
      </c>
      <c r="F124" s="155">
        <f>IFERROR(E124+'Pay App 3'!F124,"")</f>
        <v>0</v>
      </c>
      <c r="G124" s="155">
        <f>SUM('Pay App 1:Pay App 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4'!L124)+SUM('Pay App 1:Pay App 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Data'!$O$2:$BX$88,6,FALSE)</f>
        <v>0</v>
      </c>
      <c r="F125" s="155">
        <f>IFERROR(E125+'Pay App 3'!F125,"")</f>
        <v>0</v>
      </c>
      <c r="G125" s="155">
        <f>SUM('Pay App 1:Pay App 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4'!L125)+SUM('Pay App 1:Pay App 4'!M125)</f>
        <v>0</v>
      </c>
    </row>
    <row r="126" spans="1:14" ht="11.25" customHeight="1" x14ac:dyDescent="0.25">
      <c r="A126" s="152">
        <f t="shared" si="3"/>
        <v>65</v>
      </c>
      <c r="B126" s="188" t="str">
        <f>'Pay App 1'!B126</f>
        <v>14 20 00</v>
      </c>
      <c r="C126" s="194" t="str">
        <f>'Pay App 1'!C126</f>
        <v>Elevator</v>
      </c>
      <c r="D126" s="155">
        <f>'Pay App 1'!D126</f>
        <v>0</v>
      </c>
      <c r="E126" s="155">
        <f>VLOOKUP(B126,'Graph Data'!$O$2:$BX$88,6,FALSE)</f>
        <v>0</v>
      </c>
      <c r="F126" s="155">
        <f>IFERROR(E126+'Pay App 3'!F126,"")</f>
        <v>0</v>
      </c>
      <c r="G126" s="155">
        <f>SUM('Pay App 1:Pay App 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4'!L126)+SUM('Pay App 1:Pay App 4'!M126)</f>
        <v>0</v>
      </c>
    </row>
    <row r="127" spans="1:14" ht="11.25" customHeight="1" x14ac:dyDescent="0.25">
      <c r="A127" s="152">
        <f t="shared" si="3"/>
        <v>66</v>
      </c>
      <c r="B127" s="188" t="str">
        <f>'Pay App 1'!B127</f>
        <v>14 40 00</v>
      </c>
      <c r="C127" s="194" t="str">
        <f>'Pay App 1'!C127</f>
        <v>Lifts</v>
      </c>
      <c r="D127" s="155">
        <f>'Pay App 1'!D127</f>
        <v>0</v>
      </c>
      <c r="E127" s="155">
        <f>VLOOKUP(B127,'Graph Data'!$O$2:$BX$88,6,FALSE)</f>
        <v>0</v>
      </c>
      <c r="F127" s="155">
        <f>IFERROR(E127+'Pay App 3'!F127,"")</f>
        <v>0</v>
      </c>
      <c r="G127" s="155">
        <f>SUM('Pay App 1:Pay App 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4'!L127)+SUM('Pay App 1:Pay App 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Data'!$O$2:$BX$88,6,FALSE)</f>
        <v>0</v>
      </c>
      <c r="F128" s="155">
        <f>IFERROR(E128+'Pay App 3'!F128,"")</f>
        <v>0</v>
      </c>
      <c r="G128" s="155">
        <f>SUM('Pay App 1:Pay App 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4'!L128)+SUM('Pay App 1:Pay App 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Data'!$O$2:$BX$88,6,FALSE)</f>
        <v>0</v>
      </c>
      <c r="F129" s="155">
        <f>IFERROR(E129+'Pay App 3'!F129,"")</f>
        <v>0</v>
      </c>
      <c r="G129" s="155">
        <f>SUM('Pay App 1:Pay App 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4'!L129)+SUM('Pay App 1:Pay App 4'!M129)</f>
        <v>0</v>
      </c>
    </row>
    <row r="130" spans="1:14" ht="11.25" customHeight="1" x14ac:dyDescent="0.25">
      <c r="A130" s="152">
        <f t="shared" si="3"/>
        <v>69</v>
      </c>
      <c r="B130" s="185" t="str">
        <f>'Pay App 1'!B130</f>
        <v>22 00 00</v>
      </c>
      <c r="C130" s="191" t="str">
        <f>'Pay App 1'!C130</f>
        <v>Plumbing</v>
      </c>
      <c r="D130" s="155">
        <f>'Pay App 1'!D130</f>
        <v>0</v>
      </c>
      <c r="E130" s="155">
        <f>VLOOKUP(B130,'Graph Data'!$O$2:$BX$88,6,FALSE)</f>
        <v>0</v>
      </c>
      <c r="F130" s="155">
        <f>IFERROR(E130+'Pay App 3'!F130,"")</f>
        <v>0</v>
      </c>
      <c r="G130" s="155">
        <f>SUM('Pay App 1:Pay App 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4'!L130)+SUM('Pay App 1:Pay App 4'!M130)</f>
        <v>0</v>
      </c>
    </row>
    <row r="131" spans="1:14" ht="11.25" customHeight="1" x14ac:dyDescent="0.25">
      <c r="A131" s="152">
        <f t="shared" si="3"/>
        <v>70</v>
      </c>
      <c r="B131" s="186" t="str">
        <f>'Pay App 1'!B131</f>
        <v>23 00 00</v>
      </c>
      <c r="C131" s="192" t="str">
        <f>'Pay App 1'!C131</f>
        <v>HVAC</v>
      </c>
      <c r="D131" s="155">
        <f>'Pay App 1'!D131</f>
        <v>0</v>
      </c>
      <c r="E131" s="155">
        <f>VLOOKUP(B131,'Graph Data'!$O$2:$BX$88,6,FALSE)</f>
        <v>0</v>
      </c>
      <c r="F131" s="155">
        <f>IFERROR(E131+'Pay App 3'!F131,"")</f>
        <v>0</v>
      </c>
      <c r="G131" s="155">
        <f>SUM('Pay App 1:Pay App 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4'!L131)+SUM('Pay App 1:Pay App 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Data'!$O$2:$BX$88,6,FALSE)</f>
        <v>0</v>
      </c>
      <c r="F132" s="155">
        <f>IFERROR(E132+'Pay App 3'!F132,"")</f>
        <v>0</v>
      </c>
      <c r="G132" s="155">
        <f>SUM('Pay App 1:Pay App 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4'!L132)+SUM('Pay App 1:Pay App 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Data'!$O$2:$BX$88,6,FALSE)</f>
        <v>0</v>
      </c>
      <c r="F133" s="155">
        <f>IFERROR(E133+'Pay App 3'!F133,"")</f>
        <v>0</v>
      </c>
      <c r="G133" s="155">
        <f>SUM('Pay App 1:Pay App 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4'!L133)+SUM('Pay App 1:Pay App 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Data'!$O$2:$BX$88,6,FALSE)</f>
        <v>0</v>
      </c>
      <c r="F134" s="155">
        <f>IFERROR(E134+'Pay App 3'!F134,"")</f>
        <v>0</v>
      </c>
      <c r="G134" s="155">
        <f>SUM('Pay App 1:Pay App 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4'!L134)+SUM('Pay App 1:Pay App 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Data'!$O$2:$BX$88,6,FALSE)</f>
        <v>0</v>
      </c>
      <c r="F135" s="155">
        <f>IFERROR(E135+'Pay App 3'!F135,"")</f>
        <v>0</v>
      </c>
      <c r="G135" s="155">
        <f>SUM('Pay App 1:Pay App 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4'!L135)+SUM('Pay App 1:Pay App 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Data'!$O$2:$BX$88,6,FALSE)</f>
        <v>0</v>
      </c>
      <c r="F136" s="155">
        <f>IFERROR(E136+'Pay App 3'!F136,"")</f>
        <v>0</v>
      </c>
      <c r="G136" s="155">
        <f>SUM('Pay App 1:Pay App 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4'!L136)+SUM('Pay App 1:Pay App 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Data'!$O$2:$BX$88,6,FALSE)</f>
        <v>0</v>
      </c>
      <c r="F137" s="155">
        <f>IFERROR(E137+'Pay App 3'!F137,"")</f>
        <v>0</v>
      </c>
      <c r="G137" s="155">
        <f>SUM('Pay App 1:Pay App 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4'!L137)+SUM('Pay App 1:Pay App 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Data'!$O$2:$BX$88,6,FALSE)</f>
        <v>0</v>
      </c>
      <c r="F138" s="155">
        <f>IFERROR(E138+'Pay App 3'!F138,"")</f>
        <v>0</v>
      </c>
      <c r="G138" s="155">
        <f>SUM('Pay App 1:Pay App 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4'!L138)+SUM('Pay App 1:Pay App 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Data'!$O$2:$BX$88,6,FALSE)</f>
        <v>0</v>
      </c>
      <c r="F139" s="155">
        <f>IFERROR(E139+'Pay App 3'!F139,"")</f>
        <v>0</v>
      </c>
      <c r="G139" s="155">
        <f>SUM('Pay App 1:Pay App 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4'!L139)+SUM('Pay App 1:Pay App 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Data'!$O$2:$BX$88,6,FALSE)</f>
        <v>0</v>
      </c>
      <c r="F140" s="155">
        <f>IFERROR(E140+'Pay App 3'!F140,"")</f>
        <v>0</v>
      </c>
      <c r="G140" s="155">
        <f>SUM('Pay App 1:Pay App 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4'!L140)+SUM('Pay App 1:Pay App 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Data'!$O$2:$BX$88,6,FALSE)</f>
        <v>0</v>
      </c>
      <c r="F141" s="155">
        <f>IFERROR(E141+'Pay App 3'!F141,"")</f>
        <v>0</v>
      </c>
      <c r="G141" s="155">
        <f>SUM('Pay App 1:Pay App 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4'!L141)+SUM('Pay App 1:Pay App 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Data'!$O$2:$BX$88,6,FALSE)</f>
        <v>0</v>
      </c>
      <c r="F142" s="155">
        <f>IFERROR(E142+'Pay App 3'!F142,"")</f>
        <v>0</v>
      </c>
      <c r="G142" s="155">
        <f>SUM('Pay App 1:Pay App 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4'!L142)+SUM('Pay App 1:Pay App 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Data'!$O$2:$BX$88,6,FALSE)</f>
        <v>0</v>
      </c>
      <c r="F143" s="155">
        <f>IFERROR(E143+'Pay App 3'!F143,"")</f>
        <v>0</v>
      </c>
      <c r="G143" s="155">
        <f>SUM('Pay App 1:Pay App 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4'!L143)+SUM('Pay App 1:Pay App 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Data'!$O$2:$BX$88,6,FALSE)</f>
        <v>0</v>
      </c>
      <c r="F144" s="155">
        <f>IFERROR(E144+'Pay App 3'!F144,"")</f>
        <v>0</v>
      </c>
      <c r="G144" s="155">
        <f>SUM('Pay App 1:Pay App 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4'!L144)+SUM('Pay App 1:Pay App 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Data'!$O$2:$BX$88,6,FALSE)</f>
        <v>0</v>
      </c>
      <c r="F145" s="155">
        <f>IFERROR(E145+'Pay App 3'!F145,"")</f>
        <v>0</v>
      </c>
      <c r="G145" s="155">
        <f>SUM('Pay App 1:Pay App 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4'!L145)+SUM('Pay App 1:Pay App 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Data'!$O$2:$BX$88,6,FALSE)</f>
        <v>0</v>
      </c>
      <c r="F146" s="155">
        <f>IFERROR(E146+'Pay App 3'!F146,"")</f>
        <v>0</v>
      </c>
      <c r="G146" s="155">
        <f>SUM('Pay App 1:Pay App 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4'!L146)+SUM('Pay App 1:Pay App 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Data'!$O$2:$BX$88,6,FALSE)</f>
        <v>0</v>
      </c>
      <c r="F147" s="155">
        <f>IFERROR(E147+'Pay App 3'!F147,"")</f>
        <v>0</v>
      </c>
      <c r="G147" s="155">
        <f>SUM('Pay App 1:Pay App 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4'!L147)+SUM('Pay App 1:Pay App 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Data'!$O$2:$BX$88,6,FALSE)</f>
        <v>0</v>
      </c>
      <c r="F148" s="155">
        <f>IFERROR(E148+'Pay App 3'!F148,"")</f>
        <v>0</v>
      </c>
      <c r="G148" s="155">
        <f>SUM('Pay App 1:Pay App 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4'!L148)+SUM('Pay App 1:Pay App 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qY/qlQ6zVtUNAOW1wiA3LTAV98ldneHHXCJRReRppuyqB9PsnoYX0mZZpARex1/Da3BJx6seG1MEcySFcxKa9Q==" saltValue="Db7x7y9t35IDeHjuXApzcg==" spinCount="100000" sheet="1" objects="1" scenarios="1" selectLockedCells="1"/>
  <mergeCells count="60">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20:C20"/>
    <mergeCell ref="D20:H20"/>
    <mergeCell ref="I48:N51"/>
    <mergeCell ref="A21:C21"/>
    <mergeCell ref="D21:H21"/>
    <mergeCell ref="I22:K22"/>
    <mergeCell ref="L22:N22"/>
    <mergeCell ref="A23:H23"/>
    <mergeCell ref="A24:H25"/>
    <mergeCell ref="I24:N33"/>
    <mergeCell ref="I37:K37"/>
    <mergeCell ref="I41:K41"/>
    <mergeCell ref="I45:K45"/>
    <mergeCell ref="A18:C18"/>
    <mergeCell ref="D18:H18"/>
    <mergeCell ref="F17:H17"/>
    <mergeCell ref="A19:C19"/>
    <mergeCell ref="D19:H19"/>
    <mergeCell ref="A15:C15"/>
    <mergeCell ref="F15:H15"/>
    <mergeCell ref="A16:C16"/>
    <mergeCell ref="D16:E16"/>
    <mergeCell ref="F16:H16"/>
    <mergeCell ref="D10:H10"/>
    <mergeCell ref="A11:C11"/>
    <mergeCell ref="D11:H11"/>
    <mergeCell ref="A12:C14"/>
    <mergeCell ref="D12:H12"/>
    <mergeCell ref="D13:H13"/>
    <mergeCell ref="D14:G14"/>
    <mergeCell ref="D1:L2"/>
    <mergeCell ref="A4:H4"/>
    <mergeCell ref="D3:F3"/>
    <mergeCell ref="J3:L3"/>
    <mergeCell ref="A5:C8"/>
    <mergeCell ref="D5:H5"/>
    <mergeCell ref="I5:K5"/>
    <mergeCell ref="D6:H6"/>
    <mergeCell ref="I6:N18"/>
    <mergeCell ref="D7:H7"/>
    <mergeCell ref="D8:H8"/>
    <mergeCell ref="A9:C9"/>
    <mergeCell ref="D9:H9"/>
    <mergeCell ref="A10:C10"/>
    <mergeCell ref="A17:C17"/>
    <mergeCell ref="D17:E17"/>
  </mergeCells>
  <conditionalFormatting sqref="D57:G100">
    <cfRule type="cellIs" dxfId="626" priority="2" operator="equal">
      <formula>0</formula>
    </cfRule>
  </conditionalFormatting>
  <conditionalFormatting sqref="D106:G148">
    <cfRule type="cellIs" dxfId="625" priority="1" operator="equal">
      <formula>0</formula>
    </cfRule>
  </conditionalFormatting>
  <conditionalFormatting sqref="D10:H10 D12:H14 D19:H21">
    <cfRule type="cellIs" dxfId="624" priority="6" operator="equal">
      <formula>0</formula>
    </cfRule>
  </conditionalFormatting>
  <conditionalFormatting sqref="H51">
    <cfRule type="cellIs" dxfId="623" priority="9" operator="lessThan">
      <formula>0</formula>
    </cfRule>
  </conditionalFormatting>
  <conditionalFormatting sqref="I57:I100 K57:K100 I106:I148 K106:K148 N106:N148">
    <cfRule type="cellIs" dxfId="622" priority="14" operator="equal">
      <formula>0</formula>
    </cfRule>
  </conditionalFormatting>
  <conditionalFormatting sqref="J57:J100 J106:J149">
    <cfRule type="cellIs" dxfId="621" priority="11" operator="greaterThan">
      <formula>1</formula>
    </cfRule>
    <cfRule type="cellIs" dxfId="620" priority="12" operator="equal">
      <formula>0</formula>
    </cfRule>
  </conditionalFormatting>
  <conditionalFormatting sqref="K57:K100 K106:K148">
    <cfRule type="cellIs" dxfId="619" priority="10" operator="lessThan">
      <formula>0</formula>
    </cfRule>
  </conditionalFormatting>
  <conditionalFormatting sqref="M57:M100">
    <cfRule type="cellIs" dxfId="618" priority="13" operator="lessThan">
      <formula>0</formula>
    </cfRule>
  </conditionalFormatting>
  <conditionalFormatting sqref="M106:M148">
    <cfRule type="cellIs" dxfId="617" priority="8" operator="lessThan">
      <formula>0</formula>
    </cfRule>
  </conditionalFormatting>
  <conditionalFormatting sqref="N57:N100">
    <cfRule type="cellIs" dxfId="61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C574635-0154-45DB-858E-DD6ED0D3544F}">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42C4-6556-460B-B095-15F45E1430BF}">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5.0999999999999996</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Data'!$O$2:$BX$88,7,FALSE)</f>
        <v>0</v>
      </c>
      <c r="F57" s="155">
        <f>IFERROR(E57+'Pay App 4'!F57,"")</f>
        <v>0</v>
      </c>
      <c r="G57" s="155">
        <f>SUM('Pay App 1:Pay App 4'!H57)</f>
        <v>0</v>
      </c>
      <c r="H57" s="154"/>
      <c r="I57" s="155">
        <f>G57+H57</f>
        <v>0</v>
      </c>
      <c r="J57" s="156">
        <f>IFERROR(I57/F57,0)</f>
        <v>0</v>
      </c>
      <c r="K57" s="155">
        <f>IFERROR(F57-I57,"")</f>
        <v>0</v>
      </c>
      <c r="L57" s="155" t="str">
        <f>IF(AND('Summary Sheet'!$E$23="No",$H$33&gt;0,H57&gt;=1),"",IF(AND('Summary Sheet'!$E$23="Yes",H57&lt;&gt;""),H57*'Summary Sheet'!$G$23,""))</f>
        <v/>
      </c>
      <c r="M57" s="154"/>
      <c r="N57" s="155">
        <f>SUM('Pay App 1:Pay App 5'!L57)+SUM('Pay App 1:Pay App 5'!M57)</f>
        <v>0</v>
      </c>
    </row>
    <row r="58" spans="1:16" ht="11.25" customHeight="1" x14ac:dyDescent="0.25">
      <c r="A58" s="152">
        <v>2</v>
      </c>
      <c r="B58" s="145" t="str">
        <f>'Pay App 1'!B58</f>
        <v>00 02 00</v>
      </c>
      <c r="C58" s="134" t="str">
        <f>'Pay App 1'!C58</f>
        <v>Preconstruction Services</v>
      </c>
      <c r="D58" s="155">
        <f>'Pay App 1'!D58</f>
        <v>0</v>
      </c>
      <c r="E58" s="155">
        <f>VLOOKUP(B58,'Graph Data'!$O$2:$BX$88,7,FALSE)</f>
        <v>0</v>
      </c>
      <c r="F58" s="155">
        <f>IFERROR(E58+'Pay App 4'!F58,"")</f>
        <v>0</v>
      </c>
      <c r="G58" s="155">
        <f>SUM('Pay App 1:Pay App 4'!H58)</f>
        <v>0</v>
      </c>
      <c r="H58" s="154"/>
      <c r="I58" s="155">
        <f>G58+H58</f>
        <v>0</v>
      </c>
      <c r="J58" s="156">
        <f>IFERROR(I58/F58,0)</f>
        <v>0</v>
      </c>
      <c r="K58" s="155">
        <f>IFERROR(F58-I58,"")</f>
        <v>0</v>
      </c>
      <c r="L58" s="155" t="str">
        <f>IF(AND('Summary Sheet'!$E$23="No",$H$33&gt;0,H58&gt;=1),"",IF(AND('Summary Sheet'!$E$23="Yes",H58&lt;&gt;""),H58*'Summary Sheet'!$G$23,""))</f>
        <v/>
      </c>
      <c r="M58" s="154"/>
      <c r="N58" s="155">
        <f>SUM('Pay App 1:Pay App 5'!L58)+SUM('Pay App 1:Pay App 5'!M58)</f>
        <v>0</v>
      </c>
    </row>
    <row r="59" spans="1:16" ht="11.25" customHeight="1" x14ac:dyDescent="0.25">
      <c r="A59" s="152">
        <v>3</v>
      </c>
      <c r="B59" s="174" t="str">
        <f>'Pay App 1'!B59</f>
        <v>01 00 00</v>
      </c>
      <c r="C59" s="179" t="str">
        <f>'Pay App 1'!C59</f>
        <v>General Conditions/Requirements</v>
      </c>
      <c r="D59" s="155">
        <f>'Pay App 1'!D59</f>
        <v>0</v>
      </c>
      <c r="E59" s="155">
        <f>VLOOKUP(B59,'Graph Data'!$O$2:$BX$88,7,FALSE)</f>
        <v>0</v>
      </c>
      <c r="F59" s="155">
        <f>IFERROR(E59+'Pay App 4'!F59,"")</f>
        <v>0</v>
      </c>
      <c r="G59" s="155">
        <f>SUM('Pay App 1:Pay App 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5'!L59)+SUM('Pay App 1:Pay App 5'!M59)</f>
        <v>0</v>
      </c>
    </row>
    <row r="60" spans="1:16" ht="11.25" customHeight="1" x14ac:dyDescent="0.25">
      <c r="A60" s="152">
        <v>4</v>
      </c>
      <c r="B60" s="174" t="str">
        <f>'Pay App 1'!B60</f>
        <v>01 13 41</v>
      </c>
      <c r="C60" s="179" t="str">
        <f>'Pay App 1'!C60</f>
        <v>Temp. Scaffolding and Platforms</v>
      </c>
      <c r="D60" s="155">
        <f>'Pay App 1'!D60</f>
        <v>0</v>
      </c>
      <c r="E60" s="155">
        <f>VLOOKUP(B60,'Graph Data'!$O$2:$BX$88,7,FALSE)</f>
        <v>0</v>
      </c>
      <c r="F60" s="155">
        <f>IFERROR(E60+'Pay App 4'!F60,"")</f>
        <v>0</v>
      </c>
      <c r="G60" s="155">
        <f>SUM('Pay App 1:Pay App 4'!H60)</f>
        <v>0</v>
      </c>
      <c r="H60" s="154"/>
      <c r="I60" s="155">
        <f t="shared" si="0"/>
        <v>0</v>
      </c>
      <c r="J60" s="156">
        <f t="shared" si="1"/>
        <v>0</v>
      </c>
      <c r="K60" s="155">
        <f t="shared" si="2"/>
        <v>0</v>
      </c>
      <c r="L60" s="155" t="str">
        <f>IF(AND('Summary Sheet'!$E$23="No",$H$33&gt;0,H60&gt;=1),"",IF(AND('Summary Sheet'!$E$23="Yes",H60&lt;&gt;""),H60*'Summary Sheet'!$G$23,""))</f>
        <v/>
      </c>
      <c r="M60" s="154"/>
      <c r="N60" s="155">
        <f>SUM('Pay App 1:Pay App 5'!L60)+SUM('Pay App 1:Pay App 5'!M60)</f>
        <v>0</v>
      </c>
    </row>
    <row r="61" spans="1:16" ht="11.25" customHeight="1" x14ac:dyDescent="0.25">
      <c r="A61" s="152">
        <v>5</v>
      </c>
      <c r="B61" s="174" t="str">
        <f>'Pay App 1'!B61</f>
        <v>01 13 60</v>
      </c>
      <c r="C61" s="179" t="str">
        <f>'Pay App 1'!C61</f>
        <v>SWPPP</v>
      </c>
      <c r="D61" s="155">
        <f>'Pay App 1'!D61</f>
        <v>0</v>
      </c>
      <c r="E61" s="155">
        <f>VLOOKUP(B61,'Graph Data'!$O$2:$BX$88,7,FALSE)</f>
        <v>0</v>
      </c>
      <c r="F61" s="155">
        <f>IFERROR(E61+'Pay App 4'!F61,"")</f>
        <v>0</v>
      </c>
      <c r="G61" s="155">
        <f>SUM('Pay App 1:Pay App 4'!H61)</f>
        <v>0</v>
      </c>
      <c r="H61" s="154"/>
      <c r="I61" s="155">
        <f t="shared" si="0"/>
        <v>0</v>
      </c>
      <c r="J61" s="156">
        <f t="shared" si="1"/>
        <v>0</v>
      </c>
      <c r="K61" s="155">
        <f t="shared" si="2"/>
        <v>0</v>
      </c>
      <c r="L61" s="155" t="str">
        <f>IF(AND('Summary Sheet'!$E$23="No",$H$33&gt;0,H61&gt;=1),"",IF(AND('Summary Sheet'!$E$23="Yes",H61&lt;&gt;""),H61*'Summary Sheet'!$G$23,""))</f>
        <v/>
      </c>
      <c r="M61" s="154"/>
      <c r="N61" s="155">
        <f>SUM('Pay App 1:Pay App 5'!L61)+SUM('Pay App 1:Pay App 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Data'!$O$2:$BX$88,7,FALSE)</f>
        <v>0</v>
      </c>
      <c r="F62" s="155">
        <f>IFERROR(E62+'Pay App 4'!F62,"")</f>
        <v>0</v>
      </c>
      <c r="G62" s="155">
        <f>SUM('Pay App 1:Pay App 4'!H62)</f>
        <v>0</v>
      </c>
      <c r="H62" s="154"/>
      <c r="I62" s="155">
        <f t="shared" si="0"/>
        <v>0</v>
      </c>
      <c r="J62" s="156">
        <f t="shared" si="1"/>
        <v>0</v>
      </c>
      <c r="K62" s="155">
        <f t="shared" si="2"/>
        <v>0</v>
      </c>
      <c r="L62" s="155" t="str">
        <f>IF(AND('Summary Sheet'!$E$23="No",$H$33&gt;0,H62&gt;=1),"",IF(AND('Summary Sheet'!$E$23="Yes",H62&lt;&gt;""),H62*'Summary Sheet'!$G$23,""))</f>
        <v/>
      </c>
      <c r="M62" s="154"/>
      <c r="N62" s="155">
        <f>SUM('Pay App 1:Pay App 5'!L62)+SUM('Pay App 1:Pay App 5'!M62)</f>
        <v>0</v>
      </c>
    </row>
    <row r="63" spans="1:16" ht="11.25" customHeight="1" x14ac:dyDescent="0.25">
      <c r="A63" s="152">
        <v>7</v>
      </c>
      <c r="B63" s="174" t="str">
        <f>'Pay App 1'!B63</f>
        <v>01 31 00</v>
      </c>
      <c r="C63" s="179" t="str">
        <f>'Pay App 1'!C63</f>
        <v>Contractor's Supervision</v>
      </c>
      <c r="D63" s="155">
        <f>'Pay App 1'!D63</f>
        <v>0</v>
      </c>
      <c r="E63" s="155">
        <f>VLOOKUP(B63,'Graph Data'!$O$2:$BX$88,7,FALSE)</f>
        <v>0</v>
      </c>
      <c r="F63" s="155">
        <f>IFERROR(E63+'Pay App 4'!F63,"")</f>
        <v>0</v>
      </c>
      <c r="G63" s="155">
        <f>SUM('Pay App 1:Pay App 4'!H63)</f>
        <v>0</v>
      </c>
      <c r="H63" s="154"/>
      <c r="I63" s="155">
        <f t="shared" si="0"/>
        <v>0</v>
      </c>
      <c r="J63" s="156">
        <f t="shared" si="1"/>
        <v>0</v>
      </c>
      <c r="K63" s="155">
        <f t="shared" si="2"/>
        <v>0</v>
      </c>
      <c r="L63" s="155" t="str">
        <f>IF(AND('Summary Sheet'!$E$23="No",$H$33&gt;0,H63&gt;=1),"",IF(AND('Summary Sheet'!$E$23="Yes",H63&lt;&gt;""),H63*'Summary Sheet'!$G$23,""))</f>
        <v/>
      </c>
      <c r="M63" s="154"/>
      <c r="N63" s="155">
        <f>SUM('Pay App 1:Pay App 5'!L63)+SUM('Pay App 1:Pay App 5'!M63)</f>
        <v>0</v>
      </c>
    </row>
    <row r="64" spans="1:16" ht="11.25" customHeight="1" x14ac:dyDescent="0.25">
      <c r="A64" s="152">
        <v>8</v>
      </c>
      <c r="B64" s="174" t="str">
        <f>'Pay App 1'!B64</f>
        <v>01 32 00</v>
      </c>
      <c r="C64" s="179" t="str">
        <f>'Pay App 1'!C64</f>
        <v>General Liability Insurance</v>
      </c>
      <c r="D64" s="155">
        <f>'Pay App 1'!D64</f>
        <v>0</v>
      </c>
      <c r="E64" s="155">
        <f>VLOOKUP(B64,'Graph Data'!$O$2:$BX$88,7,FALSE)</f>
        <v>0</v>
      </c>
      <c r="F64" s="155">
        <f>IFERROR(E64+'Pay App 4'!F64,"")</f>
        <v>0</v>
      </c>
      <c r="G64" s="155">
        <f>SUM('Pay App 1:Pay App 4'!H64)</f>
        <v>0</v>
      </c>
      <c r="H64" s="154"/>
      <c r="I64" s="155">
        <f t="shared" si="0"/>
        <v>0</v>
      </c>
      <c r="J64" s="156">
        <f t="shared" si="1"/>
        <v>0</v>
      </c>
      <c r="K64" s="155">
        <f t="shared" si="2"/>
        <v>0</v>
      </c>
      <c r="L64" s="155" t="str">
        <f>IF(AND('Summary Sheet'!$E$23="No",$H$33&gt;0,H64&gt;=1),"",IF(AND('Summary Sheet'!$E$23="Yes",H64&lt;&gt;""),H64*'Summary Sheet'!$G$23,""))</f>
        <v/>
      </c>
      <c r="M64" s="154"/>
      <c r="N64" s="155">
        <f>SUM('Pay App 1:Pay App 5'!L64)+SUM('Pay App 1:Pay App 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Data'!$O$2:$BX$88,7,FALSE)</f>
        <v>0</v>
      </c>
      <c r="F65" s="155">
        <f>IFERROR(E65+'Pay App 4'!F65,"")</f>
        <v>0</v>
      </c>
      <c r="G65" s="155">
        <f>SUM('Pay App 1:Pay App 4'!H65)</f>
        <v>0</v>
      </c>
      <c r="H65" s="154"/>
      <c r="I65" s="155">
        <f t="shared" si="0"/>
        <v>0</v>
      </c>
      <c r="J65" s="156">
        <f t="shared" si="1"/>
        <v>0</v>
      </c>
      <c r="K65" s="155">
        <f t="shared" si="2"/>
        <v>0</v>
      </c>
      <c r="L65" s="155" t="str">
        <f>IF(AND('Summary Sheet'!$E$23="No",$H$33&gt;0,H65&gt;=1),"",IF(AND('Summary Sheet'!$E$23="Yes",H65&lt;&gt;""),H65*'Summary Sheet'!$G$23,""))</f>
        <v/>
      </c>
      <c r="M65" s="154"/>
      <c r="N65" s="155">
        <f>SUM('Pay App 1:Pay App 5'!L65)+SUM('Pay App 1:Pay App 5'!M65)</f>
        <v>0</v>
      </c>
    </row>
    <row r="66" spans="1:17" ht="11.25" customHeight="1" x14ac:dyDescent="0.25">
      <c r="A66" s="152">
        <v>10</v>
      </c>
      <c r="B66" s="174" t="str">
        <f>'Pay App 1'!B66</f>
        <v>01 34 00</v>
      </c>
      <c r="C66" s="179" t="str">
        <f>'Pay App 1'!C66</f>
        <v>Subcontractor Default Insurance</v>
      </c>
      <c r="D66" s="155">
        <f>'Pay App 1'!D66</f>
        <v>0</v>
      </c>
      <c r="E66" s="155">
        <f>VLOOKUP(B66,'Graph Data'!$O$2:$BX$88,7,FALSE)</f>
        <v>0</v>
      </c>
      <c r="F66" s="155">
        <f>IFERROR(E66+'Pay App 4'!F66,"")</f>
        <v>0</v>
      </c>
      <c r="G66" s="155">
        <f>SUM('Pay App 1:Pay App 4'!H66)</f>
        <v>0</v>
      </c>
      <c r="H66" s="154"/>
      <c r="I66" s="155">
        <f t="shared" si="0"/>
        <v>0</v>
      </c>
      <c r="J66" s="156">
        <f t="shared" si="1"/>
        <v>0</v>
      </c>
      <c r="K66" s="155">
        <f t="shared" si="2"/>
        <v>0</v>
      </c>
      <c r="L66" s="155" t="str">
        <f>IF(AND('Summary Sheet'!$E$23="No",$H$33&gt;0,H66&gt;=1),"",IF(AND('Summary Sheet'!$E$23="Yes",H66&lt;&gt;""),H66*'Summary Sheet'!$G$23,""))</f>
        <v/>
      </c>
      <c r="M66" s="154"/>
      <c r="N66" s="155">
        <f>SUM('Pay App 1:Pay App 5'!L66)+SUM('Pay App 1:Pay App 5'!M66)</f>
        <v>0</v>
      </c>
    </row>
    <row r="67" spans="1:17" ht="11.25" customHeight="1" x14ac:dyDescent="0.25">
      <c r="A67" s="152">
        <v>11</v>
      </c>
      <c r="B67" s="174" t="str">
        <f>'Pay App 1'!B67</f>
        <v>01 35 00</v>
      </c>
      <c r="C67" s="179" t="str">
        <f>'Pay App 1'!C67</f>
        <v>Construction Management Fee</v>
      </c>
      <c r="D67" s="155">
        <f>'Pay App 1'!D67</f>
        <v>0</v>
      </c>
      <c r="E67" s="155">
        <f>VLOOKUP(B67,'Graph Data'!$O$2:$BX$88,7,FALSE)</f>
        <v>0</v>
      </c>
      <c r="F67" s="155">
        <f>IFERROR(E67+'Pay App 4'!F67,"")</f>
        <v>0</v>
      </c>
      <c r="G67" s="155">
        <f>SUM('Pay App 1:Pay App 4'!H67)</f>
        <v>0</v>
      </c>
      <c r="H67" s="154"/>
      <c r="I67" s="155">
        <f t="shared" si="0"/>
        <v>0</v>
      </c>
      <c r="J67" s="156">
        <f t="shared" si="1"/>
        <v>0</v>
      </c>
      <c r="K67" s="155">
        <f t="shared" si="2"/>
        <v>0</v>
      </c>
      <c r="L67" s="155" t="str">
        <f>IF(AND('Summary Sheet'!$E$23="No",$H$33&gt;0,H67&gt;=1),"",IF(AND('Summary Sheet'!$E$23="Yes",H67&lt;&gt;""),H67*'Summary Sheet'!$G$23,""))</f>
        <v/>
      </c>
      <c r="M67" s="154"/>
      <c r="N67" s="155">
        <f>SUM('Pay App 1:Pay App 5'!L67)+SUM('Pay App 1:Pay App 5'!M67)</f>
        <v>0</v>
      </c>
    </row>
    <row r="68" spans="1:17" ht="11.25" customHeight="1" x14ac:dyDescent="0.25">
      <c r="A68" s="152">
        <v>12</v>
      </c>
      <c r="B68" s="174" t="str">
        <f>'Pay App 1'!B68</f>
        <v>01 36 00</v>
      </c>
      <c r="C68" s="179" t="str">
        <f>'Pay App 1'!C68</f>
        <v>Contingency</v>
      </c>
      <c r="D68" s="155">
        <f>'Pay App 1'!D68</f>
        <v>0</v>
      </c>
      <c r="E68" s="155">
        <f>VLOOKUP(B68,'Graph Data'!$O$2:$BX$88,7,FALSE)</f>
        <v>0</v>
      </c>
      <c r="F68" s="155">
        <f>IFERROR(E68+'Pay App 4'!F68,"")</f>
        <v>0</v>
      </c>
      <c r="G68" s="155">
        <f>SUM('Pay App 1:Pay App 4'!H68)</f>
        <v>0</v>
      </c>
      <c r="H68" s="154"/>
      <c r="I68" s="155">
        <f t="shared" si="0"/>
        <v>0</v>
      </c>
      <c r="J68" s="156">
        <f t="shared" si="1"/>
        <v>0</v>
      </c>
      <c r="K68" s="155">
        <f t="shared" si="2"/>
        <v>0</v>
      </c>
      <c r="L68" s="155" t="str">
        <f>IF(AND('Summary Sheet'!$E$23="No",$H$33&gt;0,H68&gt;=1),"",IF(AND('Summary Sheet'!$E$23="Yes",H68&lt;&gt;""),H68*'Summary Sheet'!$G$23,""))</f>
        <v/>
      </c>
      <c r="M68" s="154"/>
      <c r="N68" s="155">
        <f>SUM('Pay App 1:Pay App 5'!L68)+SUM('Pay App 1:Pay App 5'!M68)</f>
        <v>0</v>
      </c>
    </row>
    <row r="69" spans="1:17" ht="11.25" customHeight="1" x14ac:dyDescent="0.25">
      <c r="A69" s="152">
        <v>13</v>
      </c>
      <c r="B69" s="174" t="str">
        <f>'Pay App 1'!B69</f>
        <v>01 37 00</v>
      </c>
      <c r="C69" s="179" t="str">
        <f>'Pay App 1'!C69</f>
        <v>Weather Allowance (All Trades)</v>
      </c>
      <c r="D69" s="155">
        <f>'Pay App 1'!D69</f>
        <v>0</v>
      </c>
      <c r="E69" s="155">
        <f>VLOOKUP(B69,'Graph Data'!$O$2:$BX$88,7,FALSE)</f>
        <v>0</v>
      </c>
      <c r="F69" s="155">
        <f>IFERROR(E69+'Pay App 4'!F69,"")</f>
        <v>0</v>
      </c>
      <c r="G69" s="155">
        <f>SUM('Pay App 1:Pay App 4'!H69)</f>
        <v>0</v>
      </c>
      <c r="H69" s="154"/>
      <c r="I69" s="155">
        <f t="shared" si="0"/>
        <v>0</v>
      </c>
      <c r="J69" s="156">
        <f t="shared" si="1"/>
        <v>0</v>
      </c>
      <c r="K69" s="155">
        <f t="shared" si="2"/>
        <v>0</v>
      </c>
      <c r="L69" s="155" t="str">
        <f>IF(AND('Summary Sheet'!$E$23="No",$H$33&gt;0,H69&gt;=1),"",IF(AND('Summary Sheet'!$E$23="Yes",H69&lt;&gt;""),H69*'Summary Sheet'!$G$23,""))</f>
        <v/>
      </c>
      <c r="M69" s="154"/>
      <c r="N69" s="155">
        <f>SUM('Pay App 1:Pay App 5'!L69)+SUM('Pay App 1:Pay App 5'!M69)</f>
        <v>0</v>
      </c>
    </row>
    <row r="70" spans="1:17" ht="11.25" customHeight="1" x14ac:dyDescent="0.25">
      <c r="A70" s="152">
        <v>14</v>
      </c>
      <c r="B70" s="174" t="str">
        <f>'Pay App 1'!B70</f>
        <v>01 74 23</v>
      </c>
      <c r="C70" s="179" t="str">
        <f>'Pay App 1'!C70</f>
        <v>Cleaning (Final)</v>
      </c>
      <c r="D70" s="155">
        <f>'Pay App 1'!D70</f>
        <v>0</v>
      </c>
      <c r="E70" s="155">
        <f>VLOOKUP(B70,'Graph Data'!$O$2:$BX$88,7,FALSE)</f>
        <v>0</v>
      </c>
      <c r="F70" s="155">
        <f>IFERROR(E70+'Pay App 4'!F70,"")</f>
        <v>0</v>
      </c>
      <c r="G70" s="155">
        <f>SUM('Pay App 1:Pay App 4'!H70)</f>
        <v>0</v>
      </c>
      <c r="H70" s="154"/>
      <c r="I70" s="155">
        <f t="shared" si="0"/>
        <v>0</v>
      </c>
      <c r="J70" s="156">
        <f t="shared" si="1"/>
        <v>0</v>
      </c>
      <c r="K70" s="155">
        <f t="shared" si="2"/>
        <v>0</v>
      </c>
      <c r="L70" s="155" t="str">
        <f>IF(AND('Summary Sheet'!$E$23="No",$H$33&gt;0,H70&gt;=1),"",IF(AND('Summary Sheet'!$E$23="Yes",H70&lt;&gt;""),H70*'Summary Sheet'!$G$23,""))</f>
        <v/>
      </c>
      <c r="M70" s="154"/>
      <c r="N70" s="155">
        <f>SUM('Pay App 1:Pay App 5'!L70)+SUM('Pay App 1:Pay App 5'!M70)</f>
        <v>0</v>
      </c>
    </row>
    <row r="71" spans="1:17" ht="11.25" customHeight="1" x14ac:dyDescent="0.25">
      <c r="A71" s="152">
        <v>15</v>
      </c>
      <c r="B71" s="175" t="str">
        <f>'Pay App 1'!B71</f>
        <v>02 21 00</v>
      </c>
      <c r="C71" s="180" t="str">
        <f>'Pay App 1'!C71</f>
        <v>Survey/Engineering</v>
      </c>
      <c r="D71" s="155">
        <f>'Pay App 1'!D71</f>
        <v>0</v>
      </c>
      <c r="E71" s="155">
        <f>VLOOKUP(B71,'Graph Data'!$O$2:$BX$88,7,FALSE)</f>
        <v>0</v>
      </c>
      <c r="F71" s="155">
        <f>IFERROR(E71+'Pay App 4'!F71,"")</f>
        <v>0</v>
      </c>
      <c r="G71" s="155">
        <f>SUM('Pay App 1:Pay App 4'!H71)</f>
        <v>0</v>
      </c>
      <c r="H71" s="154"/>
      <c r="I71" s="155">
        <f t="shared" si="0"/>
        <v>0</v>
      </c>
      <c r="J71" s="156">
        <f t="shared" si="1"/>
        <v>0</v>
      </c>
      <c r="K71" s="155">
        <f t="shared" si="2"/>
        <v>0</v>
      </c>
      <c r="L71" s="155" t="str">
        <f>IF(AND('Summary Sheet'!$E$23="No",$H$33&gt;0,H71&gt;=1),"",IF(AND('Summary Sheet'!$E$23="Yes",H71&lt;&gt;""),H71*'Summary Sheet'!$G$23,""))</f>
        <v/>
      </c>
      <c r="M71" s="154"/>
      <c r="N71" s="155">
        <f>SUM('Pay App 1:Pay App 5'!L71)+SUM('Pay App 1:Pay App 5'!M71)</f>
        <v>0</v>
      </c>
      <c r="Q71" s="28"/>
    </row>
    <row r="72" spans="1:17" ht="11.25" customHeight="1" x14ac:dyDescent="0.25">
      <c r="A72" s="152">
        <v>16</v>
      </c>
      <c r="B72" s="175" t="str">
        <f>'Pay App 1'!B72</f>
        <v>02 41 00</v>
      </c>
      <c r="C72" s="180" t="str">
        <f>'Pay App 1'!C72</f>
        <v>Demolition</v>
      </c>
      <c r="D72" s="155">
        <f>'Pay App 1'!D72</f>
        <v>0</v>
      </c>
      <c r="E72" s="155">
        <f>VLOOKUP(B72,'Graph Data'!$O$2:$BX$88,7,FALSE)</f>
        <v>0</v>
      </c>
      <c r="F72" s="155">
        <f>IFERROR(E72+'Pay App 4'!F72,"")</f>
        <v>0</v>
      </c>
      <c r="G72" s="155">
        <f>SUM('Pay App 1:Pay App 4'!H72)</f>
        <v>0</v>
      </c>
      <c r="H72" s="154"/>
      <c r="I72" s="155">
        <f t="shared" si="0"/>
        <v>0</v>
      </c>
      <c r="J72" s="156">
        <f t="shared" si="1"/>
        <v>0</v>
      </c>
      <c r="K72" s="155">
        <f t="shared" si="2"/>
        <v>0</v>
      </c>
      <c r="L72" s="155" t="str">
        <f>IF(AND('Summary Sheet'!$E$23="No",$H$33&gt;0,H72&gt;=1),"",IF(AND('Summary Sheet'!$E$23="Yes",H72&lt;&gt;""),H72*'Summary Sheet'!$G$23,""))</f>
        <v/>
      </c>
      <c r="M72" s="154"/>
      <c r="N72" s="155">
        <f>SUM('Pay App 1:Pay App 5'!L72)+SUM('Pay App 1:Pay App 5'!M72)</f>
        <v>0</v>
      </c>
      <c r="Q72" s="28"/>
    </row>
    <row r="73" spans="1:17" ht="11.25" customHeight="1" x14ac:dyDescent="0.25">
      <c r="A73" s="152">
        <v>17</v>
      </c>
      <c r="B73" s="175" t="str">
        <f>'Pay App 1'!B73</f>
        <v>02 82 00</v>
      </c>
      <c r="C73" s="180" t="str">
        <f>'Pay App 1'!C73</f>
        <v>Asbestos Abatement</v>
      </c>
      <c r="D73" s="155">
        <f>'Pay App 1'!D73</f>
        <v>0</v>
      </c>
      <c r="E73" s="155">
        <f>VLOOKUP(B73,'Graph Data'!$O$2:$BX$88,7,FALSE)</f>
        <v>0</v>
      </c>
      <c r="F73" s="155">
        <f>IFERROR(E73+'Pay App 4'!F73,"")</f>
        <v>0</v>
      </c>
      <c r="G73" s="155">
        <f>SUM('Pay App 1:Pay App 4'!H73)</f>
        <v>0</v>
      </c>
      <c r="H73" s="154"/>
      <c r="I73" s="155">
        <f t="shared" si="0"/>
        <v>0</v>
      </c>
      <c r="J73" s="156">
        <f t="shared" si="1"/>
        <v>0</v>
      </c>
      <c r="K73" s="155">
        <f t="shared" si="2"/>
        <v>0</v>
      </c>
      <c r="L73" s="155" t="str">
        <f>IF(AND('Summary Sheet'!$E$23="No",$H$33&gt;0,H73&gt;=1),"",IF(AND('Summary Sheet'!$E$23="Yes",H73&lt;&gt;""),H73*'Summary Sheet'!$G$23,""))</f>
        <v/>
      </c>
      <c r="M73" s="154"/>
      <c r="N73" s="155">
        <f>SUM('Pay App 1:Pay App 5'!L73)+SUM('Pay App 1:Pay App 5'!M73)</f>
        <v>0</v>
      </c>
    </row>
    <row r="74" spans="1:17" ht="11.25" customHeight="1" x14ac:dyDescent="0.25">
      <c r="A74" s="152">
        <v>18</v>
      </c>
      <c r="B74" s="176" t="str">
        <f>'Pay App 1'!B74</f>
        <v>03 00 00</v>
      </c>
      <c r="C74" s="181" t="str">
        <f>'Pay App 1'!C74</f>
        <v>Building Concrete</v>
      </c>
      <c r="D74" s="155">
        <f>'Pay App 1'!D74</f>
        <v>0</v>
      </c>
      <c r="E74" s="155">
        <f>VLOOKUP(B74,'Graph Data'!$O$2:$BX$88,7,FALSE)</f>
        <v>0</v>
      </c>
      <c r="F74" s="155">
        <f>IFERROR(E74+'Pay App 4'!F74,"")</f>
        <v>0</v>
      </c>
      <c r="G74" s="155">
        <f>SUM('Pay App 1:Pay App 4'!H74)</f>
        <v>0</v>
      </c>
      <c r="H74" s="154"/>
      <c r="I74" s="155">
        <f t="shared" si="0"/>
        <v>0</v>
      </c>
      <c r="J74" s="156">
        <f t="shared" si="1"/>
        <v>0</v>
      </c>
      <c r="K74" s="155">
        <f t="shared" si="2"/>
        <v>0</v>
      </c>
      <c r="L74" s="155" t="str">
        <f>IF(AND('Summary Sheet'!$E$23="No",$H$33&gt;0,H74&gt;=1),"",IF(AND('Summary Sheet'!$E$23="Yes",H74&lt;&gt;""),H74*'Summary Sheet'!$G$23,""))</f>
        <v/>
      </c>
      <c r="M74" s="154"/>
      <c r="N74" s="155">
        <f>SUM('Pay App 1:Pay App 5'!L74)+SUM('Pay App 1:Pay App 5'!M74)</f>
        <v>0</v>
      </c>
    </row>
    <row r="75" spans="1:17" ht="11.25" customHeight="1" x14ac:dyDescent="0.25">
      <c r="A75" s="152">
        <v>19</v>
      </c>
      <c r="B75" s="176" t="str">
        <f>'Pay App 1'!B75</f>
        <v>03 20 00</v>
      </c>
      <c r="C75" s="181" t="str">
        <f>'Pay App 1'!C75</f>
        <v>Building Concrete Reinforcing</v>
      </c>
      <c r="D75" s="155">
        <f>'Pay App 1'!D75</f>
        <v>0</v>
      </c>
      <c r="E75" s="155">
        <f>VLOOKUP(B75,'Graph Data'!$O$2:$BX$88,7,FALSE)</f>
        <v>0</v>
      </c>
      <c r="F75" s="155">
        <f>IFERROR(E75+'Pay App 4'!F75,"")</f>
        <v>0</v>
      </c>
      <c r="G75" s="155">
        <f>SUM('Pay App 1:Pay App 4'!H75)</f>
        <v>0</v>
      </c>
      <c r="H75" s="154"/>
      <c r="I75" s="155">
        <f t="shared" si="0"/>
        <v>0</v>
      </c>
      <c r="J75" s="156">
        <f t="shared" si="1"/>
        <v>0</v>
      </c>
      <c r="K75" s="155">
        <f t="shared" si="2"/>
        <v>0</v>
      </c>
      <c r="L75" s="155" t="str">
        <f>IF(AND('Summary Sheet'!$E$23="No",$H$33&gt;0,H75&gt;=1),"",IF(AND('Summary Sheet'!$E$23="Yes",H75&lt;&gt;""),H75*'Summary Sheet'!$G$23,""))</f>
        <v/>
      </c>
      <c r="M75" s="154"/>
      <c r="N75" s="155">
        <f>SUM('Pay App 1:Pay App 5'!L75)+SUM('Pay App 1:Pay App 5'!M75)</f>
        <v>0</v>
      </c>
    </row>
    <row r="76" spans="1:17" ht="11.25" customHeight="1" x14ac:dyDescent="0.25">
      <c r="A76" s="152">
        <v>20</v>
      </c>
      <c r="B76" s="176" t="str">
        <f>'Pay App 1'!B76</f>
        <v>03 40 00</v>
      </c>
      <c r="C76" s="181" t="str">
        <f>'Pay App 1'!C76</f>
        <v>Precast</v>
      </c>
      <c r="D76" s="155">
        <f>'Pay App 1'!D76</f>
        <v>0</v>
      </c>
      <c r="E76" s="155">
        <f>VLOOKUP(B76,'Graph Data'!$O$2:$BX$88,7,FALSE)</f>
        <v>0</v>
      </c>
      <c r="F76" s="155">
        <f>IFERROR(E76+'Pay App 4'!F76,"")</f>
        <v>0</v>
      </c>
      <c r="G76" s="155">
        <f>SUM('Pay App 1:Pay App 4'!H76)</f>
        <v>0</v>
      </c>
      <c r="H76" s="154"/>
      <c r="I76" s="155">
        <f t="shared" si="0"/>
        <v>0</v>
      </c>
      <c r="J76" s="156">
        <f t="shared" si="1"/>
        <v>0</v>
      </c>
      <c r="K76" s="155">
        <f t="shared" si="2"/>
        <v>0</v>
      </c>
      <c r="L76" s="155" t="str">
        <f>IF(AND('Summary Sheet'!$E$23="No",$H$33&gt;0,H76&gt;=1),"",IF(AND('Summary Sheet'!$E$23="Yes",H76&lt;&gt;""),H76*'Summary Sheet'!$G$23,""))</f>
        <v/>
      </c>
      <c r="M76" s="154"/>
      <c r="N76" s="155">
        <f>SUM('Pay App 1:Pay App 5'!L76)+SUM('Pay App 1:Pay App 5'!M76)</f>
        <v>0</v>
      </c>
    </row>
    <row r="77" spans="1:17" ht="11.25" customHeight="1" x14ac:dyDescent="0.25">
      <c r="A77" s="152">
        <v>21</v>
      </c>
      <c r="B77" s="177" t="str">
        <f>'Pay App 1'!B77</f>
        <v>04 00 00</v>
      </c>
      <c r="C77" s="182" t="str">
        <f>'Pay App 1'!C77</f>
        <v>Masonry</v>
      </c>
      <c r="D77" s="155">
        <f>'Pay App 1'!D77</f>
        <v>0</v>
      </c>
      <c r="E77" s="155">
        <f>VLOOKUP(B77,'Graph Data'!$O$2:$BX$88,7,FALSE)</f>
        <v>0</v>
      </c>
      <c r="F77" s="155">
        <f>IFERROR(E77+'Pay App 4'!F77,"")</f>
        <v>0</v>
      </c>
      <c r="G77" s="155">
        <f>SUM('Pay App 1:Pay App 4'!H77)</f>
        <v>0</v>
      </c>
      <c r="H77" s="154"/>
      <c r="I77" s="155">
        <f t="shared" si="0"/>
        <v>0</v>
      </c>
      <c r="J77" s="156">
        <f t="shared" si="1"/>
        <v>0</v>
      </c>
      <c r="K77" s="155">
        <f t="shared" si="2"/>
        <v>0</v>
      </c>
      <c r="L77" s="155" t="str">
        <f>IF(AND('Summary Sheet'!$E$23="No",$H$33&gt;0,H77&gt;=1),"",IF(AND('Summary Sheet'!$E$23="Yes",H77&lt;&gt;""),H77*'Summary Sheet'!$G$23,""))</f>
        <v/>
      </c>
      <c r="M77" s="154"/>
      <c r="N77" s="155">
        <f>SUM('Pay App 1:Pay App 5'!L77)+SUM('Pay App 1:Pay App 5'!M77)</f>
        <v>0</v>
      </c>
    </row>
    <row r="78" spans="1:17" ht="11.25" customHeight="1" x14ac:dyDescent="0.25">
      <c r="A78" s="152">
        <v>22</v>
      </c>
      <c r="B78" s="177" t="str">
        <f>'Pay App 1'!B78</f>
        <v>04 05 19</v>
      </c>
      <c r="C78" s="182" t="str">
        <f>'Pay App 1'!C78</f>
        <v>Masonry Reinforcing</v>
      </c>
      <c r="D78" s="155">
        <f>'Pay App 1'!D78</f>
        <v>0</v>
      </c>
      <c r="E78" s="155">
        <f>VLOOKUP(B78,'Graph Data'!$O$2:$BX$88,7,FALSE)</f>
        <v>0</v>
      </c>
      <c r="F78" s="155">
        <f>IFERROR(E78+'Pay App 4'!F78,"")</f>
        <v>0</v>
      </c>
      <c r="G78" s="155">
        <f>SUM('Pay App 1:Pay App 4'!H78)</f>
        <v>0</v>
      </c>
      <c r="H78" s="154"/>
      <c r="I78" s="155">
        <f t="shared" si="0"/>
        <v>0</v>
      </c>
      <c r="J78" s="156">
        <f t="shared" si="1"/>
        <v>0</v>
      </c>
      <c r="K78" s="155">
        <f t="shared" si="2"/>
        <v>0</v>
      </c>
      <c r="L78" s="155" t="str">
        <f>IF(AND('Summary Sheet'!$E$23="No",$H$33&gt;0,H78&gt;=1),"",IF(AND('Summary Sheet'!$E$23="Yes",H78&lt;&gt;""),H78*'Summary Sheet'!$G$23,""))</f>
        <v/>
      </c>
      <c r="M78" s="154"/>
      <c r="N78" s="155">
        <f>SUM('Pay App 1:Pay App 5'!L78)+SUM('Pay App 1:Pay App 5'!M78)</f>
        <v>0</v>
      </c>
    </row>
    <row r="79" spans="1:17" ht="11.25" customHeight="1" x14ac:dyDescent="0.25">
      <c r="A79" s="152">
        <v>23</v>
      </c>
      <c r="B79" s="178" t="str">
        <f>'Pay App 1'!B79</f>
        <v>05 10 00</v>
      </c>
      <c r="C79" s="183" t="str">
        <f>'Pay App 1'!C79</f>
        <v>Structural Steel/Misc. Steel Fab</v>
      </c>
      <c r="D79" s="155">
        <f>'Pay App 1'!D79</f>
        <v>0</v>
      </c>
      <c r="E79" s="155">
        <f>VLOOKUP(B79,'Graph Data'!$O$2:$BX$88,7,FALSE)</f>
        <v>0</v>
      </c>
      <c r="F79" s="155">
        <f>IFERROR(E79+'Pay App 4'!F79,"")</f>
        <v>0</v>
      </c>
      <c r="G79" s="155">
        <f>SUM('Pay App 1:Pay App 4'!H79)</f>
        <v>0</v>
      </c>
      <c r="H79" s="154"/>
      <c r="I79" s="155">
        <f t="shared" si="0"/>
        <v>0</v>
      </c>
      <c r="J79" s="156">
        <f t="shared" si="1"/>
        <v>0</v>
      </c>
      <c r="K79" s="155">
        <f t="shared" si="2"/>
        <v>0</v>
      </c>
      <c r="L79" s="155" t="str">
        <f>IF(AND('Summary Sheet'!$E$23="No",$H$33&gt;0,H79&gt;=1),"",IF(AND('Summary Sheet'!$E$23="Yes",H79&lt;&gt;""),H79*'Summary Sheet'!$G$23,""))</f>
        <v/>
      </c>
      <c r="M79" s="154"/>
      <c r="N79" s="155">
        <f>SUM('Pay App 1:Pay App 5'!L79)+SUM('Pay App 1:Pay App 5'!M79)</f>
        <v>0</v>
      </c>
    </row>
    <row r="80" spans="1:17" ht="11.25" customHeight="1" x14ac:dyDescent="0.25">
      <c r="A80" s="152">
        <v>24</v>
      </c>
      <c r="B80" s="178" t="str">
        <f>'Pay App 1'!B80</f>
        <v>05 20 00</v>
      </c>
      <c r="C80" s="183" t="str">
        <f>'Pay App 1'!C80</f>
        <v>Joists &amp; Deck</v>
      </c>
      <c r="D80" s="155">
        <f>'Pay App 1'!D80</f>
        <v>0</v>
      </c>
      <c r="E80" s="155">
        <f>VLOOKUP(B80,'Graph Data'!$O$2:$BX$88,7,FALSE)</f>
        <v>0</v>
      </c>
      <c r="F80" s="155">
        <f>IFERROR(E80+'Pay App 4'!F80,"")</f>
        <v>0</v>
      </c>
      <c r="G80" s="155">
        <f>SUM('Pay App 1:Pay App 4'!H80)</f>
        <v>0</v>
      </c>
      <c r="H80" s="154"/>
      <c r="I80" s="155">
        <f t="shared" si="0"/>
        <v>0</v>
      </c>
      <c r="J80" s="156">
        <f t="shared" si="1"/>
        <v>0</v>
      </c>
      <c r="K80" s="155">
        <f t="shared" si="2"/>
        <v>0</v>
      </c>
      <c r="L80" s="155" t="str">
        <f>IF(AND('Summary Sheet'!$E$23="No",$H$33&gt;0,H80&gt;=1),"",IF(AND('Summary Sheet'!$E$23="Yes",H80&lt;&gt;""),H80*'Summary Sheet'!$G$23,""))</f>
        <v/>
      </c>
      <c r="M80" s="154"/>
      <c r="N80" s="155">
        <f>SUM('Pay App 1:Pay App 5'!L80)+SUM('Pay App 1:Pay App 5'!M80)</f>
        <v>0</v>
      </c>
    </row>
    <row r="81" spans="1:14" ht="11.25" customHeight="1" x14ac:dyDescent="0.25">
      <c r="A81" s="152">
        <v>25</v>
      </c>
      <c r="B81" s="178" t="str">
        <f>'Pay App 1'!B81</f>
        <v>05 70 00</v>
      </c>
      <c r="C81" s="183" t="str">
        <f>'Pay App 1'!C81</f>
        <v>Ornamental Metal</v>
      </c>
      <c r="D81" s="155">
        <f>'Pay App 1'!D81</f>
        <v>0</v>
      </c>
      <c r="E81" s="155">
        <f>VLOOKUP(B81,'Graph Data'!$O$2:$BX$88,7,FALSE)</f>
        <v>0</v>
      </c>
      <c r="F81" s="155">
        <f>IFERROR(E81+'Pay App 4'!F81,"")</f>
        <v>0</v>
      </c>
      <c r="G81" s="155">
        <f>SUM('Pay App 1:Pay App 4'!H81)</f>
        <v>0</v>
      </c>
      <c r="H81" s="154"/>
      <c r="I81" s="155">
        <f t="shared" si="0"/>
        <v>0</v>
      </c>
      <c r="J81" s="156">
        <f t="shared" si="1"/>
        <v>0</v>
      </c>
      <c r="K81" s="155">
        <f t="shared" si="2"/>
        <v>0</v>
      </c>
      <c r="L81" s="155" t="str">
        <f>IF(AND('Summary Sheet'!$E$23="No",$H$33&gt;0,H81&gt;=1),"",IF(AND('Summary Sheet'!$E$23="Yes",H81&lt;&gt;""),H81*'Summary Sheet'!$G$23,""))</f>
        <v/>
      </c>
      <c r="M81" s="154"/>
      <c r="N81" s="155">
        <f>SUM('Pay App 1:Pay App 5'!L81)+SUM('Pay App 1:Pay App 5'!M81)</f>
        <v>0</v>
      </c>
    </row>
    <row r="82" spans="1:14" ht="11.25" customHeight="1" x14ac:dyDescent="0.25">
      <c r="A82" s="152">
        <v>26</v>
      </c>
      <c r="B82" s="145" t="str">
        <f>'Pay App 1'!B82</f>
        <v>06 10 00</v>
      </c>
      <c r="C82" s="134" t="str">
        <f>'Pay App 1'!C82</f>
        <v>Rough Carpentry</v>
      </c>
      <c r="D82" s="155">
        <f>'Pay App 1'!D82</f>
        <v>0</v>
      </c>
      <c r="E82" s="155">
        <f>VLOOKUP(B82,'Graph Data'!$O$2:$BX$88,7,FALSE)</f>
        <v>0</v>
      </c>
      <c r="F82" s="155">
        <f>IFERROR(E82+'Pay App 4'!F82,"")</f>
        <v>0</v>
      </c>
      <c r="G82" s="155">
        <f>SUM('Pay App 1:Pay App 4'!H82)</f>
        <v>0</v>
      </c>
      <c r="H82" s="154"/>
      <c r="I82" s="155">
        <f t="shared" si="0"/>
        <v>0</v>
      </c>
      <c r="J82" s="156">
        <f t="shared" si="1"/>
        <v>0</v>
      </c>
      <c r="K82" s="155">
        <f t="shared" si="2"/>
        <v>0</v>
      </c>
      <c r="L82" s="155" t="str">
        <f>IF(AND('Summary Sheet'!$E$23="No",$H$33&gt;0,H82&gt;=1),"",IF(AND('Summary Sheet'!$E$23="Yes",H82&lt;&gt;""),H82*'Summary Sheet'!$G$23,""))</f>
        <v/>
      </c>
      <c r="M82" s="154"/>
      <c r="N82" s="155">
        <f>SUM('Pay App 1:Pay App 5'!L82)+SUM('Pay App 1:Pay App 5'!M82)</f>
        <v>0</v>
      </c>
    </row>
    <row r="83" spans="1:14" ht="11.25" customHeight="1" x14ac:dyDescent="0.25">
      <c r="A83" s="152">
        <v>27</v>
      </c>
      <c r="B83" s="145" t="str">
        <f>'Pay App 1'!B83</f>
        <v>06 40 00</v>
      </c>
      <c r="C83" s="134" t="str">
        <f>'Pay App 1'!C83</f>
        <v>Arch. Woodwork &amp; Finish Carp.</v>
      </c>
      <c r="D83" s="155">
        <f>'Pay App 1'!D83</f>
        <v>0</v>
      </c>
      <c r="E83" s="155">
        <f>VLOOKUP(B83,'Graph Data'!$O$2:$BX$88,7,FALSE)</f>
        <v>0</v>
      </c>
      <c r="F83" s="155">
        <f>IFERROR(E83+'Pay App 4'!F83,"")</f>
        <v>0</v>
      </c>
      <c r="G83" s="155">
        <f>SUM('Pay App 1:Pay App 4'!H83)</f>
        <v>0</v>
      </c>
      <c r="H83" s="154"/>
      <c r="I83" s="155">
        <f t="shared" si="0"/>
        <v>0</v>
      </c>
      <c r="J83" s="156">
        <f t="shared" si="1"/>
        <v>0</v>
      </c>
      <c r="K83" s="155">
        <f t="shared" si="2"/>
        <v>0</v>
      </c>
      <c r="L83" s="155" t="str">
        <f>IF(AND('Summary Sheet'!$E$23="No",$H$33&gt;0,H83&gt;=1),"",IF(AND('Summary Sheet'!$E$23="Yes",H83&lt;&gt;""),H83*'Summary Sheet'!$G$23,""))</f>
        <v/>
      </c>
      <c r="M83" s="154"/>
      <c r="N83" s="155">
        <f>SUM('Pay App 1:Pay App 5'!L83)+SUM('Pay App 1:Pay App 5'!M83)</f>
        <v>0</v>
      </c>
    </row>
    <row r="84" spans="1:14" ht="11.25" customHeight="1" x14ac:dyDescent="0.25">
      <c r="A84" s="152">
        <v>28</v>
      </c>
      <c r="B84" s="174" t="str">
        <f>'Pay App 1'!B84</f>
        <v>07 10 00</v>
      </c>
      <c r="C84" s="179" t="str">
        <f>'Pay App 1'!C84</f>
        <v>Waterproofing/Water Repellents</v>
      </c>
      <c r="D84" s="155">
        <f>'Pay App 1'!D84</f>
        <v>0</v>
      </c>
      <c r="E84" s="155">
        <f>VLOOKUP(B84,'Graph Data'!$O$2:$BX$88,7,FALSE)</f>
        <v>0</v>
      </c>
      <c r="F84" s="155">
        <f>IFERROR(E84+'Pay App 4'!F84,"")</f>
        <v>0</v>
      </c>
      <c r="G84" s="155">
        <f>SUM('Pay App 1:Pay App 4'!H84)</f>
        <v>0</v>
      </c>
      <c r="H84" s="154"/>
      <c r="I84" s="155">
        <f t="shared" si="0"/>
        <v>0</v>
      </c>
      <c r="J84" s="156">
        <f t="shared" si="1"/>
        <v>0</v>
      </c>
      <c r="K84" s="155">
        <f t="shared" si="2"/>
        <v>0</v>
      </c>
      <c r="L84" s="155" t="str">
        <f>IF(AND('Summary Sheet'!$E$23="No",$H$33&gt;0,H84&gt;=1),"",IF(AND('Summary Sheet'!$E$23="Yes",H84&lt;&gt;""),H84*'Summary Sheet'!$G$23,""))</f>
        <v/>
      </c>
      <c r="M84" s="154"/>
      <c r="N84" s="155">
        <f>SUM('Pay App 1:Pay App 5'!L84)+SUM('Pay App 1:Pay App 5'!M84)</f>
        <v>0</v>
      </c>
    </row>
    <row r="85" spans="1:14" ht="11.25" customHeight="1" x14ac:dyDescent="0.25">
      <c r="A85" s="152">
        <v>29</v>
      </c>
      <c r="B85" s="174" t="str">
        <f>'Pay App 1'!B85</f>
        <v>07 20 00</v>
      </c>
      <c r="C85" s="179" t="str">
        <f>'Pay App 1'!C85</f>
        <v>Insulation</v>
      </c>
      <c r="D85" s="155">
        <f>'Pay App 1'!D85</f>
        <v>0</v>
      </c>
      <c r="E85" s="155">
        <f>VLOOKUP(B85,'Graph Data'!$O$2:$BX$88,7,FALSE)</f>
        <v>0</v>
      </c>
      <c r="F85" s="155">
        <f>IFERROR(E85+'Pay App 4'!F85,"")</f>
        <v>0</v>
      </c>
      <c r="G85" s="155">
        <f>SUM('Pay App 1:Pay App 4'!H85)</f>
        <v>0</v>
      </c>
      <c r="H85" s="154"/>
      <c r="I85" s="155">
        <f t="shared" si="0"/>
        <v>0</v>
      </c>
      <c r="J85" s="156">
        <f t="shared" si="1"/>
        <v>0</v>
      </c>
      <c r="K85" s="155">
        <f t="shared" si="2"/>
        <v>0</v>
      </c>
      <c r="L85" s="155" t="str">
        <f>IF(AND('Summary Sheet'!$E$23="No",$H$33&gt;0,H85&gt;=1),"",IF(AND('Summary Sheet'!$E$23="Yes",H85&lt;&gt;""),H85*'Summary Sheet'!$G$23,""))</f>
        <v/>
      </c>
      <c r="M85" s="154"/>
      <c r="N85" s="155">
        <f>SUM('Pay App 1:Pay App 5'!L85)+SUM('Pay App 1:Pay App 5'!M85)</f>
        <v>0</v>
      </c>
    </row>
    <row r="86" spans="1:14" ht="11.25" customHeight="1" x14ac:dyDescent="0.25">
      <c r="A86" s="152">
        <v>30</v>
      </c>
      <c r="B86" s="174" t="str">
        <f>'Pay App 1'!B86</f>
        <v>07 24 00</v>
      </c>
      <c r="C86" s="179" t="str">
        <f>'Pay App 1'!C86</f>
        <v>EIFS</v>
      </c>
      <c r="D86" s="155">
        <f>'Pay App 1'!D86</f>
        <v>0</v>
      </c>
      <c r="E86" s="155">
        <f>VLOOKUP(B86,'Graph Data'!$O$2:$BX$88,7,FALSE)</f>
        <v>0</v>
      </c>
      <c r="F86" s="155">
        <f>IFERROR(E86+'Pay App 4'!F86,"")</f>
        <v>0</v>
      </c>
      <c r="G86" s="155">
        <f>SUM('Pay App 1:Pay App 4'!H86)</f>
        <v>0</v>
      </c>
      <c r="H86" s="154"/>
      <c r="I86" s="155">
        <f t="shared" si="0"/>
        <v>0</v>
      </c>
      <c r="J86" s="156">
        <f t="shared" si="1"/>
        <v>0</v>
      </c>
      <c r="K86" s="155">
        <f t="shared" si="2"/>
        <v>0</v>
      </c>
      <c r="L86" s="155" t="str">
        <f>IF(AND('Summary Sheet'!$E$23="No",$H$33&gt;0,H86&gt;=1),"",IF(AND('Summary Sheet'!$E$23="Yes",H86&lt;&gt;""),H86*'Summary Sheet'!$G$23,""))</f>
        <v/>
      </c>
      <c r="M86" s="154"/>
      <c r="N86" s="155">
        <f>SUM('Pay App 1:Pay App 5'!L86)+SUM('Pay App 1:Pay App 5'!M86)</f>
        <v>0</v>
      </c>
    </row>
    <row r="87" spans="1:14" ht="11.25" customHeight="1" x14ac:dyDescent="0.25">
      <c r="A87" s="152">
        <v>31</v>
      </c>
      <c r="B87" s="174" t="str">
        <f>'Pay App 1'!B87</f>
        <v>07 26 00</v>
      </c>
      <c r="C87" s="179" t="str">
        <f>'Pay App 1'!C87</f>
        <v>Vapor Retarders</v>
      </c>
      <c r="D87" s="155">
        <f>'Pay App 1'!D87</f>
        <v>0</v>
      </c>
      <c r="E87" s="155">
        <f>VLOOKUP(B87,'Graph Data'!$O$2:$BX$88,7,FALSE)</f>
        <v>0</v>
      </c>
      <c r="F87" s="155">
        <f>IFERROR(E87+'Pay App 4'!F87,"")</f>
        <v>0</v>
      </c>
      <c r="G87" s="155">
        <f>SUM('Pay App 1:Pay App 4'!H87)</f>
        <v>0</v>
      </c>
      <c r="H87" s="154"/>
      <c r="I87" s="155">
        <f t="shared" si="0"/>
        <v>0</v>
      </c>
      <c r="J87" s="156">
        <f t="shared" si="1"/>
        <v>0</v>
      </c>
      <c r="K87" s="155">
        <f t="shared" si="2"/>
        <v>0</v>
      </c>
      <c r="L87" s="155" t="str">
        <f>IF(AND('Summary Sheet'!$E$23="No",$H$33&gt;0,H87&gt;=1),"",IF(AND('Summary Sheet'!$E$23="Yes",H87&lt;&gt;""),H87*'Summary Sheet'!$G$23,""))</f>
        <v/>
      </c>
      <c r="M87" s="154"/>
      <c r="N87" s="155">
        <f>SUM('Pay App 1:Pay App 5'!L87)+SUM('Pay App 1:Pay App 5'!M87)</f>
        <v>0</v>
      </c>
    </row>
    <row r="88" spans="1:14" ht="11.25" customHeight="1" x14ac:dyDescent="0.25">
      <c r="A88" s="152">
        <v>32</v>
      </c>
      <c r="B88" s="174" t="str">
        <f>'Pay App 1'!B88</f>
        <v>07 41 00</v>
      </c>
      <c r="C88" s="179" t="str">
        <f>'Pay App 1'!C88</f>
        <v>Roofing</v>
      </c>
      <c r="D88" s="155">
        <f>'Pay App 1'!D88</f>
        <v>0</v>
      </c>
      <c r="E88" s="155">
        <f>VLOOKUP(B88,'Graph Data'!$O$2:$BX$88,7,FALSE)</f>
        <v>0</v>
      </c>
      <c r="F88" s="155">
        <f>IFERROR(E88+'Pay App 4'!F88,"")</f>
        <v>0</v>
      </c>
      <c r="G88" s="155">
        <f>SUM('Pay App 1:Pay App 4'!H88)</f>
        <v>0</v>
      </c>
      <c r="H88" s="154"/>
      <c r="I88" s="155">
        <f t="shared" si="0"/>
        <v>0</v>
      </c>
      <c r="J88" s="156">
        <f t="shared" si="1"/>
        <v>0</v>
      </c>
      <c r="K88" s="155">
        <f t="shared" si="2"/>
        <v>0</v>
      </c>
      <c r="L88" s="155" t="str">
        <f>IF(AND('Summary Sheet'!$E$23="No",$H$33&gt;0,H88&gt;=1),"",IF(AND('Summary Sheet'!$E$23="Yes",H88&lt;&gt;""),H88*'Summary Sheet'!$G$23,""))</f>
        <v/>
      </c>
      <c r="M88" s="154"/>
      <c r="N88" s="155">
        <f>SUM('Pay App 1:Pay App 5'!L88)+SUM('Pay App 1:Pay App 5'!M88)</f>
        <v>0</v>
      </c>
    </row>
    <row r="89" spans="1:14" ht="11.25" customHeight="1" x14ac:dyDescent="0.25">
      <c r="A89" s="152">
        <v>33</v>
      </c>
      <c r="B89" s="174" t="str">
        <f>'Pay App 1'!B89</f>
        <v>07 42 00</v>
      </c>
      <c r="C89" s="179" t="str">
        <f>'Pay App 1'!C89</f>
        <v>Metal Panels</v>
      </c>
      <c r="D89" s="155">
        <f>'Pay App 1'!D89</f>
        <v>0</v>
      </c>
      <c r="E89" s="155">
        <f>VLOOKUP(B89,'Graph Data'!$O$2:$BX$88,7,FALSE)</f>
        <v>0</v>
      </c>
      <c r="F89" s="155">
        <f>IFERROR(E89+'Pay App 4'!F89,"")</f>
        <v>0</v>
      </c>
      <c r="G89" s="155">
        <f>SUM('Pay App 1:Pay App 4'!H89)</f>
        <v>0</v>
      </c>
      <c r="H89" s="154"/>
      <c r="I89" s="155">
        <f t="shared" si="0"/>
        <v>0</v>
      </c>
      <c r="J89" s="156">
        <f t="shared" si="1"/>
        <v>0</v>
      </c>
      <c r="K89" s="155">
        <f t="shared" si="2"/>
        <v>0</v>
      </c>
      <c r="L89" s="155" t="str">
        <f>IF(AND('Summary Sheet'!$E$23="No",$H$33&gt;0,H89&gt;=1),"",IF(AND('Summary Sheet'!$E$23="Yes",H89&lt;&gt;""),H89*'Summary Sheet'!$G$23,""))</f>
        <v/>
      </c>
      <c r="M89" s="154"/>
      <c r="N89" s="155">
        <f>SUM('Pay App 1:Pay App 5'!L89)+SUM('Pay App 1:Pay App 5'!M89)</f>
        <v>0</v>
      </c>
    </row>
    <row r="90" spans="1:14" ht="11.25" customHeight="1" x14ac:dyDescent="0.25">
      <c r="A90" s="152">
        <v>34</v>
      </c>
      <c r="B90" s="174" t="str">
        <f>'Pay App 1'!B90</f>
        <v>07 60 00</v>
      </c>
      <c r="C90" s="179" t="str">
        <f>'Pay App 1'!C90</f>
        <v>Sheet Metal Flashing &amp; Trim</v>
      </c>
      <c r="D90" s="155">
        <f>'Pay App 1'!D90</f>
        <v>0</v>
      </c>
      <c r="E90" s="155">
        <f>VLOOKUP(B90,'Graph Data'!$O$2:$BX$88,7,FALSE)</f>
        <v>0</v>
      </c>
      <c r="F90" s="155">
        <f>IFERROR(E90+'Pay App 4'!F90,"")</f>
        <v>0</v>
      </c>
      <c r="G90" s="155">
        <f>SUM('Pay App 1:Pay App 4'!H90)</f>
        <v>0</v>
      </c>
      <c r="H90" s="154"/>
      <c r="I90" s="155">
        <f t="shared" si="0"/>
        <v>0</v>
      </c>
      <c r="J90" s="156">
        <f t="shared" si="1"/>
        <v>0</v>
      </c>
      <c r="K90" s="155">
        <f t="shared" si="2"/>
        <v>0</v>
      </c>
      <c r="L90" s="155" t="str">
        <f>IF(AND('Summary Sheet'!$E$23="No",$H$33&gt;0,H90&gt;=1),"",IF(AND('Summary Sheet'!$E$23="Yes",H90&lt;&gt;""),H90*'Summary Sheet'!$G$23,""))</f>
        <v/>
      </c>
      <c r="M90" s="154"/>
      <c r="N90" s="155">
        <f>SUM('Pay App 1:Pay App 5'!L90)+SUM('Pay App 1:Pay App 5'!M90)</f>
        <v>0</v>
      </c>
    </row>
    <row r="91" spans="1:14" ht="11.25" customHeight="1" x14ac:dyDescent="0.25">
      <c r="A91" s="152">
        <v>35</v>
      </c>
      <c r="B91" s="174" t="str">
        <f>'Pay App 1'!B91</f>
        <v>07 80 00</v>
      </c>
      <c r="C91" s="179" t="str">
        <f>'Pay App 1'!C91</f>
        <v>Fireproofing</v>
      </c>
      <c r="D91" s="155">
        <f>'Pay App 1'!D91</f>
        <v>0</v>
      </c>
      <c r="E91" s="155">
        <f>VLOOKUP(B91,'Graph Data'!$O$2:$BX$88,7,FALSE)</f>
        <v>0</v>
      </c>
      <c r="F91" s="155">
        <f>IFERROR(E91+'Pay App 4'!F91,"")</f>
        <v>0</v>
      </c>
      <c r="G91" s="155">
        <f>SUM('Pay App 1:Pay App 4'!H91)</f>
        <v>0</v>
      </c>
      <c r="H91" s="154"/>
      <c r="I91" s="155">
        <f t="shared" si="0"/>
        <v>0</v>
      </c>
      <c r="J91" s="156">
        <f t="shared" si="1"/>
        <v>0</v>
      </c>
      <c r="K91" s="155">
        <f t="shared" si="2"/>
        <v>0</v>
      </c>
      <c r="L91" s="155" t="str">
        <f>IF(AND('Summary Sheet'!$E$23="No",$H$33&gt;0,H91&gt;=1),"",IF(AND('Summary Sheet'!$E$23="Yes",H91&lt;&gt;""),H91*'Summary Sheet'!$G$23,""))</f>
        <v/>
      </c>
      <c r="M91" s="154"/>
      <c r="N91" s="155">
        <f>SUM('Pay App 1:Pay App 5'!L91)+SUM('Pay App 1:Pay App 5'!M91)</f>
        <v>0</v>
      </c>
    </row>
    <row r="92" spans="1:14" ht="11.25" customHeight="1" x14ac:dyDescent="0.25">
      <c r="A92" s="152">
        <v>36</v>
      </c>
      <c r="B92" s="174" t="str">
        <f>'Pay App 1'!B92</f>
        <v>07 90 00</v>
      </c>
      <c r="C92" s="179" t="str">
        <f>'Pay App 1'!C92</f>
        <v>Joint Sealants</v>
      </c>
      <c r="D92" s="155">
        <f>'Pay App 1'!D92</f>
        <v>0</v>
      </c>
      <c r="E92" s="155">
        <f>VLOOKUP(B92,'Graph Data'!$O$2:$BX$88,7,FALSE)</f>
        <v>0</v>
      </c>
      <c r="F92" s="155">
        <f>IFERROR(E92+'Pay App 4'!F92,"")</f>
        <v>0</v>
      </c>
      <c r="G92" s="155">
        <f>SUM('Pay App 1:Pay App 4'!H92)</f>
        <v>0</v>
      </c>
      <c r="H92" s="154"/>
      <c r="I92" s="155">
        <f t="shared" si="0"/>
        <v>0</v>
      </c>
      <c r="J92" s="156">
        <f t="shared" si="1"/>
        <v>0</v>
      </c>
      <c r="K92" s="155">
        <f t="shared" si="2"/>
        <v>0</v>
      </c>
      <c r="L92" s="155" t="str">
        <f>IF(AND('Summary Sheet'!$E$23="No",$H$33&gt;0,H92&gt;=1),"",IF(AND('Summary Sheet'!$E$23="Yes",H92&lt;&gt;""),H92*'Summary Sheet'!$G$23,""))</f>
        <v/>
      </c>
      <c r="M92" s="154"/>
      <c r="N92" s="155">
        <f>SUM('Pay App 1:Pay App 5'!L92)+SUM('Pay App 1:Pay App 5'!M92)</f>
        <v>0</v>
      </c>
    </row>
    <row r="93" spans="1:14" ht="11.25" customHeight="1" x14ac:dyDescent="0.25">
      <c r="A93" s="152">
        <v>37</v>
      </c>
      <c r="B93" s="174" t="str">
        <f>'Pay App 1'!B93</f>
        <v>07 95 00</v>
      </c>
      <c r="C93" s="179" t="str">
        <f>'Pay App 1'!C93</f>
        <v>Expansion Joints</v>
      </c>
      <c r="D93" s="155">
        <f>'Pay App 1'!D93</f>
        <v>0</v>
      </c>
      <c r="E93" s="155">
        <f>VLOOKUP(B93,'Graph Data'!$O$2:$BX$88,7,FALSE)</f>
        <v>0</v>
      </c>
      <c r="F93" s="155">
        <f>IFERROR(E93+'Pay App 4'!F93,"")</f>
        <v>0</v>
      </c>
      <c r="G93" s="155">
        <f>SUM('Pay App 1:Pay App 4'!H93)</f>
        <v>0</v>
      </c>
      <c r="H93" s="154"/>
      <c r="I93" s="155">
        <f t="shared" si="0"/>
        <v>0</v>
      </c>
      <c r="J93" s="156">
        <f t="shared" si="1"/>
        <v>0</v>
      </c>
      <c r="K93" s="155">
        <f t="shared" si="2"/>
        <v>0</v>
      </c>
      <c r="L93" s="155" t="str">
        <f>IF(AND('Summary Sheet'!$E$23="No",$H$33&gt;0,H93&gt;=1),"",IF(AND('Summary Sheet'!$E$23="Yes",H93&lt;&gt;""),H93*'Summary Sheet'!$G$23,""))</f>
        <v/>
      </c>
      <c r="M93" s="154"/>
      <c r="N93" s="155">
        <f>SUM('Pay App 1:Pay App 5'!L93)+SUM('Pay App 1:Pay App 5'!M93)</f>
        <v>0</v>
      </c>
    </row>
    <row r="94" spans="1:14" ht="11.25" customHeight="1" x14ac:dyDescent="0.25">
      <c r="A94" s="152">
        <v>38</v>
      </c>
      <c r="B94" s="175" t="str">
        <f>'Pay App 1'!B94</f>
        <v>08 10 00</v>
      </c>
      <c r="C94" s="180" t="str">
        <f>'Pay App 1'!C94</f>
        <v>Doors, Frames &amp; Hardware</v>
      </c>
      <c r="D94" s="155">
        <f>'Pay App 1'!D94</f>
        <v>0</v>
      </c>
      <c r="E94" s="155">
        <f>VLOOKUP(B94,'Graph Data'!$O$2:$BX$88,7,FALSE)</f>
        <v>0</v>
      </c>
      <c r="F94" s="155">
        <f>IFERROR(E94+'Pay App 4'!F94,"")</f>
        <v>0</v>
      </c>
      <c r="G94" s="155">
        <f>SUM('Pay App 1:Pay App 4'!H94)</f>
        <v>0</v>
      </c>
      <c r="H94" s="154"/>
      <c r="I94" s="155">
        <f t="shared" si="0"/>
        <v>0</v>
      </c>
      <c r="J94" s="156">
        <f t="shared" si="1"/>
        <v>0</v>
      </c>
      <c r="K94" s="155">
        <f t="shared" si="2"/>
        <v>0</v>
      </c>
      <c r="L94" s="155" t="str">
        <f>IF(AND('Summary Sheet'!$E$23="No",$H$33&gt;0,H94&gt;=1),"",IF(AND('Summary Sheet'!$E$23="Yes",H94&lt;&gt;""),H94*'Summary Sheet'!$G$23,""))</f>
        <v/>
      </c>
      <c r="M94" s="154"/>
      <c r="N94" s="155">
        <f>SUM('Pay App 1:Pay App 5'!L94)+SUM('Pay App 1:Pay App 5'!M94)</f>
        <v>0</v>
      </c>
    </row>
    <row r="95" spans="1:14" ht="11.25" customHeight="1" x14ac:dyDescent="0.25">
      <c r="A95" s="152">
        <v>39</v>
      </c>
      <c r="B95" s="175" t="str">
        <f>'Pay App 1'!B95</f>
        <v>08 30 00</v>
      </c>
      <c r="C95" s="180" t="str">
        <f>'Pay App 1'!C95</f>
        <v>Specialty Doors</v>
      </c>
      <c r="D95" s="155">
        <f>'Pay App 1'!D95</f>
        <v>0</v>
      </c>
      <c r="E95" s="155">
        <f>VLOOKUP(B95,'Graph Data'!$O$2:$BX$88,7,FALSE)</f>
        <v>0</v>
      </c>
      <c r="F95" s="155">
        <f>IFERROR(E95+'Pay App 4'!F95,"")</f>
        <v>0</v>
      </c>
      <c r="G95" s="155">
        <f>SUM('Pay App 1:Pay App 4'!H95)</f>
        <v>0</v>
      </c>
      <c r="H95" s="154"/>
      <c r="I95" s="155">
        <f t="shared" si="0"/>
        <v>0</v>
      </c>
      <c r="J95" s="156">
        <f t="shared" si="1"/>
        <v>0</v>
      </c>
      <c r="K95" s="155">
        <f t="shared" si="2"/>
        <v>0</v>
      </c>
      <c r="L95" s="155" t="str">
        <f>IF(AND('Summary Sheet'!$E$23="No",$H$33&gt;0,H95&gt;=1),"",IF(AND('Summary Sheet'!$E$23="Yes",H95&lt;&gt;""),H95*'Summary Sheet'!$G$23,""))</f>
        <v/>
      </c>
      <c r="M95" s="154"/>
      <c r="N95" s="155">
        <f>SUM('Pay App 1:Pay App 5'!L95)+SUM('Pay App 1:Pay App 5'!M95)</f>
        <v>0</v>
      </c>
    </row>
    <row r="96" spans="1:14" ht="11.25" customHeight="1" x14ac:dyDescent="0.25">
      <c r="A96" s="152">
        <v>40</v>
      </c>
      <c r="B96" s="175" t="str">
        <f>'Pay App 1'!B96</f>
        <v>08 33 00</v>
      </c>
      <c r="C96" s="180" t="str">
        <f>'Pay App 1'!C96</f>
        <v>Overhead Doors/Coiling Doors</v>
      </c>
      <c r="D96" s="155">
        <f>'Pay App 1'!D96</f>
        <v>0</v>
      </c>
      <c r="E96" s="155">
        <f>VLOOKUP(B96,'Graph Data'!$O$2:$BX$88,7,FALSE)</f>
        <v>0</v>
      </c>
      <c r="F96" s="155">
        <f>IFERROR(E96+'Pay App 4'!F96,"")</f>
        <v>0</v>
      </c>
      <c r="G96" s="155">
        <f>SUM('Pay App 1:Pay App 4'!H96)</f>
        <v>0</v>
      </c>
      <c r="H96" s="154"/>
      <c r="I96" s="155">
        <f t="shared" si="0"/>
        <v>0</v>
      </c>
      <c r="J96" s="156">
        <f t="shared" si="1"/>
        <v>0</v>
      </c>
      <c r="K96" s="155">
        <f t="shared" si="2"/>
        <v>0</v>
      </c>
      <c r="L96" s="155" t="str">
        <f>IF(AND('Summary Sheet'!$E$23="No",$H$33&gt;0,H96&gt;=1),"",IF(AND('Summary Sheet'!$E$23="Yes",H96&lt;&gt;""),H96*'Summary Sheet'!$G$23,""))</f>
        <v/>
      </c>
      <c r="M96" s="154"/>
      <c r="N96" s="155">
        <f>SUM('Pay App 1:Pay App 5'!L96)+SUM('Pay App 1:Pay App 5'!M96)</f>
        <v>0</v>
      </c>
    </row>
    <row r="97" spans="1:15" ht="11.25" customHeight="1" x14ac:dyDescent="0.25">
      <c r="A97" s="152">
        <v>41</v>
      </c>
      <c r="B97" s="175" t="str">
        <f>'Pay App 1'!B97</f>
        <v>08 40 00</v>
      </c>
      <c r="C97" s="180" t="str">
        <f>'Pay App 1'!C97</f>
        <v>Curtain Wall, Glass &amp; Glazing</v>
      </c>
      <c r="D97" s="155">
        <f>'Pay App 1'!D97</f>
        <v>0</v>
      </c>
      <c r="E97" s="155">
        <f>VLOOKUP(B97,'Graph Data'!$O$2:$BX$88,7,FALSE)</f>
        <v>0</v>
      </c>
      <c r="F97" s="155">
        <f>IFERROR(E97+'Pay App 4'!F97,"")</f>
        <v>0</v>
      </c>
      <c r="G97" s="155">
        <f>SUM('Pay App 1:Pay App 4'!H97)</f>
        <v>0</v>
      </c>
      <c r="H97" s="154"/>
      <c r="I97" s="155">
        <f t="shared" si="0"/>
        <v>0</v>
      </c>
      <c r="J97" s="156">
        <f t="shared" si="1"/>
        <v>0</v>
      </c>
      <c r="K97" s="155">
        <f t="shared" si="2"/>
        <v>0</v>
      </c>
      <c r="L97" s="155" t="str">
        <f>IF(AND('Summary Sheet'!$E$23="No",$H$33&gt;0,H97&gt;=1),"",IF(AND('Summary Sheet'!$E$23="Yes",H97&lt;&gt;""),H97*'Summary Sheet'!$G$23,""))</f>
        <v/>
      </c>
      <c r="M97" s="154"/>
      <c r="N97" s="155">
        <f>SUM('Pay App 1:Pay App 5'!L97)+SUM('Pay App 1:Pay App 5'!M97)</f>
        <v>0</v>
      </c>
    </row>
    <row r="98" spans="1:15" ht="10.9" customHeight="1" x14ac:dyDescent="0.25">
      <c r="A98" s="152">
        <v>42</v>
      </c>
      <c r="B98" s="175" t="str">
        <f>'Pay App 1'!B98</f>
        <v>08 60 00</v>
      </c>
      <c r="C98" s="180" t="str">
        <f>'Pay App 1'!C98</f>
        <v>Skylights</v>
      </c>
      <c r="D98" s="155">
        <f>'Pay App 1'!D98</f>
        <v>0</v>
      </c>
      <c r="E98" s="155">
        <f>VLOOKUP(B98,'Graph Data'!$O$2:$BX$88,7,FALSE)</f>
        <v>0</v>
      </c>
      <c r="F98" s="155">
        <f>IFERROR(E98+'Pay App 4'!F98,"")</f>
        <v>0</v>
      </c>
      <c r="G98" s="155">
        <f>SUM('Pay App 1:Pay App 4'!H98)</f>
        <v>0</v>
      </c>
      <c r="H98" s="154"/>
      <c r="I98" s="155">
        <f t="shared" si="0"/>
        <v>0</v>
      </c>
      <c r="J98" s="156">
        <f t="shared" si="1"/>
        <v>0</v>
      </c>
      <c r="K98" s="155">
        <f t="shared" si="2"/>
        <v>0</v>
      </c>
      <c r="L98" s="155" t="str">
        <f>IF(AND('Summary Sheet'!$E$23="No",$H$33&gt;0,H98&gt;=1),"",IF(AND('Summary Sheet'!$E$23="Yes",H98&lt;&gt;""),H98*'Summary Sheet'!$G$23,""))</f>
        <v/>
      </c>
      <c r="M98" s="154"/>
      <c r="N98" s="155">
        <f>SUM('Pay App 1:Pay App 5'!L98)+SUM('Pay App 1:Pay App 5'!M98)</f>
        <v>0</v>
      </c>
    </row>
    <row r="99" spans="1:15" ht="10.9" customHeight="1" x14ac:dyDescent="0.25">
      <c r="A99" s="152">
        <v>43</v>
      </c>
      <c r="B99" s="175" t="str">
        <f>'Pay App 1'!B99</f>
        <v>08 90 00</v>
      </c>
      <c r="C99" s="180" t="str">
        <f>'Pay App 1'!C99</f>
        <v>Louvers &amp; Vents</v>
      </c>
      <c r="D99" s="155">
        <f>'Pay App 1'!D99</f>
        <v>0</v>
      </c>
      <c r="E99" s="155">
        <f>VLOOKUP(B99,'Graph Data'!$O$2:$BX$88,7,FALSE)</f>
        <v>0</v>
      </c>
      <c r="F99" s="155">
        <f>IFERROR(E99+'Pay App 4'!F99,"")</f>
        <v>0</v>
      </c>
      <c r="G99" s="155">
        <f>SUM('Pay App 1:Pay App 4'!H99)</f>
        <v>0</v>
      </c>
      <c r="H99" s="154"/>
      <c r="I99" s="155">
        <f t="shared" si="0"/>
        <v>0</v>
      </c>
      <c r="J99" s="156">
        <f t="shared" si="1"/>
        <v>0</v>
      </c>
      <c r="K99" s="155">
        <f t="shared" si="2"/>
        <v>0</v>
      </c>
      <c r="L99" s="155" t="str">
        <f>IF(AND('Summary Sheet'!$E$23="No",$H$33&gt;0,H99&gt;=1),"",IF(AND('Summary Sheet'!$E$23="Yes",H99&lt;&gt;""),H99*'Summary Sheet'!$G$23,""))</f>
        <v/>
      </c>
      <c r="M99" s="154"/>
      <c r="N99" s="155">
        <f>SUM('Pay App 1:Pay App 5'!L99)+SUM('Pay App 1:Pay App 5'!M99)</f>
        <v>0</v>
      </c>
    </row>
    <row r="100" spans="1:15" ht="11.25" customHeight="1" x14ac:dyDescent="0.25">
      <c r="A100" s="153">
        <v>44</v>
      </c>
      <c r="B100" s="176" t="str">
        <f>'Pay App 1'!B100</f>
        <v>09 20 00</v>
      </c>
      <c r="C100" s="181" t="str">
        <f>'Pay App 1'!C100</f>
        <v>Gypsum Board Systems</v>
      </c>
      <c r="D100" s="155">
        <f>'Pay App 1'!D100</f>
        <v>0</v>
      </c>
      <c r="E100" s="155">
        <f>VLOOKUP(B100,'Graph Data'!$O$2:$BX$88,7,FALSE)</f>
        <v>0</v>
      </c>
      <c r="F100" s="155">
        <f>IFERROR(E100+'Pay App 4'!F100,"")</f>
        <v>0</v>
      </c>
      <c r="G100" s="155">
        <f>SUM('Pay App 1:Pay App 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5'!L100)+SUM('Pay App 1:Pay App 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Data'!$O$2:$BX$88,7,FALSE)</f>
        <v>0</v>
      </c>
      <c r="F106" s="155">
        <f>IFERROR(E106+'Pay App 4'!F106,"")</f>
        <v>0</v>
      </c>
      <c r="G106" s="155">
        <f>SUM('Pay App 1:Pay App 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5'!L106)+SUM('Pay App 1:Pay App 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Data'!$O$2:$BX$88,7,FALSE)</f>
        <v>0</v>
      </c>
      <c r="F107" s="155">
        <f>IFERROR(E107+'Pay App 4'!F107,"")</f>
        <v>0</v>
      </c>
      <c r="G107" s="155">
        <f>SUM('Pay App 1:Pay App 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5'!L107)+SUM('Pay App 1:Pay App 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Data'!$O$2:$BX$88,7,FALSE)</f>
        <v>0</v>
      </c>
      <c r="F108" s="155">
        <f>IFERROR(E108+'Pay App 4'!F108,"")</f>
        <v>0</v>
      </c>
      <c r="G108" s="155">
        <f>SUM('Pay App 1:Pay App 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5'!L108)+SUM('Pay App 1:Pay App 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Data'!$O$2:$BX$88,7,FALSE)</f>
        <v>0</v>
      </c>
      <c r="F109" s="155">
        <f>IFERROR(E109+'Pay App 4'!F109,"")</f>
        <v>0</v>
      </c>
      <c r="G109" s="155">
        <f>SUM('Pay App 1:Pay App 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5'!L109)+SUM('Pay App 1:Pay App 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Data'!$O$2:$BX$88,7,FALSE)</f>
        <v>0</v>
      </c>
      <c r="F110" s="155">
        <f>IFERROR(E110+'Pay App 4'!F110,"")</f>
        <v>0</v>
      </c>
      <c r="G110" s="155">
        <f>SUM('Pay App 1:Pay App 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5'!L110)+SUM('Pay App 1:Pay App 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Data'!$O$2:$BX$88,7,FALSE)</f>
        <v>0</v>
      </c>
      <c r="F111" s="155">
        <f>IFERROR(E111+'Pay App 4'!F111,"")</f>
        <v>0</v>
      </c>
      <c r="G111" s="155">
        <f>SUM('Pay App 1:Pay App 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5'!L111)+SUM('Pay App 1:Pay App 5'!M111)</f>
        <v>0</v>
      </c>
    </row>
    <row r="112" spans="1:15" ht="11.25" customHeight="1" x14ac:dyDescent="0.25">
      <c r="A112" s="152">
        <f t="shared" si="3"/>
        <v>51</v>
      </c>
      <c r="B112" s="148" t="str">
        <f>'Pay App 1'!B112</f>
        <v>09 90 00</v>
      </c>
      <c r="C112" s="143" t="str">
        <f>'Pay App 1'!C112</f>
        <v>Painting</v>
      </c>
      <c r="D112" s="155">
        <f>'Pay App 1'!D112</f>
        <v>0</v>
      </c>
      <c r="E112" s="155">
        <f>VLOOKUP(B112,'Graph Data'!$O$2:$BX$88,7,FALSE)</f>
        <v>0</v>
      </c>
      <c r="F112" s="155">
        <f>IFERROR(E112+'Pay App 4'!F112,"")</f>
        <v>0</v>
      </c>
      <c r="G112" s="155">
        <f>SUM('Pay App 1:Pay App 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5'!L112)+SUM('Pay App 1:Pay App 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Data'!$O$2:$BX$88,7,FALSE)</f>
        <v>0</v>
      </c>
      <c r="F113" s="155">
        <f>IFERROR(E113+'Pay App 4'!F113,"")</f>
        <v>0</v>
      </c>
      <c r="G113" s="155">
        <f>SUM('Pay App 1:Pay App 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5'!L113)+SUM('Pay App 1:Pay App 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Data'!$O$2:$BX$88,7,FALSE)</f>
        <v>0</v>
      </c>
      <c r="F114" s="155">
        <f>IFERROR(E114+'Pay App 4'!F114,"")</f>
        <v>0</v>
      </c>
      <c r="G114" s="155">
        <f>SUM('Pay App 1:Pay App 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5'!L114)+SUM('Pay App 1:Pay App 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Data'!$O$2:$BX$88,7,FALSE)</f>
        <v>0</v>
      </c>
      <c r="F115" s="155">
        <f>IFERROR(E115+'Pay App 4'!F115,"")</f>
        <v>0</v>
      </c>
      <c r="G115" s="155">
        <f>SUM('Pay App 1:Pay App 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5'!L115)+SUM('Pay App 1:Pay App 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Data'!$O$2:$BX$88,7,FALSE)</f>
        <v>0</v>
      </c>
      <c r="F116" s="155">
        <f>IFERROR(E116+'Pay App 4'!F116,"")</f>
        <v>0</v>
      </c>
      <c r="G116" s="155">
        <f>SUM('Pay App 1:Pay App 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5'!L116)+SUM('Pay App 1:Pay App 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Data'!$O$2:$BX$88,7,FALSE)</f>
        <v>0</v>
      </c>
      <c r="F117" s="155">
        <f>IFERROR(E117+'Pay App 4'!F117,"")</f>
        <v>0</v>
      </c>
      <c r="G117" s="155">
        <f>SUM('Pay App 1:Pay App 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5'!L117)+SUM('Pay App 1:Pay App 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Data'!$O$2:$BX$88,7,FALSE)</f>
        <v>0</v>
      </c>
      <c r="F118" s="155">
        <f>IFERROR(E118+'Pay App 4'!F118,"")</f>
        <v>0</v>
      </c>
      <c r="G118" s="155">
        <f>SUM('Pay App 1:Pay App 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5'!L118)+SUM('Pay App 1:Pay App 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Data'!$O$2:$BX$88,7,FALSE)</f>
        <v>0</v>
      </c>
      <c r="F119" s="155">
        <f>IFERROR(E119+'Pay App 4'!F119,"")</f>
        <v>0</v>
      </c>
      <c r="G119" s="155">
        <f>SUM('Pay App 1:Pay App 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5'!L119)+SUM('Pay App 1:Pay App 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Data'!$O$2:$BX$88,7,FALSE)</f>
        <v>0</v>
      </c>
      <c r="F120" s="155">
        <f>IFERROR(E120+'Pay App 4'!F120,"")</f>
        <v>0</v>
      </c>
      <c r="G120" s="155">
        <f>SUM('Pay App 1:Pay App 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5'!L120)+SUM('Pay App 1:Pay App 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Data'!$O$2:$BX$88,7,FALSE)</f>
        <v>0</v>
      </c>
      <c r="F121" s="155">
        <f>IFERROR(E121+'Pay App 4'!F121,"")</f>
        <v>0</v>
      </c>
      <c r="G121" s="155">
        <f>SUM('Pay App 1:Pay App 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5'!L121)+SUM('Pay App 1:Pay App 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Data'!$O$2:$BX$88,7,FALSE)</f>
        <v>0</v>
      </c>
      <c r="F122" s="155">
        <f>IFERROR(E122+'Pay App 4'!F122,"")</f>
        <v>0</v>
      </c>
      <c r="G122" s="155">
        <f>SUM('Pay App 1:Pay App 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5'!L122)+SUM('Pay App 1:Pay App 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Data'!$O$2:$BX$88,7,FALSE)</f>
        <v>0</v>
      </c>
      <c r="F123" s="155">
        <f>IFERROR(E123+'Pay App 4'!F123,"")</f>
        <v>0</v>
      </c>
      <c r="G123" s="155">
        <f>SUM('Pay App 1:Pay App 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5'!L123)+SUM('Pay App 1:Pay App 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Data'!$O$2:$BX$88,7,FALSE)</f>
        <v>0</v>
      </c>
      <c r="F124" s="155">
        <f>IFERROR(E124+'Pay App 4'!F124,"")</f>
        <v>0</v>
      </c>
      <c r="G124" s="155">
        <f>SUM('Pay App 1:Pay App 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5'!L124)+SUM('Pay App 1:Pay App 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Data'!$O$2:$BX$88,7,FALSE)</f>
        <v>0</v>
      </c>
      <c r="F125" s="155">
        <f>IFERROR(E125+'Pay App 4'!F125,"")</f>
        <v>0</v>
      </c>
      <c r="G125" s="155">
        <f>SUM('Pay App 1:Pay App 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5'!L125)+SUM('Pay App 1:Pay App 5'!M125)</f>
        <v>0</v>
      </c>
    </row>
    <row r="126" spans="1:14" ht="11.25" customHeight="1" x14ac:dyDescent="0.25">
      <c r="A126" s="152">
        <f t="shared" si="3"/>
        <v>65</v>
      </c>
      <c r="B126" s="188" t="str">
        <f>'Pay App 1'!B126</f>
        <v>14 20 00</v>
      </c>
      <c r="C126" s="194" t="str">
        <f>'Pay App 1'!C126</f>
        <v>Elevator</v>
      </c>
      <c r="D126" s="155">
        <f>'Pay App 1'!D126</f>
        <v>0</v>
      </c>
      <c r="E126" s="155">
        <f>VLOOKUP(B126,'Graph Data'!$O$2:$BX$88,7,FALSE)</f>
        <v>0</v>
      </c>
      <c r="F126" s="155">
        <f>IFERROR(E126+'Pay App 4'!F126,"")</f>
        <v>0</v>
      </c>
      <c r="G126" s="155">
        <f>SUM('Pay App 1:Pay App 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5'!L126)+SUM('Pay App 1:Pay App 5'!M126)</f>
        <v>0</v>
      </c>
    </row>
    <row r="127" spans="1:14" ht="11.25" customHeight="1" x14ac:dyDescent="0.25">
      <c r="A127" s="152">
        <f t="shared" si="3"/>
        <v>66</v>
      </c>
      <c r="B127" s="188" t="str">
        <f>'Pay App 1'!B127</f>
        <v>14 40 00</v>
      </c>
      <c r="C127" s="194" t="str">
        <f>'Pay App 1'!C127</f>
        <v>Lifts</v>
      </c>
      <c r="D127" s="155">
        <f>'Pay App 1'!D127</f>
        <v>0</v>
      </c>
      <c r="E127" s="155">
        <f>VLOOKUP(B127,'Graph Data'!$O$2:$BX$88,7,FALSE)</f>
        <v>0</v>
      </c>
      <c r="F127" s="155">
        <f>IFERROR(E127+'Pay App 4'!F127,"")</f>
        <v>0</v>
      </c>
      <c r="G127" s="155">
        <f>SUM('Pay App 1:Pay App 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5'!L127)+SUM('Pay App 1:Pay App 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Data'!$O$2:$BX$88,7,FALSE)</f>
        <v>0</v>
      </c>
      <c r="F128" s="155">
        <f>IFERROR(E128+'Pay App 4'!F128,"")</f>
        <v>0</v>
      </c>
      <c r="G128" s="155">
        <f>SUM('Pay App 1:Pay App 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5'!L128)+SUM('Pay App 1:Pay App 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Data'!$O$2:$BX$88,7,FALSE)</f>
        <v>0</v>
      </c>
      <c r="F129" s="155">
        <f>IFERROR(E129+'Pay App 4'!F129,"")</f>
        <v>0</v>
      </c>
      <c r="G129" s="155">
        <f>SUM('Pay App 1:Pay App 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5'!L129)+SUM('Pay App 1:Pay App 5'!M129)</f>
        <v>0</v>
      </c>
    </row>
    <row r="130" spans="1:14" ht="11.25" customHeight="1" x14ac:dyDescent="0.25">
      <c r="A130" s="152">
        <f t="shared" si="3"/>
        <v>69</v>
      </c>
      <c r="B130" s="185" t="str">
        <f>'Pay App 1'!B130</f>
        <v>22 00 00</v>
      </c>
      <c r="C130" s="191" t="str">
        <f>'Pay App 1'!C130</f>
        <v>Plumbing</v>
      </c>
      <c r="D130" s="155">
        <f>'Pay App 1'!D130</f>
        <v>0</v>
      </c>
      <c r="E130" s="155">
        <f>VLOOKUP(B130,'Graph Data'!$O$2:$BX$88,7,FALSE)</f>
        <v>0</v>
      </c>
      <c r="F130" s="155">
        <f>IFERROR(E130+'Pay App 4'!F130,"")</f>
        <v>0</v>
      </c>
      <c r="G130" s="155">
        <f>SUM('Pay App 1:Pay App 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5'!L130)+SUM('Pay App 1:Pay App 5'!M130)</f>
        <v>0</v>
      </c>
    </row>
    <row r="131" spans="1:14" ht="11.25" customHeight="1" x14ac:dyDescent="0.25">
      <c r="A131" s="152">
        <f t="shared" si="3"/>
        <v>70</v>
      </c>
      <c r="B131" s="186" t="str">
        <f>'Pay App 1'!B131</f>
        <v>23 00 00</v>
      </c>
      <c r="C131" s="192" t="str">
        <f>'Pay App 1'!C131</f>
        <v>HVAC</v>
      </c>
      <c r="D131" s="155">
        <f>'Pay App 1'!D131</f>
        <v>0</v>
      </c>
      <c r="E131" s="155">
        <f>VLOOKUP(B131,'Graph Data'!$O$2:$BX$88,7,FALSE)</f>
        <v>0</v>
      </c>
      <c r="F131" s="155">
        <f>IFERROR(E131+'Pay App 4'!F131,"")</f>
        <v>0</v>
      </c>
      <c r="G131" s="155">
        <f>SUM('Pay App 1:Pay App 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5'!L131)+SUM('Pay App 1:Pay App 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Data'!$O$2:$BX$88,7,FALSE)</f>
        <v>0</v>
      </c>
      <c r="F132" s="155">
        <f>IFERROR(E132+'Pay App 4'!F132,"")</f>
        <v>0</v>
      </c>
      <c r="G132" s="155">
        <f>SUM('Pay App 1:Pay App 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5'!L132)+SUM('Pay App 1:Pay App 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Data'!$O$2:$BX$88,7,FALSE)</f>
        <v>0</v>
      </c>
      <c r="F133" s="155">
        <f>IFERROR(E133+'Pay App 4'!F133,"")</f>
        <v>0</v>
      </c>
      <c r="G133" s="155">
        <f>SUM('Pay App 1:Pay App 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5'!L133)+SUM('Pay App 1:Pay App 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Data'!$O$2:$BX$88,7,FALSE)</f>
        <v>0</v>
      </c>
      <c r="F134" s="155">
        <f>IFERROR(E134+'Pay App 4'!F134,"")</f>
        <v>0</v>
      </c>
      <c r="G134" s="155">
        <f>SUM('Pay App 1:Pay App 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5'!L134)+SUM('Pay App 1:Pay App 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Data'!$O$2:$BX$88,7,FALSE)</f>
        <v>0</v>
      </c>
      <c r="F135" s="155">
        <f>IFERROR(E135+'Pay App 4'!F135,"")</f>
        <v>0</v>
      </c>
      <c r="G135" s="155">
        <f>SUM('Pay App 1:Pay App 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5'!L135)+SUM('Pay App 1:Pay App 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Data'!$O$2:$BX$88,7,FALSE)</f>
        <v>0</v>
      </c>
      <c r="F136" s="155">
        <f>IFERROR(E136+'Pay App 4'!F136,"")</f>
        <v>0</v>
      </c>
      <c r="G136" s="155">
        <f>SUM('Pay App 1:Pay App 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5'!L136)+SUM('Pay App 1:Pay App 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Data'!$O$2:$BX$88,7,FALSE)</f>
        <v>0</v>
      </c>
      <c r="F137" s="155">
        <f>IFERROR(E137+'Pay App 4'!F137,"")</f>
        <v>0</v>
      </c>
      <c r="G137" s="155">
        <f>SUM('Pay App 1:Pay App 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5'!L137)+SUM('Pay App 1:Pay App 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Data'!$O$2:$BX$88,7,FALSE)</f>
        <v>0</v>
      </c>
      <c r="F138" s="155">
        <f>IFERROR(E138+'Pay App 4'!F138,"")</f>
        <v>0</v>
      </c>
      <c r="G138" s="155">
        <f>SUM('Pay App 1:Pay App 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5'!L138)+SUM('Pay App 1:Pay App 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Data'!$O$2:$BX$88,7,FALSE)</f>
        <v>0</v>
      </c>
      <c r="F139" s="155">
        <f>IFERROR(E139+'Pay App 4'!F139,"")</f>
        <v>0</v>
      </c>
      <c r="G139" s="155">
        <f>SUM('Pay App 1:Pay App 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5'!L139)+SUM('Pay App 1:Pay App 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Data'!$O$2:$BX$88,7,FALSE)</f>
        <v>0</v>
      </c>
      <c r="F140" s="155">
        <f>IFERROR(E140+'Pay App 4'!F140,"")</f>
        <v>0</v>
      </c>
      <c r="G140" s="155">
        <f>SUM('Pay App 1:Pay App 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5'!L140)+SUM('Pay App 1:Pay App 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Data'!$O$2:$BX$88,7,FALSE)</f>
        <v>0</v>
      </c>
      <c r="F141" s="155">
        <f>IFERROR(E141+'Pay App 4'!F141,"")</f>
        <v>0</v>
      </c>
      <c r="G141" s="155">
        <f>SUM('Pay App 1:Pay App 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5'!L141)+SUM('Pay App 1:Pay App 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Data'!$O$2:$BX$88,7,FALSE)</f>
        <v>0</v>
      </c>
      <c r="F142" s="155">
        <f>IFERROR(E142+'Pay App 4'!F142,"")</f>
        <v>0</v>
      </c>
      <c r="G142" s="155">
        <f>SUM('Pay App 1:Pay App 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5'!L142)+SUM('Pay App 1:Pay App 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Data'!$O$2:$BX$88,7,FALSE)</f>
        <v>0</v>
      </c>
      <c r="F143" s="155">
        <f>IFERROR(E143+'Pay App 4'!F143,"")</f>
        <v>0</v>
      </c>
      <c r="G143" s="155">
        <f>SUM('Pay App 1:Pay App 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5'!L143)+SUM('Pay App 1:Pay App 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Data'!$O$2:$BX$88,7,FALSE)</f>
        <v>0</v>
      </c>
      <c r="F144" s="155">
        <f>IFERROR(E144+'Pay App 4'!F144,"")</f>
        <v>0</v>
      </c>
      <c r="G144" s="155">
        <f>SUM('Pay App 1:Pay App 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5'!L144)+SUM('Pay App 1:Pay App 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Data'!$O$2:$BX$88,7,FALSE)</f>
        <v>0</v>
      </c>
      <c r="F145" s="155">
        <f>IFERROR(E145+'Pay App 4'!F145,"")</f>
        <v>0</v>
      </c>
      <c r="G145" s="155">
        <f>SUM('Pay App 1:Pay App 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5'!L145)+SUM('Pay App 1:Pay App 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Data'!$O$2:$BX$88,7,FALSE)</f>
        <v>0</v>
      </c>
      <c r="F146" s="155">
        <f>IFERROR(E146+'Pay App 4'!F146,"")</f>
        <v>0</v>
      </c>
      <c r="G146" s="155">
        <f>SUM('Pay App 1:Pay App 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5'!L146)+SUM('Pay App 1:Pay App 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Data'!$O$2:$BX$88,7,FALSE)</f>
        <v>0</v>
      </c>
      <c r="F147" s="155">
        <f>IFERROR(E147+'Pay App 4'!F147,"")</f>
        <v>0</v>
      </c>
      <c r="G147" s="155">
        <f>SUM('Pay App 1:Pay App 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5'!L147)+SUM('Pay App 1:Pay App 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Data'!$O$2:$BX$88,7,FALSE)</f>
        <v>0</v>
      </c>
      <c r="F148" s="155">
        <f>IFERROR(E148+'Pay App 4'!F148,"")</f>
        <v>0</v>
      </c>
      <c r="G148" s="155">
        <f>SUM('Pay App 1:Pay App 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5'!L148)+SUM('Pay App 1:Pay App 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z+++hhAcLndfWEf+/ZuecB07E7YFyWF9BRCXXG97m5AZyo5q54AcKKxmMRj59u5I2IRsonTn9Acf7wh6tMdQEQ==" saltValue="Cz0qNhfoI/LczBBth/3mKg==" spinCount="100000" sheet="1" objects="1" scenarios="1" selectLockedCells="1"/>
  <mergeCells count="60">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A20:C20"/>
    <mergeCell ref="D20:H20"/>
    <mergeCell ref="I48:N51"/>
    <mergeCell ref="A21:C21"/>
    <mergeCell ref="D21:H21"/>
    <mergeCell ref="I22:K22"/>
    <mergeCell ref="L22:N22"/>
    <mergeCell ref="A23:H23"/>
    <mergeCell ref="A24:H25"/>
    <mergeCell ref="I24:N33"/>
    <mergeCell ref="I37:K37"/>
    <mergeCell ref="I41:K41"/>
    <mergeCell ref="I45:K45"/>
    <mergeCell ref="A18:C18"/>
    <mergeCell ref="D18:H18"/>
    <mergeCell ref="F17:H17"/>
    <mergeCell ref="A19:C19"/>
    <mergeCell ref="D19:H19"/>
    <mergeCell ref="A15:C15"/>
    <mergeCell ref="F15:H15"/>
    <mergeCell ref="A16:C16"/>
    <mergeCell ref="D16:E16"/>
    <mergeCell ref="F16:H16"/>
    <mergeCell ref="D10:H10"/>
    <mergeCell ref="A11:C11"/>
    <mergeCell ref="D11:H11"/>
    <mergeCell ref="A12:C14"/>
    <mergeCell ref="D12:H12"/>
    <mergeCell ref="D13:H13"/>
    <mergeCell ref="D14:G14"/>
    <mergeCell ref="D1:L2"/>
    <mergeCell ref="A4:H4"/>
    <mergeCell ref="D3:F3"/>
    <mergeCell ref="J3:L3"/>
    <mergeCell ref="A5:C8"/>
    <mergeCell ref="D5:H5"/>
    <mergeCell ref="I5:K5"/>
    <mergeCell ref="D6:H6"/>
    <mergeCell ref="I6:N18"/>
    <mergeCell ref="D7:H7"/>
    <mergeCell ref="D8:H8"/>
    <mergeCell ref="A9:C9"/>
    <mergeCell ref="D9:H9"/>
    <mergeCell ref="A10:C10"/>
    <mergeCell ref="A17:C17"/>
    <mergeCell ref="D17:E17"/>
  </mergeCells>
  <conditionalFormatting sqref="D57:G100">
    <cfRule type="cellIs" dxfId="615" priority="2" operator="equal">
      <formula>0</formula>
    </cfRule>
  </conditionalFormatting>
  <conditionalFormatting sqref="D106:G148">
    <cfRule type="cellIs" dxfId="614" priority="1" operator="equal">
      <formula>0</formula>
    </cfRule>
  </conditionalFormatting>
  <conditionalFormatting sqref="D10:H10 D12:H14 D19:H21">
    <cfRule type="cellIs" dxfId="613" priority="6" operator="equal">
      <formula>0</formula>
    </cfRule>
  </conditionalFormatting>
  <conditionalFormatting sqref="H51">
    <cfRule type="cellIs" dxfId="612" priority="9" operator="lessThan">
      <formula>0</formula>
    </cfRule>
  </conditionalFormatting>
  <conditionalFormatting sqref="I57:I100 K57:K100 I106:I148 K106:K148 N106:N148">
    <cfRule type="cellIs" dxfId="611" priority="14" operator="equal">
      <formula>0</formula>
    </cfRule>
  </conditionalFormatting>
  <conditionalFormatting sqref="J57:J100 J106:J149">
    <cfRule type="cellIs" dxfId="610" priority="11" operator="greaterThan">
      <formula>1</formula>
    </cfRule>
    <cfRule type="cellIs" dxfId="609" priority="12" operator="equal">
      <formula>0</formula>
    </cfRule>
  </conditionalFormatting>
  <conditionalFormatting sqref="K57:K100 K106:K148">
    <cfRule type="cellIs" dxfId="608" priority="10" operator="lessThan">
      <formula>0</formula>
    </cfRule>
  </conditionalFormatting>
  <conditionalFormatting sqref="M57:M100">
    <cfRule type="cellIs" dxfId="607" priority="13" operator="lessThan">
      <formula>0</formula>
    </cfRule>
  </conditionalFormatting>
  <conditionalFormatting sqref="M106:M148">
    <cfRule type="cellIs" dxfId="606" priority="8" operator="lessThan">
      <formula>0</formula>
    </cfRule>
  </conditionalFormatting>
  <conditionalFormatting sqref="N57:N100">
    <cfRule type="cellIs" dxfId="60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4E88614-F4F6-4692-8F76-516614CB4A77}">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E0F04-90DD-484E-9A09-BFB23B5E97C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12"/>
      <c r="G16" s="413"/>
      <c r="H16" s="413"/>
      <c r="I16" s="404"/>
      <c r="J16" s="404"/>
      <c r="K16" s="404"/>
      <c r="L16" s="404"/>
      <c r="M16" s="404"/>
      <c r="N16" s="404"/>
    </row>
    <row r="17" spans="1:14" x14ac:dyDescent="0.25">
      <c r="A17" s="366" t="s">
        <v>187</v>
      </c>
      <c r="B17" s="366"/>
      <c r="C17" s="366"/>
      <c r="D17" s="410"/>
      <c r="E17" s="411"/>
      <c r="F17" s="412"/>
      <c r="G17" s="413"/>
      <c r="H17" s="413"/>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6.1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Data'!$O$2:$BX$88,8,FALSE)</f>
        <v>0</v>
      </c>
      <c r="F57" s="155">
        <f>IFERROR(E57+'Pay App 5'!F57,"")</f>
        <v>0</v>
      </c>
      <c r="G57" s="155">
        <f>SUM('Pay App 1:Pay App 5'!H57)</f>
        <v>0</v>
      </c>
      <c r="H57" s="154"/>
      <c r="I57" s="155">
        <f>G57+H57</f>
        <v>0</v>
      </c>
      <c r="J57" s="156">
        <f>IFERROR(I57/F57,0)</f>
        <v>0</v>
      </c>
      <c r="K57" s="155">
        <f>IFERROR(F57-I57,"")</f>
        <v>0</v>
      </c>
      <c r="L57" s="155" t="str">
        <f>IF(AND('Summary Sheet'!$E$23="No",$H$33&gt;0,H57&gt;=1),"",IF(AND('Summary Sheet'!$E$23="Yes",H57&lt;&gt;""),H57*'Summary Sheet'!$G$23,""))</f>
        <v/>
      </c>
      <c r="M57" s="154"/>
      <c r="N57" s="155">
        <f>SUM('Pay App 1:Pay App 6'!L57)+SUM('Pay App 1:Pay App 6'!M57)</f>
        <v>0</v>
      </c>
    </row>
    <row r="58" spans="1:16" ht="11.25" customHeight="1" x14ac:dyDescent="0.25">
      <c r="A58" s="152">
        <v>2</v>
      </c>
      <c r="B58" s="145" t="str">
        <f>'Pay App 1'!B58</f>
        <v>00 02 00</v>
      </c>
      <c r="C58" s="134" t="str">
        <f>'Pay App 1'!C58</f>
        <v>Preconstruction Services</v>
      </c>
      <c r="D58" s="155">
        <f>'Pay App 1'!D58</f>
        <v>0</v>
      </c>
      <c r="E58" s="155">
        <f>VLOOKUP(B58,'Graph Data'!$O$2:$BX$88,8,FALSE)</f>
        <v>0</v>
      </c>
      <c r="F58" s="155">
        <f>IFERROR(E58+'Pay App 5'!F58,"")</f>
        <v>0</v>
      </c>
      <c r="G58" s="155">
        <f>SUM('Pay App 1:Pay App 5'!H58)</f>
        <v>0</v>
      </c>
      <c r="H58" s="154"/>
      <c r="I58" s="155">
        <f>G58+H58</f>
        <v>0</v>
      </c>
      <c r="J58" s="156">
        <f>IFERROR(I58/F58,0)</f>
        <v>0</v>
      </c>
      <c r="K58" s="155">
        <f>IFERROR(F58-I58,"")</f>
        <v>0</v>
      </c>
      <c r="L58" s="155" t="str">
        <f>IF(AND('Summary Sheet'!$E$23="No",$H$33&gt;0,H58&gt;=1),"",IF(AND('Summary Sheet'!$E$23="Yes",H58&lt;&gt;""),H58*'Summary Sheet'!$G$23,""))</f>
        <v/>
      </c>
      <c r="M58" s="154"/>
      <c r="N58" s="155">
        <f>SUM('Pay App 1:Pay App 6'!L58)+SUM('Pay App 1:Pay App 6'!M58)</f>
        <v>0</v>
      </c>
    </row>
    <row r="59" spans="1:16" ht="11.25" customHeight="1" x14ac:dyDescent="0.25">
      <c r="A59" s="152">
        <v>3</v>
      </c>
      <c r="B59" s="174" t="str">
        <f>'Pay App 1'!B59</f>
        <v>01 00 00</v>
      </c>
      <c r="C59" s="179" t="str">
        <f>'Pay App 1'!C59</f>
        <v>General Conditions/Requirements</v>
      </c>
      <c r="D59" s="155">
        <f>'Pay App 1'!D59</f>
        <v>0</v>
      </c>
      <c r="E59" s="155">
        <f>VLOOKUP(B59,'Graph Data'!$O$2:$BX$88,8,FALSE)</f>
        <v>0</v>
      </c>
      <c r="F59" s="155">
        <f>IFERROR(E59+'Pay App 5'!F59,"")</f>
        <v>0</v>
      </c>
      <c r="G59" s="155">
        <f>SUM('Pay App 1:Pay App 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6'!L59)+SUM('Pay App 1:Pay App 6'!M59)</f>
        <v>0</v>
      </c>
    </row>
    <row r="60" spans="1:16" ht="11.25" customHeight="1" x14ac:dyDescent="0.25">
      <c r="A60" s="152">
        <v>4</v>
      </c>
      <c r="B60" s="174" t="str">
        <f>'Pay App 1'!B60</f>
        <v>01 13 41</v>
      </c>
      <c r="C60" s="179" t="str">
        <f>'Pay App 1'!C60</f>
        <v>Temp. Scaffolding and Platforms</v>
      </c>
      <c r="D60" s="155">
        <f>'Pay App 1'!D60</f>
        <v>0</v>
      </c>
      <c r="E60" s="155">
        <f>VLOOKUP(B60,'Graph Data'!$O$2:$BX$88,8,FALSE)</f>
        <v>0</v>
      </c>
      <c r="F60" s="155">
        <f>IFERROR(E60+'Pay App 5'!F60,"")</f>
        <v>0</v>
      </c>
      <c r="G60" s="155">
        <f>SUM('Pay App 1:Pay App 5'!H60)</f>
        <v>0</v>
      </c>
      <c r="H60" s="154"/>
      <c r="I60" s="155">
        <f t="shared" si="0"/>
        <v>0</v>
      </c>
      <c r="J60" s="156">
        <f t="shared" si="1"/>
        <v>0</v>
      </c>
      <c r="K60" s="155">
        <f t="shared" si="2"/>
        <v>0</v>
      </c>
      <c r="L60" s="155" t="str">
        <f>IF(AND('Summary Sheet'!$E$23="No",$H$33&gt;0,H60&gt;=1),"",IF(AND('Summary Sheet'!$E$23="Yes",H60&lt;&gt;""),H60*'Summary Sheet'!$G$23,""))</f>
        <v/>
      </c>
      <c r="M60" s="154"/>
      <c r="N60" s="155">
        <f>SUM('Pay App 1:Pay App 6'!L60)+SUM('Pay App 1:Pay App 6'!M60)</f>
        <v>0</v>
      </c>
    </row>
    <row r="61" spans="1:16" ht="11.25" customHeight="1" x14ac:dyDescent="0.25">
      <c r="A61" s="152">
        <v>5</v>
      </c>
      <c r="B61" s="174" t="str">
        <f>'Pay App 1'!B61</f>
        <v>01 13 60</v>
      </c>
      <c r="C61" s="179" t="str">
        <f>'Pay App 1'!C61</f>
        <v>SWPPP</v>
      </c>
      <c r="D61" s="155">
        <f>'Pay App 1'!D61</f>
        <v>0</v>
      </c>
      <c r="E61" s="155">
        <f>VLOOKUP(B61,'Graph Data'!$O$2:$BX$88,8,FALSE)</f>
        <v>0</v>
      </c>
      <c r="F61" s="155">
        <f>IFERROR(E61+'Pay App 5'!F61,"")</f>
        <v>0</v>
      </c>
      <c r="G61" s="155">
        <f>SUM('Pay App 1:Pay App 5'!H61)</f>
        <v>0</v>
      </c>
      <c r="H61" s="154"/>
      <c r="I61" s="155">
        <f t="shared" si="0"/>
        <v>0</v>
      </c>
      <c r="J61" s="156">
        <f t="shared" si="1"/>
        <v>0</v>
      </c>
      <c r="K61" s="155">
        <f t="shared" si="2"/>
        <v>0</v>
      </c>
      <c r="L61" s="155" t="str">
        <f>IF(AND('Summary Sheet'!$E$23="No",$H$33&gt;0,H61&gt;=1),"",IF(AND('Summary Sheet'!$E$23="Yes",H61&lt;&gt;""),H61*'Summary Sheet'!$G$23,""))</f>
        <v/>
      </c>
      <c r="M61" s="154"/>
      <c r="N61" s="155">
        <f>SUM('Pay App 1:Pay App 6'!L61)+SUM('Pay App 1:Pay App 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Data'!$O$2:$BX$88,8,FALSE)</f>
        <v>0</v>
      </c>
      <c r="F62" s="155">
        <f>IFERROR(E62+'Pay App 5'!F62,"")</f>
        <v>0</v>
      </c>
      <c r="G62" s="155">
        <f>SUM('Pay App 1:Pay App 5'!H62)</f>
        <v>0</v>
      </c>
      <c r="H62" s="154"/>
      <c r="I62" s="155">
        <f t="shared" si="0"/>
        <v>0</v>
      </c>
      <c r="J62" s="156">
        <f t="shared" si="1"/>
        <v>0</v>
      </c>
      <c r="K62" s="155">
        <f t="shared" si="2"/>
        <v>0</v>
      </c>
      <c r="L62" s="155" t="str">
        <f>IF(AND('Summary Sheet'!$E$23="No",$H$33&gt;0,H62&gt;=1),"",IF(AND('Summary Sheet'!$E$23="Yes",H62&lt;&gt;""),H62*'Summary Sheet'!$G$23,""))</f>
        <v/>
      </c>
      <c r="M62" s="154"/>
      <c r="N62" s="155">
        <f>SUM('Pay App 1:Pay App 6'!L62)+SUM('Pay App 1:Pay App 6'!M62)</f>
        <v>0</v>
      </c>
    </row>
    <row r="63" spans="1:16" ht="11.25" customHeight="1" x14ac:dyDescent="0.25">
      <c r="A63" s="152">
        <v>7</v>
      </c>
      <c r="B63" s="174" t="str">
        <f>'Pay App 1'!B63</f>
        <v>01 31 00</v>
      </c>
      <c r="C63" s="179" t="str">
        <f>'Pay App 1'!C63</f>
        <v>Contractor's Supervision</v>
      </c>
      <c r="D63" s="155">
        <f>'Pay App 1'!D63</f>
        <v>0</v>
      </c>
      <c r="E63" s="155">
        <f>VLOOKUP(B63,'Graph Data'!$O$2:$BX$88,8,FALSE)</f>
        <v>0</v>
      </c>
      <c r="F63" s="155">
        <f>IFERROR(E63+'Pay App 5'!F63,"")</f>
        <v>0</v>
      </c>
      <c r="G63" s="155">
        <f>SUM('Pay App 1:Pay App 5'!H63)</f>
        <v>0</v>
      </c>
      <c r="H63" s="154"/>
      <c r="I63" s="155">
        <f t="shared" si="0"/>
        <v>0</v>
      </c>
      <c r="J63" s="156">
        <f t="shared" si="1"/>
        <v>0</v>
      </c>
      <c r="K63" s="155">
        <f t="shared" si="2"/>
        <v>0</v>
      </c>
      <c r="L63" s="155" t="str">
        <f>IF(AND('Summary Sheet'!$E$23="No",$H$33&gt;0,H63&gt;=1),"",IF(AND('Summary Sheet'!$E$23="Yes",H63&lt;&gt;""),H63*'Summary Sheet'!$G$23,""))</f>
        <v/>
      </c>
      <c r="M63" s="154"/>
      <c r="N63" s="155">
        <f>SUM('Pay App 1:Pay App 6'!L63)+SUM('Pay App 1:Pay App 6'!M63)</f>
        <v>0</v>
      </c>
    </row>
    <row r="64" spans="1:16" ht="11.25" customHeight="1" x14ac:dyDescent="0.25">
      <c r="A64" s="152">
        <v>8</v>
      </c>
      <c r="B64" s="174" t="str">
        <f>'Pay App 1'!B64</f>
        <v>01 32 00</v>
      </c>
      <c r="C64" s="179" t="str">
        <f>'Pay App 1'!C64</f>
        <v>General Liability Insurance</v>
      </c>
      <c r="D64" s="155">
        <f>'Pay App 1'!D64</f>
        <v>0</v>
      </c>
      <c r="E64" s="155">
        <f>VLOOKUP(B64,'Graph Data'!$O$2:$BX$88,8,FALSE)</f>
        <v>0</v>
      </c>
      <c r="F64" s="155">
        <f>IFERROR(E64+'Pay App 5'!F64,"")</f>
        <v>0</v>
      </c>
      <c r="G64" s="155">
        <f>SUM('Pay App 1:Pay App 5'!H64)</f>
        <v>0</v>
      </c>
      <c r="H64" s="154"/>
      <c r="I64" s="155">
        <f t="shared" si="0"/>
        <v>0</v>
      </c>
      <c r="J64" s="156">
        <f t="shared" si="1"/>
        <v>0</v>
      </c>
      <c r="K64" s="155">
        <f t="shared" si="2"/>
        <v>0</v>
      </c>
      <c r="L64" s="155" t="str">
        <f>IF(AND('Summary Sheet'!$E$23="No",$H$33&gt;0,H64&gt;=1),"",IF(AND('Summary Sheet'!$E$23="Yes",H64&lt;&gt;""),H64*'Summary Sheet'!$G$23,""))</f>
        <v/>
      </c>
      <c r="M64" s="154"/>
      <c r="N64" s="155">
        <f>SUM('Pay App 1:Pay App 6'!L64)+SUM('Pay App 1:Pay App 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Data'!$O$2:$BX$88,8,FALSE)</f>
        <v>0</v>
      </c>
      <c r="F65" s="155">
        <f>IFERROR(E65+'Pay App 5'!F65,"")</f>
        <v>0</v>
      </c>
      <c r="G65" s="155">
        <f>SUM('Pay App 1:Pay App 5'!H65)</f>
        <v>0</v>
      </c>
      <c r="H65" s="154"/>
      <c r="I65" s="155">
        <f t="shared" si="0"/>
        <v>0</v>
      </c>
      <c r="J65" s="156">
        <f t="shared" si="1"/>
        <v>0</v>
      </c>
      <c r="K65" s="155">
        <f t="shared" si="2"/>
        <v>0</v>
      </c>
      <c r="L65" s="155" t="str">
        <f>IF(AND('Summary Sheet'!$E$23="No",$H$33&gt;0,H65&gt;=1),"",IF(AND('Summary Sheet'!$E$23="Yes",H65&lt;&gt;""),H65*'Summary Sheet'!$G$23,""))</f>
        <v/>
      </c>
      <c r="M65" s="154"/>
      <c r="N65" s="155">
        <f>SUM('Pay App 1:Pay App 6'!L65)+SUM('Pay App 1:Pay App 6'!M65)</f>
        <v>0</v>
      </c>
    </row>
    <row r="66" spans="1:17" ht="11.25" customHeight="1" x14ac:dyDescent="0.25">
      <c r="A66" s="152">
        <v>10</v>
      </c>
      <c r="B66" s="174" t="str">
        <f>'Pay App 1'!B66</f>
        <v>01 34 00</v>
      </c>
      <c r="C66" s="179" t="str">
        <f>'Pay App 1'!C66</f>
        <v>Subcontractor Default Insurance</v>
      </c>
      <c r="D66" s="155">
        <f>'Pay App 1'!D66</f>
        <v>0</v>
      </c>
      <c r="E66" s="155">
        <f>VLOOKUP(B66,'Graph Data'!$O$2:$BX$88,8,FALSE)</f>
        <v>0</v>
      </c>
      <c r="F66" s="155">
        <f>IFERROR(E66+'Pay App 5'!F66,"")</f>
        <v>0</v>
      </c>
      <c r="G66" s="155">
        <f>SUM('Pay App 1:Pay App 5'!H66)</f>
        <v>0</v>
      </c>
      <c r="H66" s="154"/>
      <c r="I66" s="155">
        <f t="shared" si="0"/>
        <v>0</v>
      </c>
      <c r="J66" s="156">
        <f t="shared" si="1"/>
        <v>0</v>
      </c>
      <c r="K66" s="155">
        <f t="shared" si="2"/>
        <v>0</v>
      </c>
      <c r="L66" s="155" t="str">
        <f>IF(AND('Summary Sheet'!$E$23="No",$H$33&gt;0,H66&gt;=1),"",IF(AND('Summary Sheet'!$E$23="Yes",H66&lt;&gt;""),H66*'Summary Sheet'!$G$23,""))</f>
        <v/>
      </c>
      <c r="M66" s="154"/>
      <c r="N66" s="155">
        <f>SUM('Pay App 1:Pay App 6'!L66)+SUM('Pay App 1:Pay App 6'!M66)</f>
        <v>0</v>
      </c>
    </row>
    <row r="67" spans="1:17" ht="11.25" customHeight="1" x14ac:dyDescent="0.25">
      <c r="A67" s="152">
        <v>11</v>
      </c>
      <c r="B67" s="174" t="str">
        <f>'Pay App 1'!B67</f>
        <v>01 35 00</v>
      </c>
      <c r="C67" s="179" t="str">
        <f>'Pay App 1'!C67</f>
        <v>Construction Management Fee</v>
      </c>
      <c r="D67" s="155">
        <f>'Pay App 1'!D67</f>
        <v>0</v>
      </c>
      <c r="E67" s="155">
        <f>VLOOKUP(B67,'Graph Data'!$O$2:$BX$88,8,FALSE)</f>
        <v>0</v>
      </c>
      <c r="F67" s="155">
        <f>IFERROR(E67+'Pay App 5'!F67,"")</f>
        <v>0</v>
      </c>
      <c r="G67" s="155">
        <f>SUM('Pay App 1:Pay App 5'!H67)</f>
        <v>0</v>
      </c>
      <c r="H67" s="154"/>
      <c r="I67" s="155">
        <f t="shared" si="0"/>
        <v>0</v>
      </c>
      <c r="J67" s="156">
        <f t="shared" si="1"/>
        <v>0</v>
      </c>
      <c r="K67" s="155">
        <f t="shared" si="2"/>
        <v>0</v>
      </c>
      <c r="L67" s="155" t="str">
        <f>IF(AND('Summary Sheet'!$E$23="No",$H$33&gt;0,H67&gt;=1),"",IF(AND('Summary Sheet'!$E$23="Yes",H67&lt;&gt;""),H67*'Summary Sheet'!$G$23,""))</f>
        <v/>
      </c>
      <c r="M67" s="154"/>
      <c r="N67" s="155">
        <f>SUM('Pay App 1:Pay App 6'!L67)+SUM('Pay App 1:Pay App 6'!M67)</f>
        <v>0</v>
      </c>
    </row>
    <row r="68" spans="1:17" ht="11.25" customHeight="1" x14ac:dyDescent="0.25">
      <c r="A68" s="152">
        <v>12</v>
      </c>
      <c r="B68" s="174" t="str">
        <f>'Pay App 1'!B68</f>
        <v>01 36 00</v>
      </c>
      <c r="C68" s="179" t="str">
        <f>'Pay App 1'!C68</f>
        <v>Contingency</v>
      </c>
      <c r="D68" s="155">
        <f>'Pay App 1'!D68</f>
        <v>0</v>
      </c>
      <c r="E68" s="155">
        <f>VLOOKUP(B68,'Graph Data'!$O$2:$BX$88,8,FALSE)</f>
        <v>0</v>
      </c>
      <c r="F68" s="155">
        <f>IFERROR(E68+'Pay App 5'!F68,"")</f>
        <v>0</v>
      </c>
      <c r="G68" s="155">
        <f>SUM('Pay App 1:Pay App 5'!H68)</f>
        <v>0</v>
      </c>
      <c r="H68" s="154"/>
      <c r="I68" s="155">
        <f t="shared" si="0"/>
        <v>0</v>
      </c>
      <c r="J68" s="156">
        <f t="shared" si="1"/>
        <v>0</v>
      </c>
      <c r="K68" s="155">
        <f t="shared" si="2"/>
        <v>0</v>
      </c>
      <c r="L68" s="155" t="str">
        <f>IF(AND('Summary Sheet'!$E$23="No",$H$33&gt;0,H68&gt;=1),"",IF(AND('Summary Sheet'!$E$23="Yes",H68&lt;&gt;""),H68*'Summary Sheet'!$G$23,""))</f>
        <v/>
      </c>
      <c r="M68" s="154"/>
      <c r="N68" s="155">
        <f>SUM('Pay App 1:Pay App 6'!L68)+SUM('Pay App 1:Pay App 6'!M68)</f>
        <v>0</v>
      </c>
    </row>
    <row r="69" spans="1:17" ht="11.25" customHeight="1" x14ac:dyDescent="0.25">
      <c r="A69" s="152">
        <v>13</v>
      </c>
      <c r="B69" s="174" t="str">
        <f>'Pay App 1'!B69</f>
        <v>01 37 00</v>
      </c>
      <c r="C69" s="179" t="str">
        <f>'Pay App 1'!C69</f>
        <v>Weather Allowance (All Trades)</v>
      </c>
      <c r="D69" s="155">
        <f>'Pay App 1'!D69</f>
        <v>0</v>
      </c>
      <c r="E69" s="155">
        <f>VLOOKUP(B69,'Graph Data'!$O$2:$BX$88,8,FALSE)</f>
        <v>0</v>
      </c>
      <c r="F69" s="155">
        <f>IFERROR(E69+'Pay App 5'!F69,"")</f>
        <v>0</v>
      </c>
      <c r="G69" s="155">
        <f>SUM('Pay App 1:Pay App 5'!H69)</f>
        <v>0</v>
      </c>
      <c r="H69" s="154"/>
      <c r="I69" s="155">
        <f t="shared" si="0"/>
        <v>0</v>
      </c>
      <c r="J69" s="156">
        <f t="shared" si="1"/>
        <v>0</v>
      </c>
      <c r="K69" s="155">
        <f t="shared" si="2"/>
        <v>0</v>
      </c>
      <c r="L69" s="155" t="str">
        <f>IF(AND('Summary Sheet'!$E$23="No",$H$33&gt;0,H69&gt;=1),"",IF(AND('Summary Sheet'!$E$23="Yes",H69&lt;&gt;""),H69*'Summary Sheet'!$G$23,""))</f>
        <v/>
      </c>
      <c r="M69" s="154"/>
      <c r="N69" s="155">
        <f>SUM('Pay App 1:Pay App 6'!L69)+SUM('Pay App 1:Pay App 6'!M69)</f>
        <v>0</v>
      </c>
    </row>
    <row r="70" spans="1:17" ht="11.25" customHeight="1" x14ac:dyDescent="0.25">
      <c r="A70" s="152">
        <v>14</v>
      </c>
      <c r="B70" s="174" t="str">
        <f>'Pay App 1'!B70</f>
        <v>01 74 23</v>
      </c>
      <c r="C70" s="179" t="str">
        <f>'Pay App 1'!C70</f>
        <v>Cleaning (Final)</v>
      </c>
      <c r="D70" s="155">
        <f>'Pay App 1'!D70</f>
        <v>0</v>
      </c>
      <c r="E70" s="155">
        <f>VLOOKUP(B70,'Graph Data'!$O$2:$BX$88,8,FALSE)</f>
        <v>0</v>
      </c>
      <c r="F70" s="155">
        <f>IFERROR(E70+'Pay App 5'!F70,"")</f>
        <v>0</v>
      </c>
      <c r="G70" s="155">
        <f>SUM('Pay App 1:Pay App 5'!H70)</f>
        <v>0</v>
      </c>
      <c r="H70" s="154"/>
      <c r="I70" s="155">
        <f t="shared" si="0"/>
        <v>0</v>
      </c>
      <c r="J70" s="156">
        <f t="shared" si="1"/>
        <v>0</v>
      </c>
      <c r="K70" s="155">
        <f t="shared" si="2"/>
        <v>0</v>
      </c>
      <c r="L70" s="155" t="str">
        <f>IF(AND('Summary Sheet'!$E$23="No",$H$33&gt;0,H70&gt;=1),"",IF(AND('Summary Sheet'!$E$23="Yes",H70&lt;&gt;""),H70*'Summary Sheet'!$G$23,""))</f>
        <v/>
      </c>
      <c r="M70" s="154"/>
      <c r="N70" s="155">
        <f>SUM('Pay App 1:Pay App 6'!L70)+SUM('Pay App 1:Pay App 6'!M70)</f>
        <v>0</v>
      </c>
    </row>
    <row r="71" spans="1:17" ht="11.25" customHeight="1" x14ac:dyDescent="0.25">
      <c r="A71" s="152">
        <v>15</v>
      </c>
      <c r="B71" s="175" t="str">
        <f>'Pay App 1'!B71</f>
        <v>02 21 00</v>
      </c>
      <c r="C71" s="180" t="str">
        <f>'Pay App 1'!C71</f>
        <v>Survey/Engineering</v>
      </c>
      <c r="D71" s="155">
        <f>'Pay App 1'!D71</f>
        <v>0</v>
      </c>
      <c r="E71" s="155">
        <f>VLOOKUP(B71,'Graph Data'!$O$2:$BX$88,8,FALSE)</f>
        <v>0</v>
      </c>
      <c r="F71" s="155">
        <f>IFERROR(E71+'Pay App 5'!F71,"")</f>
        <v>0</v>
      </c>
      <c r="G71" s="155">
        <f>SUM('Pay App 1:Pay App 5'!H71)</f>
        <v>0</v>
      </c>
      <c r="H71" s="154"/>
      <c r="I71" s="155">
        <f t="shared" si="0"/>
        <v>0</v>
      </c>
      <c r="J71" s="156">
        <f t="shared" si="1"/>
        <v>0</v>
      </c>
      <c r="K71" s="155">
        <f t="shared" si="2"/>
        <v>0</v>
      </c>
      <c r="L71" s="155" t="str">
        <f>IF(AND('Summary Sheet'!$E$23="No",$H$33&gt;0,H71&gt;=1),"",IF(AND('Summary Sheet'!$E$23="Yes",H71&lt;&gt;""),H71*'Summary Sheet'!$G$23,""))</f>
        <v/>
      </c>
      <c r="M71" s="154"/>
      <c r="N71" s="155">
        <f>SUM('Pay App 1:Pay App 6'!L71)+SUM('Pay App 1:Pay App 6'!M71)</f>
        <v>0</v>
      </c>
      <c r="Q71" s="28"/>
    </row>
    <row r="72" spans="1:17" ht="11.25" customHeight="1" x14ac:dyDescent="0.25">
      <c r="A72" s="152">
        <v>16</v>
      </c>
      <c r="B72" s="175" t="str">
        <f>'Pay App 1'!B72</f>
        <v>02 41 00</v>
      </c>
      <c r="C72" s="180" t="str">
        <f>'Pay App 1'!C72</f>
        <v>Demolition</v>
      </c>
      <c r="D72" s="155">
        <f>'Pay App 1'!D72</f>
        <v>0</v>
      </c>
      <c r="E72" s="155">
        <f>VLOOKUP(B72,'Graph Data'!$O$2:$BX$88,8,FALSE)</f>
        <v>0</v>
      </c>
      <c r="F72" s="155">
        <f>IFERROR(E72+'Pay App 5'!F72,"")</f>
        <v>0</v>
      </c>
      <c r="G72" s="155">
        <f>SUM('Pay App 1:Pay App 5'!H72)</f>
        <v>0</v>
      </c>
      <c r="H72" s="154"/>
      <c r="I72" s="155">
        <f t="shared" si="0"/>
        <v>0</v>
      </c>
      <c r="J72" s="156">
        <f t="shared" si="1"/>
        <v>0</v>
      </c>
      <c r="K72" s="155">
        <f t="shared" si="2"/>
        <v>0</v>
      </c>
      <c r="L72" s="155" t="str">
        <f>IF(AND('Summary Sheet'!$E$23="No",$H$33&gt;0,H72&gt;=1),"",IF(AND('Summary Sheet'!$E$23="Yes",H72&lt;&gt;""),H72*'Summary Sheet'!$G$23,""))</f>
        <v/>
      </c>
      <c r="M72" s="154"/>
      <c r="N72" s="155">
        <f>SUM('Pay App 1:Pay App 6'!L72)+SUM('Pay App 1:Pay App 6'!M72)</f>
        <v>0</v>
      </c>
      <c r="Q72" s="28"/>
    </row>
    <row r="73" spans="1:17" ht="11.25" customHeight="1" x14ac:dyDescent="0.25">
      <c r="A73" s="152">
        <v>17</v>
      </c>
      <c r="B73" s="175" t="str">
        <f>'Pay App 1'!B73</f>
        <v>02 82 00</v>
      </c>
      <c r="C73" s="180" t="str">
        <f>'Pay App 1'!C73</f>
        <v>Asbestos Abatement</v>
      </c>
      <c r="D73" s="155">
        <f>'Pay App 1'!D73</f>
        <v>0</v>
      </c>
      <c r="E73" s="155">
        <f>VLOOKUP(B73,'Graph Data'!$O$2:$BX$88,8,FALSE)</f>
        <v>0</v>
      </c>
      <c r="F73" s="155">
        <f>IFERROR(E73+'Pay App 5'!F73,"")</f>
        <v>0</v>
      </c>
      <c r="G73" s="155">
        <f>SUM('Pay App 1:Pay App 5'!H73)</f>
        <v>0</v>
      </c>
      <c r="H73" s="154"/>
      <c r="I73" s="155">
        <f t="shared" si="0"/>
        <v>0</v>
      </c>
      <c r="J73" s="156">
        <f t="shared" si="1"/>
        <v>0</v>
      </c>
      <c r="K73" s="155">
        <f t="shared" si="2"/>
        <v>0</v>
      </c>
      <c r="L73" s="155" t="str">
        <f>IF(AND('Summary Sheet'!$E$23="No",$H$33&gt;0,H73&gt;=1),"",IF(AND('Summary Sheet'!$E$23="Yes",H73&lt;&gt;""),H73*'Summary Sheet'!$G$23,""))</f>
        <v/>
      </c>
      <c r="M73" s="154"/>
      <c r="N73" s="155">
        <f>SUM('Pay App 1:Pay App 6'!L73)+SUM('Pay App 1:Pay App 6'!M73)</f>
        <v>0</v>
      </c>
    </row>
    <row r="74" spans="1:17" ht="11.25" customHeight="1" x14ac:dyDescent="0.25">
      <c r="A74" s="152">
        <v>18</v>
      </c>
      <c r="B74" s="176" t="str">
        <f>'Pay App 1'!B74</f>
        <v>03 00 00</v>
      </c>
      <c r="C74" s="181" t="str">
        <f>'Pay App 1'!C74</f>
        <v>Building Concrete</v>
      </c>
      <c r="D74" s="155">
        <f>'Pay App 1'!D74</f>
        <v>0</v>
      </c>
      <c r="E74" s="155">
        <f>VLOOKUP(B74,'Graph Data'!$O$2:$BX$88,8,FALSE)</f>
        <v>0</v>
      </c>
      <c r="F74" s="155">
        <f>IFERROR(E74+'Pay App 5'!F74,"")</f>
        <v>0</v>
      </c>
      <c r="G74" s="155">
        <f>SUM('Pay App 1:Pay App 5'!H74)</f>
        <v>0</v>
      </c>
      <c r="H74" s="154"/>
      <c r="I74" s="155">
        <f t="shared" si="0"/>
        <v>0</v>
      </c>
      <c r="J74" s="156">
        <f t="shared" si="1"/>
        <v>0</v>
      </c>
      <c r="K74" s="155">
        <f t="shared" si="2"/>
        <v>0</v>
      </c>
      <c r="L74" s="155" t="str">
        <f>IF(AND('Summary Sheet'!$E$23="No",$H$33&gt;0,H74&gt;=1),"",IF(AND('Summary Sheet'!$E$23="Yes",H74&lt;&gt;""),H74*'Summary Sheet'!$G$23,""))</f>
        <v/>
      </c>
      <c r="M74" s="154"/>
      <c r="N74" s="155">
        <f>SUM('Pay App 1:Pay App 6'!L74)+SUM('Pay App 1:Pay App 6'!M74)</f>
        <v>0</v>
      </c>
    </row>
    <row r="75" spans="1:17" ht="11.25" customHeight="1" x14ac:dyDescent="0.25">
      <c r="A75" s="152">
        <v>19</v>
      </c>
      <c r="B75" s="176" t="str">
        <f>'Pay App 1'!B75</f>
        <v>03 20 00</v>
      </c>
      <c r="C75" s="181" t="str">
        <f>'Pay App 1'!C75</f>
        <v>Building Concrete Reinforcing</v>
      </c>
      <c r="D75" s="155">
        <f>'Pay App 1'!D75</f>
        <v>0</v>
      </c>
      <c r="E75" s="155">
        <f>VLOOKUP(B75,'Graph Data'!$O$2:$BX$88,8,FALSE)</f>
        <v>0</v>
      </c>
      <c r="F75" s="155">
        <f>IFERROR(E75+'Pay App 5'!F75,"")</f>
        <v>0</v>
      </c>
      <c r="G75" s="155">
        <f>SUM('Pay App 1:Pay App 5'!H75)</f>
        <v>0</v>
      </c>
      <c r="H75" s="154"/>
      <c r="I75" s="155">
        <f t="shared" si="0"/>
        <v>0</v>
      </c>
      <c r="J75" s="156">
        <f t="shared" si="1"/>
        <v>0</v>
      </c>
      <c r="K75" s="155">
        <f t="shared" si="2"/>
        <v>0</v>
      </c>
      <c r="L75" s="155" t="str">
        <f>IF(AND('Summary Sheet'!$E$23="No",$H$33&gt;0,H75&gt;=1),"",IF(AND('Summary Sheet'!$E$23="Yes",H75&lt;&gt;""),H75*'Summary Sheet'!$G$23,""))</f>
        <v/>
      </c>
      <c r="M75" s="154"/>
      <c r="N75" s="155">
        <f>SUM('Pay App 1:Pay App 6'!L75)+SUM('Pay App 1:Pay App 6'!M75)</f>
        <v>0</v>
      </c>
    </row>
    <row r="76" spans="1:17" ht="11.25" customHeight="1" x14ac:dyDescent="0.25">
      <c r="A76" s="152">
        <v>20</v>
      </c>
      <c r="B76" s="176" t="str">
        <f>'Pay App 1'!B76</f>
        <v>03 40 00</v>
      </c>
      <c r="C76" s="181" t="str">
        <f>'Pay App 1'!C76</f>
        <v>Precast</v>
      </c>
      <c r="D76" s="155">
        <f>'Pay App 1'!D76</f>
        <v>0</v>
      </c>
      <c r="E76" s="155">
        <f>VLOOKUP(B76,'Graph Data'!$O$2:$BX$88,8,FALSE)</f>
        <v>0</v>
      </c>
      <c r="F76" s="155">
        <f>IFERROR(E76+'Pay App 5'!F76,"")</f>
        <v>0</v>
      </c>
      <c r="G76" s="155">
        <f>SUM('Pay App 1:Pay App 5'!H76)</f>
        <v>0</v>
      </c>
      <c r="H76" s="154"/>
      <c r="I76" s="155">
        <f t="shared" si="0"/>
        <v>0</v>
      </c>
      <c r="J76" s="156">
        <f t="shared" si="1"/>
        <v>0</v>
      </c>
      <c r="K76" s="155">
        <f t="shared" si="2"/>
        <v>0</v>
      </c>
      <c r="L76" s="155" t="str">
        <f>IF(AND('Summary Sheet'!$E$23="No",$H$33&gt;0,H76&gt;=1),"",IF(AND('Summary Sheet'!$E$23="Yes",H76&lt;&gt;""),H76*'Summary Sheet'!$G$23,""))</f>
        <v/>
      </c>
      <c r="M76" s="154"/>
      <c r="N76" s="155">
        <f>SUM('Pay App 1:Pay App 6'!L76)+SUM('Pay App 1:Pay App 6'!M76)</f>
        <v>0</v>
      </c>
    </row>
    <row r="77" spans="1:17" ht="11.25" customHeight="1" x14ac:dyDescent="0.25">
      <c r="A77" s="152">
        <v>21</v>
      </c>
      <c r="B77" s="177" t="str">
        <f>'Pay App 1'!B77</f>
        <v>04 00 00</v>
      </c>
      <c r="C77" s="182" t="str">
        <f>'Pay App 1'!C77</f>
        <v>Masonry</v>
      </c>
      <c r="D77" s="155">
        <f>'Pay App 1'!D77</f>
        <v>0</v>
      </c>
      <c r="E77" s="155">
        <f>VLOOKUP(B77,'Graph Data'!$O$2:$BX$88,8,FALSE)</f>
        <v>0</v>
      </c>
      <c r="F77" s="155">
        <f>IFERROR(E77+'Pay App 5'!F77,"")</f>
        <v>0</v>
      </c>
      <c r="G77" s="155">
        <f>SUM('Pay App 1:Pay App 5'!H77)</f>
        <v>0</v>
      </c>
      <c r="H77" s="154"/>
      <c r="I77" s="155">
        <f t="shared" si="0"/>
        <v>0</v>
      </c>
      <c r="J77" s="156">
        <f t="shared" si="1"/>
        <v>0</v>
      </c>
      <c r="K77" s="155">
        <f t="shared" si="2"/>
        <v>0</v>
      </c>
      <c r="L77" s="155" t="str">
        <f>IF(AND('Summary Sheet'!$E$23="No",$H$33&gt;0,H77&gt;=1),"",IF(AND('Summary Sheet'!$E$23="Yes",H77&lt;&gt;""),H77*'Summary Sheet'!$G$23,""))</f>
        <v/>
      </c>
      <c r="M77" s="154"/>
      <c r="N77" s="155">
        <f>SUM('Pay App 1:Pay App 6'!L77)+SUM('Pay App 1:Pay App 6'!M77)</f>
        <v>0</v>
      </c>
    </row>
    <row r="78" spans="1:17" ht="11.25" customHeight="1" x14ac:dyDescent="0.25">
      <c r="A78" s="152">
        <v>22</v>
      </c>
      <c r="B78" s="177" t="str">
        <f>'Pay App 1'!B78</f>
        <v>04 05 19</v>
      </c>
      <c r="C78" s="182" t="str">
        <f>'Pay App 1'!C78</f>
        <v>Masonry Reinforcing</v>
      </c>
      <c r="D78" s="155">
        <f>'Pay App 1'!D78</f>
        <v>0</v>
      </c>
      <c r="E78" s="155">
        <f>VLOOKUP(B78,'Graph Data'!$O$2:$BX$88,8,FALSE)</f>
        <v>0</v>
      </c>
      <c r="F78" s="155">
        <f>IFERROR(E78+'Pay App 5'!F78,"")</f>
        <v>0</v>
      </c>
      <c r="G78" s="155">
        <f>SUM('Pay App 1:Pay App 5'!H78)</f>
        <v>0</v>
      </c>
      <c r="H78" s="154"/>
      <c r="I78" s="155">
        <f t="shared" si="0"/>
        <v>0</v>
      </c>
      <c r="J78" s="156">
        <f t="shared" si="1"/>
        <v>0</v>
      </c>
      <c r="K78" s="155">
        <f t="shared" si="2"/>
        <v>0</v>
      </c>
      <c r="L78" s="155" t="str">
        <f>IF(AND('Summary Sheet'!$E$23="No",$H$33&gt;0,H78&gt;=1),"",IF(AND('Summary Sheet'!$E$23="Yes",H78&lt;&gt;""),H78*'Summary Sheet'!$G$23,""))</f>
        <v/>
      </c>
      <c r="M78" s="154"/>
      <c r="N78" s="155">
        <f>SUM('Pay App 1:Pay App 6'!L78)+SUM('Pay App 1:Pay App 6'!M78)</f>
        <v>0</v>
      </c>
    </row>
    <row r="79" spans="1:17" ht="11.25" customHeight="1" x14ac:dyDescent="0.25">
      <c r="A79" s="152">
        <v>23</v>
      </c>
      <c r="B79" s="178" t="str">
        <f>'Pay App 1'!B79</f>
        <v>05 10 00</v>
      </c>
      <c r="C79" s="183" t="str">
        <f>'Pay App 1'!C79</f>
        <v>Structural Steel/Misc. Steel Fab</v>
      </c>
      <c r="D79" s="155">
        <f>'Pay App 1'!D79</f>
        <v>0</v>
      </c>
      <c r="E79" s="155">
        <f>VLOOKUP(B79,'Graph Data'!$O$2:$BX$88,8,FALSE)</f>
        <v>0</v>
      </c>
      <c r="F79" s="155">
        <f>IFERROR(E79+'Pay App 5'!F79,"")</f>
        <v>0</v>
      </c>
      <c r="G79" s="155">
        <f>SUM('Pay App 1:Pay App 5'!H79)</f>
        <v>0</v>
      </c>
      <c r="H79" s="154"/>
      <c r="I79" s="155">
        <f t="shared" si="0"/>
        <v>0</v>
      </c>
      <c r="J79" s="156">
        <f t="shared" si="1"/>
        <v>0</v>
      </c>
      <c r="K79" s="155">
        <f t="shared" si="2"/>
        <v>0</v>
      </c>
      <c r="L79" s="155" t="str">
        <f>IF(AND('Summary Sheet'!$E$23="No",$H$33&gt;0,H79&gt;=1),"",IF(AND('Summary Sheet'!$E$23="Yes",H79&lt;&gt;""),H79*'Summary Sheet'!$G$23,""))</f>
        <v/>
      </c>
      <c r="M79" s="154"/>
      <c r="N79" s="155">
        <f>SUM('Pay App 1:Pay App 6'!L79)+SUM('Pay App 1:Pay App 6'!M79)</f>
        <v>0</v>
      </c>
    </row>
    <row r="80" spans="1:17" ht="11.25" customHeight="1" x14ac:dyDescent="0.25">
      <c r="A80" s="152">
        <v>24</v>
      </c>
      <c r="B80" s="178" t="str">
        <f>'Pay App 1'!B80</f>
        <v>05 20 00</v>
      </c>
      <c r="C80" s="183" t="str">
        <f>'Pay App 1'!C80</f>
        <v>Joists &amp; Deck</v>
      </c>
      <c r="D80" s="155">
        <f>'Pay App 1'!D80</f>
        <v>0</v>
      </c>
      <c r="E80" s="155">
        <f>VLOOKUP(B80,'Graph Data'!$O$2:$BX$88,8,FALSE)</f>
        <v>0</v>
      </c>
      <c r="F80" s="155">
        <f>IFERROR(E80+'Pay App 5'!F80,"")</f>
        <v>0</v>
      </c>
      <c r="G80" s="155">
        <f>SUM('Pay App 1:Pay App 5'!H80)</f>
        <v>0</v>
      </c>
      <c r="H80" s="154"/>
      <c r="I80" s="155">
        <f t="shared" si="0"/>
        <v>0</v>
      </c>
      <c r="J80" s="156">
        <f t="shared" si="1"/>
        <v>0</v>
      </c>
      <c r="K80" s="155">
        <f t="shared" si="2"/>
        <v>0</v>
      </c>
      <c r="L80" s="155" t="str">
        <f>IF(AND('Summary Sheet'!$E$23="No",$H$33&gt;0,H80&gt;=1),"",IF(AND('Summary Sheet'!$E$23="Yes",H80&lt;&gt;""),H80*'Summary Sheet'!$G$23,""))</f>
        <v/>
      </c>
      <c r="M80" s="154"/>
      <c r="N80" s="155">
        <f>SUM('Pay App 1:Pay App 6'!L80)+SUM('Pay App 1:Pay App 6'!M80)</f>
        <v>0</v>
      </c>
    </row>
    <row r="81" spans="1:14" ht="11.25" customHeight="1" x14ac:dyDescent="0.25">
      <c r="A81" s="152">
        <v>25</v>
      </c>
      <c r="B81" s="178" t="str">
        <f>'Pay App 1'!B81</f>
        <v>05 70 00</v>
      </c>
      <c r="C81" s="183" t="str">
        <f>'Pay App 1'!C81</f>
        <v>Ornamental Metal</v>
      </c>
      <c r="D81" s="155">
        <f>'Pay App 1'!D81</f>
        <v>0</v>
      </c>
      <c r="E81" s="155">
        <f>VLOOKUP(B81,'Graph Data'!$O$2:$BX$88,8,FALSE)</f>
        <v>0</v>
      </c>
      <c r="F81" s="155">
        <f>IFERROR(E81+'Pay App 5'!F81,"")</f>
        <v>0</v>
      </c>
      <c r="G81" s="155">
        <f>SUM('Pay App 1:Pay App 5'!H81)</f>
        <v>0</v>
      </c>
      <c r="H81" s="154"/>
      <c r="I81" s="155">
        <f t="shared" si="0"/>
        <v>0</v>
      </c>
      <c r="J81" s="156">
        <f t="shared" si="1"/>
        <v>0</v>
      </c>
      <c r="K81" s="155">
        <f t="shared" si="2"/>
        <v>0</v>
      </c>
      <c r="L81" s="155" t="str">
        <f>IF(AND('Summary Sheet'!$E$23="No",$H$33&gt;0,H81&gt;=1),"",IF(AND('Summary Sheet'!$E$23="Yes",H81&lt;&gt;""),H81*'Summary Sheet'!$G$23,""))</f>
        <v/>
      </c>
      <c r="M81" s="154"/>
      <c r="N81" s="155">
        <f>SUM('Pay App 1:Pay App 6'!L81)+SUM('Pay App 1:Pay App 6'!M81)</f>
        <v>0</v>
      </c>
    </row>
    <row r="82" spans="1:14" ht="11.25" customHeight="1" x14ac:dyDescent="0.25">
      <c r="A82" s="152">
        <v>26</v>
      </c>
      <c r="B82" s="145" t="str">
        <f>'Pay App 1'!B82</f>
        <v>06 10 00</v>
      </c>
      <c r="C82" s="134" t="str">
        <f>'Pay App 1'!C82</f>
        <v>Rough Carpentry</v>
      </c>
      <c r="D82" s="155">
        <f>'Pay App 1'!D82</f>
        <v>0</v>
      </c>
      <c r="E82" s="155">
        <f>VLOOKUP(B82,'Graph Data'!$O$2:$BX$88,8,FALSE)</f>
        <v>0</v>
      </c>
      <c r="F82" s="155">
        <f>IFERROR(E82+'Pay App 5'!F82,"")</f>
        <v>0</v>
      </c>
      <c r="G82" s="155">
        <f>SUM('Pay App 1:Pay App 5'!H82)</f>
        <v>0</v>
      </c>
      <c r="H82" s="154"/>
      <c r="I82" s="155">
        <f t="shared" si="0"/>
        <v>0</v>
      </c>
      <c r="J82" s="156">
        <f t="shared" si="1"/>
        <v>0</v>
      </c>
      <c r="K82" s="155">
        <f t="shared" si="2"/>
        <v>0</v>
      </c>
      <c r="L82" s="155" t="str">
        <f>IF(AND('Summary Sheet'!$E$23="No",$H$33&gt;0,H82&gt;=1),"",IF(AND('Summary Sheet'!$E$23="Yes",H82&lt;&gt;""),H82*'Summary Sheet'!$G$23,""))</f>
        <v/>
      </c>
      <c r="M82" s="154"/>
      <c r="N82" s="155">
        <f>SUM('Pay App 1:Pay App 6'!L82)+SUM('Pay App 1:Pay App 6'!M82)</f>
        <v>0</v>
      </c>
    </row>
    <row r="83" spans="1:14" ht="11.25" customHeight="1" x14ac:dyDescent="0.25">
      <c r="A83" s="152">
        <v>27</v>
      </c>
      <c r="B83" s="145" t="str">
        <f>'Pay App 1'!B83</f>
        <v>06 40 00</v>
      </c>
      <c r="C83" s="134" t="str">
        <f>'Pay App 1'!C83</f>
        <v>Arch. Woodwork &amp; Finish Carp.</v>
      </c>
      <c r="D83" s="155">
        <f>'Pay App 1'!D83</f>
        <v>0</v>
      </c>
      <c r="E83" s="155">
        <f>VLOOKUP(B83,'Graph Data'!$O$2:$BX$88,8,FALSE)</f>
        <v>0</v>
      </c>
      <c r="F83" s="155">
        <f>IFERROR(E83+'Pay App 5'!F83,"")</f>
        <v>0</v>
      </c>
      <c r="G83" s="155">
        <f>SUM('Pay App 1:Pay App 5'!H83)</f>
        <v>0</v>
      </c>
      <c r="H83" s="154"/>
      <c r="I83" s="155">
        <f t="shared" si="0"/>
        <v>0</v>
      </c>
      <c r="J83" s="156">
        <f t="shared" si="1"/>
        <v>0</v>
      </c>
      <c r="K83" s="155">
        <f t="shared" si="2"/>
        <v>0</v>
      </c>
      <c r="L83" s="155" t="str">
        <f>IF(AND('Summary Sheet'!$E$23="No",$H$33&gt;0,H83&gt;=1),"",IF(AND('Summary Sheet'!$E$23="Yes",H83&lt;&gt;""),H83*'Summary Sheet'!$G$23,""))</f>
        <v/>
      </c>
      <c r="M83" s="154"/>
      <c r="N83" s="155">
        <f>SUM('Pay App 1:Pay App 6'!L83)+SUM('Pay App 1:Pay App 6'!M83)</f>
        <v>0</v>
      </c>
    </row>
    <row r="84" spans="1:14" ht="11.25" customHeight="1" x14ac:dyDescent="0.25">
      <c r="A84" s="152">
        <v>28</v>
      </c>
      <c r="B84" s="174" t="str">
        <f>'Pay App 1'!B84</f>
        <v>07 10 00</v>
      </c>
      <c r="C84" s="179" t="str">
        <f>'Pay App 1'!C84</f>
        <v>Waterproofing/Water Repellents</v>
      </c>
      <c r="D84" s="155">
        <f>'Pay App 1'!D84</f>
        <v>0</v>
      </c>
      <c r="E84" s="155">
        <f>VLOOKUP(B84,'Graph Data'!$O$2:$BX$88,8,FALSE)</f>
        <v>0</v>
      </c>
      <c r="F84" s="155">
        <f>IFERROR(E84+'Pay App 5'!F84,"")</f>
        <v>0</v>
      </c>
      <c r="G84" s="155">
        <f>SUM('Pay App 1:Pay App 5'!H84)</f>
        <v>0</v>
      </c>
      <c r="H84" s="154"/>
      <c r="I84" s="155">
        <f t="shared" si="0"/>
        <v>0</v>
      </c>
      <c r="J84" s="156">
        <f t="shared" si="1"/>
        <v>0</v>
      </c>
      <c r="K84" s="155">
        <f t="shared" si="2"/>
        <v>0</v>
      </c>
      <c r="L84" s="155" t="str">
        <f>IF(AND('Summary Sheet'!$E$23="No",$H$33&gt;0,H84&gt;=1),"",IF(AND('Summary Sheet'!$E$23="Yes",H84&lt;&gt;""),H84*'Summary Sheet'!$G$23,""))</f>
        <v/>
      </c>
      <c r="M84" s="154"/>
      <c r="N84" s="155">
        <f>SUM('Pay App 1:Pay App 6'!L84)+SUM('Pay App 1:Pay App 6'!M84)</f>
        <v>0</v>
      </c>
    </row>
    <row r="85" spans="1:14" ht="11.25" customHeight="1" x14ac:dyDescent="0.25">
      <c r="A85" s="152">
        <v>29</v>
      </c>
      <c r="B85" s="174" t="str">
        <f>'Pay App 1'!B85</f>
        <v>07 20 00</v>
      </c>
      <c r="C85" s="179" t="str">
        <f>'Pay App 1'!C85</f>
        <v>Insulation</v>
      </c>
      <c r="D85" s="155">
        <f>'Pay App 1'!D85</f>
        <v>0</v>
      </c>
      <c r="E85" s="155">
        <f>VLOOKUP(B85,'Graph Data'!$O$2:$BX$88,8,FALSE)</f>
        <v>0</v>
      </c>
      <c r="F85" s="155">
        <f>IFERROR(E85+'Pay App 5'!F85,"")</f>
        <v>0</v>
      </c>
      <c r="G85" s="155">
        <f>SUM('Pay App 1:Pay App 5'!H85)</f>
        <v>0</v>
      </c>
      <c r="H85" s="154"/>
      <c r="I85" s="155">
        <f t="shared" si="0"/>
        <v>0</v>
      </c>
      <c r="J85" s="156">
        <f t="shared" si="1"/>
        <v>0</v>
      </c>
      <c r="K85" s="155">
        <f t="shared" si="2"/>
        <v>0</v>
      </c>
      <c r="L85" s="155" t="str">
        <f>IF(AND('Summary Sheet'!$E$23="No",$H$33&gt;0,H85&gt;=1),"",IF(AND('Summary Sheet'!$E$23="Yes",H85&lt;&gt;""),H85*'Summary Sheet'!$G$23,""))</f>
        <v/>
      </c>
      <c r="M85" s="154"/>
      <c r="N85" s="155">
        <f>SUM('Pay App 1:Pay App 6'!L85)+SUM('Pay App 1:Pay App 6'!M85)</f>
        <v>0</v>
      </c>
    </row>
    <row r="86" spans="1:14" ht="11.25" customHeight="1" x14ac:dyDescent="0.25">
      <c r="A86" s="152">
        <v>30</v>
      </c>
      <c r="B86" s="174" t="str">
        <f>'Pay App 1'!B86</f>
        <v>07 24 00</v>
      </c>
      <c r="C86" s="179" t="str">
        <f>'Pay App 1'!C86</f>
        <v>EIFS</v>
      </c>
      <c r="D86" s="155">
        <f>'Pay App 1'!D86</f>
        <v>0</v>
      </c>
      <c r="E86" s="155">
        <f>VLOOKUP(B86,'Graph Data'!$O$2:$BX$88,8,FALSE)</f>
        <v>0</v>
      </c>
      <c r="F86" s="155">
        <f>IFERROR(E86+'Pay App 5'!F86,"")</f>
        <v>0</v>
      </c>
      <c r="G86" s="155">
        <f>SUM('Pay App 1:Pay App 5'!H86)</f>
        <v>0</v>
      </c>
      <c r="H86" s="154"/>
      <c r="I86" s="155">
        <f t="shared" si="0"/>
        <v>0</v>
      </c>
      <c r="J86" s="156">
        <f t="shared" si="1"/>
        <v>0</v>
      </c>
      <c r="K86" s="155">
        <f t="shared" si="2"/>
        <v>0</v>
      </c>
      <c r="L86" s="155" t="str">
        <f>IF(AND('Summary Sheet'!$E$23="No",$H$33&gt;0,H86&gt;=1),"",IF(AND('Summary Sheet'!$E$23="Yes",H86&lt;&gt;""),H86*'Summary Sheet'!$G$23,""))</f>
        <v/>
      </c>
      <c r="M86" s="154"/>
      <c r="N86" s="155">
        <f>SUM('Pay App 1:Pay App 6'!L86)+SUM('Pay App 1:Pay App 6'!M86)</f>
        <v>0</v>
      </c>
    </row>
    <row r="87" spans="1:14" ht="11.25" customHeight="1" x14ac:dyDescent="0.25">
      <c r="A87" s="152">
        <v>31</v>
      </c>
      <c r="B87" s="174" t="str">
        <f>'Pay App 1'!B87</f>
        <v>07 26 00</v>
      </c>
      <c r="C87" s="179" t="str">
        <f>'Pay App 1'!C87</f>
        <v>Vapor Retarders</v>
      </c>
      <c r="D87" s="155">
        <f>'Pay App 1'!D87</f>
        <v>0</v>
      </c>
      <c r="E87" s="155">
        <f>VLOOKUP(B87,'Graph Data'!$O$2:$BX$88,8,FALSE)</f>
        <v>0</v>
      </c>
      <c r="F87" s="155">
        <f>IFERROR(E87+'Pay App 5'!F87,"")</f>
        <v>0</v>
      </c>
      <c r="G87" s="155">
        <f>SUM('Pay App 1:Pay App 5'!H87)</f>
        <v>0</v>
      </c>
      <c r="H87" s="154"/>
      <c r="I87" s="155">
        <f t="shared" si="0"/>
        <v>0</v>
      </c>
      <c r="J87" s="156">
        <f t="shared" si="1"/>
        <v>0</v>
      </c>
      <c r="K87" s="155">
        <f t="shared" si="2"/>
        <v>0</v>
      </c>
      <c r="L87" s="155" t="str">
        <f>IF(AND('Summary Sheet'!$E$23="No",$H$33&gt;0,H87&gt;=1),"",IF(AND('Summary Sheet'!$E$23="Yes",H87&lt;&gt;""),H87*'Summary Sheet'!$G$23,""))</f>
        <v/>
      </c>
      <c r="M87" s="154"/>
      <c r="N87" s="155">
        <f>SUM('Pay App 1:Pay App 6'!L87)+SUM('Pay App 1:Pay App 6'!M87)</f>
        <v>0</v>
      </c>
    </row>
    <row r="88" spans="1:14" ht="11.25" customHeight="1" x14ac:dyDescent="0.25">
      <c r="A88" s="152">
        <v>32</v>
      </c>
      <c r="B88" s="174" t="str">
        <f>'Pay App 1'!B88</f>
        <v>07 41 00</v>
      </c>
      <c r="C88" s="179" t="str">
        <f>'Pay App 1'!C88</f>
        <v>Roofing</v>
      </c>
      <c r="D88" s="155">
        <f>'Pay App 1'!D88</f>
        <v>0</v>
      </c>
      <c r="E88" s="155">
        <f>VLOOKUP(B88,'Graph Data'!$O$2:$BX$88,8,FALSE)</f>
        <v>0</v>
      </c>
      <c r="F88" s="155">
        <f>IFERROR(E88+'Pay App 5'!F88,"")</f>
        <v>0</v>
      </c>
      <c r="G88" s="155">
        <f>SUM('Pay App 1:Pay App 5'!H88)</f>
        <v>0</v>
      </c>
      <c r="H88" s="154"/>
      <c r="I88" s="155">
        <f t="shared" si="0"/>
        <v>0</v>
      </c>
      <c r="J88" s="156">
        <f t="shared" si="1"/>
        <v>0</v>
      </c>
      <c r="K88" s="155">
        <f t="shared" si="2"/>
        <v>0</v>
      </c>
      <c r="L88" s="155" t="str">
        <f>IF(AND('Summary Sheet'!$E$23="No",$H$33&gt;0,H88&gt;=1),"",IF(AND('Summary Sheet'!$E$23="Yes",H88&lt;&gt;""),H88*'Summary Sheet'!$G$23,""))</f>
        <v/>
      </c>
      <c r="M88" s="154"/>
      <c r="N88" s="155">
        <f>SUM('Pay App 1:Pay App 6'!L88)+SUM('Pay App 1:Pay App 6'!M88)</f>
        <v>0</v>
      </c>
    </row>
    <row r="89" spans="1:14" ht="11.25" customHeight="1" x14ac:dyDescent="0.25">
      <c r="A89" s="152">
        <v>33</v>
      </c>
      <c r="B89" s="174" t="str">
        <f>'Pay App 1'!B89</f>
        <v>07 42 00</v>
      </c>
      <c r="C89" s="179" t="str">
        <f>'Pay App 1'!C89</f>
        <v>Metal Panels</v>
      </c>
      <c r="D89" s="155">
        <f>'Pay App 1'!D89</f>
        <v>0</v>
      </c>
      <c r="E89" s="155">
        <f>VLOOKUP(B89,'Graph Data'!$O$2:$BX$88,8,FALSE)</f>
        <v>0</v>
      </c>
      <c r="F89" s="155">
        <f>IFERROR(E89+'Pay App 5'!F89,"")</f>
        <v>0</v>
      </c>
      <c r="G89" s="155">
        <f>SUM('Pay App 1:Pay App 5'!H89)</f>
        <v>0</v>
      </c>
      <c r="H89" s="154"/>
      <c r="I89" s="155">
        <f t="shared" si="0"/>
        <v>0</v>
      </c>
      <c r="J89" s="156">
        <f t="shared" si="1"/>
        <v>0</v>
      </c>
      <c r="K89" s="155">
        <f t="shared" si="2"/>
        <v>0</v>
      </c>
      <c r="L89" s="155" t="str">
        <f>IF(AND('Summary Sheet'!$E$23="No",$H$33&gt;0,H89&gt;=1),"",IF(AND('Summary Sheet'!$E$23="Yes",H89&lt;&gt;""),H89*'Summary Sheet'!$G$23,""))</f>
        <v/>
      </c>
      <c r="M89" s="154"/>
      <c r="N89" s="155">
        <f>SUM('Pay App 1:Pay App 6'!L89)+SUM('Pay App 1:Pay App 6'!M89)</f>
        <v>0</v>
      </c>
    </row>
    <row r="90" spans="1:14" ht="11.25" customHeight="1" x14ac:dyDescent="0.25">
      <c r="A90" s="152">
        <v>34</v>
      </c>
      <c r="B90" s="174" t="str">
        <f>'Pay App 1'!B90</f>
        <v>07 60 00</v>
      </c>
      <c r="C90" s="179" t="str">
        <f>'Pay App 1'!C90</f>
        <v>Sheet Metal Flashing &amp; Trim</v>
      </c>
      <c r="D90" s="155">
        <f>'Pay App 1'!D90</f>
        <v>0</v>
      </c>
      <c r="E90" s="155">
        <f>VLOOKUP(B90,'Graph Data'!$O$2:$BX$88,8,FALSE)</f>
        <v>0</v>
      </c>
      <c r="F90" s="155">
        <f>IFERROR(E90+'Pay App 5'!F90,"")</f>
        <v>0</v>
      </c>
      <c r="G90" s="155">
        <f>SUM('Pay App 1:Pay App 5'!H90)</f>
        <v>0</v>
      </c>
      <c r="H90" s="154"/>
      <c r="I90" s="155">
        <f t="shared" si="0"/>
        <v>0</v>
      </c>
      <c r="J90" s="156">
        <f t="shared" si="1"/>
        <v>0</v>
      </c>
      <c r="K90" s="155">
        <f t="shared" si="2"/>
        <v>0</v>
      </c>
      <c r="L90" s="155" t="str">
        <f>IF(AND('Summary Sheet'!$E$23="No",$H$33&gt;0,H90&gt;=1),"",IF(AND('Summary Sheet'!$E$23="Yes",H90&lt;&gt;""),H90*'Summary Sheet'!$G$23,""))</f>
        <v/>
      </c>
      <c r="M90" s="154"/>
      <c r="N90" s="155">
        <f>SUM('Pay App 1:Pay App 6'!L90)+SUM('Pay App 1:Pay App 6'!M90)</f>
        <v>0</v>
      </c>
    </row>
    <row r="91" spans="1:14" ht="11.25" customHeight="1" x14ac:dyDescent="0.25">
      <c r="A91" s="152">
        <v>35</v>
      </c>
      <c r="B91" s="174" t="str">
        <f>'Pay App 1'!B91</f>
        <v>07 80 00</v>
      </c>
      <c r="C91" s="179" t="str">
        <f>'Pay App 1'!C91</f>
        <v>Fireproofing</v>
      </c>
      <c r="D91" s="155">
        <f>'Pay App 1'!D91</f>
        <v>0</v>
      </c>
      <c r="E91" s="155">
        <f>VLOOKUP(B91,'Graph Data'!$O$2:$BX$88,8,FALSE)</f>
        <v>0</v>
      </c>
      <c r="F91" s="155">
        <f>IFERROR(E91+'Pay App 5'!F91,"")</f>
        <v>0</v>
      </c>
      <c r="G91" s="155">
        <f>SUM('Pay App 1:Pay App 5'!H91)</f>
        <v>0</v>
      </c>
      <c r="H91" s="154"/>
      <c r="I91" s="155">
        <f t="shared" si="0"/>
        <v>0</v>
      </c>
      <c r="J91" s="156">
        <f t="shared" si="1"/>
        <v>0</v>
      </c>
      <c r="K91" s="155">
        <f t="shared" si="2"/>
        <v>0</v>
      </c>
      <c r="L91" s="155" t="str">
        <f>IF(AND('Summary Sheet'!$E$23="No",$H$33&gt;0,H91&gt;=1),"",IF(AND('Summary Sheet'!$E$23="Yes",H91&lt;&gt;""),H91*'Summary Sheet'!$G$23,""))</f>
        <v/>
      </c>
      <c r="M91" s="154"/>
      <c r="N91" s="155">
        <f>SUM('Pay App 1:Pay App 6'!L91)+SUM('Pay App 1:Pay App 6'!M91)</f>
        <v>0</v>
      </c>
    </row>
    <row r="92" spans="1:14" ht="11.25" customHeight="1" x14ac:dyDescent="0.25">
      <c r="A92" s="152">
        <v>36</v>
      </c>
      <c r="B92" s="174" t="str">
        <f>'Pay App 1'!B92</f>
        <v>07 90 00</v>
      </c>
      <c r="C92" s="179" t="str">
        <f>'Pay App 1'!C92</f>
        <v>Joint Sealants</v>
      </c>
      <c r="D92" s="155">
        <f>'Pay App 1'!D92</f>
        <v>0</v>
      </c>
      <c r="E92" s="155">
        <f>VLOOKUP(B92,'Graph Data'!$O$2:$BX$88,8,FALSE)</f>
        <v>0</v>
      </c>
      <c r="F92" s="155">
        <f>IFERROR(E92+'Pay App 5'!F92,"")</f>
        <v>0</v>
      </c>
      <c r="G92" s="155">
        <f>SUM('Pay App 1:Pay App 5'!H92)</f>
        <v>0</v>
      </c>
      <c r="H92" s="154"/>
      <c r="I92" s="155">
        <f t="shared" si="0"/>
        <v>0</v>
      </c>
      <c r="J92" s="156">
        <f t="shared" si="1"/>
        <v>0</v>
      </c>
      <c r="K92" s="155">
        <f t="shared" si="2"/>
        <v>0</v>
      </c>
      <c r="L92" s="155" t="str">
        <f>IF(AND('Summary Sheet'!$E$23="No",$H$33&gt;0,H92&gt;=1),"",IF(AND('Summary Sheet'!$E$23="Yes",H92&lt;&gt;""),H92*'Summary Sheet'!$G$23,""))</f>
        <v/>
      </c>
      <c r="M92" s="154"/>
      <c r="N92" s="155">
        <f>SUM('Pay App 1:Pay App 6'!L92)+SUM('Pay App 1:Pay App 6'!M92)</f>
        <v>0</v>
      </c>
    </row>
    <row r="93" spans="1:14" ht="11.25" customHeight="1" x14ac:dyDescent="0.25">
      <c r="A93" s="152">
        <v>37</v>
      </c>
      <c r="B93" s="174" t="str">
        <f>'Pay App 1'!B93</f>
        <v>07 95 00</v>
      </c>
      <c r="C93" s="179" t="str">
        <f>'Pay App 1'!C93</f>
        <v>Expansion Joints</v>
      </c>
      <c r="D93" s="155">
        <f>'Pay App 1'!D93</f>
        <v>0</v>
      </c>
      <c r="E93" s="155">
        <f>VLOOKUP(B93,'Graph Data'!$O$2:$BX$88,8,FALSE)</f>
        <v>0</v>
      </c>
      <c r="F93" s="155">
        <f>IFERROR(E93+'Pay App 5'!F93,"")</f>
        <v>0</v>
      </c>
      <c r="G93" s="155">
        <f>SUM('Pay App 1:Pay App 5'!H93)</f>
        <v>0</v>
      </c>
      <c r="H93" s="154"/>
      <c r="I93" s="155">
        <f t="shared" si="0"/>
        <v>0</v>
      </c>
      <c r="J93" s="156">
        <f t="shared" si="1"/>
        <v>0</v>
      </c>
      <c r="K93" s="155">
        <f t="shared" si="2"/>
        <v>0</v>
      </c>
      <c r="L93" s="155" t="str">
        <f>IF(AND('Summary Sheet'!$E$23="No",$H$33&gt;0,H93&gt;=1),"",IF(AND('Summary Sheet'!$E$23="Yes",H93&lt;&gt;""),H93*'Summary Sheet'!$G$23,""))</f>
        <v/>
      </c>
      <c r="M93" s="154"/>
      <c r="N93" s="155">
        <f>SUM('Pay App 1:Pay App 6'!L93)+SUM('Pay App 1:Pay App 6'!M93)</f>
        <v>0</v>
      </c>
    </row>
    <row r="94" spans="1:14" ht="11.25" customHeight="1" x14ac:dyDescent="0.25">
      <c r="A94" s="152">
        <v>38</v>
      </c>
      <c r="B94" s="175" t="str">
        <f>'Pay App 1'!B94</f>
        <v>08 10 00</v>
      </c>
      <c r="C94" s="180" t="str">
        <f>'Pay App 1'!C94</f>
        <v>Doors, Frames &amp; Hardware</v>
      </c>
      <c r="D94" s="155">
        <f>'Pay App 1'!D94</f>
        <v>0</v>
      </c>
      <c r="E94" s="155">
        <f>VLOOKUP(B94,'Graph Data'!$O$2:$BX$88,8,FALSE)</f>
        <v>0</v>
      </c>
      <c r="F94" s="155">
        <f>IFERROR(E94+'Pay App 5'!F94,"")</f>
        <v>0</v>
      </c>
      <c r="G94" s="155">
        <f>SUM('Pay App 1:Pay App 5'!H94)</f>
        <v>0</v>
      </c>
      <c r="H94" s="154"/>
      <c r="I94" s="155">
        <f t="shared" si="0"/>
        <v>0</v>
      </c>
      <c r="J94" s="156">
        <f t="shared" si="1"/>
        <v>0</v>
      </c>
      <c r="K94" s="155">
        <f t="shared" si="2"/>
        <v>0</v>
      </c>
      <c r="L94" s="155" t="str">
        <f>IF(AND('Summary Sheet'!$E$23="No",$H$33&gt;0,H94&gt;=1),"",IF(AND('Summary Sheet'!$E$23="Yes",H94&lt;&gt;""),H94*'Summary Sheet'!$G$23,""))</f>
        <v/>
      </c>
      <c r="M94" s="154"/>
      <c r="N94" s="155">
        <f>SUM('Pay App 1:Pay App 6'!L94)+SUM('Pay App 1:Pay App 6'!M94)</f>
        <v>0</v>
      </c>
    </row>
    <row r="95" spans="1:14" ht="11.25" customHeight="1" x14ac:dyDescent="0.25">
      <c r="A95" s="152">
        <v>39</v>
      </c>
      <c r="B95" s="175" t="str">
        <f>'Pay App 1'!B95</f>
        <v>08 30 00</v>
      </c>
      <c r="C95" s="180" t="str">
        <f>'Pay App 1'!C95</f>
        <v>Specialty Doors</v>
      </c>
      <c r="D95" s="155">
        <f>'Pay App 1'!D95</f>
        <v>0</v>
      </c>
      <c r="E95" s="155">
        <f>VLOOKUP(B95,'Graph Data'!$O$2:$BX$88,8,FALSE)</f>
        <v>0</v>
      </c>
      <c r="F95" s="155">
        <f>IFERROR(E95+'Pay App 5'!F95,"")</f>
        <v>0</v>
      </c>
      <c r="G95" s="155">
        <f>SUM('Pay App 1:Pay App 5'!H95)</f>
        <v>0</v>
      </c>
      <c r="H95" s="154"/>
      <c r="I95" s="155">
        <f t="shared" si="0"/>
        <v>0</v>
      </c>
      <c r="J95" s="156">
        <f t="shared" si="1"/>
        <v>0</v>
      </c>
      <c r="K95" s="155">
        <f t="shared" si="2"/>
        <v>0</v>
      </c>
      <c r="L95" s="155" t="str">
        <f>IF(AND('Summary Sheet'!$E$23="No",$H$33&gt;0,H95&gt;=1),"",IF(AND('Summary Sheet'!$E$23="Yes",H95&lt;&gt;""),H95*'Summary Sheet'!$G$23,""))</f>
        <v/>
      </c>
      <c r="M95" s="154"/>
      <c r="N95" s="155">
        <f>SUM('Pay App 1:Pay App 6'!L95)+SUM('Pay App 1:Pay App 6'!M95)</f>
        <v>0</v>
      </c>
    </row>
    <row r="96" spans="1:14" ht="11.25" customHeight="1" x14ac:dyDescent="0.25">
      <c r="A96" s="152">
        <v>40</v>
      </c>
      <c r="B96" s="175" t="str">
        <f>'Pay App 1'!B96</f>
        <v>08 33 00</v>
      </c>
      <c r="C96" s="180" t="str">
        <f>'Pay App 1'!C96</f>
        <v>Overhead Doors/Coiling Doors</v>
      </c>
      <c r="D96" s="155">
        <f>'Pay App 1'!D96</f>
        <v>0</v>
      </c>
      <c r="E96" s="155">
        <f>VLOOKUP(B96,'Graph Data'!$O$2:$BX$88,8,FALSE)</f>
        <v>0</v>
      </c>
      <c r="F96" s="155">
        <f>IFERROR(E96+'Pay App 5'!F96,"")</f>
        <v>0</v>
      </c>
      <c r="G96" s="155">
        <f>SUM('Pay App 1:Pay App 5'!H96)</f>
        <v>0</v>
      </c>
      <c r="H96" s="154"/>
      <c r="I96" s="155">
        <f t="shared" si="0"/>
        <v>0</v>
      </c>
      <c r="J96" s="156">
        <f t="shared" si="1"/>
        <v>0</v>
      </c>
      <c r="K96" s="155">
        <f t="shared" si="2"/>
        <v>0</v>
      </c>
      <c r="L96" s="155" t="str">
        <f>IF(AND('Summary Sheet'!$E$23="No",$H$33&gt;0,H96&gt;=1),"",IF(AND('Summary Sheet'!$E$23="Yes",H96&lt;&gt;""),H96*'Summary Sheet'!$G$23,""))</f>
        <v/>
      </c>
      <c r="M96" s="154"/>
      <c r="N96" s="155">
        <f>SUM('Pay App 1:Pay App 6'!L96)+SUM('Pay App 1:Pay App 6'!M96)</f>
        <v>0</v>
      </c>
    </row>
    <row r="97" spans="1:15" ht="11.25" customHeight="1" x14ac:dyDescent="0.25">
      <c r="A97" s="152">
        <v>41</v>
      </c>
      <c r="B97" s="175" t="str">
        <f>'Pay App 1'!B97</f>
        <v>08 40 00</v>
      </c>
      <c r="C97" s="180" t="str">
        <f>'Pay App 1'!C97</f>
        <v>Curtain Wall, Glass &amp; Glazing</v>
      </c>
      <c r="D97" s="155">
        <f>'Pay App 1'!D97</f>
        <v>0</v>
      </c>
      <c r="E97" s="155">
        <f>VLOOKUP(B97,'Graph Data'!$O$2:$BX$88,8,FALSE)</f>
        <v>0</v>
      </c>
      <c r="F97" s="155">
        <f>IFERROR(E97+'Pay App 5'!F97,"")</f>
        <v>0</v>
      </c>
      <c r="G97" s="155">
        <f>SUM('Pay App 1:Pay App 5'!H97)</f>
        <v>0</v>
      </c>
      <c r="H97" s="154"/>
      <c r="I97" s="155">
        <f t="shared" si="0"/>
        <v>0</v>
      </c>
      <c r="J97" s="156">
        <f t="shared" si="1"/>
        <v>0</v>
      </c>
      <c r="K97" s="155">
        <f t="shared" si="2"/>
        <v>0</v>
      </c>
      <c r="L97" s="155" t="str">
        <f>IF(AND('Summary Sheet'!$E$23="No",$H$33&gt;0,H97&gt;=1),"",IF(AND('Summary Sheet'!$E$23="Yes",H97&lt;&gt;""),H97*'Summary Sheet'!$G$23,""))</f>
        <v/>
      </c>
      <c r="M97" s="154"/>
      <c r="N97" s="155">
        <f>SUM('Pay App 1:Pay App 6'!L97)+SUM('Pay App 1:Pay App 6'!M97)</f>
        <v>0</v>
      </c>
    </row>
    <row r="98" spans="1:15" ht="10.9" customHeight="1" x14ac:dyDescent="0.25">
      <c r="A98" s="152">
        <v>42</v>
      </c>
      <c r="B98" s="175" t="str">
        <f>'Pay App 1'!B98</f>
        <v>08 60 00</v>
      </c>
      <c r="C98" s="180" t="str">
        <f>'Pay App 1'!C98</f>
        <v>Skylights</v>
      </c>
      <c r="D98" s="155">
        <f>'Pay App 1'!D98</f>
        <v>0</v>
      </c>
      <c r="E98" s="155">
        <f>VLOOKUP(B98,'Graph Data'!$O$2:$BX$88,8,FALSE)</f>
        <v>0</v>
      </c>
      <c r="F98" s="155">
        <f>IFERROR(E98+'Pay App 5'!F98,"")</f>
        <v>0</v>
      </c>
      <c r="G98" s="155">
        <f>SUM('Pay App 1:Pay App 5'!H98)</f>
        <v>0</v>
      </c>
      <c r="H98" s="154"/>
      <c r="I98" s="155">
        <f t="shared" si="0"/>
        <v>0</v>
      </c>
      <c r="J98" s="156">
        <f t="shared" si="1"/>
        <v>0</v>
      </c>
      <c r="K98" s="155">
        <f t="shared" si="2"/>
        <v>0</v>
      </c>
      <c r="L98" s="155" t="str">
        <f>IF(AND('Summary Sheet'!$E$23="No",$H$33&gt;0,H98&gt;=1),"",IF(AND('Summary Sheet'!$E$23="Yes",H98&lt;&gt;""),H98*'Summary Sheet'!$G$23,""))</f>
        <v/>
      </c>
      <c r="M98" s="154"/>
      <c r="N98" s="155">
        <f>SUM('Pay App 1:Pay App 6'!L98)+SUM('Pay App 1:Pay App 6'!M98)</f>
        <v>0</v>
      </c>
    </row>
    <row r="99" spans="1:15" ht="10.9" customHeight="1" x14ac:dyDescent="0.25">
      <c r="A99" s="152">
        <v>43</v>
      </c>
      <c r="B99" s="175" t="str">
        <f>'Pay App 1'!B99</f>
        <v>08 90 00</v>
      </c>
      <c r="C99" s="180" t="str">
        <f>'Pay App 1'!C99</f>
        <v>Louvers &amp; Vents</v>
      </c>
      <c r="D99" s="155">
        <f>'Pay App 1'!D99</f>
        <v>0</v>
      </c>
      <c r="E99" s="155">
        <f>VLOOKUP(B99,'Graph Data'!$O$2:$BX$88,8,FALSE)</f>
        <v>0</v>
      </c>
      <c r="F99" s="155">
        <f>IFERROR(E99+'Pay App 5'!F99,"")</f>
        <v>0</v>
      </c>
      <c r="G99" s="155">
        <f>SUM('Pay App 1:Pay App 5'!H99)</f>
        <v>0</v>
      </c>
      <c r="H99" s="154"/>
      <c r="I99" s="155">
        <f t="shared" si="0"/>
        <v>0</v>
      </c>
      <c r="J99" s="156">
        <f t="shared" si="1"/>
        <v>0</v>
      </c>
      <c r="K99" s="155">
        <f t="shared" si="2"/>
        <v>0</v>
      </c>
      <c r="L99" s="155" t="str">
        <f>IF(AND('Summary Sheet'!$E$23="No",$H$33&gt;0,H99&gt;=1),"",IF(AND('Summary Sheet'!$E$23="Yes",H99&lt;&gt;""),H99*'Summary Sheet'!$G$23,""))</f>
        <v/>
      </c>
      <c r="M99" s="154"/>
      <c r="N99" s="155">
        <f>SUM('Pay App 1:Pay App 6'!L99)+SUM('Pay App 1:Pay App 6'!M99)</f>
        <v>0</v>
      </c>
    </row>
    <row r="100" spans="1:15" ht="11.25" customHeight="1" x14ac:dyDescent="0.25">
      <c r="A100" s="153">
        <v>44</v>
      </c>
      <c r="B100" s="176" t="str">
        <f>'Pay App 1'!B100</f>
        <v>09 20 00</v>
      </c>
      <c r="C100" s="181" t="str">
        <f>'Pay App 1'!C100</f>
        <v>Gypsum Board Systems</v>
      </c>
      <c r="D100" s="155">
        <f>'Pay App 1'!D100</f>
        <v>0</v>
      </c>
      <c r="E100" s="155">
        <f>VLOOKUP(B100,'Graph Data'!$O$2:$BX$88,8,FALSE)</f>
        <v>0</v>
      </c>
      <c r="F100" s="155">
        <f>IFERROR(E100+'Pay App 5'!F100,"")</f>
        <v>0</v>
      </c>
      <c r="G100" s="155">
        <f>SUM('Pay App 1:Pay App 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6'!L100)+SUM('Pay App 1:Pay App 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6.2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Data'!$O$2:$BX$88,8,FALSE)</f>
        <v>0</v>
      </c>
      <c r="F106" s="155">
        <f>IFERROR(E106+'Pay App 5'!F106,"")</f>
        <v>0</v>
      </c>
      <c r="G106" s="155">
        <f>SUM('Pay App 1:Pay App 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6'!L106)+SUM('Pay App 1:Pay App 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Data'!$O$2:$BX$88,8,FALSE)</f>
        <v>0</v>
      </c>
      <c r="F107" s="155">
        <f>IFERROR(E107+'Pay App 5'!F107,"")</f>
        <v>0</v>
      </c>
      <c r="G107" s="155">
        <f>SUM('Pay App 1:Pay App 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6'!L107)+SUM('Pay App 1:Pay App 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Data'!$O$2:$BX$88,8,FALSE)</f>
        <v>0</v>
      </c>
      <c r="F108" s="155">
        <f>IFERROR(E108+'Pay App 5'!F108,"")</f>
        <v>0</v>
      </c>
      <c r="G108" s="155">
        <f>SUM('Pay App 1:Pay App 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6'!L108)+SUM('Pay App 1:Pay App 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Data'!$O$2:$BX$88,8,FALSE)</f>
        <v>0</v>
      </c>
      <c r="F109" s="155">
        <f>IFERROR(E109+'Pay App 5'!F109,"")</f>
        <v>0</v>
      </c>
      <c r="G109" s="155">
        <f>SUM('Pay App 1:Pay App 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6'!L109)+SUM('Pay App 1:Pay App 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Data'!$O$2:$BX$88,8,FALSE)</f>
        <v>0</v>
      </c>
      <c r="F110" s="155">
        <f>IFERROR(E110+'Pay App 5'!F110,"")</f>
        <v>0</v>
      </c>
      <c r="G110" s="155">
        <f>SUM('Pay App 1:Pay App 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6'!L110)+SUM('Pay App 1:Pay App 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Data'!$O$2:$BX$88,8,FALSE)</f>
        <v>0</v>
      </c>
      <c r="F111" s="155">
        <f>IFERROR(E111+'Pay App 5'!F111,"")</f>
        <v>0</v>
      </c>
      <c r="G111" s="155">
        <f>SUM('Pay App 1:Pay App 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6'!L111)+SUM('Pay App 1:Pay App 6'!M111)</f>
        <v>0</v>
      </c>
    </row>
    <row r="112" spans="1:15" ht="11.25" customHeight="1" x14ac:dyDescent="0.25">
      <c r="A112" s="152">
        <f t="shared" si="3"/>
        <v>51</v>
      </c>
      <c r="B112" s="148" t="str">
        <f>'Pay App 1'!B112</f>
        <v>09 90 00</v>
      </c>
      <c r="C112" s="143" t="str">
        <f>'Pay App 1'!C112</f>
        <v>Painting</v>
      </c>
      <c r="D112" s="155">
        <f>'Pay App 1'!D112</f>
        <v>0</v>
      </c>
      <c r="E112" s="155">
        <f>VLOOKUP(B112,'Graph Data'!$O$2:$BX$88,8,FALSE)</f>
        <v>0</v>
      </c>
      <c r="F112" s="155">
        <f>IFERROR(E112+'Pay App 5'!F112,"")</f>
        <v>0</v>
      </c>
      <c r="G112" s="155">
        <f>SUM('Pay App 1:Pay App 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6'!L112)+SUM('Pay App 1:Pay App 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Data'!$O$2:$BX$88,8,FALSE)</f>
        <v>0</v>
      </c>
      <c r="F113" s="155">
        <f>IFERROR(E113+'Pay App 5'!F113,"")</f>
        <v>0</v>
      </c>
      <c r="G113" s="155">
        <f>SUM('Pay App 1:Pay App 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6'!L113)+SUM('Pay App 1:Pay App 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Data'!$O$2:$BX$88,8,FALSE)</f>
        <v>0</v>
      </c>
      <c r="F114" s="155">
        <f>IFERROR(E114+'Pay App 5'!F114,"")</f>
        <v>0</v>
      </c>
      <c r="G114" s="155">
        <f>SUM('Pay App 1:Pay App 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6'!L114)+SUM('Pay App 1:Pay App 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Data'!$O$2:$BX$88,8,FALSE)</f>
        <v>0</v>
      </c>
      <c r="F115" s="155">
        <f>IFERROR(E115+'Pay App 5'!F115,"")</f>
        <v>0</v>
      </c>
      <c r="G115" s="155">
        <f>SUM('Pay App 1:Pay App 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6'!L115)+SUM('Pay App 1:Pay App 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Data'!$O$2:$BX$88,8,FALSE)</f>
        <v>0</v>
      </c>
      <c r="F116" s="155">
        <f>IFERROR(E116+'Pay App 5'!F116,"")</f>
        <v>0</v>
      </c>
      <c r="G116" s="155">
        <f>SUM('Pay App 1:Pay App 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6'!L116)+SUM('Pay App 1:Pay App 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Data'!$O$2:$BX$88,8,FALSE)</f>
        <v>0</v>
      </c>
      <c r="F117" s="155">
        <f>IFERROR(E117+'Pay App 5'!F117,"")</f>
        <v>0</v>
      </c>
      <c r="G117" s="155">
        <f>SUM('Pay App 1:Pay App 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6'!L117)+SUM('Pay App 1:Pay App 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Data'!$O$2:$BX$88,8,FALSE)</f>
        <v>0</v>
      </c>
      <c r="F118" s="155">
        <f>IFERROR(E118+'Pay App 5'!F118,"")</f>
        <v>0</v>
      </c>
      <c r="G118" s="155">
        <f>SUM('Pay App 1:Pay App 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6'!L118)+SUM('Pay App 1:Pay App 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Data'!$O$2:$BX$88,8,FALSE)</f>
        <v>0</v>
      </c>
      <c r="F119" s="155">
        <f>IFERROR(E119+'Pay App 5'!F119,"")</f>
        <v>0</v>
      </c>
      <c r="G119" s="155">
        <f>SUM('Pay App 1:Pay App 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6'!L119)+SUM('Pay App 1:Pay App 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Data'!$O$2:$BX$88,8,FALSE)</f>
        <v>0</v>
      </c>
      <c r="F120" s="155">
        <f>IFERROR(E120+'Pay App 5'!F120,"")</f>
        <v>0</v>
      </c>
      <c r="G120" s="155">
        <f>SUM('Pay App 1:Pay App 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6'!L120)+SUM('Pay App 1:Pay App 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Data'!$O$2:$BX$88,8,FALSE)</f>
        <v>0</v>
      </c>
      <c r="F121" s="155">
        <f>IFERROR(E121+'Pay App 5'!F121,"")</f>
        <v>0</v>
      </c>
      <c r="G121" s="155">
        <f>SUM('Pay App 1:Pay App 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6'!L121)+SUM('Pay App 1:Pay App 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Data'!$O$2:$BX$88,8,FALSE)</f>
        <v>0</v>
      </c>
      <c r="F122" s="155">
        <f>IFERROR(E122+'Pay App 5'!F122,"")</f>
        <v>0</v>
      </c>
      <c r="G122" s="155">
        <f>SUM('Pay App 1:Pay App 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6'!L122)+SUM('Pay App 1:Pay App 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Data'!$O$2:$BX$88,8,FALSE)</f>
        <v>0</v>
      </c>
      <c r="F123" s="155">
        <f>IFERROR(E123+'Pay App 5'!F123,"")</f>
        <v>0</v>
      </c>
      <c r="G123" s="155">
        <f>SUM('Pay App 1:Pay App 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6'!L123)+SUM('Pay App 1:Pay App 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Data'!$O$2:$BX$88,8,FALSE)</f>
        <v>0</v>
      </c>
      <c r="F124" s="155">
        <f>IFERROR(E124+'Pay App 5'!F124,"")</f>
        <v>0</v>
      </c>
      <c r="G124" s="155">
        <f>SUM('Pay App 1:Pay App 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6'!L124)+SUM('Pay App 1:Pay App 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Data'!$O$2:$BX$88,8,FALSE)</f>
        <v>0</v>
      </c>
      <c r="F125" s="155">
        <f>IFERROR(E125+'Pay App 5'!F125,"")</f>
        <v>0</v>
      </c>
      <c r="G125" s="155">
        <f>SUM('Pay App 1:Pay App 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6'!L125)+SUM('Pay App 1:Pay App 6'!M125)</f>
        <v>0</v>
      </c>
    </row>
    <row r="126" spans="1:14" ht="11.25" customHeight="1" x14ac:dyDescent="0.25">
      <c r="A126" s="152">
        <f t="shared" si="3"/>
        <v>65</v>
      </c>
      <c r="B126" s="188" t="str">
        <f>'Pay App 1'!B126</f>
        <v>14 20 00</v>
      </c>
      <c r="C126" s="194" t="str">
        <f>'Pay App 1'!C126</f>
        <v>Elevator</v>
      </c>
      <c r="D126" s="155">
        <f>'Pay App 1'!D126</f>
        <v>0</v>
      </c>
      <c r="E126" s="155">
        <f>VLOOKUP(B126,'Graph Data'!$O$2:$BX$88,8,FALSE)</f>
        <v>0</v>
      </c>
      <c r="F126" s="155">
        <f>IFERROR(E126+'Pay App 5'!F126,"")</f>
        <v>0</v>
      </c>
      <c r="G126" s="155">
        <f>SUM('Pay App 1:Pay App 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6'!L126)+SUM('Pay App 1:Pay App 6'!M126)</f>
        <v>0</v>
      </c>
    </row>
    <row r="127" spans="1:14" ht="11.25" customHeight="1" x14ac:dyDescent="0.25">
      <c r="A127" s="152">
        <f t="shared" si="3"/>
        <v>66</v>
      </c>
      <c r="B127" s="188" t="str">
        <f>'Pay App 1'!B127</f>
        <v>14 40 00</v>
      </c>
      <c r="C127" s="194" t="str">
        <f>'Pay App 1'!C127</f>
        <v>Lifts</v>
      </c>
      <c r="D127" s="155">
        <f>'Pay App 1'!D127</f>
        <v>0</v>
      </c>
      <c r="E127" s="155">
        <f>VLOOKUP(B127,'Graph Data'!$O$2:$BX$88,8,FALSE)</f>
        <v>0</v>
      </c>
      <c r="F127" s="155">
        <f>IFERROR(E127+'Pay App 5'!F127,"")</f>
        <v>0</v>
      </c>
      <c r="G127" s="155">
        <f>SUM('Pay App 1:Pay App 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6'!L127)+SUM('Pay App 1:Pay App 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Data'!$O$2:$BX$88,8,FALSE)</f>
        <v>0</v>
      </c>
      <c r="F128" s="155">
        <f>IFERROR(E128+'Pay App 5'!F128,"")</f>
        <v>0</v>
      </c>
      <c r="G128" s="155">
        <f>SUM('Pay App 1:Pay App 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6'!L128)+SUM('Pay App 1:Pay App 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Data'!$O$2:$BX$88,8,FALSE)</f>
        <v>0</v>
      </c>
      <c r="F129" s="155">
        <f>IFERROR(E129+'Pay App 5'!F129,"")</f>
        <v>0</v>
      </c>
      <c r="G129" s="155">
        <f>SUM('Pay App 1:Pay App 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6'!L129)+SUM('Pay App 1:Pay App 6'!M129)</f>
        <v>0</v>
      </c>
    </row>
    <row r="130" spans="1:14" ht="11.25" customHeight="1" x14ac:dyDescent="0.25">
      <c r="A130" s="152">
        <f t="shared" si="3"/>
        <v>69</v>
      </c>
      <c r="B130" s="185" t="str">
        <f>'Pay App 1'!B130</f>
        <v>22 00 00</v>
      </c>
      <c r="C130" s="191" t="str">
        <f>'Pay App 1'!C130</f>
        <v>Plumbing</v>
      </c>
      <c r="D130" s="155">
        <f>'Pay App 1'!D130</f>
        <v>0</v>
      </c>
      <c r="E130" s="155">
        <f>VLOOKUP(B130,'Graph Data'!$O$2:$BX$88,8,FALSE)</f>
        <v>0</v>
      </c>
      <c r="F130" s="155">
        <f>IFERROR(E130+'Pay App 5'!F130,"")</f>
        <v>0</v>
      </c>
      <c r="G130" s="155">
        <f>SUM('Pay App 1:Pay App 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6'!L130)+SUM('Pay App 1:Pay App 6'!M130)</f>
        <v>0</v>
      </c>
    </row>
    <row r="131" spans="1:14" ht="11.25" customHeight="1" x14ac:dyDescent="0.25">
      <c r="A131" s="152">
        <f t="shared" si="3"/>
        <v>70</v>
      </c>
      <c r="B131" s="186" t="str">
        <f>'Pay App 1'!B131</f>
        <v>23 00 00</v>
      </c>
      <c r="C131" s="192" t="str">
        <f>'Pay App 1'!C131</f>
        <v>HVAC</v>
      </c>
      <c r="D131" s="155">
        <f>'Pay App 1'!D131</f>
        <v>0</v>
      </c>
      <c r="E131" s="155">
        <f>VLOOKUP(B131,'Graph Data'!$O$2:$BX$88,8,FALSE)</f>
        <v>0</v>
      </c>
      <c r="F131" s="155">
        <f>IFERROR(E131+'Pay App 5'!F131,"")</f>
        <v>0</v>
      </c>
      <c r="G131" s="155">
        <f>SUM('Pay App 1:Pay App 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6'!L131)+SUM('Pay App 1:Pay App 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Data'!$O$2:$BX$88,8,FALSE)</f>
        <v>0</v>
      </c>
      <c r="F132" s="155">
        <f>IFERROR(E132+'Pay App 5'!F132,"")</f>
        <v>0</v>
      </c>
      <c r="G132" s="155">
        <f>SUM('Pay App 1:Pay App 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6'!L132)+SUM('Pay App 1:Pay App 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Data'!$O$2:$BX$88,8,FALSE)</f>
        <v>0</v>
      </c>
      <c r="F133" s="155">
        <f>IFERROR(E133+'Pay App 5'!F133,"")</f>
        <v>0</v>
      </c>
      <c r="G133" s="155">
        <f>SUM('Pay App 1:Pay App 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6'!L133)+SUM('Pay App 1:Pay App 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Data'!$O$2:$BX$88,8,FALSE)</f>
        <v>0</v>
      </c>
      <c r="F134" s="155">
        <f>IFERROR(E134+'Pay App 5'!F134,"")</f>
        <v>0</v>
      </c>
      <c r="G134" s="155">
        <f>SUM('Pay App 1:Pay App 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6'!L134)+SUM('Pay App 1:Pay App 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Data'!$O$2:$BX$88,8,FALSE)</f>
        <v>0</v>
      </c>
      <c r="F135" s="155">
        <f>IFERROR(E135+'Pay App 5'!F135,"")</f>
        <v>0</v>
      </c>
      <c r="G135" s="155">
        <f>SUM('Pay App 1:Pay App 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6'!L135)+SUM('Pay App 1:Pay App 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Data'!$O$2:$BX$88,8,FALSE)</f>
        <v>0</v>
      </c>
      <c r="F136" s="155">
        <f>IFERROR(E136+'Pay App 5'!F136,"")</f>
        <v>0</v>
      </c>
      <c r="G136" s="155">
        <f>SUM('Pay App 1:Pay App 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6'!L136)+SUM('Pay App 1:Pay App 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Data'!$O$2:$BX$88,8,FALSE)</f>
        <v>0</v>
      </c>
      <c r="F137" s="155">
        <f>IFERROR(E137+'Pay App 5'!F137,"")</f>
        <v>0</v>
      </c>
      <c r="G137" s="155">
        <f>SUM('Pay App 1:Pay App 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6'!L137)+SUM('Pay App 1:Pay App 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Data'!$O$2:$BX$88,8,FALSE)</f>
        <v>0</v>
      </c>
      <c r="F138" s="155">
        <f>IFERROR(E138+'Pay App 5'!F138,"")</f>
        <v>0</v>
      </c>
      <c r="G138" s="155">
        <f>SUM('Pay App 1:Pay App 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6'!L138)+SUM('Pay App 1:Pay App 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Data'!$O$2:$BX$88,8,FALSE)</f>
        <v>0</v>
      </c>
      <c r="F139" s="155">
        <f>IFERROR(E139+'Pay App 5'!F139,"")</f>
        <v>0</v>
      </c>
      <c r="G139" s="155">
        <f>SUM('Pay App 1:Pay App 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6'!L139)+SUM('Pay App 1:Pay App 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Data'!$O$2:$BX$88,8,FALSE)</f>
        <v>0</v>
      </c>
      <c r="F140" s="155">
        <f>IFERROR(E140+'Pay App 5'!F140,"")</f>
        <v>0</v>
      </c>
      <c r="G140" s="155">
        <f>SUM('Pay App 1:Pay App 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6'!L140)+SUM('Pay App 1:Pay App 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Data'!$O$2:$BX$88,8,FALSE)</f>
        <v>0</v>
      </c>
      <c r="F141" s="155">
        <f>IFERROR(E141+'Pay App 5'!F141,"")</f>
        <v>0</v>
      </c>
      <c r="G141" s="155">
        <f>SUM('Pay App 1:Pay App 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6'!L141)+SUM('Pay App 1:Pay App 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Data'!$O$2:$BX$88,8,FALSE)</f>
        <v>0</v>
      </c>
      <c r="F142" s="155">
        <f>IFERROR(E142+'Pay App 5'!F142,"")</f>
        <v>0</v>
      </c>
      <c r="G142" s="155">
        <f>SUM('Pay App 1:Pay App 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6'!L142)+SUM('Pay App 1:Pay App 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Data'!$O$2:$BX$88,8,FALSE)</f>
        <v>0</v>
      </c>
      <c r="F143" s="155">
        <f>IFERROR(E143+'Pay App 5'!F143,"")</f>
        <v>0</v>
      </c>
      <c r="G143" s="155">
        <f>SUM('Pay App 1:Pay App 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6'!L143)+SUM('Pay App 1:Pay App 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Data'!$O$2:$BX$88,8,FALSE)</f>
        <v>0</v>
      </c>
      <c r="F144" s="155">
        <f>IFERROR(E144+'Pay App 5'!F144,"")</f>
        <v>0</v>
      </c>
      <c r="G144" s="155">
        <f>SUM('Pay App 1:Pay App 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6'!L144)+SUM('Pay App 1:Pay App 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Data'!$O$2:$BX$88,8,FALSE)</f>
        <v>0</v>
      </c>
      <c r="F145" s="155">
        <f>IFERROR(E145+'Pay App 5'!F145,"")</f>
        <v>0</v>
      </c>
      <c r="G145" s="155">
        <f>SUM('Pay App 1:Pay App 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6'!L145)+SUM('Pay App 1:Pay App 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Data'!$O$2:$BX$88,8,FALSE)</f>
        <v>0</v>
      </c>
      <c r="F146" s="155">
        <f>IFERROR(E146+'Pay App 5'!F146,"")</f>
        <v>0</v>
      </c>
      <c r="G146" s="155">
        <f>SUM('Pay App 1:Pay App 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6'!L146)+SUM('Pay App 1:Pay App 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Data'!$O$2:$BX$88,8,FALSE)</f>
        <v>0</v>
      </c>
      <c r="F147" s="155">
        <f>IFERROR(E147+'Pay App 5'!F147,"")</f>
        <v>0</v>
      </c>
      <c r="G147" s="155">
        <f>SUM('Pay App 1:Pay App 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6'!L147)+SUM('Pay App 1:Pay App 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Data'!$O$2:$BX$88,8,FALSE)</f>
        <v>0</v>
      </c>
      <c r="F148" s="155">
        <f>IFERROR(E148+'Pay App 5'!F148,"")</f>
        <v>0</v>
      </c>
      <c r="G148" s="155">
        <f>SUM('Pay App 1:Pay App 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6'!L148)+SUM('Pay App 1:Pay App 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BtxzsEess3J+39x7D7LTfCQS6FbtjCnxHKGjxfb/XM8IAbFIvTiIZI40LTzdlIHK+AgyVx+1g+BJb7rXIxnlQ==" saltValue="RIU+gAwhLWzqGIqv7zu2Y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604" priority="2" operator="equal">
      <formula>0</formula>
    </cfRule>
  </conditionalFormatting>
  <conditionalFormatting sqref="D106:G148">
    <cfRule type="cellIs" dxfId="603" priority="1" operator="equal">
      <formula>0</formula>
    </cfRule>
  </conditionalFormatting>
  <conditionalFormatting sqref="D10:H10 D12:H14 D19:H21">
    <cfRule type="cellIs" dxfId="602" priority="6" operator="equal">
      <formula>0</formula>
    </cfRule>
  </conditionalFormatting>
  <conditionalFormatting sqref="H51">
    <cfRule type="cellIs" dxfId="601" priority="9" operator="lessThan">
      <formula>0</formula>
    </cfRule>
  </conditionalFormatting>
  <conditionalFormatting sqref="I57:I100 K57:K100 I106:I148 K106:K148 N106:N148">
    <cfRule type="cellIs" dxfId="600" priority="14" operator="equal">
      <formula>0</formula>
    </cfRule>
  </conditionalFormatting>
  <conditionalFormatting sqref="J57:J100 J106:J149">
    <cfRule type="cellIs" dxfId="599" priority="11" operator="greaterThan">
      <formula>1</formula>
    </cfRule>
    <cfRule type="cellIs" dxfId="598" priority="12" operator="equal">
      <formula>0</formula>
    </cfRule>
  </conditionalFormatting>
  <conditionalFormatting sqref="K57:K100 K106:K148">
    <cfRule type="cellIs" dxfId="597" priority="10" operator="lessThan">
      <formula>0</formula>
    </cfRule>
  </conditionalFormatting>
  <conditionalFormatting sqref="M57:M100">
    <cfRule type="cellIs" dxfId="596" priority="13" operator="lessThan">
      <formula>0</formula>
    </cfRule>
  </conditionalFormatting>
  <conditionalFormatting sqref="M106:M148">
    <cfRule type="cellIs" dxfId="595" priority="8" operator="lessThan">
      <formula>0</formula>
    </cfRule>
  </conditionalFormatting>
  <conditionalFormatting sqref="N57:N100">
    <cfRule type="cellIs" dxfId="59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AD1F5903-B93B-4EC6-A976-7515BF4C920E}">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F0EE-1A49-4BC3-A0E7-5F9F992D4635}">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7.1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Data'!$O$2:$BX$88,9,FALSE)</f>
        <v>0</v>
      </c>
      <c r="F57" s="155">
        <f>IFERROR(E57+'Pay App 6'!F57,"")</f>
        <v>0</v>
      </c>
      <c r="G57" s="155">
        <f>SUM('Pay App 1:Pay App 6'!H57)</f>
        <v>0</v>
      </c>
      <c r="H57" s="154"/>
      <c r="I57" s="155">
        <f>G57+H57</f>
        <v>0</v>
      </c>
      <c r="J57" s="156">
        <f>IFERROR(I57/F57,0)</f>
        <v>0</v>
      </c>
      <c r="K57" s="155">
        <f>IFERROR(F57-I57,"")</f>
        <v>0</v>
      </c>
      <c r="L57" s="155" t="str">
        <f>IF(AND('Summary Sheet'!$E$23="No",$H$33&gt;0,H57&gt;=1),"",IF(AND('Summary Sheet'!$E$23="Yes",H57&lt;&gt;""),H57*'Summary Sheet'!$G$23,""))</f>
        <v/>
      </c>
      <c r="M57" s="154"/>
      <c r="N57" s="155">
        <f>SUM('Pay App 1:Pay App 7'!L57)+SUM('Pay App 1:Pay App 7'!M57)</f>
        <v>0</v>
      </c>
    </row>
    <row r="58" spans="1:16" ht="11.25" customHeight="1" x14ac:dyDescent="0.25">
      <c r="A58" s="152">
        <v>2</v>
      </c>
      <c r="B58" s="145" t="str">
        <f>'Pay App 1'!B58</f>
        <v>00 02 00</v>
      </c>
      <c r="C58" s="134" t="str">
        <f>'Pay App 1'!C58</f>
        <v>Preconstruction Services</v>
      </c>
      <c r="D58" s="155">
        <f>'Pay App 1'!D58</f>
        <v>0</v>
      </c>
      <c r="E58" s="155">
        <f>VLOOKUP(B58,'Graph Data'!$O$2:$BX$88,9,FALSE)</f>
        <v>0</v>
      </c>
      <c r="F58" s="155">
        <f>IFERROR(E58+'Pay App 6'!F58,"")</f>
        <v>0</v>
      </c>
      <c r="G58" s="155">
        <f>SUM('Pay App 1:Pay App 6'!H58)</f>
        <v>0</v>
      </c>
      <c r="H58" s="154"/>
      <c r="I58" s="155">
        <f>G58+H58</f>
        <v>0</v>
      </c>
      <c r="J58" s="156">
        <f>IFERROR(I58/F58,0)</f>
        <v>0</v>
      </c>
      <c r="K58" s="155">
        <f>IFERROR(F58-I58,"")</f>
        <v>0</v>
      </c>
      <c r="L58" s="155" t="str">
        <f>IF(AND('Summary Sheet'!$E$23="No",$H$33&gt;0,H58&gt;=1),"",IF(AND('Summary Sheet'!$E$23="Yes",H58&lt;&gt;""),H58*'Summary Sheet'!$G$23,""))</f>
        <v/>
      </c>
      <c r="M58" s="154"/>
      <c r="N58" s="155">
        <f>SUM('Pay App 1:Pay App 7'!L58)+SUM('Pay App 1:Pay App 7'!M58)</f>
        <v>0</v>
      </c>
    </row>
    <row r="59" spans="1:16" ht="11.25" customHeight="1" x14ac:dyDescent="0.25">
      <c r="A59" s="152">
        <v>3</v>
      </c>
      <c r="B59" s="174" t="str">
        <f>'Pay App 1'!B59</f>
        <v>01 00 00</v>
      </c>
      <c r="C59" s="179" t="str">
        <f>'Pay App 1'!C59</f>
        <v>General Conditions/Requirements</v>
      </c>
      <c r="D59" s="155">
        <f>'Pay App 1'!D59</f>
        <v>0</v>
      </c>
      <c r="E59" s="155">
        <f>VLOOKUP(B59,'Graph Data'!$O$2:$BX$88,9,FALSE)</f>
        <v>0</v>
      </c>
      <c r="F59" s="155">
        <f>IFERROR(E59+'Pay App 6'!F59,"")</f>
        <v>0</v>
      </c>
      <c r="G59" s="155">
        <f>SUM('Pay App 1:Pay App 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7'!L59)+SUM('Pay App 1:Pay App 7'!M59)</f>
        <v>0</v>
      </c>
    </row>
    <row r="60" spans="1:16" ht="11.25" customHeight="1" x14ac:dyDescent="0.25">
      <c r="A60" s="152">
        <v>4</v>
      </c>
      <c r="B60" s="174" t="str">
        <f>'Pay App 1'!B60</f>
        <v>01 13 41</v>
      </c>
      <c r="C60" s="179" t="str">
        <f>'Pay App 1'!C60</f>
        <v>Temp. Scaffolding and Platforms</v>
      </c>
      <c r="D60" s="155">
        <f>'Pay App 1'!D60</f>
        <v>0</v>
      </c>
      <c r="E60" s="155">
        <f>VLOOKUP(B60,'Graph Data'!$O$2:$BX$88,9,FALSE)</f>
        <v>0</v>
      </c>
      <c r="F60" s="155">
        <f>IFERROR(E60+'Pay App 6'!F60,"")</f>
        <v>0</v>
      </c>
      <c r="G60" s="155">
        <f>SUM('Pay App 1:Pay App 6'!H60)</f>
        <v>0</v>
      </c>
      <c r="H60" s="154"/>
      <c r="I60" s="155">
        <f t="shared" si="0"/>
        <v>0</v>
      </c>
      <c r="J60" s="156">
        <f t="shared" si="1"/>
        <v>0</v>
      </c>
      <c r="K60" s="155">
        <f t="shared" si="2"/>
        <v>0</v>
      </c>
      <c r="L60" s="155" t="str">
        <f>IF(AND('Summary Sheet'!$E$23="No",$H$33&gt;0,H60&gt;=1),"",IF(AND('Summary Sheet'!$E$23="Yes",H60&lt;&gt;""),H60*'Summary Sheet'!$G$23,""))</f>
        <v/>
      </c>
      <c r="M60" s="154"/>
      <c r="N60" s="155">
        <f>SUM('Pay App 1:Pay App 7'!L60)+SUM('Pay App 1:Pay App 7'!M60)</f>
        <v>0</v>
      </c>
    </row>
    <row r="61" spans="1:16" ht="11.25" customHeight="1" x14ac:dyDescent="0.25">
      <c r="A61" s="152">
        <v>5</v>
      </c>
      <c r="B61" s="174" t="str">
        <f>'Pay App 1'!B61</f>
        <v>01 13 60</v>
      </c>
      <c r="C61" s="179" t="str">
        <f>'Pay App 1'!C61</f>
        <v>SWPPP</v>
      </c>
      <c r="D61" s="155">
        <f>'Pay App 1'!D61</f>
        <v>0</v>
      </c>
      <c r="E61" s="155">
        <f>VLOOKUP(B61,'Graph Data'!$O$2:$BX$88,9,FALSE)</f>
        <v>0</v>
      </c>
      <c r="F61" s="155">
        <f>IFERROR(E61+'Pay App 6'!F61,"")</f>
        <v>0</v>
      </c>
      <c r="G61" s="155">
        <f>SUM('Pay App 1:Pay App 6'!H61)</f>
        <v>0</v>
      </c>
      <c r="H61" s="154"/>
      <c r="I61" s="155">
        <f t="shared" si="0"/>
        <v>0</v>
      </c>
      <c r="J61" s="156">
        <f t="shared" si="1"/>
        <v>0</v>
      </c>
      <c r="K61" s="155">
        <f t="shared" si="2"/>
        <v>0</v>
      </c>
      <c r="L61" s="155" t="str">
        <f>IF(AND('Summary Sheet'!$E$23="No",$H$33&gt;0,H61&gt;=1),"",IF(AND('Summary Sheet'!$E$23="Yes",H61&lt;&gt;""),H61*'Summary Sheet'!$G$23,""))</f>
        <v/>
      </c>
      <c r="M61" s="154"/>
      <c r="N61" s="155">
        <f>SUM('Pay App 1:Pay App 7'!L61)+SUM('Pay App 1:Pay App 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Data'!$O$2:$BX$88,9,FALSE)</f>
        <v>0</v>
      </c>
      <c r="F62" s="155">
        <f>IFERROR(E62+'Pay App 6'!F62,"")</f>
        <v>0</v>
      </c>
      <c r="G62" s="155">
        <f>SUM('Pay App 1:Pay App 6'!H62)</f>
        <v>0</v>
      </c>
      <c r="H62" s="154"/>
      <c r="I62" s="155">
        <f t="shared" si="0"/>
        <v>0</v>
      </c>
      <c r="J62" s="156">
        <f t="shared" si="1"/>
        <v>0</v>
      </c>
      <c r="K62" s="155">
        <f t="shared" si="2"/>
        <v>0</v>
      </c>
      <c r="L62" s="155" t="str">
        <f>IF(AND('Summary Sheet'!$E$23="No",$H$33&gt;0,H62&gt;=1),"",IF(AND('Summary Sheet'!$E$23="Yes",H62&lt;&gt;""),H62*'Summary Sheet'!$G$23,""))</f>
        <v/>
      </c>
      <c r="M62" s="154"/>
      <c r="N62" s="155">
        <f>SUM('Pay App 1:Pay App 7'!L62)+SUM('Pay App 1:Pay App 7'!M62)</f>
        <v>0</v>
      </c>
    </row>
    <row r="63" spans="1:16" ht="11.25" customHeight="1" x14ac:dyDescent="0.25">
      <c r="A63" s="152">
        <v>7</v>
      </c>
      <c r="B63" s="174" t="str">
        <f>'Pay App 1'!B63</f>
        <v>01 31 00</v>
      </c>
      <c r="C63" s="179" t="str">
        <f>'Pay App 1'!C63</f>
        <v>Contractor's Supervision</v>
      </c>
      <c r="D63" s="155">
        <f>'Pay App 1'!D63</f>
        <v>0</v>
      </c>
      <c r="E63" s="155">
        <f>VLOOKUP(B63,'Graph Data'!$O$2:$BX$88,9,FALSE)</f>
        <v>0</v>
      </c>
      <c r="F63" s="155">
        <f>IFERROR(E63+'Pay App 6'!F63,"")</f>
        <v>0</v>
      </c>
      <c r="G63" s="155">
        <f>SUM('Pay App 1:Pay App 6'!H63)</f>
        <v>0</v>
      </c>
      <c r="H63" s="154"/>
      <c r="I63" s="155">
        <f t="shared" si="0"/>
        <v>0</v>
      </c>
      <c r="J63" s="156">
        <f t="shared" si="1"/>
        <v>0</v>
      </c>
      <c r="K63" s="155">
        <f t="shared" si="2"/>
        <v>0</v>
      </c>
      <c r="L63" s="155" t="str">
        <f>IF(AND('Summary Sheet'!$E$23="No",$H$33&gt;0,H63&gt;=1),"",IF(AND('Summary Sheet'!$E$23="Yes",H63&lt;&gt;""),H63*'Summary Sheet'!$G$23,""))</f>
        <v/>
      </c>
      <c r="M63" s="154"/>
      <c r="N63" s="155">
        <f>SUM('Pay App 1:Pay App 7'!L63)+SUM('Pay App 1:Pay App 7'!M63)</f>
        <v>0</v>
      </c>
    </row>
    <row r="64" spans="1:16" ht="11.25" customHeight="1" x14ac:dyDescent="0.25">
      <c r="A64" s="152">
        <v>8</v>
      </c>
      <c r="B64" s="174" t="str">
        <f>'Pay App 1'!B64</f>
        <v>01 32 00</v>
      </c>
      <c r="C64" s="179" t="str">
        <f>'Pay App 1'!C64</f>
        <v>General Liability Insurance</v>
      </c>
      <c r="D64" s="155">
        <f>'Pay App 1'!D64</f>
        <v>0</v>
      </c>
      <c r="E64" s="155">
        <f>VLOOKUP(B64,'Graph Data'!$O$2:$BX$88,9,FALSE)</f>
        <v>0</v>
      </c>
      <c r="F64" s="155">
        <f>IFERROR(E64+'Pay App 6'!F64,"")</f>
        <v>0</v>
      </c>
      <c r="G64" s="155">
        <f>SUM('Pay App 1:Pay App 6'!H64)</f>
        <v>0</v>
      </c>
      <c r="H64" s="154"/>
      <c r="I64" s="155">
        <f t="shared" si="0"/>
        <v>0</v>
      </c>
      <c r="J64" s="156">
        <f t="shared" si="1"/>
        <v>0</v>
      </c>
      <c r="K64" s="155">
        <f t="shared" si="2"/>
        <v>0</v>
      </c>
      <c r="L64" s="155" t="str">
        <f>IF(AND('Summary Sheet'!$E$23="No",$H$33&gt;0,H64&gt;=1),"",IF(AND('Summary Sheet'!$E$23="Yes",H64&lt;&gt;""),H64*'Summary Sheet'!$G$23,""))</f>
        <v/>
      </c>
      <c r="M64" s="154"/>
      <c r="N64" s="155">
        <f>SUM('Pay App 1:Pay App 7'!L64)+SUM('Pay App 1:Pay App 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Data'!$O$2:$BX$88,9,FALSE)</f>
        <v>0</v>
      </c>
      <c r="F65" s="155">
        <f>IFERROR(E65+'Pay App 6'!F65,"")</f>
        <v>0</v>
      </c>
      <c r="G65" s="155">
        <f>SUM('Pay App 1:Pay App 6'!H65)</f>
        <v>0</v>
      </c>
      <c r="H65" s="154"/>
      <c r="I65" s="155">
        <f t="shared" si="0"/>
        <v>0</v>
      </c>
      <c r="J65" s="156">
        <f t="shared" si="1"/>
        <v>0</v>
      </c>
      <c r="K65" s="155">
        <f t="shared" si="2"/>
        <v>0</v>
      </c>
      <c r="L65" s="155" t="str">
        <f>IF(AND('Summary Sheet'!$E$23="No",$H$33&gt;0,H65&gt;=1),"",IF(AND('Summary Sheet'!$E$23="Yes",H65&lt;&gt;""),H65*'Summary Sheet'!$G$23,""))</f>
        <v/>
      </c>
      <c r="M65" s="154"/>
      <c r="N65" s="155">
        <f>SUM('Pay App 1:Pay App 7'!L65)+SUM('Pay App 1:Pay App 7'!M65)</f>
        <v>0</v>
      </c>
    </row>
    <row r="66" spans="1:17" ht="11.25" customHeight="1" x14ac:dyDescent="0.25">
      <c r="A66" s="152">
        <v>10</v>
      </c>
      <c r="B66" s="174" t="str">
        <f>'Pay App 1'!B66</f>
        <v>01 34 00</v>
      </c>
      <c r="C66" s="179" t="str">
        <f>'Pay App 1'!C66</f>
        <v>Subcontractor Default Insurance</v>
      </c>
      <c r="D66" s="155">
        <f>'Pay App 1'!D66</f>
        <v>0</v>
      </c>
      <c r="E66" s="155">
        <f>VLOOKUP(B66,'Graph Data'!$O$2:$BX$88,9,FALSE)</f>
        <v>0</v>
      </c>
      <c r="F66" s="155">
        <f>IFERROR(E66+'Pay App 6'!F66,"")</f>
        <v>0</v>
      </c>
      <c r="G66" s="155">
        <f>SUM('Pay App 1:Pay App 6'!H66)</f>
        <v>0</v>
      </c>
      <c r="H66" s="154"/>
      <c r="I66" s="155">
        <f t="shared" si="0"/>
        <v>0</v>
      </c>
      <c r="J66" s="156">
        <f t="shared" si="1"/>
        <v>0</v>
      </c>
      <c r="K66" s="155">
        <f t="shared" si="2"/>
        <v>0</v>
      </c>
      <c r="L66" s="155" t="str">
        <f>IF(AND('Summary Sheet'!$E$23="No",$H$33&gt;0,H66&gt;=1),"",IF(AND('Summary Sheet'!$E$23="Yes",H66&lt;&gt;""),H66*'Summary Sheet'!$G$23,""))</f>
        <v/>
      </c>
      <c r="M66" s="154"/>
      <c r="N66" s="155">
        <f>SUM('Pay App 1:Pay App 7'!L66)+SUM('Pay App 1:Pay App 7'!M66)</f>
        <v>0</v>
      </c>
    </row>
    <row r="67" spans="1:17" ht="11.25" customHeight="1" x14ac:dyDescent="0.25">
      <c r="A67" s="152">
        <v>11</v>
      </c>
      <c r="B67" s="174" t="str">
        <f>'Pay App 1'!B67</f>
        <v>01 35 00</v>
      </c>
      <c r="C67" s="179" t="str">
        <f>'Pay App 1'!C67</f>
        <v>Construction Management Fee</v>
      </c>
      <c r="D67" s="155">
        <f>'Pay App 1'!D67</f>
        <v>0</v>
      </c>
      <c r="E67" s="155">
        <f>VLOOKUP(B67,'Graph Data'!$O$2:$BX$88,9,FALSE)</f>
        <v>0</v>
      </c>
      <c r="F67" s="155">
        <f>IFERROR(E67+'Pay App 6'!F67,"")</f>
        <v>0</v>
      </c>
      <c r="G67" s="155">
        <f>SUM('Pay App 1:Pay App 6'!H67)</f>
        <v>0</v>
      </c>
      <c r="H67" s="154"/>
      <c r="I67" s="155">
        <f t="shared" si="0"/>
        <v>0</v>
      </c>
      <c r="J67" s="156">
        <f t="shared" si="1"/>
        <v>0</v>
      </c>
      <c r="K67" s="155">
        <f t="shared" si="2"/>
        <v>0</v>
      </c>
      <c r="L67" s="155" t="str">
        <f>IF(AND('Summary Sheet'!$E$23="No",$H$33&gt;0,H67&gt;=1),"",IF(AND('Summary Sheet'!$E$23="Yes",H67&lt;&gt;""),H67*'Summary Sheet'!$G$23,""))</f>
        <v/>
      </c>
      <c r="M67" s="154"/>
      <c r="N67" s="155">
        <f>SUM('Pay App 1:Pay App 7'!L67)+SUM('Pay App 1:Pay App 7'!M67)</f>
        <v>0</v>
      </c>
    </row>
    <row r="68" spans="1:17" ht="11.25" customHeight="1" x14ac:dyDescent="0.25">
      <c r="A68" s="152">
        <v>12</v>
      </c>
      <c r="B68" s="174" t="str">
        <f>'Pay App 1'!B68</f>
        <v>01 36 00</v>
      </c>
      <c r="C68" s="179" t="str">
        <f>'Pay App 1'!C68</f>
        <v>Contingency</v>
      </c>
      <c r="D68" s="155">
        <f>'Pay App 1'!D68</f>
        <v>0</v>
      </c>
      <c r="E68" s="155">
        <f>VLOOKUP(B68,'Graph Data'!$O$2:$BX$88,9,FALSE)</f>
        <v>0</v>
      </c>
      <c r="F68" s="155">
        <f>IFERROR(E68+'Pay App 6'!F68,"")</f>
        <v>0</v>
      </c>
      <c r="G68" s="155">
        <f>SUM('Pay App 1:Pay App 6'!H68)</f>
        <v>0</v>
      </c>
      <c r="H68" s="154"/>
      <c r="I68" s="155">
        <f t="shared" si="0"/>
        <v>0</v>
      </c>
      <c r="J68" s="156">
        <f t="shared" si="1"/>
        <v>0</v>
      </c>
      <c r="K68" s="155">
        <f t="shared" si="2"/>
        <v>0</v>
      </c>
      <c r="L68" s="155" t="str">
        <f>IF(AND('Summary Sheet'!$E$23="No",$H$33&gt;0,H68&gt;=1),"",IF(AND('Summary Sheet'!$E$23="Yes",H68&lt;&gt;""),H68*'Summary Sheet'!$G$23,""))</f>
        <v/>
      </c>
      <c r="M68" s="154"/>
      <c r="N68" s="155">
        <f>SUM('Pay App 1:Pay App 7'!L68)+SUM('Pay App 1:Pay App 7'!M68)</f>
        <v>0</v>
      </c>
    </row>
    <row r="69" spans="1:17" ht="11.25" customHeight="1" x14ac:dyDescent="0.25">
      <c r="A69" s="152">
        <v>13</v>
      </c>
      <c r="B69" s="174" t="str">
        <f>'Pay App 1'!B69</f>
        <v>01 37 00</v>
      </c>
      <c r="C69" s="179" t="str">
        <f>'Pay App 1'!C69</f>
        <v>Weather Allowance (All Trades)</v>
      </c>
      <c r="D69" s="155">
        <f>'Pay App 1'!D69</f>
        <v>0</v>
      </c>
      <c r="E69" s="155">
        <f>VLOOKUP(B69,'Graph Data'!$O$2:$BX$88,9,FALSE)</f>
        <v>0</v>
      </c>
      <c r="F69" s="155">
        <f>IFERROR(E69+'Pay App 6'!F69,"")</f>
        <v>0</v>
      </c>
      <c r="G69" s="155">
        <f>SUM('Pay App 1:Pay App 6'!H69)</f>
        <v>0</v>
      </c>
      <c r="H69" s="154"/>
      <c r="I69" s="155">
        <f t="shared" si="0"/>
        <v>0</v>
      </c>
      <c r="J69" s="156">
        <f t="shared" si="1"/>
        <v>0</v>
      </c>
      <c r="K69" s="155">
        <f t="shared" si="2"/>
        <v>0</v>
      </c>
      <c r="L69" s="155" t="str">
        <f>IF(AND('Summary Sheet'!$E$23="No",$H$33&gt;0,H69&gt;=1),"",IF(AND('Summary Sheet'!$E$23="Yes",H69&lt;&gt;""),H69*'Summary Sheet'!$G$23,""))</f>
        <v/>
      </c>
      <c r="M69" s="154"/>
      <c r="N69" s="155">
        <f>SUM('Pay App 1:Pay App 7'!L69)+SUM('Pay App 1:Pay App 7'!M69)</f>
        <v>0</v>
      </c>
    </row>
    <row r="70" spans="1:17" ht="11.25" customHeight="1" x14ac:dyDescent="0.25">
      <c r="A70" s="152">
        <v>14</v>
      </c>
      <c r="B70" s="174" t="str">
        <f>'Pay App 1'!B70</f>
        <v>01 74 23</v>
      </c>
      <c r="C70" s="179" t="str">
        <f>'Pay App 1'!C70</f>
        <v>Cleaning (Final)</v>
      </c>
      <c r="D70" s="155">
        <f>'Pay App 1'!D70</f>
        <v>0</v>
      </c>
      <c r="E70" s="155">
        <f>VLOOKUP(B70,'Graph Data'!$O$2:$BX$88,9,FALSE)</f>
        <v>0</v>
      </c>
      <c r="F70" s="155">
        <f>IFERROR(E70+'Pay App 6'!F70,"")</f>
        <v>0</v>
      </c>
      <c r="G70" s="155">
        <f>SUM('Pay App 1:Pay App 6'!H70)</f>
        <v>0</v>
      </c>
      <c r="H70" s="154"/>
      <c r="I70" s="155">
        <f t="shared" si="0"/>
        <v>0</v>
      </c>
      <c r="J70" s="156">
        <f t="shared" si="1"/>
        <v>0</v>
      </c>
      <c r="K70" s="155">
        <f t="shared" si="2"/>
        <v>0</v>
      </c>
      <c r="L70" s="155" t="str">
        <f>IF(AND('Summary Sheet'!$E$23="No",$H$33&gt;0,H70&gt;=1),"",IF(AND('Summary Sheet'!$E$23="Yes",H70&lt;&gt;""),H70*'Summary Sheet'!$G$23,""))</f>
        <v/>
      </c>
      <c r="M70" s="154"/>
      <c r="N70" s="155">
        <f>SUM('Pay App 1:Pay App 7'!L70)+SUM('Pay App 1:Pay App 7'!M70)</f>
        <v>0</v>
      </c>
    </row>
    <row r="71" spans="1:17" ht="11.25" customHeight="1" x14ac:dyDescent="0.25">
      <c r="A71" s="152">
        <v>15</v>
      </c>
      <c r="B71" s="175" t="str">
        <f>'Pay App 1'!B71</f>
        <v>02 21 00</v>
      </c>
      <c r="C71" s="180" t="str">
        <f>'Pay App 1'!C71</f>
        <v>Survey/Engineering</v>
      </c>
      <c r="D71" s="155">
        <f>'Pay App 1'!D71</f>
        <v>0</v>
      </c>
      <c r="E71" s="155">
        <f>VLOOKUP(B71,'Graph Data'!$O$2:$BX$88,9,FALSE)</f>
        <v>0</v>
      </c>
      <c r="F71" s="155">
        <f>IFERROR(E71+'Pay App 6'!F71,"")</f>
        <v>0</v>
      </c>
      <c r="G71" s="155">
        <f>SUM('Pay App 1:Pay App 6'!H71)</f>
        <v>0</v>
      </c>
      <c r="H71" s="154"/>
      <c r="I71" s="155">
        <f t="shared" si="0"/>
        <v>0</v>
      </c>
      <c r="J71" s="156">
        <f t="shared" si="1"/>
        <v>0</v>
      </c>
      <c r="K71" s="155">
        <f t="shared" si="2"/>
        <v>0</v>
      </c>
      <c r="L71" s="155" t="str">
        <f>IF(AND('Summary Sheet'!$E$23="No",$H$33&gt;0,H71&gt;=1),"",IF(AND('Summary Sheet'!$E$23="Yes",H71&lt;&gt;""),H71*'Summary Sheet'!$G$23,""))</f>
        <v/>
      </c>
      <c r="M71" s="154"/>
      <c r="N71" s="155">
        <f>SUM('Pay App 1:Pay App 7'!L71)+SUM('Pay App 1:Pay App 7'!M71)</f>
        <v>0</v>
      </c>
      <c r="Q71" s="28"/>
    </row>
    <row r="72" spans="1:17" ht="11.25" customHeight="1" x14ac:dyDescent="0.25">
      <c r="A72" s="152">
        <v>16</v>
      </c>
      <c r="B72" s="175" t="str">
        <f>'Pay App 1'!B72</f>
        <v>02 41 00</v>
      </c>
      <c r="C72" s="180" t="str">
        <f>'Pay App 1'!C72</f>
        <v>Demolition</v>
      </c>
      <c r="D72" s="155">
        <f>'Pay App 1'!D72</f>
        <v>0</v>
      </c>
      <c r="E72" s="155">
        <f>VLOOKUP(B72,'Graph Data'!$O$2:$BX$88,9,FALSE)</f>
        <v>0</v>
      </c>
      <c r="F72" s="155">
        <f>IFERROR(E72+'Pay App 6'!F72,"")</f>
        <v>0</v>
      </c>
      <c r="G72" s="155">
        <f>SUM('Pay App 1:Pay App 6'!H72)</f>
        <v>0</v>
      </c>
      <c r="H72" s="154"/>
      <c r="I72" s="155">
        <f t="shared" si="0"/>
        <v>0</v>
      </c>
      <c r="J72" s="156">
        <f t="shared" si="1"/>
        <v>0</v>
      </c>
      <c r="K72" s="155">
        <f t="shared" si="2"/>
        <v>0</v>
      </c>
      <c r="L72" s="155" t="str">
        <f>IF(AND('Summary Sheet'!$E$23="No",$H$33&gt;0,H72&gt;=1),"",IF(AND('Summary Sheet'!$E$23="Yes",H72&lt;&gt;""),H72*'Summary Sheet'!$G$23,""))</f>
        <v/>
      </c>
      <c r="M72" s="154"/>
      <c r="N72" s="155">
        <f>SUM('Pay App 1:Pay App 7'!L72)+SUM('Pay App 1:Pay App 7'!M72)</f>
        <v>0</v>
      </c>
      <c r="Q72" s="28"/>
    </row>
    <row r="73" spans="1:17" ht="11.25" customHeight="1" x14ac:dyDescent="0.25">
      <c r="A73" s="152">
        <v>17</v>
      </c>
      <c r="B73" s="175" t="str">
        <f>'Pay App 1'!B73</f>
        <v>02 82 00</v>
      </c>
      <c r="C73" s="180" t="str">
        <f>'Pay App 1'!C73</f>
        <v>Asbestos Abatement</v>
      </c>
      <c r="D73" s="155">
        <f>'Pay App 1'!D73</f>
        <v>0</v>
      </c>
      <c r="E73" s="155">
        <f>VLOOKUP(B73,'Graph Data'!$O$2:$BX$88,9,FALSE)</f>
        <v>0</v>
      </c>
      <c r="F73" s="155">
        <f>IFERROR(E73+'Pay App 6'!F73,"")</f>
        <v>0</v>
      </c>
      <c r="G73" s="155">
        <f>SUM('Pay App 1:Pay App 6'!H73)</f>
        <v>0</v>
      </c>
      <c r="H73" s="154"/>
      <c r="I73" s="155">
        <f t="shared" si="0"/>
        <v>0</v>
      </c>
      <c r="J73" s="156">
        <f t="shared" si="1"/>
        <v>0</v>
      </c>
      <c r="K73" s="155">
        <f t="shared" si="2"/>
        <v>0</v>
      </c>
      <c r="L73" s="155" t="str">
        <f>IF(AND('Summary Sheet'!$E$23="No",$H$33&gt;0,H73&gt;=1),"",IF(AND('Summary Sheet'!$E$23="Yes",H73&lt;&gt;""),H73*'Summary Sheet'!$G$23,""))</f>
        <v/>
      </c>
      <c r="M73" s="154"/>
      <c r="N73" s="155">
        <f>SUM('Pay App 1:Pay App 7'!L73)+SUM('Pay App 1:Pay App 7'!M73)</f>
        <v>0</v>
      </c>
    </row>
    <row r="74" spans="1:17" ht="11.25" customHeight="1" x14ac:dyDescent="0.25">
      <c r="A74" s="152">
        <v>18</v>
      </c>
      <c r="B74" s="176" t="str">
        <f>'Pay App 1'!B74</f>
        <v>03 00 00</v>
      </c>
      <c r="C74" s="181" t="str">
        <f>'Pay App 1'!C74</f>
        <v>Building Concrete</v>
      </c>
      <c r="D74" s="155">
        <f>'Pay App 1'!D74</f>
        <v>0</v>
      </c>
      <c r="E74" s="155">
        <f>VLOOKUP(B74,'Graph Data'!$O$2:$BX$88,9,FALSE)</f>
        <v>0</v>
      </c>
      <c r="F74" s="155">
        <f>IFERROR(E74+'Pay App 6'!F74,"")</f>
        <v>0</v>
      </c>
      <c r="G74" s="155">
        <f>SUM('Pay App 1:Pay App 6'!H74)</f>
        <v>0</v>
      </c>
      <c r="H74" s="154"/>
      <c r="I74" s="155">
        <f t="shared" si="0"/>
        <v>0</v>
      </c>
      <c r="J74" s="156">
        <f t="shared" si="1"/>
        <v>0</v>
      </c>
      <c r="K74" s="155">
        <f t="shared" si="2"/>
        <v>0</v>
      </c>
      <c r="L74" s="155" t="str">
        <f>IF(AND('Summary Sheet'!$E$23="No",$H$33&gt;0,H74&gt;=1),"",IF(AND('Summary Sheet'!$E$23="Yes",H74&lt;&gt;""),H74*'Summary Sheet'!$G$23,""))</f>
        <v/>
      </c>
      <c r="M74" s="154"/>
      <c r="N74" s="155">
        <f>SUM('Pay App 1:Pay App 7'!L74)+SUM('Pay App 1:Pay App 7'!M74)</f>
        <v>0</v>
      </c>
    </row>
    <row r="75" spans="1:17" ht="11.25" customHeight="1" x14ac:dyDescent="0.25">
      <c r="A75" s="152">
        <v>19</v>
      </c>
      <c r="B75" s="176" t="str">
        <f>'Pay App 1'!B75</f>
        <v>03 20 00</v>
      </c>
      <c r="C75" s="181" t="str">
        <f>'Pay App 1'!C75</f>
        <v>Building Concrete Reinforcing</v>
      </c>
      <c r="D75" s="155">
        <f>'Pay App 1'!D75</f>
        <v>0</v>
      </c>
      <c r="E75" s="155">
        <f>VLOOKUP(B75,'Graph Data'!$O$2:$BX$88,9,FALSE)</f>
        <v>0</v>
      </c>
      <c r="F75" s="155">
        <f>IFERROR(E75+'Pay App 6'!F75,"")</f>
        <v>0</v>
      </c>
      <c r="G75" s="155">
        <f>SUM('Pay App 1:Pay App 6'!H75)</f>
        <v>0</v>
      </c>
      <c r="H75" s="154"/>
      <c r="I75" s="155">
        <f t="shared" si="0"/>
        <v>0</v>
      </c>
      <c r="J75" s="156">
        <f t="shared" si="1"/>
        <v>0</v>
      </c>
      <c r="K75" s="155">
        <f t="shared" si="2"/>
        <v>0</v>
      </c>
      <c r="L75" s="155" t="str">
        <f>IF(AND('Summary Sheet'!$E$23="No",$H$33&gt;0,H75&gt;=1),"",IF(AND('Summary Sheet'!$E$23="Yes",H75&lt;&gt;""),H75*'Summary Sheet'!$G$23,""))</f>
        <v/>
      </c>
      <c r="M75" s="154"/>
      <c r="N75" s="155">
        <f>SUM('Pay App 1:Pay App 7'!L75)+SUM('Pay App 1:Pay App 7'!M75)</f>
        <v>0</v>
      </c>
    </row>
    <row r="76" spans="1:17" ht="11.25" customHeight="1" x14ac:dyDescent="0.25">
      <c r="A76" s="152">
        <v>20</v>
      </c>
      <c r="B76" s="176" t="str">
        <f>'Pay App 1'!B76</f>
        <v>03 40 00</v>
      </c>
      <c r="C76" s="181" t="str">
        <f>'Pay App 1'!C76</f>
        <v>Precast</v>
      </c>
      <c r="D76" s="155">
        <f>'Pay App 1'!D76</f>
        <v>0</v>
      </c>
      <c r="E76" s="155">
        <f>VLOOKUP(B76,'Graph Data'!$O$2:$BX$88,9,FALSE)</f>
        <v>0</v>
      </c>
      <c r="F76" s="155">
        <f>IFERROR(E76+'Pay App 6'!F76,"")</f>
        <v>0</v>
      </c>
      <c r="G76" s="155">
        <f>SUM('Pay App 1:Pay App 6'!H76)</f>
        <v>0</v>
      </c>
      <c r="H76" s="154"/>
      <c r="I76" s="155">
        <f t="shared" si="0"/>
        <v>0</v>
      </c>
      <c r="J76" s="156">
        <f t="shared" si="1"/>
        <v>0</v>
      </c>
      <c r="K76" s="155">
        <f t="shared" si="2"/>
        <v>0</v>
      </c>
      <c r="L76" s="155" t="str">
        <f>IF(AND('Summary Sheet'!$E$23="No",$H$33&gt;0,H76&gt;=1),"",IF(AND('Summary Sheet'!$E$23="Yes",H76&lt;&gt;""),H76*'Summary Sheet'!$G$23,""))</f>
        <v/>
      </c>
      <c r="M76" s="154"/>
      <c r="N76" s="155">
        <f>SUM('Pay App 1:Pay App 7'!L76)+SUM('Pay App 1:Pay App 7'!M76)</f>
        <v>0</v>
      </c>
    </row>
    <row r="77" spans="1:17" ht="11.25" customHeight="1" x14ac:dyDescent="0.25">
      <c r="A77" s="152">
        <v>21</v>
      </c>
      <c r="B77" s="177" t="str">
        <f>'Pay App 1'!B77</f>
        <v>04 00 00</v>
      </c>
      <c r="C77" s="182" t="str">
        <f>'Pay App 1'!C77</f>
        <v>Masonry</v>
      </c>
      <c r="D77" s="155">
        <f>'Pay App 1'!D77</f>
        <v>0</v>
      </c>
      <c r="E77" s="155">
        <f>VLOOKUP(B77,'Graph Data'!$O$2:$BX$88,9,FALSE)</f>
        <v>0</v>
      </c>
      <c r="F77" s="155">
        <f>IFERROR(E77+'Pay App 6'!F77,"")</f>
        <v>0</v>
      </c>
      <c r="G77" s="155">
        <f>SUM('Pay App 1:Pay App 6'!H77)</f>
        <v>0</v>
      </c>
      <c r="H77" s="154"/>
      <c r="I77" s="155">
        <f t="shared" si="0"/>
        <v>0</v>
      </c>
      <c r="J77" s="156">
        <f t="shared" si="1"/>
        <v>0</v>
      </c>
      <c r="K77" s="155">
        <f t="shared" si="2"/>
        <v>0</v>
      </c>
      <c r="L77" s="155" t="str">
        <f>IF(AND('Summary Sheet'!$E$23="No",$H$33&gt;0,H77&gt;=1),"",IF(AND('Summary Sheet'!$E$23="Yes",H77&lt;&gt;""),H77*'Summary Sheet'!$G$23,""))</f>
        <v/>
      </c>
      <c r="M77" s="154"/>
      <c r="N77" s="155">
        <f>SUM('Pay App 1:Pay App 7'!L77)+SUM('Pay App 1:Pay App 7'!M77)</f>
        <v>0</v>
      </c>
    </row>
    <row r="78" spans="1:17" ht="11.25" customHeight="1" x14ac:dyDescent="0.25">
      <c r="A78" s="152">
        <v>22</v>
      </c>
      <c r="B78" s="177" t="str">
        <f>'Pay App 1'!B78</f>
        <v>04 05 19</v>
      </c>
      <c r="C78" s="182" t="str">
        <f>'Pay App 1'!C78</f>
        <v>Masonry Reinforcing</v>
      </c>
      <c r="D78" s="155">
        <f>'Pay App 1'!D78</f>
        <v>0</v>
      </c>
      <c r="E78" s="155">
        <f>VLOOKUP(B78,'Graph Data'!$O$2:$BX$88,9,FALSE)</f>
        <v>0</v>
      </c>
      <c r="F78" s="155">
        <f>IFERROR(E78+'Pay App 6'!F78,"")</f>
        <v>0</v>
      </c>
      <c r="G78" s="155">
        <f>SUM('Pay App 1:Pay App 6'!H78)</f>
        <v>0</v>
      </c>
      <c r="H78" s="154"/>
      <c r="I78" s="155">
        <f t="shared" si="0"/>
        <v>0</v>
      </c>
      <c r="J78" s="156">
        <f t="shared" si="1"/>
        <v>0</v>
      </c>
      <c r="K78" s="155">
        <f t="shared" si="2"/>
        <v>0</v>
      </c>
      <c r="L78" s="155" t="str">
        <f>IF(AND('Summary Sheet'!$E$23="No",$H$33&gt;0,H78&gt;=1),"",IF(AND('Summary Sheet'!$E$23="Yes",H78&lt;&gt;""),H78*'Summary Sheet'!$G$23,""))</f>
        <v/>
      </c>
      <c r="M78" s="154"/>
      <c r="N78" s="155">
        <f>SUM('Pay App 1:Pay App 7'!L78)+SUM('Pay App 1:Pay App 7'!M78)</f>
        <v>0</v>
      </c>
    </row>
    <row r="79" spans="1:17" ht="11.25" customHeight="1" x14ac:dyDescent="0.25">
      <c r="A79" s="152">
        <v>23</v>
      </c>
      <c r="B79" s="178" t="str">
        <f>'Pay App 1'!B79</f>
        <v>05 10 00</v>
      </c>
      <c r="C79" s="183" t="str">
        <f>'Pay App 1'!C79</f>
        <v>Structural Steel/Misc. Steel Fab</v>
      </c>
      <c r="D79" s="155">
        <f>'Pay App 1'!D79</f>
        <v>0</v>
      </c>
      <c r="E79" s="155">
        <f>VLOOKUP(B79,'Graph Data'!$O$2:$BX$88,9,FALSE)</f>
        <v>0</v>
      </c>
      <c r="F79" s="155">
        <f>IFERROR(E79+'Pay App 6'!F79,"")</f>
        <v>0</v>
      </c>
      <c r="G79" s="155">
        <f>SUM('Pay App 1:Pay App 6'!H79)</f>
        <v>0</v>
      </c>
      <c r="H79" s="154"/>
      <c r="I79" s="155">
        <f t="shared" si="0"/>
        <v>0</v>
      </c>
      <c r="J79" s="156">
        <f t="shared" si="1"/>
        <v>0</v>
      </c>
      <c r="K79" s="155">
        <f t="shared" si="2"/>
        <v>0</v>
      </c>
      <c r="L79" s="155" t="str">
        <f>IF(AND('Summary Sheet'!$E$23="No",$H$33&gt;0,H79&gt;=1),"",IF(AND('Summary Sheet'!$E$23="Yes",H79&lt;&gt;""),H79*'Summary Sheet'!$G$23,""))</f>
        <v/>
      </c>
      <c r="M79" s="154"/>
      <c r="N79" s="155">
        <f>SUM('Pay App 1:Pay App 7'!L79)+SUM('Pay App 1:Pay App 7'!M79)</f>
        <v>0</v>
      </c>
    </row>
    <row r="80" spans="1:17" ht="11.25" customHeight="1" x14ac:dyDescent="0.25">
      <c r="A80" s="152">
        <v>24</v>
      </c>
      <c r="B80" s="178" t="str">
        <f>'Pay App 1'!B80</f>
        <v>05 20 00</v>
      </c>
      <c r="C80" s="183" t="str">
        <f>'Pay App 1'!C80</f>
        <v>Joists &amp; Deck</v>
      </c>
      <c r="D80" s="155">
        <f>'Pay App 1'!D80</f>
        <v>0</v>
      </c>
      <c r="E80" s="155">
        <f>VLOOKUP(B80,'Graph Data'!$O$2:$BX$88,9,FALSE)</f>
        <v>0</v>
      </c>
      <c r="F80" s="155">
        <f>IFERROR(E80+'Pay App 6'!F80,"")</f>
        <v>0</v>
      </c>
      <c r="G80" s="155">
        <f>SUM('Pay App 1:Pay App 6'!H80)</f>
        <v>0</v>
      </c>
      <c r="H80" s="154"/>
      <c r="I80" s="155">
        <f t="shared" si="0"/>
        <v>0</v>
      </c>
      <c r="J80" s="156">
        <f t="shared" si="1"/>
        <v>0</v>
      </c>
      <c r="K80" s="155">
        <f t="shared" si="2"/>
        <v>0</v>
      </c>
      <c r="L80" s="155" t="str">
        <f>IF(AND('Summary Sheet'!$E$23="No",$H$33&gt;0,H80&gt;=1),"",IF(AND('Summary Sheet'!$E$23="Yes",H80&lt;&gt;""),H80*'Summary Sheet'!$G$23,""))</f>
        <v/>
      </c>
      <c r="M80" s="154"/>
      <c r="N80" s="155">
        <f>SUM('Pay App 1:Pay App 7'!L80)+SUM('Pay App 1:Pay App 7'!M80)</f>
        <v>0</v>
      </c>
    </row>
    <row r="81" spans="1:14" ht="11.25" customHeight="1" x14ac:dyDescent="0.25">
      <c r="A81" s="152">
        <v>25</v>
      </c>
      <c r="B81" s="178" t="str">
        <f>'Pay App 1'!B81</f>
        <v>05 70 00</v>
      </c>
      <c r="C81" s="183" t="str">
        <f>'Pay App 1'!C81</f>
        <v>Ornamental Metal</v>
      </c>
      <c r="D81" s="155">
        <f>'Pay App 1'!D81</f>
        <v>0</v>
      </c>
      <c r="E81" s="155">
        <f>VLOOKUP(B81,'Graph Data'!$O$2:$BX$88,9,FALSE)</f>
        <v>0</v>
      </c>
      <c r="F81" s="155">
        <f>IFERROR(E81+'Pay App 6'!F81,"")</f>
        <v>0</v>
      </c>
      <c r="G81" s="155">
        <f>SUM('Pay App 1:Pay App 6'!H81)</f>
        <v>0</v>
      </c>
      <c r="H81" s="154"/>
      <c r="I81" s="155">
        <f t="shared" si="0"/>
        <v>0</v>
      </c>
      <c r="J81" s="156">
        <f t="shared" si="1"/>
        <v>0</v>
      </c>
      <c r="K81" s="155">
        <f t="shared" si="2"/>
        <v>0</v>
      </c>
      <c r="L81" s="155" t="str">
        <f>IF(AND('Summary Sheet'!$E$23="No",$H$33&gt;0,H81&gt;=1),"",IF(AND('Summary Sheet'!$E$23="Yes",H81&lt;&gt;""),H81*'Summary Sheet'!$G$23,""))</f>
        <v/>
      </c>
      <c r="M81" s="154"/>
      <c r="N81" s="155">
        <f>SUM('Pay App 1:Pay App 7'!L81)+SUM('Pay App 1:Pay App 7'!M81)</f>
        <v>0</v>
      </c>
    </row>
    <row r="82" spans="1:14" ht="11.25" customHeight="1" x14ac:dyDescent="0.25">
      <c r="A82" s="152">
        <v>26</v>
      </c>
      <c r="B82" s="145" t="str">
        <f>'Pay App 1'!B82</f>
        <v>06 10 00</v>
      </c>
      <c r="C82" s="134" t="str">
        <f>'Pay App 1'!C82</f>
        <v>Rough Carpentry</v>
      </c>
      <c r="D82" s="155">
        <f>'Pay App 1'!D82</f>
        <v>0</v>
      </c>
      <c r="E82" s="155">
        <f>VLOOKUP(B82,'Graph Data'!$O$2:$BX$88,9,FALSE)</f>
        <v>0</v>
      </c>
      <c r="F82" s="155">
        <f>IFERROR(E82+'Pay App 6'!F82,"")</f>
        <v>0</v>
      </c>
      <c r="G82" s="155">
        <f>SUM('Pay App 1:Pay App 6'!H82)</f>
        <v>0</v>
      </c>
      <c r="H82" s="154"/>
      <c r="I82" s="155">
        <f t="shared" si="0"/>
        <v>0</v>
      </c>
      <c r="J82" s="156">
        <f t="shared" si="1"/>
        <v>0</v>
      </c>
      <c r="K82" s="155">
        <f t="shared" si="2"/>
        <v>0</v>
      </c>
      <c r="L82" s="155" t="str">
        <f>IF(AND('Summary Sheet'!$E$23="No",$H$33&gt;0,H82&gt;=1),"",IF(AND('Summary Sheet'!$E$23="Yes",H82&lt;&gt;""),H82*'Summary Sheet'!$G$23,""))</f>
        <v/>
      </c>
      <c r="M82" s="154"/>
      <c r="N82" s="155">
        <f>SUM('Pay App 1:Pay App 7'!L82)+SUM('Pay App 1:Pay App 7'!M82)</f>
        <v>0</v>
      </c>
    </row>
    <row r="83" spans="1:14" ht="11.25" customHeight="1" x14ac:dyDescent="0.25">
      <c r="A83" s="152">
        <v>27</v>
      </c>
      <c r="B83" s="145" t="str">
        <f>'Pay App 1'!B83</f>
        <v>06 40 00</v>
      </c>
      <c r="C83" s="134" t="str">
        <f>'Pay App 1'!C83</f>
        <v>Arch. Woodwork &amp; Finish Carp.</v>
      </c>
      <c r="D83" s="155">
        <f>'Pay App 1'!D83</f>
        <v>0</v>
      </c>
      <c r="E83" s="155">
        <f>VLOOKUP(B83,'Graph Data'!$O$2:$BX$88,9,FALSE)</f>
        <v>0</v>
      </c>
      <c r="F83" s="155">
        <f>IFERROR(E83+'Pay App 6'!F83,"")</f>
        <v>0</v>
      </c>
      <c r="G83" s="155">
        <f>SUM('Pay App 1:Pay App 6'!H83)</f>
        <v>0</v>
      </c>
      <c r="H83" s="154"/>
      <c r="I83" s="155">
        <f t="shared" si="0"/>
        <v>0</v>
      </c>
      <c r="J83" s="156">
        <f t="shared" si="1"/>
        <v>0</v>
      </c>
      <c r="K83" s="155">
        <f t="shared" si="2"/>
        <v>0</v>
      </c>
      <c r="L83" s="155" t="str">
        <f>IF(AND('Summary Sheet'!$E$23="No",$H$33&gt;0,H83&gt;=1),"",IF(AND('Summary Sheet'!$E$23="Yes",H83&lt;&gt;""),H83*'Summary Sheet'!$G$23,""))</f>
        <v/>
      </c>
      <c r="M83" s="154"/>
      <c r="N83" s="155">
        <f>SUM('Pay App 1:Pay App 7'!L83)+SUM('Pay App 1:Pay App 7'!M83)</f>
        <v>0</v>
      </c>
    </row>
    <row r="84" spans="1:14" ht="11.25" customHeight="1" x14ac:dyDescent="0.25">
      <c r="A84" s="152">
        <v>28</v>
      </c>
      <c r="B84" s="174" t="str">
        <f>'Pay App 1'!B84</f>
        <v>07 10 00</v>
      </c>
      <c r="C84" s="179" t="str">
        <f>'Pay App 1'!C84</f>
        <v>Waterproofing/Water Repellents</v>
      </c>
      <c r="D84" s="155">
        <f>'Pay App 1'!D84</f>
        <v>0</v>
      </c>
      <c r="E84" s="155">
        <f>VLOOKUP(B84,'Graph Data'!$O$2:$BX$88,9,FALSE)</f>
        <v>0</v>
      </c>
      <c r="F84" s="155">
        <f>IFERROR(E84+'Pay App 6'!F84,"")</f>
        <v>0</v>
      </c>
      <c r="G84" s="155">
        <f>SUM('Pay App 1:Pay App 6'!H84)</f>
        <v>0</v>
      </c>
      <c r="H84" s="154"/>
      <c r="I84" s="155">
        <f t="shared" si="0"/>
        <v>0</v>
      </c>
      <c r="J84" s="156">
        <f t="shared" si="1"/>
        <v>0</v>
      </c>
      <c r="K84" s="155">
        <f t="shared" si="2"/>
        <v>0</v>
      </c>
      <c r="L84" s="155" t="str">
        <f>IF(AND('Summary Sheet'!$E$23="No",$H$33&gt;0,H84&gt;=1),"",IF(AND('Summary Sheet'!$E$23="Yes",H84&lt;&gt;""),H84*'Summary Sheet'!$G$23,""))</f>
        <v/>
      </c>
      <c r="M84" s="154"/>
      <c r="N84" s="155">
        <f>SUM('Pay App 1:Pay App 7'!L84)+SUM('Pay App 1:Pay App 7'!M84)</f>
        <v>0</v>
      </c>
    </row>
    <row r="85" spans="1:14" ht="11.25" customHeight="1" x14ac:dyDescent="0.25">
      <c r="A85" s="152">
        <v>29</v>
      </c>
      <c r="B85" s="174" t="str">
        <f>'Pay App 1'!B85</f>
        <v>07 20 00</v>
      </c>
      <c r="C85" s="179" t="str">
        <f>'Pay App 1'!C85</f>
        <v>Insulation</v>
      </c>
      <c r="D85" s="155">
        <f>'Pay App 1'!D85</f>
        <v>0</v>
      </c>
      <c r="E85" s="155">
        <f>VLOOKUP(B85,'Graph Data'!$O$2:$BX$88,9,FALSE)</f>
        <v>0</v>
      </c>
      <c r="F85" s="155">
        <f>IFERROR(E85+'Pay App 6'!F85,"")</f>
        <v>0</v>
      </c>
      <c r="G85" s="155">
        <f>SUM('Pay App 1:Pay App 6'!H85)</f>
        <v>0</v>
      </c>
      <c r="H85" s="154"/>
      <c r="I85" s="155">
        <f t="shared" si="0"/>
        <v>0</v>
      </c>
      <c r="J85" s="156">
        <f t="shared" si="1"/>
        <v>0</v>
      </c>
      <c r="K85" s="155">
        <f t="shared" si="2"/>
        <v>0</v>
      </c>
      <c r="L85" s="155" t="str">
        <f>IF(AND('Summary Sheet'!$E$23="No",$H$33&gt;0,H85&gt;=1),"",IF(AND('Summary Sheet'!$E$23="Yes",H85&lt;&gt;""),H85*'Summary Sheet'!$G$23,""))</f>
        <v/>
      </c>
      <c r="M85" s="154"/>
      <c r="N85" s="155">
        <f>SUM('Pay App 1:Pay App 7'!L85)+SUM('Pay App 1:Pay App 7'!M85)</f>
        <v>0</v>
      </c>
    </row>
    <row r="86" spans="1:14" ht="11.25" customHeight="1" x14ac:dyDescent="0.25">
      <c r="A86" s="152">
        <v>30</v>
      </c>
      <c r="B86" s="174" t="str">
        <f>'Pay App 1'!B86</f>
        <v>07 24 00</v>
      </c>
      <c r="C86" s="179" t="str">
        <f>'Pay App 1'!C86</f>
        <v>EIFS</v>
      </c>
      <c r="D86" s="155">
        <f>'Pay App 1'!D86</f>
        <v>0</v>
      </c>
      <c r="E86" s="155">
        <f>VLOOKUP(B86,'Graph Data'!$O$2:$BX$88,9,FALSE)</f>
        <v>0</v>
      </c>
      <c r="F86" s="155">
        <f>IFERROR(E86+'Pay App 6'!F86,"")</f>
        <v>0</v>
      </c>
      <c r="G86" s="155">
        <f>SUM('Pay App 1:Pay App 6'!H86)</f>
        <v>0</v>
      </c>
      <c r="H86" s="154"/>
      <c r="I86" s="155">
        <f t="shared" si="0"/>
        <v>0</v>
      </c>
      <c r="J86" s="156">
        <f t="shared" si="1"/>
        <v>0</v>
      </c>
      <c r="K86" s="155">
        <f t="shared" si="2"/>
        <v>0</v>
      </c>
      <c r="L86" s="155" t="str">
        <f>IF(AND('Summary Sheet'!$E$23="No",$H$33&gt;0,H86&gt;=1),"",IF(AND('Summary Sheet'!$E$23="Yes",H86&lt;&gt;""),H86*'Summary Sheet'!$G$23,""))</f>
        <v/>
      </c>
      <c r="M86" s="154"/>
      <c r="N86" s="155">
        <f>SUM('Pay App 1:Pay App 7'!L86)+SUM('Pay App 1:Pay App 7'!M86)</f>
        <v>0</v>
      </c>
    </row>
    <row r="87" spans="1:14" ht="11.25" customHeight="1" x14ac:dyDescent="0.25">
      <c r="A87" s="152">
        <v>31</v>
      </c>
      <c r="B87" s="174" t="str">
        <f>'Pay App 1'!B87</f>
        <v>07 26 00</v>
      </c>
      <c r="C87" s="179" t="str">
        <f>'Pay App 1'!C87</f>
        <v>Vapor Retarders</v>
      </c>
      <c r="D87" s="155">
        <f>'Pay App 1'!D87</f>
        <v>0</v>
      </c>
      <c r="E87" s="155">
        <f>VLOOKUP(B87,'Graph Data'!$O$2:$BX$88,9,FALSE)</f>
        <v>0</v>
      </c>
      <c r="F87" s="155">
        <f>IFERROR(E87+'Pay App 6'!F87,"")</f>
        <v>0</v>
      </c>
      <c r="G87" s="155">
        <f>SUM('Pay App 1:Pay App 6'!H87)</f>
        <v>0</v>
      </c>
      <c r="H87" s="154"/>
      <c r="I87" s="155">
        <f t="shared" si="0"/>
        <v>0</v>
      </c>
      <c r="J87" s="156">
        <f t="shared" si="1"/>
        <v>0</v>
      </c>
      <c r="K87" s="155">
        <f t="shared" si="2"/>
        <v>0</v>
      </c>
      <c r="L87" s="155" t="str">
        <f>IF(AND('Summary Sheet'!$E$23="No",$H$33&gt;0,H87&gt;=1),"",IF(AND('Summary Sheet'!$E$23="Yes",H87&lt;&gt;""),H87*'Summary Sheet'!$G$23,""))</f>
        <v/>
      </c>
      <c r="M87" s="154"/>
      <c r="N87" s="155">
        <f>SUM('Pay App 1:Pay App 7'!L87)+SUM('Pay App 1:Pay App 7'!M87)</f>
        <v>0</v>
      </c>
    </row>
    <row r="88" spans="1:14" ht="11.25" customHeight="1" x14ac:dyDescent="0.25">
      <c r="A88" s="152">
        <v>32</v>
      </c>
      <c r="B88" s="174" t="str">
        <f>'Pay App 1'!B88</f>
        <v>07 41 00</v>
      </c>
      <c r="C88" s="179" t="str">
        <f>'Pay App 1'!C88</f>
        <v>Roofing</v>
      </c>
      <c r="D88" s="155">
        <f>'Pay App 1'!D88</f>
        <v>0</v>
      </c>
      <c r="E88" s="155">
        <f>VLOOKUP(B88,'Graph Data'!$O$2:$BX$88,9,FALSE)</f>
        <v>0</v>
      </c>
      <c r="F88" s="155">
        <f>IFERROR(E88+'Pay App 6'!F88,"")</f>
        <v>0</v>
      </c>
      <c r="G88" s="155">
        <f>SUM('Pay App 1:Pay App 6'!H88)</f>
        <v>0</v>
      </c>
      <c r="H88" s="154"/>
      <c r="I88" s="155">
        <f t="shared" si="0"/>
        <v>0</v>
      </c>
      <c r="J88" s="156">
        <f t="shared" si="1"/>
        <v>0</v>
      </c>
      <c r="K88" s="155">
        <f t="shared" si="2"/>
        <v>0</v>
      </c>
      <c r="L88" s="155" t="str">
        <f>IF(AND('Summary Sheet'!$E$23="No",$H$33&gt;0,H88&gt;=1),"",IF(AND('Summary Sheet'!$E$23="Yes",H88&lt;&gt;""),H88*'Summary Sheet'!$G$23,""))</f>
        <v/>
      </c>
      <c r="M88" s="154"/>
      <c r="N88" s="155">
        <f>SUM('Pay App 1:Pay App 7'!L88)+SUM('Pay App 1:Pay App 7'!M88)</f>
        <v>0</v>
      </c>
    </row>
    <row r="89" spans="1:14" ht="11.25" customHeight="1" x14ac:dyDescent="0.25">
      <c r="A89" s="152">
        <v>33</v>
      </c>
      <c r="B89" s="174" t="str">
        <f>'Pay App 1'!B89</f>
        <v>07 42 00</v>
      </c>
      <c r="C89" s="179" t="str">
        <f>'Pay App 1'!C89</f>
        <v>Metal Panels</v>
      </c>
      <c r="D89" s="155">
        <f>'Pay App 1'!D89</f>
        <v>0</v>
      </c>
      <c r="E89" s="155">
        <f>VLOOKUP(B89,'Graph Data'!$O$2:$BX$88,9,FALSE)</f>
        <v>0</v>
      </c>
      <c r="F89" s="155">
        <f>IFERROR(E89+'Pay App 6'!F89,"")</f>
        <v>0</v>
      </c>
      <c r="G89" s="155">
        <f>SUM('Pay App 1:Pay App 6'!H89)</f>
        <v>0</v>
      </c>
      <c r="H89" s="154"/>
      <c r="I89" s="155">
        <f t="shared" si="0"/>
        <v>0</v>
      </c>
      <c r="J89" s="156">
        <f t="shared" si="1"/>
        <v>0</v>
      </c>
      <c r="K89" s="155">
        <f t="shared" si="2"/>
        <v>0</v>
      </c>
      <c r="L89" s="155" t="str">
        <f>IF(AND('Summary Sheet'!$E$23="No",$H$33&gt;0,H89&gt;=1),"",IF(AND('Summary Sheet'!$E$23="Yes",H89&lt;&gt;""),H89*'Summary Sheet'!$G$23,""))</f>
        <v/>
      </c>
      <c r="M89" s="154"/>
      <c r="N89" s="155">
        <f>SUM('Pay App 1:Pay App 7'!L89)+SUM('Pay App 1:Pay App 7'!M89)</f>
        <v>0</v>
      </c>
    </row>
    <row r="90" spans="1:14" ht="11.25" customHeight="1" x14ac:dyDescent="0.25">
      <c r="A90" s="152">
        <v>34</v>
      </c>
      <c r="B90" s="174" t="str">
        <f>'Pay App 1'!B90</f>
        <v>07 60 00</v>
      </c>
      <c r="C90" s="179" t="str">
        <f>'Pay App 1'!C90</f>
        <v>Sheet Metal Flashing &amp; Trim</v>
      </c>
      <c r="D90" s="155">
        <f>'Pay App 1'!D90</f>
        <v>0</v>
      </c>
      <c r="E90" s="155">
        <f>VLOOKUP(B90,'Graph Data'!$O$2:$BX$88,9,FALSE)</f>
        <v>0</v>
      </c>
      <c r="F90" s="155">
        <f>IFERROR(E90+'Pay App 6'!F90,"")</f>
        <v>0</v>
      </c>
      <c r="G90" s="155">
        <f>SUM('Pay App 1:Pay App 6'!H90)</f>
        <v>0</v>
      </c>
      <c r="H90" s="154"/>
      <c r="I90" s="155">
        <f t="shared" si="0"/>
        <v>0</v>
      </c>
      <c r="J90" s="156">
        <f t="shared" si="1"/>
        <v>0</v>
      </c>
      <c r="K90" s="155">
        <f t="shared" si="2"/>
        <v>0</v>
      </c>
      <c r="L90" s="155" t="str">
        <f>IF(AND('Summary Sheet'!$E$23="No",$H$33&gt;0,H90&gt;=1),"",IF(AND('Summary Sheet'!$E$23="Yes",H90&lt;&gt;""),H90*'Summary Sheet'!$G$23,""))</f>
        <v/>
      </c>
      <c r="M90" s="154"/>
      <c r="N90" s="155">
        <f>SUM('Pay App 1:Pay App 7'!L90)+SUM('Pay App 1:Pay App 7'!M90)</f>
        <v>0</v>
      </c>
    </row>
    <row r="91" spans="1:14" ht="11.25" customHeight="1" x14ac:dyDescent="0.25">
      <c r="A91" s="152">
        <v>35</v>
      </c>
      <c r="B91" s="174" t="str">
        <f>'Pay App 1'!B91</f>
        <v>07 80 00</v>
      </c>
      <c r="C91" s="179" t="str">
        <f>'Pay App 1'!C91</f>
        <v>Fireproofing</v>
      </c>
      <c r="D91" s="155">
        <f>'Pay App 1'!D91</f>
        <v>0</v>
      </c>
      <c r="E91" s="155">
        <f>VLOOKUP(B91,'Graph Data'!$O$2:$BX$88,9,FALSE)</f>
        <v>0</v>
      </c>
      <c r="F91" s="155">
        <f>IFERROR(E91+'Pay App 6'!F91,"")</f>
        <v>0</v>
      </c>
      <c r="G91" s="155">
        <f>SUM('Pay App 1:Pay App 6'!H91)</f>
        <v>0</v>
      </c>
      <c r="H91" s="154"/>
      <c r="I91" s="155">
        <f t="shared" si="0"/>
        <v>0</v>
      </c>
      <c r="J91" s="156">
        <f t="shared" si="1"/>
        <v>0</v>
      </c>
      <c r="K91" s="155">
        <f t="shared" si="2"/>
        <v>0</v>
      </c>
      <c r="L91" s="155" t="str">
        <f>IF(AND('Summary Sheet'!$E$23="No",$H$33&gt;0,H91&gt;=1),"",IF(AND('Summary Sheet'!$E$23="Yes",H91&lt;&gt;""),H91*'Summary Sheet'!$G$23,""))</f>
        <v/>
      </c>
      <c r="M91" s="154"/>
      <c r="N91" s="155">
        <f>SUM('Pay App 1:Pay App 7'!L91)+SUM('Pay App 1:Pay App 7'!M91)</f>
        <v>0</v>
      </c>
    </row>
    <row r="92" spans="1:14" ht="11.25" customHeight="1" x14ac:dyDescent="0.25">
      <c r="A92" s="152">
        <v>36</v>
      </c>
      <c r="B92" s="174" t="str">
        <f>'Pay App 1'!B92</f>
        <v>07 90 00</v>
      </c>
      <c r="C92" s="179" t="str">
        <f>'Pay App 1'!C92</f>
        <v>Joint Sealants</v>
      </c>
      <c r="D92" s="155">
        <f>'Pay App 1'!D92</f>
        <v>0</v>
      </c>
      <c r="E92" s="155">
        <f>VLOOKUP(B92,'Graph Data'!$O$2:$BX$88,9,FALSE)</f>
        <v>0</v>
      </c>
      <c r="F92" s="155">
        <f>IFERROR(E92+'Pay App 6'!F92,"")</f>
        <v>0</v>
      </c>
      <c r="G92" s="155">
        <f>SUM('Pay App 1:Pay App 6'!H92)</f>
        <v>0</v>
      </c>
      <c r="H92" s="154"/>
      <c r="I92" s="155">
        <f t="shared" si="0"/>
        <v>0</v>
      </c>
      <c r="J92" s="156">
        <f t="shared" si="1"/>
        <v>0</v>
      </c>
      <c r="K92" s="155">
        <f t="shared" si="2"/>
        <v>0</v>
      </c>
      <c r="L92" s="155" t="str">
        <f>IF(AND('Summary Sheet'!$E$23="No",$H$33&gt;0,H92&gt;=1),"",IF(AND('Summary Sheet'!$E$23="Yes",H92&lt;&gt;""),H92*'Summary Sheet'!$G$23,""))</f>
        <v/>
      </c>
      <c r="M92" s="154"/>
      <c r="N92" s="155">
        <f>SUM('Pay App 1:Pay App 7'!L92)+SUM('Pay App 1:Pay App 7'!M92)</f>
        <v>0</v>
      </c>
    </row>
    <row r="93" spans="1:14" ht="11.25" customHeight="1" x14ac:dyDescent="0.25">
      <c r="A93" s="152">
        <v>37</v>
      </c>
      <c r="B93" s="174" t="str">
        <f>'Pay App 1'!B93</f>
        <v>07 95 00</v>
      </c>
      <c r="C93" s="179" t="str">
        <f>'Pay App 1'!C93</f>
        <v>Expansion Joints</v>
      </c>
      <c r="D93" s="155">
        <f>'Pay App 1'!D93</f>
        <v>0</v>
      </c>
      <c r="E93" s="155">
        <f>VLOOKUP(B93,'Graph Data'!$O$2:$BX$88,9,FALSE)</f>
        <v>0</v>
      </c>
      <c r="F93" s="155">
        <f>IFERROR(E93+'Pay App 6'!F93,"")</f>
        <v>0</v>
      </c>
      <c r="G93" s="155">
        <f>SUM('Pay App 1:Pay App 6'!H93)</f>
        <v>0</v>
      </c>
      <c r="H93" s="154"/>
      <c r="I93" s="155">
        <f t="shared" si="0"/>
        <v>0</v>
      </c>
      <c r="J93" s="156">
        <f t="shared" si="1"/>
        <v>0</v>
      </c>
      <c r="K93" s="155">
        <f t="shared" si="2"/>
        <v>0</v>
      </c>
      <c r="L93" s="155" t="str">
        <f>IF(AND('Summary Sheet'!$E$23="No",$H$33&gt;0,H93&gt;=1),"",IF(AND('Summary Sheet'!$E$23="Yes",H93&lt;&gt;""),H93*'Summary Sheet'!$G$23,""))</f>
        <v/>
      </c>
      <c r="M93" s="154"/>
      <c r="N93" s="155">
        <f>SUM('Pay App 1:Pay App 7'!L93)+SUM('Pay App 1:Pay App 7'!M93)</f>
        <v>0</v>
      </c>
    </row>
    <row r="94" spans="1:14" ht="11.25" customHeight="1" x14ac:dyDescent="0.25">
      <c r="A94" s="152">
        <v>38</v>
      </c>
      <c r="B94" s="175" t="str">
        <f>'Pay App 1'!B94</f>
        <v>08 10 00</v>
      </c>
      <c r="C94" s="180" t="str">
        <f>'Pay App 1'!C94</f>
        <v>Doors, Frames &amp; Hardware</v>
      </c>
      <c r="D94" s="155">
        <f>'Pay App 1'!D94</f>
        <v>0</v>
      </c>
      <c r="E94" s="155">
        <f>VLOOKUP(B94,'Graph Data'!$O$2:$BX$88,9,FALSE)</f>
        <v>0</v>
      </c>
      <c r="F94" s="155">
        <f>IFERROR(E94+'Pay App 6'!F94,"")</f>
        <v>0</v>
      </c>
      <c r="G94" s="155">
        <f>SUM('Pay App 1:Pay App 6'!H94)</f>
        <v>0</v>
      </c>
      <c r="H94" s="154"/>
      <c r="I94" s="155">
        <f t="shared" si="0"/>
        <v>0</v>
      </c>
      <c r="J94" s="156">
        <f t="shared" si="1"/>
        <v>0</v>
      </c>
      <c r="K94" s="155">
        <f t="shared" si="2"/>
        <v>0</v>
      </c>
      <c r="L94" s="155" t="str">
        <f>IF(AND('Summary Sheet'!$E$23="No",$H$33&gt;0,H94&gt;=1),"",IF(AND('Summary Sheet'!$E$23="Yes",H94&lt;&gt;""),H94*'Summary Sheet'!$G$23,""))</f>
        <v/>
      </c>
      <c r="M94" s="154"/>
      <c r="N94" s="155">
        <f>SUM('Pay App 1:Pay App 7'!L94)+SUM('Pay App 1:Pay App 7'!M94)</f>
        <v>0</v>
      </c>
    </row>
    <row r="95" spans="1:14" ht="11.25" customHeight="1" x14ac:dyDescent="0.25">
      <c r="A95" s="152">
        <v>39</v>
      </c>
      <c r="B95" s="175" t="str">
        <f>'Pay App 1'!B95</f>
        <v>08 30 00</v>
      </c>
      <c r="C95" s="180" t="str">
        <f>'Pay App 1'!C95</f>
        <v>Specialty Doors</v>
      </c>
      <c r="D95" s="155">
        <f>'Pay App 1'!D95</f>
        <v>0</v>
      </c>
      <c r="E95" s="155">
        <f>VLOOKUP(B95,'Graph Data'!$O$2:$BX$88,9,FALSE)</f>
        <v>0</v>
      </c>
      <c r="F95" s="155">
        <f>IFERROR(E95+'Pay App 6'!F95,"")</f>
        <v>0</v>
      </c>
      <c r="G95" s="155">
        <f>SUM('Pay App 1:Pay App 6'!H95)</f>
        <v>0</v>
      </c>
      <c r="H95" s="154"/>
      <c r="I95" s="155">
        <f t="shared" si="0"/>
        <v>0</v>
      </c>
      <c r="J95" s="156">
        <f t="shared" si="1"/>
        <v>0</v>
      </c>
      <c r="K95" s="155">
        <f t="shared" si="2"/>
        <v>0</v>
      </c>
      <c r="L95" s="155" t="str">
        <f>IF(AND('Summary Sheet'!$E$23="No",$H$33&gt;0,H95&gt;=1),"",IF(AND('Summary Sheet'!$E$23="Yes",H95&lt;&gt;""),H95*'Summary Sheet'!$G$23,""))</f>
        <v/>
      </c>
      <c r="M95" s="154"/>
      <c r="N95" s="155">
        <f>SUM('Pay App 1:Pay App 7'!L95)+SUM('Pay App 1:Pay App 7'!M95)</f>
        <v>0</v>
      </c>
    </row>
    <row r="96" spans="1:14" ht="11.25" customHeight="1" x14ac:dyDescent="0.25">
      <c r="A96" s="152">
        <v>40</v>
      </c>
      <c r="B96" s="175" t="str">
        <f>'Pay App 1'!B96</f>
        <v>08 33 00</v>
      </c>
      <c r="C96" s="180" t="str">
        <f>'Pay App 1'!C96</f>
        <v>Overhead Doors/Coiling Doors</v>
      </c>
      <c r="D96" s="155">
        <f>'Pay App 1'!D96</f>
        <v>0</v>
      </c>
      <c r="E96" s="155">
        <f>VLOOKUP(B96,'Graph Data'!$O$2:$BX$88,9,FALSE)</f>
        <v>0</v>
      </c>
      <c r="F96" s="155">
        <f>IFERROR(E96+'Pay App 6'!F96,"")</f>
        <v>0</v>
      </c>
      <c r="G96" s="155">
        <f>SUM('Pay App 1:Pay App 6'!H96)</f>
        <v>0</v>
      </c>
      <c r="H96" s="154"/>
      <c r="I96" s="155">
        <f t="shared" si="0"/>
        <v>0</v>
      </c>
      <c r="J96" s="156">
        <f t="shared" si="1"/>
        <v>0</v>
      </c>
      <c r="K96" s="155">
        <f t="shared" si="2"/>
        <v>0</v>
      </c>
      <c r="L96" s="155" t="str">
        <f>IF(AND('Summary Sheet'!$E$23="No",$H$33&gt;0,H96&gt;=1),"",IF(AND('Summary Sheet'!$E$23="Yes",H96&lt;&gt;""),H96*'Summary Sheet'!$G$23,""))</f>
        <v/>
      </c>
      <c r="M96" s="154"/>
      <c r="N96" s="155">
        <f>SUM('Pay App 1:Pay App 7'!L96)+SUM('Pay App 1:Pay App 7'!M96)</f>
        <v>0</v>
      </c>
    </row>
    <row r="97" spans="1:15" ht="11.25" customHeight="1" x14ac:dyDescent="0.25">
      <c r="A97" s="152">
        <v>41</v>
      </c>
      <c r="B97" s="175" t="str">
        <f>'Pay App 1'!B97</f>
        <v>08 40 00</v>
      </c>
      <c r="C97" s="180" t="str">
        <f>'Pay App 1'!C97</f>
        <v>Curtain Wall, Glass &amp; Glazing</v>
      </c>
      <c r="D97" s="155">
        <f>'Pay App 1'!D97</f>
        <v>0</v>
      </c>
      <c r="E97" s="155">
        <f>VLOOKUP(B97,'Graph Data'!$O$2:$BX$88,9,FALSE)</f>
        <v>0</v>
      </c>
      <c r="F97" s="155">
        <f>IFERROR(E97+'Pay App 6'!F97,"")</f>
        <v>0</v>
      </c>
      <c r="G97" s="155">
        <f>SUM('Pay App 1:Pay App 6'!H97)</f>
        <v>0</v>
      </c>
      <c r="H97" s="154"/>
      <c r="I97" s="155">
        <f t="shared" si="0"/>
        <v>0</v>
      </c>
      <c r="J97" s="156">
        <f t="shared" si="1"/>
        <v>0</v>
      </c>
      <c r="K97" s="155">
        <f t="shared" si="2"/>
        <v>0</v>
      </c>
      <c r="L97" s="155" t="str">
        <f>IF(AND('Summary Sheet'!$E$23="No",$H$33&gt;0,H97&gt;=1),"",IF(AND('Summary Sheet'!$E$23="Yes",H97&lt;&gt;""),H97*'Summary Sheet'!$G$23,""))</f>
        <v/>
      </c>
      <c r="M97" s="154"/>
      <c r="N97" s="155">
        <f>SUM('Pay App 1:Pay App 7'!L97)+SUM('Pay App 1:Pay App 7'!M97)</f>
        <v>0</v>
      </c>
    </row>
    <row r="98" spans="1:15" ht="10.9" customHeight="1" x14ac:dyDescent="0.25">
      <c r="A98" s="152">
        <v>42</v>
      </c>
      <c r="B98" s="175" t="str">
        <f>'Pay App 1'!B98</f>
        <v>08 60 00</v>
      </c>
      <c r="C98" s="180" t="str">
        <f>'Pay App 1'!C98</f>
        <v>Skylights</v>
      </c>
      <c r="D98" s="155">
        <f>'Pay App 1'!D98</f>
        <v>0</v>
      </c>
      <c r="E98" s="155">
        <f>VLOOKUP(B98,'Graph Data'!$O$2:$BX$88,9,FALSE)</f>
        <v>0</v>
      </c>
      <c r="F98" s="155">
        <f>IFERROR(E98+'Pay App 6'!F98,"")</f>
        <v>0</v>
      </c>
      <c r="G98" s="155">
        <f>SUM('Pay App 1:Pay App 6'!H98)</f>
        <v>0</v>
      </c>
      <c r="H98" s="154"/>
      <c r="I98" s="155">
        <f t="shared" si="0"/>
        <v>0</v>
      </c>
      <c r="J98" s="156">
        <f t="shared" si="1"/>
        <v>0</v>
      </c>
      <c r="K98" s="155">
        <f t="shared" si="2"/>
        <v>0</v>
      </c>
      <c r="L98" s="155" t="str">
        <f>IF(AND('Summary Sheet'!$E$23="No",$H$33&gt;0,H98&gt;=1),"",IF(AND('Summary Sheet'!$E$23="Yes",H98&lt;&gt;""),H98*'Summary Sheet'!$G$23,""))</f>
        <v/>
      </c>
      <c r="M98" s="154"/>
      <c r="N98" s="155">
        <f>SUM('Pay App 1:Pay App 7'!L98)+SUM('Pay App 1:Pay App 7'!M98)</f>
        <v>0</v>
      </c>
    </row>
    <row r="99" spans="1:15" ht="10.9" customHeight="1" x14ac:dyDescent="0.25">
      <c r="A99" s="152">
        <v>43</v>
      </c>
      <c r="B99" s="175" t="str">
        <f>'Pay App 1'!B99</f>
        <v>08 90 00</v>
      </c>
      <c r="C99" s="180" t="str">
        <f>'Pay App 1'!C99</f>
        <v>Louvers &amp; Vents</v>
      </c>
      <c r="D99" s="155">
        <f>'Pay App 1'!D99</f>
        <v>0</v>
      </c>
      <c r="E99" s="155">
        <f>VLOOKUP(B99,'Graph Data'!$O$2:$BX$88,9,FALSE)</f>
        <v>0</v>
      </c>
      <c r="F99" s="155">
        <f>IFERROR(E99+'Pay App 6'!F99,"")</f>
        <v>0</v>
      </c>
      <c r="G99" s="155">
        <f>SUM('Pay App 1:Pay App 6'!H99)</f>
        <v>0</v>
      </c>
      <c r="H99" s="154"/>
      <c r="I99" s="155">
        <f t="shared" si="0"/>
        <v>0</v>
      </c>
      <c r="J99" s="156">
        <f t="shared" si="1"/>
        <v>0</v>
      </c>
      <c r="K99" s="155">
        <f t="shared" si="2"/>
        <v>0</v>
      </c>
      <c r="L99" s="155" t="str">
        <f>IF(AND('Summary Sheet'!$E$23="No",$H$33&gt;0,H99&gt;=1),"",IF(AND('Summary Sheet'!$E$23="Yes",H99&lt;&gt;""),H99*'Summary Sheet'!$G$23,""))</f>
        <v/>
      </c>
      <c r="M99" s="154"/>
      <c r="N99" s="155">
        <f>SUM('Pay App 1:Pay App 7'!L99)+SUM('Pay App 1:Pay App 7'!M99)</f>
        <v>0</v>
      </c>
    </row>
    <row r="100" spans="1:15" ht="11.25" customHeight="1" x14ac:dyDescent="0.25">
      <c r="A100" s="153">
        <v>44</v>
      </c>
      <c r="B100" s="176" t="str">
        <f>'Pay App 1'!B100</f>
        <v>09 20 00</v>
      </c>
      <c r="C100" s="181" t="str">
        <f>'Pay App 1'!C100</f>
        <v>Gypsum Board Systems</v>
      </c>
      <c r="D100" s="155">
        <f>'Pay App 1'!D100</f>
        <v>0</v>
      </c>
      <c r="E100" s="155">
        <f>VLOOKUP(B100,'Graph Data'!$O$2:$BX$88,9,FALSE)</f>
        <v>0</v>
      </c>
      <c r="F100" s="155">
        <f>IFERROR(E100+'Pay App 6'!F100,"")</f>
        <v>0</v>
      </c>
      <c r="G100" s="155">
        <f>SUM('Pay App 1:Pay App 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7'!L100)+SUM('Pay App 1:Pay App 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7.2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Data'!$O$2:$BX$88,9,FALSE)</f>
        <v>0</v>
      </c>
      <c r="F106" s="155">
        <f>IFERROR(E106+'Pay App 6'!F106,"")</f>
        <v>0</v>
      </c>
      <c r="G106" s="155">
        <f>SUM('Pay App 1:Pay App 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7'!L106)+SUM('Pay App 1:Pay App 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Data'!$O$2:$BX$88,9,FALSE)</f>
        <v>0</v>
      </c>
      <c r="F107" s="155">
        <f>IFERROR(E107+'Pay App 6'!F107,"")</f>
        <v>0</v>
      </c>
      <c r="G107" s="155">
        <f>SUM('Pay App 1:Pay App 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7'!L107)+SUM('Pay App 1:Pay App 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Data'!$O$2:$BX$88,9,FALSE)</f>
        <v>0</v>
      </c>
      <c r="F108" s="155">
        <f>IFERROR(E108+'Pay App 6'!F108,"")</f>
        <v>0</v>
      </c>
      <c r="G108" s="155">
        <f>SUM('Pay App 1:Pay App 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7'!L108)+SUM('Pay App 1:Pay App 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Data'!$O$2:$BX$88,9,FALSE)</f>
        <v>0</v>
      </c>
      <c r="F109" s="155">
        <f>IFERROR(E109+'Pay App 6'!F109,"")</f>
        <v>0</v>
      </c>
      <c r="G109" s="155">
        <f>SUM('Pay App 1:Pay App 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7'!L109)+SUM('Pay App 1:Pay App 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Data'!$O$2:$BX$88,9,FALSE)</f>
        <v>0</v>
      </c>
      <c r="F110" s="155">
        <f>IFERROR(E110+'Pay App 6'!F110,"")</f>
        <v>0</v>
      </c>
      <c r="G110" s="155">
        <f>SUM('Pay App 1:Pay App 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7'!L110)+SUM('Pay App 1:Pay App 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Data'!$O$2:$BX$88,9,FALSE)</f>
        <v>0</v>
      </c>
      <c r="F111" s="155">
        <f>IFERROR(E111+'Pay App 6'!F111,"")</f>
        <v>0</v>
      </c>
      <c r="G111" s="155">
        <f>SUM('Pay App 1:Pay App 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7'!L111)+SUM('Pay App 1:Pay App 7'!M111)</f>
        <v>0</v>
      </c>
    </row>
    <row r="112" spans="1:15" ht="11.25" customHeight="1" x14ac:dyDescent="0.25">
      <c r="A112" s="152">
        <f t="shared" si="3"/>
        <v>51</v>
      </c>
      <c r="B112" s="148" t="str">
        <f>'Pay App 1'!B112</f>
        <v>09 90 00</v>
      </c>
      <c r="C112" s="143" t="str">
        <f>'Pay App 1'!C112</f>
        <v>Painting</v>
      </c>
      <c r="D112" s="155">
        <f>'Pay App 1'!D112</f>
        <v>0</v>
      </c>
      <c r="E112" s="155">
        <f>VLOOKUP(B112,'Graph Data'!$O$2:$BX$88,9,FALSE)</f>
        <v>0</v>
      </c>
      <c r="F112" s="155">
        <f>IFERROR(E112+'Pay App 6'!F112,"")</f>
        <v>0</v>
      </c>
      <c r="G112" s="155">
        <f>SUM('Pay App 1:Pay App 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7'!L112)+SUM('Pay App 1:Pay App 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Data'!$O$2:$BX$88,9,FALSE)</f>
        <v>0</v>
      </c>
      <c r="F113" s="155">
        <f>IFERROR(E113+'Pay App 6'!F113,"")</f>
        <v>0</v>
      </c>
      <c r="G113" s="155">
        <f>SUM('Pay App 1:Pay App 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7'!L113)+SUM('Pay App 1:Pay App 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Data'!$O$2:$BX$88,9,FALSE)</f>
        <v>0</v>
      </c>
      <c r="F114" s="155">
        <f>IFERROR(E114+'Pay App 6'!F114,"")</f>
        <v>0</v>
      </c>
      <c r="G114" s="155">
        <f>SUM('Pay App 1:Pay App 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7'!L114)+SUM('Pay App 1:Pay App 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Data'!$O$2:$BX$88,9,FALSE)</f>
        <v>0</v>
      </c>
      <c r="F115" s="155">
        <f>IFERROR(E115+'Pay App 6'!F115,"")</f>
        <v>0</v>
      </c>
      <c r="G115" s="155">
        <f>SUM('Pay App 1:Pay App 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7'!L115)+SUM('Pay App 1:Pay App 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Data'!$O$2:$BX$88,9,FALSE)</f>
        <v>0</v>
      </c>
      <c r="F116" s="155">
        <f>IFERROR(E116+'Pay App 6'!F116,"")</f>
        <v>0</v>
      </c>
      <c r="G116" s="155">
        <f>SUM('Pay App 1:Pay App 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7'!L116)+SUM('Pay App 1:Pay App 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Data'!$O$2:$BX$88,9,FALSE)</f>
        <v>0</v>
      </c>
      <c r="F117" s="155">
        <f>IFERROR(E117+'Pay App 6'!F117,"")</f>
        <v>0</v>
      </c>
      <c r="G117" s="155">
        <f>SUM('Pay App 1:Pay App 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7'!L117)+SUM('Pay App 1:Pay App 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Data'!$O$2:$BX$88,9,FALSE)</f>
        <v>0</v>
      </c>
      <c r="F118" s="155">
        <f>IFERROR(E118+'Pay App 6'!F118,"")</f>
        <v>0</v>
      </c>
      <c r="G118" s="155">
        <f>SUM('Pay App 1:Pay App 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7'!L118)+SUM('Pay App 1:Pay App 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Data'!$O$2:$BX$88,9,FALSE)</f>
        <v>0</v>
      </c>
      <c r="F119" s="155">
        <f>IFERROR(E119+'Pay App 6'!F119,"")</f>
        <v>0</v>
      </c>
      <c r="G119" s="155">
        <f>SUM('Pay App 1:Pay App 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7'!L119)+SUM('Pay App 1:Pay App 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Data'!$O$2:$BX$88,9,FALSE)</f>
        <v>0</v>
      </c>
      <c r="F120" s="155">
        <f>IFERROR(E120+'Pay App 6'!F120,"")</f>
        <v>0</v>
      </c>
      <c r="G120" s="155">
        <f>SUM('Pay App 1:Pay App 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7'!L120)+SUM('Pay App 1:Pay App 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Data'!$O$2:$BX$88,9,FALSE)</f>
        <v>0</v>
      </c>
      <c r="F121" s="155">
        <f>IFERROR(E121+'Pay App 6'!F121,"")</f>
        <v>0</v>
      </c>
      <c r="G121" s="155">
        <f>SUM('Pay App 1:Pay App 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7'!L121)+SUM('Pay App 1:Pay App 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Data'!$O$2:$BX$88,9,FALSE)</f>
        <v>0</v>
      </c>
      <c r="F122" s="155">
        <f>IFERROR(E122+'Pay App 6'!F122,"")</f>
        <v>0</v>
      </c>
      <c r="G122" s="155">
        <f>SUM('Pay App 1:Pay App 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7'!L122)+SUM('Pay App 1:Pay App 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Data'!$O$2:$BX$88,9,FALSE)</f>
        <v>0</v>
      </c>
      <c r="F123" s="155">
        <f>IFERROR(E123+'Pay App 6'!F123,"")</f>
        <v>0</v>
      </c>
      <c r="G123" s="155">
        <f>SUM('Pay App 1:Pay App 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7'!L123)+SUM('Pay App 1:Pay App 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Data'!$O$2:$BX$88,9,FALSE)</f>
        <v>0</v>
      </c>
      <c r="F124" s="155">
        <f>IFERROR(E124+'Pay App 6'!F124,"")</f>
        <v>0</v>
      </c>
      <c r="G124" s="155">
        <f>SUM('Pay App 1:Pay App 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7'!L124)+SUM('Pay App 1:Pay App 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Data'!$O$2:$BX$88,9,FALSE)</f>
        <v>0</v>
      </c>
      <c r="F125" s="155">
        <f>IFERROR(E125+'Pay App 6'!F125,"")</f>
        <v>0</v>
      </c>
      <c r="G125" s="155">
        <f>SUM('Pay App 1:Pay App 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7'!L125)+SUM('Pay App 1:Pay App 7'!M125)</f>
        <v>0</v>
      </c>
    </row>
    <row r="126" spans="1:14" ht="11.25" customHeight="1" x14ac:dyDescent="0.25">
      <c r="A126" s="152">
        <f t="shared" si="3"/>
        <v>65</v>
      </c>
      <c r="B126" s="188" t="str">
        <f>'Pay App 1'!B126</f>
        <v>14 20 00</v>
      </c>
      <c r="C126" s="194" t="str">
        <f>'Pay App 1'!C126</f>
        <v>Elevator</v>
      </c>
      <c r="D126" s="155">
        <f>'Pay App 1'!D126</f>
        <v>0</v>
      </c>
      <c r="E126" s="155">
        <f>VLOOKUP(B126,'Graph Data'!$O$2:$BX$88,9,FALSE)</f>
        <v>0</v>
      </c>
      <c r="F126" s="155">
        <f>IFERROR(E126+'Pay App 6'!F126,"")</f>
        <v>0</v>
      </c>
      <c r="G126" s="155">
        <f>SUM('Pay App 1:Pay App 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7'!L126)+SUM('Pay App 1:Pay App 7'!M126)</f>
        <v>0</v>
      </c>
    </row>
    <row r="127" spans="1:14" ht="11.25" customHeight="1" x14ac:dyDescent="0.25">
      <c r="A127" s="152">
        <f t="shared" si="3"/>
        <v>66</v>
      </c>
      <c r="B127" s="188" t="str">
        <f>'Pay App 1'!B127</f>
        <v>14 40 00</v>
      </c>
      <c r="C127" s="194" t="str">
        <f>'Pay App 1'!C127</f>
        <v>Lifts</v>
      </c>
      <c r="D127" s="155">
        <f>'Pay App 1'!D127</f>
        <v>0</v>
      </c>
      <c r="E127" s="155">
        <f>VLOOKUP(B127,'Graph Data'!$O$2:$BX$88,9,FALSE)</f>
        <v>0</v>
      </c>
      <c r="F127" s="155">
        <f>IFERROR(E127+'Pay App 6'!F127,"")</f>
        <v>0</v>
      </c>
      <c r="G127" s="155">
        <f>SUM('Pay App 1:Pay App 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7'!L127)+SUM('Pay App 1:Pay App 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Data'!$O$2:$BX$88,9,FALSE)</f>
        <v>0</v>
      </c>
      <c r="F128" s="155">
        <f>IFERROR(E128+'Pay App 6'!F128,"")</f>
        <v>0</v>
      </c>
      <c r="G128" s="155">
        <f>SUM('Pay App 1:Pay App 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7'!L128)+SUM('Pay App 1:Pay App 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Data'!$O$2:$BX$88,9,FALSE)</f>
        <v>0</v>
      </c>
      <c r="F129" s="155">
        <f>IFERROR(E129+'Pay App 6'!F129,"")</f>
        <v>0</v>
      </c>
      <c r="G129" s="155">
        <f>SUM('Pay App 1:Pay App 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7'!L129)+SUM('Pay App 1:Pay App 7'!M129)</f>
        <v>0</v>
      </c>
    </row>
    <row r="130" spans="1:14" ht="11.25" customHeight="1" x14ac:dyDescent="0.25">
      <c r="A130" s="152">
        <f t="shared" si="3"/>
        <v>69</v>
      </c>
      <c r="B130" s="185" t="str">
        <f>'Pay App 1'!B130</f>
        <v>22 00 00</v>
      </c>
      <c r="C130" s="191" t="str">
        <f>'Pay App 1'!C130</f>
        <v>Plumbing</v>
      </c>
      <c r="D130" s="155">
        <f>'Pay App 1'!D130</f>
        <v>0</v>
      </c>
      <c r="E130" s="155">
        <f>VLOOKUP(B130,'Graph Data'!$O$2:$BX$88,9,FALSE)</f>
        <v>0</v>
      </c>
      <c r="F130" s="155">
        <f>IFERROR(E130+'Pay App 6'!F130,"")</f>
        <v>0</v>
      </c>
      <c r="G130" s="155">
        <f>SUM('Pay App 1:Pay App 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7'!L130)+SUM('Pay App 1:Pay App 7'!M130)</f>
        <v>0</v>
      </c>
    </row>
    <row r="131" spans="1:14" ht="11.25" customHeight="1" x14ac:dyDescent="0.25">
      <c r="A131" s="152">
        <f t="shared" si="3"/>
        <v>70</v>
      </c>
      <c r="B131" s="186" t="str">
        <f>'Pay App 1'!B131</f>
        <v>23 00 00</v>
      </c>
      <c r="C131" s="192" t="str">
        <f>'Pay App 1'!C131</f>
        <v>HVAC</v>
      </c>
      <c r="D131" s="155">
        <f>'Pay App 1'!D131</f>
        <v>0</v>
      </c>
      <c r="E131" s="155">
        <f>VLOOKUP(B131,'Graph Data'!$O$2:$BX$88,9,FALSE)</f>
        <v>0</v>
      </c>
      <c r="F131" s="155">
        <f>IFERROR(E131+'Pay App 6'!F131,"")</f>
        <v>0</v>
      </c>
      <c r="G131" s="155">
        <f>SUM('Pay App 1:Pay App 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7'!L131)+SUM('Pay App 1:Pay App 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Data'!$O$2:$BX$88,9,FALSE)</f>
        <v>0</v>
      </c>
      <c r="F132" s="155">
        <f>IFERROR(E132+'Pay App 6'!F132,"")</f>
        <v>0</v>
      </c>
      <c r="G132" s="155">
        <f>SUM('Pay App 1:Pay App 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7'!L132)+SUM('Pay App 1:Pay App 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Data'!$O$2:$BX$88,9,FALSE)</f>
        <v>0</v>
      </c>
      <c r="F133" s="155">
        <f>IFERROR(E133+'Pay App 6'!F133,"")</f>
        <v>0</v>
      </c>
      <c r="G133" s="155">
        <f>SUM('Pay App 1:Pay App 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7'!L133)+SUM('Pay App 1:Pay App 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Data'!$O$2:$BX$88,9,FALSE)</f>
        <v>0</v>
      </c>
      <c r="F134" s="155">
        <f>IFERROR(E134+'Pay App 6'!F134,"")</f>
        <v>0</v>
      </c>
      <c r="G134" s="155">
        <f>SUM('Pay App 1:Pay App 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7'!L134)+SUM('Pay App 1:Pay App 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Data'!$O$2:$BX$88,9,FALSE)</f>
        <v>0</v>
      </c>
      <c r="F135" s="155">
        <f>IFERROR(E135+'Pay App 6'!F135,"")</f>
        <v>0</v>
      </c>
      <c r="G135" s="155">
        <f>SUM('Pay App 1:Pay App 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7'!L135)+SUM('Pay App 1:Pay App 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Data'!$O$2:$BX$88,9,FALSE)</f>
        <v>0</v>
      </c>
      <c r="F136" s="155">
        <f>IFERROR(E136+'Pay App 6'!F136,"")</f>
        <v>0</v>
      </c>
      <c r="G136" s="155">
        <f>SUM('Pay App 1:Pay App 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7'!L136)+SUM('Pay App 1:Pay App 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Data'!$O$2:$BX$88,9,FALSE)</f>
        <v>0</v>
      </c>
      <c r="F137" s="155">
        <f>IFERROR(E137+'Pay App 6'!F137,"")</f>
        <v>0</v>
      </c>
      <c r="G137" s="155">
        <f>SUM('Pay App 1:Pay App 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7'!L137)+SUM('Pay App 1:Pay App 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Data'!$O$2:$BX$88,9,FALSE)</f>
        <v>0</v>
      </c>
      <c r="F138" s="155">
        <f>IFERROR(E138+'Pay App 6'!F138,"")</f>
        <v>0</v>
      </c>
      <c r="G138" s="155">
        <f>SUM('Pay App 1:Pay App 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7'!L138)+SUM('Pay App 1:Pay App 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Data'!$O$2:$BX$88,9,FALSE)</f>
        <v>0</v>
      </c>
      <c r="F139" s="155">
        <f>IFERROR(E139+'Pay App 6'!F139,"")</f>
        <v>0</v>
      </c>
      <c r="G139" s="155">
        <f>SUM('Pay App 1:Pay App 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7'!L139)+SUM('Pay App 1:Pay App 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Data'!$O$2:$BX$88,9,FALSE)</f>
        <v>0</v>
      </c>
      <c r="F140" s="155">
        <f>IFERROR(E140+'Pay App 6'!F140,"")</f>
        <v>0</v>
      </c>
      <c r="G140" s="155">
        <f>SUM('Pay App 1:Pay App 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7'!L140)+SUM('Pay App 1:Pay App 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Data'!$O$2:$BX$88,9,FALSE)</f>
        <v>0</v>
      </c>
      <c r="F141" s="155">
        <f>IFERROR(E141+'Pay App 6'!F141,"")</f>
        <v>0</v>
      </c>
      <c r="G141" s="155">
        <f>SUM('Pay App 1:Pay App 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7'!L141)+SUM('Pay App 1:Pay App 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Data'!$O$2:$BX$88,9,FALSE)</f>
        <v>0</v>
      </c>
      <c r="F142" s="155">
        <f>IFERROR(E142+'Pay App 6'!F142,"")</f>
        <v>0</v>
      </c>
      <c r="G142" s="155">
        <f>SUM('Pay App 1:Pay App 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7'!L142)+SUM('Pay App 1:Pay App 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Data'!$O$2:$BX$88,9,FALSE)</f>
        <v>0</v>
      </c>
      <c r="F143" s="155">
        <f>IFERROR(E143+'Pay App 6'!F143,"")</f>
        <v>0</v>
      </c>
      <c r="G143" s="155">
        <f>SUM('Pay App 1:Pay App 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7'!L143)+SUM('Pay App 1:Pay App 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Data'!$O$2:$BX$88,9,FALSE)</f>
        <v>0</v>
      </c>
      <c r="F144" s="155">
        <f>IFERROR(E144+'Pay App 6'!F144,"")</f>
        <v>0</v>
      </c>
      <c r="G144" s="155">
        <f>SUM('Pay App 1:Pay App 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7'!L144)+SUM('Pay App 1:Pay App 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Data'!$O$2:$BX$88,9,FALSE)</f>
        <v>0</v>
      </c>
      <c r="F145" s="155">
        <f>IFERROR(E145+'Pay App 6'!F145,"")</f>
        <v>0</v>
      </c>
      <c r="G145" s="155">
        <f>SUM('Pay App 1:Pay App 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7'!L145)+SUM('Pay App 1:Pay App 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Data'!$O$2:$BX$88,9,FALSE)</f>
        <v>0</v>
      </c>
      <c r="F146" s="155">
        <f>IFERROR(E146+'Pay App 6'!F146,"")</f>
        <v>0</v>
      </c>
      <c r="G146" s="155">
        <f>SUM('Pay App 1:Pay App 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7'!L146)+SUM('Pay App 1:Pay App 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Data'!$O$2:$BX$88,9,FALSE)</f>
        <v>0</v>
      </c>
      <c r="F147" s="155">
        <f>IFERROR(E147+'Pay App 6'!F147,"")</f>
        <v>0</v>
      </c>
      <c r="G147" s="155">
        <f>SUM('Pay App 1:Pay App 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7'!L147)+SUM('Pay App 1:Pay App 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Data'!$O$2:$BX$88,9,FALSE)</f>
        <v>0</v>
      </c>
      <c r="F148" s="155">
        <f>IFERROR(E148+'Pay App 6'!F148,"")</f>
        <v>0</v>
      </c>
      <c r="G148" s="155">
        <f>SUM('Pay App 1:Pay App 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7'!L148)+SUM('Pay App 1:Pay App 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JPqjLXwvINUP0WEkQif+Njo/ZRNPfQi283RyZAyLtxaIJUnbUpQLV6cqbJXLnIzNB1fIZA4V312zbq93O9EFLg==" saltValue="/YAOGvUlg+arKlfw8YnAd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93" priority="2" operator="equal">
      <formula>0</formula>
    </cfRule>
  </conditionalFormatting>
  <conditionalFormatting sqref="D106:G148">
    <cfRule type="cellIs" dxfId="592" priority="1" operator="equal">
      <formula>0</formula>
    </cfRule>
  </conditionalFormatting>
  <conditionalFormatting sqref="D10:H10 D12:H14 D19:H21">
    <cfRule type="cellIs" dxfId="591" priority="6" operator="equal">
      <formula>0</formula>
    </cfRule>
  </conditionalFormatting>
  <conditionalFormatting sqref="H51">
    <cfRule type="cellIs" dxfId="590" priority="9" operator="lessThan">
      <formula>0</formula>
    </cfRule>
  </conditionalFormatting>
  <conditionalFormatting sqref="I57:I100 K57:K100 I106:I148 K106:K148 N106:N148">
    <cfRule type="cellIs" dxfId="589" priority="14" operator="equal">
      <formula>0</formula>
    </cfRule>
  </conditionalFormatting>
  <conditionalFormatting sqref="J57:J100 J106:J149">
    <cfRule type="cellIs" dxfId="588" priority="11" operator="greaterThan">
      <formula>1</formula>
    </cfRule>
    <cfRule type="cellIs" dxfId="587" priority="12" operator="equal">
      <formula>0</formula>
    </cfRule>
  </conditionalFormatting>
  <conditionalFormatting sqref="K57:K100 K106:K148">
    <cfRule type="cellIs" dxfId="586" priority="10" operator="lessThan">
      <formula>0</formula>
    </cfRule>
  </conditionalFormatting>
  <conditionalFormatting sqref="M57:M100">
    <cfRule type="cellIs" dxfId="585" priority="13" operator="lessThan">
      <formula>0</formula>
    </cfRule>
  </conditionalFormatting>
  <conditionalFormatting sqref="M106:M148">
    <cfRule type="cellIs" dxfId="584" priority="8" operator="lessThan">
      <formula>0</formula>
    </cfRule>
  </conditionalFormatting>
  <conditionalFormatting sqref="N57:N100">
    <cfRule type="cellIs" dxfId="58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366D038-E67C-4DDB-ADFF-A95822B6A558}">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60CE0-DD69-4351-9817-681C2BE08A41}">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8.1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Data'!$O$2:$BX$88,10,FALSE)</f>
        <v>0</v>
      </c>
      <c r="F57" s="155">
        <f>IFERROR(E57+'Pay App 7'!F57,"")</f>
        <v>0</v>
      </c>
      <c r="G57" s="155">
        <f>SUM('Pay App 1:Pay App 7'!H57)</f>
        <v>0</v>
      </c>
      <c r="H57" s="154"/>
      <c r="I57" s="155">
        <f>G57+H57</f>
        <v>0</v>
      </c>
      <c r="J57" s="156">
        <f>IFERROR(I57/F57,0)</f>
        <v>0</v>
      </c>
      <c r="K57" s="155">
        <f>IFERROR(F57-I57,"")</f>
        <v>0</v>
      </c>
      <c r="L57" s="155" t="str">
        <f>IF(AND('Summary Sheet'!$E$23="No",$H$33&gt;0,H57&gt;=1),"",IF(AND('Summary Sheet'!$E$23="Yes",H57&lt;&gt;""),H57*'Summary Sheet'!$G$23,""))</f>
        <v/>
      </c>
      <c r="M57" s="154"/>
      <c r="N57" s="155">
        <f>SUM('Pay App 1:Pay App 8'!L57)+SUM('Pay App 1:Pay App 8'!M57)</f>
        <v>0</v>
      </c>
    </row>
    <row r="58" spans="1:16" ht="11.25" customHeight="1" x14ac:dyDescent="0.25">
      <c r="A58" s="152">
        <v>2</v>
      </c>
      <c r="B58" s="145" t="str">
        <f>'Pay App 1'!B58</f>
        <v>00 02 00</v>
      </c>
      <c r="C58" s="134" t="str">
        <f>'Pay App 1'!C58</f>
        <v>Preconstruction Services</v>
      </c>
      <c r="D58" s="155">
        <f>'Pay App 1'!D58</f>
        <v>0</v>
      </c>
      <c r="E58" s="155">
        <f>VLOOKUP(B58,'Graph Data'!$O$2:$BX$88,10,FALSE)</f>
        <v>0</v>
      </c>
      <c r="F58" s="155">
        <f>IFERROR(E58+'Pay App 7'!F58,"")</f>
        <v>0</v>
      </c>
      <c r="G58" s="155">
        <f>SUM('Pay App 1:Pay App 7'!H58)</f>
        <v>0</v>
      </c>
      <c r="H58" s="154"/>
      <c r="I58" s="155">
        <f>G58+H58</f>
        <v>0</v>
      </c>
      <c r="J58" s="156">
        <f>IFERROR(I58/F58,0)</f>
        <v>0</v>
      </c>
      <c r="K58" s="155">
        <f>IFERROR(F58-I58,"")</f>
        <v>0</v>
      </c>
      <c r="L58" s="155" t="str">
        <f>IF(AND('Summary Sheet'!$E$23="No",$H$33&gt;0,H58&gt;=1),"",IF(AND('Summary Sheet'!$E$23="Yes",H58&lt;&gt;""),H58*'Summary Sheet'!$G$23,""))</f>
        <v/>
      </c>
      <c r="M58" s="154"/>
      <c r="N58" s="155">
        <f>SUM('Pay App 1:Pay App 8'!L58)+SUM('Pay App 1:Pay App 8'!M58)</f>
        <v>0</v>
      </c>
    </row>
    <row r="59" spans="1:16" ht="11.25" customHeight="1" x14ac:dyDescent="0.25">
      <c r="A59" s="152">
        <v>3</v>
      </c>
      <c r="B59" s="174" t="str">
        <f>'Pay App 1'!B59</f>
        <v>01 00 00</v>
      </c>
      <c r="C59" s="179" t="str">
        <f>'Pay App 1'!C59</f>
        <v>General Conditions/Requirements</v>
      </c>
      <c r="D59" s="155">
        <f>'Pay App 1'!D59</f>
        <v>0</v>
      </c>
      <c r="E59" s="155">
        <f>VLOOKUP(B59,'Graph Data'!$O$2:$BX$88,10,FALSE)</f>
        <v>0</v>
      </c>
      <c r="F59" s="155">
        <f>IFERROR(E59+'Pay App 7'!F59,"")</f>
        <v>0</v>
      </c>
      <c r="G59" s="155">
        <f>SUM('Pay App 1:Pay App 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8'!L59)+SUM('Pay App 1:Pay App 8'!M59)</f>
        <v>0</v>
      </c>
    </row>
    <row r="60" spans="1:16" ht="11.25" customHeight="1" x14ac:dyDescent="0.25">
      <c r="A60" s="152">
        <v>4</v>
      </c>
      <c r="B60" s="174" t="str">
        <f>'Pay App 1'!B60</f>
        <v>01 13 41</v>
      </c>
      <c r="C60" s="179" t="str">
        <f>'Pay App 1'!C60</f>
        <v>Temp. Scaffolding and Platforms</v>
      </c>
      <c r="D60" s="155">
        <f>'Pay App 1'!D60</f>
        <v>0</v>
      </c>
      <c r="E60" s="155">
        <f>VLOOKUP(B60,'Graph Data'!$O$2:$BX$88,10,FALSE)</f>
        <v>0</v>
      </c>
      <c r="F60" s="155">
        <f>IFERROR(E60+'Pay App 7'!F60,"")</f>
        <v>0</v>
      </c>
      <c r="G60" s="155">
        <f>SUM('Pay App 1:Pay App 7'!H60)</f>
        <v>0</v>
      </c>
      <c r="H60" s="154"/>
      <c r="I60" s="155">
        <f t="shared" si="0"/>
        <v>0</v>
      </c>
      <c r="J60" s="156">
        <f t="shared" si="1"/>
        <v>0</v>
      </c>
      <c r="K60" s="155">
        <f t="shared" si="2"/>
        <v>0</v>
      </c>
      <c r="L60" s="155" t="str">
        <f>IF(AND('Summary Sheet'!$E$23="No",$H$33&gt;0,H60&gt;=1),"",IF(AND('Summary Sheet'!$E$23="Yes",H60&lt;&gt;""),H60*'Summary Sheet'!$G$23,""))</f>
        <v/>
      </c>
      <c r="M60" s="154"/>
      <c r="N60" s="155">
        <f>SUM('Pay App 1:Pay App 8'!L60)+SUM('Pay App 1:Pay App 8'!M60)</f>
        <v>0</v>
      </c>
    </row>
    <row r="61" spans="1:16" ht="11.25" customHeight="1" x14ac:dyDescent="0.25">
      <c r="A61" s="152">
        <v>5</v>
      </c>
      <c r="B61" s="174" t="str">
        <f>'Pay App 1'!B61</f>
        <v>01 13 60</v>
      </c>
      <c r="C61" s="179" t="str">
        <f>'Pay App 1'!C61</f>
        <v>SWPPP</v>
      </c>
      <c r="D61" s="155">
        <f>'Pay App 1'!D61</f>
        <v>0</v>
      </c>
      <c r="E61" s="155">
        <f>VLOOKUP(B61,'Graph Data'!$O$2:$BX$88,10,FALSE)</f>
        <v>0</v>
      </c>
      <c r="F61" s="155">
        <f>IFERROR(E61+'Pay App 7'!F61,"")</f>
        <v>0</v>
      </c>
      <c r="G61" s="155">
        <f>SUM('Pay App 1:Pay App 7'!H61)</f>
        <v>0</v>
      </c>
      <c r="H61" s="154"/>
      <c r="I61" s="155">
        <f t="shared" si="0"/>
        <v>0</v>
      </c>
      <c r="J61" s="156">
        <f t="shared" si="1"/>
        <v>0</v>
      </c>
      <c r="K61" s="155">
        <f t="shared" si="2"/>
        <v>0</v>
      </c>
      <c r="L61" s="155" t="str">
        <f>IF(AND('Summary Sheet'!$E$23="No",$H$33&gt;0,H61&gt;=1),"",IF(AND('Summary Sheet'!$E$23="Yes",H61&lt;&gt;""),H61*'Summary Sheet'!$G$23,""))</f>
        <v/>
      </c>
      <c r="M61" s="154"/>
      <c r="N61" s="155">
        <f>SUM('Pay App 1:Pay App 8'!L61)+SUM('Pay App 1:Pay App 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Data'!$O$2:$BX$88,10,FALSE)</f>
        <v>0</v>
      </c>
      <c r="F62" s="155">
        <f>IFERROR(E62+'Pay App 7'!F62,"")</f>
        <v>0</v>
      </c>
      <c r="G62" s="155">
        <f>SUM('Pay App 1:Pay App 7'!H62)</f>
        <v>0</v>
      </c>
      <c r="H62" s="154"/>
      <c r="I62" s="155">
        <f t="shared" si="0"/>
        <v>0</v>
      </c>
      <c r="J62" s="156">
        <f t="shared" si="1"/>
        <v>0</v>
      </c>
      <c r="K62" s="155">
        <f t="shared" si="2"/>
        <v>0</v>
      </c>
      <c r="L62" s="155" t="str">
        <f>IF(AND('Summary Sheet'!$E$23="No",$H$33&gt;0,H62&gt;=1),"",IF(AND('Summary Sheet'!$E$23="Yes",H62&lt;&gt;""),H62*'Summary Sheet'!$G$23,""))</f>
        <v/>
      </c>
      <c r="M62" s="154"/>
      <c r="N62" s="155">
        <f>SUM('Pay App 1:Pay App 8'!L62)+SUM('Pay App 1:Pay App 8'!M62)</f>
        <v>0</v>
      </c>
    </row>
    <row r="63" spans="1:16" ht="11.25" customHeight="1" x14ac:dyDescent="0.25">
      <c r="A63" s="152">
        <v>7</v>
      </c>
      <c r="B63" s="174" t="str">
        <f>'Pay App 1'!B63</f>
        <v>01 31 00</v>
      </c>
      <c r="C63" s="179" t="str">
        <f>'Pay App 1'!C63</f>
        <v>Contractor's Supervision</v>
      </c>
      <c r="D63" s="155">
        <f>'Pay App 1'!D63</f>
        <v>0</v>
      </c>
      <c r="E63" s="155">
        <f>VLOOKUP(B63,'Graph Data'!$O$2:$BX$88,10,FALSE)</f>
        <v>0</v>
      </c>
      <c r="F63" s="155">
        <f>IFERROR(E63+'Pay App 7'!F63,"")</f>
        <v>0</v>
      </c>
      <c r="G63" s="155">
        <f>SUM('Pay App 1:Pay App 7'!H63)</f>
        <v>0</v>
      </c>
      <c r="H63" s="154"/>
      <c r="I63" s="155">
        <f t="shared" si="0"/>
        <v>0</v>
      </c>
      <c r="J63" s="156">
        <f t="shared" si="1"/>
        <v>0</v>
      </c>
      <c r="K63" s="155">
        <f t="shared" si="2"/>
        <v>0</v>
      </c>
      <c r="L63" s="155" t="str">
        <f>IF(AND('Summary Sheet'!$E$23="No",$H$33&gt;0,H63&gt;=1),"",IF(AND('Summary Sheet'!$E$23="Yes",H63&lt;&gt;""),H63*'Summary Sheet'!$G$23,""))</f>
        <v/>
      </c>
      <c r="M63" s="154"/>
      <c r="N63" s="155">
        <f>SUM('Pay App 1:Pay App 8'!L63)+SUM('Pay App 1:Pay App 8'!M63)</f>
        <v>0</v>
      </c>
    </row>
    <row r="64" spans="1:16" ht="11.25" customHeight="1" x14ac:dyDescent="0.25">
      <c r="A64" s="152">
        <v>8</v>
      </c>
      <c r="B64" s="174" t="str">
        <f>'Pay App 1'!B64</f>
        <v>01 32 00</v>
      </c>
      <c r="C64" s="179" t="str">
        <f>'Pay App 1'!C64</f>
        <v>General Liability Insurance</v>
      </c>
      <c r="D64" s="155">
        <f>'Pay App 1'!D64</f>
        <v>0</v>
      </c>
      <c r="E64" s="155">
        <f>VLOOKUP(B64,'Graph Data'!$O$2:$BX$88,10,FALSE)</f>
        <v>0</v>
      </c>
      <c r="F64" s="155">
        <f>IFERROR(E64+'Pay App 7'!F64,"")</f>
        <v>0</v>
      </c>
      <c r="G64" s="155">
        <f>SUM('Pay App 1:Pay App 7'!H64)</f>
        <v>0</v>
      </c>
      <c r="H64" s="154"/>
      <c r="I64" s="155">
        <f t="shared" si="0"/>
        <v>0</v>
      </c>
      <c r="J64" s="156">
        <f t="shared" si="1"/>
        <v>0</v>
      </c>
      <c r="K64" s="155">
        <f t="shared" si="2"/>
        <v>0</v>
      </c>
      <c r="L64" s="155" t="str">
        <f>IF(AND('Summary Sheet'!$E$23="No",$H$33&gt;0,H64&gt;=1),"",IF(AND('Summary Sheet'!$E$23="Yes",H64&lt;&gt;""),H64*'Summary Sheet'!$G$23,""))</f>
        <v/>
      </c>
      <c r="M64" s="154"/>
      <c r="N64" s="155">
        <f>SUM('Pay App 1:Pay App 8'!L64)+SUM('Pay App 1:Pay App 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Data'!$O$2:$BX$88,10,FALSE)</f>
        <v>0</v>
      </c>
      <c r="F65" s="155">
        <f>IFERROR(E65+'Pay App 7'!F65,"")</f>
        <v>0</v>
      </c>
      <c r="G65" s="155">
        <f>SUM('Pay App 1:Pay App 7'!H65)</f>
        <v>0</v>
      </c>
      <c r="H65" s="154"/>
      <c r="I65" s="155">
        <f t="shared" si="0"/>
        <v>0</v>
      </c>
      <c r="J65" s="156">
        <f t="shared" si="1"/>
        <v>0</v>
      </c>
      <c r="K65" s="155">
        <f t="shared" si="2"/>
        <v>0</v>
      </c>
      <c r="L65" s="155" t="str">
        <f>IF(AND('Summary Sheet'!$E$23="No",$H$33&gt;0,H65&gt;=1),"",IF(AND('Summary Sheet'!$E$23="Yes",H65&lt;&gt;""),H65*'Summary Sheet'!$G$23,""))</f>
        <v/>
      </c>
      <c r="M65" s="154"/>
      <c r="N65" s="155">
        <f>SUM('Pay App 1:Pay App 8'!L65)+SUM('Pay App 1:Pay App 8'!M65)</f>
        <v>0</v>
      </c>
    </row>
    <row r="66" spans="1:17" ht="11.25" customHeight="1" x14ac:dyDescent="0.25">
      <c r="A66" s="152">
        <v>10</v>
      </c>
      <c r="B66" s="174" t="str">
        <f>'Pay App 1'!B66</f>
        <v>01 34 00</v>
      </c>
      <c r="C66" s="179" t="str">
        <f>'Pay App 1'!C66</f>
        <v>Subcontractor Default Insurance</v>
      </c>
      <c r="D66" s="155">
        <f>'Pay App 1'!D66</f>
        <v>0</v>
      </c>
      <c r="E66" s="155">
        <f>VLOOKUP(B66,'Graph Data'!$O$2:$BX$88,10,FALSE)</f>
        <v>0</v>
      </c>
      <c r="F66" s="155">
        <f>IFERROR(E66+'Pay App 7'!F66,"")</f>
        <v>0</v>
      </c>
      <c r="G66" s="155">
        <f>SUM('Pay App 1:Pay App 7'!H66)</f>
        <v>0</v>
      </c>
      <c r="H66" s="154"/>
      <c r="I66" s="155">
        <f t="shared" si="0"/>
        <v>0</v>
      </c>
      <c r="J66" s="156">
        <f t="shared" si="1"/>
        <v>0</v>
      </c>
      <c r="K66" s="155">
        <f t="shared" si="2"/>
        <v>0</v>
      </c>
      <c r="L66" s="155" t="str">
        <f>IF(AND('Summary Sheet'!$E$23="No",$H$33&gt;0,H66&gt;=1),"",IF(AND('Summary Sheet'!$E$23="Yes",H66&lt;&gt;""),H66*'Summary Sheet'!$G$23,""))</f>
        <v/>
      </c>
      <c r="M66" s="154"/>
      <c r="N66" s="155">
        <f>SUM('Pay App 1:Pay App 8'!L66)+SUM('Pay App 1:Pay App 8'!M66)</f>
        <v>0</v>
      </c>
    </row>
    <row r="67" spans="1:17" ht="11.25" customHeight="1" x14ac:dyDescent="0.25">
      <c r="A67" s="152">
        <v>11</v>
      </c>
      <c r="B67" s="174" t="str">
        <f>'Pay App 1'!B67</f>
        <v>01 35 00</v>
      </c>
      <c r="C67" s="179" t="str">
        <f>'Pay App 1'!C67</f>
        <v>Construction Management Fee</v>
      </c>
      <c r="D67" s="155">
        <f>'Pay App 1'!D67</f>
        <v>0</v>
      </c>
      <c r="E67" s="155">
        <f>VLOOKUP(B67,'Graph Data'!$O$2:$BX$88,10,FALSE)</f>
        <v>0</v>
      </c>
      <c r="F67" s="155">
        <f>IFERROR(E67+'Pay App 7'!F67,"")</f>
        <v>0</v>
      </c>
      <c r="G67" s="155">
        <f>SUM('Pay App 1:Pay App 7'!H67)</f>
        <v>0</v>
      </c>
      <c r="H67" s="154"/>
      <c r="I67" s="155">
        <f t="shared" si="0"/>
        <v>0</v>
      </c>
      <c r="J67" s="156">
        <f t="shared" si="1"/>
        <v>0</v>
      </c>
      <c r="K67" s="155">
        <f t="shared" si="2"/>
        <v>0</v>
      </c>
      <c r="L67" s="155" t="str">
        <f>IF(AND('Summary Sheet'!$E$23="No",$H$33&gt;0,H67&gt;=1),"",IF(AND('Summary Sheet'!$E$23="Yes",H67&lt;&gt;""),H67*'Summary Sheet'!$G$23,""))</f>
        <v/>
      </c>
      <c r="M67" s="154"/>
      <c r="N67" s="155">
        <f>SUM('Pay App 1:Pay App 8'!L67)+SUM('Pay App 1:Pay App 8'!M67)</f>
        <v>0</v>
      </c>
    </row>
    <row r="68" spans="1:17" ht="11.25" customHeight="1" x14ac:dyDescent="0.25">
      <c r="A68" s="152">
        <v>12</v>
      </c>
      <c r="B68" s="174" t="str">
        <f>'Pay App 1'!B68</f>
        <v>01 36 00</v>
      </c>
      <c r="C68" s="179" t="str">
        <f>'Pay App 1'!C68</f>
        <v>Contingency</v>
      </c>
      <c r="D68" s="155">
        <f>'Pay App 1'!D68</f>
        <v>0</v>
      </c>
      <c r="E68" s="155">
        <f>VLOOKUP(B68,'Graph Data'!$O$2:$BX$88,10,FALSE)</f>
        <v>0</v>
      </c>
      <c r="F68" s="155">
        <f>IFERROR(E68+'Pay App 7'!F68,"")</f>
        <v>0</v>
      </c>
      <c r="G68" s="155">
        <f>SUM('Pay App 1:Pay App 7'!H68)</f>
        <v>0</v>
      </c>
      <c r="H68" s="154"/>
      <c r="I68" s="155">
        <f t="shared" si="0"/>
        <v>0</v>
      </c>
      <c r="J68" s="156">
        <f t="shared" si="1"/>
        <v>0</v>
      </c>
      <c r="K68" s="155">
        <f t="shared" si="2"/>
        <v>0</v>
      </c>
      <c r="L68" s="155" t="str">
        <f>IF(AND('Summary Sheet'!$E$23="No",$H$33&gt;0,H68&gt;=1),"",IF(AND('Summary Sheet'!$E$23="Yes",H68&lt;&gt;""),H68*'Summary Sheet'!$G$23,""))</f>
        <v/>
      </c>
      <c r="M68" s="154"/>
      <c r="N68" s="155">
        <f>SUM('Pay App 1:Pay App 8'!L68)+SUM('Pay App 1:Pay App 8'!M68)</f>
        <v>0</v>
      </c>
    </row>
    <row r="69" spans="1:17" ht="11.25" customHeight="1" x14ac:dyDescent="0.25">
      <c r="A69" s="152">
        <v>13</v>
      </c>
      <c r="B69" s="174" t="str">
        <f>'Pay App 1'!B69</f>
        <v>01 37 00</v>
      </c>
      <c r="C69" s="179" t="str">
        <f>'Pay App 1'!C69</f>
        <v>Weather Allowance (All Trades)</v>
      </c>
      <c r="D69" s="155">
        <f>'Pay App 1'!D69</f>
        <v>0</v>
      </c>
      <c r="E69" s="155">
        <f>VLOOKUP(B69,'Graph Data'!$O$2:$BX$88,10,FALSE)</f>
        <v>0</v>
      </c>
      <c r="F69" s="155">
        <f>IFERROR(E69+'Pay App 7'!F69,"")</f>
        <v>0</v>
      </c>
      <c r="G69" s="155">
        <f>SUM('Pay App 1:Pay App 7'!H69)</f>
        <v>0</v>
      </c>
      <c r="H69" s="154"/>
      <c r="I69" s="155">
        <f t="shared" si="0"/>
        <v>0</v>
      </c>
      <c r="J69" s="156">
        <f t="shared" si="1"/>
        <v>0</v>
      </c>
      <c r="K69" s="155">
        <f t="shared" si="2"/>
        <v>0</v>
      </c>
      <c r="L69" s="155" t="str">
        <f>IF(AND('Summary Sheet'!$E$23="No",$H$33&gt;0,H69&gt;=1),"",IF(AND('Summary Sheet'!$E$23="Yes",H69&lt;&gt;""),H69*'Summary Sheet'!$G$23,""))</f>
        <v/>
      </c>
      <c r="M69" s="154"/>
      <c r="N69" s="155">
        <f>SUM('Pay App 1:Pay App 8'!L69)+SUM('Pay App 1:Pay App 8'!M69)</f>
        <v>0</v>
      </c>
    </row>
    <row r="70" spans="1:17" ht="11.25" customHeight="1" x14ac:dyDescent="0.25">
      <c r="A70" s="152">
        <v>14</v>
      </c>
      <c r="B70" s="174" t="str">
        <f>'Pay App 1'!B70</f>
        <v>01 74 23</v>
      </c>
      <c r="C70" s="179" t="str">
        <f>'Pay App 1'!C70</f>
        <v>Cleaning (Final)</v>
      </c>
      <c r="D70" s="155">
        <f>'Pay App 1'!D70</f>
        <v>0</v>
      </c>
      <c r="E70" s="155">
        <f>VLOOKUP(B70,'Graph Data'!$O$2:$BX$88,10,FALSE)</f>
        <v>0</v>
      </c>
      <c r="F70" s="155">
        <f>IFERROR(E70+'Pay App 7'!F70,"")</f>
        <v>0</v>
      </c>
      <c r="G70" s="155">
        <f>SUM('Pay App 1:Pay App 7'!H70)</f>
        <v>0</v>
      </c>
      <c r="H70" s="154"/>
      <c r="I70" s="155">
        <f t="shared" si="0"/>
        <v>0</v>
      </c>
      <c r="J70" s="156">
        <f t="shared" si="1"/>
        <v>0</v>
      </c>
      <c r="K70" s="155">
        <f t="shared" si="2"/>
        <v>0</v>
      </c>
      <c r="L70" s="155" t="str">
        <f>IF(AND('Summary Sheet'!$E$23="No",$H$33&gt;0,H70&gt;=1),"",IF(AND('Summary Sheet'!$E$23="Yes",H70&lt;&gt;""),H70*'Summary Sheet'!$G$23,""))</f>
        <v/>
      </c>
      <c r="M70" s="154"/>
      <c r="N70" s="155">
        <f>SUM('Pay App 1:Pay App 8'!L70)+SUM('Pay App 1:Pay App 8'!M70)</f>
        <v>0</v>
      </c>
    </row>
    <row r="71" spans="1:17" ht="11.25" customHeight="1" x14ac:dyDescent="0.25">
      <c r="A71" s="152">
        <v>15</v>
      </c>
      <c r="B71" s="175" t="str">
        <f>'Pay App 1'!B71</f>
        <v>02 21 00</v>
      </c>
      <c r="C71" s="180" t="str">
        <f>'Pay App 1'!C71</f>
        <v>Survey/Engineering</v>
      </c>
      <c r="D71" s="155">
        <f>'Pay App 1'!D71</f>
        <v>0</v>
      </c>
      <c r="E71" s="155">
        <f>VLOOKUP(B71,'Graph Data'!$O$2:$BX$88,10,FALSE)</f>
        <v>0</v>
      </c>
      <c r="F71" s="155">
        <f>IFERROR(E71+'Pay App 7'!F71,"")</f>
        <v>0</v>
      </c>
      <c r="G71" s="155">
        <f>SUM('Pay App 1:Pay App 7'!H71)</f>
        <v>0</v>
      </c>
      <c r="H71" s="154"/>
      <c r="I71" s="155">
        <f t="shared" si="0"/>
        <v>0</v>
      </c>
      <c r="J71" s="156">
        <f t="shared" si="1"/>
        <v>0</v>
      </c>
      <c r="K71" s="155">
        <f t="shared" si="2"/>
        <v>0</v>
      </c>
      <c r="L71" s="155" t="str">
        <f>IF(AND('Summary Sheet'!$E$23="No",$H$33&gt;0,H71&gt;=1),"",IF(AND('Summary Sheet'!$E$23="Yes",H71&lt;&gt;""),H71*'Summary Sheet'!$G$23,""))</f>
        <v/>
      </c>
      <c r="M71" s="154"/>
      <c r="N71" s="155">
        <f>SUM('Pay App 1:Pay App 8'!L71)+SUM('Pay App 1:Pay App 8'!M71)</f>
        <v>0</v>
      </c>
      <c r="Q71" s="28"/>
    </row>
    <row r="72" spans="1:17" ht="11.25" customHeight="1" x14ac:dyDescent="0.25">
      <c r="A72" s="152">
        <v>16</v>
      </c>
      <c r="B72" s="175" t="str">
        <f>'Pay App 1'!B72</f>
        <v>02 41 00</v>
      </c>
      <c r="C72" s="180" t="str">
        <f>'Pay App 1'!C72</f>
        <v>Demolition</v>
      </c>
      <c r="D72" s="155">
        <f>'Pay App 1'!D72</f>
        <v>0</v>
      </c>
      <c r="E72" s="155">
        <f>VLOOKUP(B72,'Graph Data'!$O$2:$BX$88,10,FALSE)</f>
        <v>0</v>
      </c>
      <c r="F72" s="155">
        <f>IFERROR(E72+'Pay App 7'!F72,"")</f>
        <v>0</v>
      </c>
      <c r="G72" s="155">
        <f>SUM('Pay App 1:Pay App 7'!H72)</f>
        <v>0</v>
      </c>
      <c r="H72" s="154"/>
      <c r="I72" s="155">
        <f t="shared" si="0"/>
        <v>0</v>
      </c>
      <c r="J72" s="156">
        <f t="shared" si="1"/>
        <v>0</v>
      </c>
      <c r="K72" s="155">
        <f t="shared" si="2"/>
        <v>0</v>
      </c>
      <c r="L72" s="155" t="str">
        <f>IF(AND('Summary Sheet'!$E$23="No",$H$33&gt;0,H72&gt;=1),"",IF(AND('Summary Sheet'!$E$23="Yes",H72&lt;&gt;""),H72*'Summary Sheet'!$G$23,""))</f>
        <v/>
      </c>
      <c r="M72" s="154"/>
      <c r="N72" s="155">
        <f>SUM('Pay App 1:Pay App 8'!L72)+SUM('Pay App 1:Pay App 8'!M72)</f>
        <v>0</v>
      </c>
      <c r="Q72" s="28"/>
    </row>
    <row r="73" spans="1:17" ht="11.25" customHeight="1" x14ac:dyDescent="0.25">
      <c r="A73" s="152">
        <v>17</v>
      </c>
      <c r="B73" s="175" t="str">
        <f>'Pay App 1'!B73</f>
        <v>02 82 00</v>
      </c>
      <c r="C73" s="180" t="str">
        <f>'Pay App 1'!C73</f>
        <v>Asbestos Abatement</v>
      </c>
      <c r="D73" s="155">
        <f>'Pay App 1'!D73</f>
        <v>0</v>
      </c>
      <c r="E73" s="155">
        <f>VLOOKUP(B73,'Graph Data'!$O$2:$BX$88,10,FALSE)</f>
        <v>0</v>
      </c>
      <c r="F73" s="155">
        <f>IFERROR(E73+'Pay App 7'!F73,"")</f>
        <v>0</v>
      </c>
      <c r="G73" s="155">
        <f>SUM('Pay App 1:Pay App 7'!H73)</f>
        <v>0</v>
      </c>
      <c r="H73" s="154"/>
      <c r="I73" s="155">
        <f t="shared" si="0"/>
        <v>0</v>
      </c>
      <c r="J73" s="156">
        <f t="shared" si="1"/>
        <v>0</v>
      </c>
      <c r="K73" s="155">
        <f t="shared" si="2"/>
        <v>0</v>
      </c>
      <c r="L73" s="155" t="str">
        <f>IF(AND('Summary Sheet'!$E$23="No",$H$33&gt;0,H73&gt;=1),"",IF(AND('Summary Sheet'!$E$23="Yes",H73&lt;&gt;""),H73*'Summary Sheet'!$G$23,""))</f>
        <v/>
      </c>
      <c r="M73" s="154"/>
      <c r="N73" s="155">
        <f>SUM('Pay App 1:Pay App 8'!L73)+SUM('Pay App 1:Pay App 8'!M73)</f>
        <v>0</v>
      </c>
    </row>
    <row r="74" spans="1:17" ht="11.25" customHeight="1" x14ac:dyDescent="0.25">
      <c r="A74" s="152">
        <v>18</v>
      </c>
      <c r="B74" s="176" t="str">
        <f>'Pay App 1'!B74</f>
        <v>03 00 00</v>
      </c>
      <c r="C74" s="181" t="str">
        <f>'Pay App 1'!C74</f>
        <v>Building Concrete</v>
      </c>
      <c r="D74" s="155">
        <f>'Pay App 1'!D74</f>
        <v>0</v>
      </c>
      <c r="E74" s="155">
        <f>VLOOKUP(B74,'Graph Data'!$O$2:$BX$88,10,FALSE)</f>
        <v>0</v>
      </c>
      <c r="F74" s="155">
        <f>IFERROR(E74+'Pay App 7'!F74,"")</f>
        <v>0</v>
      </c>
      <c r="G74" s="155">
        <f>SUM('Pay App 1:Pay App 7'!H74)</f>
        <v>0</v>
      </c>
      <c r="H74" s="154"/>
      <c r="I74" s="155">
        <f t="shared" si="0"/>
        <v>0</v>
      </c>
      <c r="J74" s="156">
        <f t="shared" si="1"/>
        <v>0</v>
      </c>
      <c r="K74" s="155">
        <f t="shared" si="2"/>
        <v>0</v>
      </c>
      <c r="L74" s="155" t="str">
        <f>IF(AND('Summary Sheet'!$E$23="No",$H$33&gt;0,H74&gt;=1),"",IF(AND('Summary Sheet'!$E$23="Yes",H74&lt;&gt;""),H74*'Summary Sheet'!$G$23,""))</f>
        <v/>
      </c>
      <c r="M74" s="154"/>
      <c r="N74" s="155">
        <f>SUM('Pay App 1:Pay App 8'!L74)+SUM('Pay App 1:Pay App 8'!M74)</f>
        <v>0</v>
      </c>
    </row>
    <row r="75" spans="1:17" ht="11.25" customHeight="1" x14ac:dyDescent="0.25">
      <c r="A75" s="152">
        <v>19</v>
      </c>
      <c r="B75" s="176" t="str">
        <f>'Pay App 1'!B75</f>
        <v>03 20 00</v>
      </c>
      <c r="C75" s="181" t="str">
        <f>'Pay App 1'!C75</f>
        <v>Building Concrete Reinforcing</v>
      </c>
      <c r="D75" s="155">
        <f>'Pay App 1'!D75</f>
        <v>0</v>
      </c>
      <c r="E75" s="155">
        <f>VLOOKUP(B75,'Graph Data'!$O$2:$BX$88,10,FALSE)</f>
        <v>0</v>
      </c>
      <c r="F75" s="155">
        <f>IFERROR(E75+'Pay App 7'!F75,"")</f>
        <v>0</v>
      </c>
      <c r="G75" s="155">
        <f>SUM('Pay App 1:Pay App 7'!H75)</f>
        <v>0</v>
      </c>
      <c r="H75" s="154"/>
      <c r="I75" s="155">
        <f t="shared" si="0"/>
        <v>0</v>
      </c>
      <c r="J75" s="156">
        <f t="shared" si="1"/>
        <v>0</v>
      </c>
      <c r="K75" s="155">
        <f t="shared" si="2"/>
        <v>0</v>
      </c>
      <c r="L75" s="155" t="str">
        <f>IF(AND('Summary Sheet'!$E$23="No",$H$33&gt;0,H75&gt;=1),"",IF(AND('Summary Sheet'!$E$23="Yes",H75&lt;&gt;""),H75*'Summary Sheet'!$G$23,""))</f>
        <v/>
      </c>
      <c r="M75" s="154"/>
      <c r="N75" s="155">
        <f>SUM('Pay App 1:Pay App 8'!L75)+SUM('Pay App 1:Pay App 8'!M75)</f>
        <v>0</v>
      </c>
    </row>
    <row r="76" spans="1:17" ht="11.25" customHeight="1" x14ac:dyDescent="0.25">
      <c r="A76" s="152">
        <v>20</v>
      </c>
      <c r="B76" s="176" t="str">
        <f>'Pay App 1'!B76</f>
        <v>03 40 00</v>
      </c>
      <c r="C76" s="181" t="str">
        <f>'Pay App 1'!C76</f>
        <v>Precast</v>
      </c>
      <c r="D76" s="155">
        <f>'Pay App 1'!D76</f>
        <v>0</v>
      </c>
      <c r="E76" s="155">
        <f>VLOOKUP(B76,'Graph Data'!$O$2:$BX$88,10,FALSE)</f>
        <v>0</v>
      </c>
      <c r="F76" s="155">
        <f>IFERROR(E76+'Pay App 7'!F76,"")</f>
        <v>0</v>
      </c>
      <c r="G76" s="155">
        <f>SUM('Pay App 1:Pay App 7'!H76)</f>
        <v>0</v>
      </c>
      <c r="H76" s="154"/>
      <c r="I76" s="155">
        <f t="shared" si="0"/>
        <v>0</v>
      </c>
      <c r="J76" s="156">
        <f t="shared" si="1"/>
        <v>0</v>
      </c>
      <c r="K76" s="155">
        <f t="shared" si="2"/>
        <v>0</v>
      </c>
      <c r="L76" s="155" t="str">
        <f>IF(AND('Summary Sheet'!$E$23="No",$H$33&gt;0,H76&gt;=1),"",IF(AND('Summary Sheet'!$E$23="Yes",H76&lt;&gt;""),H76*'Summary Sheet'!$G$23,""))</f>
        <v/>
      </c>
      <c r="M76" s="154"/>
      <c r="N76" s="155">
        <f>SUM('Pay App 1:Pay App 8'!L76)+SUM('Pay App 1:Pay App 8'!M76)</f>
        <v>0</v>
      </c>
    </row>
    <row r="77" spans="1:17" ht="11.25" customHeight="1" x14ac:dyDescent="0.25">
      <c r="A77" s="152">
        <v>21</v>
      </c>
      <c r="B77" s="177" t="str">
        <f>'Pay App 1'!B77</f>
        <v>04 00 00</v>
      </c>
      <c r="C77" s="182" t="str">
        <f>'Pay App 1'!C77</f>
        <v>Masonry</v>
      </c>
      <c r="D77" s="155">
        <f>'Pay App 1'!D77</f>
        <v>0</v>
      </c>
      <c r="E77" s="155">
        <f>VLOOKUP(B77,'Graph Data'!$O$2:$BX$88,10,FALSE)</f>
        <v>0</v>
      </c>
      <c r="F77" s="155">
        <f>IFERROR(E77+'Pay App 7'!F77,"")</f>
        <v>0</v>
      </c>
      <c r="G77" s="155">
        <f>SUM('Pay App 1:Pay App 7'!H77)</f>
        <v>0</v>
      </c>
      <c r="H77" s="154"/>
      <c r="I77" s="155">
        <f t="shared" si="0"/>
        <v>0</v>
      </c>
      <c r="J77" s="156">
        <f t="shared" si="1"/>
        <v>0</v>
      </c>
      <c r="K77" s="155">
        <f t="shared" si="2"/>
        <v>0</v>
      </c>
      <c r="L77" s="155" t="str">
        <f>IF(AND('Summary Sheet'!$E$23="No",$H$33&gt;0,H77&gt;=1),"",IF(AND('Summary Sheet'!$E$23="Yes",H77&lt;&gt;""),H77*'Summary Sheet'!$G$23,""))</f>
        <v/>
      </c>
      <c r="M77" s="154"/>
      <c r="N77" s="155">
        <f>SUM('Pay App 1:Pay App 8'!L77)+SUM('Pay App 1:Pay App 8'!M77)</f>
        <v>0</v>
      </c>
    </row>
    <row r="78" spans="1:17" ht="11.25" customHeight="1" x14ac:dyDescent="0.25">
      <c r="A78" s="152">
        <v>22</v>
      </c>
      <c r="B78" s="177" t="str">
        <f>'Pay App 1'!B78</f>
        <v>04 05 19</v>
      </c>
      <c r="C78" s="182" t="str">
        <f>'Pay App 1'!C78</f>
        <v>Masonry Reinforcing</v>
      </c>
      <c r="D78" s="155">
        <f>'Pay App 1'!D78</f>
        <v>0</v>
      </c>
      <c r="E78" s="155">
        <f>VLOOKUP(B78,'Graph Data'!$O$2:$BX$88,10,FALSE)</f>
        <v>0</v>
      </c>
      <c r="F78" s="155">
        <f>IFERROR(E78+'Pay App 7'!F78,"")</f>
        <v>0</v>
      </c>
      <c r="G78" s="155">
        <f>SUM('Pay App 1:Pay App 7'!H78)</f>
        <v>0</v>
      </c>
      <c r="H78" s="154"/>
      <c r="I78" s="155">
        <f t="shared" si="0"/>
        <v>0</v>
      </c>
      <c r="J78" s="156">
        <f t="shared" si="1"/>
        <v>0</v>
      </c>
      <c r="K78" s="155">
        <f t="shared" si="2"/>
        <v>0</v>
      </c>
      <c r="L78" s="155" t="str">
        <f>IF(AND('Summary Sheet'!$E$23="No",$H$33&gt;0,H78&gt;=1),"",IF(AND('Summary Sheet'!$E$23="Yes",H78&lt;&gt;""),H78*'Summary Sheet'!$G$23,""))</f>
        <v/>
      </c>
      <c r="M78" s="154"/>
      <c r="N78" s="155">
        <f>SUM('Pay App 1:Pay App 8'!L78)+SUM('Pay App 1:Pay App 8'!M78)</f>
        <v>0</v>
      </c>
    </row>
    <row r="79" spans="1:17" ht="11.25" customHeight="1" x14ac:dyDescent="0.25">
      <c r="A79" s="152">
        <v>23</v>
      </c>
      <c r="B79" s="178" t="str">
        <f>'Pay App 1'!B79</f>
        <v>05 10 00</v>
      </c>
      <c r="C79" s="183" t="str">
        <f>'Pay App 1'!C79</f>
        <v>Structural Steel/Misc. Steel Fab</v>
      </c>
      <c r="D79" s="155">
        <f>'Pay App 1'!D79</f>
        <v>0</v>
      </c>
      <c r="E79" s="155">
        <f>VLOOKUP(B79,'Graph Data'!$O$2:$BX$88,10,FALSE)</f>
        <v>0</v>
      </c>
      <c r="F79" s="155">
        <f>IFERROR(E79+'Pay App 7'!F79,"")</f>
        <v>0</v>
      </c>
      <c r="G79" s="155">
        <f>SUM('Pay App 1:Pay App 7'!H79)</f>
        <v>0</v>
      </c>
      <c r="H79" s="154"/>
      <c r="I79" s="155">
        <f t="shared" si="0"/>
        <v>0</v>
      </c>
      <c r="J79" s="156">
        <f t="shared" si="1"/>
        <v>0</v>
      </c>
      <c r="K79" s="155">
        <f t="shared" si="2"/>
        <v>0</v>
      </c>
      <c r="L79" s="155" t="str">
        <f>IF(AND('Summary Sheet'!$E$23="No",$H$33&gt;0,H79&gt;=1),"",IF(AND('Summary Sheet'!$E$23="Yes",H79&lt;&gt;""),H79*'Summary Sheet'!$G$23,""))</f>
        <v/>
      </c>
      <c r="M79" s="154"/>
      <c r="N79" s="155">
        <f>SUM('Pay App 1:Pay App 8'!L79)+SUM('Pay App 1:Pay App 8'!M79)</f>
        <v>0</v>
      </c>
    </row>
    <row r="80" spans="1:17" ht="11.25" customHeight="1" x14ac:dyDescent="0.25">
      <c r="A80" s="152">
        <v>24</v>
      </c>
      <c r="B80" s="178" t="str">
        <f>'Pay App 1'!B80</f>
        <v>05 20 00</v>
      </c>
      <c r="C80" s="183" t="str">
        <f>'Pay App 1'!C80</f>
        <v>Joists &amp; Deck</v>
      </c>
      <c r="D80" s="155">
        <f>'Pay App 1'!D80</f>
        <v>0</v>
      </c>
      <c r="E80" s="155">
        <f>VLOOKUP(B80,'Graph Data'!$O$2:$BX$88,10,FALSE)</f>
        <v>0</v>
      </c>
      <c r="F80" s="155">
        <f>IFERROR(E80+'Pay App 7'!F80,"")</f>
        <v>0</v>
      </c>
      <c r="G80" s="155">
        <f>SUM('Pay App 1:Pay App 7'!H80)</f>
        <v>0</v>
      </c>
      <c r="H80" s="154"/>
      <c r="I80" s="155">
        <f t="shared" si="0"/>
        <v>0</v>
      </c>
      <c r="J80" s="156">
        <f t="shared" si="1"/>
        <v>0</v>
      </c>
      <c r="K80" s="155">
        <f t="shared" si="2"/>
        <v>0</v>
      </c>
      <c r="L80" s="155" t="str">
        <f>IF(AND('Summary Sheet'!$E$23="No",$H$33&gt;0,H80&gt;=1),"",IF(AND('Summary Sheet'!$E$23="Yes",H80&lt;&gt;""),H80*'Summary Sheet'!$G$23,""))</f>
        <v/>
      </c>
      <c r="M80" s="154"/>
      <c r="N80" s="155">
        <f>SUM('Pay App 1:Pay App 8'!L80)+SUM('Pay App 1:Pay App 8'!M80)</f>
        <v>0</v>
      </c>
    </row>
    <row r="81" spans="1:14" ht="11.25" customHeight="1" x14ac:dyDescent="0.25">
      <c r="A81" s="152">
        <v>25</v>
      </c>
      <c r="B81" s="178" t="str">
        <f>'Pay App 1'!B81</f>
        <v>05 70 00</v>
      </c>
      <c r="C81" s="183" t="str">
        <f>'Pay App 1'!C81</f>
        <v>Ornamental Metal</v>
      </c>
      <c r="D81" s="155">
        <f>'Pay App 1'!D81</f>
        <v>0</v>
      </c>
      <c r="E81" s="155">
        <f>VLOOKUP(B81,'Graph Data'!$O$2:$BX$88,10,FALSE)</f>
        <v>0</v>
      </c>
      <c r="F81" s="155">
        <f>IFERROR(E81+'Pay App 7'!F81,"")</f>
        <v>0</v>
      </c>
      <c r="G81" s="155">
        <f>SUM('Pay App 1:Pay App 7'!H81)</f>
        <v>0</v>
      </c>
      <c r="H81" s="154"/>
      <c r="I81" s="155">
        <f t="shared" si="0"/>
        <v>0</v>
      </c>
      <c r="J81" s="156">
        <f t="shared" si="1"/>
        <v>0</v>
      </c>
      <c r="K81" s="155">
        <f t="shared" si="2"/>
        <v>0</v>
      </c>
      <c r="L81" s="155" t="str">
        <f>IF(AND('Summary Sheet'!$E$23="No",$H$33&gt;0,H81&gt;=1),"",IF(AND('Summary Sheet'!$E$23="Yes",H81&lt;&gt;""),H81*'Summary Sheet'!$G$23,""))</f>
        <v/>
      </c>
      <c r="M81" s="154"/>
      <c r="N81" s="155">
        <f>SUM('Pay App 1:Pay App 8'!L81)+SUM('Pay App 1:Pay App 8'!M81)</f>
        <v>0</v>
      </c>
    </row>
    <row r="82" spans="1:14" ht="11.25" customHeight="1" x14ac:dyDescent="0.25">
      <c r="A82" s="152">
        <v>26</v>
      </c>
      <c r="B82" s="145" t="str">
        <f>'Pay App 1'!B82</f>
        <v>06 10 00</v>
      </c>
      <c r="C82" s="134" t="str">
        <f>'Pay App 1'!C82</f>
        <v>Rough Carpentry</v>
      </c>
      <c r="D82" s="155">
        <f>'Pay App 1'!D82</f>
        <v>0</v>
      </c>
      <c r="E82" s="155">
        <f>VLOOKUP(B82,'Graph Data'!$O$2:$BX$88,10,FALSE)</f>
        <v>0</v>
      </c>
      <c r="F82" s="155">
        <f>IFERROR(E82+'Pay App 7'!F82,"")</f>
        <v>0</v>
      </c>
      <c r="G82" s="155">
        <f>SUM('Pay App 1:Pay App 7'!H82)</f>
        <v>0</v>
      </c>
      <c r="H82" s="154"/>
      <c r="I82" s="155">
        <f t="shared" si="0"/>
        <v>0</v>
      </c>
      <c r="J82" s="156">
        <f t="shared" si="1"/>
        <v>0</v>
      </c>
      <c r="K82" s="155">
        <f t="shared" si="2"/>
        <v>0</v>
      </c>
      <c r="L82" s="155" t="str">
        <f>IF(AND('Summary Sheet'!$E$23="No",$H$33&gt;0,H82&gt;=1),"",IF(AND('Summary Sheet'!$E$23="Yes",H82&lt;&gt;""),H82*'Summary Sheet'!$G$23,""))</f>
        <v/>
      </c>
      <c r="M82" s="154"/>
      <c r="N82" s="155">
        <f>SUM('Pay App 1:Pay App 8'!L82)+SUM('Pay App 1:Pay App 8'!M82)</f>
        <v>0</v>
      </c>
    </row>
    <row r="83" spans="1:14" ht="11.25" customHeight="1" x14ac:dyDescent="0.25">
      <c r="A83" s="152">
        <v>27</v>
      </c>
      <c r="B83" s="145" t="str">
        <f>'Pay App 1'!B83</f>
        <v>06 40 00</v>
      </c>
      <c r="C83" s="134" t="str">
        <f>'Pay App 1'!C83</f>
        <v>Arch. Woodwork &amp; Finish Carp.</v>
      </c>
      <c r="D83" s="155">
        <f>'Pay App 1'!D83</f>
        <v>0</v>
      </c>
      <c r="E83" s="155">
        <f>VLOOKUP(B83,'Graph Data'!$O$2:$BX$88,10,FALSE)</f>
        <v>0</v>
      </c>
      <c r="F83" s="155">
        <f>IFERROR(E83+'Pay App 7'!F83,"")</f>
        <v>0</v>
      </c>
      <c r="G83" s="155">
        <f>SUM('Pay App 1:Pay App 7'!H83)</f>
        <v>0</v>
      </c>
      <c r="H83" s="154"/>
      <c r="I83" s="155">
        <f t="shared" si="0"/>
        <v>0</v>
      </c>
      <c r="J83" s="156">
        <f t="shared" si="1"/>
        <v>0</v>
      </c>
      <c r="K83" s="155">
        <f t="shared" si="2"/>
        <v>0</v>
      </c>
      <c r="L83" s="155" t="str">
        <f>IF(AND('Summary Sheet'!$E$23="No",$H$33&gt;0,H83&gt;=1),"",IF(AND('Summary Sheet'!$E$23="Yes",H83&lt;&gt;""),H83*'Summary Sheet'!$G$23,""))</f>
        <v/>
      </c>
      <c r="M83" s="154"/>
      <c r="N83" s="155">
        <f>SUM('Pay App 1:Pay App 8'!L83)+SUM('Pay App 1:Pay App 8'!M83)</f>
        <v>0</v>
      </c>
    </row>
    <row r="84" spans="1:14" ht="11.25" customHeight="1" x14ac:dyDescent="0.25">
      <c r="A84" s="152">
        <v>28</v>
      </c>
      <c r="B84" s="174" t="str">
        <f>'Pay App 1'!B84</f>
        <v>07 10 00</v>
      </c>
      <c r="C84" s="179" t="str">
        <f>'Pay App 1'!C84</f>
        <v>Waterproofing/Water Repellents</v>
      </c>
      <c r="D84" s="155">
        <f>'Pay App 1'!D84</f>
        <v>0</v>
      </c>
      <c r="E84" s="155">
        <f>VLOOKUP(B84,'Graph Data'!$O$2:$BX$88,10,FALSE)</f>
        <v>0</v>
      </c>
      <c r="F84" s="155">
        <f>IFERROR(E84+'Pay App 7'!F84,"")</f>
        <v>0</v>
      </c>
      <c r="G84" s="155">
        <f>SUM('Pay App 1:Pay App 7'!H84)</f>
        <v>0</v>
      </c>
      <c r="H84" s="154"/>
      <c r="I84" s="155">
        <f t="shared" si="0"/>
        <v>0</v>
      </c>
      <c r="J84" s="156">
        <f t="shared" si="1"/>
        <v>0</v>
      </c>
      <c r="K84" s="155">
        <f t="shared" si="2"/>
        <v>0</v>
      </c>
      <c r="L84" s="155" t="str">
        <f>IF(AND('Summary Sheet'!$E$23="No",$H$33&gt;0,H84&gt;=1),"",IF(AND('Summary Sheet'!$E$23="Yes",H84&lt;&gt;""),H84*'Summary Sheet'!$G$23,""))</f>
        <v/>
      </c>
      <c r="M84" s="154"/>
      <c r="N84" s="155">
        <f>SUM('Pay App 1:Pay App 8'!L84)+SUM('Pay App 1:Pay App 8'!M84)</f>
        <v>0</v>
      </c>
    </row>
    <row r="85" spans="1:14" ht="11.25" customHeight="1" x14ac:dyDescent="0.25">
      <c r="A85" s="152">
        <v>29</v>
      </c>
      <c r="B85" s="174" t="str">
        <f>'Pay App 1'!B85</f>
        <v>07 20 00</v>
      </c>
      <c r="C85" s="179" t="str">
        <f>'Pay App 1'!C85</f>
        <v>Insulation</v>
      </c>
      <c r="D85" s="155">
        <f>'Pay App 1'!D85</f>
        <v>0</v>
      </c>
      <c r="E85" s="155">
        <f>VLOOKUP(B85,'Graph Data'!$O$2:$BX$88,10,FALSE)</f>
        <v>0</v>
      </c>
      <c r="F85" s="155">
        <f>IFERROR(E85+'Pay App 7'!F85,"")</f>
        <v>0</v>
      </c>
      <c r="G85" s="155">
        <f>SUM('Pay App 1:Pay App 7'!H85)</f>
        <v>0</v>
      </c>
      <c r="H85" s="154"/>
      <c r="I85" s="155">
        <f t="shared" si="0"/>
        <v>0</v>
      </c>
      <c r="J85" s="156">
        <f t="shared" si="1"/>
        <v>0</v>
      </c>
      <c r="K85" s="155">
        <f t="shared" si="2"/>
        <v>0</v>
      </c>
      <c r="L85" s="155" t="str">
        <f>IF(AND('Summary Sheet'!$E$23="No",$H$33&gt;0,H85&gt;=1),"",IF(AND('Summary Sheet'!$E$23="Yes",H85&lt;&gt;""),H85*'Summary Sheet'!$G$23,""))</f>
        <v/>
      </c>
      <c r="M85" s="154"/>
      <c r="N85" s="155">
        <f>SUM('Pay App 1:Pay App 8'!L85)+SUM('Pay App 1:Pay App 8'!M85)</f>
        <v>0</v>
      </c>
    </row>
    <row r="86" spans="1:14" ht="11.25" customHeight="1" x14ac:dyDescent="0.25">
      <c r="A86" s="152">
        <v>30</v>
      </c>
      <c r="B86" s="174" t="str">
        <f>'Pay App 1'!B86</f>
        <v>07 24 00</v>
      </c>
      <c r="C86" s="179" t="str">
        <f>'Pay App 1'!C86</f>
        <v>EIFS</v>
      </c>
      <c r="D86" s="155">
        <f>'Pay App 1'!D86</f>
        <v>0</v>
      </c>
      <c r="E86" s="155">
        <f>VLOOKUP(B86,'Graph Data'!$O$2:$BX$88,10,FALSE)</f>
        <v>0</v>
      </c>
      <c r="F86" s="155">
        <f>IFERROR(E86+'Pay App 7'!F86,"")</f>
        <v>0</v>
      </c>
      <c r="G86" s="155">
        <f>SUM('Pay App 1:Pay App 7'!H86)</f>
        <v>0</v>
      </c>
      <c r="H86" s="154"/>
      <c r="I86" s="155">
        <f t="shared" si="0"/>
        <v>0</v>
      </c>
      <c r="J86" s="156">
        <f t="shared" si="1"/>
        <v>0</v>
      </c>
      <c r="K86" s="155">
        <f t="shared" si="2"/>
        <v>0</v>
      </c>
      <c r="L86" s="155" t="str">
        <f>IF(AND('Summary Sheet'!$E$23="No",$H$33&gt;0,H86&gt;=1),"",IF(AND('Summary Sheet'!$E$23="Yes",H86&lt;&gt;""),H86*'Summary Sheet'!$G$23,""))</f>
        <v/>
      </c>
      <c r="M86" s="154"/>
      <c r="N86" s="155">
        <f>SUM('Pay App 1:Pay App 8'!L86)+SUM('Pay App 1:Pay App 8'!M86)</f>
        <v>0</v>
      </c>
    </row>
    <row r="87" spans="1:14" ht="11.25" customHeight="1" x14ac:dyDescent="0.25">
      <c r="A87" s="152">
        <v>31</v>
      </c>
      <c r="B87" s="174" t="str">
        <f>'Pay App 1'!B87</f>
        <v>07 26 00</v>
      </c>
      <c r="C87" s="179" t="str">
        <f>'Pay App 1'!C87</f>
        <v>Vapor Retarders</v>
      </c>
      <c r="D87" s="155">
        <f>'Pay App 1'!D87</f>
        <v>0</v>
      </c>
      <c r="E87" s="155">
        <f>VLOOKUP(B87,'Graph Data'!$O$2:$BX$88,10,FALSE)</f>
        <v>0</v>
      </c>
      <c r="F87" s="155">
        <f>IFERROR(E87+'Pay App 7'!F87,"")</f>
        <v>0</v>
      </c>
      <c r="G87" s="155">
        <f>SUM('Pay App 1:Pay App 7'!H87)</f>
        <v>0</v>
      </c>
      <c r="H87" s="154"/>
      <c r="I87" s="155">
        <f t="shared" si="0"/>
        <v>0</v>
      </c>
      <c r="J87" s="156">
        <f t="shared" si="1"/>
        <v>0</v>
      </c>
      <c r="K87" s="155">
        <f t="shared" si="2"/>
        <v>0</v>
      </c>
      <c r="L87" s="155" t="str">
        <f>IF(AND('Summary Sheet'!$E$23="No",$H$33&gt;0,H87&gt;=1),"",IF(AND('Summary Sheet'!$E$23="Yes",H87&lt;&gt;""),H87*'Summary Sheet'!$G$23,""))</f>
        <v/>
      </c>
      <c r="M87" s="154"/>
      <c r="N87" s="155">
        <f>SUM('Pay App 1:Pay App 8'!L87)+SUM('Pay App 1:Pay App 8'!M87)</f>
        <v>0</v>
      </c>
    </row>
    <row r="88" spans="1:14" ht="11.25" customHeight="1" x14ac:dyDescent="0.25">
      <c r="A88" s="152">
        <v>32</v>
      </c>
      <c r="B88" s="174" t="str">
        <f>'Pay App 1'!B88</f>
        <v>07 41 00</v>
      </c>
      <c r="C88" s="179" t="str">
        <f>'Pay App 1'!C88</f>
        <v>Roofing</v>
      </c>
      <c r="D88" s="155">
        <f>'Pay App 1'!D88</f>
        <v>0</v>
      </c>
      <c r="E88" s="155">
        <f>VLOOKUP(B88,'Graph Data'!$O$2:$BX$88,10,FALSE)</f>
        <v>0</v>
      </c>
      <c r="F88" s="155">
        <f>IFERROR(E88+'Pay App 7'!F88,"")</f>
        <v>0</v>
      </c>
      <c r="G88" s="155">
        <f>SUM('Pay App 1:Pay App 7'!H88)</f>
        <v>0</v>
      </c>
      <c r="H88" s="154"/>
      <c r="I88" s="155">
        <f t="shared" si="0"/>
        <v>0</v>
      </c>
      <c r="J88" s="156">
        <f t="shared" si="1"/>
        <v>0</v>
      </c>
      <c r="K88" s="155">
        <f t="shared" si="2"/>
        <v>0</v>
      </c>
      <c r="L88" s="155" t="str">
        <f>IF(AND('Summary Sheet'!$E$23="No",$H$33&gt;0,H88&gt;=1),"",IF(AND('Summary Sheet'!$E$23="Yes",H88&lt;&gt;""),H88*'Summary Sheet'!$G$23,""))</f>
        <v/>
      </c>
      <c r="M88" s="154"/>
      <c r="N88" s="155">
        <f>SUM('Pay App 1:Pay App 8'!L88)+SUM('Pay App 1:Pay App 8'!M88)</f>
        <v>0</v>
      </c>
    </row>
    <row r="89" spans="1:14" ht="11.25" customHeight="1" x14ac:dyDescent="0.25">
      <c r="A89" s="152">
        <v>33</v>
      </c>
      <c r="B89" s="174" t="str">
        <f>'Pay App 1'!B89</f>
        <v>07 42 00</v>
      </c>
      <c r="C89" s="179" t="str">
        <f>'Pay App 1'!C89</f>
        <v>Metal Panels</v>
      </c>
      <c r="D89" s="155">
        <f>'Pay App 1'!D89</f>
        <v>0</v>
      </c>
      <c r="E89" s="155">
        <f>VLOOKUP(B89,'Graph Data'!$O$2:$BX$88,10,FALSE)</f>
        <v>0</v>
      </c>
      <c r="F89" s="155">
        <f>IFERROR(E89+'Pay App 7'!F89,"")</f>
        <v>0</v>
      </c>
      <c r="G89" s="155">
        <f>SUM('Pay App 1:Pay App 7'!H89)</f>
        <v>0</v>
      </c>
      <c r="H89" s="154"/>
      <c r="I89" s="155">
        <f t="shared" si="0"/>
        <v>0</v>
      </c>
      <c r="J89" s="156">
        <f t="shared" si="1"/>
        <v>0</v>
      </c>
      <c r="K89" s="155">
        <f t="shared" si="2"/>
        <v>0</v>
      </c>
      <c r="L89" s="155" t="str">
        <f>IF(AND('Summary Sheet'!$E$23="No",$H$33&gt;0,H89&gt;=1),"",IF(AND('Summary Sheet'!$E$23="Yes",H89&lt;&gt;""),H89*'Summary Sheet'!$G$23,""))</f>
        <v/>
      </c>
      <c r="M89" s="154"/>
      <c r="N89" s="155">
        <f>SUM('Pay App 1:Pay App 8'!L89)+SUM('Pay App 1:Pay App 8'!M89)</f>
        <v>0</v>
      </c>
    </row>
    <row r="90" spans="1:14" ht="11.25" customHeight="1" x14ac:dyDescent="0.25">
      <c r="A90" s="152">
        <v>34</v>
      </c>
      <c r="B90" s="174" t="str">
        <f>'Pay App 1'!B90</f>
        <v>07 60 00</v>
      </c>
      <c r="C90" s="179" t="str">
        <f>'Pay App 1'!C90</f>
        <v>Sheet Metal Flashing &amp; Trim</v>
      </c>
      <c r="D90" s="155">
        <f>'Pay App 1'!D90</f>
        <v>0</v>
      </c>
      <c r="E90" s="155">
        <f>VLOOKUP(B90,'Graph Data'!$O$2:$BX$88,10,FALSE)</f>
        <v>0</v>
      </c>
      <c r="F90" s="155">
        <f>IFERROR(E90+'Pay App 7'!F90,"")</f>
        <v>0</v>
      </c>
      <c r="G90" s="155">
        <f>SUM('Pay App 1:Pay App 7'!H90)</f>
        <v>0</v>
      </c>
      <c r="H90" s="154"/>
      <c r="I90" s="155">
        <f t="shared" si="0"/>
        <v>0</v>
      </c>
      <c r="J90" s="156">
        <f t="shared" si="1"/>
        <v>0</v>
      </c>
      <c r="K90" s="155">
        <f t="shared" si="2"/>
        <v>0</v>
      </c>
      <c r="L90" s="155" t="str">
        <f>IF(AND('Summary Sheet'!$E$23="No",$H$33&gt;0,H90&gt;=1),"",IF(AND('Summary Sheet'!$E$23="Yes",H90&lt;&gt;""),H90*'Summary Sheet'!$G$23,""))</f>
        <v/>
      </c>
      <c r="M90" s="154"/>
      <c r="N90" s="155">
        <f>SUM('Pay App 1:Pay App 8'!L90)+SUM('Pay App 1:Pay App 8'!M90)</f>
        <v>0</v>
      </c>
    </row>
    <row r="91" spans="1:14" ht="11.25" customHeight="1" x14ac:dyDescent="0.25">
      <c r="A91" s="152">
        <v>35</v>
      </c>
      <c r="B91" s="174" t="str">
        <f>'Pay App 1'!B91</f>
        <v>07 80 00</v>
      </c>
      <c r="C91" s="179" t="str">
        <f>'Pay App 1'!C91</f>
        <v>Fireproofing</v>
      </c>
      <c r="D91" s="155">
        <f>'Pay App 1'!D91</f>
        <v>0</v>
      </c>
      <c r="E91" s="155">
        <f>VLOOKUP(B91,'Graph Data'!$O$2:$BX$88,10,FALSE)</f>
        <v>0</v>
      </c>
      <c r="F91" s="155">
        <f>IFERROR(E91+'Pay App 7'!F91,"")</f>
        <v>0</v>
      </c>
      <c r="G91" s="155">
        <f>SUM('Pay App 1:Pay App 7'!H91)</f>
        <v>0</v>
      </c>
      <c r="H91" s="154"/>
      <c r="I91" s="155">
        <f t="shared" si="0"/>
        <v>0</v>
      </c>
      <c r="J91" s="156">
        <f t="shared" si="1"/>
        <v>0</v>
      </c>
      <c r="K91" s="155">
        <f t="shared" si="2"/>
        <v>0</v>
      </c>
      <c r="L91" s="155" t="str">
        <f>IF(AND('Summary Sheet'!$E$23="No",$H$33&gt;0,H91&gt;=1),"",IF(AND('Summary Sheet'!$E$23="Yes",H91&lt;&gt;""),H91*'Summary Sheet'!$G$23,""))</f>
        <v/>
      </c>
      <c r="M91" s="154"/>
      <c r="N91" s="155">
        <f>SUM('Pay App 1:Pay App 8'!L91)+SUM('Pay App 1:Pay App 8'!M91)</f>
        <v>0</v>
      </c>
    </row>
    <row r="92" spans="1:14" ht="11.25" customHeight="1" x14ac:dyDescent="0.25">
      <c r="A92" s="152">
        <v>36</v>
      </c>
      <c r="B92" s="174" t="str">
        <f>'Pay App 1'!B92</f>
        <v>07 90 00</v>
      </c>
      <c r="C92" s="179" t="str">
        <f>'Pay App 1'!C92</f>
        <v>Joint Sealants</v>
      </c>
      <c r="D92" s="155">
        <f>'Pay App 1'!D92</f>
        <v>0</v>
      </c>
      <c r="E92" s="155">
        <f>VLOOKUP(B92,'Graph Data'!$O$2:$BX$88,10,FALSE)</f>
        <v>0</v>
      </c>
      <c r="F92" s="155">
        <f>IFERROR(E92+'Pay App 7'!F92,"")</f>
        <v>0</v>
      </c>
      <c r="G92" s="155">
        <f>SUM('Pay App 1:Pay App 7'!H92)</f>
        <v>0</v>
      </c>
      <c r="H92" s="154"/>
      <c r="I92" s="155">
        <f t="shared" si="0"/>
        <v>0</v>
      </c>
      <c r="J92" s="156">
        <f t="shared" si="1"/>
        <v>0</v>
      </c>
      <c r="K92" s="155">
        <f t="shared" si="2"/>
        <v>0</v>
      </c>
      <c r="L92" s="155" t="str">
        <f>IF(AND('Summary Sheet'!$E$23="No",$H$33&gt;0,H92&gt;=1),"",IF(AND('Summary Sheet'!$E$23="Yes",H92&lt;&gt;""),H92*'Summary Sheet'!$G$23,""))</f>
        <v/>
      </c>
      <c r="M92" s="154"/>
      <c r="N92" s="155">
        <f>SUM('Pay App 1:Pay App 8'!L92)+SUM('Pay App 1:Pay App 8'!M92)</f>
        <v>0</v>
      </c>
    </row>
    <row r="93" spans="1:14" ht="11.25" customHeight="1" x14ac:dyDescent="0.25">
      <c r="A93" s="152">
        <v>37</v>
      </c>
      <c r="B93" s="174" t="str">
        <f>'Pay App 1'!B93</f>
        <v>07 95 00</v>
      </c>
      <c r="C93" s="179" t="str">
        <f>'Pay App 1'!C93</f>
        <v>Expansion Joints</v>
      </c>
      <c r="D93" s="155">
        <f>'Pay App 1'!D93</f>
        <v>0</v>
      </c>
      <c r="E93" s="155">
        <f>VLOOKUP(B93,'Graph Data'!$O$2:$BX$88,10,FALSE)</f>
        <v>0</v>
      </c>
      <c r="F93" s="155">
        <f>IFERROR(E93+'Pay App 7'!F93,"")</f>
        <v>0</v>
      </c>
      <c r="G93" s="155">
        <f>SUM('Pay App 1:Pay App 7'!H93)</f>
        <v>0</v>
      </c>
      <c r="H93" s="154"/>
      <c r="I93" s="155">
        <f t="shared" si="0"/>
        <v>0</v>
      </c>
      <c r="J93" s="156">
        <f t="shared" si="1"/>
        <v>0</v>
      </c>
      <c r="K93" s="155">
        <f t="shared" si="2"/>
        <v>0</v>
      </c>
      <c r="L93" s="155" t="str">
        <f>IF(AND('Summary Sheet'!$E$23="No",$H$33&gt;0,H93&gt;=1),"",IF(AND('Summary Sheet'!$E$23="Yes",H93&lt;&gt;""),H93*'Summary Sheet'!$G$23,""))</f>
        <v/>
      </c>
      <c r="M93" s="154"/>
      <c r="N93" s="155">
        <f>SUM('Pay App 1:Pay App 8'!L93)+SUM('Pay App 1:Pay App 8'!M93)</f>
        <v>0</v>
      </c>
    </row>
    <row r="94" spans="1:14" ht="11.25" customHeight="1" x14ac:dyDescent="0.25">
      <c r="A94" s="152">
        <v>38</v>
      </c>
      <c r="B94" s="175" t="str">
        <f>'Pay App 1'!B94</f>
        <v>08 10 00</v>
      </c>
      <c r="C94" s="180" t="str">
        <f>'Pay App 1'!C94</f>
        <v>Doors, Frames &amp; Hardware</v>
      </c>
      <c r="D94" s="155">
        <f>'Pay App 1'!D94</f>
        <v>0</v>
      </c>
      <c r="E94" s="155">
        <f>VLOOKUP(B94,'Graph Data'!$O$2:$BX$88,10,FALSE)</f>
        <v>0</v>
      </c>
      <c r="F94" s="155">
        <f>IFERROR(E94+'Pay App 7'!F94,"")</f>
        <v>0</v>
      </c>
      <c r="G94" s="155">
        <f>SUM('Pay App 1:Pay App 7'!H94)</f>
        <v>0</v>
      </c>
      <c r="H94" s="154"/>
      <c r="I94" s="155">
        <f t="shared" si="0"/>
        <v>0</v>
      </c>
      <c r="J94" s="156">
        <f t="shared" si="1"/>
        <v>0</v>
      </c>
      <c r="K94" s="155">
        <f t="shared" si="2"/>
        <v>0</v>
      </c>
      <c r="L94" s="155" t="str">
        <f>IF(AND('Summary Sheet'!$E$23="No",$H$33&gt;0,H94&gt;=1),"",IF(AND('Summary Sheet'!$E$23="Yes",H94&lt;&gt;""),H94*'Summary Sheet'!$G$23,""))</f>
        <v/>
      </c>
      <c r="M94" s="154"/>
      <c r="N94" s="155">
        <f>SUM('Pay App 1:Pay App 8'!L94)+SUM('Pay App 1:Pay App 8'!M94)</f>
        <v>0</v>
      </c>
    </row>
    <row r="95" spans="1:14" ht="11.25" customHeight="1" x14ac:dyDescent="0.25">
      <c r="A95" s="152">
        <v>39</v>
      </c>
      <c r="B95" s="175" t="str">
        <f>'Pay App 1'!B95</f>
        <v>08 30 00</v>
      </c>
      <c r="C95" s="180" t="str">
        <f>'Pay App 1'!C95</f>
        <v>Specialty Doors</v>
      </c>
      <c r="D95" s="155">
        <f>'Pay App 1'!D95</f>
        <v>0</v>
      </c>
      <c r="E95" s="155">
        <f>VLOOKUP(B95,'Graph Data'!$O$2:$BX$88,10,FALSE)</f>
        <v>0</v>
      </c>
      <c r="F95" s="155">
        <f>IFERROR(E95+'Pay App 7'!F95,"")</f>
        <v>0</v>
      </c>
      <c r="G95" s="155">
        <f>SUM('Pay App 1:Pay App 7'!H95)</f>
        <v>0</v>
      </c>
      <c r="H95" s="154"/>
      <c r="I95" s="155">
        <f t="shared" si="0"/>
        <v>0</v>
      </c>
      <c r="J95" s="156">
        <f t="shared" si="1"/>
        <v>0</v>
      </c>
      <c r="K95" s="155">
        <f t="shared" si="2"/>
        <v>0</v>
      </c>
      <c r="L95" s="155" t="str">
        <f>IF(AND('Summary Sheet'!$E$23="No",$H$33&gt;0,H95&gt;=1),"",IF(AND('Summary Sheet'!$E$23="Yes",H95&lt;&gt;""),H95*'Summary Sheet'!$G$23,""))</f>
        <v/>
      </c>
      <c r="M95" s="154"/>
      <c r="N95" s="155">
        <f>SUM('Pay App 1:Pay App 8'!L95)+SUM('Pay App 1:Pay App 8'!M95)</f>
        <v>0</v>
      </c>
    </row>
    <row r="96" spans="1:14" ht="11.25" customHeight="1" x14ac:dyDescent="0.25">
      <c r="A96" s="152">
        <v>40</v>
      </c>
      <c r="B96" s="175" t="str">
        <f>'Pay App 1'!B96</f>
        <v>08 33 00</v>
      </c>
      <c r="C96" s="180" t="str">
        <f>'Pay App 1'!C96</f>
        <v>Overhead Doors/Coiling Doors</v>
      </c>
      <c r="D96" s="155">
        <f>'Pay App 1'!D96</f>
        <v>0</v>
      </c>
      <c r="E96" s="155">
        <f>VLOOKUP(B96,'Graph Data'!$O$2:$BX$88,10,FALSE)</f>
        <v>0</v>
      </c>
      <c r="F96" s="155">
        <f>IFERROR(E96+'Pay App 7'!F96,"")</f>
        <v>0</v>
      </c>
      <c r="G96" s="155">
        <f>SUM('Pay App 1:Pay App 7'!H96)</f>
        <v>0</v>
      </c>
      <c r="H96" s="154"/>
      <c r="I96" s="155">
        <f t="shared" si="0"/>
        <v>0</v>
      </c>
      <c r="J96" s="156">
        <f t="shared" si="1"/>
        <v>0</v>
      </c>
      <c r="K96" s="155">
        <f t="shared" si="2"/>
        <v>0</v>
      </c>
      <c r="L96" s="155" t="str">
        <f>IF(AND('Summary Sheet'!$E$23="No",$H$33&gt;0,H96&gt;=1),"",IF(AND('Summary Sheet'!$E$23="Yes",H96&lt;&gt;""),H96*'Summary Sheet'!$G$23,""))</f>
        <v/>
      </c>
      <c r="M96" s="154"/>
      <c r="N96" s="155">
        <f>SUM('Pay App 1:Pay App 8'!L96)+SUM('Pay App 1:Pay App 8'!M96)</f>
        <v>0</v>
      </c>
    </row>
    <row r="97" spans="1:15" ht="11.25" customHeight="1" x14ac:dyDescent="0.25">
      <c r="A97" s="152">
        <v>41</v>
      </c>
      <c r="B97" s="175" t="str">
        <f>'Pay App 1'!B97</f>
        <v>08 40 00</v>
      </c>
      <c r="C97" s="180" t="str">
        <f>'Pay App 1'!C97</f>
        <v>Curtain Wall, Glass &amp; Glazing</v>
      </c>
      <c r="D97" s="155">
        <f>'Pay App 1'!D97</f>
        <v>0</v>
      </c>
      <c r="E97" s="155">
        <f>VLOOKUP(B97,'Graph Data'!$O$2:$BX$88,10,FALSE)</f>
        <v>0</v>
      </c>
      <c r="F97" s="155">
        <f>IFERROR(E97+'Pay App 7'!F97,"")</f>
        <v>0</v>
      </c>
      <c r="G97" s="155">
        <f>SUM('Pay App 1:Pay App 7'!H97)</f>
        <v>0</v>
      </c>
      <c r="H97" s="154"/>
      <c r="I97" s="155">
        <f t="shared" si="0"/>
        <v>0</v>
      </c>
      <c r="J97" s="156">
        <f t="shared" si="1"/>
        <v>0</v>
      </c>
      <c r="K97" s="155">
        <f t="shared" si="2"/>
        <v>0</v>
      </c>
      <c r="L97" s="155" t="str">
        <f>IF(AND('Summary Sheet'!$E$23="No",$H$33&gt;0,H97&gt;=1),"",IF(AND('Summary Sheet'!$E$23="Yes",H97&lt;&gt;""),H97*'Summary Sheet'!$G$23,""))</f>
        <v/>
      </c>
      <c r="M97" s="154"/>
      <c r="N97" s="155">
        <f>SUM('Pay App 1:Pay App 8'!L97)+SUM('Pay App 1:Pay App 8'!M97)</f>
        <v>0</v>
      </c>
    </row>
    <row r="98" spans="1:15" ht="10.9" customHeight="1" x14ac:dyDescent="0.25">
      <c r="A98" s="152">
        <v>42</v>
      </c>
      <c r="B98" s="175" t="str">
        <f>'Pay App 1'!B98</f>
        <v>08 60 00</v>
      </c>
      <c r="C98" s="180" t="str">
        <f>'Pay App 1'!C98</f>
        <v>Skylights</v>
      </c>
      <c r="D98" s="155">
        <f>'Pay App 1'!D98</f>
        <v>0</v>
      </c>
      <c r="E98" s="155">
        <f>VLOOKUP(B98,'Graph Data'!$O$2:$BX$88,10,FALSE)</f>
        <v>0</v>
      </c>
      <c r="F98" s="155">
        <f>IFERROR(E98+'Pay App 7'!F98,"")</f>
        <v>0</v>
      </c>
      <c r="G98" s="155">
        <f>SUM('Pay App 1:Pay App 7'!H98)</f>
        <v>0</v>
      </c>
      <c r="H98" s="154"/>
      <c r="I98" s="155">
        <f t="shared" si="0"/>
        <v>0</v>
      </c>
      <c r="J98" s="156">
        <f t="shared" si="1"/>
        <v>0</v>
      </c>
      <c r="K98" s="155">
        <f t="shared" si="2"/>
        <v>0</v>
      </c>
      <c r="L98" s="155" t="str">
        <f>IF(AND('Summary Sheet'!$E$23="No",$H$33&gt;0,H98&gt;=1),"",IF(AND('Summary Sheet'!$E$23="Yes",H98&lt;&gt;""),H98*'Summary Sheet'!$G$23,""))</f>
        <v/>
      </c>
      <c r="M98" s="154"/>
      <c r="N98" s="155">
        <f>SUM('Pay App 1:Pay App 8'!L98)+SUM('Pay App 1:Pay App 8'!M98)</f>
        <v>0</v>
      </c>
    </row>
    <row r="99" spans="1:15" ht="10.9" customHeight="1" x14ac:dyDescent="0.25">
      <c r="A99" s="152">
        <v>43</v>
      </c>
      <c r="B99" s="175" t="str">
        <f>'Pay App 1'!B99</f>
        <v>08 90 00</v>
      </c>
      <c r="C99" s="180" t="str">
        <f>'Pay App 1'!C99</f>
        <v>Louvers &amp; Vents</v>
      </c>
      <c r="D99" s="155">
        <f>'Pay App 1'!D99</f>
        <v>0</v>
      </c>
      <c r="E99" s="155">
        <f>VLOOKUP(B99,'Graph Data'!$O$2:$BX$88,10,FALSE)</f>
        <v>0</v>
      </c>
      <c r="F99" s="155">
        <f>IFERROR(E99+'Pay App 7'!F99,"")</f>
        <v>0</v>
      </c>
      <c r="G99" s="155">
        <f>SUM('Pay App 1:Pay App 7'!H99)</f>
        <v>0</v>
      </c>
      <c r="H99" s="154"/>
      <c r="I99" s="155">
        <f t="shared" si="0"/>
        <v>0</v>
      </c>
      <c r="J99" s="156">
        <f t="shared" si="1"/>
        <v>0</v>
      </c>
      <c r="K99" s="155">
        <f t="shared" si="2"/>
        <v>0</v>
      </c>
      <c r="L99" s="155" t="str">
        <f>IF(AND('Summary Sheet'!$E$23="No",$H$33&gt;0,H99&gt;=1),"",IF(AND('Summary Sheet'!$E$23="Yes",H99&lt;&gt;""),H99*'Summary Sheet'!$G$23,""))</f>
        <v/>
      </c>
      <c r="M99" s="154"/>
      <c r="N99" s="155">
        <f>SUM('Pay App 1:Pay App 8'!L99)+SUM('Pay App 1:Pay App 8'!M99)</f>
        <v>0</v>
      </c>
    </row>
    <row r="100" spans="1:15" ht="11.25" customHeight="1" x14ac:dyDescent="0.25">
      <c r="A100" s="153">
        <v>44</v>
      </c>
      <c r="B100" s="176" t="str">
        <f>'Pay App 1'!B100</f>
        <v>09 20 00</v>
      </c>
      <c r="C100" s="181" t="str">
        <f>'Pay App 1'!C100</f>
        <v>Gypsum Board Systems</v>
      </c>
      <c r="D100" s="155">
        <f>'Pay App 1'!D100</f>
        <v>0</v>
      </c>
      <c r="E100" s="155">
        <f>VLOOKUP(B100,'Graph Data'!$O$2:$BX$88,10,FALSE)</f>
        <v>0</v>
      </c>
      <c r="F100" s="155">
        <f>IFERROR(E100+'Pay App 7'!F100,"")</f>
        <v>0</v>
      </c>
      <c r="G100" s="155">
        <f>SUM('Pay App 1:Pay App 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8'!L100)+SUM('Pay App 1:Pay App 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8.1999999999999993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Data'!$O$2:$BX$88,10,FALSE)</f>
        <v>0</v>
      </c>
      <c r="F106" s="155">
        <f>IFERROR(E106+'Pay App 7'!F106,"")</f>
        <v>0</v>
      </c>
      <c r="G106" s="155">
        <f>SUM('Pay App 1:Pay App 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8'!L106)+SUM('Pay App 1:Pay App 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Data'!$O$2:$BX$88,10,FALSE)</f>
        <v>0</v>
      </c>
      <c r="F107" s="155">
        <f>IFERROR(E107+'Pay App 7'!F107,"")</f>
        <v>0</v>
      </c>
      <c r="G107" s="155">
        <f>SUM('Pay App 1:Pay App 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8'!L107)+SUM('Pay App 1:Pay App 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Data'!$O$2:$BX$88,10,FALSE)</f>
        <v>0</v>
      </c>
      <c r="F108" s="155">
        <f>IFERROR(E108+'Pay App 7'!F108,"")</f>
        <v>0</v>
      </c>
      <c r="G108" s="155">
        <f>SUM('Pay App 1:Pay App 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8'!L108)+SUM('Pay App 1:Pay App 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Data'!$O$2:$BX$88,10,FALSE)</f>
        <v>0</v>
      </c>
      <c r="F109" s="155">
        <f>IFERROR(E109+'Pay App 7'!F109,"")</f>
        <v>0</v>
      </c>
      <c r="G109" s="155">
        <f>SUM('Pay App 1:Pay App 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8'!L109)+SUM('Pay App 1:Pay App 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Data'!$O$2:$BX$88,10,FALSE)</f>
        <v>0</v>
      </c>
      <c r="F110" s="155">
        <f>IFERROR(E110+'Pay App 7'!F110,"")</f>
        <v>0</v>
      </c>
      <c r="G110" s="155">
        <f>SUM('Pay App 1:Pay App 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8'!L110)+SUM('Pay App 1:Pay App 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Data'!$O$2:$BX$88,10,FALSE)</f>
        <v>0</v>
      </c>
      <c r="F111" s="155">
        <f>IFERROR(E111+'Pay App 7'!F111,"")</f>
        <v>0</v>
      </c>
      <c r="G111" s="155">
        <f>SUM('Pay App 1:Pay App 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8'!L111)+SUM('Pay App 1:Pay App 8'!M111)</f>
        <v>0</v>
      </c>
    </row>
    <row r="112" spans="1:15" ht="11.25" customHeight="1" x14ac:dyDescent="0.25">
      <c r="A112" s="152">
        <f t="shared" si="3"/>
        <v>51</v>
      </c>
      <c r="B112" s="148" t="str">
        <f>'Pay App 1'!B112</f>
        <v>09 90 00</v>
      </c>
      <c r="C112" s="143" t="str">
        <f>'Pay App 1'!C112</f>
        <v>Painting</v>
      </c>
      <c r="D112" s="155">
        <f>'Pay App 1'!D112</f>
        <v>0</v>
      </c>
      <c r="E112" s="155">
        <f>VLOOKUP(B112,'Graph Data'!$O$2:$BX$88,10,FALSE)</f>
        <v>0</v>
      </c>
      <c r="F112" s="155">
        <f>IFERROR(E112+'Pay App 7'!F112,"")</f>
        <v>0</v>
      </c>
      <c r="G112" s="155">
        <f>SUM('Pay App 1:Pay App 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8'!L112)+SUM('Pay App 1:Pay App 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Data'!$O$2:$BX$88,10,FALSE)</f>
        <v>0</v>
      </c>
      <c r="F113" s="155">
        <f>IFERROR(E113+'Pay App 7'!F113,"")</f>
        <v>0</v>
      </c>
      <c r="G113" s="155">
        <f>SUM('Pay App 1:Pay App 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8'!L113)+SUM('Pay App 1:Pay App 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Data'!$O$2:$BX$88,10,FALSE)</f>
        <v>0</v>
      </c>
      <c r="F114" s="155">
        <f>IFERROR(E114+'Pay App 7'!F114,"")</f>
        <v>0</v>
      </c>
      <c r="G114" s="155">
        <f>SUM('Pay App 1:Pay App 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8'!L114)+SUM('Pay App 1:Pay App 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Data'!$O$2:$BX$88,10,FALSE)</f>
        <v>0</v>
      </c>
      <c r="F115" s="155">
        <f>IFERROR(E115+'Pay App 7'!F115,"")</f>
        <v>0</v>
      </c>
      <c r="G115" s="155">
        <f>SUM('Pay App 1:Pay App 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8'!L115)+SUM('Pay App 1:Pay App 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Data'!$O$2:$BX$88,10,FALSE)</f>
        <v>0</v>
      </c>
      <c r="F116" s="155">
        <f>IFERROR(E116+'Pay App 7'!F116,"")</f>
        <v>0</v>
      </c>
      <c r="G116" s="155">
        <f>SUM('Pay App 1:Pay App 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8'!L116)+SUM('Pay App 1:Pay App 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Data'!$O$2:$BX$88,10,FALSE)</f>
        <v>0</v>
      </c>
      <c r="F117" s="155">
        <f>IFERROR(E117+'Pay App 7'!F117,"")</f>
        <v>0</v>
      </c>
      <c r="G117" s="155">
        <f>SUM('Pay App 1:Pay App 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8'!L117)+SUM('Pay App 1:Pay App 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Data'!$O$2:$BX$88,10,FALSE)</f>
        <v>0</v>
      </c>
      <c r="F118" s="155">
        <f>IFERROR(E118+'Pay App 7'!F118,"")</f>
        <v>0</v>
      </c>
      <c r="G118" s="155">
        <f>SUM('Pay App 1:Pay App 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8'!L118)+SUM('Pay App 1:Pay App 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Data'!$O$2:$BX$88,10,FALSE)</f>
        <v>0</v>
      </c>
      <c r="F119" s="155">
        <f>IFERROR(E119+'Pay App 7'!F119,"")</f>
        <v>0</v>
      </c>
      <c r="G119" s="155">
        <f>SUM('Pay App 1:Pay App 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8'!L119)+SUM('Pay App 1:Pay App 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Data'!$O$2:$BX$88,10,FALSE)</f>
        <v>0</v>
      </c>
      <c r="F120" s="155">
        <f>IFERROR(E120+'Pay App 7'!F120,"")</f>
        <v>0</v>
      </c>
      <c r="G120" s="155">
        <f>SUM('Pay App 1:Pay App 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8'!L120)+SUM('Pay App 1:Pay App 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Data'!$O$2:$BX$88,10,FALSE)</f>
        <v>0</v>
      </c>
      <c r="F121" s="155">
        <f>IFERROR(E121+'Pay App 7'!F121,"")</f>
        <v>0</v>
      </c>
      <c r="G121" s="155">
        <f>SUM('Pay App 1:Pay App 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8'!L121)+SUM('Pay App 1:Pay App 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Data'!$O$2:$BX$88,10,FALSE)</f>
        <v>0</v>
      </c>
      <c r="F122" s="155">
        <f>IFERROR(E122+'Pay App 7'!F122,"")</f>
        <v>0</v>
      </c>
      <c r="G122" s="155">
        <f>SUM('Pay App 1:Pay App 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8'!L122)+SUM('Pay App 1:Pay App 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Data'!$O$2:$BX$88,10,FALSE)</f>
        <v>0</v>
      </c>
      <c r="F123" s="155">
        <f>IFERROR(E123+'Pay App 7'!F123,"")</f>
        <v>0</v>
      </c>
      <c r="G123" s="155">
        <f>SUM('Pay App 1:Pay App 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8'!L123)+SUM('Pay App 1:Pay App 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Data'!$O$2:$BX$88,10,FALSE)</f>
        <v>0</v>
      </c>
      <c r="F124" s="155">
        <f>IFERROR(E124+'Pay App 7'!F124,"")</f>
        <v>0</v>
      </c>
      <c r="G124" s="155">
        <f>SUM('Pay App 1:Pay App 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8'!L124)+SUM('Pay App 1:Pay App 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Data'!$O$2:$BX$88,10,FALSE)</f>
        <v>0</v>
      </c>
      <c r="F125" s="155">
        <f>IFERROR(E125+'Pay App 7'!F125,"")</f>
        <v>0</v>
      </c>
      <c r="G125" s="155">
        <f>SUM('Pay App 1:Pay App 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8'!L125)+SUM('Pay App 1:Pay App 8'!M125)</f>
        <v>0</v>
      </c>
    </row>
    <row r="126" spans="1:14" ht="11.25" customHeight="1" x14ac:dyDescent="0.25">
      <c r="A126" s="152">
        <f t="shared" si="3"/>
        <v>65</v>
      </c>
      <c r="B126" s="188" t="str">
        <f>'Pay App 1'!B126</f>
        <v>14 20 00</v>
      </c>
      <c r="C126" s="194" t="str">
        <f>'Pay App 1'!C126</f>
        <v>Elevator</v>
      </c>
      <c r="D126" s="155">
        <f>'Pay App 1'!D126</f>
        <v>0</v>
      </c>
      <c r="E126" s="155">
        <f>VLOOKUP(B126,'Graph Data'!$O$2:$BX$88,10,FALSE)</f>
        <v>0</v>
      </c>
      <c r="F126" s="155">
        <f>IFERROR(E126+'Pay App 7'!F126,"")</f>
        <v>0</v>
      </c>
      <c r="G126" s="155">
        <f>SUM('Pay App 1:Pay App 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8'!L126)+SUM('Pay App 1:Pay App 8'!M126)</f>
        <v>0</v>
      </c>
    </row>
    <row r="127" spans="1:14" ht="11.25" customHeight="1" x14ac:dyDescent="0.25">
      <c r="A127" s="152">
        <f t="shared" si="3"/>
        <v>66</v>
      </c>
      <c r="B127" s="188" t="str">
        <f>'Pay App 1'!B127</f>
        <v>14 40 00</v>
      </c>
      <c r="C127" s="194" t="str">
        <f>'Pay App 1'!C127</f>
        <v>Lifts</v>
      </c>
      <c r="D127" s="155">
        <f>'Pay App 1'!D127</f>
        <v>0</v>
      </c>
      <c r="E127" s="155">
        <f>VLOOKUP(B127,'Graph Data'!$O$2:$BX$88,10,FALSE)</f>
        <v>0</v>
      </c>
      <c r="F127" s="155">
        <f>IFERROR(E127+'Pay App 7'!F127,"")</f>
        <v>0</v>
      </c>
      <c r="G127" s="155">
        <f>SUM('Pay App 1:Pay App 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8'!L127)+SUM('Pay App 1:Pay App 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Data'!$O$2:$BX$88,10,FALSE)</f>
        <v>0</v>
      </c>
      <c r="F128" s="155">
        <f>IFERROR(E128+'Pay App 7'!F128,"")</f>
        <v>0</v>
      </c>
      <c r="G128" s="155">
        <f>SUM('Pay App 1:Pay App 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8'!L128)+SUM('Pay App 1:Pay App 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Data'!$O$2:$BX$88,10,FALSE)</f>
        <v>0</v>
      </c>
      <c r="F129" s="155">
        <f>IFERROR(E129+'Pay App 7'!F129,"")</f>
        <v>0</v>
      </c>
      <c r="G129" s="155">
        <f>SUM('Pay App 1:Pay App 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8'!L129)+SUM('Pay App 1:Pay App 8'!M129)</f>
        <v>0</v>
      </c>
    </row>
    <row r="130" spans="1:14" ht="11.25" customHeight="1" x14ac:dyDescent="0.25">
      <c r="A130" s="152">
        <f t="shared" si="3"/>
        <v>69</v>
      </c>
      <c r="B130" s="185" t="str">
        <f>'Pay App 1'!B130</f>
        <v>22 00 00</v>
      </c>
      <c r="C130" s="191" t="str">
        <f>'Pay App 1'!C130</f>
        <v>Plumbing</v>
      </c>
      <c r="D130" s="155">
        <f>'Pay App 1'!D130</f>
        <v>0</v>
      </c>
      <c r="E130" s="155">
        <f>VLOOKUP(B130,'Graph Data'!$O$2:$BX$88,10,FALSE)</f>
        <v>0</v>
      </c>
      <c r="F130" s="155">
        <f>IFERROR(E130+'Pay App 7'!F130,"")</f>
        <v>0</v>
      </c>
      <c r="G130" s="155">
        <f>SUM('Pay App 1:Pay App 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8'!L130)+SUM('Pay App 1:Pay App 8'!M130)</f>
        <v>0</v>
      </c>
    </row>
    <row r="131" spans="1:14" ht="11.25" customHeight="1" x14ac:dyDescent="0.25">
      <c r="A131" s="152">
        <f t="shared" si="3"/>
        <v>70</v>
      </c>
      <c r="B131" s="186" t="str">
        <f>'Pay App 1'!B131</f>
        <v>23 00 00</v>
      </c>
      <c r="C131" s="192" t="str">
        <f>'Pay App 1'!C131</f>
        <v>HVAC</v>
      </c>
      <c r="D131" s="155">
        <f>'Pay App 1'!D131</f>
        <v>0</v>
      </c>
      <c r="E131" s="155">
        <f>VLOOKUP(B131,'Graph Data'!$O$2:$BX$88,10,FALSE)</f>
        <v>0</v>
      </c>
      <c r="F131" s="155">
        <f>IFERROR(E131+'Pay App 7'!F131,"")</f>
        <v>0</v>
      </c>
      <c r="G131" s="155">
        <f>SUM('Pay App 1:Pay App 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8'!L131)+SUM('Pay App 1:Pay App 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Data'!$O$2:$BX$88,10,FALSE)</f>
        <v>0</v>
      </c>
      <c r="F132" s="155">
        <f>IFERROR(E132+'Pay App 7'!F132,"")</f>
        <v>0</v>
      </c>
      <c r="G132" s="155">
        <f>SUM('Pay App 1:Pay App 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8'!L132)+SUM('Pay App 1:Pay App 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Data'!$O$2:$BX$88,10,FALSE)</f>
        <v>0</v>
      </c>
      <c r="F133" s="155">
        <f>IFERROR(E133+'Pay App 7'!F133,"")</f>
        <v>0</v>
      </c>
      <c r="G133" s="155">
        <f>SUM('Pay App 1:Pay App 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8'!L133)+SUM('Pay App 1:Pay App 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Data'!$O$2:$BX$88,10,FALSE)</f>
        <v>0</v>
      </c>
      <c r="F134" s="155">
        <f>IFERROR(E134+'Pay App 7'!F134,"")</f>
        <v>0</v>
      </c>
      <c r="G134" s="155">
        <f>SUM('Pay App 1:Pay App 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8'!L134)+SUM('Pay App 1:Pay App 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Data'!$O$2:$BX$88,10,FALSE)</f>
        <v>0</v>
      </c>
      <c r="F135" s="155">
        <f>IFERROR(E135+'Pay App 7'!F135,"")</f>
        <v>0</v>
      </c>
      <c r="G135" s="155">
        <f>SUM('Pay App 1:Pay App 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8'!L135)+SUM('Pay App 1:Pay App 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Data'!$O$2:$BX$88,10,FALSE)</f>
        <v>0</v>
      </c>
      <c r="F136" s="155">
        <f>IFERROR(E136+'Pay App 7'!F136,"")</f>
        <v>0</v>
      </c>
      <c r="G136" s="155">
        <f>SUM('Pay App 1:Pay App 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8'!L136)+SUM('Pay App 1:Pay App 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Data'!$O$2:$BX$88,10,FALSE)</f>
        <v>0</v>
      </c>
      <c r="F137" s="155">
        <f>IFERROR(E137+'Pay App 7'!F137,"")</f>
        <v>0</v>
      </c>
      <c r="G137" s="155">
        <f>SUM('Pay App 1:Pay App 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8'!L137)+SUM('Pay App 1:Pay App 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Data'!$O$2:$BX$88,10,FALSE)</f>
        <v>0</v>
      </c>
      <c r="F138" s="155">
        <f>IFERROR(E138+'Pay App 7'!F138,"")</f>
        <v>0</v>
      </c>
      <c r="G138" s="155">
        <f>SUM('Pay App 1:Pay App 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8'!L138)+SUM('Pay App 1:Pay App 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Data'!$O$2:$BX$88,10,FALSE)</f>
        <v>0</v>
      </c>
      <c r="F139" s="155">
        <f>IFERROR(E139+'Pay App 7'!F139,"")</f>
        <v>0</v>
      </c>
      <c r="G139" s="155">
        <f>SUM('Pay App 1:Pay App 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8'!L139)+SUM('Pay App 1:Pay App 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Data'!$O$2:$BX$88,10,FALSE)</f>
        <v>0</v>
      </c>
      <c r="F140" s="155">
        <f>IFERROR(E140+'Pay App 7'!F140,"")</f>
        <v>0</v>
      </c>
      <c r="G140" s="155">
        <f>SUM('Pay App 1:Pay App 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8'!L140)+SUM('Pay App 1:Pay App 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Data'!$O$2:$BX$88,10,FALSE)</f>
        <v>0</v>
      </c>
      <c r="F141" s="155">
        <f>IFERROR(E141+'Pay App 7'!F141,"")</f>
        <v>0</v>
      </c>
      <c r="G141" s="155">
        <f>SUM('Pay App 1:Pay App 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8'!L141)+SUM('Pay App 1:Pay App 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Data'!$O$2:$BX$88,10,FALSE)</f>
        <v>0</v>
      </c>
      <c r="F142" s="155">
        <f>IFERROR(E142+'Pay App 7'!F142,"")</f>
        <v>0</v>
      </c>
      <c r="G142" s="155">
        <f>SUM('Pay App 1:Pay App 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8'!L142)+SUM('Pay App 1:Pay App 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Data'!$O$2:$BX$88,10,FALSE)</f>
        <v>0</v>
      </c>
      <c r="F143" s="155">
        <f>IFERROR(E143+'Pay App 7'!F143,"")</f>
        <v>0</v>
      </c>
      <c r="G143" s="155">
        <f>SUM('Pay App 1:Pay App 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8'!L143)+SUM('Pay App 1:Pay App 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Data'!$O$2:$BX$88,10,FALSE)</f>
        <v>0</v>
      </c>
      <c r="F144" s="155">
        <f>IFERROR(E144+'Pay App 7'!F144,"")</f>
        <v>0</v>
      </c>
      <c r="G144" s="155">
        <f>SUM('Pay App 1:Pay App 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8'!L144)+SUM('Pay App 1:Pay App 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Data'!$O$2:$BX$88,10,FALSE)</f>
        <v>0</v>
      </c>
      <c r="F145" s="155">
        <f>IFERROR(E145+'Pay App 7'!F145,"")</f>
        <v>0</v>
      </c>
      <c r="G145" s="155">
        <f>SUM('Pay App 1:Pay App 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8'!L145)+SUM('Pay App 1:Pay App 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Data'!$O$2:$BX$88,10,FALSE)</f>
        <v>0</v>
      </c>
      <c r="F146" s="155">
        <f>IFERROR(E146+'Pay App 7'!F146,"")</f>
        <v>0</v>
      </c>
      <c r="G146" s="155">
        <f>SUM('Pay App 1:Pay App 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8'!L146)+SUM('Pay App 1:Pay App 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Data'!$O$2:$BX$88,10,FALSE)</f>
        <v>0</v>
      </c>
      <c r="F147" s="155">
        <f>IFERROR(E147+'Pay App 7'!F147,"")</f>
        <v>0</v>
      </c>
      <c r="G147" s="155">
        <f>SUM('Pay App 1:Pay App 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8'!L147)+SUM('Pay App 1:Pay App 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Data'!$O$2:$BX$88,10,FALSE)</f>
        <v>0</v>
      </c>
      <c r="F148" s="155">
        <f>IFERROR(E148+'Pay App 7'!F148,"")</f>
        <v>0</v>
      </c>
      <c r="G148" s="155">
        <f>SUM('Pay App 1:Pay App 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8'!L148)+SUM('Pay App 1:Pay App 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MDQnmePYDN7EaG7R6/AxJA0O8xwmGtwk2+5q/Gu0/J2BbDL6J8nlvCrroLNkrZpImrLVsnUWZbUwR45c34FlDw==" saltValue="a7vSZLEtgp1tBiFOnPNCF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82" priority="2" operator="equal">
      <formula>0</formula>
    </cfRule>
  </conditionalFormatting>
  <conditionalFormatting sqref="D106:G148">
    <cfRule type="cellIs" dxfId="581" priority="1" operator="equal">
      <formula>0</formula>
    </cfRule>
  </conditionalFormatting>
  <conditionalFormatting sqref="D10:H10 D12:H14 D19:H21">
    <cfRule type="cellIs" dxfId="580" priority="6" operator="equal">
      <formula>0</formula>
    </cfRule>
  </conditionalFormatting>
  <conditionalFormatting sqref="H51">
    <cfRule type="cellIs" dxfId="579" priority="9" operator="lessThan">
      <formula>0</formula>
    </cfRule>
  </conditionalFormatting>
  <conditionalFormatting sqref="I57:I100 K57:K100 I106:I148 K106:K148 N106:N148">
    <cfRule type="cellIs" dxfId="578" priority="14" operator="equal">
      <formula>0</formula>
    </cfRule>
  </conditionalFormatting>
  <conditionalFormatting sqref="J57:J100 J106:J149">
    <cfRule type="cellIs" dxfId="577" priority="11" operator="greaterThan">
      <formula>1</formula>
    </cfRule>
    <cfRule type="cellIs" dxfId="576" priority="12" operator="equal">
      <formula>0</formula>
    </cfRule>
  </conditionalFormatting>
  <conditionalFormatting sqref="K57:K100 K106:K148">
    <cfRule type="cellIs" dxfId="575" priority="10" operator="lessThan">
      <formula>0</formula>
    </cfRule>
  </conditionalFormatting>
  <conditionalFormatting sqref="M57:M100">
    <cfRule type="cellIs" dxfId="574" priority="13" operator="lessThan">
      <formula>0</formula>
    </cfRule>
  </conditionalFormatting>
  <conditionalFormatting sqref="M106:M148">
    <cfRule type="cellIs" dxfId="573" priority="8" operator="lessThan">
      <formula>0</formula>
    </cfRule>
  </conditionalFormatting>
  <conditionalFormatting sqref="N57:N100">
    <cfRule type="cellIs" dxfId="57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32B61E85-AD71-4BBA-93F5-731EB639DF6E}">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4B08A-05DE-4DC6-BB8C-B6060E9C803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9.1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Data'!$O$2:$BX$88,11,FALSE)</f>
        <v>0</v>
      </c>
      <c r="F57" s="155">
        <f>IFERROR(E57+'Pay App 8'!F57,"")</f>
        <v>0</v>
      </c>
      <c r="G57" s="155">
        <f>SUM('Pay App 1:Pay App 8'!H57)</f>
        <v>0</v>
      </c>
      <c r="H57" s="154"/>
      <c r="I57" s="155">
        <f>G57+H57</f>
        <v>0</v>
      </c>
      <c r="J57" s="156">
        <f>IFERROR(I57/F57,0)</f>
        <v>0</v>
      </c>
      <c r="K57" s="155">
        <f>IFERROR(F57-I57,"")</f>
        <v>0</v>
      </c>
      <c r="L57" s="155" t="str">
        <f>IF(AND('Summary Sheet'!$E$23="No",$H$33&gt;0,H57&gt;=1),"",IF(AND('Summary Sheet'!$E$23="Yes",H57&lt;&gt;""),H57*'Summary Sheet'!$G$23,""))</f>
        <v/>
      </c>
      <c r="M57" s="154"/>
      <c r="N57" s="155">
        <f>SUM('Pay App 1:Pay App 9'!L57)+SUM('Pay App 1:Pay App 9'!M57)</f>
        <v>0</v>
      </c>
    </row>
    <row r="58" spans="1:16" ht="11.25" customHeight="1" x14ac:dyDescent="0.25">
      <c r="A58" s="152">
        <v>2</v>
      </c>
      <c r="B58" s="145" t="str">
        <f>'Pay App 1'!B58</f>
        <v>00 02 00</v>
      </c>
      <c r="C58" s="134" t="str">
        <f>'Pay App 1'!C58</f>
        <v>Preconstruction Services</v>
      </c>
      <c r="D58" s="155">
        <f>'Pay App 1'!D58</f>
        <v>0</v>
      </c>
      <c r="E58" s="155">
        <f>VLOOKUP(B58,'Graph Data'!$O$2:$BX$88,11,FALSE)</f>
        <v>0</v>
      </c>
      <c r="F58" s="155">
        <f>IFERROR(E58+'Pay App 8'!F58,"")</f>
        <v>0</v>
      </c>
      <c r="G58" s="155">
        <f>SUM('Pay App 1:Pay App 8'!H58)</f>
        <v>0</v>
      </c>
      <c r="H58" s="154"/>
      <c r="I58" s="155">
        <f>G58+H58</f>
        <v>0</v>
      </c>
      <c r="J58" s="156">
        <f>IFERROR(I58/F58,0)</f>
        <v>0</v>
      </c>
      <c r="K58" s="155">
        <f>IFERROR(F58-I58,"")</f>
        <v>0</v>
      </c>
      <c r="L58" s="155" t="str">
        <f>IF(AND('Summary Sheet'!$E$23="No",$H$33&gt;0,H58&gt;=1),"",IF(AND('Summary Sheet'!$E$23="Yes",H58&lt;&gt;""),H58*'Summary Sheet'!$G$23,""))</f>
        <v/>
      </c>
      <c r="M58" s="154"/>
      <c r="N58" s="155">
        <f>SUM('Pay App 1:Pay App 9'!L58)+SUM('Pay App 1:Pay App 9'!M58)</f>
        <v>0</v>
      </c>
    </row>
    <row r="59" spans="1:16" ht="11.25" customHeight="1" x14ac:dyDescent="0.25">
      <c r="A59" s="152">
        <v>3</v>
      </c>
      <c r="B59" s="174" t="str">
        <f>'Pay App 1'!B59</f>
        <v>01 00 00</v>
      </c>
      <c r="C59" s="179" t="str">
        <f>'Pay App 1'!C59</f>
        <v>General Conditions/Requirements</v>
      </c>
      <c r="D59" s="155">
        <f>'Pay App 1'!D59</f>
        <v>0</v>
      </c>
      <c r="E59" s="155">
        <f>VLOOKUP(B59,'Graph Data'!$O$2:$BX$88,11,FALSE)</f>
        <v>0</v>
      </c>
      <c r="F59" s="155">
        <f>IFERROR(E59+'Pay App 8'!F59,"")</f>
        <v>0</v>
      </c>
      <c r="G59" s="155">
        <f>SUM('Pay App 1:Pay App 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9'!L59)+SUM('Pay App 1:Pay App 9'!M59)</f>
        <v>0</v>
      </c>
    </row>
    <row r="60" spans="1:16" ht="11.25" customHeight="1" x14ac:dyDescent="0.25">
      <c r="A60" s="152">
        <v>4</v>
      </c>
      <c r="B60" s="174" t="str">
        <f>'Pay App 1'!B60</f>
        <v>01 13 41</v>
      </c>
      <c r="C60" s="179" t="str">
        <f>'Pay App 1'!C60</f>
        <v>Temp. Scaffolding and Platforms</v>
      </c>
      <c r="D60" s="155">
        <f>'Pay App 1'!D60</f>
        <v>0</v>
      </c>
      <c r="E60" s="155">
        <f>VLOOKUP(B60,'Graph Data'!$O$2:$BX$88,11,FALSE)</f>
        <v>0</v>
      </c>
      <c r="F60" s="155">
        <f>IFERROR(E60+'Pay App 8'!F60,"")</f>
        <v>0</v>
      </c>
      <c r="G60" s="155">
        <f>SUM('Pay App 1:Pay App 8'!H60)</f>
        <v>0</v>
      </c>
      <c r="H60" s="154"/>
      <c r="I60" s="155">
        <f t="shared" si="0"/>
        <v>0</v>
      </c>
      <c r="J60" s="156">
        <f t="shared" si="1"/>
        <v>0</v>
      </c>
      <c r="K60" s="155">
        <f t="shared" si="2"/>
        <v>0</v>
      </c>
      <c r="L60" s="155" t="str">
        <f>IF(AND('Summary Sheet'!$E$23="No",$H$33&gt;0,H60&gt;=1),"",IF(AND('Summary Sheet'!$E$23="Yes",H60&lt;&gt;""),H60*'Summary Sheet'!$G$23,""))</f>
        <v/>
      </c>
      <c r="M60" s="154"/>
      <c r="N60" s="155">
        <f>SUM('Pay App 1:Pay App 9'!L60)+SUM('Pay App 1:Pay App 9'!M60)</f>
        <v>0</v>
      </c>
    </row>
    <row r="61" spans="1:16" ht="11.25" customHeight="1" x14ac:dyDescent="0.25">
      <c r="A61" s="152">
        <v>5</v>
      </c>
      <c r="B61" s="174" t="str">
        <f>'Pay App 1'!B61</f>
        <v>01 13 60</v>
      </c>
      <c r="C61" s="179" t="str">
        <f>'Pay App 1'!C61</f>
        <v>SWPPP</v>
      </c>
      <c r="D61" s="155">
        <f>'Pay App 1'!D61</f>
        <v>0</v>
      </c>
      <c r="E61" s="155">
        <f>VLOOKUP(B61,'Graph Data'!$O$2:$BX$88,11,FALSE)</f>
        <v>0</v>
      </c>
      <c r="F61" s="155">
        <f>IFERROR(E61+'Pay App 8'!F61,"")</f>
        <v>0</v>
      </c>
      <c r="G61" s="155">
        <f>SUM('Pay App 1:Pay App 8'!H61)</f>
        <v>0</v>
      </c>
      <c r="H61" s="154"/>
      <c r="I61" s="155">
        <f t="shared" si="0"/>
        <v>0</v>
      </c>
      <c r="J61" s="156">
        <f t="shared" si="1"/>
        <v>0</v>
      </c>
      <c r="K61" s="155">
        <f t="shared" si="2"/>
        <v>0</v>
      </c>
      <c r="L61" s="155" t="str">
        <f>IF(AND('Summary Sheet'!$E$23="No",$H$33&gt;0,H61&gt;=1),"",IF(AND('Summary Sheet'!$E$23="Yes",H61&lt;&gt;""),H61*'Summary Sheet'!$G$23,""))</f>
        <v/>
      </c>
      <c r="M61" s="154"/>
      <c r="N61" s="155">
        <f>SUM('Pay App 1:Pay App 9'!L61)+SUM('Pay App 1:Pay App 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Data'!$O$2:$BX$88,11,FALSE)</f>
        <v>0</v>
      </c>
      <c r="F62" s="155">
        <f>IFERROR(E62+'Pay App 8'!F62,"")</f>
        <v>0</v>
      </c>
      <c r="G62" s="155">
        <f>SUM('Pay App 1:Pay App 8'!H62)</f>
        <v>0</v>
      </c>
      <c r="H62" s="154"/>
      <c r="I62" s="155">
        <f t="shared" si="0"/>
        <v>0</v>
      </c>
      <c r="J62" s="156">
        <f t="shared" si="1"/>
        <v>0</v>
      </c>
      <c r="K62" s="155">
        <f t="shared" si="2"/>
        <v>0</v>
      </c>
      <c r="L62" s="155" t="str">
        <f>IF(AND('Summary Sheet'!$E$23="No",$H$33&gt;0,H62&gt;=1),"",IF(AND('Summary Sheet'!$E$23="Yes",H62&lt;&gt;""),H62*'Summary Sheet'!$G$23,""))</f>
        <v/>
      </c>
      <c r="M62" s="154"/>
      <c r="N62" s="155">
        <f>SUM('Pay App 1:Pay App 9'!L62)+SUM('Pay App 1:Pay App 9'!M62)</f>
        <v>0</v>
      </c>
    </row>
    <row r="63" spans="1:16" ht="11.25" customHeight="1" x14ac:dyDescent="0.25">
      <c r="A63" s="152">
        <v>7</v>
      </c>
      <c r="B63" s="174" t="str">
        <f>'Pay App 1'!B63</f>
        <v>01 31 00</v>
      </c>
      <c r="C63" s="179" t="str">
        <f>'Pay App 1'!C63</f>
        <v>Contractor's Supervision</v>
      </c>
      <c r="D63" s="155">
        <f>'Pay App 1'!D63</f>
        <v>0</v>
      </c>
      <c r="E63" s="155">
        <f>VLOOKUP(B63,'Graph Data'!$O$2:$BX$88,11,FALSE)</f>
        <v>0</v>
      </c>
      <c r="F63" s="155">
        <f>IFERROR(E63+'Pay App 8'!F63,"")</f>
        <v>0</v>
      </c>
      <c r="G63" s="155">
        <f>SUM('Pay App 1:Pay App 8'!H63)</f>
        <v>0</v>
      </c>
      <c r="H63" s="154"/>
      <c r="I63" s="155">
        <f t="shared" si="0"/>
        <v>0</v>
      </c>
      <c r="J63" s="156">
        <f t="shared" si="1"/>
        <v>0</v>
      </c>
      <c r="K63" s="155">
        <f t="shared" si="2"/>
        <v>0</v>
      </c>
      <c r="L63" s="155" t="str">
        <f>IF(AND('Summary Sheet'!$E$23="No",$H$33&gt;0,H63&gt;=1),"",IF(AND('Summary Sheet'!$E$23="Yes",H63&lt;&gt;""),H63*'Summary Sheet'!$G$23,""))</f>
        <v/>
      </c>
      <c r="M63" s="154"/>
      <c r="N63" s="155">
        <f>SUM('Pay App 1:Pay App 9'!L63)+SUM('Pay App 1:Pay App 9'!M63)</f>
        <v>0</v>
      </c>
    </row>
    <row r="64" spans="1:16" ht="11.25" customHeight="1" x14ac:dyDescent="0.25">
      <c r="A64" s="152">
        <v>8</v>
      </c>
      <c r="B64" s="174" t="str">
        <f>'Pay App 1'!B64</f>
        <v>01 32 00</v>
      </c>
      <c r="C64" s="179" t="str">
        <f>'Pay App 1'!C64</f>
        <v>General Liability Insurance</v>
      </c>
      <c r="D64" s="155">
        <f>'Pay App 1'!D64</f>
        <v>0</v>
      </c>
      <c r="E64" s="155">
        <f>VLOOKUP(B64,'Graph Data'!$O$2:$BX$88,11,FALSE)</f>
        <v>0</v>
      </c>
      <c r="F64" s="155">
        <f>IFERROR(E64+'Pay App 8'!F64,"")</f>
        <v>0</v>
      </c>
      <c r="G64" s="155">
        <f>SUM('Pay App 1:Pay App 8'!H64)</f>
        <v>0</v>
      </c>
      <c r="H64" s="154"/>
      <c r="I64" s="155">
        <f t="shared" si="0"/>
        <v>0</v>
      </c>
      <c r="J64" s="156">
        <f t="shared" si="1"/>
        <v>0</v>
      </c>
      <c r="K64" s="155">
        <f t="shared" si="2"/>
        <v>0</v>
      </c>
      <c r="L64" s="155" t="str">
        <f>IF(AND('Summary Sheet'!$E$23="No",$H$33&gt;0,H64&gt;=1),"",IF(AND('Summary Sheet'!$E$23="Yes",H64&lt;&gt;""),H64*'Summary Sheet'!$G$23,""))</f>
        <v/>
      </c>
      <c r="M64" s="154"/>
      <c r="N64" s="155">
        <f>SUM('Pay App 1:Pay App 9'!L64)+SUM('Pay App 1:Pay App 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Data'!$O$2:$BX$88,11,FALSE)</f>
        <v>0</v>
      </c>
      <c r="F65" s="155">
        <f>IFERROR(E65+'Pay App 8'!F65,"")</f>
        <v>0</v>
      </c>
      <c r="G65" s="155">
        <f>SUM('Pay App 1:Pay App 8'!H65)</f>
        <v>0</v>
      </c>
      <c r="H65" s="154"/>
      <c r="I65" s="155">
        <f t="shared" si="0"/>
        <v>0</v>
      </c>
      <c r="J65" s="156">
        <f t="shared" si="1"/>
        <v>0</v>
      </c>
      <c r="K65" s="155">
        <f t="shared" si="2"/>
        <v>0</v>
      </c>
      <c r="L65" s="155" t="str">
        <f>IF(AND('Summary Sheet'!$E$23="No",$H$33&gt;0,H65&gt;=1),"",IF(AND('Summary Sheet'!$E$23="Yes",H65&lt;&gt;""),H65*'Summary Sheet'!$G$23,""))</f>
        <v/>
      </c>
      <c r="M65" s="154"/>
      <c r="N65" s="155">
        <f>SUM('Pay App 1:Pay App 9'!L65)+SUM('Pay App 1:Pay App 9'!M65)</f>
        <v>0</v>
      </c>
    </row>
    <row r="66" spans="1:17" ht="11.25" customHeight="1" x14ac:dyDescent="0.25">
      <c r="A66" s="152">
        <v>10</v>
      </c>
      <c r="B66" s="174" t="str">
        <f>'Pay App 1'!B66</f>
        <v>01 34 00</v>
      </c>
      <c r="C66" s="179" t="str">
        <f>'Pay App 1'!C66</f>
        <v>Subcontractor Default Insurance</v>
      </c>
      <c r="D66" s="155">
        <f>'Pay App 1'!D66</f>
        <v>0</v>
      </c>
      <c r="E66" s="155">
        <f>VLOOKUP(B66,'Graph Data'!$O$2:$BX$88,11,FALSE)</f>
        <v>0</v>
      </c>
      <c r="F66" s="155">
        <f>IFERROR(E66+'Pay App 8'!F66,"")</f>
        <v>0</v>
      </c>
      <c r="G66" s="155">
        <f>SUM('Pay App 1:Pay App 8'!H66)</f>
        <v>0</v>
      </c>
      <c r="H66" s="154"/>
      <c r="I66" s="155">
        <f t="shared" si="0"/>
        <v>0</v>
      </c>
      <c r="J66" s="156">
        <f t="shared" si="1"/>
        <v>0</v>
      </c>
      <c r="K66" s="155">
        <f t="shared" si="2"/>
        <v>0</v>
      </c>
      <c r="L66" s="155" t="str">
        <f>IF(AND('Summary Sheet'!$E$23="No",$H$33&gt;0,H66&gt;=1),"",IF(AND('Summary Sheet'!$E$23="Yes",H66&lt;&gt;""),H66*'Summary Sheet'!$G$23,""))</f>
        <v/>
      </c>
      <c r="M66" s="154"/>
      <c r="N66" s="155">
        <f>SUM('Pay App 1:Pay App 9'!L66)+SUM('Pay App 1:Pay App 9'!M66)</f>
        <v>0</v>
      </c>
    </row>
    <row r="67" spans="1:17" ht="11.25" customHeight="1" x14ac:dyDescent="0.25">
      <c r="A67" s="152">
        <v>11</v>
      </c>
      <c r="B67" s="174" t="str">
        <f>'Pay App 1'!B67</f>
        <v>01 35 00</v>
      </c>
      <c r="C67" s="179" t="str">
        <f>'Pay App 1'!C67</f>
        <v>Construction Management Fee</v>
      </c>
      <c r="D67" s="155">
        <f>'Pay App 1'!D67</f>
        <v>0</v>
      </c>
      <c r="E67" s="155">
        <f>VLOOKUP(B67,'Graph Data'!$O$2:$BX$88,11,FALSE)</f>
        <v>0</v>
      </c>
      <c r="F67" s="155">
        <f>IFERROR(E67+'Pay App 8'!F67,"")</f>
        <v>0</v>
      </c>
      <c r="G67" s="155">
        <f>SUM('Pay App 1:Pay App 8'!H67)</f>
        <v>0</v>
      </c>
      <c r="H67" s="154"/>
      <c r="I67" s="155">
        <f t="shared" si="0"/>
        <v>0</v>
      </c>
      <c r="J67" s="156">
        <f t="shared" si="1"/>
        <v>0</v>
      </c>
      <c r="K67" s="155">
        <f t="shared" si="2"/>
        <v>0</v>
      </c>
      <c r="L67" s="155" t="str">
        <f>IF(AND('Summary Sheet'!$E$23="No",$H$33&gt;0,H67&gt;=1),"",IF(AND('Summary Sheet'!$E$23="Yes",H67&lt;&gt;""),H67*'Summary Sheet'!$G$23,""))</f>
        <v/>
      </c>
      <c r="M67" s="154"/>
      <c r="N67" s="155">
        <f>SUM('Pay App 1:Pay App 9'!L67)+SUM('Pay App 1:Pay App 9'!M67)</f>
        <v>0</v>
      </c>
    </row>
    <row r="68" spans="1:17" ht="11.25" customHeight="1" x14ac:dyDescent="0.25">
      <c r="A68" s="152">
        <v>12</v>
      </c>
      <c r="B68" s="174" t="str">
        <f>'Pay App 1'!B68</f>
        <v>01 36 00</v>
      </c>
      <c r="C68" s="179" t="str">
        <f>'Pay App 1'!C68</f>
        <v>Contingency</v>
      </c>
      <c r="D68" s="155">
        <f>'Pay App 1'!D68</f>
        <v>0</v>
      </c>
      <c r="E68" s="155">
        <f>VLOOKUP(B68,'Graph Data'!$O$2:$BX$88,11,FALSE)</f>
        <v>0</v>
      </c>
      <c r="F68" s="155">
        <f>IFERROR(E68+'Pay App 8'!F68,"")</f>
        <v>0</v>
      </c>
      <c r="G68" s="155">
        <f>SUM('Pay App 1:Pay App 8'!H68)</f>
        <v>0</v>
      </c>
      <c r="H68" s="154"/>
      <c r="I68" s="155">
        <f t="shared" si="0"/>
        <v>0</v>
      </c>
      <c r="J68" s="156">
        <f t="shared" si="1"/>
        <v>0</v>
      </c>
      <c r="K68" s="155">
        <f t="shared" si="2"/>
        <v>0</v>
      </c>
      <c r="L68" s="155" t="str">
        <f>IF(AND('Summary Sheet'!$E$23="No",$H$33&gt;0,H68&gt;=1),"",IF(AND('Summary Sheet'!$E$23="Yes",H68&lt;&gt;""),H68*'Summary Sheet'!$G$23,""))</f>
        <v/>
      </c>
      <c r="M68" s="154"/>
      <c r="N68" s="155">
        <f>SUM('Pay App 1:Pay App 9'!L68)+SUM('Pay App 1:Pay App 9'!M68)</f>
        <v>0</v>
      </c>
    </row>
    <row r="69" spans="1:17" ht="11.25" customHeight="1" x14ac:dyDescent="0.25">
      <c r="A69" s="152">
        <v>13</v>
      </c>
      <c r="B69" s="174" t="str">
        <f>'Pay App 1'!B69</f>
        <v>01 37 00</v>
      </c>
      <c r="C69" s="179" t="str">
        <f>'Pay App 1'!C69</f>
        <v>Weather Allowance (All Trades)</v>
      </c>
      <c r="D69" s="155">
        <f>'Pay App 1'!D69</f>
        <v>0</v>
      </c>
      <c r="E69" s="155">
        <f>VLOOKUP(B69,'Graph Data'!$O$2:$BX$88,11,FALSE)</f>
        <v>0</v>
      </c>
      <c r="F69" s="155">
        <f>IFERROR(E69+'Pay App 8'!F69,"")</f>
        <v>0</v>
      </c>
      <c r="G69" s="155">
        <f>SUM('Pay App 1:Pay App 8'!H69)</f>
        <v>0</v>
      </c>
      <c r="H69" s="154"/>
      <c r="I69" s="155">
        <f t="shared" si="0"/>
        <v>0</v>
      </c>
      <c r="J69" s="156">
        <f t="shared" si="1"/>
        <v>0</v>
      </c>
      <c r="K69" s="155">
        <f t="shared" si="2"/>
        <v>0</v>
      </c>
      <c r="L69" s="155" t="str">
        <f>IF(AND('Summary Sheet'!$E$23="No",$H$33&gt;0,H69&gt;=1),"",IF(AND('Summary Sheet'!$E$23="Yes",H69&lt;&gt;""),H69*'Summary Sheet'!$G$23,""))</f>
        <v/>
      </c>
      <c r="M69" s="154"/>
      <c r="N69" s="155">
        <f>SUM('Pay App 1:Pay App 9'!L69)+SUM('Pay App 1:Pay App 9'!M69)</f>
        <v>0</v>
      </c>
    </row>
    <row r="70" spans="1:17" ht="11.25" customHeight="1" x14ac:dyDescent="0.25">
      <c r="A70" s="152">
        <v>14</v>
      </c>
      <c r="B70" s="174" t="str">
        <f>'Pay App 1'!B70</f>
        <v>01 74 23</v>
      </c>
      <c r="C70" s="179" t="str">
        <f>'Pay App 1'!C70</f>
        <v>Cleaning (Final)</v>
      </c>
      <c r="D70" s="155">
        <f>'Pay App 1'!D70</f>
        <v>0</v>
      </c>
      <c r="E70" s="155">
        <f>VLOOKUP(B70,'Graph Data'!$O$2:$BX$88,11,FALSE)</f>
        <v>0</v>
      </c>
      <c r="F70" s="155">
        <f>IFERROR(E70+'Pay App 8'!F70,"")</f>
        <v>0</v>
      </c>
      <c r="G70" s="155">
        <f>SUM('Pay App 1:Pay App 8'!H70)</f>
        <v>0</v>
      </c>
      <c r="H70" s="154"/>
      <c r="I70" s="155">
        <f>G70+H70</f>
        <v>0</v>
      </c>
      <c r="J70" s="156">
        <f t="shared" si="1"/>
        <v>0</v>
      </c>
      <c r="K70" s="155">
        <f t="shared" si="2"/>
        <v>0</v>
      </c>
      <c r="L70" s="155" t="str">
        <f>IF(AND('Summary Sheet'!$E$23="No",$H$33&gt;0,H70&gt;=1),"",IF(AND('Summary Sheet'!$E$23="Yes",H70&lt;&gt;""),H70*'Summary Sheet'!$G$23,""))</f>
        <v/>
      </c>
      <c r="M70" s="154"/>
      <c r="N70" s="155">
        <f>SUM('Pay App 1:Pay App 9'!L70)+SUM('Pay App 1:Pay App 9'!M70)</f>
        <v>0</v>
      </c>
    </row>
    <row r="71" spans="1:17" ht="11.25" customHeight="1" x14ac:dyDescent="0.25">
      <c r="A71" s="152">
        <v>15</v>
      </c>
      <c r="B71" s="175" t="str">
        <f>'Pay App 1'!B71</f>
        <v>02 21 00</v>
      </c>
      <c r="C71" s="180" t="str">
        <f>'Pay App 1'!C71</f>
        <v>Survey/Engineering</v>
      </c>
      <c r="D71" s="155">
        <f>'Pay App 1'!D71</f>
        <v>0</v>
      </c>
      <c r="E71" s="155">
        <f>VLOOKUP(B71,'Graph Data'!$O$2:$BX$88,11,FALSE)</f>
        <v>0</v>
      </c>
      <c r="F71" s="155">
        <f>IFERROR(E71+'Pay App 8'!F71,"")</f>
        <v>0</v>
      </c>
      <c r="G71" s="155">
        <f>SUM('Pay App 1:Pay App 8'!H71)</f>
        <v>0</v>
      </c>
      <c r="H71" s="154"/>
      <c r="I71" s="155">
        <f>G71+H71</f>
        <v>0</v>
      </c>
      <c r="J71" s="156">
        <f t="shared" si="1"/>
        <v>0</v>
      </c>
      <c r="K71" s="155">
        <f t="shared" si="2"/>
        <v>0</v>
      </c>
      <c r="L71" s="155" t="str">
        <f>IF(AND('Summary Sheet'!$E$23="No",$H$33&gt;0,H71&gt;=1),"",IF(AND('Summary Sheet'!$E$23="Yes",H71&lt;&gt;""),H71*'Summary Sheet'!$G$23,""))</f>
        <v/>
      </c>
      <c r="M71" s="154"/>
      <c r="N71" s="155">
        <f>SUM('Pay App 1:Pay App 9'!L71)+SUM('Pay App 1:Pay App 9'!M71)</f>
        <v>0</v>
      </c>
      <c r="Q71" s="28"/>
    </row>
    <row r="72" spans="1:17" ht="11.25" customHeight="1" x14ac:dyDescent="0.25">
      <c r="A72" s="152">
        <v>16</v>
      </c>
      <c r="B72" s="175" t="str">
        <f>'Pay App 1'!B72</f>
        <v>02 41 00</v>
      </c>
      <c r="C72" s="180" t="str">
        <f>'Pay App 1'!C72</f>
        <v>Demolition</v>
      </c>
      <c r="D72" s="155">
        <f>'Pay App 1'!D72</f>
        <v>0</v>
      </c>
      <c r="E72" s="155">
        <f>VLOOKUP(B72,'Graph Data'!$O$2:$BX$88,11,FALSE)</f>
        <v>0</v>
      </c>
      <c r="F72" s="155">
        <f>IFERROR(E72+'Pay App 8'!F72,"")</f>
        <v>0</v>
      </c>
      <c r="G72" s="155">
        <f>SUM('Pay App 1:Pay App 8'!H72)</f>
        <v>0</v>
      </c>
      <c r="H72" s="154"/>
      <c r="I72" s="155">
        <f t="shared" si="0"/>
        <v>0</v>
      </c>
      <c r="J72" s="156">
        <f t="shared" si="1"/>
        <v>0</v>
      </c>
      <c r="K72" s="155">
        <f t="shared" si="2"/>
        <v>0</v>
      </c>
      <c r="L72" s="155" t="str">
        <f>IF(AND('Summary Sheet'!$E$23="No",$H$33&gt;0,H72&gt;=1),"",IF(AND('Summary Sheet'!$E$23="Yes",H72&lt;&gt;""),H72*'Summary Sheet'!$G$23,""))</f>
        <v/>
      </c>
      <c r="M72" s="154"/>
      <c r="N72" s="155">
        <f>SUM('Pay App 1:Pay App 9'!L72)+SUM('Pay App 1:Pay App 9'!M72)</f>
        <v>0</v>
      </c>
      <c r="Q72" s="28"/>
    </row>
    <row r="73" spans="1:17" ht="11.25" customHeight="1" x14ac:dyDescent="0.25">
      <c r="A73" s="152">
        <v>17</v>
      </c>
      <c r="B73" s="175" t="str">
        <f>'Pay App 1'!B73</f>
        <v>02 82 00</v>
      </c>
      <c r="C73" s="180" t="str">
        <f>'Pay App 1'!C73</f>
        <v>Asbestos Abatement</v>
      </c>
      <c r="D73" s="155">
        <f>'Pay App 1'!D73</f>
        <v>0</v>
      </c>
      <c r="E73" s="155">
        <f>VLOOKUP(B73,'Graph Data'!$O$2:$BX$88,11,FALSE)</f>
        <v>0</v>
      </c>
      <c r="F73" s="155">
        <f>IFERROR(E73+'Pay App 8'!F73,"")</f>
        <v>0</v>
      </c>
      <c r="G73" s="155">
        <f>SUM('Pay App 1:Pay App 8'!H73)</f>
        <v>0</v>
      </c>
      <c r="H73" s="154"/>
      <c r="I73" s="155">
        <f t="shared" si="0"/>
        <v>0</v>
      </c>
      <c r="J73" s="156">
        <f t="shared" si="1"/>
        <v>0</v>
      </c>
      <c r="K73" s="155">
        <f t="shared" si="2"/>
        <v>0</v>
      </c>
      <c r="L73" s="155" t="str">
        <f>IF(AND('Summary Sheet'!$E$23="No",$H$33&gt;0,H73&gt;=1),"",IF(AND('Summary Sheet'!$E$23="Yes",H73&lt;&gt;""),H73*'Summary Sheet'!$G$23,""))</f>
        <v/>
      </c>
      <c r="M73" s="154"/>
      <c r="N73" s="155">
        <f>SUM('Pay App 1:Pay App 9'!L73)+SUM('Pay App 1:Pay App 9'!M73)</f>
        <v>0</v>
      </c>
    </row>
    <row r="74" spans="1:17" ht="11.25" customHeight="1" x14ac:dyDescent="0.25">
      <c r="A74" s="152">
        <v>18</v>
      </c>
      <c r="B74" s="176" t="str">
        <f>'Pay App 1'!B74</f>
        <v>03 00 00</v>
      </c>
      <c r="C74" s="181" t="str">
        <f>'Pay App 1'!C74</f>
        <v>Building Concrete</v>
      </c>
      <c r="D74" s="155">
        <f>'Pay App 1'!D74</f>
        <v>0</v>
      </c>
      <c r="E74" s="155">
        <f>VLOOKUP(B74,'Graph Data'!$O$2:$BX$88,11,FALSE)</f>
        <v>0</v>
      </c>
      <c r="F74" s="155">
        <f>IFERROR(E74+'Pay App 8'!F74,"")</f>
        <v>0</v>
      </c>
      <c r="G74" s="155">
        <f>SUM('Pay App 1:Pay App 8'!H74)</f>
        <v>0</v>
      </c>
      <c r="H74" s="154"/>
      <c r="I74" s="155">
        <f t="shared" si="0"/>
        <v>0</v>
      </c>
      <c r="J74" s="156">
        <f t="shared" si="1"/>
        <v>0</v>
      </c>
      <c r="K74" s="155">
        <f t="shared" si="2"/>
        <v>0</v>
      </c>
      <c r="L74" s="155" t="str">
        <f>IF(AND('Summary Sheet'!$E$23="No",$H$33&gt;0,H74&gt;=1),"",IF(AND('Summary Sheet'!$E$23="Yes",H74&lt;&gt;""),H74*'Summary Sheet'!$G$23,""))</f>
        <v/>
      </c>
      <c r="M74" s="154"/>
      <c r="N74" s="155">
        <f>SUM('Pay App 1:Pay App 9'!L74)+SUM('Pay App 1:Pay App 9'!M74)</f>
        <v>0</v>
      </c>
    </row>
    <row r="75" spans="1:17" ht="11.25" customHeight="1" x14ac:dyDescent="0.25">
      <c r="A75" s="152">
        <v>19</v>
      </c>
      <c r="B75" s="176" t="str">
        <f>'Pay App 1'!B75</f>
        <v>03 20 00</v>
      </c>
      <c r="C75" s="181" t="str">
        <f>'Pay App 1'!C75</f>
        <v>Building Concrete Reinforcing</v>
      </c>
      <c r="D75" s="155">
        <f>'Pay App 1'!D75</f>
        <v>0</v>
      </c>
      <c r="E75" s="155">
        <f>VLOOKUP(B75,'Graph Data'!$O$2:$BX$88,11,FALSE)</f>
        <v>0</v>
      </c>
      <c r="F75" s="155">
        <f>IFERROR(E75+'Pay App 8'!F75,"")</f>
        <v>0</v>
      </c>
      <c r="G75" s="155">
        <f>SUM('Pay App 1:Pay App 8'!H75)</f>
        <v>0</v>
      </c>
      <c r="H75" s="154"/>
      <c r="I75" s="155">
        <f t="shared" si="0"/>
        <v>0</v>
      </c>
      <c r="J75" s="156">
        <f t="shared" si="1"/>
        <v>0</v>
      </c>
      <c r="K75" s="155">
        <f t="shared" si="2"/>
        <v>0</v>
      </c>
      <c r="L75" s="155" t="str">
        <f>IF(AND('Summary Sheet'!$E$23="No",$H$33&gt;0,H75&gt;=1),"",IF(AND('Summary Sheet'!$E$23="Yes",H75&lt;&gt;""),H75*'Summary Sheet'!$G$23,""))</f>
        <v/>
      </c>
      <c r="M75" s="154"/>
      <c r="N75" s="155">
        <f>SUM('Pay App 1:Pay App 9'!L75)+SUM('Pay App 1:Pay App 9'!M75)</f>
        <v>0</v>
      </c>
    </row>
    <row r="76" spans="1:17" ht="11.25" customHeight="1" x14ac:dyDescent="0.25">
      <c r="A76" s="152">
        <v>20</v>
      </c>
      <c r="B76" s="176" t="str">
        <f>'Pay App 1'!B76</f>
        <v>03 40 00</v>
      </c>
      <c r="C76" s="181" t="str">
        <f>'Pay App 1'!C76</f>
        <v>Precast</v>
      </c>
      <c r="D76" s="155">
        <f>'Pay App 1'!D76</f>
        <v>0</v>
      </c>
      <c r="E76" s="155">
        <f>VLOOKUP(B76,'Graph Data'!$O$2:$BX$88,11,FALSE)</f>
        <v>0</v>
      </c>
      <c r="F76" s="155">
        <f>IFERROR(E76+'Pay App 8'!F76,"")</f>
        <v>0</v>
      </c>
      <c r="G76" s="155">
        <f>SUM('Pay App 1:Pay App 8'!H76)</f>
        <v>0</v>
      </c>
      <c r="H76" s="154"/>
      <c r="I76" s="155">
        <f t="shared" si="0"/>
        <v>0</v>
      </c>
      <c r="J76" s="156">
        <f t="shared" si="1"/>
        <v>0</v>
      </c>
      <c r="K76" s="155">
        <f t="shared" si="2"/>
        <v>0</v>
      </c>
      <c r="L76" s="155" t="str">
        <f>IF(AND('Summary Sheet'!$E$23="No",$H$33&gt;0,H76&gt;=1),"",IF(AND('Summary Sheet'!$E$23="Yes",H76&lt;&gt;""),H76*'Summary Sheet'!$G$23,""))</f>
        <v/>
      </c>
      <c r="M76" s="154"/>
      <c r="N76" s="155">
        <f>SUM('Pay App 1:Pay App 9'!L76)+SUM('Pay App 1:Pay App 9'!M76)</f>
        <v>0</v>
      </c>
    </row>
    <row r="77" spans="1:17" ht="11.25" customHeight="1" x14ac:dyDescent="0.25">
      <c r="A77" s="152">
        <v>21</v>
      </c>
      <c r="B77" s="177" t="str">
        <f>'Pay App 1'!B77</f>
        <v>04 00 00</v>
      </c>
      <c r="C77" s="182" t="str">
        <f>'Pay App 1'!C77</f>
        <v>Masonry</v>
      </c>
      <c r="D77" s="155">
        <f>'Pay App 1'!D77</f>
        <v>0</v>
      </c>
      <c r="E77" s="155">
        <f>VLOOKUP(B77,'Graph Data'!$O$2:$BX$88,11,FALSE)</f>
        <v>0</v>
      </c>
      <c r="F77" s="155">
        <f>IFERROR(E77+'Pay App 8'!F77,"")</f>
        <v>0</v>
      </c>
      <c r="G77" s="155">
        <f>SUM('Pay App 1:Pay App 8'!H77)</f>
        <v>0</v>
      </c>
      <c r="H77" s="154"/>
      <c r="I77" s="155">
        <f t="shared" si="0"/>
        <v>0</v>
      </c>
      <c r="J77" s="156">
        <f t="shared" si="1"/>
        <v>0</v>
      </c>
      <c r="K77" s="155">
        <f t="shared" si="2"/>
        <v>0</v>
      </c>
      <c r="L77" s="155" t="str">
        <f>IF(AND('Summary Sheet'!$E$23="No",$H$33&gt;0,H77&gt;=1),"",IF(AND('Summary Sheet'!$E$23="Yes",H77&lt;&gt;""),H77*'Summary Sheet'!$G$23,""))</f>
        <v/>
      </c>
      <c r="M77" s="154"/>
      <c r="N77" s="155">
        <f>SUM('Pay App 1:Pay App 9'!L77)+SUM('Pay App 1:Pay App 9'!M77)</f>
        <v>0</v>
      </c>
    </row>
    <row r="78" spans="1:17" ht="11.25" customHeight="1" x14ac:dyDescent="0.25">
      <c r="A78" s="152">
        <v>22</v>
      </c>
      <c r="B78" s="177" t="str">
        <f>'Pay App 1'!B78</f>
        <v>04 05 19</v>
      </c>
      <c r="C78" s="182" t="str">
        <f>'Pay App 1'!C78</f>
        <v>Masonry Reinforcing</v>
      </c>
      <c r="D78" s="155">
        <f>'Pay App 1'!D78</f>
        <v>0</v>
      </c>
      <c r="E78" s="155">
        <f>VLOOKUP(B78,'Graph Data'!$O$2:$BX$88,11,FALSE)</f>
        <v>0</v>
      </c>
      <c r="F78" s="155">
        <f>IFERROR(E78+'Pay App 8'!F78,"")</f>
        <v>0</v>
      </c>
      <c r="G78" s="155">
        <f>SUM('Pay App 1:Pay App 8'!H78)</f>
        <v>0</v>
      </c>
      <c r="H78" s="154"/>
      <c r="I78" s="155">
        <f t="shared" si="0"/>
        <v>0</v>
      </c>
      <c r="J78" s="156">
        <f t="shared" si="1"/>
        <v>0</v>
      </c>
      <c r="K78" s="155">
        <f t="shared" si="2"/>
        <v>0</v>
      </c>
      <c r="L78" s="155" t="str">
        <f>IF(AND('Summary Sheet'!$E$23="No",$H$33&gt;0,H78&gt;=1),"",IF(AND('Summary Sheet'!$E$23="Yes",H78&lt;&gt;""),H78*'Summary Sheet'!$G$23,""))</f>
        <v/>
      </c>
      <c r="M78" s="154"/>
      <c r="N78" s="155">
        <f>SUM('Pay App 1:Pay App 9'!L78)+SUM('Pay App 1:Pay App 9'!M78)</f>
        <v>0</v>
      </c>
    </row>
    <row r="79" spans="1:17" ht="11.25" customHeight="1" x14ac:dyDescent="0.25">
      <c r="A79" s="152">
        <v>23</v>
      </c>
      <c r="B79" s="178" t="str">
        <f>'Pay App 1'!B79</f>
        <v>05 10 00</v>
      </c>
      <c r="C79" s="183" t="str">
        <f>'Pay App 1'!C79</f>
        <v>Structural Steel/Misc. Steel Fab</v>
      </c>
      <c r="D79" s="155">
        <f>'Pay App 1'!D79</f>
        <v>0</v>
      </c>
      <c r="E79" s="155">
        <f>VLOOKUP(B79,'Graph Data'!$O$2:$BX$88,11,FALSE)</f>
        <v>0</v>
      </c>
      <c r="F79" s="155">
        <f>IFERROR(E79+'Pay App 8'!F79,"")</f>
        <v>0</v>
      </c>
      <c r="G79" s="155">
        <f>SUM('Pay App 1:Pay App 8'!H79)</f>
        <v>0</v>
      </c>
      <c r="H79" s="154"/>
      <c r="I79" s="155">
        <f t="shared" si="0"/>
        <v>0</v>
      </c>
      <c r="J79" s="156">
        <f t="shared" si="1"/>
        <v>0</v>
      </c>
      <c r="K79" s="155">
        <f t="shared" si="2"/>
        <v>0</v>
      </c>
      <c r="L79" s="155" t="str">
        <f>IF(AND('Summary Sheet'!$E$23="No",$H$33&gt;0,H79&gt;=1),"",IF(AND('Summary Sheet'!$E$23="Yes",H79&lt;&gt;""),H79*'Summary Sheet'!$G$23,""))</f>
        <v/>
      </c>
      <c r="M79" s="154"/>
      <c r="N79" s="155">
        <f>SUM('Pay App 1:Pay App 9'!L79)+SUM('Pay App 1:Pay App 9'!M79)</f>
        <v>0</v>
      </c>
    </row>
    <row r="80" spans="1:17" ht="11.25" customHeight="1" x14ac:dyDescent="0.25">
      <c r="A80" s="152">
        <v>24</v>
      </c>
      <c r="B80" s="178" t="str">
        <f>'Pay App 1'!B80</f>
        <v>05 20 00</v>
      </c>
      <c r="C80" s="183" t="str">
        <f>'Pay App 1'!C80</f>
        <v>Joists &amp; Deck</v>
      </c>
      <c r="D80" s="155">
        <f>'Pay App 1'!D80</f>
        <v>0</v>
      </c>
      <c r="E80" s="155">
        <f>VLOOKUP(B80,'Graph Data'!$O$2:$BX$88,11,FALSE)</f>
        <v>0</v>
      </c>
      <c r="F80" s="155">
        <f>IFERROR(E80+'Pay App 8'!F80,"")</f>
        <v>0</v>
      </c>
      <c r="G80" s="155">
        <f>SUM('Pay App 1:Pay App 8'!H80)</f>
        <v>0</v>
      </c>
      <c r="H80" s="154"/>
      <c r="I80" s="155">
        <f t="shared" si="0"/>
        <v>0</v>
      </c>
      <c r="J80" s="156">
        <f t="shared" si="1"/>
        <v>0</v>
      </c>
      <c r="K80" s="155">
        <f t="shared" si="2"/>
        <v>0</v>
      </c>
      <c r="L80" s="155" t="str">
        <f>IF(AND('Summary Sheet'!$E$23="No",$H$33&gt;0,H80&gt;=1),"",IF(AND('Summary Sheet'!$E$23="Yes",H80&lt;&gt;""),H80*'Summary Sheet'!$G$23,""))</f>
        <v/>
      </c>
      <c r="M80" s="154"/>
      <c r="N80" s="155">
        <f>SUM('Pay App 1:Pay App 9'!L80)+SUM('Pay App 1:Pay App 9'!M80)</f>
        <v>0</v>
      </c>
    </row>
    <row r="81" spans="1:14" ht="11.25" customHeight="1" x14ac:dyDescent="0.25">
      <c r="A81" s="152">
        <v>25</v>
      </c>
      <c r="B81" s="178" t="str">
        <f>'Pay App 1'!B81</f>
        <v>05 70 00</v>
      </c>
      <c r="C81" s="183" t="str">
        <f>'Pay App 1'!C81</f>
        <v>Ornamental Metal</v>
      </c>
      <c r="D81" s="155">
        <f>'Pay App 1'!D81</f>
        <v>0</v>
      </c>
      <c r="E81" s="155">
        <f>VLOOKUP(B81,'Graph Data'!$O$2:$BX$88,11,FALSE)</f>
        <v>0</v>
      </c>
      <c r="F81" s="155">
        <f>IFERROR(E81+'Pay App 8'!F81,"")</f>
        <v>0</v>
      </c>
      <c r="G81" s="155">
        <f>SUM('Pay App 1:Pay App 8'!H81)</f>
        <v>0</v>
      </c>
      <c r="H81" s="154"/>
      <c r="I81" s="155">
        <f t="shared" si="0"/>
        <v>0</v>
      </c>
      <c r="J81" s="156">
        <f t="shared" si="1"/>
        <v>0</v>
      </c>
      <c r="K81" s="155">
        <f t="shared" si="2"/>
        <v>0</v>
      </c>
      <c r="L81" s="155" t="str">
        <f>IF(AND('Summary Sheet'!$E$23="No",$H$33&gt;0,H81&gt;=1),"",IF(AND('Summary Sheet'!$E$23="Yes",H81&lt;&gt;""),H81*'Summary Sheet'!$G$23,""))</f>
        <v/>
      </c>
      <c r="M81" s="154"/>
      <c r="N81" s="155">
        <f>SUM('Pay App 1:Pay App 9'!L81)+SUM('Pay App 1:Pay App 9'!M81)</f>
        <v>0</v>
      </c>
    </row>
    <row r="82" spans="1:14" ht="11.25" customHeight="1" x14ac:dyDescent="0.25">
      <c r="A82" s="152">
        <v>26</v>
      </c>
      <c r="B82" s="145" t="str">
        <f>'Pay App 1'!B82</f>
        <v>06 10 00</v>
      </c>
      <c r="C82" s="134" t="str">
        <f>'Pay App 1'!C82</f>
        <v>Rough Carpentry</v>
      </c>
      <c r="D82" s="155">
        <f>'Pay App 1'!D82</f>
        <v>0</v>
      </c>
      <c r="E82" s="155">
        <f>VLOOKUP(B82,'Graph Data'!$O$2:$BX$88,11,FALSE)</f>
        <v>0</v>
      </c>
      <c r="F82" s="155">
        <f>IFERROR(E82+'Pay App 8'!F82,"")</f>
        <v>0</v>
      </c>
      <c r="G82" s="155">
        <f>SUM('Pay App 1:Pay App 8'!H82)</f>
        <v>0</v>
      </c>
      <c r="H82" s="154"/>
      <c r="I82" s="155">
        <f t="shared" si="0"/>
        <v>0</v>
      </c>
      <c r="J82" s="156">
        <f t="shared" si="1"/>
        <v>0</v>
      </c>
      <c r="K82" s="155">
        <f t="shared" si="2"/>
        <v>0</v>
      </c>
      <c r="L82" s="155" t="str">
        <f>IF(AND('Summary Sheet'!$E$23="No",$H$33&gt;0,H82&gt;=1),"",IF(AND('Summary Sheet'!$E$23="Yes",H82&lt;&gt;""),H82*'Summary Sheet'!$G$23,""))</f>
        <v/>
      </c>
      <c r="M82" s="154"/>
      <c r="N82" s="155">
        <f>SUM('Pay App 1:Pay App 9'!L82)+SUM('Pay App 1:Pay App 9'!M82)</f>
        <v>0</v>
      </c>
    </row>
    <row r="83" spans="1:14" ht="11.25" customHeight="1" x14ac:dyDescent="0.25">
      <c r="A83" s="152">
        <v>27</v>
      </c>
      <c r="B83" s="145" t="str">
        <f>'Pay App 1'!B83</f>
        <v>06 40 00</v>
      </c>
      <c r="C83" s="134" t="str">
        <f>'Pay App 1'!C83</f>
        <v>Arch. Woodwork &amp; Finish Carp.</v>
      </c>
      <c r="D83" s="155">
        <f>'Pay App 1'!D83</f>
        <v>0</v>
      </c>
      <c r="E83" s="155">
        <f>VLOOKUP(B83,'Graph Data'!$O$2:$BX$88,11,FALSE)</f>
        <v>0</v>
      </c>
      <c r="F83" s="155">
        <f>IFERROR(E83+'Pay App 8'!F83,"")</f>
        <v>0</v>
      </c>
      <c r="G83" s="155">
        <f>SUM('Pay App 1:Pay App 8'!H83)</f>
        <v>0</v>
      </c>
      <c r="H83" s="154"/>
      <c r="I83" s="155">
        <f t="shared" si="0"/>
        <v>0</v>
      </c>
      <c r="J83" s="156">
        <f t="shared" si="1"/>
        <v>0</v>
      </c>
      <c r="K83" s="155">
        <f t="shared" si="2"/>
        <v>0</v>
      </c>
      <c r="L83" s="155" t="str">
        <f>IF(AND('Summary Sheet'!$E$23="No",$H$33&gt;0,H83&gt;=1),"",IF(AND('Summary Sheet'!$E$23="Yes",H83&lt;&gt;""),H83*'Summary Sheet'!$G$23,""))</f>
        <v/>
      </c>
      <c r="M83" s="154"/>
      <c r="N83" s="155">
        <f>SUM('Pay App 1:Pay App 9'!L83)+SUM('Pay App 1:Pay App 9'!M83)</f>
        <v>0</v>
      </c>
    </row>
    <row r="84" spans="1:14" ht="11.25" customHeight="1" x14ac:dyDescent="0.25">
      <c r="A84" s="152">
        <v>28</v>
      </c>
      <c r="B84" s="174" t="str">
        <f>'Pay App 1'!B84</f>
        <v>07 10 00</v>
      </c>
      <c r="C84" s="179" t="str">
        <f>'Pay App 1'!C84</f>
        <v>Waterproofing/Water Repellents</v>
      </c>
      <c r="D84" s="155">
        <f>'Pay App 1'!D84</f>
        <v>0</v>
      </c>
      <c r="E84" s="155">
        <f>VLOOKUP(B84,'Graph Data'!$O$2:$BX$88,11,FALSE)</f>
        <v>0</v>
      </c>
      <c r="F84" s="155">
        <f>IFERROR(E84+'Pay App 8'!F84,"")</f>
        <v>0</v>
      </c>
      <c r="G84" s="155">
        <f>SUM('Pay App 1:Pay App 8'!H84)</f>
        <v>0</v>
      </c>
      <c r="H84" s="154"/>
      <c r="I84" s="155">
        <f t="shared" si="0"/>
        <v>0</v>
      </c>
      <c r="J84" s="156">
        <f t="shared" si="1"/>
        <v>0</v>
      </c>
      <c r="K84" s="155">
        <f t="shared" si="2"/>
        <v>0</v>
      </c>
      <c r="L84" s="155" t="str">
        <f>IF(AND('Summary Sheet'!$E$23="No",$H$33&gt;0,H84&gt;=1),"",IF(AND('Summary Sheet'!$E$23="Yes",H84&lt;&gt;""),H84*'Summary Sheet'!$G$23,""))</f>
        <v/>
      </c>
      <c r="M84" s="154"/>
      <c r="N84" s="155">
        <f>SUM('Pay App 1:Pay App 9'!L84)+SUM('Pay App 1:Pay App 9'!M84)</f>
        <v>0</v>
      </c>
    </row>
    <row r="85" spans="1:14" ht="11.25" customHeight="1" x14ac:dyDescent="0.25">
      <c r="A85" s="152">
        <v>29</v>
      </c>
      <c r="B85" s="174" t="str">
        <f>'Pay App 1'!B85</f>
        <v>07 20 00</v>
      </c>
      <c r="C85" s="179" t="str">
        <f>'Pay App 1'!C85</f>
        <v>Insulation</v>
      </c>
      <c r="D85" s="155">
        <f>'Pay App 1'!D85</f>
        <v>0</v>
      </c>
      <c r="E85" s="155">
        <f>VLOOKUP(B85,'Graph Data'!$O$2:$BX$88,11,FALSE)</f>
        <v>0</v>
      </c>
      <c r="F85" s="155">
        <f>IFERROR(E85+'Pay App 8'!F85,"")</f>
        <v>0</v>
      </c>
      <c r="G85" s="155">
        <f>SUM('Pay App 1:Pay App 8'!H85)</f>
        <v>0</v>
      </c>
      <c r="H85" s="154"/>
      <c r="I85" s="155">
        <f t="shared" si="0"/>
        <v>0</v>
      </c>
      <c r="J85" s="156">
        <f t="shared" si="1"/>
        <v>0</v>
      </c>
      <c r="K85" s="155">
        <f t="shared" si="2"/>
        <v>0</v>
      </c>
      <c r="L85" s="155" t="str">
        <f>IF(AND('Summary Sheet'!$E$23="No",$H$33&gt;0,H85&gt;=1),"",IF(AND('Summary Sheet'!$E$23="Yes",H85&lt;&gt;""),H85*'Summary Sheet'!$G$23,""))</f>
        <v/>
      </c>
      <c r="M85" s="154"/>
      <c r="N85" s="155">
        <f>SUM('Pay App 1:Pay App 9'!L85)+SUM('Pay App 1:Pay App 9'!M85)</f>
        <v>0</v>
      </c>
    </row>
    <row r="86" spans="1:14" ht="11.25" customHeight="1" x14ac:dyDescent="0.25">
      <c r="A86" s="152">
        <v>30</v>
      </c>
      <c r="B86" s="174" t="str">
        <f>'Pay App 1'!B86</f>
        <v>07 24 00</v>
      </c>
      <c r="C86" s="179" t="str">
        <f>'Pay App 1'!C86</f>
        <v>EIFS</v>
      </c>
      <c r="D86" s="155">
        <f>'Pay App 1'!D86</f>
        <v>0</v>
      </c>
      <c r="E86" s="155">
        <f>VLOOKUP(B86,'Graph Data'!$O$2:$BX$88,11,FALSE)</f>
        <v>0</v>
      </c>
      <c r="F86" s="155">
        <f>IFERROR(E86+'Pay App 8'!F86,"")</f>
        <v>0</v>
      </c>
      <c r="G86" s="155">
        <f>SUM('Pay App 1:Pay App 8'!H86)</f>
        <v>0</v>
      </c>
      <c r="H86" s="154"/>
      <c r="I86" s="155">
        <f t="shared" si="0"/>
        <v>0</v>
      </c>
      <c r="J86" s="156">
        <f t="shared" si="1"/>
        <v>0</v>
      </c>
      <c r="K86" s="155">
        <f t="shared" si="2"/>
        <v>0</v>
      </c>
      <c r="L86" s="155" t="str">
        <f>IF(AND('Summary Sheet'!$E$23="No",$H$33&gt;0,H86&gt;=1),"",IF(AND('Summary Sheet'!$E$23="Yes",H86&lt;&gt;""),H86*'Summary Sheet'!$G$23,""))</f>
        <v/>
      </c>
      <c r="M86" s="154"/>
      <c r="N86" s="155">
        <f>SUM('Pay App 1:Pay App 9'!L86)+SUM('Pay App 1:Pay App 9'!M86)</f>
        <v>0</v>
      </c>
    </row>
    <row r="87" spans="1:14" ht="11.25" customHeight="1" x14ac:dyDescent="0.25">
      <c r="A87" s="152">
        <v>31</v>
      </c>
      <c r="B87" s="174" t="str">
        <f>'Pay App 1'!B87</f>
        <v>07 26 00</v>
      </c>
      <c r="C87" s="179" t="str">
        <f>'Pay App 1'!C87</f>
        <v>Vapor Retarders</v>
      </c>
      <c r="D87" s="155">
        <f>'Pay App 1'!D87</f>
        <v>0</v>
      </c>
      <c r="E87" s="155">
        <f>VLOOKUP(B87,'Graph Data'!$O$2:$BX$88,11,FALSE)</f>
        <v>0</v>
      </c>
      <c r="F87" s="155">
        <f>IFERROR(E87+'Pay App 8'!F87,"")</f>
        <v>0</v>
      </c>
      <c r="G87" s="155">
        <f>SUM('Pay App 1:Pay App 8'!H87)</f>
        <v>0</v>
      </c>
      <c r="H87" s="154"/>
      <c r="I87" s="155">
        <f t="shared" si="0"/>
        <v>0</v>
      </c>
      <c r="J87" s="156">
        <f t="shared" si="1"/>
        <v>0</v>
      </c>
      <c r="K87" s="155">
        <f t="shared" si="2"/>
        <v>0</v>
      </c>
      <c r="L87" s="155" t="str">
        <f>IF(AND('Summary Sheet'!$E$23="No",$H$33&gt;0,H87&gt;=1),"",IF(AND('Summary Sheet'!$E$23="Yes",H87&lt;&gt;""),H87*'Summary Sheet'!$G$23,""))</f>
        <v/>
      </c>
      <c r="M87" s="154"/>
      <c r="N87" s="155">
        <f>SUM('Pay App 1:Pay App 9'!L87)+SUM('Pay App 1:Pay App 9'!M87)</f>
        <v>0</v>
      </c>
    </row>
    <row r="88" spans="1:14" ht="11.25" customHeight="1" x14ac:dyDescent="0.25">
      <c r="A88" s="152">
        <v>32</v>
      </c>
      <c r="B88" s="174" t="str">
        <f>'Pay App 1'!B88</f>
        <v>07 41 00</v>
      </c>
      <c r="C88" s="179" t="str">
        <f>'Pay App 1'!C88</f>
        <v>Roofing</v>
      </c>
      <c r="D88" s="155">
        <f>'Pay App 1'!D88</f>
        <v>0</v>
      </c>
      <c r="E88" s="155">
        <f>VLOOKUP(B88,'Graph Data'!$O$2:$BX$88,11,FALSE)</f>
        <v>0</v>
      </c>
      <c r="F88" s="155">
        <f>IFERROR(E88+'Pay App 8'!F88,"")</f>
        <v>0</v>
      </c>
      <c r="G88" s="155">
        <f>SUM('Pay App 1:Pay App 8'!H88)</f>
        <v>0</v>
      </c>
      <c r="H88" s="154"/>
      <c r="I88" s="155">
        <f t="shared" si="0"/>
        <v>0</v>
      </c>
      <c r="J88" s="156">
        <f t="shared" si="1"/>
        <v>0</v>
      </c>
      <c r="K88" s="155">
        <f t="shared" si="2"/>
        <v>0</v>
      </c>
      <c r="L88" s="155" t="str">
        <f>IF(AND('Summary Sheet'!$E$23="No",$H$33&gt;0,H88&gt;=1),"",IF(AND('Summary Sheet'!$E$23="Yes",H88&lt;&gt;""),H88*'Summary Sheet'!$G$23,""))</f>
        <v/>
      </c>
      <c r="M88" s="154"/>
      <c r="N88" s="155">
        <f>SUM('Pay App 1:Pay App 9'!L88)+SUM('Pay App 1:Pay App 9'!M88)</f>
        <v>0</v>
      </c>
    </row>
    <row r="89" spans="1:14" ht="11.25" customHeight="1" x14ac:dyDescent="0.25">
      <c r="A89" s="152">
        <v>33</v>
      </c>
      <c r="B89" s="174" t="str">
        <f>'Pay App 1'!B89</f>
        <v>07 42 00</v>
      </c>
      <c r="C89" s="179" t="str">
        <f>'Pay App 1'!C89</f>
        <v>Metal Panels</v>
      </c>
      <c r="D89" s="155">
        <f>'Pay App 1'!D89</f>
        <v>0</v>
      </c>
      <c r="E89" s="155">
        <f>VLOOKUP(B89,'Graph Data'!$O$2:$BX$88,11,FALSE)</f>
        <v>0</v>
      </c>
      <c r="F89" s="155">
        <f>IFERROR(E89+'Pay App 8'!F89,"")</f>
        <v>0</v>
      </c>
      <c r="G89" s="155">
        <f>SUM('Pay App 1:Pay App 8'!H89)</f>
        <v>0</v>
      </c>
      <c r="H89" s="154"/>
      <c r="I89" s="155">
        <f t="shared" si="0"/>
        <v>0</v>
      </c>
      <c r="J89" s="156">
        <f t="shared" si="1"/>
        <v>0</v>
      </c>
      <c r="K89" s="155">
        <f t="shared" si="2"/>
        <v>0</v>
      </c>
      <c r="L89" s="155" t="str">
        <f>IF(AND('Summary Sheet'!$E$23="No",$H$33&gt;0,H89&gt;=1),"",IF(AND('Summary Sheet'!$E$23="Yes",H89&lt;&gt;""),H89*'Summary Sheet'!$G$23,""))</f>
        <v/>
      </c>
      <c r="M89" s="154"/>
      <c r="N89" s="155">
        <f>SUM('Pay App 1:Pay App 9'!L89)+SUM('Pay App 1:Pay App 9'!M89)</f>
        <v>0</v>
      </c>
    </row>
    <row r="90" spans="1:14" ht="11.25" customHeight="1" x14ac:dyDescent="0.25">
      <c r="A90" s="152">
        <v>34</v>
      </c>
      <c r="B90" s="174" t="str">
        <f>'Pay App 1'!B90</f>
        <v>07 60 00</v>
      </c>
      <c r="C90" s="179" t="str">
        <f>'Pay App 1'!C90</f>
        <v>Sheet Metal Flashing &amp; Trim</v>
      </c>
      <c r="D90" s="155">
        <f>'Pay App 1'!D90</f>
        <v>0</v>
      </c>
      <c r="E90" s="155">
        <f>VLOOKUP(B90,'Graph Data'!$O$2:$BX$88,11,FALSE)</f>
        <v>0</v>
      </c>
      <c r="F90" s="155">
        <f>IFERROR(E90+'Pay App 8'!F90,"")</f>
        <v>0</v>
      </c>
      <c r="G90" s="155">
        <f>SUM('Pay App 1:Pay App 8'!H90)</f>
        <v>0</v>
      </c>
      <c r="H90" s="154"/>
      <c r="I90" s="155">
        <f t="shared" si="0"/>
        <v>0</v>
      </c>
      <c r="J90" s="156">
        <f t="shared" si="1"/>
        <v>0</v>
      </c>
      <c r="K90" s="155">
        <f t="shared" si="2"/>
        <v>0</v>
      </c>
      <c r="L90" s="155" t="str">
        <f>IF(AND('Summary Sheet'!$E$23="No",$H$33&gt;0,H90&gt;=1),"",IF(AND('Summary Sheet'!$E$23="Yes",H90&lt;&gt;""),H90*'Summary Sheet'!$G$23,""))</f>
        <v/>
      </c>
      <c r="M90" s="154"/>
      <c r="N90" s="155">
        <f>SUM('Pay App 1:Pay App 9'!L90)+SUM('Pay App 1:Pay App 9'!M90)</f>
        <v>0</v>
      </c>
    </row>
    <row r="91" spans="1:14" ht="11.25" customHeight="1" x14ac:dyDescent="0.25">
      <c r="A91" s="152">
        <v>35</v>
      </c>
      <c r="B91" s="174" t="str">
        <f>'Pay App 1'!B91</f>
        <v>07 80 00</v>
      </c>
      <c r="C91" s="179" t="str">
        <f>'Pay App 1'!C91</f>
        <v>Fireproofing</v>
      </c>
      <c r="D91" s="155">
        <f>'Pay App 1'!D91</f>
        <v>0</v>
      </c>
      <c r="E91" s="155">
        <f>VLOOKUP(B91,'Graph Data'!$O$2:$BX$88,11,FALSE)</f>
        <v>0</v>
      </c>
      <c r="F91" s="155">
        <f>IFERROR(E91+'Pay App 8'!F91,"")</f>
        <v>0</v>
      </c>
      <c r="G91" s="155">
        <f>SUM('Pay App 1:Pay App 8'!H91)</f>
        <v>0</v>
      </c>
      <c r="H91" s="154"/>
      <c r="I91" s="155">
        <f t="shared" si="0"/>
        <v>0</v>
      </c>
      <c r="J91" s="156">
        <f t="shared" si="1"/>
        <v>0</v>
      </c>
      <c r="K91" s="155">
        <f t="shared" si="2"/>
        <v>0</v>
      </c>
      <c r="L91" s="155" t="str">
        <f>IF(AND('Summary Sheet'!$E$23="No",$H$33&gt;0,H91&gt;=1),"",IF(AND('Summary Sheet'!$E$23="Yes",H91&lt;&gt;""),H91*'Summary Sheet'!$G$23,""))</f>
        <v/>
      </c>
      <c r="M91" s="154"/>
      <c r="N91" s="155">
        <f>SUM('Pay App 1:Pay App 9'!L91)+SUM('Pay App 1:Pay App 9'!M91)</f>
        <v>0</v>
      </c>
    </row>
    <row r="92" spans="1:14" ht="11.25" customHeight="1" x14ac:dyDescent="0.25">
      <c r="A92" s="152">
        <v>36</v>
      </c>
      <c r="B92" s="174" t="str">
        <f>'Pay App 1'!B92</f>
        <v>07 90 00</v>
      </c>
      <c r="C92" s="179" t="str">
        <f>'Pay App 1'!C92</f>
        <v>Joint Sealants</v>
      </c>
      <c r="D92" s="155">
        <f>'Pay App 1'!D92</f>
        <v>0</v>
      </c>
      <c r="E92" s="155">
        <f>VLOOKUP(B92,'Graph Data'!$O$2:$BX$88,11,FALSE)</f>
        <v>0</v>
      </c>
      <c r="F92" s="155">
        <f>IFERROR(E92+'Pay App 8'!F92,"")</f>
        <v>0</v>
      </c>
      <c r="G92" s="155">
        <f>SUM('Pay App 1:Pay App 8'!H92)</f>
        <v>0</v>
      </c>
      <c r="H92" s="154"/>
      <c r="I92" s="155">
        <f t="shared" si="0"/>
        <v>0</v>
      </c>
      <c r="J92" s="156">
        <f t="shared" si="1"/>
        <v>0</v>
      </c>
      <c r="K92" s="155">
        <f t="shared" si="2"/>
        <v>0</v>
      </c>
      <c r="L92" s="155" t="str">
        <f>IF(AND('Summary Sheet'!$E$23="No",$H$33&gt;0,H92&gt;=1),"",IF(AND('Summary Sheet'!$E$23="Yes",H92&lt;&gt;""),H92*'Summary Sheet'!$G$23,""))</f>
        <v/>
      </c>
      <c r="M92" s="154"/>
      <c r="N92" s="155">
        <f>SUM('Pay App 1:Pay App 9'!L92)+SUM('Pay App 1:Pay App 9'!M92)</f>
        <v>0</v>
      </c>
    </row>
    <row r="93" spans="1:14" ht="11.25" customHeight="1" x14ac:dyDescent="0.25">
      <c r="A93" s="152">
        <v>37</v>
      </c>
      <c r="B93" s="174" t="str">
        <f>'Pay App 1'!B93</f>
        <v>07 95 00</v>
      </c>
      <c r="C93" s="179" t="str">
        <f>'Pay App 1'!C93</f>
        <v>Expansion Joints</v>
      </c>
      <c r="D93" s="155">
        <f>'Pay App 1'!D93</f>
        <v>0</v>
      </c>
      <c r="E93" s="155">
        <f>VLOOKUP(B93,'Graph Data'!$O$2:$BX$88,11,FALSE)</f>
        <v>0</v>
      </c>
      <c r="F93" s="155">
        <f>IFERROR(E93+'Pay App 8'!F93,"")</f>
        <v>0</v>
      </c>
      <c r="G93" s="155">
        <f>SUM('Pay App 1:Pay App 8'!H93)</f>
        <v>0</v>
      </c>
      <c r="H93" s="154"/>
      <c r="I93" s="155">
        <f t="shared" si="0"/>
        <v>0</v>
      </c>
      <c r="J93" s="156">
        <f t="shared" si="1"/>
        <v>0</v>
      </c>
      <c r="K93" s="155">
        <f t="shared" si="2"/>
        <v>0</v>
      </c>
      <c r="L93" s="155" t="str">
        <f>IF(AND('Summary Sheet'!$E$23="No",$H$33&gt;0,H93&gt;=1),"",IF(AND('Summary Sheet'!$E$23="Yes",H93&lt;&gt;""),H93*'Summary Sheet'!$G$23,""))</f>
        <v/>
      </c>
      <c r="M93" s="154"/>
      <c r="N93" s="155">
        <f>SUM('Pay App 1:Pay App 9'!L93)+SUM('Pay App 1:Pay App 9'!M93)</f>
        <v>0</v>
      </c>
    </row>
    <row r="94" spans="1:14" ht="11.25" customHeight="1" x14ac:dyDescent="0.25">
      <c r="A94" s="152">
        <v>38</v>
      </c>
      <c r="B94" s="175" t="str">
        <f>'Pay App 1'!B94</f>
        <v>08 10 00</v>
      </c>
      <c r="C94" s="180" t="str">
        <f>'Pay App 1'!C94</f>
        <v>Doors, Frames &amp; Hardware</v>
      </c>
      <c r="D94" s="155">
        <f>'Pay App 1'!D94</f>
        <v>0</v>
      </c>
      <c r="E94" s="155">
        <f>VLOOKUP(B94,'Graph Data'!$O$2:$BX$88,11,FALSE)</f>
        <v>0</v>
      </c>
      <c r="F94" s="155">
        <f>IFERROR(E94+'Pay App 8'!F94,"")</f>
        <v>0</v>
      </c>
      <c r="G94" s="155">
        <f>SUM('Pay App 1:Pay App 8'!H94)</f>
        <v>0</v>
      </c>
      <c r="H94" s="154"/>
      <c r="I94" s="155">
        <f t="shared" si="0"/>
        <v>0</v>
      </c>
      <c r="J94" s="156">
        <f t="shared" si="1"/>
        <v>0</v>
      </c>
      <c r="K94" s="155">
        <f t="shared" si="2"/>
        <v>0</v>
      </c>
      <c r="L94" s="155" t="str">
        <f>IF(AND('Summary Sheet'!$E$23="No",$H$33&gt;0,H94&gt;=1),"",IF(AND('Summary Sheet'!$E$23="Yes",H94&lt;&gt;""),H94*'Summary Sheet'!$G$23,""))</f>
        <v/>
      </c>
      <c r="M94" s="154"/>
      <c r="N94" s="155">
        <f>SUM('Pay App 1:Pay App 9'!L94)+SUM('Pay App 1:Pay App 9'!M94)</f>
        <v>0</v>
      </c>
    </row>
    <row r="95" spans="1:14" ht="11.25" customHeight="1" x14ac:dyDescent="0.25">
      <c r="A95" s="152">
        <v>39</v>
      </c>
      <c r="B95" s="175" t="str">
        <f>'Pay App 1'!B95</f>
        <v>08 30 00</v>
      </c>
      <c r="C95" s="180" t="str">
        <f>'Pay App 1'!C95</f>
        <v>Specialty Doors</v>
      </c>
      <c r="D95" s="155">
        <f>'Pay App 1'!D95</f>
        <v>0</v>
      </c>
      <c r="E95" s="155">
        <f>VLOOKUP(B95,'Graph Data'!$O$2:$BX$88,11,FALSE)</f>
        <v>0</v>
      </c>
      <c r="F95" s="155">
        <f>IFERROR(E95+'Pay App 8'!F95,"")</f>
        <v>0</v>
      </c>
      <c r="G95" s="155">
        <f>SUM('Pay App 1:Pay App 8'!H95)</f>
        <v>0</v>
      </c>
      <c r="H95" s="154"/>
      <c r="I95" s="155">
        <f t="shared" si="0"/>
        <v>0</v>
      </c>
      <c r="J95" s="156">
        <f t="shared" si="1"/>
        <v>0</v>
      </c>
      <c r="K95" s="155">
        <f t="shared" si="2"/>
        <v>0</v>
      </c>
      <c r="L95" s="155" t="str">
        <f>IF(AND('Summary Sheet'!$E$23="No",$H$33&gt;0,H95&gt;=1),"",IF(AND('Summary Sheet'!$E$23="Yes",H95&lt;&gt;""),H95*'Summary Sheet'!$G$23,""))</f>
        <v/>
      </c>
      <c r="M95" s="154"/>
      <c r="N95" s="155">
        <f>SUM('Pay App 1:Pay App 9'!L95)+SUM('Pay App 1:Pay App 9'!M95)</f>
        <v>0</v>
      </c>
    </row>
    <row r="96" spans="1:14" ht="11.25" customHeight="1" x14ac:dyDescent="0.25">
      <c r="A96" s="152">
        <v>40</v>
      </c>
      <c r="B96" s="175" t="str">
        <f>'Pay App 1'!B96</f>
        <v>08 33 00</v>
      </c>
      <c r="C96" s="180" t="str">
        <f>'Pay App 1'!C96</f>
        <v>Overhead Doors/Coiling Doors</v>
      </c>
      <c r="D96" s="155">
        <f>'Pay App 1'!D96</f>
        <v>0</v>
      </c>
      <c r="E96" s="155">
        <f>VLOOKUP(B96,'Graph Data'!$O$2:$BX$88,11,FALSE)</f>
        <v>0</v>
      </c>
      <c r="F96" s="155">
        <f>IFERROR(E96+'Pay App 8'!F96,"")</f>
        <v>0</v>
      </c>
      <c r="G96" s="155">
        <f>SUM('Pay App 1:Pay App 8'!H96)</f>
        <v>0</v>
      </c>
      <c r="H96" s="154"/>
      <c r="I96" s="155">
        <f t="shared" si="0"/>
        <v>0</v>
      </c>
      <c r="J96" s="156">
        <f t="shared" si="1"/>
        <v>0</v>
      </c>
      <c r="K96" s="155">
        <f t="shared" si="2"/>
        <v>0</v>
      </c>
      <c r="L96" s="155" t="str">
        <f>IF(AND('Summary Sheet'!$E$23="No",$H$33&gt;0,H96&gt;=1),"",IF(AND('Summary Sheet'!$E$23="Yes",H96&lt;&gt;""),H96*'Summary Sheet'!$G$23,""))</f>
        <v/>
      </c>
      <c r="M96" s="154"/>
      <c r="N96" s="155">
        <f>SUM('Pay App 1:Pay App 9'!L96)+SUM('Pay App 1:Pay App 9'!M96)</f>
        <v>0</v>
      </c>
    </row>
    <row r="97" spans="1:15" ht="11.25" customHeight="1" x14ac:dyDescent="0.25">
      <c r="A97" s="152">
        <v>41</v>
      </c>
      <c r="B97" s="175" t="str">
        <f>'Pay App 1'!B97</f>
        <v>08 40 00</v>
      </c>
      <c r="C97" s="180" t="str">
        <f>'Pay App 1'!C97</f>
        <v>Curtain Wall, Glass &amp; Glazing</v>
      </c>
      <c r="D97" s="155">
        <f>'Pay App 1'!D97</f>
        <v>0</v>
      </c>
      <c r="E97" s="155">
        <f>VLOOKUP(B97,'Graph Data'!$O$2:$BX$88,11,FALSE)</f>
        <v>0</v>
      </c>
      <c r="F97" s="155">
        <f>IFERROR(E97+'Pay App 8'!F97,"")</f>
        <v>0</v>
      </c>
      <c r="G97" s="155">
        <f>SUM('Pay App 1:Pay App 8'!H97)</f>
        <v>0</v>
      </c>
      <c r="H97" s="154"/>
      <c r="I97" s="155">
        <f t="shared" si="0"/>
        <v>0</v>
      </c>
      <c r="J97" s="156">
        <f t="shared" si="1"/>
        <v>0</v>
      </c>
      <c r="K97" s="155">
        <f t="shared" si="2"/>
        <v>0</v>
      </c>
      <c r="L97" s="155" t="str">
        <f>IF(AND('Summary Sheet'!$E$23="No",$H$33&gt;0,H97&gt;=1),"",IF(AND('Summary Sheet'!$E$23="Yes",H97&lt;&gt;""),H97*'Summary Sheet'!$G$23,""))</f>
        <v/>
      </c>
      <c r="M97" s="154"/>
      <c r="N97" s="155">
        <f>SUM('Pay App 1:Pay App 9'!L97)+SUM('Pay App 1:Pay App 9'!M97)</f>
        <v>0</v>
      </c>
    </row>
    <row r="98" spans="1:15" ht="10.9" customHeight="1" x14ac:dyDescent="0.25">
      <c r="A98" s="152">
        <v>42</v>
      </c>
      <c r="B98" s="175" t="str">
        <f>'Pay App 1'!B98</f>
        <v>08 60 00</v>
      </c>
      <c r="C98" s="180" t="str">
        <f>'Pay App 1'!C98</f>
        <v>Skylights</v>
      </c>
      <c r="D98" s="155">
        <f>'Pay App 1'!D98</f>
        <v>0</v>
      </c>
      <c r="E98" s="155">
        <f>VLOOKUP(B98,'Graph Data'!$O$2:$BX$88,11,FALSE)</f>
        <v>0</v>
      </c>
      <c r="F98" s="155">
        <f>IFERROR(E98+'Pay App 8'!F98,"")</f>
        <v>0</v>
      </c>
      <c r="G98" s="155">
        <f>SUM('Pay App 1:Pay App 8'!H98)</f>
        <v>0</v>
      </c>
      <c r="H98" s="154"/>
      <c r="I98" s="155">
        <f t="shared" si="0"/>
        <v>0</v>
      </c>
      <c r="J98" s="156">
        <f t="shared" si="1"/>
        <v>0</v>
      </c>
      <c r="K98" s="155">
        <f t="shared" si="2"/>
        <v>0</v>
      </c>
      <c r="L98" s="155" t="str">
        <f>IF(AND('Summary Sheet'!$E$23="No",$H$33&gt;0,H98&gt;=1),"",IF(AND('Summary Sheet'!$E$23="Yes",H98&lt;&gt;""),H98*'Summary Sheet'!$G$23,""))</f>
        <v/>
      </c>
      <c r="M98" s="154"/>
      <c r="N98" s="155">
        <f>SUM('Pay App 1:Pay App 9'!L98)+SUM('Pay App 1:Pay App 9'!M98)</f>
        <v>0</v>
      </c>
    </row>
    <row r="99" spans="1:15" ht="10.9" customHeight="1" x14ac:dyDescent="0.25">
      <c r="A99" s="152">
        <v>43</v>
      </c>
      <c r="B99" s="175" t="str">
        <f>'Pay App 1'!B99</f>
        <v>08 90 00</v>
      </c>
      <c r="C99" s="180" t="str">
        <f>'Pay App 1'!C99</f>
        <v>Louvers &amp; Vents</v>
      </c>
      <c r="D99" s="155">
        <f>'Pay App 1'!D99</f>
        <v>0</v>
      </c>
      <c r="E99" s="155">
        <f>VLOOKUP(B99,'Graph Data'!$O$2:$BX$88,11,FALSE)</f>
        <v>0</v>
      </c>
      <c r="F99" s="155">
        <f>IFERROR(E99+'Pay App 8'!F99,"")</f>
        <v>0</v>
      </c>
      <c r="G99" s="155">
        <f>SUM('Pay App 1:Pay App 8'!H99)</f>
        <v>0</v>
      </c>
      <c r="H99" s="154"/>
      <c r="I99" s="155">
        <f t="shared" si="0"/>
        <v>0</v>
      </c>
      <c r="J99" s="156">
        <f t="shared" si="1"/>
        <v>0</v>
      </c>
      <c r="K99" s="155">
        <f t="shared" si="2"/>
        <v>0</v>
      </c>
      <c r="L99" s="155" t="str">
        <f>IF(AND('Summary Sheet'!$E$23="No",$H$33&gt;0,H99&gt;=1),"",IF(AND('Summary Sheet'!$E$23="Yes",H99&lt;&gt;""),H99*'Summary Sheet'!$G$23,""))</f>
        <v/>
      </c>
      <c r="M99" s="154"/>
      <c r="N99" s="155">
        <f>SUM('Pay App 1:Pay App 9'!L99)+SUM('Pay App 1:Pay App 9'!M99)</f>
        <v>0</v>
      </c>
    </row>
    <row r="100" spans="1:15" ht="11.25" customHeight="1" x14ac:dyDescent="0.25">
      <c r="A100" s="153">
        <v>44</v>
      </c>
      <c r="B100" s="176" t="str">
        <f>'Pay App 1'!B100</f>
        <v>09 20 00</v>
      </c>
      <c r="C100" s="181" t="str">
        <f>'Pay App 1'!C100</f>
        <v>Gypsum Board Systems</v>
      </c>
      <c r="D100" s="155">
        <f>'Pay App 1'!D100</f>
        <v>0</v>
      </c>
      <c r="E100" s="155">
        <f>VLOOKUP(B100,'Graph Data'!$O$2:$BX$88,11,FALSE)</f>
        <v>0</v>
      </c>
      <c r="F100" s="155">
        <f>IFERROR(E100+'Pay App 8'!F100,"")</f>
        <v>0</v>
      </c>
      <c r="G100" s="155">
        <f>SUM('Pay App 1:Pay App 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9'!L100)+SUM('Pay App 1:Pay App 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9.1999999999999993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Data'!$O$2:$BX$88,11,FALSE)</f>
        <v>0</v>
      </c>
      <c r="F106" s="155">
        <f>IFERROR(E106+'Pay App 8'!F106,"")</f>
        <v>0</v>
      </c>
      <c r="G106" s="155">
        <f>SUM('Pay App 1:Pay App 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9'!L106)+SUM('Pay App 1:Pay App 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Data'!$O$2:$BX$88,11,FALSE)</f>
        <v>0</v>
      </c>
      <c r="F107" s="155">
        <f>IFERROR(E107+'Pay App 8'!F107,"")</f>
        <v>0</v>
      </c>
      <c r="G107" s="155">
        <f>SUM('Pay App 1:Pay App 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9'!L107)+SUM('Pay App 1:Pay App 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Data'!$O$2:$BX$88,11,FALSE)</f>
        <v>0</v>
      </c>
      <c r="F108" s="155">
        <f>IFERROR(E108+'Pay App 8'!F108,"")</f>
        <v>0</v>
      </c>
      <c r="G108" s="155">
        <f>SUM('Pay App 1:Pay App 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9'!L108)+SUM('Pay App 1:Pay App 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Data'!$O$2:$BX$88,11,FALSE)</f>
        <v>0</v>
      </c>
      <c r="F109" s="155">
        <f>IFERROR(E109+'Pay App 8'!F109,"")</f>
        <v>0</v>
      </c>
      <c r="G109" s="155">
        <f>SUM('Pay App 1:Pay App 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9'!L109)+SUM('Pay App 1:Pay App 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Data'!$O$2:$BX$88,11,FALSE)</f>
        <v>0</v>
      </c>
      <c r="F110" s="155">
        <f>IFERROR(E110+'Pay App 8'!F110,"")</f>
        <v>0</v>
      </c>
      <c r="G110" s="155">
        <f>SUM('Pay App 1:Pay App 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9'!L110)+SUM('Pay App 1:Pay App 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Data'!$O$2:$BX$88,11,FALSE)</f>
        <v>0</v>
      </c>
      <c r="F111" s="155">
        <f>IFERROR(E111+'Pay App 8'!F111,"")</f>
        <v>0</v>
      </c>
      <c r="G111" s="155">
        <f>SUM('Pay App 1:Pay App 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9'!L111)+SUM('Pay App 1:Pay App 9'!M111)</f>
        <v>0</v>
      </c>
    </row>
    <row r="112" spans="1:15" ht="11.25" customHeight="1" x14ac:dyDescent="0.25">
      <c r="A112" s="152">
        <f t="shared" si="3"/>
        <v>51</v>
      </c>
      <c r="B112" s="148" t="str">
        <f>'Pay App 1'!B112</f>
        <v>09 90 00</v>
      </c>
      <c r="C112" s="143" t="str">
        <f>'Pay App 1'!C112</f>
        <v>Painting</v>
      </c>
      <c r="D112" s="155">
        <f>'Pay App 1'!D112</f>
        <v>0</v>
      </c>
      <c r="E112" s="155">
        <f>VLOOKUP(B112,'Graph Data'!$O$2:$BX$88,11,FALSE)</f>
        <v>0</v>
      </c>
      <c r="F112" s="155">
        <f>IFERROR(E112+'Pay App 8'!F112,"")</f>
        <v>0</v>
      </c>
      <c r="G112" s="155">
        <f>SUM('Pay App 1:Pay App 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9'!L112)+SUM('Pay App 1:Pay App 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Data'!$O$2:$BX$88,11,FALSE)</f>
        <v>0</v>
      </c>
      <c r="F113" s="155">
        <f>IFERROR(E113+'Pay App 8'!F113,"")</f>
        <v>0</v>
      </c>
      <c r="G113" s="155">
        <f>SUM('Pay App 1:Pay App 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9'!L113)+SUM('Pay App 1:Pay App 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Data'!$O$2:$BX$88,11,FALSE)</f>
        <v>0</v>
      </c>
      <c r="F114" s="155">
        <f>IFERROR(E114+'Pay App 8'!F114,"")</f>
        <v>0</v>
      </c>
      <c r="G114" s="155">
        <f>SUM('Pay App 1:Pay App 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9'!L114)+SUM('Pay App 1:Pay App 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Data'!$O$2:$BX$88,11,FALSE)</f>
        <v>0</v>
      </c>
      <c r="F115" s="155">
        <f>IFERROR(E115+'Pay App 8'!F115,"")</f>
        <v>0</v>
      </c>
      <c r="G115" s="155">
        <f>SUM('Pay App 1:Pay App 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9'!L115)+SUM('Pay App 1:Pay App 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Data'!$O$2:$BX$88,11,FALSE)</f>
        <v>0</v>
      </c>
      <c r="F116" s="155">
        <f>IFERROR(E116+'Pay App 8'!F116,"")</f>
        <v>0</v>
      </c>
      <c r="G116" s="155">
        <f>SUM('Pay App 1:Pay App 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9'!L116)+SUM('Pay App 1:Pay App 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Data'!$O$2:$BX$88,11,FALSE)</f>
        <v>0</v>
      </c>
      <c r="F117" s="155">
        <f>IFERROR(E117+'Pay App 8'!F117,"")</f>
        <v>0</v>
      </c>
      <c r="G117" s="155">
        <f>SUM('Pay App 1:Pay App 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9'!L117)+SUM('Pay App 1:Pay App 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Data'!$O$2:$BX$88,11,FALSE)</f>
        <v>0</v>
      </c>
      <c r="F118" s="155">
        <f>IFERROR(E118+'Pay App 8'!F118,"")</f>
        <v>0</v>
      </c>
      <c r="G118" s="155">
        <f>SUM('Pay App 1:Pay App 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9'!L118)+SUM('Pay App 1:Pay App 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Data'!$O$2:$BX$88,11,FALSE)</f>
        <v>0</v>
      </c>
      <c r="F119" s="155">
        <f>IFERROR(E119+'Pay App 8'!F119,"")</f>
        <v>0</v>
      </c>
      <c r="G119" s="155">
        <f>SUM('Pay App 1:Pay App 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9'!L119)+SUM('Pay App 1:Pay App 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Data'!$O$2:$BX$88,11,FALSE)</f>
        <v>0</v>
      </c>
      <c r="F120" s="155">
        <f>IFERROR(E120+'Pay App 8'!F120,"")</f>
        <v>0</v>
      </c>
      <c r="G120" s="155">
        <f>SUM('Pay App 1:Pay App 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9'!L120)+SUM('Pay App 1:Pay App 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Data'!$O$2:$BX$88,11,FALSE)</f>
        <v>0</v>
      </c>
      <c r="F121" s="155">
        <f>IFERROR(E121+'Pay App 8'!F121,"")</f>
        <v>0</v>
      </c>
      <c r="G121" s="155">
        <f>SUM('Pay App 1:Pay App 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9'!L121)+SUM('Pay App 1:Pay App 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Data'!$O$2:$BX$88,11,FALSE)</f>
        <v>0</v>
      </c>
      <c r="F122" s="155">
        <f>IFERROR(E122+'Pay App 8'!F122,"")</f>
        <v>0</v>
      </c>
      <c r="G122" s="155">
        <f>SUM('Pay App 1:Pay App 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9'!L122)+SUM('Pay App 1:Pay App 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Data'!$O$2:$BX$88,11,FALSE)</f>
        <v>0</v>
      </c>
      <c r="F123" s="155">
        <f>IFERROR(E123+'Pay App 8'!F123,"")</f>
        <v>0</v>
      </c>
      <c r="G123" s="155">
        <f>SUM('Pay App 1:Pay App 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9'!L123)+SUM('Pay App 1:Pay App 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Data'!$O$2:$BX$88,11,FALSE)</f>
        <v>0</v>
      </c>
      <c r="F124" s="155">
        <f>IFERROR(E124+'Pay App 8'!F124,"")</f>
        <v>0</v>
      </c>
      <c r="G124" s="155">
        <f>SUM('Pay App 1:Pay App 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9'!L124)+SUM('Pay App 1:Pay App 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Data'!$O$2:$BX$88,11,FALSE)</f>
        <v>0</v>
      </c>
      <c r="F125" s="155">
        <f>IFERROR(E125+'Pay App 8'!F125,"")</f>
        <v>0</v>
      </c>
      <c r="G125" s="155">
        <f>SUM('Pay App 1:Pay App 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9'!L125)+SUM('Pay App 1:Pay App 9'!M125)</f>
        <v>0</v>
      </c>
    </row>
    <row r="126" spans="1:14" ht="11.25" customHeight="1" x14ac:dyDescent="0.25">
      <c r="A126" s="152">
        <f t="shared" si="3"/>
        <v>65</v>
      </c>
      <c r="B126" s="188" t="str">
        <f>'Pay App 1'!B126</f>
        <v>14 20 00</v>
      </c>
      <c r="C126" s="194" t="str">
        <f>'Pay App 1'!C126</f>
        <v>Elevator</v>
      </c>
      <c r="D126" s="155">
        <f>'Pay App 1'!D126</f>
        <v>0</v>
      </c>
      <c r="E126" s="155">
        <f>VLOOKUP(B126,'Graph Data'!$O$2:$BX$88,11,FALSE)</f>
        <v>0</v>
      </c>
      <c r="F126" s="155">
        <f>IFERROR(E126+'Pay App 8'!F126,"")</f>
        <v>0</v>
      </c>
      <c r="G126" s="155">
        <f>SUM('Pay App 1:Pay App 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9'!L126)+SUM('Pay App 1:Pay App 9'!M126)</f>
        <v>0</v>
      </c>
    </row>
    <row r="127" spans="1:14" ht="11.25" customHeight="1" x14ac:dyDescent="0.25">
      <c r="A127" s="152">
        <f t="shared" si="3"/>
        <v>66</v>
      </c>
      <c r="B127" s="188" t="str">
        <f>'Pay App 1'!B127</f>
        <v>14 40 00</v>
      </c>
      <c r="C127" s="194" t="str">
        <f>'Pay App 1'!C127</f>
        <v>Lifts</v>
      </c>
      <c r="D127" s="155">
        <f>'Pay App 1'!D127</f>
        <v>0</v>
      </c>
      <c r="E127" s="155">
        <f>VLOOKUP(B127,'Graph Data'!$O$2:$BX$88,11,FALSE)</f>
        <v>0</v>
      </c>
      <c r="F127" s="155">
        <f>IFERROR(E127+'Pay App 8'!F127,"")</f>
        <v>0</v>
      </c>
      <c r="G127" s="155">
        <f>SUM('Pay App 1:Pay App 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9'!L127)+SUM('Pay App 1:Pay App 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Data'!$O$2:$BX$88,11,FALSE)</f>
        <v>0</v>
      </c>
      <c r="F128" s="155">
        <f>IFERROR(E128+'Pay App 8'!F128,"")</f>
        <v>0</v>
      </c>
      <c r="G128" s="155">
        <f>SUM('Pay App 1:Pay App 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9'!L128)+SUM('Pay App 1:Pay App 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Data'!$O$2:$BX$88,11,FALSE)</f>
        <v>0</v>
      </c>
      <c r="F129" s="155">
        <f>IFERROR(E129+'Pay App 8'!F129,"")</f>
        <v>0</v>
      </c>
      <c r="G129" s="155">
        <f>SUM('Pay App 1:Pay App 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9'!L129)+SUM('Pay App 1:Pay App 9'!M129)</f>
        <v>0</v>
      </c>
    </row>
    <row r="130" spans="1:14" ht="11.25" customHeight="1" x14ac:dyDescent="0.25">
      <c r="A130" s="152">
        <f t="shared" si="3"/>
        <v>69</v>
      </c>
      <c r="B130" s="185" t="str">
        <f>'Pay App 1'!B130</f>
        <v>22 00 00</v>
      </c>
      <c r="C130" s="191" t="str">
        <f>'Pay App 1'!C130</f>
        <v>Plumbing</v>
      </c>
      <c r="D130" s="155">
        <f>'Pay App 1'!D130</f>
        <v>0</v>
      </c>
      <c r="E130" s="155">
        <f>VLOOKUP(B130,'Graph Data'!$O$2:$BX$88,11,FALSE)</f>
        <v>0</v>
      </c>
      <c r="F130" s="155">
        <f>IFERROR(E130+'Pay App 8'!F130,"")</f>
        <v>0</v>
      </c>
      <c r="G130" s="155">
        <f>SUM('Pay App 1:Pay App 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9'!L130)+SUM('Pay App 1:Pay App 9'!M130)</f>
        <v>0</v>
      </c>
    </row>
    <row r="131" spans="1:14" ht="11.25" customHeight="1" x14ac:dyDescent="0.25">
      <c r="A131" s="152">
        <f t="shared" si="3"/>
        <v>70</v>
      </c>
      <c r="B131" s="186" t="str">
        <f>'Pay App 1'!B131</f>
        <v>23 00 00</v>
      </c>
      <c r="C131" s="192" t="str">
        <f>'Pay App 1'!C131</f>
        <v>HVAC</v>
      </c>
      <c r="D131" s="155">
        <f>'Pay App 1'!D131</f>
        <v>0</v>
      </c>
      <c r="E131" s="155">
        <f>VLOOKUP(B131,'Graph Data'!$O$2:$BX$88,11,FALSE)</f>
        <v>0</v>
      </c>
      <c r="F131" s="155">
        <f>IFERROR(E131+'Pay App 8'!F131,"")</f>
        <v>0</v>
      </c>
      <c r="G131" s="155">
        <f>SUM('Pay App 1:Pay App 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9'!L131)+SUM('Pay App 1:Pay App 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Data'!$O$2:$BX$88,11,FALSE)</f>
        <v>0</v>
      </c>
      <c r="F132" s="155">
        <f>IFERROR(E132+'Pay App 8'!F132,"")</f>
        <v>0</v>
      </c>
      <c r="G132" s="155">
        <f>SUM('Pay App 1:Pay App 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9'!L132)+SUM('Pay App 1:Pay App 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Data'!$O$2:$BX$88,11,FALSE)</f>
        <v>0</v>
      </c>
      <c r="F133" s="155">
        <f>IFERROR(E133+'Pay App 8'!F133,"")</f>
        <v>0</v>
      </c>
      <c r="G133" s="155">
        <f>SUM('Pay App 1:Pay App 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9'!L133)+SUM('Pay App 1:Pay App 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Data'!$O$2:$BX$88,11,FALSE)</f>
        <v>0</v>
      </c>
      <c r="F134" s="155">
        <f>IFERROR(E134+'Pay App 8'!F134,"")</f>
        <v>0</v>
      </c>
      <c r="G134" s="155">
        <f>SUM('Pay App 1:Pay App 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9'!L134)+SUM('Pay App 1:Pay App 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Data'!$O$2:$BX$88,11,FALSE)</f>
        <v>0</v>
      </c>
      <c r="F135" s="155">
        <f>IFERROR(E135+'Pay App 8'!F135,"")</f>
        <v>0</v>
      </c>
      <c r="G135" s="155">
        <f>SUM('Pay App 1:Pay App 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9'!L135)+SUM('Pay App 1:Pay App 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Data'!$O$2:$BX$88,11,FALSE)</f>
        <v>0</v>
      </c>
      <c r="F136" s="155">
        <f>IFERROR(E136+'Pay App 8'!F136,"")</f>
        <v>0</v>
      </c>
      <c r="G136" s="155">
        <f>SUM('Pay App 1:Pay App 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9'!L136)+SUM('Pay App 1:Pay App 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Data'!$O$2:$BX$88,11,FALSE)</f>
        <v>0</v>
      </c>
      <c r="F137" s="155">
        <f>IFERROR(E137+'Pay App 8'!F137,"")</f>
        <v>0</v>
      </c>
      <c r="G137" s="155">
        <f>SUM('Pay App 1:Pay App 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9'!L137)+SUM('Pay App 1:Pay App 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Data'!$O$2:$BX$88,11,FALSE)</f>
        <v>0</v>
      </c>
      <c r="F138" s="155">
        <f>IFERROR(E138+'Pay App 8'!F138,"")</f>
        <v>0</v>
      </c>
      <c r="G138" s="155">
        <f>SUM('Pay App 1:Pay App 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9'!L138)+SUM('Pay App 1:Pay App 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Data'!$O$2:$BX$88,11,FALSE)</f>
        <v>0</v>
      </c>
      <c r="F139" s="155">
        <f>IFERROR(E139+'Pay App 8'!F139,"")</f>
        <v>0</v>
      </c>
      <c r="G139" s="155">
        <f>SUM('Pay App 1:Pay App 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9'!L139)+SUM('Pay App 1:Pay App 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Data'!$O$2:$BX$88,11,FALSE)</f>
        <v>0</v>
      </c>
      <c r="F140" s="155">
        <f>IFERROR(E140+'Pay App 8'!F140,"")</f>
        <v>0</v>
      </c>
      <c r="G140" s="155">
        <f>SUM('Pay App 1:Pay App 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9'!L140)+SUM('Pay App 1:Pay App 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Data'!$O$2:$BX$88,11,FALSE)</f>
        <v>0</v>
      </c>
      <c r="F141" s="155">
        <f>IFERROR(E141+'Pay App 8'!F141,"")</f>
        <v>0</v>
      </c>
      <c r="G141" s="155">
        <f>SUM('Pay App 1:Pay App 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9'!L141)+SUM('Pay App 1:Pay App 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Data'!$O$2:$BX$88,11,FALSE)</f>
        <v>0</v>
      </c>
      <c r="F142" s="155">
        <f>IFERROR(E142+'Pay App 8'!F142,"")</f>
        <v>0</v>
      </c>
      <c r="G142" s="155">
        <f>SUM('Pay App 1:Pay App 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9'!L142)+SUM('Pay App 1:Pay App 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Data'!$O$2:$BX$88,11,FALSE)</f>
        <v>0</v>
      </c>
      <c r="F143" s="155">
        <f>IFERROR(E143+'Pay App 8'!F143,"")</f>
        <v>0</v>
      </c>
      <c r="G143" s="155">
        <f>SUM('Pay App 1:Pay App 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9'!L143)+SUM('Pay App 1:Pay App 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Data'!$O$2:$BX$88,11,FALSE)</f>
        <v>0</v>
      </c>
      <c r="F144" s="155">
        <f>IFERROR(E144+'Pay App 8'!F144,"")</f>
        <v>0</v>
      </c>
      <c r="G144" s="155">
        <f>SUM('Pay App 1:Pay App 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9'!L144)+SUM('Pay App 1:Pay App 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Data'!$O$2:$BX$88,11,FALSE)</f>
        <v>0</v>
      </c>
      <c r="F145" s="155">
        <f>IFERROR(E145+'Pay App 8'!F145,"")</f>
        <v>0</v>
      </c>
      <c r="G145" s="155">
        <f>SUM('Pay App 1:Pay App 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9'!L145)+SUM('Pay App 1:Pay App 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Data'!$O$2:$BX$88,11,FALSE)</f>
        <v>0</v>
      </c>
      <c r="F146" s="155">
        <f>IFERROR(E146+'Pay App 8'!F146,"")</f>
        <v>0</v>
      </c>
      <c r="G146" s="155">
        <f>SUM('Pay App 1:Pay App 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9'!L146)+SUM('Pay App 1:Pay App 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Data'!$O$2:$BX$88,11,FALSE)</f>
        <v>0</v>
      </c>
      <c r="F147" s="155">
        <f>IFERROR(E147+'Pay App 8'!F147,"")</f>
        <v>0</v>
      </c>
      <c r="G147" s="155">
        <f>SUM('Pay App 1:Pay App 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9'!L147)+SUM('Pay App 1:Pay App 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Data'!$O$2:$BX$88,11,FALSE)</f>
        <v>0</v>
      </c>
      <c r="F148" s="155">
        <f>IFERROR(E148+'Pay App 8'!F148,"")</f>
        <v>0</v>
      </c>
      <c r="G148" s="155">
        <f>SUM('Pay App 1:Pay App 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9'!L148)+SUM('Pay App 1:Pay App 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JhU27tGxqAm5w6DFGcqPmH2x7F+ynvZzZnRo8WS+tXUU7FbrRZ0bJZh0XH8RLbgjfQ0/X4PClHzpCZqv2pPhxw==" saltValue="wf6UgunG891c1MWLKOBR9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71" priority="2" operator="equal">
      <formula>0</formula>
    </cfRule>
  </conditionalFormatting>
  <conditionalFormatting sqref="D106:G148">
    <cfRule type="cellIs" dxfId="570" priority="1" operator="equal">
      <formula>0</formula>
    </cfRule>
  </conditionalFormatting>
  <conditionalFormatting sqref="D10:H10 D12:H14 D19:H21">
    <cfRule type="cellIs" dxfId="569" priority="6" operator="equal">
      <formula>0</formula>
    </cfRule>
  </conditionalFormatting>
  <conditionalFormatting sqref="H51">
    <cfRule type="cellIs" dxfId="568" priority="9" operator="lessThan">
      <formula>0</formula>
    </cfRule>
  </conditionalFormatting>
  <conditionalFormatting sqref="I57:I100 K57:K100 I106:I148 K106:K148 N106:N148">
    <cfRule type="cellIs" dxfId="567" priority="14" operator="equal">
      <formula>0</formula>
    </cfRule>
  </conditionalFormatting>
  <conditionalFormatting sqref="J57:J100 J106:J149">
    <cfRule type="cellIs" dxfId="566" priority="11" operator="greaterThan">
      <formula>1</formula>
    </cfRule>
    <cfRule type="cellIs" dxfId="565" priority="12" operator="equal">
      <formula>0</formula>
    </cfRule>
  </conditionalFormatting>
  <conditionalFormatting sqref="K57:K100 K106:K148">
    <cfRule type="cellIs" dxfId="564" priority="10" operator="lessThan">
      <formula>0</formula>
    </cfRule>
  </conditionalFormatting>
  <conditionalFormatting sqref="M57:M100">
    <cfRule type="cellIs" dxfId="563" priority="13" operator="lessThan">
      <formula>0</formula>
    </cfRule>
  </conditionalFormatting>
  <conditionalFormatting sqref="M106:M148">
    <cfRule type="cellIs" dxfId="562" priority="8" operator="lessThan">
      <formula>0</formula>
    </cfRule>
  </conditionalFormatting>
  <conditionalFormatting sqref="N57:N100">
    <cfRule type="cellIs" dxfId="56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8AF5319-48F7-49AD-BC2C-38846AF9BE1F}">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829E-6ED4-406E-AECD-983BB2F19B5D}">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Data'!$O$2:$BX$88,12,FALSE)</f>
        <v>0</v>
      </c>
      <c r="F57" s="155">
        <f>IFERROR(E57+'Pay App 9'!F57,"")</f>
        <v>0</v>
      </c>
      <c r="G57" s="155">
        <f>SUM('Pay App 1:Pay App 9'!H57)</f>
        <v>0</v>
      </c>
      <c r="H57" s="154"/>
      <c r="I57" s="155">
        <f>G57+H57</f>
        <v>0</v>
      </c>
      <c r="J57" s="156">
        <f>IFERROR(I57/F57,0)</f>
        <v>0</v>
      </c>
      <c r="K57" s="155">
        <f>IFERROR(F57-I57,"")</f>
        <v>0</v>
      </c>
      <c r="L57" s="155" t="str">
        <f>IF(AND('Summary Sheet'!$E$23="No",$H$33&gt;0,H57&gt;=1),"",IF(AND('Summary Sheet'!$E$23="Yes",H57&lt;&gt;""),H57*'Summary Sheet'!$G$23,""))</f>
        <v/>
      </c>
      <c r="M57" s="154"/>
      <c r="N57" s="155">
        <f>SUM('Pay App 1:Pay App 10'!L57)+SUM('Pay App 1:Pay App 10'!M57)</f>
        <v>0</v>
      </c>
    </row>
    <row r="58" spans="1:16" ht="11.25" customHeight="1" x14ac:dyDescent="0.25">
      <c r="A58" s="152">
        <v>2</v>
      </c>
      <c r="B58" s="145" t="str">
        <f>'Pay App 1'!B58</f>
        <v>00 02 00</v>
      </c>
      <c r="C58" s="134" t="str">
        <f>'Pay App 1'!C58</f>
        <v>Preconstruction Services</v>
      </c>
      <c r="D58" s="155">
        <f>'Pay App 1'!D58</f>
        <v>0</v>
      </c>
      <c r="E58" s="155">
        <f>VLOOKUP(B58,'Graph Data'!$O$2:$BX$88,12,FALSE)</f>
        <v>0</v>
      </c>
      <c r="F58" s="155">
        <f>IFERROR(E58+'Pay App 9'!F58,"")</f>
        <v>0</v>
      </c>
      <c r="G58" s="155">
        <f>SUM('Pay App 1:Pay App 9'!H58)</f>
        <v>0</v>
      </c>
      <c r="H58" s="154"/>
      <c r="I58" s="155">
        <f>G58+H58</f>
        <v>0</v>
      </c>
      <c r="J58" s="156">
        <f>IFERROR(I58/F58,0)</f>
        <v>0</v>
      </c>
      <c r="K58" s="155">
        <f>IFERROR(F58-I58,"")</f>
        <v>0</v>
      </c>
      <c r="L58" s="155" t="str">
        <f>IF(AND('Summary Sheet'!$E$23="No",$H$33&gt;0,H58&gt;=1),"",IF(AND('Summary Sheet'!$E$23="Yes",H58&lt;&gt;""),H58*'Summary Sheet'!$G$23,""))</f>
        <v/>
      </c>
      <c r="M58" s="154"/>
      <c r="N58" s="155">
        <f>SUM('Pay App 1:Pay App 10'!L58)+SUM('Pay App 1:Pay App 10'!M58)</f>
        <v>0</v>
      </c>
    </row>
    <row r="59" spans="1:16" ht="11.25" customHeight="1" x14ac:dyDescent="0.25">
      <c r="A59" s="152">
        <v>3</v>
      </c>
      <c r="B59" s="174" t="str">
        <f>'Pay App 1'!B59</f>
        <v>01 00 00</v>
      </c>
      <c r="C59" s="179" t="str">
        <f>'Pay App 1'!C59</f>
        <v>General Conditions/Requirements</v>
      </c>
      <c r="D59" s="155">
        <f>'Pay App 1'!D59</f>
        <v>0</v>
      </c>
      <c r="E59" s="155">
        <f>VLOOKUP(B59,'Graph Data'!$O$2:$BX$88,12,FALSE)</f>
        <v>0</v>
      </c>
      <c r="F59" s="155">
        <f>IFERROR(E59+'Pay App 9'!F59,"")</f>
        <v>0</v>
      </c>
      <c r="G59" s="155">
        <f>SUM('Pay App 1:Pay App 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10'!L59)+SUM('Pay App 1:Pay App 10'!M59)</f>
        <v>0</v>
      </c>
    </row>
    <row r="60" spans="1:16" ht="11.25" customHeight="1" x14ac:dyDescent="0.25">
      <c r="A60" s="152">
        <v>4</v>
      </c>
      <c r="B60" s="174" t="str">
        <f>'Pay App 1'!B60</f>
        <v>01 13 41</v>
      </c>
      <c r="C60" s="179" t="str">
        <f>'Pay App 1'!C60</f>
        <v>Temp. Scaffolding and Platforms</v>
      </c>
      <c r="D60" s="155">
        <f>'Pay App 1'!D60</f>
        <v>0</v>
      </c>
      <c r="E60" s="155">
        <f>VLOOKUP(B60,'Graph Data'!$O$2:$BX$88,12,FALSE)</f>
        <v>0</v>
      </c>
      <c r="F60" s="155">
        <f>IFERROR(E60+'Pay App 9'!F60,"")</f>
        <v>0</v>
      </c>
      <c r="G60" s="155">
        <f>SUM('Pay App 1:Pay App 9'!H60)</f>
        <v>0</v>
      </c>
      <c r="H60" s="154"/>
      <c r="I60" s="155">
        <f t="shared" si="0"/>
        <v>0</v>
      </c>
      <c r="J60" s="156">
        <f t="shared" si="1"/>
        <v>0</v>
      </c>
      <c r="K60" s="155">
        <f t="shared" si="2"/>
        <v>0</v>
      </c>
      <c r="L60" s="155" t="str">
        <f>IF(AND('Summary Sheet'!$E$23="No",$H$33&gt;0,H60&gt;=1),"",IF(AND('Summary Sheet'!$E$23="Yes",H60&lt;&gt;""),H60*'Summary Sheet'!$G$23,""))</f>
        <v/>
      </c>
      <c r="M60" s="154"/>
      <c r="N60" s="155">
        <f>SUM('Pay App 1:Pay App 10'!L60)+SUM('Pay App 1:Pay App 10'!M60)</f>
        <v>0</v>
      </c>
    </row>
    <row r="61" spans="1:16" ht="11.25" customHeight="1" x14ac:dyDescent="0.25">
      <c r="A61" s="152">
        <v>5</v>
      </c>
      <c r="B61" s="174" t="str">
        <f>'Pay App 1'!B61</f>
        <v>01 13 60</v>
      </c>
      <c r="C61" s="179" t="str">
        <f>'Pay App 1'!C61</f>
        <v>SWPPP</v>
      </c>
      <c r="D61" s="155">
        <f>'Pay App 1'!D61</f>
        <v>0</v>
      </c>
      <c r="E61" s="155">
        <f>VLOOKUP(B61,'Graph Data'!$O$2:$BX$88,12,FALSE)</f>
        <v>0</v>
      </c>
      <c r="F61" s="155">
        <f>IFERROR(E61+'Pay App 9'!F61,"")</f>
        <v>0</v>
      </c>
      <c r="G61" s="155">
        <f>SUM('Pay App 1:Pay App 9'!H61)</f>
        <v>0</v>
      </c>
      <c r="H61" s="154"/>
      <c r="I61" s="155">
        <f t="shared" si="0"/>
        <v>0</v>
      </c>
      <c r="J61" s="156">
        <f t="shared" si="1"/>
        <v>0</v>
      </c>
      <c r="K61" s="155">
        <f t="shared" si="2"/>
        <v>0</v>
      </c>
      <c r="L61" s="155" t="str">
        <f>IF(AND('Summary Sheet'!$E$23="No",$H$33&gt;0,H61&gt;=1),"",IF(AND('Summary Sheet'!$E$23="Yes",H61&lt;&gt;""),H61*'Summary Sheet'!$G$23,""))</f>
        <v/>
      </c>
      <c r="M61" s="154"/>
      <c r="N61" s="155">
        <f>SUM('Pay App 1:Pay App 10'!L61)+SUM('Pay App 1:Pay App 10'!M61)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Data'!$O$2:$BX$88,12,FALSE)</f>
        <v>0</v>
      </c>
      <c r="F62" s="155">
        <f>IFERROR(E62+'Pay App 9'!F62,"")</f>
        <v>0</v>
      </c>
      <c r="G62" s="155">
        <f>SUM('Pay App 1:Pay App 9'!H62)</f>
        <v>0</v>
      </c>
      <c r="H62" s="154"/>
      <c r="I62" s="155">
        <f t="shared" si="0"/>
        <v>0</v>
      </c>
      <c r="J62" s="156">
        <f t="shared" si="1"/>
        <v>0</v>
      </c>
      <c r="K62" s="155">
        <f t="shared" si="2"/>
        <v>0</v>
      </c>
      <c r="L62" s="155" t="str">
        <f>IF(AND('Summary Sheet'!$E$23="No",$H$33&gt;0,H62&gt;=1),"",IF(AND('Summary Sheet'!$E$23="Yes",H62&lt;&gt;""),H62*'Summary Sheet'!$G$23,""))</f>
        <v/>
      </c>
      <c r="M62" s="154"/>
      <c r="N62" s="155">
        <f>SUM('Pay App 1:Pay App 10'!L62)+SUM('Pay App 1:Pay App 10'!M62)</f>
        <v>0</v>
      </c>
    </row>
    <row r="63" spans="1:16" ht="11.25" customHeight="1" x14ac:dyDescent="0.25">
      <c r="A63" s="152">
        <v>7</v>
      </c>
      <c r="B63" s="174" t="str">
        <f>'Pay App 1'!B63</f>
        <v>01 31 00</v>
      </c>
      <c r="C63" s="179" t="str">
        <f>'Pay App 1'!C63</f>
        <v>Contractor's Supervision</v>
      </c>
      <c r="D63" s="155">
        <f>'Pay App 1'!D63</f>
        <v>0</v>
      </c>
      <c r="E63" s="155">
        <f>VLOOKUP(B63,'Graph Data'!$O$2:$BX$88,12,FALSE)</f>
        <v>0</v>
      </c>
      <c r="F63" s="155">
        <f>IFERROR(E63+'Pay App 9'!F63,"")</f>
        <v>0</v>
      </c>
      <c r="G63" s="155">
        <f>SUM('Pay App 1:Pay App 9'!H63)</f>
        <v>0</v>
      </c>
      <c r="H63" s="154"/>
      <c r="I63" s="155">
        <f t="shared" si="0"/>
        <v>0</v>
      </c>
      <c r="J63" s="156">
        <f t="shared" si="1"/>
        <v>0</v>
      </c>
      <c r="K63" s="155">
        <f t="shared" si="2"/>
        <v>0</v>
      </c>
      <c r="L63" s="155" t="str">
        <f>IF(AND('Summary Sheet'!$E$23="No",$H$33&gt;0,H63&gt;=1),"",IF(AND('Summary Sheet'!$E$23="Yes",H63&lt;&gt;""),H63*'Summary Sheet'!$G$23,""))</f>
        <v/>
      </c>
      <c r="M63" s="154"/>
      <c r="N63" s="155">
        <f>SUM('Pay App 1:Pay App 10'!L63)+SUM('Pay App 1:Pay App 10'!M63)</f>
        <v>0</v>
      </c>
    </row>
    <row r="64" spans="1:16" ht="11.25" customHeight="1" x14ac:dyDescent="0.25">
      <c r="A64" s="152">
        <v>8</v>
      </c>
      <c r="B64" s="174" t="str">
        <f>'Pay App 1'!B64</f>
        <v>01 32 00</v>
      </c>
      <c r="C64" s="179" t="str">
        <f>'Pay App 1'!C64</f>
        <v>General Liability Insurance</v>
      </c>
      <c r="D64" s="155">
        <f>'Pay App 1'!D64</f>
        <v>0</v>
      </c>
      <c r="E64" s="155">
        <f>VLOOKUP(B64,'Graph Data'!$O$2:$BX$88,12,FALSE)</f>
        <v>0</v>
      </c>
      <c r="F64" s="155">
        <f>IFERROR(E64+'Pay App 9'!F64,"")</f>
        <v>0</v>
      </c>
      <c r="G64" s="155">
        <f>SUM('Pay App 1:Pay App 9'!H64)</f>
        <v>0</v>
      </c>
      <c r="H64" s="154"/>
      <c r="I64" s="155">
        <f t="shared" si="0"/>
        <v>0</v>
      </c>
      <c r="J64" s="156">
        <f t="shared" si="1"/>
        <v>0</v>
      </c>
      <c r="K64" s="155">
        <f t="shared" si="2"/>
        <v>0</v>
      </c>
      <c r="L64" s="155" t="str">
        <f>IF(AND('Summary Sheet'!$E$23="No",$H$33&gt;0,H64&gt;=1),"",IF(AND('Summary Sheet'!$E$23="Yes",H64&lt;&gt;""),H64*'Summary Sheet'!$G$23,""))</f>
        <v/>
      </c>
      <c r="M64" s="154"/>
      <c r="N64" s="155">
        <f>SUM('Pay App 1:Pay App 10'!L64)+SUM('Pay App 1:Pay App 10'!M64)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Data'!$O$2:$BX$88,12,FALSE)</f>
        <v>0</v>
      </c>
      <c r="F65" s="155">
        <f>IFERROR(E65+'Pay App 9'!F65,"")</f>
        <v>0</v>
      </c>
      <c r="G65" s="155">
        <f>SUM('Pay App 1:Pay App 9'!H65)</f>
        <v>0</v>
      </c>
      <c r="H65" s="154"/>
      <c r="I65" s="155">
        <f t="shared" si="0"/>
        <v>0</v>
      </c>
      <c r="J65" s="156">
        <f t="shared" si="1"/>
        <v>0</v>
      </c>
      <c r="K65" s="155">
        <f t="shared" si="2"/>
        <v>0</v>
      </c>
      <c r="L65" s="155" t="str">
        <f>IF(AND('Summary Sheet'!$E$23="No",$H$33&gt;0,H65&gt;=1),"",IF(AND('Summary Sheet'!$E$23="Yes",H65&lt;&gt;""),H65*'Summary Sheet'!$G$23,""))</f>
        <v/>
      </c>
      <c r="M65" s="154"/>
      <c r="N65" s="155">
        <f>SUM('Pay App 1:Pay App 10'!L65)+SUM('Pay App 1:Pay App 10'!M65)</f>
        <v>0</v>
      </c>
    </row>
    <row r="66" spans="1:17" ht="11.25" customHeight="1" x14ac:dyDescent="0.25">
      <c r="A66" s="152">
        <v>10</v>
      </c>
      <c r="B66" s="174" t="str">
        <f>'Pay App 1'!B66</f>
        <v>01 34 00</v>
      </c>
      <c r="C66" s="179" t="str">
        <f>'Pay App 1'!C66</f>
        <v>Subcontractor Default Insurance</v>
      </c>
      <c r="D66" s="155">
        <f>'Pay App 1'!D66</f>
        <v>0</v>
      </c>
      <c r="E66" s="155">
        <f>VLOOKUP(B66,'Graph Data'!$O$2:$BX$88,12,FALSE)</f>
        <v>0</v>
      </c>
      <c r="F66" s="155">
        <f>IFERROR(E66+'Pay App 9'!F66,"")</f>
        <v>0</v>
      </c>
      <c r="G66" s="155">
        <f>SUM('Pay App 1:Pay App 9'!H66)</f>
        <v>0</v>
      </c>
      <c r="H66" s="154"/>
      <c r="I66" s="155">
        <f t="shared" si="0"/>
        <v>0</v>
      </c>
      <c r="J66" s="156">
        <f t="shared" si="1"/>
        <v>0</v>
      </c>
      <c r="K66" s="155">
        <f t="shared" si="2"/>
        <v>0</v>
      </c>
      <c r="L66" s="155" t="str">
        <f>IF(AND('Summary Sheet'!$E$23="No",$H$33&gt;0,H66&gt;=1),"",IF(AND('Summary Sheet'!$E$23="Yes",H66&lt;&gt;""),H66*'Summary Sheet'!$G$23,""))</f>
        <v/>
      </c>
      <c r="M66" s="154"/>
      <c r="N66" s="155">
        <f>SUM('Pay App 1:Pay App 10'!L66)+SUM('Pay App 1:Pay App 10'!M66)</f>
        <v>0</v>
      </c>
    </row>
    <row r="67" spans="1:17" ht="11.25" customHeight="1" x14ac:dyDescent="0.25">
      <c r="A67" s="152">
        <v>11</v>
      </c>
      <c r="B67" s="174" t="str">
        <f>'Pay App 1'!B67</f>
        <v>01 35 00</v>
      </c>
      <c r="C67" s="179" t="str">
        <f>'Pay App 1'!C67</f>
        <v>Construction Management Fee</v>
      </c>
      <c r="D67" s="155">
        <f>'Pay App 1'!D67</f>
        <v>0</v>
      </c>
      <c r="E67" s="155">
        <f>VLOOKUP(B67,'Graph Data'!$O$2:$BX$88,12,FALSE)</f>
        <v>0</v>
      </c>
      <c r="F67" s="155">
        <f>IFERROR(E67+'Pay App 9'!F67,"")</f>
        <v>0</v>
      </c>
      <c r="G67" s="155">
        <f>SUM('Pay App 1:Pay App 9'!H67)</f>
        <v>0</v>
      </c>
      <c r="H67" s="154"/>
      <c r="I67" s="155">
        <f t="shared" si="0"/>
        <v>0</v>
      </c>
      <c r="J67" s="156">
        <f t="shared" si="1"/>
        <v>0</v>
      </c>
      <c r="K67" s="155">
        <f t="shared" si="2"/>
        <v>0</v>
      </c>
      <c r="L67" s="155" t="str">
        <f>IF(AND('Summary Sheet'!$E$23="No",$H$33&gt;0,H67&gt;=1),"",IF(AND('Summary Sheet'!$E$23="Yes",H67&lt;&gt;""),H67*'Summary Sheet'!$G$23,""))</f>
        <v/>
      </c>
      <c r="M67" s="154"/>
      <c r="N67" s="155">
        <f>SUM('Pay App 1:Pay App 10'!L67)+SUM('Pay App 1:Pay App 10'!M67)</f>
        <v>0</v>
      </c>
    </row>
    <row r="68" spans="1:17" ht="11.25" customHeight="1" x14ac:dyDescent="0.25">
      <c r="A68" s="152">
        <v>12</v>
      </c>
      <c r="B68" s="174" t="str">
        <f>'Pay App 1'!B68</f>
        <v>01 36 00</v>
      </c>
      <c r="C68" s="179" t="str">
        <f>'Pay App 1'!C68</f>
        <v>Contingency</v>
      </c>
      <c r="D68" s="155">
        <f>'Pay App 1'!D68</f>
        <v>0</v>
      </c>
      <c r="E68" s="155">
        <f>VLOOKUP(B68,'Graph Data'!$O$2:$BX$88,12,FALSE)</f>
        <v>0</v>
      </c>
      <c r="F68" s="155">
        <f>IFERROR(E68+'Pay App 9'!F68,"")</f>
        <v>0</v>
      </c>
      <c r="G68" s="155">
        <f>SUM('Pay App 1:Pay App 9'!H68)</f>
        <v>0</v>
      </c>
      <c r="H68" s="154"/>
      <c r="I68" s="155">
        <f t="shared" si="0"/>
        <v>0</v>
      </c>
      <c r="J68" s="156">
        <f t="shared" si="1"/>
        <v>0</v>
      </c>
      <c r="K68" s="155">
        <f t="shared" si="2"/>
        <v>0</v>
      </c>
      <c r="L68" s="155" t="str">
        <f>IF(AND('Summary Sheet'!$E$23="No",$H$33&gt;0,H68&gt;=1),"",IF(AND('Summary Sheet'!$E$23="Yes",H68&lt;&gt;""),H68*'Summary Sheet'!$G$23,""))</f>
        <v/>
      </c>
      <c r="M68" s="154"/>
      <c r="N68" s="155">
        <f>SUM('Pay App 1:Pay App 10'!L68)+SUM('Pay App 1:Pay App 10'!M68)</f>
        <v>0</v>
      </c>
    </row>
    <row r="69" spans="1:17" ht="11.25" customHeight="1" x14ac:dyDescent="0.25">
      <c r="A69" s="152">
        <v>13</v>
      </c>
      <c r="B69" s="174" t="str">
        <f>'Pay App 1'!B69</f>
        <v>01 37 00</v>
      </c>
      <c r="C69" s="179" t="str">
        <f>'Pay App 1'!C69</f>
        <v>Weather Allowance (All Trades)</v>
      </c>
      <c r="D69" s="155">
        <f>'Pay App 1'!D69</f>
        <v>0</v>
      </c>
      <c r="E69" s="155">
        <f>VLOOKUP(B69,'Graph Data'!$O$2:$BX$88,12,FALSE)</f>
        <v>0</v>
      </c>
      <c r="F69" s="155">
        <f>IFERROR(E69+'Pay App 9'!F69,"")</f>
        <v>0</v>
      </c>
      <c r="G69" s="155">
        <f>SUM('Pay App 1:Pay App 9'!H69)</f>
        <v>0</v>
      </c>
      <c r="H69" s="154"/>
      <c r="I69" s="155">
        <f t="shared" si="0"/>
        <v>0</v>
      </c>
      <c r="J69" s="156">
        <f t="shared" si="1"/>
        <v>0</v>
      </c>
      <c r="K69" s="155">
        <f t="shared" si="2"/>
        <v>0</v>
      </c>
      <c r="L69" s="155" t="str">
        <f>IF(AND('Summary Sheet'!$E$23="No",$H$33&gt;0,H69&gt;=1),"",IF(AND('Summary Sheet'!$E$23="Yes",H69&lt;&gt;""),H69*'Summary Sheet'!$G$23,""))</f>
        <v/>
      </c>
      <c r="M69" s="154"/>
      <c r="N69" s="155">
        <f>SUM('Pay App 1:Pay App 10'!L69)+SUM('Pay App 1:Pay App 10'!M69)</f>
        <v>0</v>
      </c>
    </row>
    <row r="70" spans="1:17" ht="11.25" customHeight="1" x14ac:dyDescent="0.25">
      <c r="A70" s="152">
        <v>14</v>
      </c>
      <c r="B70" s="174" t="str">
        <f>'Pay App 1'!B70</f>
        <v>01 74 23</v>
      </c>
      <c r="C70" s="179" t="str">
        <f>'Pay App 1'!C70</f>
        <v>Cleaning (Final)</v>
      </c>
      <c r="D70" s="155">
        <f>'Pay App 1'!D70</f>
        <v>0</v>
      </c>
      <c r="E70" s="155">
        <f>VLOOKUP(B70,'Graph Data'!$O$2:$BX$88,12,FALSE)</f>
        <v>0</v>
      </c>
      <c r="F70" s="155">
        <f>IFERROR(E70+'Pay App 9'!F70,"")</f>
        <v>0</v>
      </c>
      <c r="G70" s="155">
        <f>SUM('Pay App 1:Pay App 9'!H70)</f>
        <v>0</v>
      </c>
      <c r="H70" s="154"/>
      <c r="I70" s="155">
        <f t="shared" si="0"/>
        <v>0</v>
      </c>
      <c r="J70" s="156">
        <f t="shared" si="1"/>
        <v>0</v>
      </c>
      <c r="K70" s="155">
        <f t="shared" si="2"/>
        <v>0</v>
      </c>
      <c r="L70" s="155" t="str">
        <f>IF(AND('Summary Sheet'!$E$23="No",$H$33&gt;0,H70&gt;=1),"",IF(AND('Summary Sheet'!$E$23="Yes",H70&lt;&gt;""),H70*'Summary Sheet'!$G$23,""))</f>
        <v/>
      </c>
      <c r="M70" s="154"/>
      <c r="N70" s="155">
        <f>SUM('Pay App 1:Pay App 10'!L70)+SUM('Pay App 1:Pay App 10'!M70)</f>
        <v>0</v>
      </c>
    </row>
    <row r="71" spans="1:17" ht="11.25" customHeight="1" x14ac:dyDescent="0.25">
      <c r="A71" s="152">
        <v>15</v>
      </c>
      <c r="B71" s="175" t="str">
        <f>'Pay App 1'!B71</f>
        <v>02 21 00</v>
      </c>
      <c r="C71" s="180" t="str">
        <f>'Pay App 1'!C71</f>
        <v>Survey/Engineering</v>
      </c>
      <c r="D71" s="155">
        <f>'Pay App 1'!D71</f>
        <v>0</v>
      </c>
      <c r="E71" s="155">
        <f>VLOOKUP(B71,'Graph Data'!$O$2:$BX$88,12,FALSE)</f>
        <v>0</v>
      </c>
      <c r="F71" s="155">
        <f>IFERROR(E71+'Pay App 9'!F71,"")</f>
        <v>0</v>
      </c>
      <c r="G71" s="155">
        <f>SUM('Pay App 1:Pay App 9'!H71)</f>
        <v>0</v>
      </c>
      <c r="H71" s="154"/>
      <c r="I71" s="155">
        <f t="shared" si="0"/>
        <v>0</v>
      </c>
      <c r="J71" s="156">
        <f t="shared" si="1"/>
        <v>0</v>
      </c>
      <c r="K71" s="155">
        <f t="shared" si="2"/>
        <v>0</v>
      </c>
      <c r="L71" s="155" t="str">
        <f>IF(AND('Summary Sheet'!$E$23="No",$H$33&gt;0,H71&gt;=1),"",IF(AND('Summary Sheet'!$E$23="Yes",H71&lt;&gt;""),H71*'Summary Sheet'!$G$23,""))</f>
        <v/>
      </c>
      <c r="M71" s="154"/>
      <c r="N71" s="155">
        <f>SUM('Pay App 1:Pay App 10'!L71)+SUM('Pay App 1:Pay App 10'!M71)</f>
        <v>0</v>
      </c>
      <c r="Q71" s="28"/>
    </row>
    <row r="72" spans="1:17" ht="11.25" customHeight="1" x14ac:dyDescent="0.25">
      <c r="A72" s="152">
        <v>16</v>
      </c>
      <c r="B72" s="175" t="str">
        <f>'Pay App 1'!B72</f>
        <v>02 41 00</v>
      </c>
      <c r="C72" s="180" t="str">
        <f>'Pay App 1'!C72</f>
        <v>Demolition</v>
      </c>
      <c r="D72" s="155">
        <f>'Pay App 1'!D72</f>
        <v>0</v>
      </c>
      <c r="E72" s="155">
        <f>VLOOKUP(B72,'Graph Data'!$O$2:$BX$88,12,FALSE)</f>
        <v>0</v>
      </c>
      <c r="F72" s="155">
        <f>IFERROR(E72+'Pay App 9'!F72,"")</f>
        <v>0</v>
      </c>
      <c r="G72" s="155">
        <f>SUM('Pay App 1:Pay App 9'!H72)</f>
        <v>0</v>
      </c>
      <c r="H72" s="154"/>
      <c r="I72" s="155">
        <f t="shared" si="0"/>
        <v>0</v>
      </c>
      <c r="J72" s="156">
        <f t="shared" si="1"/>
        <v>0</v>
      </c>
      <c r="K72" s="155">
        <f t="shared" si="2"/>
        <v>0</v>
      </c>
      <c r="L72" s="155" t="str">
        <f>IF(AND('Summary Sheet'!$E$23="No",$H$33&gt;0,H72&gt;=1),"",IF(AND('Summary Sheet'!$E$23="Yes",H72&lt;&gt;""),H72*'Summary Sheet'!$G$23,""))</f>
        <v/>
      </c>
      <c r="M72" s="154"/>
      <c r="N72" s="155">
        <f>SUM('Pay App 1:Pay App 10'!L72)+SUM('Pay App 1:Pay App 10'!M72)</f>
        <v>0</v>
      </c>
      <c r="Q72" s="28"/>
    </row>
    <row r="73" spans="1:17" ht="11.25" customHeight="1" x14ac:dyDescent="0.25">
      <c r="A73" s="152">
        <v>17</v>
      </c>
      <c r="B73" s="175" t="str">
        <f>'Pay App 1'!B73</f>
        <v>02 82 00</v>
      </c>
      <c r="C73" s="180" t="str">
        <f>'Pay App 1'!C73</f>
        <v>Asbestos Abatement</v>
      </c>
      <c r="D73" s="155">
        <f>'Pay App 1'!D73</f>
        <v>0</v>
      </c>
      <c r="E73" s="155">
        <f>VLOOKUP(B73,'Graph Data'!$O$2:$BX$88,12,FALSE)</f>
        <v>0</v>
      </c>
      <c r="F73" s="155">
        <f>IFERROR(E73+'Pay App 9'!F73,"")</f>
        <v>0</v>
      </c>
      <c r="G73" s="155">
        <f>SUM('Pay App 1:Pay App 9'!H73)</f>
        <v>0</v>
      </c>
      <c r="H73" s="154"/>
      <c r="I73" s="155">
        <f t="shared" si="0"/>
        <v>0</v>
      </c>
      <c r="J73" s="156">
        <f t="shared" si="1"/>
        <v>0</v>
      </c>
      <c r="K73" s="155">
        <f t="shared" si="2"/>
        <v>0</v>
      </c>
      <c r="L73" s="155" t="str">
        <f>IF(AND('Summary Sheet'!$E$23="No",$H$33&gt;0,H73&gt;=1),"",IF(AND('Summary Sheet'!$E$23="Yes",H73&lt;&gt;""),H73*'Summary Sheet'!$G$23,""))</f>
        <v/>
      </c>
      <c r="M73" s="154"/>
      <c r="N73" s="155">
        <f>SUM('Pay App 1:Pay App 10'!L73)+SUM('Pay App 1:Pay App 10'!M73)</f>
        <v>0</v>
      </c>
    </row>
    <row r="74" spans="1:17" ht="11.25" customHeight="1" x14ac:dyDescent="0.25">
      <c r="A74" s="152">
        <v>18</v>
      </c>
      <c r="B74" s="176" t="str">
        <f>'Pay App 1'!B74</f>
        <v>03 00 00</v>
      </c>
      <c r="C74" s="181" t="str">
        <f>'Pay App 1'!C74</f>
        <v>Building Concrete</v>
      </c>
      <c r="D74" s="155">
        <f>'Pay App 1'!D74</f>
        <v>0</v>
      </c>
      <c r="E74" s="155">
        <f>VLOOKUP(B74,'Graph Data'!$O$2:$BX$88,12,FALSE)</f>
        <v>0</v>
      </c>
      <c r="F74" s="155">
        <f>IFERROR(E74+'Pay App 9'!F74,"")</f>
        <v>0</v>
      </c>
      <c r="G74" s="155">
        <f>SUM('Pay App 1:Pay App 9'!H74)</f>
        <v>0</v>
      </c>
      <c r="H74" s="154"/>
      <c r="I74" s="155">
        <f t="shared" si="0"/>
        <v>0</v>
      </c>
      <c r="J74" s="156">
        <f t="shared" si="1"/>
        <v>0</v>
      </c>
      <c r="K74" s="155">
        <f t="shared" si="2"/>
        <v>0</v>
      </c>
      <c r="L74" s="155" t="str">
        <f>IF(AND('Summary Sheet'!$E$23="No",$H$33&gt;0,H74&gt;=1),"",IF(AND('Summary Sheet'!$E$23="Yes",H74&lt;&gt;""),H74*'Summary Sheet'!$G$23,""))</f>
        <v/>
      </c>
      <c r="M74" s="154"/>
      <c r="N74" s="155">
        <f>SUM('Pay App 1:Pay App 10'!L74)+SUM('Pay App 1:Pay App 10'!M74)</f>
        <v>0</v>
      </c>
    </row>
    <row r="75" spans="1:17" ht="11.25" customHeight="1" x14ac:dyDescent="0.25">
      <c r="A75" s="152">
        <v>19</v>
      </c>
      <c r="B75" s="176" t="str">
        <f>'Pay App 1'!B75</f>
        <v>03 20 00</v>
      </c>
      <c r="C75" s="181" t="str">
        <f>'Pay App 1'!C75</f>
        <v>Building Concrete Reinforcing</v>
      </c>
      <c r="D75" s="155">
        <f>'Pay App 1'!D75</f>
        <v>0</v>
      </c>
      <c r="E75" s="155">
        <f>VLOOKUP(B75,'Graph Data'!$O$2:$BX$88,12,FALSE)</f>
        <v>0</v>
      </c>
      <c r="F75" s="155">
        <f>IFERROR(E75+'Pay App 9'!F75,"")</f>
        <v>0</v>
      </c>
      <c r="G75" s="155">
        <f>SUM('Pay App 1:Pay App 9'!H75)</f>
        <v>0</v>
      </c>
      <c r="H75" s="154"/>
      <c r="I75" s="155">
        <f t="shared" si="0"/>
        <v>0</v>
      </c>
      <c r="J75" s="156">
        <f t="shared" si="1"/>
        <v>0</v>
      </c>
      <c r="K75" s="155">
        <f t="shared" si="2"/>
        <v>0</v>
      </c>
      <c r="L75" s="155" t="str">
        <f>IF(AND('Summary Sheet'!$E$23="No",$H$33&gt;0,H75&gt;=1),"",IF(AND('Summary Sheet'!$E$23="Yes",H75&lt;&gt;""),H75*'Summary Sheet'!$G$23,""))</f>
        <v/>
      </c>
      <c r="M75" s="154"/>
      <c r="N75" s="155">
        <f>SUM('Pay App 1:Pay App 10'!L75)+SUM('Pay App 1:Pay App 10'!M75)</f>
        <v>0</v>
      </c>
    </row>
    <row r="76" spans="1:17" ht="11.25" customHeight="1" x14ac:dyDescent="0.25">
      <c r="A76" s="152">
        <v>20</v>
      </c>
      <c r="B76" s="176" t="str">
        <f>'Pay App 1'!B76</f>
        <v>03 40 00</v>
      </c>
      <c r="C76" s="181" t="str">
        <f>'Pay App 1'!C76</f>
        <v>Precast</v>
      </c>
      <c r="D76" s="155">
        <f>'Pay App 1'!D76</f>
        <v>0</v>
      </c>
      <c r="E76" s="155">
        <f>VLOOKUP(B76,'Graph Data'!$O$2:$BX$88,12,FALSE)</f>
        <v>0</v>
      </c>
      <c r="F76" s="155">
        <f>IFERROR(E76+'Pay App 9'!F76,"")</f>
        <v>0</v>
      </c>
      <c r="G76" s="155">
        <f>SUM('Pay App 1:Pay App 9'!H76)</f>
        <v>0</v>
      </c>
      <c r="H76" s="154"/>
      <c r="I76" s="155">
        <f t="shared" si="0"/>
        <v>0</v>
      </c>
      <c r="J76" s="156">
        <f t="shared" si="1"/>
        <v>0</v>
      </c>
      <c r="K76" s="155">
        <f t="shared" si="2"/>
        <v>0</v>
      </c>
      <c r="L76" s="155" t="str">
        <f>IF(AND('Summary Sheet'!$E$23="No",$H$33&gt;0,H76&gt;=1),"",IF(AND('Summary Sheet'!$E$23="Yes",H76&lt;&gt;""),H76*'Summary Sheet'!$G$23,""))</f>
        <v/>
      </c>
      <c r="M76" s="154"/>
      <c r="N76" s="155">
        <f>SUM('Pay App 1:Pay App 10'!L76)+SUM('Pay App 1:Pay App 10'!M76)</f>
        <v>0</v>
      </c>
    </row>
    <row r="77" spans="1:17" ht="11.25" customHeight="1" x14ac:dyDescent="0.25">
      <c r="A77" s="152">
        <v>21</v>
      </c>
      <c r="B77" s="177" t="str">
        <f>'Pay App 1'!B77</f>
        <v>04 00 00</v>
      </c>
      <c r="C77" s="182" t="str">
        <f>'Pay App 1'!C77</f>
        <v>Masonry</v>
      </c>
      <c r="D77" s="155">
        <f>'Pay App 1'!D77</f>
        <v>0</v>
      </c>
      <c r="E77" s="155">
        <f>VLOOKUP(B77,'Graph Data'!$O$2:$BX$88,12,FALSE)</f>
        <v>0</v>
      </c>
      <c r="F77" s="155">
        <f>IFERROR(E77+'Pay App 9'!F77,"")</f>
        <v>0</v>
      </c>
      <c r="G77" s="155">
        <f>SUM('Pay App 1:Pay App 9'!H77)</f>
        <v>0</v>
      </c>
      <c r="H77" s="154"/>
      <c r="I77" s="155">
        <f t="shared" si="0"/>
        <v>0</v>
      </c>
      <c r="J77" s="156">
        <f t="shared" si="1"/>
        <v>0</v>
      </c>
      <c r="K77" s="155">
        <f t="shared" si="2"/>
        <v>0</v>
      </c>
      <c r="L77" s="155" t="str">
        <f>IF(AND('Summary Sheet'!$E$23="No",$H$33&gt;0,H77&gt;=1),"",IF(AND('Summary Sheet'!$E$23="Yes",H77&lt;&gt;""),H77*'Summary Sheet'!$G$23,""))</f>
        <v/>
      </c>
      <c r="M77" s="154"/>
      <c r="N77" s="155">
        <f>SUM('Pay App 1:Pay App 10'!L77)+SUM('Pay App 1:Pay App 10'!M77)</f>
        <v>0</v>
      </c>
    </row>
    <row r="78" spans="1:17" ht="11.25" customHeight="1" x14ac:dyDescent="0.25">
      <c r="A78" s="152">
        <v>22</v>
      </c>
      <c r="B78" s="177" t="str">
        <f>'Pay App 1'!B78</f>
        <v>04 05 19</v>
      </c>
      <c r="C78" s="182" t="str">
        <f>'Pay App 1'!C78</f>
        <v>Masonry Reinforcing</v>
      </c>
      <c r="D78" s="155">
        <f>'Pay App 1'!D78</f>
        <v>0</v>
      </c>
      <c r="E78" s="155">
        <f>VLOOKUP(B78,'Graph Data'!$O$2:$BX$88,12,FALSE)</f>
        <v>0</v>
      </c>
      <c r="F78" s="155">
        <f>IFERROR(E78+'Pay App 9'!F78,"")</f>
        <v>0</v>
      </c>
      <c r="G78" s="155">
        <f>SUM('Pay App 1:Pay App 9'!H78)</f>
        <v>0</v>
      </c>
      <c r="H78" s="154"/>
      <c r="I78" s="155">
        <f t="shared" si="0"/>
        <v>0</v>
      </c>
      <c r="J78" s="156">
        <f t="shared" si="1"/>
        <v>0</v>
      </c>
      <c r="K78" s="155">
        <f t="shared" si="2"/>
        <v>0</v>
      </c>
      <c r="L78" s="155" t="str">
        <f>IF(AND('Summary Sheet'!$E$23="No",$H$33&gt;0,H78&gt;=1),"",IF(AND('Summary Sheet'!$E$23="Yes",H78&lt;&gt;""),H78*'Summary Sheet'!$G$23,""))</f>
        <v/>
      </c>
      <c r="M78" s="154"/>
      <c r="N78" s="155">
        <f>SUM('Pay App 1:Pay App 10'!L78)+SUM('Pay App 1:Pay App 10'!M78)</f>
        <v>0</v>
      </c>
    </row>
    <row r="79" spans="1:17" ht="11.25" customHeight="1" x14ac:dyDescent="0.25">
      <c r="A79" s="152">
        <v>23</v>
      </c>
      <c r="B79" s="178" t="str">
        <f>'Pay App 1'!B79</f>
        <v>05 10 00</v>
      </c>
      <c r="C79" s="183" t="str">
        <f>'Pay App 1'!C79</f>
        <v>Structural Steel/Misc. Steel Fab</v>
      </c>
      <c r="D79" s="155">
        <f>'Pay App 1'!D79</f>
        <v>0</v>
      </c>
      <c r="E79" s="155">
        <f>VLOOKUP(B79,'Graph Data'!$O$2:$BX$88,12,FALSE)</f>
        <v>0</v>
      </c>
      <c r="F79" s="155">
        <f>IFERROR(E79+'Pay App 9'!F79,"")</f>
        <v>0</v>
      </c>
      <c r="G79" s="155">
        <f>SUM('Pay App 1:Pay App 9'!H79)</f>
        <v>0</v>
      </c>
      <c r="H79" s="154"/>
      <c r="I79" s="155">
        <f t="shared" si="0"/>
        <v>0</v>
      </c>
      <c r="J79" s="156">
        <f t="shared" si="1"/>
        <v>0</v>
      </c>
      <c r="K79" s="155">
        <f t="shared" si="2"/>
        <v>0</v>
      </c>
      <c r="L79" s="155" t="str">
        <f>IF(AND('Summary Sheet'!$E$23="No",$H$33&gt;0,H79&gt;=1),"",IF(AND('Summary Sheet'!$E$23="Yes",H79&lt;&gt;""),H79*'Summary Sheet'!$G$23,""))</f>
        <v/>
      </c>
      <c r="M79" s="154"/>
      <c r="N79" s="155">
        <f>SUM('Pay App 1:Pay App 10'!L79)+SUM('Pay App 1:Pay App 10'!M79)</f>
        <v>0</v>
      </c>
    </row>
    <row r="80" spans="1:17" ht="11.25" customHeight="1" x14ac:dyDescent="0.25">
      <c r="A80" s="152">
        <v>24</v>
      </c>
      <c r="B80" s="178" t="str">
        <f>'Pay App 1'!B80</f>
        <v>05 20 00</v>
      </c>
      <c r="C80" s="183" t="str">
        <f>'Pay App 1'!C80</f>
        <v>Joists &amp; Deck</v>
      </c>
      <c r="D80" s="155">
        <f>'Pay App 1'!D80</f>
        <v>0</v>
      </c>
      <c r="E80" s="155">
        <f>VLOOKUP(B80,'Graph Data'!$O$2:$BX$88,12,FALSE)</f>
        <v>0</v>
      </c>
      <c r="F80" s="155">
        <f>IFERROR(E80+'Pay App 9'!F80,"")</f>
        <v>0</v>
      </c>
      <c r="G80" s="155">
        <f>SUM('Pay App 1:Pay App 9'!H80)</f>
        <v>0</v>
      </c>
      <c r="H80" s="154"/>
      <c r="I80" s="155">
        <f t="shared" si="0"/>
        <v>0</v>
      </c>
      <c r="J80" s="156">
        <f t="shared" si="1"/>
        <v>0</v>
      </c>
      <c r="K80" s="155">
        <f t="shared" si="2"/>
        <v>0</v>
      </c>
      <c r="L80" s="155" t="str">
        <f>IF(AND('Summary Sheet'!$E$23="No",$H$33&gt;0,H80&gt;=1),"",IF(AND('Summary Sheet'!$E$23="Yes",H80&lt;&gt;""),H80*'Summary Sheet'!$G$23,""))</f>
        <v/>
      </c>
      <c r="M80" s="154"/>
      <c r="N80" s="155">
        <f>SUM('Pay App 1:Pay App 10'!L80)+SUM('Pay App 1:Pay App 10'!M80)</f>
        <v>0</v>
      </c>
    </row>
    <row r="81" spans="1:14" ht="11.25" customHeight="1" x14ac:dyDescent="0.25">
      <c r="A81" s="152">
        <v>25</v>
      </c>
      <c r="B81" s="178" t="str">
        <f>'Pay App 1'!B81</f>
        <v>05 70 00</v>
      </c>
      <c r="C81" s="183" t="str">
        <f>'Pay App 1'!C81</f>
        <v>Ornamental Metal</v>
      </c>
      <c r="D81" s="155">
        <f>'Pay App 1'!D81</f>
        <v>0</v>
      </c>
      <c r="E81" s="155">
        <f>VLOOKUP(B81,'Graph Data'!$O$2:$BX$88,12,FALSE)</f>
        <v>0</v>
      </c>
      <c r="F81" s="155">
        <f>IFERROR(E81+'Pay App 9'!F81,"")</f>
        <v>0</v>
      </c>
      <c r="G81" s="155">
        <f>SUM('Pay App 1:Pay App 9'!H81)</f>
        <v>0</v>
      </c>
      <c r="H81" s="154"/>
      <c r="I81" s="155">
        <f t="shared" si="0"/>
        <v>0</v>
      </c>
      <c r="J81" s="156">
        <f t="shared" si="1"/>
        <v>0</v>
      </c>
      <c r="K81" s="155">
        <f t="shared" si="2"/>
        <v>0</v>
      </c>
      <c r="L81" s="155" t="str">
        <f>IF(AND('Summary Sheet'!$E$23="No",$H$33&gt;0,H81&gt;=1),"",IF(AND('Summary Sheet'!$E$23="Yes",H81&lt;&gt;""),H81*'Summary Sheet'!$G$23,""))</f>
        <v/>
      </c>
      <c r="M81" s="154"/>
      <c r="N81" s="155">
        <f>SUM('Pay App 1:Pay App 10'!L81)+SUM('Pay App 1:Pay App 10'!M81)</f>
        <v>0</v>
      </c>
    </row>
    <row r="82" spans="1:14" ht="11.25" customHeight="1" x14ac:dyDescent="0.25">
      <c r="A82" s="152">
        <v>26</v>
      </c>
      <c r="B82" s="145" t="str">
        <f>'Pay App 1'!B82</f>
        <v>06 10 00</v>
      </c>
      <c r="C82" s="134" t="str">
        <f>'Pay App 1'!C82</f>
        <v>Rough Carpentry</v>
      </c>
      <c r="D82" s="155">
        <f>'Pay App 1'!D82</f>
        <v>0</v>
      </c>
      <c r="E82" s="155">
        <f>VLOOKUP(B82,'Graph Data'!$O$2:$BX$88,12,FALSE)</f>
        <v>0</v>
      </c>
      <c r="F82" s="155">
        <f>IFERROR(E82+'Pay App 9'!F82,"")</f>
        <v>0</v>
      </c>
      <c r="G82" s="155">
        <f>SUM('Pay App 1:Pay App 9'!H82)</f>
        <v>0</v>
      </c>
      <c r="H82" s="154"/>
      <c r="I82" s="155">
        <f t="shared" si="0"/>
        <v>0</v>
      </c>
      <c r="J82" s="156">
        <f t="shared" si="1"/>
        <v>0</v>
      </c>
      <c r="K82" s="155">
        <f t="shared" si="2"/>
        <v>0</v>
      </c>
      <c r="L82" s="155" t="str">
        <f>IF(AND('Summary Sheet'!$E$23="No",$H$33&gt;0,H82&gt;=1),"",IF(AND('Summary Sheet'!$E$23="Yes",H82&lt;&gt;""),H82*'Summary Sheet'!$G$23,""))</f>
        <v/>
      </c>
      <c r="M82" s="154"/>
      <c r="N82" s="155">
        <f>SUM('Pay App 1:Pay App 10'!L82)+SUM('Pay App 1:Pay App 10'!M82)</f>
        <v>0</v>
      </c>
    </row>
    <row r="83" spans="1:14" ht="11.25" customHeight="1" x14ac:dyDescent="0.25">
      <c r="A83" s="152">
        <v>27</v>
      </c>
      <c r="B83" s="145" t="str">
        <f>'Pay App 1'!B83</f>
        <v>06 40 00</v>
      </c>
      <c r="C83" s="134" t="str">
        <f>'Pay App 1'!C83</f>
        <v>Arch. Woodwork &amp; Finish Carp.</v>
      </c>
      <c r="D83" s="155">
        <f>'Pay App 1'!D83</f>
        <v>0</v>
      </c>
      <c r="E83" s="155">
        <f>VLOOKUP(B83,'Graph Data'!$O$2:$BX$88,12,FALSE)</f>
        <v>0</v>
      </c>
      <c r="F83" s="155">
        <f>IFERROR(E83+'Pay App 9'!F83,"")</f>
        <v>0</v>
      </c>
      <c r="G83" s="155">
        <f>SUM('Pay App 1:Pay App 9'!H83)</f>
        <v>0</v>
      </c>
      <c r="H83" s="154"/>
      <c r="I83" s="155">
        <f t="shared" si="0"/>
        <v>0</v>
      </c>
      <c r="J83" s="156">
        <f t="shared" si="1"/>
        <v>0</v>
      </c>
      <c r="K83" s="155">
        <f t="shared" si="2"/>
        <v>0</v>
      </c>
      <c r="L83" s="155" t="str">
        <f>IF(AND('Summary Sheet'!$E$23="No",$H$33&gt;0,H83&gt;=1),"",IF(AND('Summary Sheet'!$E$23="Yes",H83&lt;&gt;""),H83*'Summary Sheet'!$G$23,""))</f>
        <v/>
      </c>
      <c r="M83" s="154"/>
      <c r="N83" s="155">
        <f>SUM('Pay App 1:Pay App 10'!L83)+SUM('Pay App 1:Pay App 10'!M83)</f>
        <v>0</v>
      </c>
    </row>
    <row r="84" spans="1:14" ht="11.25" customHeight="1" x14ac:dyDescent="0.25">
      <c r="A84" s="152">
        <v>28</v>
      </c>
      <c r="B84" s="174" t="str">
        <f>'Pay App 1'!B84</f>
        <v>07 10 00</v>
      </c>
      <c r="C84" s="179" t="str">
        <f>'Pay App 1'!C84</f>
        <v>Waterproofing/Water Repellents</v>
      </c>
      <c r="D84" s="155">
        <f>'Pay App 1'!D84</f>
        <v>0</v>
      </c>
      <c r="E84" s="155">
        <f>VLOOKUP(B84,'Graph Data'!$O$2:$BX$88,12,FALSE)</f>
        <v>0</v>
      </c>
      <c r="F84" s="155">
        <f>IFERROR(E84+'Pay App 9'!F84,"")</f>
        <v>0</v>
      </c>
      <c r="G84" s="155">
        <f>SUM('Pay App 1:Pay App 9'!H84)</f>
        <v>0</v>
      </c>
      <c r="H84" s="154"/>
      <c r="I84" s="155">
        <f t="shared" si="0"/>
        <v>0</v>
      </c>
      <c r="J84" s="156">
        <f t="shared" si="1"/>
        <v>0</v>
      </c>
      <c r="K84" s="155">
        <f t="shared" si="2"/>
        <v>0</v>
      </c>
      <c r="L84" s="155" t="str">
        <f>IF(AND('Summary Sheet'!$E$23="No",$H$33&gt;0,H84&gt;=1),"",IF(AND('Summary Sheet'!$E$23="Yes",H84&lt;&gt;""),H84*'Summary Sheet'!$G$23,""))</f>
        <v/>
      </c>
      <c r="M84" s="154"/>
      <c r="N84" s="155">
        <f>SUM('Pay App 1:Pay App 10'!L84)+SUM('Pay App 1:Pay App 10'!M84)</f>
        <v>0</v>
      </c>
    </row>
    <row r="85" spans="1:14" ht="11.25" customHeight="1" x14ac:dyDescent="0.25">
      <c r="A85" s="152">
        <v>29</v>
      </c>
      <c r="B85" s="174" t="str">
        <f>'Pay App 1'!B85</f>
        <v>07 20 00</v>
      </c>
      <c r="C85" s="179" t="str">
        <f>'Pay App 1'!C85</f>
        <v>Insulation</v>
      </c>
      <c r="D85" s="155">
        <f>'Pay App 1'!D85</f>
        <v>0</v>
      </c>
      <c r="E85" s="155">
        <f>VLOOKUP(B85,'Graph Data'!$O$2:$BX$88,12,FALSE)</f>
        <v>0</v>
      </c>
      <c r="F85" s="155">
        <f>IFERROR(E85+'Pay App 9'!F85,"")</f>
        <v>0</v>
      </c>
      <c r="G85" s="155">
        <f>SUM('Pay App 1:Pay App 9'!H85)</f>
        <v>0</v>
      </c>
      <c r="H85" s="154"/>
      <c r="I85" s="155">
        <f t="shared" si="0"/>
        <v>0</v>
      </c>
      <c r="J85" s="156">
        <f t="shared" si="1"/>
        <v>0</v>
      </c>
      <c r="K85" s="155">
        <f>IFERROR(F85-I85,"")</f>
        <v>0</v>
      </c>
      <c r="L85" s="155" t="str">
        <f>IF(AND('Summary Sheet'!$E$23="No",$H$33&gt;0,H85&gt;=1),"",IF(AND('Summary Sheet'!$E$23="Yes",H85&lt;&gt;""),H85*'Summary Sheet'!$G$23,""))</f>
        <v/>
      </c>
      <c r="M85" s="154"/>
      <c r="N85" s="155">
        <f>SUM('Pay App 1:Pay App 10'!L85)+SUM('Pay App 1:Pay App 10'!M85)</f>
        <v>0</v>
      </c>
    </row>
    <row r="86" spans="1:14" ht="11.25" customHeight="1" x14ac:dyDescent="0.25">
      <c r="A86" s="152">
        <v>30</v>
      </c>
      <c r="B86" s="174" t="str">
        <f>'Pay App 1'!B86</f>
        <v>07 24 00</v>
      </c>
      <c r="C86" s="179" t="str">
        <f>'Pay App 1'!C86</f>
        <v>EIFS</v>
      </c>
      <c r="D86" s="155">
        <f>'Pay App 1'!D86</f>
        <v>0</v>
      </c>
      <c r="E86" s="155">
        <f>VLOOKUP(B86,'Graph Data'!$O$2:$BX$88,12,FALSE)</f>
        <v>0</v>
      </c>
      <c r="F86" s="155">
        <f>IFERROR(E86+'Pay App 9'!F86,"")</f>
        <v>0</v>
      </c>
      <c r="G86" s="155">
        <f>SUM('Pay App 1:Pay App 9'!H86)</f>
        <v>0</v>
      </c>
      <c r="H86" s="154"/>
      <c r="I86" s="155">
        <f t="shared" si="0"/>
        <v>0</v>
      </c>
      <c r="J86" s="156">
        <f t="shared" si="1"/>
        <v>0</v>
      </c>
      <c r="K86" s="155">
        <f t="shared" si="2"/>
        <v>0</v>
      </c>
      <c r="L86" s="155" t="str">
        <f>IF(AND('Summary Sheet'!$E$23="No",$H$33&gt;0,H86&gt;=1),"",IF(AND('Summary Sheet'!$E$23="Yes",H86&lt;&gt;""),H86*'Summary Sheet'!$G$23,""))</f>
        <v/>
      </c>
      <c r="M86" s="154"/>
      <c r="N86" s="155">
        <f>SUM('Pay App 1:Pay App 10'!L86)+SUM('Pay App 1:Pay App 10'!M86)</f>
        <v>0</v>
      </c>
    </row>
    <row r="87" spans="1:14" ht="11.25" customHeight="1" x14ac:dyDescent="0.25">
      <c r="A87" s="152">
        <v>31</v>
      </c>
      <c r="B87" s="174" t="str">
        <f>'Pay App 1'!B87</f>
        <v>07 26 00</v>
      </c>
      <c r="C87" s="179" t="str">
        <f>'Pay App 1'!C87</f>
        <v>Vapor Retarders</v>
      </c>
      <c r="D87" s="155">
        <f>'Pay App 1'!D87</f>
        <v>0</v>
      </c>
      <c r="E87" s="155">
        <f>VLOOKUP(B87,'Graph Data'!$O$2:$BX$88,12,FALSE)</f>
        <v>0</v>
      </c>
      <c r="F87" s="155">
        <f>IFERROR(E87+'Pay App 9'!F87,"")</f>
        <v>0</v>
      </c>
      <c r="G87" s="155">
        <f>SUM('Pay App 1:Pay App 9'!H87)</f>
        <v>0</v>
      </c>
      <c r="H87" s="154"/>
      <c r="I87" s="155">
        <f t="shared" si="0"/>
        <v>0</v>
      </c>
      <c r="J87" s="156">
        <f t="shared" si="1"/>
        <v>0</v>
      </c>
      <c r="K87" s="155">
        <f t="shared" si="2"/>
        <v>0</v>
      </c>
      <c r="L87" s="155" t="str">
        <f>IF(AND('Summary Sheet'!$E$23="No",$H$33&gt;0,H87&gt;=1),"",IF(AND('Summary Sheet'!$E$23="Yes",H87&lt;&gt;""),H87*'Summary Sheet'!$G$23,""))</f>
        <v/>
      </c>
      <c r="M87" s="154"/>
      <c r="N87" s="155">
        <f>SUM('Pay App 1:Pay App 10'!L87)+SUM('Pay App 1:Pay App 10'!M87)</f>
        <v>0</v>
      </c>
    </row>
    <row r="88" spans="1:14" ht="11.25" customHeight="1" x14ac:dyDescent="0.25">
      <c r="A88" s="152">
        <v>32</v>
      </c>
      <c r="B88" s="174" t="str">
        <f>'Pay App 1'!B88</f>
        <v>07 41 00</v>
      </c>
      <c r="C88" s="179" t="str">
        <f>'Pay App 1'!C88</f>
        <v>Roofing</v>
      </c>
      <c r="D88" s="155">
        <f>'Pay App 1'!D88</f>
        <v>0</v>
      </c>
      <c r="E88" s="155">
        <f>VLOOKUP(B88,'Graph Data'!$O$2:$BX$88,12,FALSE)</f>
        <v>0</v>
      </c>
      <c r="F88" s="155">
        <f>IFERROR(E88+'Pay App 9'!F88,"")</f>
        <v>0</v>
      </c>
      <c r="G88" s="155">
        <f>SUM('Pay App 1:Pay App 9'!H88)</f>
        <v>0</v>
      </c>
      <c r="H88" s="154"/>
      <c r="I88" s="155">
        <f t="shared" si="0"/>
        <v>0</v>
      </c>
      <c r="J88" s="156">
        <f t="shared" si="1"/>
        <v>0</v>
      </c>
      <c r="K88" s="155">
        <f t="shared" si="2"/>
        <v>0</v>
      </c>
      <c r="L88" s="155" t="str">
        <f>IF(AND('Summary Sheet'!$E$23="No",$H$33&gt;0,H88&gt;=1),"",IF(AND('Summary Sheet'!$E$23="Yes",H88&lt;&gt;""),H88*'Summary Sheet'!$G$23,""))</f>
        <v/>
      </c>
      <c r="M88" s="154"/>
      <c r="N88" s="155">
        <f>SUM('Pay App 1:Pay App 10'!L88)+SUM('Pay App 1:Pay App 10'!M88)</f>
        <v>0</v>
      </c>
    </row>
    <row r="89" spans="1:14" ht="11.25" customHeight="1" x14ac:dyDescent="0.25">
      <c r="A89" s="152">
        <v>33</v>
      </c>
      <c r="B89" s="174" t="str">
        <f>'Pay App 1'!B89</f>
        <v>07 42 00</v>
      </c>
      <c r="C89" s="179" t="str">
        <f>'Pay App 1'!C89</f>
        <v>Metal Panels</v>
      </c>
      <c r="D89" s="155">
        <f>'Pay App 1'!D89</f>
        <v>0</v>
      </c>
      <c r="E89" s="155">
        <f>VLOOKUP(B89,'Graph Data'!$O$2:$BX$88,12,FALSE)</f>
        <v>0</v>
      </c>
      <c r="F89" s="155">
        <f>IFERROR(E89+'Pay App 9'!F89,"")</f>
        <v>0</v>
      </c>
      <c r="G89" s="155">
        <f>SUM('Pay App 1:Pay App 9'!H89)</f>
        <v>0</v>
      </c>
      <c r="H89" s="154"/>
      <c r="I89" s="155">
        <f t="shared" si="0"/>
        <v>0</v>
      </c>
      <c r="J89" s="156">
        <f t="shared" si="1"/>
        <v>0</v>
      </c>
      <c r="K89" s="155">
        <f t="shared" si="2"/>
        <v>0</v>
      </c>
      <c r="L89" s="155" t="str">
        <f>IF(AND('Summary Sheet'!$E$23="No",$H$33&gt;0,H89&gt;=1),"",IF(AND('Summary Sheet'!$E$23="Yes",H89&lt;&gt;""),H89*'Summary Sheet'!$G$23,""))</f>
        <v/>
      </c>
      <c r="M89" s="154"/>
      <c r="N89" s="155">
        <f>SUM('Pay App 1:Pay App 10'!L89)+SUM('Pay App 1:Pay App 10'!M89)</f>
        <v>0</v>
      </c>
    </row>
    <row r="90" spans="1:14" ht="11.25" customHeight="1" x14ac:dyDescent="0.25">
      <c r="A90" s="152">
        <v>34</v>
      </c>
      <c r="B90" s="174" t="str">
        <f>'Pay App 1'!B90</f>
        <v>07 60 00</v>
      </c>
      <c r="C90" s="179" t="str">
        <f>'Pay App 1'!C90</f>
        <v>Sheet Metal Flashing &amp; Trim</v>
      </c>
      <c r="D90" s="155">
        <f>'Pay App 1'!D90</f>
        <v>0</v>
      </c>
      <c r="E90" s="155">
        <f>VLOOKUP(B90,'Graph Data'!$O$2:$BX$88,12,FALSE)</f>
        <v>0</v>
      </c>
      <c r="F90" s="155">
        <f>IFERROR(E90+'Pay App 9'!F90,"")</f>
        <v>0</v>
      </c>
      <c r="G90" s="155">
        <f>SUM('Pay App 1:Pay App 9'!H90)</f>
        <v>0</v>
      </c>
      <c r="H90" s="154"/>
      <c r="I90" s="155">
        <f t="shared" si="0"/>
        <v>0</v>
      </c>
      <c r="J90" s="156">
        <f t="shared" si="1"/>
        <v>0</v>
      </c>
      <c r="K90" s="155">
        <f t="shared" si="2"/>
        <v>0</v>
      </c>
      <c r="L90" s="155" t="str">
        <f>IF(AND('Summary Sheet'!$E$23="No",$H$33&gt;0,H90&gt;=1),"",IF(AND('Summary Sheet'!$E$23="Yes",H90&lt;&gt;""),H90*'Summary Sheet'!$G$23,""))</f>
        <v/>
      </c>
      <c r="M90" s="154"/>
      <c r="N90" s="155">
        <f>SUM('Pay App 1:Pay App 10'!L90)+SUM('Pay App 1:Pay App 10'!M90)</f>
        <v>0</v>
      </c>
    </row>
    <row r="91" spans="1:14" ht="11.25" customHeight="1" x14ac:dyDescent="0.25">
      <c r="A91" s="152">
        <v>35</v>
      </c>
      <c r="B91" s="174" t="str">
        <f>'Pay App 1'!B91</f>
        <v>07 80 00</v>
      </c>
      <c r="C91" s="179" t="str">
        <f>'Pay App 1'!C91</f>
        <v>Fireproofing</v>
      </c>
      <c r="D91" s="155">
        <f>'Pay App 1'!D91</f>
        <v>0</v>
      </c>
      <c r="E91" s="155">
        <f>VLOOKUP(B91,'Graph Data'!$O$2:$BX$88,12,FALSE)</f>
        <v>0</v>
      </c>
      <c r="F91" s="155">
        <f>IFERROR(E91+'Pay App 9'!F91,"")</f>
        <v>0</v>
      </c>
      <c r="G91" s="155">
        <f>SUM('Pay App 1:Pay App 9'!H91)</f>
        <v>0</v>
      </c>
      <c r="H91" s="154"/>
      <c r="I91" s="155">
        <f t="shared" si="0"/>
        <v>0</v>
      </c>
      <c r="J91" s="156">
        <f t="shared" si="1"/>
        <v>0</v>
      </c>
      <c r="K91" s="155">
        <f t="shared" si="2"/>
        <v>0</v>
      </c>
      <c r="L91" s="155" t="str">
        <f>IF(AND('Summary Sheet'!$E$23="No",$H$33&gt;0,H91&gt;=1),"",IF(AND('Summary Sheet'!$E$23="Yes",H91&lt;&gt;""),H91*'Summary Sheet'!$G$23,""))</f>
        <v/>
      </c>
      <c r="M91" s="154"/>
      <c r="N91" s="155">
        <f>SUM('Pay App 1:Pay App 10'!L91)+SUM('Pay App 1:Pay App 10'!M91)</f>
        <v>0</v>
      </c>
    </row>
    <row r="92" spans="1:14" ht="11.25" customHeight="1" x14ac:dyDescent="0.25">
      <c r="A92" s="152">
        <v>36</v>
      </c>
      <c r="B92" s="174" t="str">
        <f>'Pay App 1'!B92</f>
        <v>07 90 00</v>
      </c>
      <c r="C92" s="179" t="str">
        <f>'Pay App 1'!C92</f>
        <v>Joint Sealants</v>
      </c>
      <c r="D92" s="155">
        <f>'Pay App 1'!D92</f>
        <v>0</v>
      </c>
      <c r="E92" s="155">
        <f>VLOOKUP(B92,'Graph Data'!$O$2:$BX$88,12,FALSE)</f>
        <v>0</v>
      </c>
      <c r="F92" s="155">
        <f>IFERROR(E92+'Pay App 9'!F92,"")</f>
        <v>0</v>
      </c>
      <c r="G92" s="155">
        <f>SUM('Pay App 1:Pay App 9'!H92)</f>
        <v>0</v>
      </c>
      <c r="H92" s="154"/>
      <c r="I92" s="155">
        <f t="shared" si="0"/>
        <v>0</v>
      </c>
      <c r="J92" s="156">
        <f t="shared" si="1"/>
        <v>0</v>
      </c>
      <c r="K92" s="155">
        <f t="shared" si="2"/>
        <v>0</v>
      </c>
      <c r="L92" s="155" t="str">
        <f>IF(AND('Summary Sheet'!$E$23="No",$H$33&gt;0,H92&gt;=1),"",IF(AND('Summary Sheet'!$E$23="Yes",H92&lt;&gt;""),H92*'Summary Sheet'!$G$23,""))</f>
        <v/>
      </c>
      <c r="M92" s="154"/>
      <c r="N92" s="155">
        <f>SUM('Pay App 1:Pay App 10'!L92)+SUM('Pay App 1:Pay App 10'!M92)</f>
        <v>0</v>
      </c>
    </row>
    <row r="93" spans="1:14" ht="11.25" customHeight="1" x14ac:dyDescent="0.25">
      <c r="A93" s="152">
        <v>37</v>
      </c>
      <c r="B93" s="174" t="str">
        <f>'Pay App 1'!B93</f>
        <v>07 95 00</v>
      </c>
      <c r="C93" s="179" t="str">
        <f>'Pay App 1'!C93</f>
        <v>Expansion Joints</v>
      </c>
      <c r="D93" s="155">
        <f>'Pay App 1'!D93</f>
        <v>0</v>
      </c>
      <c r="E93" s="155">
        <f>VLOOKUP(B93,'Graph Data'!$O$2:$BX$88,12,FALSE)</f>
        <v>0</v>
      </c>
      <c r="F93" s="155">
        <f>IFERROR(E93+'Pay App 9'!F93,"")</f>
        <v>0</v>
      </c>
      <c r="G93" s="155">
        <f>SUM('Pay App 1:Pay App 9'!H93)</f>
        <v>0</v>
      </c>
      <c r="H93" s="154"/>
      <c r="I93" s="155">
        <f t="shared" si="0"/>
        <v>0</v>
      </c>
      <c r="J93" s="156">
        <f t="shared" si="1"/>
        <v>0</v>
      </c>
      <c r="K93" s="155">
        <f t="shared" si="2"/>
        <v>0</v>
      </c>
      <c r="L93" s="155" t="str">
        <f>IF(AND('Summary Sheet'!$E$23="No",$H$33&gt;0,H93&gt;=1),"",IF(AND('Summary Sheet'!$E$23="Yes",H93&lt;&gt;""),H93*'Summary Sheet'!$G$23,""))</f>
        <v/>
      </c>
      <c r="M93" s="154"/>
      <c r="N93" s="155">
        <f>SUM('Pay App 1:Pay App 10'!L93)+SUM('Pay App 1:Pay App 10'!M93)</f>
        <v>0</v>
      </c>
    </row>
    <row r="94" spans="1:14" ht="11.25" customHeight="1" x14ac:dyDescent="0.25">
      <c r="A94" s="152">
        <v>38</v>
      </c>
      <c r="B94" s="175" t="str">
        <f>'Pay App 1'!B94</f>
        <v>08 10 00</v>
      </c>
      <c r="C94" s="180" t="str">
        <f>'Pay App 1'!C94</f>
        <v>Doors, Frames &amp; Hardware</v>
      </c>
      <c r="D94" s="155">
        <f>'Pay App 1'!D94</f>
        <v>0</v>
      </c>
      <c r="E94" s="155">
        <f>VLOOKUP(B94,'Graph Data'!$O$2:$BX$88,12,FALSE)</f>
        <v>0</v>
      </c>
      <c r="F94" s="155">
        <f>IFERROR(E94+'Pay App 9'!F94,"")</f>
        <v>0</v>
      </c>
      <c r="G94" s="155">
        <f>SUM('Pay App 1:Pay App 9'!H94)</f>
        <v>0</v>
      </c>
      <c r="H94" s="154"/>
      <c r="I94" s="155">
        <f t="shared" si="0"/>
        <v>0</v>
      </c>
      <c r="J94" s="156">
        <f t="shared" si="1"/>
        <v>0</v>
      </c>
      <c r="K94" s="155">
        <f t="shared" si="2"/>
        <v>0</v>
      </c>
      <c r="L94" s="155" t="str">
        <f>IF(AND('Summary Sheet'!$E$23="No",$H$33&gt;0,H94&gt;=1),"",IF(AND('Summary Sheet'!$E$23="Yes",H94&lt;&gt;""),H94*'Summary Sheet'!$G$23,""))</f>
        <v/>
      </c>
      <c r="M94" s="154"/>
      <c r="N94" s="155">
        <f>SUM('Pay App 1:Pay App 10'!L94)+SUM('Pay App 1:Pay App 10'!M94)</f>
        <v>0</v>
      </c>
    </row>
    <row r="95" spans="1:14" ht="11.25" customHeight="1" x14ac:dyDescent="0.25">
      <c r="A95" s="152">
        <v>39</v>
      </c>
      <c r="B95" s="175" t="str">
        <f>'Pay App 1'!B95</f>
        <v>08 30 00</v>
      </c>
      <c r="C95" s="180" t="str">
        <f>'Pay App 1'!C95</f>
        <v>Specialty Doors</v>
      </c>
      <c r="D95" s="155">
        <f>'Pay App 1'!D95</f>
        <v>0</v>
      </c>
      <c r="E95" s="155">
        <f>VLOOKUP(B95,'Graph Data'!$O$2:$BX$88,12,FALSE)</f>
        <v>0</v>
      </c>
      <c r="F95" s="155">
        <f>IFERROR(E95+'Pay App 9'!F95,"")</f>
        <v>0</v>
      </c>
      <c r="G95" s="155">
        <f>SUM('Pay App 1:Pay App 9'!H95)</f>
        <v>0</v>
      </c>
      <c r="H95" s="154"/>
      <c r="I95" s="155">
        <f t="shared" si="0"/>
        <v>0</v>
      </c>
      <c r="J95" s="156">
        <f t="shared" si="1"/>
        <v>0</v>
      </c>
      <c r="K95" s="155">
        <f t="shared" si="2"/>
        <v>0</v>
      </c>
      <c r="L95" s="155" t="str">
        <f>IF(AND('Summary Sheet'!$E$23="No",$H$33&gt;0,H95&gt;=1),"",IF(AND('Summary Sheet'!$E$23="Yes",H95&lt;&gt;""),H95*'Summary Sheet'!$G$23,""))</f>
        <v/>
      </c>
      <c r="M95" s="154"/>
      <c r="N95" s="155">
        <f>SUM('Pay App 1:Pay App 10'!L95)+SUM('Pay App 1:Pay App 10'!M95)</f>
        <v>0</v>
      </c>
    </row>
    <row r="96" spans="1:14" ht="11.25" customHeight="1" x14ac:dyDescent="0.25">
      <c r="A96" s="152">
        <v>40</v>
      </c>
      <c r="B96" s="175" t="str">
        <f>'Pay App 1'!B96</f>
        <v>08 33 00</v>
      </c>
      <c r="C96" s="180" t="str">
        <f>'Pay App 1'!C96</f>
        <v>Overhead Doors/Coiling Doors</v>
      </c>
      <c r="D96" s="155">
        <f>'Pay App 1'!D96</f>
        <v>0</v>
      </c>
      <c r="E96" s="155">
        <f>VLOOKUP(B96,'Graph Data'!$O$2:$BX$88,12,FALSE)</f>
        <v>0</v>
      </c>
      <c r="F96" s="155">
        <f>IFERROR(E96+'Pay App 9'!F96,"")</f>
        <v>0</v>
      </c>
      <c r="G96" s="155">
        <f>SUM('Pay App 1:Pay App 9'!H96)</f>
        <v>0</v>
      </c>
      <c r="H96" s="154"/>
      <c r="I96" s="155">
        <f t="shared" si="0"/>
        <v>0</v>
      </c>
      <c r="J96" s="156">
        <f t="shared" si="1"/>
        <v>0</v>
      </c>
      <c r="K96" s="155">
        <f t="shared" si="2"/>
        <v>0</v>
      </c>
      <c r="L96" s="155" t="str">
        <f>IF(AND('Summary Sheet'!$E$23="No",$H$33&gt;0,H96&gt;=1),"",IF(AND('Summary Sheet'!$E$23="Yes",H96&lt;&gt;""),H96*'Summary Sheet'!$G$23,""))</f>
        <v/>
      </c>
      <c r="M96" s="154"/>
      <c r="N96" s="155">
        <f>SUM('Pay App 1:Pay App 10'!L96)+SUM('Pay App 1:Pay App 10'!M96)</f>
        <v>0</v>
      </c>
    </row>
    <row r="97" spans="1:15" ht="11.25" customHeight="1" x14ac:dyDescent="0.25">
      <c r="A97" s="152">
        <v>41</v>
      </c>
      <c r="B97" s="175" t="str">
        <f>'Pay App 1'!B97</f>
        <v>08 40 00</v>
      </c>
      <c r="C97" s="180" t="str">
        <f>'Pay App 1'!C97</f>
        <v>Curtain Wall, Glass &amp; Glazing</v>
      </c>
      <c r="D97" s="155">
        <f>'Pay App 1'!D97</f>
        <v>0</v>
      </c>
      <c r="E97" s="155">
        <f>VLOOKUP(B97,'Graph Data'!$O$2:$BX$88,12,FALSE)</f>
        <v>0</v>
      </c>
      <c r="F97" s="155">
        <f>IFERROR(E97+'Pay App 9'!F97,"")</f>
        <v>0</v>
      </c>
      <c r="G97" s="155">
        <f>SUM('Pay App 1:Pay App 9'!H97)</f>
        <v>0</v>
      </c>
      <c r="H97" s="154"/>
      <c r="I97" s="155">
        <f t="shared" si="0"/>
        <v>0</v>
      </c>
      <c r="J97" s="156">
        <f t="shared" si="1"/>
        <v>0</v>
      </c>
      <c r="K97" s="155">
        <f t="shared" si="2"/>
        <v>0</v>
      </c>
      <c r="L97" s="155" t="str">
        <f>IF(AND('Summary Sheet'!$E$23="No",$H$33&gt;0,H97&gt;=1),"",IF(AND('Summary Sheet'!$E$23="Yes",H97&lt;&gt;""),H97*'Summary Sheet'!$G$23,""))</f>
        <v/>
      </c>
      <c r="M97" s="154"/>
      <c r="N97" s="155">
        <f>SUM('Pay App 1:Pay App 10'!L97)+SUM('Pay App 1:Pay App 10'!M97)</f>
        <v>0</v>
      </c>
    </row>
    <row r="98" spans="1:15" ht="10.9" customHeight="1" x14ac:dyDescent="0.25">
      <c r="A98" s="152">
        <v>42</v>
      </c>
      <c r="B98" s="175" t="str">
        <f>'Pay App 1'!B98</f>
        <v>08 60 00</v>
      </c>
      <c r="C98" s="180" t="str">
        <f>'Pay App 1'!C98</f>
        <v>Skylights</v>
      </c>
      <c r="D98" s="155">
        <f>'Pay App 1'!D98</f>
        <v>0</v>
      </c>
      <c r="E98" s="155">
        <f>VLOOKUP(B98,'Graph Data'!$O$2:$BX$88,12,FALSE)</f>
        <v>0</v>
      </c>
      <c r="F98" s="155">
        <f>IFERROR(E98+'Pay App 9'!F98,"")</f>
        <v>0</v>
      </c>
      <c r="G98" s="155">
        <f>SUM('Pay App 1:Pay App 9'!H98)</f>
        <v>0</v>
      </c>
      <c r="H98" s="154"/>
      <c r="I98" s="155">
        <f t="shared" si="0"/>
        <v>0</v>
      </c>
      <c r="J98" s="156">
        <f t="shared" si="1"/>
        <v>0</v>
      </c>
      <c r="K98" s="155">
        <f t="shared" si="2"/>
        <v>0</v>
      </c>
      <c r="L98" s="155" t="str">
        <f>IF(AND('Summary Sheet'!$E$23="No",$H$33&gt;0,H98&gt;=1),"",IF(AND('Summary Sheet'!$E$23="Yes",H98&lt;&gt;""),H98*'Summary Sheet'!$G$23,""))</f>
        <v/>
      </c>
      <c r="M98" s="154"/>
      <c r="N98" s="155">
        <f>SUM('Pay App 1:Pay App 10'!L98)+SUM('Pay App 1:Pay App 10'!M98)</f>
        <v>0</v>
      </c>
    </row>
    <row r="99" spans="1:15" ht="10.9" customHeight="1" x14ac:dyDescent="0.25">
      <c r="A99" s="152">
        <v>43</v>
      </c>
      <c r="B99" s="175" t="str">
        <f>'Pay App 1'!B99</f>
        <v>08 90 00</v>
      </c>
      <c r="C99" s="180" t="str">
        <f>'Pay App 1'!C99</f>
        <v>Louvers &amp; Vents</v>
      </c>
      <c r="D99" s="155">
        <f>'Pay App 1'!D99</f>
        <v>0</v>
      </c>
      <c r="E99" s="155">
        <f>VLOOKUP(B99,'Graph Data'!$O$2:$BX$88,12,FALSE)</f>
        <v>0</v>
      </c>
      <c r="F99" s="155">
        <f>IFERROR(E99+'Pay App 9'!F99,"")</f>
        <v>0</v>
      </c>
      <c r="G99" s="155">
        <f>SUM('Pay App 1:Pay App 9'!H99)</f>
        <v>0</v>
      </c>
      <c r="H99" s="154"/>
      <c r="I99" s="155">
        <f t="shared" si="0"/>
        <v>0</v>
      </c>
      <c r="J99" s="156">
        <f t="shared" si="1"/>
        <v>0</v>
      </c>
      <c r="K99" s="155">
        <f t="shared" si="2"/>
        <v>0</v>
      </c>
      <c r="L99" s="155" t="str">
        <f>IF(AND('Summary Sheet'!$E$23="No",$H$33&gt;0,H99&gt;=1),"",IF(AND('Summary Sheet'!$E$23="Yes",H99&lt;&gt;""),H99*'Summary Sheet'!$G$23,""))</f>
        <v/>
      </c>
      <c r="M99" s="154"/>
      <c r="N99" s="155">
        <f>SUM('Pay App 1:Pay App 10'!L99)+SUM('Pay App 1:Pay App 10'!M99)</f>
        <v>0</v>
      </c>
    </row>
    <row r="100" spans="1:15" ht="11.25" customHeight="1" x14ac:dyDescent="0.25">
      <c r="A100" s="153">
        <v>44</v>
      </c>
      <c r="B100" s="176" t="str">
        <f>'Pay App 1'!B100</f>
        <v>09 20 00</v>
      </c>
      <c r="C100" s="181" t="str">
        <f>'Pay App 1'!C100</f>
        <v>Gypsum Board Systems</v>
      </c>
      <c r="D100" s="155">
        <f>'Pay App 1'!D100</f>
        <v>0</v>
      </c>
      <c r="E100" s="155">
        <f>VLOOKUP(B100,'Graph Data'!$O$2:$BX$88,12,FALSE)</f>
        <v>0</v>
      </c>
      <c r="F100" s="155">
        <f>IFERROR(E100+'Pay App 9'!F100,"")</f>
        <v>0</v>
      </c>
      <c r="G100" s="155">
        <f>SUM('Pay App 1:Pay App 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10'!L100)+SUM('Pay App 1:Pay App 10'!M100)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10.199999999999999</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Data'!$O$2:$BX$88,12,FALSE)</f>
        <v>0</v>
      </c>
      <c r="F106" s="155">
        <f>IFERROR(E106+'Pay App 9'!F106,"")</f>
        <v>0</v>
      </c>
      <c r="G106" s="155">
        <f>SUM('Pay App 1:Pay App 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10'!L106)+SUM('Pay App 1:Pay App 10'!M106)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Data'!$O$2:$BX$88,12,FALSE)</f>
        <v>0</v>
      </c>
      <c r="F107" s="155">
        <f>IFERROR(E107+'Pay App 9'!F107,"")</f>
        <v>0</v>
      </c>
      <c r="G107" s="155">
        <f>SUM('Pay App 1:Pay App 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10'!L107)+SUM('Pay App 1:Pay App 10'!M107)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Data'!$O$2:$BX$88,12,FALSE)</f>
        <v>0</v>
      </c>
      <c r="F108" s="155">
        <f>IFERROR(E108+'Pay App 9'!F108,"")</f>
        <v>0</v>
      </c>
      <c r="G108" s="155">
        <f>SUM('Pay App 1:Pay App 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10'!L108)+SUM('Pay App 1:Pay App 10'!M108)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Data'!$O$2:$BX$88,12,FALSE)</f>
        <v>0</v>
      </c>
      <c r="F109" s="155">
        <f>IFERROR(E109+'Pay App 9'!F109,"")</f>
        <v>0</v>
      </c>
      <c r="G109" s="155">
        <f>SUM('Pay App 1:Pay App 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10'!L109)+SUM('Pay App 1:Pay App 10'!M109)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Data'!$O$2:$BX$88,12,FALSE)</f>
        <v>0</v>
      </c>
      <c r="F110" s="155">
        <f>IFERROR(E110+'Pay App 9'!F110,"")</f>
        <v>0</v>
      </c>
      <c r="G110" s="155">
        <f>SUM('Pay App 1:Pay App 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10'!L110)+SUM('Pay App 1:Pay App 10'!M110)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Data'!$O$2:$BX$88,12,FALSE)</f>
        <v>0</v>
      </c>
      <c r="F111" s="155">
        <f>IFERROR(E111+'Pay App 9'!F111,"")</f>
        <v>0</v>
      </c>
      <c r="G111" s="155">
        <f>SUM('Pay App 1:Pay App 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10'!L111)+SUM('Pay App 1:Pay App 10'!M111)</f>
        <v>0</v>
      </c>
    </row>
    <row r="112" spans="1:15" ht="11.25" customHeight="1" x14ac:dyDescent="0.25">
      <c r="A112" s="152">
        <f t="shared" si="3"/>
        <v>51</v>
      </c>
      <c r="B112" s="148" t="str">
        <f>'Pay App 1'!B112</f>
        <v>09 90 00</v>
      </c>
      <c r="C112" s="143" t="str">
        <f>'Pay App 1'!C112</f>
        <v>Painting</v>
      </c>
      <c r="D112" s="155">
        <f>'Pay App 1'!D112</f>
        <v>0</v>
      </c>
      <c r="E112" s="155">
        <f>VLOOKUP(B112,'Graph Data'!$O$2:$BX$88,12,FALSE)</f>
        <v>0</v>
      </c>
      <c r="F112" s="155">
        <f>IFERROR(E112+'Pay App 9'!F112,"")</f>
        <v>0</v>
      </c>
      <c r="G112" s="155">
        <f>SUM('Pay App 1:Pay App 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10'!L112)+SUM('Pay App 1:Pay App 10'!M112)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Data'!$O$2:$BX$88,12,FALSE)</f>
        <v>0</v>
      </c>
      <c r="F113" s="155">
        <f>IFERROR(E113+'Pay App 9'!F113,"")</f>
        <v>0</v>
      </c>
      <c r="G113" s="155">
        <f>SUM('Pay App 1:Pay App 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10'!L113)+SUM('Pay App 1:Pay App 10'!M113)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Data'!$O$2:$BX$88,12,FALSE)</f>
        <v>0</v>
      </c>
      <c r="F114" s="155">
        <f>IFERROR(E114+'Pay App 9'!F114,"")</f>
        <v>0</v>
      </c>
      <c r="G114" s="155">
        <f>SUM('Pay App 1:Pay App 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10'!L114)+SUM('Pay App 1:Pay App 10'!M114)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Data'!$O$2:$BX$88,12,FALSE)</f>
        <v>0</v>
      </c>
      <c r="F115" s="155">
        <f>IFERROR(E115+'Pay App 9'!F115,"")</f>
        <v>0</v>
      </c>
      <c r="G115" s="155">
        <f>SUM('Pay App 1:Pay App 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10'!L115)+SUM('Pay App 1:Pay App 10'!M115)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Data'!$O$2:$BX$88,12,FALSE)</f>
        <v>0</v>
      </c>
      <c r="F116" s="155">
        <f>IFERROR(E116+'Pay App 9'!F116,"")</f>
        <v>0</v>
      </c>
      <c r="G116" s="155">
        <f>SUM('Pay App 1:Pay App 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10'!L116)+SUM('Pay App 1:Pay App 10'!M116)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Data'!$O$2:$BX$88,12,FALSE)</f>
        <v>0</v>
      </c>
      <c r="F117" s="155">
        <f>IFERROR(E117+'Pay App 9'!F117,"")</f>
        <v>0</v>
      </c>
      <c r="G117" s="155">
        <f>SUM('Pay App 1:Pay App 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10'!L117)+SUM('Pay App 1:Pay App 10'!M117)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Data'!$O$2:$BX$88,12,FALSE)</f>
        <v>0</v>
      </c>
      <c r="F118" s="155">
        <f>IFERROR(E118+'Pay App 9'!F118,"")</f>
        <v>0</v>
      </c>
      <c r="G118" s="155">
        <f>SUM('Pay App 1:Pay App 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10'!L118)+SUM('Pay App 1:Pay App 10'!M118)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Data'!$O$2:$BX$88,12,FALSE)</f>
        <v>0</v>
      </c>
      <c r="F119" s="155">
        <f>IFERROR(E119+'Pay App 9'!F119,"")</f>
        <v>0</v>
      </c>
      <c r="G119" s="155">
        <f>SUM('Pay App 1:Pay App 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10'!L119)+SUM('Pay App 1:Pay App 10'!M119)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Data'!$O$2:$BX$88,12,FALSE)</f>
        <v>0</v>
      </c>
      <c r="F120" s="155">
        <f>IFERROR(E120+'Pay App 9'!F120,"")</f>
        <v>0</v>
      </c>
      <c r="G120" s="155">
        <f>SUM('Pay App 1:Pay App 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10'!L120)+SUM('Pay App 1:Pay App 10'!M120)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Data'!$O$2:$BX$88,12,FALSE)</f>
        <v>0</v>
      </c>
      <c r="F121" s="155">
        <f>IFERROR(E121+'Pay App 9'!F121,"")</f>
        <v>0</v>
      </c>
      <c r="G121" s="155">
        <f>SUM('Pay App 1:Pay App 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10'!L121)+SUM('Pay App 1:Pay App 10'!M121)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Data'!$O$2:$BX$88,12,FALSE)</f>
        <v>0</v>
      </c>
      <c r="F122" s="155">
        <f>IFERROR(E122+'Pay App 9'!F122,"")</f>
        <v>0</v>
      </c>
      <c r="G122" s="155">
        <f>SUM('Pay App 1:Pay App 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10'!L122)+SUM('Pay App 1:Pay App 10'!M122)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Data'!$O$2:$BX$88,12,FALSE)</f>
        <v>0</v>
      </c>
      <c r="F123" s="155">
        <f>IFERROR(E123+'Pay App 9'!F123,"")</f>
        <v>0</v>
      </c>
      <c r="G123" s="155">
        <f>SUM('Pay App 1:Pay App 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10'!L123)+SUM('Pay App 1:Pay App 10'!M123)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Data'!$O$2:$BX$88,12,FALSE)</f>
        <v>0</v>
      </c>
      <c r="F124" s="155">
        <f>IFERROR(E124+'Pay App 9'!F124,"")</f>
        <v>0</v>
      </c>
      <c r="G124" s="155">
        <f>SUM('Pay App 1:Pay App 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10'!L124)+SUM('Pay App 1:Pay App 10'!M124)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Data'!$O$2:$BX$88,12,FALSE)</f>
        <v>0</v>
      </c>
      <c r="F125" s="155">
        <f>IFERROR(E125+'Pay App 9'!F125,"")</f>
        <v>0</v>
      </c>
      <c r="G125" s="155">
        <f>SUM('Pay App 1:Pay App 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10'!L125)+SUM('Pay App 1:Pay App 10'!M125)</f>
        <v>0</v>
      </c>
    </row>
    <row r="126" spans="1:14" ht="11.25" customHeight="1" x14ac:dyDescent="0.25">
      <c r="A126" s="152">
        <f t="shared" si="3"/>
        <v>65</v>
      </c>
      <c r="B126" s="188" t="str">
        <f>'Pay App 1'!B126</f>
        <v>14 20 00</v>
      </c>
      <c r="C126" s="194" t="str">
        <f>'Pay App 1'!C126</f>
        <v>Elevator</v>
      </c>
      <c r="D126" s="155">
        <f>'Pay App 1'!D126</f>
        <v>0</v>
      </c>
      <c r="E126" s="155">
        <f>VLOOKUP(B126,'Graph Data'!$O$2:$BX$88,12,FALSE)</f>
        <v>0</v>
      </c>
      <c r="F126" s="155">
        <f>IFERROR(E126+'Pay App 9'!F126,"")</f>
        <v>0</v>
      </c>
      <c r="G126" s="155">
        <f>SUM('Pay App 1:Pay App 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10'!L126)+SUM('Pay App 1:Pay App 10'!M126)</f>
        <v>0</v>
      </c>
    </row>
    <row r="127" spans="1:14" ht="11.25" customHeight="1" x14ac:dyDescent="0.25">
      <c r="A127" s="152">
        <f t="shared" si="3"/>
        <v>66</v>
      </c>
      <c r="B127" s="188" t="str">
        <f>'Pay App 1'!B127</f>
        <v>14 40 00</v>
      </c>
      <c r="C127" s="194" t="str">
        <f>'Pay App 1'!C127</f>
        <v>Lifts</v>
      </c>
      <c r="D127" s="155">
        <f>'Pay App 1'!D127</f>
        <v>0</v>
      </c>
      <c r="E127" s="155">
        <f>VLOOKUP(B127,'Graph Data'!$O$2:$BX$88,12,FALSE)</f>
        <v>0</v>
      </c>
      <c r="F127" s="155">
        <f>IFERROR(E127+'Pay App 9'!F127,"")</f>
        <v>0</v>
      </c>
      <c r="G127" s="155">
        <f>SUM('Pay App 1:Pay App 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10'!L127)+SUM('Pay App 1:Pay App 10'!M127)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Data'!$O$2:$BX$88,12,FALSE)</f>
        <v>0</v>
      </c>
      <c r="F128" s="155">
        <f>IFERROR(E128+'Pay App 9'!F128,"")</f>
        <v>0</v>
      </c>
      <c r="G128" s="155">
        <f>SUM('Pay App 1:Pay App 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10'!L128)+SUM('Pay App 1:Pay App 10'!M128)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Data'!$O$2:$BX$88,12,FALSE)</f>
        <v>0</v>
      </c>
      <c r="F129" s="155">
        <f>IFERROR(E129+'Pay App 9'!F129,"")</f>
        <v>0</v>
      </c>
      <c r="G129" s="155">
        <f>SUM('Pay App 1:Pay App 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10'!L129)+SUM('Pay App 1:Pay App 10'!M129)</f>
        <v>0</v>
      </c>
    </row>
    <row r="130" spans="1:14" ht="11.25" customHeight="1" x14ac:dyDescent="0.25">
      <c r="A130" s="152">
        <f t="shared" si="3"/>
        <v>69</v>
      </c>
      <c r="B130" s="185" t="str">
        <f>'Pay App 1'!B130</f>
        <v>22 00 00</v>
      </c>
      <c r="C130" s="191" t="str">
        <f>'Pay App 1'!C130</f>
        <v>Plumbing</v>
      </c>
      <c r="D130" s="155">
        <f>'Pay App 1'!D130</f>
        <v>0</v>
      </c>
      <c r="E130" s="155">
        <f>VLOOKUP(B130,'Graph Data'!$O$2:$BX$88,12,FALSE)</f>
        <v>0</v>
      </c>
      <c r="F130" s="155">
        <f>IFERROR(E130+'Pay App 9'!F130,"")</f>
        <v>0</v>
      </c>
      <c r="G130" s="155">
        <f>SUM('Pay App 1:Pay App 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10'!L130)+SUM('Pay App 1:Pay App 10'!M130)</f>
        <v>0</v>
      </c>
    </row>
    <row r="131" spans="1:14" ht="11.25" customHeight="1" x14ac:dyDescent="0.25">
      <c r="A131" s="152">
        <f t="shared" si="3"/>
        <v>70</v>
      </c>
      <c r="B131" s="186" t="str">
        <f>'Pay App 1'!B131</f>
        <v>23 00 00</v>
      </c>
      <c r="C131" s="192" t="str">
        <f>'Pay App 1'!C131</f>
        <v>HVAC</v>
      </c>
      <c r="D131" s="155">
        <f>'Pay App 1'!D131</f>
        <v>0</v>
      </c>
      <c r="E131" s="155">
        <f>VLOOKUP(B131,'Graph Data'!$O$2:$BX$88,12,FALSE)</f>
        <v>0</v>
      </c>
      <c r="F131" s="155">
        <f>IFERROR(E131+'Pay App 9'!F131,"")</f>
        <v>0</v>
      </c>
      <c r="G131" s="155">
        <f>SUM('Pay App 1:Pay App 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10'!L131)+SUM('Pay App 1:Pay App 10'!M131)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Data'!$O$2:$BX$88,12,FALSE)</f>
        <v>0</v>
      </c>
      <c r="F132" s="155">
        <f>IFERROR(E132+'Pay App 9'!F132,"")</f>
        <v>0</v>
      </c>
      <c r="G132" s="155">
        <f>SUM('Pay App 1:Pay App 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10'!L132)+SUM('Pay App 1:Pay App 10'!M132)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Data'!$O$2:$BX$88,12,FALSE)</f>
        <v>0</v>
      </c>
      <c r="F133" s="155">
        <f>IFERROR(E133+'Pay App 9'!F133,"")</f>
        <v>0</v>
      </c>
      <c r="G133" s="155">
        <f>SUM('Pay App 1:Pay App 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10'!L133)+SUM('Pay App 1:Pay App 10'!M133)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Data'!$O$2:$BX$88,12,FALSE)</f>
        <v>0</v>
      </c>
      <c r="F134" s="155">
        <f>IFERROR(E134+'Pay App 9'!F134,"")</f>
        <v>0</v>
      </c>
      <c r="G134" s="155">
        <f>SUM('Pay App 1:Pay App 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10'!L134)+SUM('Pay App 1:Pay App 10'!M134)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Data'!$O$2:$BX$88,12,FALSE)</f>
        <v>0</v>
      </c>
      <c r="F135" s="155">
        <f>IFERROR(E135+'Pay App 9'!F135,"")</f>
        <v>0</v>
      </c>
      <c r="G135" s="155">
        <f>SUM('Pay App 1:Pay App 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10'!L135)+SUM('Pay App 1:Pay App 10'!M135)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Data'!$O$2:$BX$88,12,FALSE)</f>
        <v>0</v>
      </c>
      <c r="F136" s="155">
        <f>IFERROR(E136+'Pay App 9'!F136,"")</f>
        <v>0</v>
      </c>
      <c r="G136" s="155">
        <f>SUM('Pay App 1:Pay App 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10'!L136)+SUM('Pay App 1:Pay App 10'!M136)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Data'!$O$2:$BX$88,12,FALSE)</f>
        <v>0</v>
      </c>
      <c r="F137" s="155">
        <f>IFERROR(E137+'Pay App 9'!F137,"")</f>
        <v>0</v>
      </c>
      <c r="G137" s="155">
        <f>SUM('Pay App 1:Pay App 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10'!L137)+SUM('Pay App 1:Pay App 10'!M137)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Data'!$O$2:$BX$88,12,FALSE)</f>
        <v>0</v>
      </c>
      <c r="F138" s="155">
        <f>IFERROR(E138+'Pay App 9'!F138,"")</f>
        <v>0</v>
      </c>
      <c r="G138" s="155">
        <f>SUM('Pay App 1:Pay App 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10'!L138)+SUM('Pay App 1:Pay App 10'!M138)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Data'!$O$2:$BX$88,12,FALSE)</f>
        <v>0</v>
      </c>
      <c r="F139" s="155">
        <f>IFERROR(E139+'Pay App 9'!F139,"")</f>
        <v>0</v>
      </c>
      <c r="G139" s="155">
        <f>SUM('Pay App 1:Pay App 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10'!L139)+SUM('Pay App 1:Pay App 10'!M139)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Data'!$O$2:$BX$88,12,FALSE)</f>
        <v>0</v>
      </c>
      <c r="F140" s="155">
        <f>IFERROR(E140+'Pay App 9'!F140,"")</f>
        <v>0</v>
      </c>
      <c r="G140" s="155">
        <f>SUM('Pay App 1:Pay App 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10'!L140)+SUM('Pay App 1:Pay App 10'!M140)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Data'!$O$2:$BX$88,12,FALSE)</f>
        <v>0</v>
      </c>
      <c r="F141" s="155">
        <f>IFERROR(E141+'Pay App 9'!F141,"")</f>
        <v>0</v>
      </c>
      <c r="G141" s="155">
        <f>SUM('Pay App 1:Pay App 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10'!L141)+SUM('Pay App 1:Pay App 10'!M141)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Data'!$O$2:$BX$88,12,FALSE)</f>
        <v>0</v>
      </c>
      <c r="F142" s="155">
        <f>IFERROR(E142+'Pay App 9'!F142,"")</f>
        <v>0</v>
      </c>
      <c r="G142" s="155">
        <f>SUM('Pay App 1:Pay App 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10'!L142)+SUM('Pay App 1:Pay App 10'!M142)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Data'!$O$2:$BX$88,12,FALSE)</f>
        <v>0</v>
      </c>
      <c r="F143" s="155">
        <f>IFERROR(E143+'Pay App 9'!F143,"")</f>
        <v>0</v>
      </c>
      <c r="G143" s="155">
        <f>SUM('Pay App 1:Pay App 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10'!L143)+SUM('Pay App 1:Pay App 10'!M143)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Data'!$O$2:$BX$88,12,FALSE)</f>
        <v>0</v>
      </c>
      <c r="F144" s="155">
        <f>IFERROR(E144+'Pay App 9'!F144,"")</f>
        <v>0</v>
      </c>
      <c r="G144" s="155">
        <f>SUM('Pay App 1:Pay App 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10'!L144)+SUM('Pay App 1:Pay App 10'!M144)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Data'!$O$2:$BX$88,12,FALSE)</f>
        <v>0</v>
      </c>
      <c r="F145" s="155">
        <f>IFERROR(E145+'Pay App 9'!F145,"")</f>
        <v>0</v>
      </c>
      <c r="G145" s="155">
        <f>SUM('Pay App 1:Pay App 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10'!L145)+SUM('Pay App 1:Pay App 10'!M145)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Data'!$O$2:$BX$88,12,FALSE)</f>
        <v>0</v>
      </c>
      <c r="F146" s="155">
        <f>IFERROR(E146+'Pay App 9'!F146,"")</f>
        <v>0</v>
      </c>
      <c r="G146" s="155">
        <f>SUM('Pay App 1:Pay App 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10'!L146)+SUM('Pay App 1:Pay App 10'!M146)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Data'!$O$2:$BX$88,12,FALSE)</f>
        <v>0</v>
      </c>
      <c r="F147" s="155">
        <f>IFERROR(E147+'Pay App 9'!F147,"")</f>
        <v>0</v>
      </c>
      <c r="G147" s="155">
        <f>SUM('Pay App 1:Pay App 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10'!L147)+SUM('Pay App 1:Pay App 10'!M147)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Data'!$O$2:$BX$88,12,FALSE)</f>
        <v>0</v>
      </c>
      <c r="F148" s="155">
        <f>IFERROR(E148+'Pay App 9'!F148,"")</f>
        <v>0</v>
      </c>
      <c r="G148" s="155">
        <f>SUM('Pay App 1:Pay App 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10'!L148)+SUM('Pay App 1:Pay App 10'!M148)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VLX/xBZxIHFMJsq4YyxPINiREDzuWUHdLy2jnyXkr3bimrhCAxqNyl31EW42bHUwIZbGTAsiJgB5LWDAoodEIg==" saltValue="UmLeZlBwE81XLf7GUhvi3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60" priority="2" operator="equal">
      <formula>0</formula>
    </cfRule>
  </conditionalFormatting>
  <conditionalFormatting sqref="D106:G148">
    <cfRule type="cellIs" dxfId="559" priority="1" operator="equal">
      <formula>0</formula>
    </cfRule>
  </conditionalFormatting>
  <conditionalFormatting sqref="D10:H10 D12:H14 D19:H21">
    <cfRule type="cellIs" dxfId="558" priority="6" operator="equal">
      <formula>0</formula>
    </cfRule>
  </conditionalFormatting>
  <conditionalFormatting sqref="H51">
    <cfRule type="cellIs" dxfId="557" priority="9" operator="lessThan">
      <formula>0</formula>
    </cfRule>
  </conditionalFormatting>
  <conditionalFormatting sqref="I57:I100 K57:K100 I106:I148 K106:K148 N106:N148">
    <cfRule type="cellIs" dxfId="556" priority="14" operator="equal">
      <formula>0</formula>
    </cfRule>
  </conditionalFormatting>
  <conditionalFormatting sqref="J57:J100 J106:J149">
    <cfRule type="cellIs" dxfId="555" priority="11" operator="greaterThan">
      <formula>1</formula>
    </cfRule>
    <cfRule type="cellIs" dxfId="554" priority="12" operator="equal">
      <formula>0</formula>
    </cfRule>
  </conditionalFormatting>
  <conditionalFormatting sqref="K57:K100 K106:K148">
    <cfRule type="cellIs" dxfId="553" priority="10" operator="lessThan">
      <formula>0</formula>
    </cfRule>
  </conditionalFormatting>
  <conditionalFormatting sqref="M57:M100">
    <cfRule type="cellIs" dxfId="552" priority="13" operator="lessThan">
      <formula>0</formula>
    </cfRule>
  </conditionalFormatting>
  <conditionalFormatting sqref="M106:M148">
    <cfRule type="cellIs" dxfId="551" priority="8" operator="lessThan">
      <formula>0</formula>
    </cfRule>
  </conditionalFormatting>
  <conditionalFormatting sqref="N57:N100">
    <cfRule type="cellIs" dxfId="55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BF431F2F-5158-4D36-8BFA-9E3FB888A91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54350-9DB1-4A5D-ADC1-4833EC5F0315}">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11</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11'!E149)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11'!G41)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10'!H49)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11.1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Data'!$O$2:$BX$88,13,FALSE)</f>
        <v>0</v>
      </c>
      <c r="F57" s="155">
        <f>IFERROR(E57+'Pay App 10'!F57,"")</f>
        <v>0</v>
      </c>
      <c r="G57" s="155">
        <f>SUM('Pay App 1:Pay App 10'!H57)</f>
        <v>0</v>
      </c>
      <c r="H57" s="154"/>
      <c r="I57" s="155">
        <f>G57+H57</f>
        <v>0</v>
      </c>
      <c r="J57" s="156">
        <f>IFERROR(I57/F57,0)</f>
        <v>0</v>
      </c>
      <c r="K57" s="155">
        <f>IFERROR(F57-I57,"")</f>
        <v>0</v>
      </c>
      <c r="L57" s="155" t="str">
        <f>IF(AND('Summary Sheet'!$E$23="No",$H$33&gt;0,H57&gt;=1),"",IF(AND('Summary Sheet'!$E$23="Yes",H57&lt;&gt;""),H57*'Summary Sheet'!$G$23,""))</f>
        <v/>
      </c>
      <c r="M57" s="154"/>
      <c r="N57" s="155">
        <f>SUM('Pay App 1:Pay App 11'!L57)+SUM('Pay App 1:Pay App 11'!M57)</f>
        <v>0</v>
      </c>
    </row>
    <row r="58" spans="1:16" ht="11.25" customHeight="1" x14ac:dyDescent="0.25">
      <c r="A58" s="152">
        <v>2</v>
      </c>
      <c r="B58" s="145" t="str">
        <f>'Pay App 1'!B58</f>
        <v>00 02 00</v>
      </c>
      <c r="C58" s="134" t="str">
        <f>'Pay App 1'!C58</f>
        <v>Preconstruction Services</v>
      </c>
      <c r="D58" s="155">
        <f>'Pay App 1'!D58</f>
        <v>0</v>
      </c>
      <c r="E58" s="155">
        <f>VLOOKUP(B58,'Graph Data'!$O$2:$BX$88,13,FALSE)</f>
        <v>0</v>
      </c>
      <c r="F58" s="155">
        <f>IFERROR(E58+'Pay App 10'!F58,"")</f>
        <v>0</v>
      </c>
      <c r="G58" s="155">
        <f>SUM('Pay App 1:Pay App 10'!H58)</f>
        <v>0</v>
      </c>
      <c r="H58" s="154"/>
      <c r="I58" s="155">
        <f>G58+H58</f>
        <v>0</v>
      </c>
      <c r="J58" s="156">
        <f>IFERROR(I58/F58,0)</f>
        <v>0</v>
      </c>
      <c r="K58" s="155">
        <f>IFERROR(F58-I58,"")</f>
        <v>0</v>
      </c>
      <c r="L58" s="155" t="str">
        <f>IF(AND('Summary Sheet'!$E$23="No",$H$33&gt;0,H58&gt;=1),"",IF(AND('Summary Sheet'!$E$23="Yes",H58&lt;&gt;""),H58*'Summary Sheet'!$G$23,""))</f>
        <v/>
      </c>
      <c r="M58" s="154"/>
      <c r="N58" s="155">
        <f>SUM('Pay App 1:Pay App 11'!L58)+SUM('Pay App 1:Pay App 11'!M58)</f>
        <v>0</v>
      </c>
    </row>
    <row r="59" spans="1:16" ht="11.25" customHeight="1" x14ac:dyDescent="0.25">
      <c r="A59" s="152">
        <v>3</v>
      </c>
      <c r="B59" s="174" t="str">
        <f>'Pay App 1'!B59</f>
        <v>01 00 00</v>
      </c>
      <c r="C59" s="179" t="str">
        <f>'Pay App 1'!C59</f>
        <v>General Conditions/Requirements</v>
      </c>
      <c r="D59" s="155">
        <f>'Pay App 1'!D59</f>
        <v>0</v>
      </c>
      <c r="E59" s="155">
        <f>VLOOKUP(B59,'Graph Data'!$O$2:$BX$88,13,FALSE)</f>
        <v>0</v>
      </c>
      <c r="F59" s="155">
        <f>IFERROR(E59+'Pay App 10'!F59,"")</f>
        <v>0</v>
      </c>
      <c r="G59" s="155">
        <f>SUM('Pay App 1:Pay App 10'!H59)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11'!L59)+SUM('Pay App 1:Pay App 11'!M59)</f>
        <v>0</v>
      </c>
    </row>
    <row r="60" spans="1:16" ht="11.25" customHeight="1" x14ac:dyDescent="0.25">
      <c r="A60" s="152">
        <v>4</v>
      </c>
      <c r="B60" s="174" t="str">
        <f>'Pay App 1'!B60</f>
        <v>01 13 41</v>
      </c>
      <c r="C60" s="179" t="str">
        <f>'Pay App 1'!C60</f>
        <v>Temp. Scaffolding and Platforms</v>
      </c>
      <c r="D60" s="155">
        <f>'Pay App 1'!D60</f>
        <v>0</v>
      </c>
      <c r="E60" s="155">
        <f>VLOOKUP(B60,'Graph Data'!$O$2:$BX$88,13,FALSE)</f>
        <v>0</v>
      </c>
      <c r="F60" s="155">
        <f>IFERROR(E60+'Pay App 10'!F60,"")</f>
        <v>0</v>
      </c>
      <c r="G60" s="155">
        <f>SUM('Pay App 1:Pay App 10'!H60)</f>
        <v>0</v>
      </c>
      <c r="H60" s="154"/>
      <c r="I60" s="155">
        <f t="shared" si="0"/>
        <v>0</v>
      </c>
      <c r="J60" s="156">
        <f t="shared" si="1"/>
        <v>0</v>
      </c>
      <c r="K60" s="155">
        <f t="shared" si="2"/>
        <v>0</v>
      </c>
      <c r="L60" s="155" t="str">
        <f>IF(AND('Summary Sheet'!$E$23="No",$H$33&gt;0,H60&gt;=1),"",IF(AND('Summary Sheet'!$E$23="Yes",H60&lt;&gt;""),H60*'Summary Sheet'!$G$23,""))</f>
        <v/>
      </c>
      <c r="M60" s="154"/>
      <c r="N60" s="155">
        <f>SUM('Pay App 1:Pay App 11'!L60)+SUM('Pay App 1:Pay App 11'!M60)</f>
        <v>0</v>
      </c>
    </row>
    <row r="61" spans="1:16" ht="11.25" customHeight="1" x14ac:dyDescent="0.25">
      <c r="A61" s="152">
        <v>5</v>
      </c>
      <c r="B61" s="174" t="str">
        <f>'Pay App 1'!B61</f>
        <v>01 13 60</v>
      </c>
      <c r="C61" s="179" t="str">
        <f>'Pay App 1'!C61</f>
        <v>SWPPP</v>
      </c>
      <c r="D61" s="155">
        <f>'Pay App 1'!D61</f>
        <v>0</v>
      </c>
      <c r="E61" s="155">
        <f>VLOOKUP(B61,'Graph Data'!$O$2:$BX$88,13,FALSE)</f>
        <v>0</v>
      </c>
      <c r="F61" s="155">
        <f>IFERROR(E61+'Pay App 10'!F61,"")</f>
        <v>0</v>
      </c>
      <c r="G61" s="155">
        <f>SUM('Pay App 1:Pay App 10'!H61)</f>
        <v>0</v>
      </c>
      <c r="H61" s="154"/>
      <c r="I61" s="155">
        <f t="shared" si="0"/>
        <v>0</v>
      </c>
      <c r="J61" s="156">
        <f t="shared" si="1"/>
        <v>0</v>
      </c>
      <c r="K61" s="155">
        <f t="shared" si="2"/>
        <v>0</v>
      </c>
      <c r="L61" s="155" t="str">
        <f>IF(AND('Summary Sheet'!$E$23="No",$H$33&gt;0,H61&gt;=1),"",IF(AND('Summary Sheet'!$E$23="Yes",H61&lt;&gt;""),H61*'Summary Sheet'!$G$23,""))</f>
        <v/>
      </c>
      <c r="M61" s="154"/>
      <c r="N61" s="155">
        <f>SUM('Pay App 1:Pay App 11'!L61)+SUM('Pay App 1:Pay App 11'!M61)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Data'!$O$2:$BX$88,13,FALSE)</f>
        <v>0</v>
      </c>
      <c r="F62" s="155">
        <f>IFERROR(E62+'Pay App 10'!F62,"")</f>
        <v>0</v>
      </c>
      <c r="G62" s="155">
        <f>SUM('Pay App 1:Pay App 10'!H62)</f>
        <v>0</v>
      </c>
      <c r="H62" s="154"/>
      <c r="I62" s="155">
        <f t="shared" si="0"/>
        <v>0</v>
      </c>
      <c r="J62" s="156">
        <f t="shared" si="1"/>
        <v>0</v>
      </c>
      <c r="K62" s="155">
        <f t="shared" si="2"/>
        <v>0</v>
      </c>
      <c r="L62" s="155" t="str">
        <f>IF(AND('Summary Sheet'!$E$23="No",$H$33&gt;0,H62&gt;=1),"",IF(AND('Summary Sheet'!$E$23="Yes",H62&lt;&gt;""),H62*'Summary Sheet'!$G$23,""))</f>
        <v/>
      </c>
      <c r="M62" s="154"/>
      <c r="N62" s="155">
        <f>SUM('Pay App 1:Pay App 11'!L62)+SUM('Pay App 1:Pay App 11'!M62)</f>
        <v>0</v>
      </c>
    </row>
    <row r="63" spans="1:16" ht="11.25" customHeight="1" x14ac:dyDescent="0.25">
      <c r="A63" s="152">
        <v>7</v>
      </c>
      <c r="B63" s="174" t="str">
        <f>'Pay App 1'!B63</f>
        <v>01 31 00</v>
      </c>
      <c r="C63" s="179" t="str">
        <f>'Pay App 1'!C63</f>
        <v>Contractor's Supervision</v>
      </c>
      <c r="D63" s="155">
        <f>'Pay App 1'!D63</f>
        <v>0</v>
      </c>
      <c r="E63" s="155">
        <f>VLOOKUP(B63,'Graph Data'!$O$2:$BX$88,13,FALSE)</f>
        <v>0</v>
      </c>
      <c r="F63" s="155">
        <f>IFERROR(E63+'Pay App 10'!F63,"")</f>
        <v>0</v>
      </c>
      <c r="G63" s="155">
        <f>SUM('Pay App 1:Pay App 10'!H63)</f>
        <v>0</v>
      </c>
      <c r="H63" s="154"/>
      <c r="I63" s="155">
        <f t="shared" si="0"/>
        <v>0</v>
      </c>
      <c r="J63" s="156">
        <f t="shared" si="1"/>
        <v>0</v>
      </c>
      <c r="K63" s="155">
        <f t="shared" si="2"/>
        <v>0</v>
      </c>
      <c r="L63" s="155" t="str">
        <f>IF(AND('Summary Sheet'!$E$23="No",$H$33&gt;0,H63&gt;=1),"",IF(AND('Summary Sheet'!$E$23="Yes",H63&lt;&gt;""),H63*'Summary Sheet'!$G$23,""))</f>
        <v/>
      </c>
      <c r="M63" s="154"/>
      <c r="N63" s="155">
        <f>SUM('Pay App 1:Pay App 11'!L63)+SUM('Pay App 1:Pay App 11'!M63)</f>
        <v>0</v>
      </c>
    </row>
    <row r="64" spans="1:16" ht="11.25" customHeight="1" x14ac:dyDescent="0.25">
      <c r="A64" s="152">
        <v>8</v>
      </c>
      <c r="B64" s="174" t="str">
        <f>'Pay App 1'!B64</f>
        <v>01 32 00</v>
      </c>
      <c r="C64" s="179" t="str">
        <f>'Pay App 1'!C64</f>
        <v>General Liability Insurance</v>
      </c>
      <c r="D64" s="155">
        <f>'Pay App 1'!D64</f>
        <v>0</v>
      </c>
      <c r="E64" s="155">
        <f>VLOOKUP(B64,'Graph Data'!$O$2:$BX$88,13,FALSE)</f>
        <v>0</v>
      </c>
      <c r="F64" s="155">
        <f>IFERROR(E64+'Pay App 10'!F64,"")</f>
        <v>0</v>
      </c>
      <c r="G64" s="155">
        <f>SUM('Pay App 1:Pay App 10'!H64)</f>
        <v>0</v>
      </c>
      <c r="H64" s="154"/>
      <c r="I64" s="155">
        <f t="shared" si="0"/>
        <v>0</v>
      </c>
      <c r="J64" s="156">
        <f t="shared" si="1"/>
        <v>0</v>
      </c>
      <c r="K64" s="155">
        <f t="shared" si="2"/>
        <v>0</v>
      </c>
      <c r="L64" s="155" t="str">
        <f>IF(AND('Summary Sheet'!$E$23="No",$H$33&gt;0,H64&gt;=1),"",IF(AND('Summary Sheet'!$E$23="Yes",H64&lt;&gt;""),H64*'Summary Sheet'!$G$23,""))</f>
        <v/>
      </c>
      <c r="M64" s="154"/>
      <c r="N64" s="155">
        <f>SUM('Pay App 1:Pay App 11'!L64)+SUM('Pay App 1:Pay App 11'!M64)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Data'!$O$2:$BX$88,13,FALSE)</f>
        <v>0</v>
      </c>
      <c r="F65" s="155">
        <f>IFERROR(E65+'Pay App 10'!F65,"")</f>
        <v>0</v>
      </c>
      <c r="G65" s="155">
        <f>SUM('Pay App 1:Pay App 10'!H65)</f>
        <v>0</v>
      </c>
      <c r="H65" s="154"/>
      <c r="I65" s="155">
        <f t="shared" si="0"/>
        <v>0</v>
      </c>
      <c r="J65" s="156">
        <f t="shared" si="1"/>
        <v>0</v>
      </c>
      <c r="K65" s="155">
        <f t="shared" si="2"/>
        <v>0</v>
      </c>
      <c r="L65" s="155" t="str">
        <f>IF(AND('Summary Sheet'!$E$23="No",$H$33&gt;0,H65&gt;=1),"",IF(AND('Summary Sheet'!$E$23="Yes",H65&lt;&gt;""),H65*'Summary Sheet'!$G$23,""))</f>
        <v/>
      </c>
      <c r="M65" s="154"/>
      <c r="N65" s="155">
        <f>SUM('Pay App 1:Pay App 11'!L65)+SUM('Pay App 1:Pay App 11'!M65)</f>
        <v>0</v>
      </c>
    </row>
    <row r="66" spans="1:17" ht="11.25" customHeight="1" x14ac:dyDescent="0.25">
      <c r="A66" s="152">
        <v>10</v>
      </c>
      <c r="B66" s="174" t="str">
        <f>'Pay App 1'!B66</f>
        <v>01 34 00</v>
      </c>
      <c r="C66" s="179" t="str">
        <f>'Pay App 1'!C66</f>
        <v>Subcontractor Default Insurance</v>
      </c>
      <c r="D66" s="155">
        <f>'Pay App 1'!D66</f>
        <v>0</v>
      </c>
      <c r="E66" s="155">
        <f>VLOOKUP(B66,'Graph Data'!$O$2:$BX$88,13,FALSE)</f>
        <v>0</v>
      </c>
      <c r="F66" s="155">
        <f>IFERROR(E66+'Pay App 10'!F66,"")</f>
        <v>0</v>
      </c>
      <c r="G66" s="155">
        <f>SUM('Pay App 1:Pay App 10'!H66)</f>
        <v>0</v>
      </c>
      <c r="H66" s="154"/>
      <c r="I66" s="155">
        <f t="shared" si="0"/>
        <v>0</v>
      </c>
      <c r="J66" s="156">
        <f t="shared" si="1"/>
        <v>0</v>
      </c>
      <c r="K66" s="155">
        <f t="shared" si="2"/>
        <v>0</v>
      </c>
      <c r="L66" s="155" t="str">
        <f>IF(AND('Summary Sheet'!$E$23="No",$H$33&gt;0,H66&gt;=1),"",IF(AND('Summary Sheet'!$E$23="Yes",H66&lt;&gt;""),H66*'Summary Sheet'!$G$23,""))</f>
        <v/>
      </c>
      <c r="M66" s="154"/>
      <c r="N66" s="155">
        <f>SUM('Pay App 1:Pay App 11'!L66)+SUM('Pay App 1:Pay App 11'!M66)</f>
        <v>0</v>
      </c>
    </row>
    <row r="67" spans="1:17" ht="11.25" customHeight="1" x14ac:dyDescent="0.25">
      <c r="A67" s="152">
        <v>11</v>
      </c>
      <c r="B67" s="174" t="str">
        <f>'Pay App 1'!B67</f>
        <v>01 35 00</v>
      </c>
      <c r="C67" s="179" t="str">
        <f>'Pay App 1'!C67</f>
        <v>Construction Management Fee</v>
      </c>
      <c r="D67" s="155">
        <f>'Pay App 1'!D67</f>
        <v>0</v>
      </c>
      <c r="E67" s="155">
        <f>VLOOKUP(B67,'Graph Data'!$O$2:$BX$88,13,FALSE)</f>
        <v>0</v>
      </c>
      <c r="F67" s="155">
        <f>IFERROR(E67+'Pay App 10'!F67,"")</f>
        <v>0</v>
      </c>
      <c r="G67" s="155">
        <f>SUM('Pay App 1:Pay App 10'!H67)</f>
        <v>0</v>
      </c>
      <c r="H67" s="154"/>
      <c r="I67" s="155">
        <f t="shared" si="0"/>
        <v>0</v>
      </c>
      <c r="J67" s="156">
        <f t="shared" si="1"/>
        <v>0</v>
      </c>
      <c r="K67" s="155">
        <f t="shared" si="2"/>
        <v>0</v>
      </c>
      <c r="L67" s="155" t="str">
        <f>IF(AND('Summary Sheet'!$E$23="No",$H$33&gt;0,H67&gt;=1),"",IF(AND('Summary Sheet'!$E$23="Yes",H67&lt;&gt;""),H67*'Summary Sheet'!$G$23,""))</f>
        <v/>
      </c>
      <c r="M67" s="154"/>
      <c r="N67" s="155">
        <f>SUM('Pay App 1:Pay App 11'!L67)+SUM('Pay App 1:Pay App 11'!M67)</f>
        <v>0</v>
      </c>
    </row>
    <row r="68" spans="1:17" ht="11.25" customHeight="1" x14ac:dyDescent="0.25">
      <c r="A68" s="152">
        <v>12</v>
      </c>
      <c r="B68" s="174" t="str">
        <f>'Pay App 1'!B68</f>
        <v>01 36 00</v>
      </c>
      <c r="C68" s="179" t="str">
        <f>'Pay App 1'!C68</f>
        <v>Contingency</v>
      </c>
      <c r="D68" s="155">
        <f>'Pay App 1'!D68</f>
        <v>0</v>
      </c>
      <c r="E68" s="155">
        <f>VLOOKUP(B68,'Graph Data'!$O$2:$BX$88,13,FALSE)</f>
        <v>0</v>
      </c>
      <c r="F68" s="155">
        <f>IFERROR(E68+'Pay App 10'!F68,"")</f>
        <v>0</v>
      </c>
      <c r="G68" s="155">
        <f>SUM('Pay App 1:Pay App 10'!H68)</f>
        <v>0</v>
      </c>
      <c r="H68" s="154"/>
      <c r="I68" s="155">
        <f t="shared" si="0"/>
        <v>0</v>
      </c>
      <c r="J68" s="156">
        <f t="shared" si="1"/>
        <v>0</v>
      </c>
      <c r="K68" s="155">
        <f t="shared" si="2"/>
        <v>0</v>
      </c>
      <c r="L68" s="155" t="str">
        <f>IF(AND('Summary Sheet'!$E$23="No",$H$33&gt;0,H68&gt;=1),"",IF(AND('Summary Sheet'!$E$23="Yes",H68&lt;&gt;""),H68*'Summary Sheet'!$G$23,""))</f>
        <v/>
      </c>
      <c r="M68" s="154"/>
      <c r="N68" s="155">
        <f>SUM('Pay App 1:Pay App 11'!L68)+SUM('Pay App 1:Pay App 11'!M68)</f>
        <v>0</v>
      </c>
    </row>
    <row r="69" spans="1:17" ht="11.25" customHeight="1" x14ac:dyDescent="0.25">
      <c r="A69" s="152">
        <v>13</v>
      </c>
      <c r="B69" s="174" t="str">
        <f>'Pay App 1'!B69</f>
        <v>01 37 00</v>
      </c>
      <c r="C69" s="179" t="str">
        <f>'Pay App 1'!C69</f>
        <v>Weather Allowance (All Trades)</v>
      </c>
      <c r="D69" s="155">
        <f>'Pay App 1'!D69</f>
        <v>0</v>
      </c>
      <c r="E69" s="155">
        <f>VLOOKUP(B69,'Graph Data'!$O$2:$BX$88,13,FALSE)</f>
        <v>0</v>
      </c>
      <c r="F69" s="155">
        <f>IFERROR(E69+'Pay App 10'!F69,"")</f>
        <v>0</v>
      </c>
      <c r="G69" s="155">
        <f>SUM('Pay App 1:Pay App 10'!H69)</f>
        <v>0</v>
      </c>
      <c r="H69" s="154"/>
      <c r="I69" s="155">
        <f t="shared" si="0"/>
        <v>0</v>
      </c>
      <c r="J69" s="156">
        <f t="shared" si="1"/>
        <v>0</v>
      </c>
      <c r="K69" s="155">
        <f t="shared" si="2"/>
        <v>0</v>
      </c>
      <c r="L69" s="155" t="str">
        <f>IF(AND('Summary Sheet'!$E$23="No",$H$33&gt;0,H69&gt;=1),"",IF(AND('Summary Sheet'!$E$23="Yes",H69&lt;&gt;""),H69*'Summary Sheet'!$G$23,""))</f>
        <v/>
      </c>
      <c r="M69" s="154"/>
      <c r="N69" s="155">
        <f>SUM('Pay App 1:Pay App 11'!L69)+SUM('Pay App 1:Pay App 11'!M69)</f>
        <v>0</v>
      </c>
    </row>
    <row r="70" spans="1:17" ht="11.25" customHeight="1" x14ac:dyDescent="0.25">
      <c r="A70" s="152">
        <v>14</v>
      </c>
      <c r="B70" s="174" t="str">
        <f>'Pay App 1'!B70</f>
        <v>01 74 23</v>
      </c>
      <c r="C70" s="179" t="str">
        <f>'Pay App 1'!C70</f>
        <v>Cleaning (Final)</v>
      </c>
      <c r="D70" s="155">
        <f>'Pay App 1'!D70</f>
        <v>0</v>
      </c>
      <c r="E70" s="155">
        <f>VLOOKUP(B70,'Graph Data'!$O$2:$BX$88,13,FALSE)</f>
        <v>0</v>
      </c>
      <c r="F70" s="155">
        <f>IFERROR(E70+'Pay App 10'!F70,"")</f>
        <v>0</v>
      </c>
      <c r="G70" s="155">
        <f>SUM('Pay App 1:Pay App 10'!H70)</f>
        <v>0</v>
      </c>
      <c r="H70" s="154"/>
      <c r="I70" s="155">
        <f t="shared" si="0"/>
        <v>0</v>
      </c>
      <c r="J70" s="156">
        <f t="shared" si="1"/>
        <v>0</v>
      </c>
      <c r="K70" s="155">
        <f t="shared" si="2"/>
        <v>0</v>
      </c>
      <c r="L70" s="155" t="str">
        <f>IF(AND('Summary Sheet'!$E$23="No",$H$33&gt;0,H70&gt;=1),"",IF(AND('Summary Sheet'!$E$23="Yes",H70&lt;&gt;""),H70*'Summary Sheet'!$G$23,""))</f>
        <v/>
      </c>
      <c r="M70" s="154"/>
      <c r="N70" s="155">
        <f>SUM('Pay App 1:Pay App 11'!L70)+SUM('Pay App 1:Pay App 11'!M70)</f>
        <v>0</v>
      </c>
    </row>
    <row r="71" spans="1:17" ht="11.25" customHeight="1" x14ac:dyDescent="0.25">
      <c r="A71" s="152">
        <v>15</v>
      </c>
      <c r="B71" s="175" t="str">
        <f>'Pay App 1'!B71</f>
        <v>02 21 00</v>
      </c>
      <c r="C71" s="180" t="str">
        <f>'Pay App 1'!C71</f>
        <v>Survey/Engineering</v>
      </c>
      <c r="D71" s="155">
        <f>'Pay App 1'!D71</f>
        <v>0</v>
      </c>
      <c r="E71" s="155">
        <f>VLOOKUP(B71,'Graph Data'!$O$2:$BX$88,13,FALSE)</f>
        <v>0</v>
      </c>
      <c r="F71" s="155">
        <f>IFERROR(E71+'Pay App 10'!F71,"")</f>
        <v>0</v>
      </c>
      <c r="G71" s="155">
        <f>SUM('Pay App 1:Pay App 10'!H71)</f>
        <v>0</v>
      </c>
      <c r="H71" s="154"/>
      <c r="I71" s="155">
        <f t="shared" si="0"/>
        <v>0</v>
      </c>
      <c r="J71" s="156">
        <f t="shared" si="1"/>
        <v>0</v>
      </c>
      <c r="K71" s="155">
        <f t="shared" si="2"/>
        <v>0</v>
      </c>
      <c r="L71" s="155" t="str">
        <f>IF(AND('Summary Sheet'!$E$23="No",$H$33&gt;0,H71&gt;=1),"",IF(AND('Summary Sheet'!$E$23="Yes",H71&lt;&gt;""),H71*'Summary Sheet'!$G$23,""))</f>
        <v/>
      </c>
      <c r="M71" s="154"/>
      <c r="N71" s="155">
        <f>SUM('Pay App 1:Pay App 11'!L71)+SUM('Pay App 1:Pay App 11'!M71)</f>
        <v>0</v>
      </c>
      <c r="Q71" s="28"/>
    </row>
    <row r="72" spans="1:17" ht="11.25" customHeight="1" x14ac:dyDescent="0.25">
      <c r="A72" s="152">
        <v>16</v>
      </c>
      <c r="B72" s="175" t="str">
        <f>'Pay App 1'!B72</f>
        <v>02 41 00</v>
      </c>
      <c r="C72" s="180" t="str">
        <f>'Pay App 1'!C72</f>
        <v>Demolition</v>
      </c>
      <c r="D72" s="155">
        <f>'Pay App 1'!D72</f>
        <v>0</v>
      </c>
      <c r="E72" s="155">
        <f>VLOOKUP(B72,'Graph Data'!$O$2:$BX$88,13,FALSE)</f>
        <v>0</v>
      </c>
      <c r="F72" s="155">
        <f>IFERROR(E72+'Pay App 10'!F72,"")</f>
        <v>0</v>
      </c>
      <c r="G72" s="155">
        <f>SUM('Pay App 1:Pay App 10'!H72)</f>
        <v>0</v>
      </c>
      <c r="H72" s="154"/>
      <c r="I72" s="155">
        <f t="shared" si="0"/>
        <v>0</v>
      </c>
      <c r="J72" s="156">
        <f t="shared" si="1"/>
        <v>0</v>
      </c>
      <c r="K72" s="155">
        <f t="shared" si="2"/>
        <v>0</v>
      </c>
      <c r="L72" s="155" t="str">
        <f>IF(AND('Summary Sheet'!$E$23="No",$H$33&gt;0,H72&gt;=1),"",IF(AND('Summary Sheet'!$E$23="Yes",H72&lt;&gt;""),H72*'Summary Sheet'!$G$23,""))</f>
        <v/>
      </c>
      <c r="M72" s="154"/>
      <c r="N72" s="155">
        <f>SUM('Pay App 1:Pay App 11'!L72)+SUM('Pay App 1:Pay App 11'!M72)</f>
        <v>0</v>
      </c>
      <c r="Q72" s="28"/>
    </row>
    <row r="73" spans="1:17" ht="11.25" customHeight="1" x14ac:dyDescent="0.25">
      <c r="A73" s="152">
        <v>17</v>
      </c>
      <c r="B73" s="175" t="str">
        <f>'Pay App 1'!B73</f>
        <v>02 82 00</v>
      </c>
      <c r="C73" s="180" t="str">
        <f>'Pay App 1'!C73</f>
        <v>Asbestos Abatement</v>
      </c>
      <c r="D73" s="155">
        <f>'Pay App 1'!D73</f>
        <v>0</v>
      </c>
      <c r="E73" s="155">
        <f>VLOOKUP(B73,'Graph Data'!$O$2:$BX$88,13,FALSE)</f>
        <v>0</v>
      </c>
      <c r="F73" s="155">
        <f>IFERROR(E73+'Pay App 10'!F73,"")</f>
        <v>0</v>
      </c>
      <c r="G73" s="155">
        <f>SUM('Pay App 1:Pay App 10'!H73)</f>
        <v>0</v>
      </c>
      <c r="H73" s="154"/>
      <c r="I73" s="155">
        <f t="shared" si="0"/>
        <v>0</v>
      </c>
      <c r="J73" s="156">
        <f t="shared" si="1"/>
        <v>0</v>
      </c>
      <c r="K73" s="155">
        <f t="shared" si="2"/>
        <v>0</v>
      </c>
      <c r="L73" s="155" t="str">
        <f>IF(AND('Summary Sheet'!$E$23="No",$H$33&gt;0,H73&gt;=1),"",IF(AND('Summary Sheet'!$E$23="Yes",H73&lt;&gt;""),H73*'Summary Sheet'!$G$23,""))</f>
        <v/>
      </c>
      <c r="M73" s="154"/>
      <c r="N73" s="155">
        <f>SUM('Pay App 1:Pay App 11'!L73)+SUM('Pay App 1:Pay App 11'!M73)</f>
        <v>0</v>
      </c>
    </row>
    <row r="74" spans="1:17" ht="11.25" customHeight="1" x14ac:dyDescent="0.25">
      <c r="A74" s="152">
        <v>18</v>
      </c>
      <c r="B74" s="176" t="str">
        <f>'Pay App 1'!B74</f>
        <v>03 00 00</v>
      </c>
      <c r="C74" s="181" t="str">
        <f>'Pay App 1'!C74</f>
        <v>Building Concrete</v>
      </c>
      <c r="D74" s="155">
        <f>'Pay App 1'!D74</f>
        <v>0</v>
      </c>
      <c r="E74" s="155">
        <f>VLOOKUP(B74,'Graph Data'!$O$2:$BX$88,13,FALSE)</f>
        <v>0</v>
      </c>
      <c r="F74" s="155">
        <f>IFERROR(E74+'Pay App 10'!F74,"")</f>
        <v>0</v>
      </c>
      <c r="G74" s="155">
        <f>SUM('Pay App 1:Pay App 10'!H74)</f>
        <v>0</v>
      </c>
      <c r="H74" s="154"/>
      <c r="I74" s="155">
        <f t="shared" si="0"/>
        <v>0</v>
      </c>
      <c r="J74" s="156">
        <f t="shared" si="1"/>
        <v>0</v>
      </c>
      <c r="K74" s="155">
        <f t="shared" si="2"/>
        <v>0</v>
      </c>
      <c r="L74" s="155" t="str">
        <f>IF(AND('Summary Sheet'!$E$23="No",$H$33&gt;0,H74&gt;=1),"",IF(AND('Summary Sheet'!$E$23="Yes",H74&lt;&gt;""),H74*'Summary Sheet'!$G$23,""))</f>
        <v/>
      </c>
      <c r="M74" s="154"/>
      <c r="N74" s="155">
        <f>SUM('Pay App 1:Pay App 11'!L74)+SUM('Pay App 1:Pay App 11'!M74)</f>
        <v>0</v>
      </c>
    </row>
    <row r="75" spans="1:17" ht="11.25" customHeight="1" x14ac:dyDescent="0.25">
      <c r="A75" s="152">
        <v>19</v>
      </c>
      <c r="B75" s="176" t="str">
        <f>'Pay App 1'!B75</f>
        <v>03 20 00</v>
      </c>
      <c r="C75" s="181" t="str">
        <f>'Pay App 1'!C75</f>
        <v>Building Concrete Reinforcing</v>
      </c>
      <c r="D75" s="155">
        <f>'Pay App 1'!D75</f>
        <v>0</v>
      </c>
      <c r="E75" s="155">
        <f>VLOOKUP(B75,'Graph Data'!$O$2:$BX$88,13,FALSE)</f>
        <v>0</v>
      </c>
      <c r="F75" s="155">
        <f>IFERROR(E75+'Pay App 10'!F75,"")</f>
        <v>0</v>
      </c>
      <c r="G75" s="155">
        <f>SUM('Pay App 1:Pay App 10'!H75)</f>
        <v>0</v>
      </c>
      <c r="H75" s="154"/>
      <c r="I75" s="155">
        <f t="shared" si="0"/>
        <v>0</v>
      </c>
      <c r="J75" s="156">
        <f t="shared" si="1"/>
        <v>0</v>
      </c>
      <c r="K75" s="155">
        <f t="shared" si="2"/>
        <v>0</v>
      </c>
      <c r="L75" s="155" t="str">
        <f>IF(AND('Summary Sheet'!$E$23="No",$H$33&gt;0,H75&gt;=1),"",IF(AND('Summary Sheet'!$E$23="Yes",H75&lt;&gt;""),H75*'Summary Sheet'!$G$23,""))</f>
        <v/>
      </c>
      <c r="M75" s="154"/>
      <c r="N75" s="155">
        <f>SUM('Pay App 1:Pay App 11'!L75)+SUM('Pay App 1:Pay App 11'!M75)</f>
        <v>0</v>
      </c>
    </row>
    <row r="76" spans="1:17" ht="11.25" customHeight="1" x14ac:dyDescent="0.25">
      <c r="A76" s="152">
        <v>20</v>
      </c>
      <c r="B76" s="176" t="str">
        <f>'Pay App 1'!B76</f>
        <v>03 40 00</v>
      </c>
      <c r="C76" s="181" t="str">
        <f>'Pay App 1'!C76</f>
        <v>Precast</v>
      </c>
      <c r="D76" s="155">
        <f>'Pay App 1'!D76</f>
        <v>0</v>
      </c>
      <c r="E76" s="155">
        <f>VLOOKUP(B76,'Graph Data'!$O$2:$BX$88,13,FALSE)</f>
        <v>0</v>
      </c>
      <c r="F76" s="155">
        <f>IFERROR(E76+'Pay App 10'!F76,"")</f>
        <v>0</v>
      </c>
      <c r="G76" s="155">
        <f>SUM('Pay App 1:Pay App 10'!H76)</f>
        <v>0</v>
      </c>
      <c r="H76" s="154"/>
      <c r="I76" s="155">
        <f t="shared" si="0"/>
        <v>0</v>
      </c>
      <c r="J76" s="156">
        <f t="shared" si="1"/>
        <v>0</v>
      </c>
      <c r="K76" s="155">
        <f t="shared" si="2"/>
        <v>0</v>
      </c>
      <c r="L76" s="155" t="str">
        <f>IF(AND('Summary Sheet'!$E$23="No",$H$33&gt;0,H76&gt;=1),"",IF(AND('Summary Sheet'!$E$23="Yes",H76&lt;&gt;""),H76*'Summary Sheet'!$G$23,""))</f>
        <v/>
      </c>
      <c r="M76" s="154"/>
      <c r="N76" s="155">
        <f>SUM('Pay App 1:Pay App 11'!L76)+SUM('Pay App 1:Pay App 11'!M76)</f>
        <v>0</v>
      </c>
    </row>
    <row r="77" spans="1:17" ht="11.25" customHeight="1" x14ac:dyDescent="0.25">
      <c r="A77" s="152">
        <v>21</v>
      </c>
      <c r="B77" s="177" t="str">
        <f>'Pay App 1'!B77</f>
        <v>04 00 00</v>
      </c>
      <c r="C77" s="182" t="str">
        <f>'Pay App 1'!C77</f>
        <v>Masonry</v>
      </c>
      <c r="D77" s="155">
        <f>'Pay App 1'!D77</f>
        <v>0</v>
      </c>
      <c r="E77" s="155">
        <f>VLOOKUP(B77,'Graph Data'!$O$2:$BX$88,13,FALSE)</f>
        <v>0</v>
      </c>
      <c r="F77" s="155">
        <f>IFERROR(E77+'Pay App 10'!F77,"")</f>
        <v>0</v>
      </c>
      <c r="G77" s="155">
        <f>SUM('Pay App 1:Pay App 10'!H77)</f>
        <v>0</v>
      </c>
      <c r="H77" s="154"/>
      <c r="I77" s="155">
        <f t="shared" si="0"/>
        <v>0</v>
      </c>
      <c r="J77" s="156">
        <f t="shared" si="1"/>
        <v>0</v>
      </c>
      <c r="K77" s="155">
        <f t="shared" si="2"/>
        <v>0</v>
      </c>
      <c r="L77" s="155" t="str">
        <f>IF(AND('Summary Sheet'!$E$23="No",$H$33&gt;0,H77&gt;=1),"",IF(AND('Summary Sheet'!$E$23="Yes",H77&lt;&gt;""),H77*'Summary Sheet'!$G$23,""))</f>
        <v/>
      </c>
      <c r="M77" s="154"/>
      <c r="N77" s="155">
        <f>SUM('Pay App 1:Pay App 11'!L77)+SUM('Pay App 1:Pay App 11'!M77)</f>
        <v>0</v>
      </c>
    </row>
    <row r="78" spans="1:17" ht="11.25" customHeight="1" x14ac:dyDescent="0.25">
      <c r="A78" s="152">
        <v>22</v>
      </c>
      <c r="B78" s="177" t="str">
        <f>'Pay App 1'!B78</f>
        <v>04 05 19</v>
      </c>
      <c r="C78" s="182" t="str">
        <f>'Pay App 1'!C78</f>
        <v>Masonry Reinforcing</v>
      </c>
      <c r="D78" s="155">
        <f>'Pay App 1'!D78</f>
        <v>0</v>
      </c>
      <c r="E78" s="155">
        <f>VLOOKUP(B78,'Graph Data'!$O$2:$BX$88,13,FALSE)</f>
        <v>0</v>
      </c>
      <c r="F78" s="155">
        <f>IFERROR(E78+'Pay App 10'!F78,"")</f>
        <v>0</v>
      </c>
      <c r="G78" s="155">
        <f>SUM('Pay App 1:Pay App 10'!H78)</f>
        <v>0</v>
      </c>
      <c r="H78" s="154"/>
      <c r="I78" s="155">
        <f t="shared" si="0"/>
        <v>0</v>
      </c>
      <c r="J78" s="156">
        <f t="shared" si="1"/>
        <v>0</v>
      </c>
      <c r="K78" s="155">
        <f t="shared" si="2"/>
        <v>0</v>
      </c>
      <c r="L78" s="155" t="str">
        <f>IF(AND('Summary Sheet'!$E$23="No",$H$33&gt;0,H78&gt;=1),"",IF(AND('Summary Sheet'!$E$23="Yes",H78&lt;&gt;""),H78*'Summary Sheet'!$G$23,""))</f>
        <v/>
      </c>
      <c r="M78" s="154"/>
      <c r="N78" s="155">
        <f>SUM('Pay App 1:Pay App 11'!L78)+SUM('Pay App 1:Pay App 11'!M78)</f>
        <v>0</v>
      </c>
    </row>
    <row r="79" spans="1:17" ht="11.25" customHeight="1" x14ac:dyDescent="0.25">
      <c r="A79" s="152">
        <v>23</v>
      </c>
      <c r="B79" s="178" t="str">
        <f>'Pay App 1'!B79</f>
        <v>05 10 00</v>
      </c>
      <c r="C79" s="183" t="str">
        <f>'Pay App 1'!C79</f>
        <v>Structural Steel/Misc. Steel Fab</v>
      </c>
      <c r="D79" s="155">
        <f>'Pay App 1'!D79</f>
        <v>0</v>
      </c>
      <c r="E79" s="155">
        <f>VLOOKUP(B79,'Graph Data'!$O$2:$BX$88,13,FALSE)</f>
        <v>0</v>
      </c>
      <c r="F79" s="155">
        <f>IFERROR(E79+'Pay App 10'!F79,"")</f>
        <v>0</v>
      </c>
      <c r="G79" s="155">
        <f>SUM('Pay App 1:Pay App 10'!H79)</f>
        <v>0</v>
      </c>
      <c r="H79" s="154"/>
      <c r="I79" s="155">
        <f t="shared" si="0"/>
        <v>0</v>
      </c>
      <c r="J79" s="156">
        <f t="shared" si="1"/>
        <v>0</v>
      </c>
      <c r="K79" s="155">
        <f t="shared" si="2"/>
        <v>0</v>
      </c>
      <c r="L79" s="155" t="str">
        <f>IF(AND('Summary Sheet'!$E$23="No",$H$33&gt;0,H79&gt;=1),"",IF(AND('Summary Sheet'!$E$23="Yes",H79&lt;&gt;""),H79*'Summary Sheet'!$G$23,""))</f>
        <v/>
      </c>
      <c r="M79" s="154"/>
      <c r="N79" s="155">
        <f>SUM('Pay App 1:Pay App 11'!L79)+SUM('Pay App 1:Pay App 11'!M79)</f>
        <v>0</v>
      </c>
    </row>
    <row r="80" spans="1:17" ht="11.25" customHeight="1" x14ac:dyDescent="0.25">
      <c r="A80" s="152">
        <v>24</v>
      </c>
      <c r="B80" s="178" t="str">
        <f>'Pay App 1'!B80</f>
        <v>05 20 00</v>
      </c>
      <c r="C80" s="183" t="str">
        <f>'Pay App 1'!C80</f>
        <v>Joists &amp; Deck</v>
      </c>
      <c r="D80" s="155">
        <f>'Pay App 1'!D80</f>
        <v>0</v>
      </c>
      <c r="E80" s="155">
        <f>VLOOKUP(B80,'Graph Data'!$O$2:$BX$88,13,FALSE)</f>
        <v>0</v>
      </c>
      <c r="F80" s="155">
        <f>IFERROR(E80+'Pay App 10'!F80,"")</f>
        <v>0</v>
      </c>
      <c r="G80" s="155">
        <f>SUM('Pay App 1:Pay App 10'!H80)</f>
        <v>0</v>
      </c>
      <c r="H80" s="154"/>
      <c r="I80" s="155">
        <f t="shared" si="0"/>
        <v>0</v>
      </c>
      <c r="J80" s="156">
        <f t="shared" si="1"/>
        <v>0</v>
      </c>
      <c r="K80" s="155">
        <f t="shared" si="2"/>
        <v>0</v>
      </c>
      <c r="L80" s="155" t="str">
        <f>IF(AND('Summary Sheet'!$E$23="No",$H$33&gt;0,H80&gt;=1),"",IF(AND('Summary Sheet'!$E$23="Yes",H80&lt;&gt;""),H80*'Summary Sheet'!$G$23,""))</f>
        <v/>
      </c>
      <c r="M80" s="154"/>
      <c r="N80" s="155">
        <f>SUM('Pay App 1:Pay App 11'!L80)+SUM('Pay App 1:Pay App 11'!M80)</f>
        <v>0</v>
      </c>
    </row>
    <row r="81" spans="1:14" ht="11.25" customHeight="1" x14ac:dyDescent="0.25">
      <c r="A81" s="152">
        <v>25</v>
      </c>
      <c r="B81" s="178" t="str">
        <f>'Pay App 1'!B81</f>
        <v>05 70 00</v>
      </c>
      <c r="C81" s="183" t="str">
        <f>'Pay App 1'!C81</f>
        <v>Ornamental Metal</v>
      </c>
      <c r="D81" s="155">
        <f>'Pay App 1'!D81</f>
        <v>0</v>
      </c>
      <c r="E81" s="155">
        <f>VLOOKUP(B81,'Graph Data'!$O$2:$BX$88,13,FALSE)</f>
        <v>0</v>
      </c>
      <c r="F81" s="155">
        <f>IFERROR(E81+'Pay App 10'!F81,"")</f>
        <v>0</v>
      </c>
      <c r="G81" s="155">
        <f>SUM('Pay App 1:Pay App 10'!H81)</f>
        <v>0</v>
      </c>
      <c r="H81" s="154"/>
      <c r="I81" s="155">
        <f t="shared" si="0"/>
        <v>0</v>
      </c>
      <c r="J81" s="156">
        <f t="shared" si="1"/>
        <v>0</v>
      </c>
      <c r="K81" s="155">
        <f t="shared" si="2"/>
        <v>0</v>
      </c>
      <c r="L81" s="155" t="str">
        <f>IF(AND('Summary Sheet'!$E$23="No",$H$33&gt;0,H81&gt;=1),"",IF(AND('Summary Sheet'!$E$23="Yes",H81&lt;&gt;""),H81*'Summary Sheet'!$G$23,""))</f>
        <v/>
      </c>
      <c r="M81" s="154"/>
      <c r="N81" s="155">
        <f>SUM('Pay App 1:Pay App 11'!L81)+SUM('Pay App 1:Pay App 11'!M81)</f>
        <v>0</v>
      </c>
    </row>
    <row r="82" spans="1:14" ht="11.25" customHeight="1" x14ac:dyDescent="0.25">
      <c r="A82" s="152">
        <v>26</v>
      </c>
      <c r="B82" s="145" t="str">
        <f>'Pay App 1'!B82</f>
        <v>06 10 00</v>
      </c>
      <c r="C82" s="134" t="str">
        <f>'Pay App 1'!C82</f>
        <v>Rough Carpentry</v>
      </c>
      <c r="D82" s="155">
        <f>'Pay App 1'!D82</f>
        <v>0</v>
      </c>
      <c r="E82" s="155">
        <f>VLOOKUP(B82,'Graph Data'!$O$2:$BX$88,13,FALSE)</f>
        <v>0</v>
      </c>
      <c r="F82" s="155">
        <f>IFERROR(E82+'Pay App 10'!F82,"")</f>
        <v>0</v>
      </c>
      <c r="G82" s="155">
        <f>SUM('Pay App 1:Pay App 10'!H82)</f>
        <v>0</v>
      </c>
      <c r="H82" s="154"/>
      <c r="I82" s="155">
        <f t="shared" si="0"/>
        <v>0</v>
      </c>
      <c r="J82" s="156">
        <f t="shared" si="1"/>
        <v>0</v>
      </c>
      <c r="K82" s="155">
        <f t="shared" si="2"/>
        <v>0</v>
      </c>
      <c r="L82" s="155" t="str">
        <f>IF(AND('Summary Sheet'!$E$23="No",$H$33&gt;0,H82&gt;=1),"",IF(AND('Summary Sheet'!$E$23="Yes",H82&lt;&gt;""),H82*'Summary Sheet'!$G$23,""))</f>
        <v/>
      </c>
      <c r="M82" s="154"/>
      <c r="N82" s="155">
        <f>SUM('Pay App 1:Pay App 11'!L82)+SUM('Pay App 1:Pay App 11'!M82)</f>
        <v>0</v>
      </c>
    </row>
    <row r="83" spans="1:14" ht="11.25" customHeight="1" x14ac:dyDescent="0.25">
      <c r="A83" s="152">
        <v>27</v>
      </c>
      <c r="B83" s="145" t="str">
        <f>'Pay App 1'!B83</f>
        <v>06 40 00</v>
      </c>
      <c r="C83" s="134" t="str">
        <f>'Pay App 1'!C83</f>
        <v>Arch. Woodwork &amp; Finish Carp.</v>
      </c>
      <c r="D83" s="155">
        <f>'Pay App 1'!D83</f>
        <v>0</v>
      </c>
      <c r="E83" s="155">
        <f>VLOOKUP(B83,'Graph Data'!$O$2:$BX$88,13,FALSE)</f>
        <v>0</v>
      </c>
      <c r="F83" s="155">
        <f>IFERROR(E83+'Pay App 10'!F83,"")</f>
        <v>0</v>
      </c>
      <c r="G83" s="155">
        <f>SUM('Pay App 1:Pay App 10'!H83)</f>
        <v>0</v>
      </c>
      <c r="H83" s="154"/>
      <c r="I83" s="155">
        <f t="shared" si="0"/>
        <v>0</v>
      </c>
      <c r="J83" s="156">
        <f t="shared" si="1"/>
        <v>0</v>
      </c>
      <c r="K83" s="155">
        <f t="shared" si="2"/>
        <v>0</v>
      </c>
      <c r="L83" s="155" t="str">
        <f>IF(AND('Summary Sheet'!$E$23="No",$H$33&gt;0,H83&gt;=1),"",IF(AND('Summary Sheet'!$E$23="Yes",H83&lt;&gt;""),H83*'Summary Sheet'!$G$23,""))</f>
        <v/>
      </c>
      <c r="M83" s="154"/>
      <c r="N83" s="155">
        <f>SUM('Pay App 1:Pay App 11'!L83)+SUM('Pay App 1:Pay App 11'!M83)</f>
        <v>0</v>
      </c>
    </row>
    <row r="84" spans="1:14" ht="11.25" customHeight="1" x14ac:dyDescent="0.25">
      <c r="A84" s="152">
        <v>28</v>
      </c>
      <c r="B84" s="174" t="str">
        <f>'Pay App 1'!B84</f>
        <v>07 10 00</v>
      </c>
      <c r="C84" s="179" t="str">
        <f>'Pay App 1'!C84</f>
        <v>Waterproofing/Water Repellents</v>
      </c>
      <c r="D84" s="155">
        <f>'Pay App 1'!D84</f>
        <v>0</v>
      </c>
      <c r="E84" s="155">
        <f>VLOOKUP(B84,'Graph Data'!$O$2:$BX$88,13,FALSE)</f>
        <v>0</v>
      </c>
      <c r="F84" s="155">
        <f>IFERROR(E84+'Pay App 10'!F84,"")</f>
        <v>0</v>
      </c>
      <c r="G84" s="155">
        <f>SUM('Pay App 1:Pay App 10'!H84)</f>
        <v>0</v>
      </c>
      <c r="H84" s="154"/>
      <c r="I84" s="155">
        <f t="shared" si="0"/>
        <v>0</v>
      </c>
      <c r="J84" s="156">
        <f t="shared" si="1"/>
        <v>0</v>
      </c>
      <c r="K84" s="155">
        <f t="shared" si="2"/>
        <v>0</v>
      </c>
      <c r="L84" s="155" t="str">
        <f>IF(AND('Summary Sheet'!$E$23="No",$H$33&gt;0,H84&gt;=1),"",IF(AND('Summary Sheet'!$E$23="Yes",H84&lt;&gt;""),H84*'Summary Sheet'!$G$23,""))</f>
        <v/>
      </c>
      <c r="M84" s="154"/>
      <c r="N84" s="155">
        <f>SUM('Pay App 1:Pay App 11'!L84)+SUM('Pay App 1:Pay App 11'!M84)</f>
        <v>0</v>
      </c>
    </row>
    <row r="85" spans="1:14" ht="11.25" customHeight="1" x14ac:dyDescent="0.25">
      <c r="A85" s="152">
        <v>29</v>
      </c>
      <c r="B85" s="174" t="str">
        <f>'Pay App 1'!B85</f>
        <v>07 20 00</v>
      </c>
      <c r="C85" s="179" t="str">
        <f>'Pay App 1'!C85</f>
        <v>Insulation</v>
      </c>
      <c r="D85" s="155">
        <f>'Pay App 1'!D85</f>
        <v>0</v>
      </c>
      <c r="E85" s="155">
        <f>VLOOKUP(B85,'Graph Data'!$O$2:$BX$88,13,FALSE)</f>
        <v>0</v>
      </c>
      <c r="F85" s="155">
        <f>IFERROR(E85+'Pay App 10'!F85,"")</f>
        <v>0</v>
      </c>
      <c r="G85" s="155">
        <f>SUM('Pay App 1:Pay App 10'!H85)</f>
        <v>0</v>
      </c>
      <c r="H85" s="154"/>
      <c r="I85" s="155">
        <f t="shared" si="0"/>
        <v>0</v>
      </c>
      <c r="J85" s="156">
        <f t="shared" si="1"/>
        <v>0</v>
      </c>
      <c r="K85" s="155">
        <f t="shared" si="2"/>
        <v>0</v>
      </c>
      <c r="L85" s="155" t="str">
        <f>IF(AND('Summary Sheet'!$E$23="No",$H$33&gt;0,H85&gt;=1),"",IF(AND('Summary Sheet'!$E$23="Yes",H85&lt;&gt;""),H85*'Summary Sheet'!$G$23,""))</f>
        <v/>
      </c>
      <c r="M85" s="154"/>
      <c r="N85" s="155">
        <f>SUM('Pay App 1:Pay App 11'!L85)+SUM('Pay App 1:Pay App 11'!M85)</f>
        <v>0</v>
      </c>
    </row>
    <row r="86" spans="1:14" ht="11.25" customHeight="1" x14ac:dyDescent="0.25">
      <c r="A86" s="152">
        <v>30</v>
      </c>
      <c r="B86" s="174" t="str">
        <f>'Pay App 1'!B86</f>
        <v>07 24 00</v>
      </c>
      <c r="C86" s="179" t="str">
        <f>'Pay App 1'!C86</f>
        <v>EIFS</v>
      </c>
      <c r="D86" s="155">
        <f>'Pay App 1'!D86</f>
        <v>0</v>
      </c>
      <c r="E86" s="155">
        <f>VLOOKUP(B86,'Graph Data'!$O$2:$BX$88,13,FALSE)</f>
        <v>0</v>
      </c>
      <c r="F86" s="155">
        <f>IFERROR(E86+'Pay App 10'!F86,"")</f>
        <v>0</v>
      </c>
      <c r="G86" s="155">
        <f>SUM('Pay App 1:Pay App 10'!H86)</f>
        <v>0</v>
      </c>
      <c r="H86" s="154"/>
      <c r="I86" s="155">
        <f t="shared" si="0"/>
        <v>0</v>
      </c>
      <c r="J86" s="156">
        <f t="shared" si="1"/>
        <v>0</v>
      </c>
      <c r="K86" s="155">
        <f t="shared" si="2"/>
        <v>0</v>
      </c>
      <c r="L86" s="155" t="str">
        <f>IF(AND('Summary Sheet'!$E$23="No",$H$33&gt;0,H86&gt;=1),"",IF(AND('Summary Sheet'!$E$23="Yes",H86&lt;&gt;""),H86*'Summary Sheet'!$G$23,""))</f>
        <v/>
      </c>
      <c r="M86" s="154"/>
      <c r="N86" s="155">
        <f>SUM('Pay App 1:Pay App 11'!L86)+SUM('Pay App 1:Pay App 11'!M86)</f>
        <v>0</v>
      </c>
    </row>
    <row r="87" spans="1:14" ht="11.25" customHeight="1" x14ac:dyDescent="0.25">
      <c r="A87" s="152">
        <v>31</v>
      </c>
      <c r="B87" s="174" t="str">
        <f>'Pay App 1'!B87</f>
        <v>07 26 00</v>
      </c>
      <c r="C87" s="179" t="str">
        <f>'Pay App 1'!C87</f>
        <v>Vapor Retarders</v>
      </c>
      <c r="D87" s="155">
        <f>'Pay App 1'!D87</f>
        <v>0</v>
      </c>
      <c r="E87" s="155">
        <f>VLOOKUP(B87,'Graph Data'!$O$2:$BX$88,13,FALSE)</f>
        <v>0</v>
      </c>
      <c r="F87" s="155">
        <f>IFERROR(E87+'Pay App 10'!F87,"")</f>
        <v>0</v>
      </c>
      <c r="G87" s="155">
        <f>SUM('Pay App 1:Pay App 10'!H87)</f>
        <v>0</v>
      </c>
      <c r="H87" s="154"/>
      <c r="I87" s="155">
        <f t="shared" si="0"/>
        <v>0</v>
      </c>
      <c r="J87" s="156">
        <f t="shared" si="1"/>
        <v>0</v>
      </c>
      <c r="K87" s="155">
        <f t="shared" si="2"/>
        <v>0</v>
      </c>
      <c r="L87" s="155" t="str">
        <f>IF(AND('Summary Sheet'!$E$23="No",$H$33&gt;0,H87&gt;=1),"",IF(AND('Summary Sheet'!$E$23="Yes",H87&lt;&gt;""),H87*'Summary Sheet'!$G$23,""))</f>
        <v/>
      </c>
      <c r="M87" s="154"/>
      <c r="N87" s="155">
        <f>SUM('Pay App 1:Pay App 11'!L87)+SUM('Pay App 1:Pay App 11'!M87)</f>
        <v>0</v>
      </c>
    </row>
    <row r="88" spans="1:14" ht="11.25" customHeight="1" x14ac:dyDescent="0.25">
      <c r="A88" s="152">
        <v>32</v>
      </c>
      <c r="B88" s="174" t="str">
        <f>'Pay App 1'!B88</f>
        <v>07 41 00</v>
      </c>
      <c r="C88" s="179" t="str">
        <f>'Pay App 1'!C88</f>
        <v>Roofing</v>
      </c>
      <c r="D88" s="155">
        <f>'Pay App 1'!D88</f>
        <v>0</v>
      </c>
      <c r="E88" s="155">
        <f>VLOOKUP(B88,'Graph Data'!$O$2:$BX$88,13,FALSE)</f>
        <v>0</v>
      </c>
      <c r="F88" s="155">
        <f>IFERROR(E88+'Pay App 10'!F88,"")</f>
        <v>0</v>
      </c>
      <c r="G88" s="155">
        <f>SUM('Pay App 1:Pay App 10'!H88)</f>
        <v>0</v>
      </c>
      <c r="H88" s="154"/>
      <c r="I88" s="155">
        <f t="shared" si="0"/>
        <v>0</v>
      </c>
      <c r="J88" s="156">
        <f t="shared" si="1"/>
        <v>0</v>
      </c>
      <c r="K88" s="155">
        <f t="shared" si="2"/>
        <v>0</v>
      </c>
      <c r="L88" s="155" t="str">
        <f>IF(AND('Summary Sheet'!$E$23="No",$H$33&gt;0,H88&gt;=1),"",IF(AND('Summary Sheet'!$E$23="Yes",H88&lt;&gt;""),H88*'Summary Sheet'!$G$23,""))</f>
        <v/>
      </c>
      <c r="M88" s="154"/>
      <c r="N88" s="155">
        <f>SUM('Pay App 1:Pay App 11'!L88)+SUM('Pay App 1:Pay App 11'!M88)</f>
        <v>0</v>
      </c>
    </row>
    <row r="89" spans="1:14" ht="11.25" customHeight="1" x14ac:dyDescent="0.25">
      <c r="A89" s="152">
        <v>33</v>
      </c>
      <c r="B89" s="174" t="str">
        <f>'Pay App 1'!B89</f>
        <v>07 42 00</v>
      </c>
      <c r="C89" s="179" t="str">
        <f>'Pay App 1'!C89</f>
        <v>Metal Panels</v>
      </c>
      <c r="D89" s="155">
        <f>'Pay App 1'!D89</f>
        <v>0</v>
      </c>
      <c r="E89" s="155">
        <f>VLOOKUP(B89,'Graph Data'!$O$2:$BX$88,13,FALSE)</f>
        <v>0</v>
      </c>
      <c r="F89" s="155">
        <f>IFERROR(E89+'Pay App 10'!F89,"")</f>
        <v>0</v>
      </c>
      <c r="G89" s="155">
        <f>SUM('Pay App 1:Pay App 10'!H89)</f>
        <v>0</v>
      </c>
      <c r="H89" s="154"/>
      <c r="I89" s="155">
        <f t="shared" si="0"/>
        <v>0</v>
      </c>
      <c r="J89" s="156">
        <f t="shared" si="1"/>
        <v>0</v>
      </c>
      <c r="K89" s="155">
        <f t="shared" si="2"/>
        <v>0</v>
      </c>
      <c r="L89" s="155" t="str">
        <f>IF(AND('Summary Sheet'!$E$23="No",$H$33&gt;0,H89&gt;=1),"",IF(AND('Summary Sheet'!$E$23="Yes",H89&lt;&gt;""),H89*'Summary Sheet'!$G$23,""))</f>
        <v/>
      </c>
      <c r="M89" s="154"/>
      <c r="N89" s="155">
        <f>SUM('Pay App 1:Pay App 11'!L89)+SUM('Pay App 1:Pay App 11'!M89)</f>
        <v>0</v>
      </c>
    </row>
    <row r="90" spans="1:14" ht="11.25" customHeight="1" x14ac:dyDescent="0.25">
      <c r="A90" s="152">
        <v>34</v>
      </c>
      <c r="B90" s="174" t="str">
        <f>'Pay App 1'!B90</f>
        <v>07 60 00</v>
      </c>
      <c r="C90" s="179" t="str">
        <f>'Pay App 1'!C90</f>
        <v>Sheet Metal Flashing &amp; Trim</v>
      </c>
      <c r="D90" s="155">
        <f>'Pay App 1'!D90</f>
        <v>0</v>
      </c>
      <c r="E90" s="155">
        <f>VLOOKUP(B90,'Graph Data'!$O$2:$BX$88,13,FALSE)</f>
        <v>0</v>
      </c>
      <c r="F90" s="155">
        <f>IFERROR(E90+'Pay App 10'!F90,"")</f>
        <v>0</v>
      </c>
      <c r="G90" s="155">
        <f>SUM('Pay App 1:Pay App 10'!H90)</f>
        <v>0</v>
      </c>
      <c r="H90" s="154"/>
      <c r="I90" s="155">
        <f t="shared" si="0"/>
        <v>0</v>
      </c>
      <c r="J90" s="156">
        <f t="shared" si="1"/>
        <v>0</v>
      </c>
      <c r="K90" s="155">
        <f t="shared" si="2"/>
        <v>0</v>
      </c>
      <c r="L90" s="155" t="str">
        <f>IF(AND('Summary Sheet'!$E$23="No",$H$33&gt;0,H90&gt;=1),"",IF(AND('Summary Sheet'!$E$23="Yes",H90&lt;&gt;""),H90*'Summary Sheet'!$G$23,""))</f>
        <v/>
      </c>
      <c r="M90" s="154"/>
      <c r="N90" s="155">
        <f>SUM('Pay App 1:Pay App 11'!L90)+SUM('Pay App 1:Pay App 11'!M90)</f>
        <v>0</v>
      </c>
    </row>
    <row r="91" spans="1:14" ht="11.25" customHeight="1" x14ac:dyDescent="0.25">
      <c r="A91" s="152">
        <v>35</v>
      </c>
      <c r="B91" s="174" t="str">
        <f>'Pay App 1'!B91</f>
        <v>07 80 00</v>
      </c>
      <c r="C91" s="179" t="str">
        <f>'Pay App 1'!C91</f>
        <v>Fireproofing</v>
      </c>
      <c r="D91" s="155">
        <f>'Pay App 1'!D91</f>
        <v>0</v>
      </c>
      <c r="E91" s="155">
        <f>VLOOKUP(B91,'Graph Data'!$O$2:$BX$88,13,FALSE)</f>
        <v>0</v>
      </c>
      <c r="F91" s="155">
        <f>IFERROR(E91+'Pay App 10'!F91,"")</f>
        <v>0</v>
      </c>
      <c r="G91" s="155">
        <f>SUM('Pay App 1:Pay App 10'!H91)</f>
        <v>0</v>
      </c>
      <c r="H91" s="154"/>
      <c r="I91" s="155">
        <f t="shared" si="0"/>
        <v>0</v>
      </c>
      <c r="J91" s="156">
        <f t="shared" si="1"/>
        <v>0</v>
      </c>
      <c r="K91" s="155">
        <f t="shared" si="2"/>
        <v>0</v>
      </c>
      <c r="L91" s="155" t="str">
        <f>IF(AND('Summary Sheet'!$E$23="No",$H$33&gt;0,H91&gt;=1),"",IF(AND('Summary Sheet'!$E$23="Yes",H91&lt;&gt;""),H91*'Summary Sheet'!$G$23,""))</f>
        <v/>
      </c>
      <c r="M91" s="154"/>
      <c r="N91" s="155">
        <f>SUM('Pay App 1:Pay App 11'!L91)+SUM('Pay App 1:Pay App 11'!M91)</f>
        <v>0</v>
      </c>
    </row>
    <row r="92" spans="1:14" ht="11.25" customHeight="1" x14ac:dyDescent="0.25">
      <c r="A92" s="152">
        <v>36</v>
      </c>
      <c r="B92" s="174" t="str">
        <f>'Pay App 1'!B92</f>
        <v>07 90 00</v>
      </c>
      <c r="C92" s="179" t="str">
        <f>'Pay App 1'!C92</f>
        <v>Joint Sealants</v>
      </c>
      <c r="D92" s="155">
        <f>'Pay App 1'!D92</f>
        <v>0</v>
      </c>
      <c r="E92" s="155">
        <f>VLOOKUP(B92,'Graph Data'!$O$2:$BX$88,13,FALSE)</f>
        <v>0</v>
      </c>
      <c r="F92" s="155">
        <f>IFERROR(E92+'Pay App 10'!F92,"")</f>
        <v>0</v>
      </c>
      <c r="G92" s="155">
        <f>SUM('Pay App 1:Pay App 10'!H92)</f>
        <v>0</v>
      </c>
      <c r="H92" s="154"/>
      <c r="I92" s="155">
        <f t="shared" si="0"/>
        <v>0</v>
      </c>
      <c r="J92" s="156">
        <f t="shared" si="1"/>
        <v>0</v>
      </c>
      <c r="K92" s="155">
        <f t="shared" si="2"/>
        <v>0</v>
      </c>
      <c r="L92" s="155" t="str">
        <f>IF(AND('Summary Sheet'!$E$23="No",$H$33&gt;0,H92&gt;=1),"",IF(AND('Summary Sheet'!$E$23="Yes",H92&lt;&gt;""),H92*'Summary Sheet'!$G$23,""))</f>
        <v/>
      </c>
      <c r="M92" s="154"/>
      <c r="N92" s="155">
        <f>SUM('Pay App 1:Pay App 11'!L92)+SUM('Pay App 1:Pay App 11'!M92)</f>
        <v>0</v>
      </c>
    </row>
    <row r="93" spans="1:14" ht="11.25" customHeight="1" x14ac:dyDescent="0.25">
      <c r="A93" s="152">
        <v>37</v>
      </c>
      <c r="B93" s="174" t="str">
        <f>'Pay App 1'!B93</f>
        <v>07 95 00</v>
      </c>
      <c r="C93" s="179" t="str">
        <f>'Pay App 1'!C93</f>
        <v>Expansion Joints</v>
      </c>
      <c r="D93" s="155">
        <f>'Pay App 1'!D93</f>
        <v>0</v>
      </c>
      <c r="E93" s="155">
        <f>VLOOKUP(B93,'Graph Data'!$O$2:$BX$88,13,FALSE)</f>
        <v>0</v>
      </c>
      <c r="F93" s="155">
        <f>IFERROR(E93+'Pay App 10'!F93,"")</f>
        <v>0</v>
      </c>
      <c r="G93" s="155">
        <f>SUM('Pay App 1:Pay App 10'!H93)</f>
        <v>0</v>
      </c>
      <c r="H93" s="154"/>
      <c r="I93" s="155">
        <f t="shared" si="0"/>
        <v>0</v>
      </c>
      <c r="J93" s="156">
        <f t="shared" si="1"/>
        <v>0</v>
      </c>
      <c r="K93" s="155">
        <f t="shared" si="2"/>
        <v>0</v>
      </c>
      <c r="L93" s="155" t="str">
        <f>IF(AND('Summary Sheet'!$E$23="No",$H$33&gt;0,H93&gt;=1),"",IF(AND('Summary Sheet'!$E$23="Yes",H93&lt;&gt;""),H93*'Summary Sheet'!$G$23,""))</f>
        <v/>
      </c>
      <c r="M93" s="154"/>
      <c r="N93" s="155">
        <f>SUM('Pay App 1:Pay App 11'!L93)+SUM('Pay App 1:Pay App 11'!M93)</f>
        <v>0</v>
      </c>
    </row>
    <row r="94" spans="1:14" ht="11.25" customHeight="1" x14ac:dyDescent="0.25">
      <c r="A94" s="152">
        <v>38</v>
      </c>
      <c r="B94" s="175" t="str">
        <f>'Pay App 1'!B94</f>
        <v>08 10 00</v>
      </c>
      <c r="C94" s="180" t="str">
        <f>'Pay App 1'!C94</f>
        <v>Doors, Frames &amp; Hardware</v>
      </c>
      <c r="D94" s="155">
        <f>'Pay App 1'!D94</f>
        <v>0</v>
      </c>
      <c r="E94" s="155">
        <f>VLOOKUP(B94,'Graph Data'!$O$2:$BX$88,13,FALSE)</f>
        <v>0</v>
      </c>
      <c r="F94" s="155">
        <f>IFERROR(E94+'Pay App 10'!F94,"")</f>
        <v>0</v>
      </c>
      <c r="G94" s="155">
        <f>SUM('Pay App 1:Pay App 10'!H94)</f>
        <v>0</v>
      </c>
      <c r="H94" s="154"/>
      <c r="I94" s="155">
        <f t="shared" si="0"/>
        <v>0</v>
      </c>
      <c r="J94" s="156">
        <f t="shared" si="1"/>
        <v>0</v>
      </c>
      <c r="K94" s="155">
        <f t="shared" si="2"/>
        <v>0</v>
      </c>
      <c r="L94" s="155" t="str">
        <f>IF(AND('Summary Sheet'!$E$23="No",$H$33&gt;0,H94&gt;=1),"",IF(AND('Summary Sheet'!$E$23="Yes",H94&lt;&gt;""),H94*'Summary Sheet'!$G$23,""))</f>
        <v/>
      </c>
      <c r="M94" s="154"/>
      <c r="N94" s="155">
        <f>SUM('Pay App 1:Pay App 11'!L94)+SUM('Pay App 1:Pay App 11'!M94)</f>
        <v>0</v>
      </c>
    </row>
    <row r="95" spans="1:14" ht="11.25" customHeight="1" x14ac:dyDescent="0.25">
      <c r="A95" s="152">
        <v>39</v>
      </c>
      <c r="B95" s="175" t="str">
        <f>'Pay App 1'!B95</f>
        <v>08 30 00</v>
      </c>
      <c r="C95" s="180" t="str">
        <f>'Pay App 1'!C95</f>
        <v>Specialty Doors</v>
      </c>
      <c r="D95" s="155">
        <f>'Pay App 1'!D95</f>
        <v>0</v>
      </c>
      <c r="E95" s="155">
        <f>VLOOKUP(B95,'Graph Data'!$O$2:$BX$88,13,FALSE)</f>
        <v>0</v>
      </c>
      <c r="F95" s="155">
        <f>IFERROR(E95+'Pay App 10'!F95,"")</f>
        <v>0</v>
      </c>
      <c r="G95" s="155">
        <f>SUM('Pay App 1:Pay App 10'!H95)</f>
        <v>0</v>
      </c>
      <c r="H95" s="154"/>
      <c r="I95" s="155">
        <f t="shared" si="0"/>
        <v>0</v>
      </c>
      <c r="J95" s="156">
        <f t="shared" si="1"/>
        <v>0</v>
      </c>
      <c r="K95" s="155">
        <f t="shared" si="2"/>
        <v>0</v>
      </c>
      <c r="L95" s="155" t="str">
        <f>IF(AND('Summary Sheet'!$E$23="No",$H$33&gt;0,H95&gt;=1),"",IF(AND('Summary Sheet'!$E$23="Yes",H95&lt;&gt;""),H95*'Summary Sheet'!$G$23,""))</f>
        <v/>
      </c>
      <c r="M95" s="154"/>
      <c r="N95" s="155">
        <f>SUM('Pay App 1:Pay App 11'!L95)+SUM('Pay App 1:Pay App 11'!M95)</f>
        <v>0</v>
      </c>
    </row>
    <row r="96" spans="1:14" ht="11.25" customHeight="1" x14ac:dyDescent="0.25">
      <c r="A96" s="152">
        <v>40</v>
      </c>
      <c r="B96" s="175" t="str">
        <f>'Pay App 1'!B96</f>
        <v>08 33 00</v>
      </c>
      <c r="C96" s="180" t="str">
        <f>'Pay App 1'!C96</f>
        <v>Overhead Doors/Coiling Doors</v>
      </c>
      <c r="D96" s="155">
        <f>'Pay App 1'!D96</f>
        <v>0</v>
      </c>
      <c r="E96" s="155">
        <f>VLOOKUP(B96,'Graph Data'!$O$2:$BX$88,13,FALSE)</f>
        <v>0</v>
      </c>
      <c r="F96" s="155">
        <f>IFERROR(E96+'Pay App 10'!F96,"")</f>
        <v>0</v>
      </c>
      <c r="G96" s="155">
        <f>SUM('Pay App 1:Pay App 10'!H96)</f>
        <v>0</v>
      </c>
      <c r="H96" s="154"/>
      <c r="I96" s="155">
        <f t="shared" si="0"/>
        <v>0</v>
      </c>
      <c r="J96" s="156">
        <f t="shared" si="1"/>
        <v>0</v>
      </c>
      <c r="K96" s="155">
        <f t="shared" si="2"/>
        <v>0</v>
      </c>
      <c r="L96" s="155" t="str">
        <f>IF(AND('Summary Sheet'!$E$23="No",$H$33&gt;0,H96&gt;=1),"",IF(AND('Summary Sheet'!$E$23="Yes",H96&lt;&gt;""),H96*'Summary Sheet'!$G$23,""))</f>
        <v/>
      </c>
      <c r="M96" s="154"/>
      <c r="N96" s="155">
        <f>SUM('Pay App 1:Pay App 11'!L96)+SUM('Pay App 1:Pay App 11'!M96)</f>
        <v>0</v>
      </c>
    </row>
    <row r="97" spans="1:15" ht="11.25" customHeight="1" x14ac:dyDescent="0.25">
      <c r="A97" s="152">
        <v>41</v>
      </c>
      <c r="B97" s="175" t="str">
        <f>'Pay App 1'!B97</f>
        <v>08 40 00</v>
      </c>
      <c r="C97" s="180" t="str">
        <f>'Pay App 1'!C97</f>
        <v>Curtain Wall, Glass &amp; Glazing</v>
      </c>
      <c r="D97" s="155">
        <f>'Pay App 1'!D97</f>
        <v>0</v>
      </c>
      <c r="E97" s="155">
        <f>VLOOKUP(B97,'Graph Data'!$O$2:$BX$88,13,FALSE)</f>
        <v>0</v>
      </c>
      <c r="F97" s="155">
        <f>IFERROR(E97+'Pay App 10'!F97,"")</f>
        <v>0</v>
      </c>
      <c r="G97" s="155">
        <f>SUM('Pay App 1:Pay App 10'!H97)</f>
        <v>0</v>
      </c>
      <c r="H97" s="154"/>
      <c r="I97" s="155">
        <f t="shared" si="0"/>
        <v>0</v>
      </c>
      <c r="J97" s="156">
        <f t="shared" si="1"/>
        <v>0</v>
      </c>
      <c r="K97" s="155">
        <f t="shared" si="2"/>
        <v>0</v>
      </c>
      <c r="L97" s="155" t="str">
        <f>IF(AND('Summary Sheet'!$E$23="No",$H$33&gt;0,H97&gt;=1),"",IF(AND('Summary Sheet'!$E$23="Yes",H97&lt;&gt;""),H97*'Summary Sheet'!$G$23,""))</f>
        <v/>
      </c>
      <c r="M97" s="154"/>
      <c r="N97" s="155">
        <f>SUM('Pay App 1:Pay App 11'!L97)+SUM('Pay App 1:Pay App 11'!M97)</f>
        <v>0</v>
      </c>
    </row>
    <row r="98" spans="1:15" ht="10.9" customHeight="1" x14ac:dyDescent="0.25">
      <c r="A98" s="152">
        <v>42</v>
      </c>
      <c r="B98" s="175" t="str">
        <f>'Pay App 1'!B98</f>
        <v>08 60 00</v>
      </c>
      <c r="C98" s="180" t="str">
        <f>'Pay App 1'!C98</f>
        <v>Skylights</v>
      </c>
      <c r="D98" s="155">
        <f>'Pay App 1'!D98</f>
        <v>0</v>
      </c>
      <c r="E98" s="155">
        <f>VLOOKUP(B98,'Graph Data'!$O$2:$BX$88,13,FALSE)</f>
        <v>0</v>
      </c>
      <c r="F98" s="155">
        <f>IFERROR(E98+'Pay App 10'!F98,"")</f>
        <v>0</v>
      </c>
      <c r="G98" s="155">
        <f>SUM('Pay App 1:Pay App 10'!H98)</f>
        <v>0</v>
      </c>
      <c r="H98" s="154"/>
      <c r="I98" s="155">
        <f t="shared" si="0"/>
        <v>0</v>
      </c>
      <c r="J98" s="156">
        <f t="shared" si="1"/>
        <v>0</v>
      </c>
      <c r="K98" s="155">
        <f t="shared" si="2"/>
        <v>0</v>
      </c>
      <c r="L98" s="155" t="str">
        <f>IF(AND('Summary Sheet'!$E$23="No",$H$33&gt;0,H98&gt;=1),"",IF(AND('Summary Sheet'!$E$23="Yes",H98&lt;&gt;""),H98*'Summary Sheet'!$G$23,""))</f>
        <v/>
      </c>
      <c r="M98" s="154"/>
      <c r="N98" s="155">
        <f>SUM('Pay App 1:Pay App 11'!L98)+SUM('Pay App 1:Pay App 11'!M98)</f>
        <v>0</v>
      </c>
    </row>
    <row r="99" spans="1:15" ht="10.9" customHeight="1" x14ac:dyDescent="0.25">
      <c r="A99" s="152">
        <v>43</v>
      </c>
      <c r="B99" s="175" t="str">
        <f>'Pay App 1'!B99</f>
        <v>08 90 00</v>
      </c>
      <c r="C99" s="180" t="str">
        <f>'Pay App 1'!C99</f>
        <v>Louvers &amp; Vents</v>
      </c>
      <c r="D99" s="155">
        <f>'Pay App 1'!D99</f>
        <v>0</v>
      </c>
      <c r="E99" s="155">
        <f>VLOOKUP(B99,'Graph Data'!$O$2:$BX$88,13,FALSE)</f>
        <v>0</v>
      </c>
      <c r="F99" s="155">
        <f>IFERROR(E99+'Pay App 10'!F99,"")</f>
        <v>0</v>
      </c>
      <c r="G99" s="155">
        <f>SUM('Pay App 1:Pay App 10'!H99)</f>
        <v>0</v>
      </c>
      <c r="H99" s="154"/>
      <c r="I99" s="155">
        <f t="shared" si="0"/>
        <v>0</v>
      </c>
      <c r="J99" s="156">
        <f t="shared" si="1"/>
        <v>0</v>
      </c>
      <c r="K99" s="155">
        <f t="shared" si="2"/>
        <v>0</v>
      </c>
      <c r="L99" s="155" t="str">
        <f>IF(AND('Summary Sheet'!$E$23="No",$H$33&gt;0,H99&gt;=1),"",IF(AND('Summary Sheet'!$E$23="Yes",H99&lt;&gt;""),H99*'Summary Sheet'!$G$23,""))</f>
        <v/>
      </c>
      <c r="M99" s="154"/>
      <c r="N99" s="155">
        <f>SUM('Pay App 1:Pay App 11'!L99)+SUM('Pay App 1:Pay App 11'!M99)</f>
        <v>0</v>
      </c>
    </row>
    <row r="100" spans="1:15" ht="11.25" customHeight="1" x14ac:dyDescent="0.25">
      <c r="A100" s="153">
        <v>44</v>
      </c>
      <c r="B100" s="176" t="str">
        <f>'Pay App 1'!B100</f>
        <v>09 20 00</v>
      </c>
      <c r="C100" s="181" t="str">
        <f>'Pay App 1'!C100</f>
        <v>Gypsum Board Systems</v>
      </c>
      <c r="D100" s="155">
        <f>'Pay App 1'!D100</f>
        <v>0</v>
      </c>
      <c r="E100" s="155">
        <f>VLOOKUP(B100,'Graph Data'!$O$2:$BX$88,13,FALSE)</f>
        <v>0</v>
      </c>
      <c r="F100" s="155">
        <f>IFERROR(E100+'Pay App 10'!F100,"")</f>
        <v>0</v>
      </c>
      <c r="G100" s="155">
        <f>SUM('Pay App 1:Pay App 10'!H100)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11'!L100)+SUM('Pay App 1:Pay App 11'!M100)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Data'!$O$2:$BX$88,13,FALSE)</f>
        <v>0</v>
      </c>
      <c r="F106" s="155">
        <f>IFERROR(E106+'Pay App 10'!F106,"")</f>
        <v>0</v>
      </c>
      <c r="G106" s="155">
        <f>SUM('Pay App 1:Pay App 10'!H106)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11'!L106)+SUM('Pay App 1:Pay App 11'!M106)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Data'!$O$2:$BX$88,13,FALSE)</f>
        <v>0</v>
      </c>
      <c r="F107" s="155">
        <f>IFERROR(E107+'Pay App 10'!F107,"")</f>
        <v>0</v>
      </c>
      <c r="G107" s="155">
        <f>SUM('Pay App 1:Pay App 10'!H107)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11'!L107)+SUM('Pay App 1:Pay App 11'!M107)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Data'!$O$2:$BX$88,13,FALSE)</f>
        <v>0</v>
      </c>
      <c r="F108" s="155">
        <f>IFERROR(E108+'Pay App 10'!F108,"")</f>
        <v>0</v>
      </c>
      <c r="G108" s="155">
        <f>SUM('Pay App 1:Pay App 10'!H108)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11'!L108)+SUM('Pay App 1:Pay App 11'!M108)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Data'!$O$2:$BX$88,13,FALSE)</f>
        <v>0</v>
      </c>
      <c r="F109" s="155">
        <f>IFERROR(E109+'Pay App 10'!F109,"")</f>
        <v>0</v>
      </c>
      <c r="G109" s="155">
        <f>SUM('Pay App 1:Pay App 10'!H109)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11'!L109)+SUM('Pay App 1:Pay App 11'!M109)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Data'!$O$2:$BX$88,13,FALSE)</f>
        <v>0</v>
      </c>
      <c r="F110" s="155">
        <f>IFERROR(E110+'Pay App 10'!F110,"")</f>
        <v>0</v>
      </c>
      <c r="G110" s="155">
        <f>SUM('Pay App 1:Pay App 10'!H110)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11'!L110)+SUM('Pay App 1:Pay App 11'!M110)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Data'!$O$2:$BX$88,13,FALSE)</f>
        <v>0</v>
      </c>
      <c r="F111" s="155">
        <f>IFERROR(E111+'Pay App 10'!F111,"")</f>
        <v>0</v>
      </c>
      <c r="G111" s="155">
        <f>SUM('Pay App 1:Pay App 10'!H111)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11'!L111)+SUM('Pay App 1:Pay App 11'!M111)</f>
        <v>0</v>
      </c>
    </row>
    <row r="112" spans="1:15" ht="11.25" customHeight="1" x14ac:dyDescent="0.25">
      <c r="A112" s="152">
        <f t="shared" si="3"/>
        <v>51</v>
      </c>
      <c r="B112" s="148" t="str">
        <f>'Pay App 1'!B112</f>
        <v>09 90 00</v>
      </c>
      <c r="C112" s="143" t="str">
        <f>'Pay App 1'!C112</f>
        <v>Painting</v>
      </c>
      <c r="D112" s="155">
        <f>'Pay App 1'!D112</f>
        <v>0</v>
      </c>
      <c r="E112" s="155">
        <f>VLOOKUP(B112,'Graph Data'!$O$2:$BX$88,13,FALSE)</f>
        <v>0</v>
      </c>
      <c r="F112" s="155">
        <f>IFERROR(E112+'Pay App 10'!F112,"")</f>
        <v>0</v>
      </c>
      <c r="G112" s="155">
        <f>SUM('Pay App 1:Pay App 10'!H112)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11'!L112)+SUM('Pay App 1:Pay App 11'!M112)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Data'!$O$2:$BX$88,13,FALSE)</f>
        <v>0</v>
      </c>
      <c r="F113" s="155">
        <f>IFERROR(E113+'Pay App 10'!F113,"")</f>
        <v>0</v>
      </c>
      <c r="G113" s="155">
        <f>SUM('Pay App 1:Pay App 10'!H113)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11'!L113)+SUM('Pay App 1:Pay App 11'!M113)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Data'!$O$2:$BX$88,13,FALSE)</f>
        <v>0</v>
      </c>
      <c r="F114" s="155">
        <f>IFERROR(E114+'Pay App 10'!F114,"")</f>
        <v>0</v>
      </c>
      <c r="G114" s="155">
        <f>SUM('Pay App 1:Pay App 10'!H114)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11'!L114)+SUM('Pay App 1:Pay App 11'!M114)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Data'!$O$2:$BX$88,13,FALSE)</f>
        <v>0</v>
      </c>
      <c r="F115" s="155">
        <f>IFERROR(E115+'Pay App 10'!F115,"")</f>
        <v>0</v>
      </c>
      <c r="G115" s="155">
        <f>SUM('Pay App 1:Pay App 10'!H115)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11'!L115)+SUM('Pay App 1:Pay App 11'!M115)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Data'!$O$2:$BX$88,13,FALSE)</f>
        <v>0</v>
      </c>
      <c r="F116" s="155">
        <f>IFERROR(E116+'Pay App 10'!F116,"")</f>
        <v>0</v>
      </c>
      <c r="G116" s="155">
        <f>SUM('Pay App 1:Pay App 10'!H116)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11'!L116)+SUM('Pay App 1:Pay App 11'!M116)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Data'!$O$2:$BX$88,13,FALSE)</f>
        <v>0</v>
      </c>
      <c r="F117" s="155">
        <f>IFERROR(E117+'Pay App 10'!F117,"")</f>
        <v>0</v>
      </c>
      <c r="G117" s="155">
        <f>SUM('Pay App 1:Pay App 10'!H117)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11'!L117)+SUM('Pay App 1:Pay App 11'!M117)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Data'!$O$2:$BX$88,13,FALSE)</f>
        <v>0</v>
      </c>
      <c r="F118" s="155">
        <f>IFERROR(E118+'Pay App 10'!F118,"")</f>
        <v>0</v>
      </c>
      <c r="G118" s="155">
        <f>SUM('Pay App 1:Pay App 10'!H118)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11'!L118)+SUM('Pay App 1:Pay App 11'!M118)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Data'!$O$2:$BX$88,13,FALSE)</f>
        <v>0</v>
      </c>
      <c r="F119" s="155">
        <f>IFERROR(E119+'Pay App 10'!F119,"")</f>
        <v>0</v>
      </c>
      <c r="G119" s="155">
        <f>SUM('Pay App 1:Pay App 10'!H119)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11'!L119)+SUM('Pay App 1:Pay App 11'!M119)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Data'!$O$2:$BX$88,13,FALSE)</f>
        <v>0</v>
      </c>
      <c r="F120" s="155">
        <f>IFERROR(E120+'Pay App 10'!F120,"")</f>
        <v>0</v>
      </c>
      <c r="G120" s="155">
        <f>SUM('Pay App 1:Pay App 10'!H120)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11'!L120)+SUM('Pay App 1:Pay App 11'!M120)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Data'!$O$2:$BX$88,13,FALSE)</f>
        <v>0</v>
      </c>
      <c r="F121" s="155">
        <f>IFERROR(E121+'Pay App 10'!F121,"")</f>
        <v>0</v>
      </c>
      <c r="G121" s="155">
        <f>SUM('Pay App 1:Pay App 10'!H121)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11'!L121)+SUM('Pay App 1:Pay App 11'!M121)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Data'!$O$2:$BX$88,13,FALSE)</f>
        <v>0</v>
      </c>
      <c r="F122" s="155">
        <f>IFERROR(E122+'Pay App 10'!F122,"")</f>
        <v>0</v>
      </c>
      <c r="G122" s="155">
        <f>SUM('Pay App 1:Pay App 10'!H122)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11'!L122)+SUM('Pay App 1:Pay App 11'!M122)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Data'!$O$2:$BX$88,13,FALSE)</f>
        <v>0</v>
      </c>
      <c r="F123" s="155">
        <f>IFERROR(E123+'Pay App 10'!F123,"")</f>
        <v>0</v>
      </c>
      <c r="G123" s="155">
        <f>SUM('Pay App 1:Pay App 10'!H123)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11'!L123)+SUM('Pay App 1:Pay App 11'!M123)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Data'!$O$2:$BX$88,13,FALSE)</f>
        <v>0</v>
      </c>
      <c r="F124" s="155">
        <f>IFERROR(E124+'Pay App 10'!F124,"")</f>
        <v>0</v>
      </c>
      <c r="G124" s="155">
        <f>SUM('Pay App 1:Pay App 10'!H124)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11'!L124)+SUM('Pay App 1:Pay App 11'!M124)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Data'!$O$2:$BX$88,13,FALSE)</f>
        <v>0</v>
      </c>
      <c r="F125" s="155">
        <f>IFERROR(E125+'Pay App 10'!F125,"")</f>
        <v>0</v>
      </c>
      <c r="G125" s="155">
        <f>SUM('Pay App 1:Pay App 10'!H125)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11'!L125)+SUM('Pay App 1:Pay App 11'!M125)</f>
        <v>0</v>
      </c>
    </row>
    <row r="126" spans="1:14" ht="11.25" customHeight="1" x14ac:dyDescent="0.25">
      <c r="A126" s="152">
        <f t="shared" si="3"/>
        <v>65</v>
      </c>
      <c r="B126" s="188" t="str">
        <f>'Pay App 1'!B126</f>
        <v>14 20 00</v>
      </c>
      <c r="C126" s="194" t="str">
        <f>'Pay App 1'!C126</f>
        <v>Elevator</v>
      </c>
      <c r="D126" s="155">
        <f>'Pay App 1'!D126</f>
        <v>0</v>
      </c>
      <c r="E126" s="155">
        <f>VLOOKUP(B126,'Graph Data'!$O$2:$BX$88,13,FALSE)</f>
        <v>0</v>
      </c>
      <c r="F126" s="155">
        <f>IFERROR(E126+'Pay App 10'!F126,"")</f>
        <v>0</v>
      </c>
      <c r="G126" s="155">
        <f>SUM('Pay App 1:Pay App 10'!H126)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11'!L126)+SUM('Pay App 1:Pay App 11'!M126)</f>
        <v>0</v>
      </c>
    </row>
    <row r="127" spans="1:14" ht="11.25" customHeight="1" x14ac:dyDescent="0.25">
      <c r="A127" s="152">
        <f t="shared" si="3"/>
        <v>66</v>
      </c>
      <c r="B127" s="188" t="str">
        <f>'Pay App 1'!B127</f>
        <v>14 40 00</v>
      </c>
      <c r="C127" s="194" t="str">
        <f>'Pay App 1'!C127</f>
        <v>Lifts</v>
      </c>
      <c r="D127" s="155">
        <f>'Pay App 1'!D127</f>
        <v>0</v>
      </c>
      <c r="E127" s="155">
        <f>VLOOKUP(B127,'Graph Data'!$O$2:$BX$88,13,FALSE)</f>
        <v>0</v>
      </c>
      <c r="F127" s="155">
        <f>IFERROR(E127+'Pay App 10'!F127,"")</f>
        <v>0</v>
      </c>
      <c r="G127" s="155">
        <f>SUM('Pay App 1:Pay App 10'!H127)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11'!L127)+SUM('Pay App 1:Pay App 11'!M127)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Data'!$O$2:$BX$88,13,FALSE)</f>
        <v>0</v>
      </c>
      <c r="F128" s="155">
        <f>IFERROR(E128+'Pay App 10'!F128,"")</f>
        <v>0</v>
      </c>
      <c r="G128" s="155">
        <f>SUM('Pay App 1:Pay App 10'!H128)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11'!L128)+SUM('Pay App 1:Pay App 11'!M128)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Data'!$O$2:$BX$88,13,FALSE)</f>
        <v>0</v>
      </c>
      <c r="F129" s="155">
        <f>IFERROR(E129+'Pay App 10'!F129,"")</f>
        <v>0</v>
      </c>
      <c r="G129" s="155">
        <f>SUM('Pay App 1:Pay App 10'!H129)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11'!L129)+SUM('Pay App 1:Pay App 11'!M129)</f>
        <v>0</v>
      </c>
    </row>
    <row r="130" spans="1:14" ht="11.25" customHeight="1" x14ac:dyDescent="0.25">
      <c r="A130" s="152">
        <f t="shared" si="3"/>
        <v>69</v>
      </c>
      <c r="B130" s="185" t="str">
        <f>'Pay App 1'!B130</f>
        <v>22 00 00</v>
      </c>
      <c r="C130" s="191" t="str">
        <f>'Pay App 1'!C130</f>
        <v>Plumbing</v>
      </c>
      <c r="D130" s="155">
        <f>'Pay App 1'!D130</f>
        <v>0</v>
      </c>
      <c r="E130" s="155">
        <f>VLOOKUP(B130,'Graph Data'!$O$2:$BX$88,13,FALSE)</f>
        <v>0</v>
      </c>
      <c r="F130" s="155">
        <f>IFERROR(E130+'Pay App 10'!F130,"")</f>
        <v>0</v>
      </c>
      <c r="G130" s="155">
        <f>SUM('Pay App 1:Pay App 10'!H130)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11'!L130)+SUM('Pay App 1:Pay App 11'!M130)</f>
        <v>0</v>
      </c>
    </row>
    <row r="131" spans="1:14" ht="11.25" customHeight="1" x14ac:dyDescent="0.25">
      <c r="A131" s="152">
        <f t="shared" si="3"/>
        <v>70</v>
      </c>
      <c r="B131" s="186" t="str">
        <f>'Pay App 1'!B131</f>
        <v>23 00 00</v>
      </c>
      <c r="C131" s="192" t="str">
        <f>'Pay App 1'!C131</f>
        <v>HVAC</v>
      </c>
      <c r="D131" s="155">
        <f>'Pay App 1'!D131</f>
        <v>0</v>
      </c>
      <c r="E131" s="155">
        <f>VLOOKUP(B131,'Graph Data'!$O$2:$BX$88,13,FALSE)</f>
        <v>0</v>
      </c>
      <c r="F131" s="155">
        <f>IFERROR(E131+'Pay App 10'!F131,"")</f>
        <v>0</v>
      </c>
      <c r="G131" s="155">
        <f>SUM('Pay App 1:Pay App 10'!H131)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11'!L131)+SUM('Pay App 1:Pay App 11'!M131)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Data'!$O$2:$BX$88,13,FALSE)</f>
        <v>0</v>
      </c>
      <c r="F132" s="155">
        <f>IFERROR(E132+'Pay App 10'!F132,"")</f>
        <v>0</v>
      </c>
      <c r="G132" s="155">
        <f>SUM('Pay App 1:Pay App 10'!H132)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11'!L132)+SUM('Pay App 1:Pay App 11'!M132)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Data'!$O$2:$BX$88,13,FALSE)</f>
        <v>0</v>
      </c>
      <c r="F133" s="155">
        <f>IFERROR(E133+'Pay App 10'!F133,"")</f>
        <v>0</v>
      </c>
      <c r="G133" s="155">
        <f>SUM('Pay App 1:Pay App 10'!H133)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11'!L133)+SUM('Pay App 1:Pay App 11'!M133)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Data'!$O$2:$BX$88,13,FALSE)</f>
        <v>0</v>
      </c>
      <c r="F134" s="155">
        <f>IFERROR(E134+'Pay App 10'!F134,"")</f>
        <v>0</v>
      </c>
      <c r="G134" s="155">
        <f>SUM('Pay App 1:Pay App 10'!H134)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11'!L134)+SUM('Pay App 1:Pay App 11'!M134)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Data'!$O$2:$BX$88,13,FALSE)</f>
        <v>0</v>
      </c>
      <c r="F135" s="155">
        <f>IFERROR(E135+'Pay App 10'!F135,"")</f>
        <v>0</v>
      </c>
      <c r="G135" s="155">
        <f>SUM('Pay App 1:Pay App 10'!H135)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11'!L135)+SUM('Pay App 1:Pay App 11'!M135)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Data'!$O$2:$BX$88,13,FALSE)</f>
        <v>0</v>
      </c>
      <c r="F136" s="155">
        <f>IFERROR(E136+'Pay App 10'!F136,"")</f>
        <v>0</v>
      </c>
      <c r="G136" s="155">
        <f>SUM('Pay App 1:Pay App 10'!H136)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11'!L136)+SUM('Pay App 1:Pay App 11'!M136)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Data'!$O$2:$BX$88,13,FALSE)</f>
        <v>0</v>
      </c>
      <c r="F137" s="155">
        <f>IFERROR(E137+'Pay App 10'!F137,"")</f>
        <v>0</v>
      </c>
      <c r="G137" s="155">
        <f>SUM('Pay App 1:Pay App 10'!H137)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11'!L137)+SUM('Pay App 1:Pay App 11'!M137)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Data'!$O$2:$BX$88,13,FALSE)</f>
        <v>0</v>
      </c>
      <c r="F138" s="155">
        <f>IFERROR(E138+'Pay App 10'!F138,"")</f>
        <v>0</v>
      </c>
      <c r="G138" s="155">
        <f>SUM('Pay App 1:Pay App 10'!H138)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11'!L138)+SUM('Pay App 1:Pay App 11'!M138)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Data'!$O$2:$BX$88,13,FALSE)</f>
        <v>0</v>
      </c>
      <c r="F139" s="155">
        <f>IFERROR(E139+'Pay App 10'!F139,"")</f>
        <v>0</v>
      </c>
      <c r="G139" s="155">
        <f>SUM('Pay App 1:Pay App 10'!H139)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11'!L139)+SUM('Pay App 1:Pay App 11'!M139)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Data'!$O$2:$BX$88,13,FALSE)</f>
        <v>0</v>
      </c>
      <c r="F140" s="155">
        <f>IFERROR(E140+'Pay App 10'!F140,"")</f>
        <v>0</v>
      </c>
      <c r="G140" s="155">
        <f>SUM('Pay App 1:Pay App 10'!H140)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11'!L140)+SUM('Pay App 1:Pay App 11'!M140)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Data'!$O$2:$BX$88,13,FALSE)</f>
        <v>0</v>
      </c>
      <c r="F141" s="155">
        <f>IFERROR(E141+'Pay App 10'!F141,"")</f>
        <v>0</v>
      </c>
      <c r="G141" s="155">
        <f>SUM('Pay App 1:Pay App 10'!H141)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11'!L141)+SUM('Pay App 1:Pay App 11'!M141)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Data'!$O$2:$BX$88,13,FALSE)</f>
        <v>0</v>
      </c>
      <c r="F142" s="155">
        <f>IFERROR(E142+'Pay App 10'!F142,"")</f>
        <v>0</v>
      </c>
      <c r="G142" s="155">
        <f>SUM('Pay App 1:Pay App 10'!H142)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11'!L142)+SUM('Pay App 1:Pay App 11'!M142)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Data'!$O$2:$BX$88,13,FALSE)</f>
        <v>0</v>
      </c>
      <c r="F143" s="155">
        <f>IFERROR(E143+'Pay App 10'!F143,"")</f>
        <v>0</v>
      </c>
      <c r="G143" s="155">
        <f>SUM('Pay App 1:Pay App 10'!H143)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11'!L143)+SUM('Pay App 1:Pay App 11'!M143)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Data'!$O$2:$BX$88,13,FALSE)</f>
        <v>0</v>
      </c>
      <c r="F144" s="155">
        <f>IFERROR(E144+'Pay App 10'!F144,"")</f>
        <v>0</v>
      </c>
      <c r="G144" s="155">
        <f>SUM('Pay App 1:Pay App 10'!H144)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11'!L144)+SUM('Pay App 1:Pay App 11'!M144)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Data'!$O$2:$BX$88,13,FALSE)</f>
        <v>0</v>
      </c>
      <c r="F145" s="155">
        <f>IFERROR(E145+'Pay App 10'!F145,"")</f>
        <v>0</v>
      </c>
      <c r="G145" s="155">
        <f>SUM('Pay App 1:Pay App 10'!H145)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11'!L145)+SUM('Pay App 1:Pay App 11'!M145)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Data'!$O$2:$BX$88,13,FALSE)</f>
        <v>0</v>
      </c>
      <c r="F146" s="155">
        <f>IFERROR(E146+'Pay App 10'!F146,"")</f>
        <v>0</v>
      </c>
      <c r="G146" s="155">
        <f>SUM('Pay App 1:Pay App 10'!H146)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11'!L146)+SUM('Pay App 1:Pay App 11'!M146)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Data'!$O$2:$BX$88,13,FALSE)</f>
        <v>0</v>
      </c>
      <c r="F147" s="155">
        <f>IFERROR(E147+'Pay App 10'!F147,"")</f>
        <v>0</v>
      </c>
      <c r="G147" s="155">
        <f>SUM('Pay App 1:Pay App 10'!H147)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11'!L147)+SUM('Pay App 1:Pay App 11'!M147)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Data'!$O$2:$BX$88,13,FALSE)</f>
        <v>0</v>
      </c>
      <c r="F148" s="155">
        <f>IFERROR(E148+'Pay App 10'!F148,"")</f>
        <v>0</v>
      </c>
      <c r="G148" s="155">
        <f>SUM('Pay App 1:Pay App 10'!H148)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11'!L148)+SUM('Pay App 1:Pay App 11'!M148)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XI6xzaubZBPxRW69tfIco8PS/XAWu7DBw8oPLpJ0A6B1jLtSHW2FcokaPMhmJt//Bro3Ti1x3e7JFZ9xqDmsWQ==" saltValue="vdhCRhYxfaNQim8IMfBrK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49" priority="2" operator="equal">
      <formula>0</formula>
    </cfRule>
  </conditionalFormatting>
  <conditionalFormatting sqref="D106:G148">
    <cfRule type="cellIs" dxfId="548" priority="1" operator="equal">
      <formula>0</formula>
    </cfRule>
  </conditionalFormatting>
  <conditionalFormatting sqref="D10:H10 D12:H14 D19:H21">
    <cfRule type="cellIs" dxfId="547" priority="6" operator="equal">
      <formula>0</formula>
    </cfRule>
  </conditionalFormatting>
  <conditionalFormatting sqref="H51">
    <cfRule type="cellIs" dxfId="546" priority="9" operator="lessThan">
      <formula>0</formula>
    </cfRule>
  </conditionalFormatting>
  <conditionalFormatting sqref="I57:I100 K57:K100 I106:I148 K106:K148 N106:N148">
    <cfRule type="cellIs" dxfId="545" priority="14" operator="equal">
      <formula>0</formula>
    </cfRule>
  </conditionalFormatting>
  <conditionalFormatting sqref="J57:J100 J106:J149">
    <cfRule type="cellIs" dxfId="544" priority="11" operator="greaterThan">
      <formula>1</formula>
    </cfRule>
    <cfRule type="cellIs" dxfId="543" priority="12" operator="equal">
      <formula>0</formula>
    </cfRule>
  </conditionalFormatting>
  <conditionalFormatting sqref="K57:K100 K106:K148">
    <cfRule type="cellIs" dxfId="542" priority="10" operator="lessThan">
      <formula>0</formula>
    </cfRule>
  </conditionalFormatting>
  <conditionalFormatting sqref="M57:M100">
    <cfRule type="cellIs" dxfId="541" priority="13" operator="lessThan">
      <formula>0</formula>
    </cfRule>
  </conditionalFormatting>
  <conditionalFormatting sqref="M106:M148">
    <cfRule type="cellIs" dxfId="540" priority="8" operator="lessThan">
      <formula>0</formula>
    </cfRule>
  </conditionalFormatting>
  <conditionalFormatting sqref="N57:N100">
    <cfRule type="cellIs" dxfId="539"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A1D87F8D-45DE-45E1-8DB2-F8C1D1C0F473}">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9DDC3-76D4-4BAE-B2A4-3705AC27B411}">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Data'!$O$2:$BX$88,14,FALSE)</f>
        <v>0</v>
      </c>
      <c r="F57" s="155">
        <f>IFERROR(E57+'Pay App 11'!F57,"")</f>
        <v>0</v>
      </c>
      <c r="G57" s="155">
        <f>SUM('Pay App 1:Pay App 11'!H57)</f>
        <v>0</v>
      </c>
      <c r="H57" s="154"/>
      <c r="I57" s="155">
        <f>G57+H57</f>
        <v>0</v>
      </c>
      <c r="J57" s="156">
        <f>IFERROR(I57/F57,0)</f>
        <v>0</v>
      </c>
      <c r="K57" s="155">
        <f>IFERROR(F57-I57,"")</f>
        <v>0</v>
      </c>
      <c r="L57" s="155" t="str">
        <f>IF(AND('Summary Sheet'!$E$23="No",$H$33&gt;0,H57&gt;=1),"",IF(AND('Summary Sheet'!$E$23="Yes",H57&lt;&gt;""),H57*'Summary Sheet'!$G$23,""))</f>
        <v/>
      </c>
      <c r="M57" s="154"/>
      <c r="N57" s="155">
        <f>SUM('Pay App 1:Pay App 12'!L57)+SUM('Pay App 1:Pay App 12'!M57)</f>
        <v>0</v>
      </c>
    </row>
    <row r="58" spans="1:16" ht="11.25" customHeight="1" x14ac:dyDescent="0.25">
      <c r="A58" s="152">
        <v>2</v>
      </c>
      <c r="B58" s="145" t="str">
        <f>'Pay App 1'!B58</f>
        <v>00 02 00</v>
      </c>
      <c r="C58" s="134" t="str">
        <f>'Pay App 1'!C58</f>
        <v>Preconstruction Services</v>
      </c>
      <c r="D58" s="155">
        <f>'Pay App 1'!D58</f>
        <v>0</v>
      </c>
      <c r="E58" s="155">
        <f>VLOOKUP(B58,'Graph Data'!$O$2:$BX$88,14,FALSE)</f>
        <v>0</v>
      </c>
      <c r="F58" s="155">
        <f>IFERROR(E58+'Pay App 11'!F58,"")</f>
        <v>0</v>
      </c>
      <c r="G58" s="155">
        <f>SUM('Pay App 1:Pay App 11'!H58)</f>
        <v>0</v>
      </c>
      <c r="H58" s="154"/>
      <c r="I58" s="155">
        <f>G58+H58</f>
        <v>0</v>
      </c>
      <c r="J58" s="156">
        <f>IFERROR(I58/F58,0)</f>
        <v>0</v>
      </c>
      <c r="K58" s="155">
        <f>IFERROR(F58-I58,"")</f>
        <v>0</v>
      </c>
      <c r="L58" s="155" t="str">
        <f>IF(AND('Summary Sheet'!$E$23="No",$H$33&gt;0,H58&gt;=1),"",IF(AND('Summary Sheet'!$E$23="Yes",H58&lt;&gt;""),H58*'Summary Sheet'!$G$23,""))</f>
        <v/>
      </c>
      <c r="M58" s="154"/>
      <c r="N58" s="155">
        <f>SUM('Pay App 1:Pay App 12'!L58)+SUM('Pay App 1:Pay App 12'!M58)</f>
        <v>0</v>
      </c>
    </row>
    <row r="59" spans="1:16" ht="11.25" customHeight="1" x14ac:dyDescent="0.25">
      <c r="A59" s="152">
        <v>3</v>
      </c>
      <c r="B59" s="174" t="str">
        <f>'Pay App 1'!B59</f>
        <v>01 00 00</v>
      </c>
      <c r="C59" s="179" t="str">
        <f>'Pay App 1'!C59</f>
        <v>General Conditions/Requirements</v>
      </c>
      <c r="D59" s="155">
        <f>'Pay App 1'!D59</f>
        <v>0</v>
      </c>
      <c r="E59" s="155">
        <f>VLOOKUP(B59,'Graph Data'!$O$2:$BX$88,14,FALSE)</f>
        <v>0</v>
      </c>
      <c r="F59" s="155">
        <f>IFERROR(E59+'Pay App 11'!F59,"")</f>
        <v>0</v>
      </c>
      <c r="G59" s="155">
        <f>SUM('Pay App 1:Pay App 11'!H59)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12'!L59)+SUM('Pay App 1:Pay App 12'!M59)</f>
        <v>0</v>
      </c>
    </row>
    <row r="60" spans="1:16" ht="11.25" customHeight="1" x14ac:dyDescent="0.25">
      <c r="A60" s="152">
        <v>4</v>
      </c>
      <c r="B60" s="174" t="str">
        <f>'Pay App 1'!B60</f>
        <v>01 13 41</v>
      </c>
      <c r="C60" s="179" t="str">
        <f>'Pay App 1'!C60</f>
        <v>Temp. Scaffolding and Platforms</v>
      </c>
      <c r="D60" s="155">
        <f>'Pay App 1'!D60</f>
        <v>0</v>
      </c>
      <c r="E60" s="155">
        <f>VLOOKUP(B60,'Graph Data'!$O$2:$BX$88,14,FALSE)</f>
        <v>0</v>
      </c>
      <c r="F60" s="155">
        <f>IFERROR(E60+'Pay App 11'!F60,"")</f>
        <v>0</v>
      </c>
      <c r="G60" s="155">
        <f>SUM('Pay App 1:Pay App 11'!H60)</f>
        <v>0</v>
      </c>
      <c r="H60" s="154"/>
      <c r="I60" s="155">
        <f t="shared" si="0"/>
        <v>0</v>
      </c>
      <c r="J60" s="156">
        <f t="shared" si="1"/>
        <v>0</v>
      </c>
      <c r="K60" s="155">
        <f t="shared" si="2"/>
        <v>0</v>
      </c>
      <c r="L60" s="155" t="str">
        <f>IF(AND('Summary Sheet'!$E$23="No",$H$33&gt;0,H60&gt;=1),"",IF(AND('Summary Sheet'!$E$23="Yes",H60&lt;&gt;""),H60*'Summary Sheet'!$G$23,""))</f>
        <v/>
      </c>
      <c r="M60" s="154"/>
      <c r="N60" s="155">
        <f>SUM('Pay App 1:Pay App 12'!L60)+SUM('Pay App 1:Pay App 12'!M60)</f>
        <v>0</v>
      </c>
    </row>
    <row r="61" spans="1:16" ht="11.25" customHeight="1" x14ac:dyDescent="0.25">
      <c r="A61" s="152">
        <v>5</v>
      </c>
      <c r="B61" s="174" t="str">
        <f>'Pay App 1'!B61</f>
        <v>01 13 60</v>
      </c>
      <c r="C61" s="179" t="str">
        <f>'Pay App 1'!C61</f>
        <v>SWPPP</v>
      </c>
      <c r="D61" s="155">
        <f>'Pay App 1'!D61</f>
        <v>0</v>
      </c>
      <c r="E61" s="155">
        <f>VLOOKUP(B61,'Graph Data'!$O$2:$BX$88,14,FALSE)</f>
        <v>0</v>
      </c>
      <c r="F61" s="155">
        <f>IFERROR(E61+'Pay App 11'!F61,"")</f>
        <v>0</v>
      </c>
      <c r="G61" s="155">
        <f>SUM('Pay App 1:Pay App 11'!H61)</f>
        <v>0</v>
      </c>
      <c r="H61" s="154"/>
      <c r="I61" s="155">
        <f t="shared" si="0"/>
        <v>0</v>
      </c>
      <c r="J61" s="156">
        <f t="shared" si="1"/>
        <v>0</v>
      </c>
      <c r="K61" s="155">
        <f t="shared" si="2"/>
        <v>0</v>
      </c>
      <c r="L61" s="155" t="str">
        <f>IF(AND('Summary Sheet'!$E$23="No",$H$33&gt;0,H61&gt;=1),"",IF(AND('Summary Sheet'!$E$23="Yes",H61&lt;&gt;""),H61*'Summary Sheet'!$G$23,""))</f>
        <v/>
      </c>
      <c r="M61" s="154"/>
      <c r="N61" s="155">
        <f>SUM('Pay App 1:Pay App 12'!L61)+SUM('Pay App 1:Pay App 12'!M61)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Data'!$O$2:$BX$88,14,FALSE)</f>
        <v>0</v>
      </c>
      <c r="F62" s="155">
        <f>IFERROR(E62+'Pay App 11'!F62,"")</f>
        <v>0</v>
      </c>
      <c r="G62" s="155">
        <f>SUM('Pay App 1:Pay App 11'!H62)</f>
        <v>0</v>
      </c>
      <c r="H62" s="154"/>
      <c r="I62" s="155">
        <f t="shared" si="0"/>
        <v>0</v>
      </c>
      <c r="J62" s="156">
        <f t="shared" si="1"/>
        <v>0</v>
      </c>
      <c r="K62" s="155">
        <f t="shared" si="2"/>
        <v>0</v>
      </c>
      <c r="L62" s="155" t="str">
        <f>IF(AND('Summary Sheet'!$E$23="No",$H$33&gt;0,H62&gt;=1),"",IF(AND('Summary Sheet'!$E$23="Yes",H62&lt;&gt;""),H62*'Summary Sheet'!$G$23,""))</f>
        <v/>
      </c>
      <c r="M62" s="154"/>
      <c r="N62" s="155">
        <f>SUM('Pay App 1:Pay App 12'!L62)+SUM('Pay App 1:Pay App 12'!M62)</f>
        <v>0</v>
      </c>
    </row>
    <row r="63" spans="1:16" ht="11.25" customHeight="1" x14ac:dyDescent="0.25">
      <c r="A63" s="152">
        <v>7</v>
      </c>
      <c r="B63" s="174" t="str">
        <f>'Pay App 1'!B63</f>
        <v>01 31 00</v>
      </c>
      <c r="C63" s="179" t="str">
        <f>'Pay App 1'!C63</f>
        <v>Contractor's Supervision</v>
      </c>
      <c r="D63" s="155">
        <f>'Pay App 1'!D63</f>
        <v>0</v>
      </c>
      <c r="E63" s="155">
        <f>VLOOKUP(B63,'Graph Data'!$O$2:$BX$88,14,FALSE)</f>
        <v>0</v>
      </c>
      <c r="F63" s="155">
        <f>IFERROR(E63+'Pay App 11'!F63,"")</f>
        <v>0</v>
      </c>
      <c r="G63" s="155">
        <f>SUM('Pay App 1:Pay App 11'!H63)</f>
        <v>0</v>
      </c>
      <c r="H63" s="154"/>
      <c r="I63" s="155">
        <f t="shared" si="0"/>
        <v>0</v>
      </c>
      <c r="J63" s="156">
        <f t="shared" si="1"/>
        <v>0</v>
      </c>
      <c r="K63" s="155">
        <f t="shared" si="2"/>
        <v>0</v>
      </c>
      <c r="L63" s="155" t="str">
        <f>IF(AND('Summary Sheet'!$E$23="No",$H$33&gt;0,H63&gt;=1),"",IF(AND('Summary Sheet'!$E$23="Yes",H63&lt;&gt;""),H63*'Summary Sheet'!$G$23,""))</f>
        <v/>
      </c>
      <c r="M63" s="154"/>
      <c r="N63" s="155">
        <f>SUM('Pay App 1:Pay App 12'!L63)+SUM('Pay App 1:Pay App 12'!M63)</f>
        <v>0</v>
      </c>
    </row>
    <row r="64" spans="1:16" ht="11.25" customHeight="1" x14ac:dyDescent="0.25">
      <c r="A64" s="152">
        <v>8</v>
      </c>
      <c r="B64" s="174" t="str">
        <f>'Pay App 1'!B64</f>
        <v>01 32 00</v>
      </c>
      <c r="C64" s="179" t="str">
        <f>'Pay App 1'!C64</f>
        <v>General Liability Insurance</v>
      </c>
      <c r="D64" s="155">
        <f>'Pay App 1'!D64</f>
        <v>0</v>
      </c>
      <c r="E64" s="155">
        <f>VLOOKUP(B64,'Graph Data'!$O$2:$BX$88,14,FALSE)</f>
        <v>0</v>
      </c>
      <c r="F64" s="155">
        <f>IFERROR(E64+'Pay App 11'!F64,"")</f>
        <v>0</v>
      </c>
      <c r="G64" s="155">
        <f>SUM('Pay App 1:Pay App 11'!H64)</f>
        <v>0</v>
      </c>
      <c r="H64" s="154"/>
      <c r="I64" s="155">
        <f t="shared" si="0"/>
        <v>0</v>
      </c>
      <c r="J64" s="156">
        <f t="shared" si="1"/>
        <v>0</v>
      </c>
      <c r="K64" s="155">
        <f t="shared" si="2"/>
        <v>0</v>
      </c>
      <c r="L64" s="155" t="str">
        <f>IF(AND('Summary Sheet'!$E$23="No",$H$33&gt;0,H64&gt;=1),"",IF(AND('Summary Sheet'!$E$23="Yes",H64&lt;&gt;""),H64*'Summary Sheet'!$G$23,""))</f>
        <v/>
      </c>
      <c r="M64" s="154"/>
      <c r="N64" s="155">
        <f>SUM('Pay App 1:Pay App 12'!L64)+SUM('Pay App 1:Pay App 12'!M64)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Data'!$O$2:$BX$88,14,FALSE)</f>
        <v>0</v>
      </c>
      <c r="F65" s="155">
        <f>IFERROR(E65+'Pay App 11'!F65,"")</f>
        <v>0</v>
      </c>
      <c r="G65" s="155">
        <f>SUM('Pay App 1:Pay App 11'!H65)</f>
        <v>0</v>
      </c>
      <c r="H65" s="154"/>
      <c r="I65" s="155">
        <f t="shared" si="0"/>
        <v>0</v>
      </c>
      <c r="J65" s="156">
        <f t="shared" si="1"/>
        <v>0</v>
      </c>
      <c r="K65" s="155">
        <f t="shared" si="2"/>
        <v>0</v>
      </c>
      <c r="L65" s="155" t="str">
        <f>IF(AND('Summary Sheet'!$E$23="No",$H$33&gt;0,H65&gt;=1),"",IF(AND('Summary Sheet'!$E$23="Yes",H65&lt;&gt;""),H65*'Summary Sheet'!$G$23,""))</f>
        <v/>
      </c>
      <c r="M65" s="154"/>
      <c r="N65" s="155">
        <f>SUM('Pay App 1:Pay App 12'!L65)+SUM('Pay App 1:Pay App 12'!M65)</f>
        <v>0</v>
      </c>
    </row>
    <row r="66" spans="1:17" ht="11.25" customHeight="1" x14ac:dyDescent="0.25">
      <c r="A66" s="152">
        <v>10</v>
      </c>
      <c r="B66" s="174" t="str">
        <f>'Pay App 1'!B66</f>
        <v>01 34 00</v>
      </c>
      <c r="C66" s="179" t="str">
        <f>'Pay App 1'!C66</f>
        <v>Subcontractor Default Insurance</v>
      </c>
      <c r="D66" s="155">
        <f>'Pay App 1'!D66</f>
        <v>0</v>
      </c>
      <c r="E66" s="155">
        <f>VLOOKUP(B66,'Graph Data'!$O$2:$BX$88,14,FALSE)</f>
        <v>0</v>
      </c>
      <c r="F66" s="155">
        <f>IFERROR(E66+'Pay App 11'!F66,"")</f>
        <v>0</v>
      </c>
      <c r="G66" s="155">
        <f>SUM('Pay App 1:Pay App 11'!H66)</f>
        <v>0</v>
      </c>
      <c r="H66" s="154"/>
      <c r="I66" s="155">
        <f t="shared" si="0"/>
        <v>0</v>
      </c>
      <c r="J66" s="156">
        <f t="shared" si="1"/>
        <v>0</v>
      </c>
      <c r="K66" s="155">
        <f t="shared" si="2"/>
        <v>0</v>
      </c>
      <c r="L66" s="155" t="str">
        <f>IF(AND('Summary Sheet'!$E$23="No",$H$33&gt;0,H66&gt;=1),"",IF(AND('Summary Sheet'!$E$23="Yes",H66&lt;&gt;""),H66*'Summary Sheet'!$G$23,""))</f>
        <v/>
      </c>
      <c r="M66" s="154"/>
      <c r="N66" s="155">
        <f>SUM('Pay App 1:Pay App 12'!L66)+SUM('Pay App 1:Pay App 12'!M66)</f>
        <v>0</v>
      </c>
    </row>
    <row r="67" spans="1:17" ht="11.25" customHeight="1" x14ac:dyDescent="0.25">
      <c r="A67" s="152">
        <v>11</v>
      </c>
      <c r="B67" s="174" t="str">
        <f>'Pay App 1'!B67</f>
        <v>01 35 00</v>
      </c>
      <c r="C67" s="179" t="str">
        <f>'Pay App 1'!C67</f>
        <v>Construction Management Fee</v>
      </c>
      <c r="D67" s="155">
        <f>'Pay App 1'!D67</f>
        <v>0</v>
      </c>
      <c r="E67" s="155">
        <f>VLOOKUP(B67,'Graph Data'!$O$2:$BX$88,14,FALSE)</f>
        <v>0</v>
      </c>
      <c r="F67" s="155">
        <f>IFERROR(E67+'Pay App 11'!F67,"")</f>
        <v>0</v>
      </c>
      <c r="G67" s="155">
        <f>SUM('Pay App 1:Pay App 11'!H67)</f>
        <v>0</v>
      </c>
      <c r="H67" s="154"/>
      <c r="I67" s="155">
        <f t="shared" si="0"/>
        <v>0</v>
      </c>
      <c r="J67" s="156">
        <f t="shared" si="1"/>
        <v>0</v>
      </c>
      <c r="K67" s="155">
        <f t="shared" si="2"/>
        <v>0</v>
      </c>
      <c r="L67" s="155" t="str">
        <f>IF(AND('Summary Sheet'!$E$23="No",$H$33&gt;0,H67&gt;=1),"",IF(AND('Summary Sheet'!$E$23="Yes",H67&lt;&gt;""),H67*'Summary Sheet'!$G$23,""))</f>
        <v/>
      </c>
      <c r="M67" s="154"/>
      <c r="N67" s="155">
        <f>SUM('Pay App 1:Pay App 12'!L67)+SUM('Pay App 1:Pay App 12'!M67)</f>
        <v>0</v>
      </c>
    </row>
    <row r="68" spans="1:17" ht="11.25" customHeight="1" x14ac:dyDescent="0.25">
      <c r="A68" s="152">
        <v>12</v>
      </c>
      <c r="B68" s="174" t="str">
        <f>'Pay App 1'!B68</f>
        <v>01 36 00</v>
      </c>
      <c r="C68" s="179" t="str">
        <f>'Pay App 1'!C68</f>
        <v>Contingency</v>
      </c>
      <c r="D68" s="155">
        <f>'Pay App 1'!D68</f>
        <v>0</v>
      </c>
      <c r="E68" s="155">
        <f>VLOOKUP(B68,'Graph Data'!$O$2:$BX$88,14,FALSE)</f>
        <v>0</v>
      </c>
      <c r="F68" s="155">
        <f>IFERROR(E68+'Pay App 11'!F68,"")</f>
        <v>0</v>
      </c>
      <c r="G68" s="155">
        <f>SUM('Pay App 1:Pay App 11'!H68)</f>
        <v>0</v>
      </c>
      <c r="H68" s="154"/>
      <c r="I68" s="155">
        <f t="shared" si="0"/>
        <v>0</v>
      </c>
      <c r="J68" s="156">
        <f t="shared" si="1"/>
        <v>0</v>
      </c>
      <c r="K68" s="155">
        <f t="shared" si="2"/>
        <v>0</v>
      </c>
      <c r="L68" s="155" t="str">
        <f>IF(AND('Summary Sheet'!$E$23="No",$H$33&gt;0,H68&gt;=1),"",IF(AND('Summary Sheet'!$E$23="Yes",H68&lt;&gt;""),H68*'Summary Sheet'!$G$23,""))</f>
        <v/>
      </c>
      <c r="M68" s="154"/>
      <c r="N68" s="155">
        <f>SUM('Pay App 1:Pay App 12'!L68)+SUM('Pay App 1:Pay App 12'!M68)</f>
        <v>0</v>
      </c>
    </row>
    <row r="69" spans="1:17" ht="11.25" customHeight="1" x14ac:dyDescent="0.25">
      <c r="A69" s="152">
        <v>13</v>
      </c>
      <c r="B69" s="174" t="str">
        <f>'Pay App 1'!B69</f>
        <v>01 37 00</v>
      </c>
      <c r="C69" s="179" t="str">
        <f>'Pay App 1'!C69</f>
        <v>Weather Allowance (All Trades)</v>
      </c>
      <c r="D69" s="155">
        <f>'Pay App 1'!D69</f>
        <v>0</v>
      </c>
      <c r="E69" s="155">
        <f>VLOOKUP(B69,'Graph Data'!$O$2:$BX$88,14,FALSE)</f>
        <v>0</v>
      </c>
      <c r="F69" s="155">
        <f>IFERROR(E69+'Pay App 11'!F69,"")</f>
        <v>0</v>
      </c>
      <c r="G69" s="155">
        <f>SUM('Pay App 1:Pay App 11'!H69)</f>
        <v>0</v>
      </c>
      <c r="H69" s="154"/>
      <c r="I69" s="155">
        <f t="shared" si="0"/>
        <v>0</v>
      </c>
      <c r="J69" s="156">
        <f t="shared" si="1"/>
        <v>0</v>
      </c>
      <c r="K69" s="155">
        <f t="shared" si="2"/>
        <v>0</v>
      </c>
      <c r="L69" s="155" t="str">
        <f>IF(AND('Summary Sheet'!$E$23="No",$H$33&gt;0,H69&gt;=1),"",IF(AND('Summary Sheet'!$E$23="Yes",H69&lt;&gt;""),H69*'Summary Sheet'!$G$23,""))</f>
        <v/>
      </c>
      <c r="M69" s="154"/>
      <c r="N69" s="155">
        <f>SUM('Pay App 1:Pay App 12'!L69)+SUM('Pay App 1:Pay App 12'!M69)</f>
        <v>0</v>
      </c>
    </row>
    <row r="70" spans="1:17" ht="11.25" customHeight="1" x14ac:dyDescent="0.25">
      <c r="A70" s="152">
        <v>14</v>
      </c>
      <c r="B70" s="174" t="str">
        <f>'Pay App 1'!B70</f>
        <v>01 74 23</v>
      </c>
      <c r="C70" s="179" t="str">
        <f>'Pay App 1'!C70</f>
        <v>Cleaning (Final)</v>
      </c>
      <c r="D70" s="155">
        <f>'Pay App 1'!D70</f>
        <v>0</v>
      </c>
      <c r="E70" s="155">
        <f>VLOOKUP(B70,'Graph Data'!$O$2:$BX$88,14,FALSE)</f>
        <v>0</v>
      </c>
      <c r="F70" s="155">
        <f>IFERROR(E70+'Pay App 11'!F70,"")</f>
        <v>0</v>
      </c>
      <c r="G70" s="155">
        <f>SUM('Pay App 1:Pay App 11'!H70)</f>
        <v>0</v>
      </c>
      <c r="H70" s="154"/>
      <c r="I70" s="155">
        <f t="shared" si="0"/>
        <v>0</v>
      </c>
      <c r="J70" s="156">
        <f t="shared" si="1"/>
        <v>0</v>
      </c>
      <c r="K70" s="155">
        <f t="shared" si="2"/>
        <v>0</v>
      </c>
      <c r="L70" s="155" t="str">
        <f>IF(AND('Summary Sheet'!$E$23="No",$H$33&gt;0,H70&gt;=1),"",IF(AND('Summary Sheet'!$E$23="Yes",H70&lt;&gt;""),H70*'Summary Sheet'!$G$23,""))</f>
        <v/>
      </c>
      <c r="M70" s="154"/>
      <c r="N70" s="155">
        <f>SUM('Pay App 1:Pay App 12'!L70)+SUM('Pay App 1:Pay App 12'!M70)</f>
        <v>0</v>
      </c>
    </row>
    <row r="71" spans="1:17" ht="11.25" customHeight="1" x14ac:dyDescent="0.25">
      <c r="A71" s="152">
        <v>15</v>
      </c>
      <c r="B71" s="175" t="str">
        <f>'Pay App 1'!B71</f>
        <v>02 21 00</v>
      </c>
      <c r="C71" s="180" t="str">
        <f>'Pay App 1'!C71</f>
        <v>Survey/Engineering</v>
      </c>
      <c r="D71" s="155">
        <f>'Pay App 1'!D71</f>
        <v>0</v>
      </c>
      <c r="E71" s="155">
        <f>VLOOKUP(B71,'Graph Data'!$O$2:$BX$88,14,FALSE)</f>
        <v>0</v>
      </c>
      <c r="F71" s="155">
        <f>IFERROR(E71+'Pay App 11'!F71,"")</f>
        <v>0</v>
      </c>
      <c r="G71" s="155">
        <f>SUM('Pay App 1:Pay App 11'!H71)</f>
        <v>0</v>
      </c>
      <c r="H71" s="154"/>
      <c r="I71" s="155">
        <f t="shared" si="0"/>
        <v>0</v>
      </c>
      <c r="J71" s="156">
        <f t="shared" si="1"/>
        <v>0</v>
      </c>
      <c r="K71" s="155">
        <f t="shared" si="2"/>
        <v>0</v>
      </c>
      <c r="L71" s="155" t="str">
        <f>IF(AND('Summary Sheet'!$E$23="No",$H$33&gt;0,H71&gt;=1),"",IF(AND('Summary Sheet'!$E$23="Yes",H71&lt;&gt;""),H71*'Summary Sheet'!$G$23,""))</f>
        <v/>
      </c>
      <c r="M71" s="154"/>
      <c r="N71" s="155">
        <f>SUM('Pay App 1:Pay App 12'!L71)+SUM('Pay App 1:Pay App 12'!M71)</f>
        <v>0</v>
      </c>
      <c r="Q71" s="28"/>
    </row>
    <row r="72" spans="1:17" ht="11.25" customHeight="1" x14ac:dyDescent="0.25">
      <c r="A72" s="152">
        <v>16</v>
      </c>
      <c r="B72" s="175" t="str">
        <f>'Pay App 1'!B72</f>
        <v>02 41 00</v>
      </c>
      <c r="C72" s="180" t="str">
        <f>'Pay App 1'!C72</f>
        <v>Demolition</v>
      </c>
      <c r="D72" s="155">
        <f>'Pay App 1'!D72</f>
        <v>0</v>
      </c>
      <c r="E72" s="155">
        <f>VLOOKUP(B72,'Graph Data'!$O$2:$BX$88,14,FALSE)</f>
        <v>0</v>
      </c>
      <c r="F72" s="155">
        <f>IFERROR(E72+'Pay App 11'!F72,"")</f>
        <v>0</v>
      </c>
      <c r="G72" s="155">
        <f>SUM('Pay App 1:Pay App 11'!H72)</f>
        <v>0</v>
      </c>
      <c r="H72" s="154"/>
      <c r="I72" s="155">
        <f t="shared" si="0"/>
        <v>0</v>
      </c>
      <c r="J72" s="156">
        <f t="shared" si="1"/>
        <v>0</v>
      </c>
      <c r="K72" s="155">
        <f t="shared" si="2"/>
        <v>0</v>
      </c>
      <c r="L72" s="155" t="str">
        <f>IF(AND('Summary Sheet'!$E$23="No",$H$33&gt;0,H72&gt;=1),"",IF(AND('Summary Sheet'!$E$23="Yes",H72&lt;&gt;""),H72*'Summary Sheet'!$G$23,""))</f>
        <v/>
      </c>
      <c r="M72" s="154"/>
      <c r="N72" s="155">
        <f>SUM('Pay App 1:Pay App 12'!L72)+SUM('Pay App 1:Pay App 12'!M72)</f>
        <v>0</v>
      </c>
      <c r="Q72" s="28"/>
    </row>
    <row r="73" spans="1:17" ht="11.25" customHeight="1" x14ac:dyDescent="0.25">
      <c r="A73" s="152">
        <v>17</v>
      </c>
      <c r="B73" s="175" t="str">
        <f>'Pay App 1'!B73</f>
        <v>02 82 00</v>
      </c>
      <c r="C73" s="180" t="str">
        <f>'Pay App 1'!C73</f>
        <v>Asbestos Abatement</v>
      </c>
      <c r="D73" s="155">
        <f>'Pay App 1'!D73</f>
        <v>0</v>
      </c>
      <c r="E73" s="155">
        <f>VLOOKUP(B73,'Graph Data'!$O$2:$BX$88,14,FALSE)</f>
        <v>0</v>
      </c>
      <c r="F73" s="155">
        <f>IFERROR(E73+'Pay App 11'!F73,"")</f>
        <v>0</v>
      </c>
      <c r="G73" s="155">
        <f>SUM('Pay App 1:Pay App 11'!H73)</f>
        <v>0</v>
      </c>
      <c r="H73" s="154"/>
      <c r="I73" s="155">
        <f t="shared" si="0"/>
        <v>0</v>
      </c>
      <c r="J73" s="156">
        <f t="shared" si="1"/>
        <v>0</v>
      </c>
      <c r="K73" s="155">
        <f t="shared" si="2"/>
        <v>0</v>
      </c>
      <c r="L73" s="155" t="str">
        <f>IF(AND('Summary Sheet'!$E$23="No",$H$33&gt;0,H73&gt;=1),"",IF(AND('Summary Sheet'!$E$23="Yes",H73&lt;&gt;""),H73*'Summary Sheet'!$G$23,""))</f>
        <v/>
      </c>
      <c r="M73" s="154"/>
      <c r="N73" s="155">
        <f>SUM('Pay App 1:Pay App 12'!L73)+SUM('Pay App 1:Pay App 12'!M73)</f>
        <v>0</v>
      </c>
    </row>
    <row r="74" spans="1:17" ht="11.25" customHeight="1" x14ac:dyDescent="0.25">
      <c r="A74" s="152">
        <v>18</v>
      </c>
      <c r="B74" s="176" t="str">
        <f>'Pay App 1'!B74</f>
        <v>03 00 00</v>
      </c>
      <c r="C74" s="181" t="str">
        <f>'Pay App 1'!C74</f>
        <v>Building Concrete</v>
      </c>
      <c r="D74" s="155">
        <f>'Pay App 1'!D74</f>
        <v>0</v>
      </c>
      <c r="E74" s="155">
        <f>VLOOKUP(B74,'Graph Data'!$O$2:$BX$88,14,FALSE)</f>
        <v>0</v>
      </c>
      <c r="F74" s="155">
        <f>IFERROR(E74+'Pay App 11'!F74,"")</f>
        <v>0</v>
      </c>
      <c r="G74" s="155">
        <f>SUM('Pay App 1:Pay App 11'!H74)</f>
        <v>0</v>
      </c>
      <c r="H74" s="154"/>
      <c r="I74" s="155">
        <f t="shared" si="0"/>
        <v>0</v>
      </c>
      <c r="J74" s="156">
        <f t="shared" si="1"/>
        <v>0</v>
      </c>
      <c r="K74" s="155">
        <f t="shared" si="2"/>
        <v>0</v>
      </c>
      <c r="L74" s="155" t="str">
        <f>IF(AND('Summary Sheet'!$E$23="No",$H$33&gt;0,H74&gt;=1),"",IF(AND('Summary Sheet'!$E$23="Yes",H74&lt;&gt;""),H74*'Summary Sheet'!$G$23,""))</f>
        <v/>
      </c>
      <c r="M74" s="154"/>
      <c r="N74" s="155">
        <f>SUM('Pay App 1:Pay App 12'!L74)+SUM('Pay App 1:Pay App 12'!M74)</f>
        <v>0</v>
      </c>
    </row>
    <row r="75" spans="1:17" ht="11.25" customHeight="1" x14ac:dyDescent="0.25">
      <c r="A75" s="152">
        <v>19</v>
      </c>
      <c r="B75" s="176" t="str">
        <f>'Pay App 1'!B75</f>
        <v>03 20 00</v>
      </c>
      <c r="C75" s="181" t="str">
        <f>'Pay App 1'!C75</f>
        <v>Building Concrete Reinforcing</v>
      </c>
      <c r="D75" s="155">
        <f>'Pay App 1'!D75</f>
        <v>0</v>
      </c>
      <c r="E75" s="155">
        <f>VLOOKUP(B75,'Graph Data'!$O$2:$BX$88,14,FALSE)</f>
        <v>0</v>
      </c>
      <c r="F75" s="155">
        <f>IFERROR(E75+'Pay App 11'!F75,"")</f>
        <v>0</v>
      </c>
      <c r="G75" s="155">
        <f>SUM('Pay App 1:Pay App 11'!H75)</f>
        <v>0</v>
      </c>
      <c r="H75" s="154"/>
      <c r="I75" s="155">
        <f t="shared" si="0"/>
        <v>0</v>
      </c>
      <c r="J75" s="156">
        <f t="shared" si="1"/>
        <v>0</v>
      </c>
      <c r="K75" s="155">
        <f t="shared" si="2"/>
        <v>0</v>
      </c>
      <c r="L75" s="155" t="str">
        <f>IF(AND('Summary Sheet'!$E$23="No",$H$33&gt;0,H75&gt;=1),"",IF(AND('Summary Sheet'!$E$23="Yes",H75&lt;&gt;""),H75*'Summary Sheet'!$G$23,""))</f>
        <v/>
      </c>
      <c r="M75" s="154"/>
      <c r="N75" s="155">
        <f>SUM('Pay App 1:Pay App 12'!L75)+SUM('Pay App 1:Pay App 12'!M75)</f>
        <v>0</v>
      </c>
    </row>
    <row r="76" spans="1:17" ht="11.25" customHeight="1" x14ac:dyDescent="0.25">
      <c r="A76" s="152">
        <v>20</v>
      </c>
      <c r="B76" s="176" t="str">
        <f>'Pay App 1'!B76</f>
        <v>03 40 00</v>
      </c>
      <c r="C76" s="181" t="str">
        <f>'Pay App 1'!C76</f>
        <v>Precast</v>
      </c>
      <c r="D76" s="155">
        <f>'Pay App 1'!D76</f>
        <v>0</v>
      </c>
      <c r="E76" s="155">
        <f>VLOOKUP(B76,'Graph Data'!$O$2:$BX$88,14,FALSE)</f>
        <v>0</v>
      </c>
      <c r="F76" s="155">
        <f>IFERROR(E76+'Pay App 11'!F76,"")</f>
        <v>0</v>
      </c>
      <c r="G76" s="155">
        <f>SUM('Pay App 1:Pay App 11'!H76)</f>
        <v>0</v>
      </c>
      <c r="H76" s="154"/>
      <c r="I76" s="155">
        <f t="shared" si="0"/>
        <v>0</v>
      </c>
      <c r="J76" s="156">
        <f t="shared" si="1"/>
        <v>0</v>
      </c>
      <c r="K76" s="155">
        <f t="shared" si="2"/>
        <v>0</v>
      </c>
      <c r="L76" s="155" t="str">
        <f>IF(AND('Summary Sheet'!$E$23="No",$H$33&gt;0,H76&gt;=1),"",IF(AND('Summary Sheet'!$E$23="Yes",H76&lt;&gt;""),H76*'Summary Sheet'!$G$23,""))</f>
        <v/>
      </c>
      <c r="M76" s="154"/>
      <c r="N76" s="155">
        <f>SUM('Pay App 1:Pay App 12'!L76)+SUM('Pay App 1:Pay App 12'!M76)</f>
        <v>0</v>
      </c>
    </row>
    <row r="77" spans="1:17" ht="11.25" customHeight="1" x14ac:dyDescent="0.25">
      <c r="A77" s="152">
        <v>21</v>
      </c>
      <c r="B77" s="177" t="str">
        <f>'Pay App 1'!B77</f>
        <v>04 00 00</v>
      </c>
      <c r="C77" s="182" t="str">
        <f>'Pay App 1'!C77</f>
        <v>Masonry</v>
      </c>
      <c r="D77" s="155">
        <f>'Pay App 1'!D77</f>
        <v>0</v>
      </c>
      <c r="E77" s="155">
        <f>VLOOKUP(B77,'Graph Data'!$O$2:$BX$88,14,FALSE)</f>
        <v>0</v>
      </c>
      <c r="F77" s="155">
        <f>IFERROR(E77+'Pay App 11'!F77,"")</f>
        <v>0</v>
      </c>
      <c r="G77" s="155">
        <f>SUM('Pay App 1:Pay App 11'!H77)</f>
        <v>0</v>
      </c>
      <c r="H77" s="154"/>
      <c r="I77" s="155">
        <f t="shared" si="0"/>
        <v>0</v>
      </c>
      <c r="J77" s="156">
        <f t="shared" si="1"/>
        <v>0</v>
      </c>
      <c r="K77" s="155">
        <f t="shared" si="2"/>
        <v>0</v>
      </c>
      <c r="L77" s="155" t="str">
        <f>IF(AND('Summary Sheet'!$E$23="No",$H$33&gt;0,H77&gt;=1),"",IF(AND('Summary Sheet'!$E$23="Yes",H77&lt;&gt;""),H77*'Summary Sheet'!$G$23,""))</f>
        <v/>
      </c>
      <c r="M77" s="154"/>
      <c r="N77" s="155">
        <f>SUM('Pay App 1:Pay App 12'!L77)+SUM('Pay App 1:Pay App 12'!M77)</f>
        <v>0</v>
      </c>
    </row>
    <row r="78" spans="1:17" ht="11.25" customHeight="1" x14ac:dyDescent="0.25">
      <c r="A78" s="152">
        <v>22</v>
      </c>
      <c r="B78" s="177" t="str">
        <f>'Pay App 1'!B78</f>
        <v>04 05 19</v>
      </c>
      <c r="C78" s="182" t="str">
        <f>'Pay App 1'!C78</f>
        <v>Masonry Reinforcing</v>
      </c>
      <c r="D78" s="155">
        <f>'Pay App 1'!D78</f>
        <v>0</v>
      </c>
      <c r="E78" s="155">
        <f>VLOOKUP(B78,'Graph Data'!$O$2:$BX$88,14,FALSE)</f>
        <v>0</v>
      </c>
      <c r="F78" s="155">
        <f>IFERROR(E78+'Pay App 11'!F78,"")</f>
        <v>0</v>
      </c>
      <c r="G78" s="155">
        <f>SUM('Pay App 1:Pay App 11'!H78)</f>
        <v>0</v>
      </c>
      <c r="H78" s="154"/>
      <c r="I78" s="155">
        <f t="shared" si="0"/>
        <v>0</v>
      </c>
      <c r="J78" s="156">
        <f t="shared" si="1"/>
        <v>0</v>
      </c>
      <c r="K78" s="155">
        <f t="shared" si="2"/>
        <v>0</v>
      </c>
      <c r="L78" s="155" t="str">
        <f>IF(AND('Summary Sheet'!$E$23="No",$H$33&gt;0,H78&gt;=1),"",IF(AND('Summary Sheet'!$E$23="Yes",H78&lt;&gt;""),H78*'Summary Sheet'!$G$23,""))</f>
        <v/>
      </c>
      <c r="M78" s="154"/>
      <c r="N78" s="155">
        <f>SUM('Pay App 1:Pay App 12'!L78)+SUM('Pay App 1:Pay App 12'!M78)</f>
        <v>0</v>
      </c>
    </row>
    <row r="79" spans="1:17" ht="11.25" customHeight="1" x14ac:dyDescent="0.25">
      <c r="A79" s="152">
        <v>23</v>
      </c>
      <c r="B79" s="178" t="str">
        <f>'Pay App 1'!B79</f>
        <v>05 10 00</v>
      </c>
      <c r="C79" s="183" t="str">
        <f>'Pay App 1'!C79</f>
        <v>Structural Steel/Misc. Steel Fab</v>
      </c>
      <c r="D79" s="155">
        <f>'Pay App 1'!D79</f>
        <v>0</v>
      </c>
      <c r="E79" s="155">
        <f>VLOOKUP(B79,'Graph Data'!$O$2:$BX$88,14,FALSE)</f>
        <v>0</v>
      </c>
      <c r="F79" s="155">
        <f>IFERROR(E79+'Pay App 11'!F79,"")</f>
        <v>0</v>
      </c>
      <c r="G79" s="155">
        <f>SUM('Pay App 1:Pay App 11'!H79)</f>
        <v>0</v>
      </c>
      <c r="H79" s="154"/>
      <c r="I79" s="155">
        <f t="shared" si="0"/>
        <v>0</v>
      </c>
      <c r="J79" s="156">
        <f t="shared" si="1"/>
        <v>0</v>
      </c>
      <c r="K79" s="155">
        <f t="shared" si="2"/>
        <v>0</v>
      </c>
      <c r="L79" s="155" t="str">
        <f>IF(AND('Summary Sheet'!$E$23="No",$H$33&gt;0,H79&gt;=1),"",IF(AND('Summary Sheet'!$E$23="Yes",H79&lt;&gt;""),H79*'Summary Sheet'!$G$23,""))</f>
        <v/>
      </c>
      <c r="M79" s="154"/>
      <c r="N79" s="155">
        <f>SUM('Pay App 1:Pay App 12'!L79)+SUM('Pay App 1:Pay App 12'!M79)</f>
        <v>0</v>
      </c>
    </row>
    <row r="80" spans="1:17" ht="11.25" customHeight="1" x14ac:dyDescent="0.25">
      <c r="A80" s="152">
        <v>24</v>
      </c>
      <c r="B80" s="178" t="str">
        <f>'Pay App 1'!B80</f>
        <v>05 20 00</v>
      </c>
      <c r="C80" s="183" t="str">
        <f>'Pay App 1'!C80</f>
        <v>Joists &amp; Deck</v>
      </c>
      <c r="D80" s="155">
        <f>'Pay App 1'!D80</f>
        <v>0</v>
      </c>
      <c r="E80" s="155">
        <f>VLOOKUP(B80,'Graph Data'!$O$2:$BX$88,14,FALSE)</f>
        <v>0</v>
      </c>
      <c r="F80" s="155">
        <f>IFERROR(E80+'Pay App 11'!F80,"")</f>
        <v>0</v>
      </c>
      <c r="G80" s="155">
        <f>SUM('Pay App 1:Pay App 11'!H80)</f>
        <v>0</v>
      </c>
      <c r="H80" s="154"/>
      <c r="I80" s="155">
        <f t="shared" si="0"/>
        <v>0</v>
      </c>
      <c r="J80" s="156">
        <f t="shared" si="1"/>
        <v>0</v>
      </c>
      <c r="K80" s="155">
        <f t="shared" si="2"/>
        <v>0</v>
      </c>
      <c r="L80" s="155" t="str">
        <f>IF(AND('Summary Sheet'!$E$23="No",$H$33&gt;0,H80&gt;=1),"",IF(AND('Summary Sheet'!$E$23="Yes",H80&lt;&gt;""),H80*'Summary Sheet'!$G$23,""))</f>
        <v/>
      </c>
      <c r="M80" s="154"/>
      <c r="N80" s="155">
        <f>SUM('Pay App 1:Pay App 12'!L80)+SUM('Pay App 1:Pay App 12'!M80)</f>
        <v>0</v>
      </c>
    </row>
    <row r="81" spans="1:14" ht="11.25" customHeight="1" x14ac:dyDescent="0.25">
      <c r="A81" s="152">
        <v>25</v>
      </c>
      <c r="B81" s="178" t="str">
        <f>'Pay App 1'!B81</f>
        <v>05 70 00</v>
      </c>
      <c r="C81" s="183" t="str">
        <f>'Pay App 1'!C81</f>
        <v>Ornamental Metal</v>
      </c>
      <c r="D81" s="155">
        <f>'Pay App 1'!D81</f>
        <v>0</v>
      </c>
      <c r="E81" s="155">
        <f>VLOOKUP(B81,'Graph Data'!$O$2:$BX$88,14,FALSE)</f>
        <v>0</v>
      </c>
      <c r="F81" s="155">
        <f>IFERROR(E81+'Pay App 11'!F81,"")</f>
        <v>0</v>
      </c>
      <c r="G81" s="155">
        <f>SUM('Pay App 1:Pay App 11'!H81)</f>
        <v>0</v>
      </c>
      <c r="H81" s="154"/>
      <c r="I81" s="155">
        <f t="shared" si="0"/>
        <v>0</v>
      </c>
      <c r="J81" s="156">
        <f t="shared" si="1"/>
        <v>0</v>
      </c>
      <c r="K81" s="155">
        <f t="shared" si="2"/>
        <v>0</v>
      </c>
      <c r="L81" s="155" t="str">
        <f>IF(AND('Summary Sheet'!$E$23="No",$H$33&gt;0,H81&gt;=1),"",IF(AND('Summary Sheet'!$E$23="Yes",H81&lt;&gt;""),H81*'Summary Sheet'!$G$23,""))</f>
        <v/>
      </c>
      <c r="M81" s="154"/>
      <c r="N81" s="155">
        <f>SUM('Pay App 1:Pay App 12'!L81)+SUM('Pay App 1:Pay App 12'!M81)</f>
        <v>0</v>
      </c>
    </row>
    <row r="82" spans="1:14" ht="11.25" customHeight="1" x14ac:dyDescent="0.25">
      <c r="A82" s="152">
        <v>26</v>
      </c>
      <c r="B82" s="145" t="str">
        <f>'Pay App 1'!B82</f>
        <v>06 10 00</v>
      </c>
      <c r="C82" s="134" t="str">
        <f>'Pay App 1'!C82</f>
        <v>Rough Carpentry</v>
      </c>
      <c r="D82" s="155">
        <f>'Pay App 1'!D82</f>
        <v>0</v>
      </c>
      <c r="E82" s="155">
        <f>VLOOKUP(B82,'Graph Data'!$O$2:$BX$88,14,FALSE)</f>
        <v>0</v>
      </c>
      <c r="F82" s="155">
        <f>IFERROR(E82+'Pay App 11'!F82,"")</f>
        <v>0</v>
      </c>
      <c r="G82" s="155">
        <f>SUM('Pay App 1:Pay App 11'!H82)</f>
        <v>0</v>
      </c>
      <c r="H82" s="154"/>
      <c r="I82" s="155">
        <f t="shared" si="0"/>
        <v>0</v>
      </c>
      <c r="J82" s="156">
        <f t="shared" si="1"/>
        <v>0</v>
      </c>
      <c r="K82" s="155">
        <f t="shared" si="2"/>
        <v>0</v>
      </c>
      <c r="L82" s="155" t="str">
        <f>IF(AND('Summary Sheet'!$E$23="No",$H$33&gt;0,H82&gt;=1),"",IF(AND('Summary Sheet'!$E$23="Yes",H82&lt;&gt;""),H82*'Summary Sheet'!$G$23,""))</f>
        <v/>
      </c>
      <c r="M82" s="154"/>
      <c r="N82" s="155">
        <f>SUM('Pay App 1:Pay App 12'!L82)+SUM('Pay App 1:Pay App 12'!M82)</f>
        <v>0</v>
      </c>
    </row>
    <row r="83" spans="1:14" ht="11.25" customHeight="1" x14ac:dyDescent="0.25">
      <c r="A83" s="152">
        <v>27</v>
      </c>
      <c r="B83" s="145" t="str">
        <f>'Pay App 1'!B83</f>
        <v>06 40 00</v>
      </c>
      <c r="C83" s="134" t="str">
        <f>'Pay App 1'!C83</f>
        <v>Arch. Woodwork &amp; Finish Carp.</v>
      </c>
      <c r="D83" s="155">
        <f>'Pay App 1'!D83</f>
        <v>0</v>
      </c>
      <c r="E83" s="155">
        <f>VLOOKUP(B83,'Graph Data'!$O$2:$BX$88,14,FALSE)</f>
        <v>0</v>
      </c>
      <c r="F83" s="155">
        <f>IFERROR(E83+'Pay App 11'!F83,"")</f>
        <v>0</v>
      </c>
      <c r="G83" s="155">
        <f>SUM('Pay App 1:Pay App 11'!H83)</f>
        <v>0</v>
      </c>
      <c r="H83" s="154"/>
      <c r="I83" s="155">
        <f t="shared" si="0"/>
        <v>0</v>
      </c>
      <c r="J83" s="156">
        <f t="shared" si="1"/>
        <v>0</v>
      </c>
      <c r="K83" s="155">
        <f t="shared" si="2"/>
        <v>0</v>
      </c>
      <c r="L83" s="155" t="str">
        <f>IF(AND('Summary Sheet'!$E$23="No",$H$33&gt;0,H83&gt;=1),"",IF(AND('Summary Sheet'!$E$23="Yes",H83&lt;&gt;""),H83*'Summary Sheet'!$G$23,""))</f>
        <v/>
      </c>
      <c r="M83" s="154"/>
      <c r="N83" s="155">
        <f>SUM('Pay App 1:Pay App 12'!L83)+SUM('Pay App 1:Pay App 12'!M83)</f>
        <v>0</v>
      </c>
    </row>
    <row r="84" spans="1:14" ht="11.25" customHeight="1" x14ac:dyDescent="0.25">
      <c r="A84" s="152">
        <v>28</v>
      </c>
      <c r="B84" s="174" t="str">
        <f>'Pay App 1'!B84</f>
        <v>07 10 00</v>
      </c>
      <c r="C84" s="179" t="str">
        <f>'Pay App 1'!C84</f>
        <v>Waterproofing/Water Repellents</v>
      </c>
      <c r="D84" s="155">
        <f>'Pay App 1'!D84</f>
        <v>0</v>
      </c>
      <c r="E84" s="155">
        <f>VLOOKUP(B84,'Graph Data'!$O$2:$BX$88,14,FALSE)</f>
        <v>0</v>
      </c>
      <c r="F84" s="155">
        <f>IFERROR(E84+'Pay App 11'!F84,"")</f>
        <v>0</v>
      </c>
      <c r="G84" s="155">
        <f>SUM('Pay App 1:Pay App 11'!H84)</f>
        <v>0</v>
      </c>
      <c r="H84" s="154"/>
      <c r="I84" s="155">
        <f t="shared" si="0"/>
        <v>0</v>
      </c>
      <c r="J84" s="156">
        <f t="shared" si="1"/>
        <v>0</v>
      </c>
      <c r="K84" s="155">
        <f t="shared" si="2"/>
        <v>0</v>
      </c>
      <c r="L84" s="155" t="str">
        <f>IF(AND('Summary Sheet'!$E$23="No",$H$33&gt;0,H84&gt;=1),"",IF(AND('Summary Sheet'!$E$23="Yes",H84&lt;&gt;""),H84*'Summary Sheet'!$G$23,""))</f>
        <v/>
      </c>
      <c r="M84" s="154"/>
      <c r="N84" s="155">
        <f>SUM('Pay App 1:Pay App 12'!L84)+SUM('Pay App 1:Pay App 12'!M84)</f>
        <v>0</v>
      </c>
    </row>
    <row r="85" spans="1:14" ht="11.25" customHeight="1" x14ac:dyDescent="0.25">
      <c r="A85" s="152">
        <v>29</v>
      </c>
      <c r="B85" s="174" t="str">
        <f>'Pay App 1'!B85</f>
        <v>07 20 00</v>
      </c>
      <c r="C85" s="179" t="str">
        <f>'Pay App 1'!C85</f>
        <v>Insulation</v>
      </c>
      <c r="D85" s="155">
        <f>'Pay App 1'!D85</f>
        <v>0</v>
      </c>
      <c r="E85" s="155">
        <f>VLOOKUP(B85,'Graph Data'!$O$2:$BX$88,14,FALSE)</f>
        <v>0</v>
      </c>
      <c r="F85" s="155">
        <f>IFERROR(E85+'Pay App 11'!F85,"")</f>
        <v>0</v>
      </c>
      <c r="G85" s="155">
        <f>SUM('Pay App 1:Pay App 11'!H85)</f>
        <v>0</v>
      </c>
      <c r="H85" s="154"/>
      <c r="I85" s="155">
        <f t="shared" si="0"/>
        <v>0</v>
      </c>
      <c r="J85" s="156">
        <f t="shared" si="1"/>
        <v>0</v>
      </c>
      <c r="K85" s="155">
        <f t="shared" si="2"/>
        <v>0</v>
      </c>
      <c r="L85" s="155" t="str">
        <f>IF(AND('Summary Sheet'!$E$23="No",$H$33&gt;0,H85&gt;=1),"",IF(AND('Summary Sheet'!$E$23="Yes",H85&lt;&gt;""),H85*'Summary Sheet'!$G$23,""))</f>
        <v/>
      </c>
      <c r="M85" s="154"/>
      <c r="N85" s="155">
        <f>SUM('Pay App 1:Pay App 12'!L85)+SUM('Pay App 1:Pay App 12'!M85)</f>
        <v>0</v>
      </c>
    </row>
    <row r="86" spans="1:14" ht="11.25" customHeight="1" x14ac:dyDescent="0.25">
      <c r="A86" s="152">
        <v>30</v>
      </c>
      <c r="B86" s="174" t="str">
        <f>'Pay App 1'!B86</f>
        <v>07 24 00</v>
      </c>
      <c r="C86" s="179" t="str">
        <f>'Pay App 1'!C86</f>
        <v>EIFS</v>
      </c>
      <c r="D86" s="155">
        <f>'Pay App 1'!D86</f>
        <v>0</v>
      </c>
      <c r="E86" s="155">
        <f>VLOOKUP(B86,'Graph Data'!$O$2:$BX$88,14,FALSE)</f>
        <v>0</v>
      </c>
      <c r="F86" s="155">
        <f>IFERROR(E86+'Pay App 11'!F86,"")</f>
        <v>0</v>
      </c>
      <c r="G86" s="155">
        <f>SUM('Pay App 1:Pay App 11'!H86)</f>
        <v>0</v>
      </c>
      <c r="H86" s="154"/>
      <c r="I86" s="155">
        <f t="shared" si="0"/>
        <v>0</v>
      </c>
      <c r="J86" s="156">
        <f t="shared" si="1"/>
        <v>0</v>
      </c>
      <c r="K86" s="155">
        <f t="shared" si="2"/>
        <v>0</v>
      </c>
      <c r="L86" s="155" t="str">
        <f>IF(AND('Summary Sheet'!$E$23="No",$H$33&gt;0,H86&gt;=1),"",IF(AND('Summary Sheet'!$E$23="Yes",H86&lt;&gt;""),H86*'Summary Sheet'!$G$23,""))</f>
        <v/>
      </c>
      <c r="M86" s="154"/>
      <c r="N86" s="155">
        <f>SUM('Pay App 1:Pay App 12'!L86)+SUM('Pay App 1:Pay App 12'!M86)</f>
        <v>0</v>
      </c>
    </row>
    <row r="87" spans="1:14" ht="11.25" customHeight="1" x14ac:dyDescent="0.25">
      <c r="A87" s="152">
        <v>31</v>
      </c>
      <c r="B87" s="174" t="str">
        <f>'Pay App 1'!B87</f>
        <v>07 26 00</v>
      </c>
      <c r="C87" s="179" t="str">
        <f>'Pay App 1'!C87</f>
        <v>Vapor Retarders</v>
      </c>
      <c r="D87" s="155">
        <f>'Pay App 1'!D87</f>
        <v>0</v>
      </c>
      <c r="E87" s="155">
        <f>VLOOKUP(B87,'Graph Data'!$O$2:$BX$88,14,FALSE)</f>
        <v>0</v>
      </c>
      <c r="F87" s="155">
        <f>IFERROR(E87+'Pay App 11'!F87,"")</f>
        <v>0</v>
      </c>
      <c r="G87" s="155">
        <f>SUM('Pay App 1:Pay App 11'!H87)</f>
        <v>0</v>
      </c>
      <c r="H87" s="154"/>
      <c r="I87" s="155">
        <f t="shared" si="0"/>
        <v>0</v>
      </c>
      <c r="J87" s="156">
        <f t="shared" si="1"/>
        <v>0</v>
      </c>
      <c r="K87" s="155">
        <f t="shared" si="2"/>
        <v>0</v>
      </c>
      <c r="L87" s="155" t="str">
        <f>IF(AND('Summary Sheet'!$E$23="No",$H$33&gt;0,H87&gt;=1),"",IF(AND('Summary Sheet'!$E$23="Yes",H87&lt;&gt;""),H87*'Summary Sheet'!$G$23,""))</f>
        <v/>
      </c>
      <c r="M87" s="154"/>
      <c r="N87" s="155">
        <f>SUM('Pay App 1:Pay App 12'!L87)+SUM('Pay App 1:Pay App 12'!M87)</f>
        <v>0</v>
      </c>
    </row>
    <row r="88" spans="1:14" ht="11.25" customHeight="1" x14ac:dyDescent="0.25">
      <c r="A88" s="152">
        <v>32</v>
      </c>
      <c r="B88" s="174" t="str">
        <f>'Pay App 1'!B88</f>
        <v>07 41 00</v>
      </c>
      <c r="C88" s="179" t="str">
        <f>'Pay App 1'!C88</f>
        <v>Roofing</v>
      </c>
      <c r="D88" s="155">
        <f>'Pay App 1'!D88</f>
        <v>0</v>
      </c>
      <c r="E88" s="155">
        <f>VLOOKUP(B88,'Graph Data'!$O$2:$BX$88,14,FALSE)</f>
        <v>0</v>
      </c>
      <c r="F88" s="155">
        <f>IFERROR(E88+'Pay App 11'!F88,"")</f>
        <v>0</v>
      </c>
      <c r="G88" s="155">
        <f>SUM('Pay App 1:Pay App 11'!H88)</f>
        <v>0</v>
      </c>
      <c r="H88" s="154"/>
      <c r="I88" s="155">
        <f t="shared" si="0"/>
        <v>0</v>
      </c>
      <c r="J88" s="156">
        <f t="shared" si="1"/>
        <v>0</v>
      </c>
      <c r="K88" s="155">
        <f t="shared" si="2"/>
        <v>0</v>
      </c>
      <c r="L88" s="155" t="str">
        <f>IF(AND('Summary Sheet'!$E$23="No",$H$33&gt;0,H88&gt;=1),"",IF(AND('Summary Sheet'!$E$23="Yes",H88&lt;&gt;""),H88*'Summary Sheet'!$G$23,""))</f>
        <v/>
      </c>
      <c r="M88" s="154"/>
      <c r="N88" s="155">
        <f>SUM('Pay App 1:Pay App 12'!L88)+SUM('Pay App 1:Pay App 12'!M88)</f>
        <v>0</v>
      </c>
    </row>
    <row r="89" spans="1:14" ht="11.25" customHeight="1" x14ac:dyDescent="0.25">
      <c r="A89" s="152">
        <v>33</v>
      </c>
      <c r="B89" s="174" t="str">
        <f>'Pay App 1'!B89</f>
        <v>07 42 00</v>
      </c>
      <c r="C89" s="179" t="str">
        <f>'Pay App 1'!C89</f>
        <v>Metal Panels</v>
      </c>
      <c r="D89" s="155">
        <f>'Pay App 1'!D89</f>
        <v>0</v>
      </c>
      <c r="E89" s="155">
        <f>VLOOKUP(B89,'Graph Data'!$O$2:$BX$88,14,FALSE)</f>
        <v>0</v>
      </c>
      <c r="F89" s="155">
        <f>IFERROR(E89+'Pay App 11'!F89,"")</f>
        <v>0</v>
      </c>
      <c r="G89" s="155">
        <f>SUM('Pay App 1:Pay App 11'!H89)</f>
        <v>0</v>
      </c>
      <c r="H89" s="154"/>
      <c r="I89" s="155">
        <f t="shared" si="0"/>
        <v>0</v>
      </c>
      <c r="J89" s="156">
        <f t="shared" si="1"/>
        <v>0</v>
      </c>
      <c r="K89" s="155">
        <f t="shared" si="2"/>
        <v>0</v>
      </c>
      <c r="L89" s="155" t="str">
        <f>IF(AND('Summary Sheet'!$E$23="No",$H$33&gt;0,H89&gt;=1),"",IF(AND('Summary Sheet'!$E$23="Yes",H89&lt;&gt;""),H89*'Summary Sheet'!$G$23,""))</f>
        <v/>
      </c>
      <c r="M89" s="154"/>
      <c r="N89" s="155">
        <f>SUM('Pay App 1:Pay App 12'!L89)+SUM('Pay App 1:Pay App 12'!M89)</f>
        <v>0</v>
      </c>
    </row>
    <row r="90" spans="1:14" ht="11.25" customHeight="1" x14ac:dyDescent="0.25">
      <c r="A90" s="152">
        <v>34</v>
      </c>
      <c r="B90" s="174" t="str">
        <f>'Pay App 1'!B90</f>
        <v>07 60 00</v>
      </c>
      <c r="C90" s="179" t="str">
        <f>'Pay App 1'!C90</f>
        <v>Sheet Metal Flashing &amp; Trim</v>
      </c>
      <c r="D90" s="155">
        <f>'Pay App 1'!D90</f>
        <v>0</v>
      </c>
      <c r="E90" s="155">
        <f>VLOOKUP(B90,'Graph Data'!$O$2:$BX$88,14,FALSE)</f>
        <v>0</v>
      </c>
      <c r="F90" s="155">
        <f>IFERROR(E90+'Pay App 11'!F90,"")</f>
        <v>0</v>
      </c>
      <c r="G90" s="155">
        <f>SUM('Pay App 1:Pay App 11'!H90)</f>
        <v>0</v>
      </c>
      <c r="H90" s="154"/>
      <c r="I90" s="155">
        <f t="shared" si="0"/>
        <v>0</v>
      </c>
      <c r="J90" s="156">
        <f t="shared" si="1"/>
        <v>0</v>
      </c>
      <c r="K90" s="155">
        <f t="shared" si="2"/>
        <v>0</v>
      </c>
      <c r="L90" s="155" t="str">
        <f>IF(AND('Summary Sheet'!$E$23="No",$H$33&gt;0,H90&gt;=1),"",IF(AND('Summary Sheet'!$E$23="Yes",H90&lt;&gt;""),H90*'Summary Sheet'!$G$23,""))</f>
        <v/>
      </c>
      <c r="M90" s="154"/>
      <c r="N90" s="155">
        <f>SUM('Pay App 1:Pay App 12'!L90)+SUM('Pay App 1:Pay App 12'!M90)</f>
        <v>0</v>
      </c>
    </row>
    <row r="91" spans="1:14" ht="11.25" customHeight="1" x14ac:dyDescent="0.25">
      <c r="A91" s="152">
        <v>35</v>
      </c>
      <c r="B91" s="174" t="str">
        <f>'Pay App 1'!B91</f>
        <v>07 80 00</v>
      </c>
      <c r="C91" s="179" t="str">
        <f>'Pay App 1'!C91</f>
        <v>Fireproofing</v>
      </c>
      <c r="D91" s="155">
        <f>'Pay App 1'!D91</f>
        <v>0</v>
      </c>
      <c r="E91" s="155">
        <f>VLOOKUP(B91,'Graph Data'!$O$2:$BX$88,14,FALSE)</f>
        <v>0</v>
      </c>
      <c r="F91" s="155">
        <f>IFERROR(E91+'Pay App 11'!F91,"")</f>
        <v>0</v>
      </c>
      <c r="G91" s="155">
        <f>SUM('Pay App 1:Pay App 11'!H91)</f>
        <v>0</v>
      </c>
      <c r="H91" s="154"/>
      <c r="I91" s="155">
        <f t="shared" si="0"/>
        <v>0</v>
      </c>
      <c r="J91" s="156">
        <f t="shared" si="1"/>
        <v>0</v>
      </c>
      <c r="K91" s="155">
        <f t="shared" si="2"/>
        <v>0</v>
      </c>
      <c r="L91" s="155" t="str">
        <f>IF(AND('Summary Sheet'!$E$23="No",$H$33&gt;0,H91&gt;=1),"",IF(AND('Summary Sheet'!$E$23="Yes",H91&lt;&gt;""),H91*'Summary Sheet'!$G$23,""))</f>
        <v/>
      </c>
      <c r="M91" s="154"/>
      <c r="N91" s="155">
        <f>SUM('Pay App 1:Pay App 12'!L91)+SUM('Pay App 1:Pay App 12'!M91)</f>
        <v>0</v>
      </c>
    </row>
    <row r="92" spans="1:14" ht="11.25" customHeight="1" x14ac:dyDescent="0.25">
      <c r="A92" s="152">
        <v>36</v>
      </c>
      <c r="B92" s="174" t="str">
        <f>'Pay App 1'!B92</f>
        <v>07 90 00</v>
      </c>
      <c r="C92" s="179" t="str">
        <f>'Pay App 1'!C92</f>
        <v>Joint Sealants</v>
      </c>
      <c r="D92" s="155">
        <f>'Pay App 1'!D92</f>
        <v>0</v>
      </c>
      <c r="E92" s="155">
        <f>VLOOKUP(B92,'Graph Data'!$O$2:$BX$88,14,FALSE)</f>
        <v>0</v>
      </c>
      <c r="F92" s="155">
        <f>IFERROR(E92+'Pay App 11'!F92,"")</f>
        <v>0</v>
      </c>
      <c r="G92" s="155">
        <f>SUM('Pay App 1:Pay App 11'!H92)</f>
        <v>0</v>
      </c>
      <c r="H92" s="154"/>
      <c r="I92" s="155">
        <f t="shared" si="0"/>
        <v>0</v>
      </c>
      <c r="J92" s="156">
        <f t="shared" si="1"/>
        <v>0</v>
      </c>
      <c r="K92" s="155">
        <f t="shared" si="2"/>
        <v>0</v>
      </c>
      <c r="L92" s="155" t="str">
        <f>IF(AND('Summary Sheet'!$E$23="No",$H$33&gt;0,H92&gt;=1),"",IF(AND('Summary Sheet'!$E$23="Yes",H92&lt;&gt;""),H92*'Summary Sheet'!$G$23,""))</f>
        <v/>
      </c>
      <c r="M92" s="154"/>
      <c r="N92" s="155">
        <f>SUM('Pay App 1:Pay App 12'!L92)+SUM('Pay App 1:Pay App 12'!M92)</f>
        <v>0</v>
      </c>
    </row>
    <row r="93" spans="1:14" ht="11.25" customHeight="1" x14ac:dyDescent="0.25">
      <c r="A93" s="152">
        <v>37</v>
      </c>
      <c r="B93" s="174" t="str">
        <f>'Pay App 1'!B93</f>
        <v>07 95 00</v>
      </c>
      <c r="C93" s="179" t="str">
        <f>'Pay App 1'!C93</f>
        <v>Expansion Joints</v>
      </c>
      <c r="D93" s="155">
        <f>'Pay App 1'!D93</f>
        <v>0</v>
      </c>
      <c r="E93" s="155">
        <f>VLOOKUP(B93,'Graph Data'!$O$2:$BX$88,14,FALSE)</f>
        <v>0</v>
      </c>
      <c r="F93" s="155">
        <f>IFERROR(E93+'Pay App 11'!F93,"")</f>
        <v>0</v>
      </c>
      <c r="G93" s="155">
        <f>SUM('Pay App 1:Pay App 11'!H93)</f>
        <v>0</v>
      </c>
      <c r="H93" s="154"/>
      <c r="I93" s="155">
        <f t="shared" si="0"/>
        <v>0</v>
      </c>
      <c r="J93" s="156">
        <f t="shared" si="1"/>
        <v>0</v>
      </c>
      <c r="K93" s="155">
        <f t="shared" si="2"/>
        <v>0</v>
      </c>
      <c r="L93" s="155" t="str">
        <f>IF(AND('Summary Sheet'!$E$23="No",$H$33&gt;0,H93&gt;=1),"",IF(AND('Summary Sheet'!$E$23="Yes",H93&lt;&gt;""),H93*'Summary Sheet'!$G$23,""))</f>
        <v/>
      </c>
      <c r="M93" s="154"/>
      <c r="N93" s="155">
        <f>SUM('Pay App 1:Pay App 12'!L93)+SUM('Pay App 1:Pay App 12'!M93)</f>
        <v>0</v>
      </c>
    </row>
    <row r="94" spans="1:14" ht="11.25" customHeight="1" x14ac:dyDescent="0.25">
      <c r="A94" s="152">
        <v>38</v>
      </c>
      <c r="B94" s="175" t="str">
        <f>'Pay App 1'!B94</f>
        <v>08 10 00</v>
      </c>
      <c r="C94" s="180" t="str">
        <f>'Pay App 1'!C94</f>
        <v>Doors, Frames &amp; Hardware</v>
      </c>
      <c r="D94" s="155">
        <f>'Pay App 1'!D94</f>
        <v>0</v>
      </c>
      <c r="E94" s="155">
        <f>VLOOKUP(B94,'Graph Data'!$O$2:$BX$88,14,FALSE)</f>
        <v>0</v>
      </c>
      <c r="F94" s="155">
        <f>IFERROR(E94+'Pay App 11'!F94,"")</f>
        <v>0</v>
      </c>
      <c r="G94" s="155">
        <f>SUM('Pay App 1:Pay App 11'!H94)</f>
        <v>0</v>
      </c>
      <c r="H94" s="154"/>
      <c r="I94" s="155">
        <f t="shared" si="0"/>
        <v>0</v>
      </c>
      <c r="J94" s="156">
        <f t="shared" si="1"/>
        <v>0</v>
      </c>
      <c r="K94" s="155">
        <f t="shared" si="2"/>
        <v>0</v>
      </c>
      <c r="L94" s="155" t="str">
        <f>IF(AND('Summary Sheet'!$E$23="No",$H$33&gt;0,H94&gt;=1),"",IF(AND('Summary Sheet'!$E$23="Yes",H94&lt;&gt;""),H94*'Summary Sheet'!$G$23,""))</f>
        <v/>
      </c>
      <c r="M94" s="154"/>
      <c r="N94" s="155">
        <f>SUM('Pay App 1:Pay App 12'!L94)+SUM('Pay App 1:Pay App 12'!M94)</f>
        <v>0</v>
      </c>
    </row>
    <row r="95" spans="1:14" ht="11.25" customHeight="1" x14ac:dyDescent="0.25">
      <c r="A95" s="152">
        <v>39</v>
      </c>
      <c r="B95" s="175" t="str">
        <f>'Pay App 1'!B95</f>
        <v>08 30 00</v>
      </c>
      <c r="C95" s="180" t="str">
        <f>'Pay App 1'!C95</f>
        <v>Specialty Doors</v>
      </c>
      <c r="D95" s="155">
        <f>'Pay App 1'!D95</f>
        <v>0</v>
      </c>
      <c r="E95" s="155">
        <f>VLOOKUP(B95,'Graph Data'!$O$2:$BX$88,14,FALSE)</f>
        <v>0</v>
      </c>
      <c r="F95" s="155">
        <f>IFERROR(E95+'Pay App 11'!F95,"")</f>
        <v>0</v>
      </c>
      <c r="G95" s="155">
        <f>SUM('Pay App 1:Pay App 11'!H95)</f>
        <v>0</v>
      </c>
      <c r="H95" s="154"/>
      <c r="I95" s="155">
        <f t="shared" si="0"/>
        <v>0</v>
      </c>
      <c r="J95" s="156">
        <f t="shared" si="1"/>
        <v>0</v>
      </c>
      <c r="K95" s="155">
        <f t="shared" si="2"/>
        <v>0</v>
      </c>
      <c r="L95" s="155" t="str">
        <f>IF(AND('Summary Sheet'!$E$23="No",$H$33&gt;0,H95&gt;=1),"",IF(AND('Summary Sheet'!$E$23="Yes",H95&lt;&gt;""),H95*'Summary Sheet'!$G$23,""))</f>
        <v/>
      </c>
      <c r="M95" s="154"/>
      <c r="N95" s="155">
        <f>SUM('Pay App 1:Pay App 12'!L95)+SUM('Pay App 1:Pay App 12'!M95)</f>
        <v>0</v>
      </c>
    </row>
    <row r="96" spans="1:14" ht="11.25" customHeight="1" x14ac:dyDescent="0.25">
      <c r="A96" s="152">
        <v>40</v>
      </c>
      <c r="B96" s="175" t="str">
        <f>'Pay App 1'!B96</f>
        <v>08 33 00</v>
      </c>
      <c r="C96" s="180" t="str">
        <f>'Pay App 1'!C96</f>
        <v>Overhead Doors/Coiling Doors</v>
      </c>
      <c r="D96" s="155">
        <f>'Pay App 1'!D96</f>
        <v>0</v>
      </c>
      <c r="E96" s="155">
        <f>VLOOKUP(B96,'Graph Data'!$O$2:$BX$88,14,FALSE)</f>
        <v>0</v>
      </c>
      <c r="F96" s="155">
        <f>IFERROR(E96+'Pay App 11'!F96,"")</f>
        <v>0</v>
      </c>
      <c r="G96" s="155">
        <f>SUM('Pay App 1:Pay App 11'!H96)</f>
        <v>0</v>
      </c>
      <c r="H96" s="154"/>
      <c r="I96" s="155">
        <f t="shared" si="0"/>
        <v>0</v>
      </c>
      <c r="J96" s="156">
        <f t="shared" si="1"/>
        <v>0</v>
      </c>
      <c r="K96" s="155">
        <f t="shared" si="2"/>
        <v>0</v>
      </c>
      <c r="L96" s="155" t="str">
        <f>IF(AND('Summary Sheet'!$E$23="No",$H$33&gt;0,H96&gt;=1),"",IF(AND('Summary Sheet'!$E$23="Yes",H96&lt;&gt;""),H96*'Summary Sheet'!$G$23,""))</f>
        <v/>
      </c>
      <c r="M96" s="154"/>
      <c r="N96" s="155">
        <f>SUM('Pay App 1:Pay App 12'!L96)+SUM('Pay App 1:Pay App 12'!M96)</f>
        <v>0</v>
      </c>
    </row>
    <row r="97" spans="1:15" ht="11.25" customHeight="1" x14ac:dyDescent="0.25">
      <c r="A97" s="152">
        <v>41</v>
      </c>
      <c r="B97" s="175" t="str">
        <f>'Pay App 1'!B97</f>
        <v>08 40 00</v>
      </c>
      <c r="C97" s="180" t="str">
        <f>'Pay App 1'!C97</f>
        <v>Curtain Wall, Glass &amp; Glazing</v>
      </c>
      <c r="D97" s="155">
        <f>'Pay App 1'!D97</f>
        <v>0</v>
      </c>
      <c r="E97" s="155">
        <f>VLOOKUP(B97,'Graph Data'!$O$2:$BX$88,14,FALSE)</f>
        <v>0</v>
      </c>
      <c r="F97" s="155">
        <f>IFERROR(E97+'Pay App 11'!F97,"")</f>
        <v>0</v>
      </c>
      <c r="G97" s="155">
        <f>SUM('Pay App 1:Pay App 11'!H97)</f>
        <v>0</v>
      </c>
      <c r="H97" s="154"/>
      <c r="I97" s="155">
        <f t="shared" si="0"/>
        <v>0</v>
      </c>
      <c r="J97" s="156">
        <f t="shared" si="1"/>
        <v>0</v>
      </c>
      <c r="K97" s="155">
        <f t="shared" si="2"/>
        <v>0</v>
      </c>
      <c r="L97" s="155" t="str">
        <f>IF(AND('Summary Sheet'!$E$23="No",$H$33&gt;0,H97&gt;=1),"",IF(AND('Summary Sheet'!$E$23="Yes",H97&lt;&gt;""),H97*'Summary Sheet'!$G$23,""))</f>
        <v/>
      </c>
      <c r="M97" s="154"/>
      <c r="N97" s="155">
        <f>SUM('Pay App 1:Pay App 12'!L97)+SUM('Pay App 1:Pay App 12'!M97)</f>
        <v>0</v>
      </c>
    </row>
    <row r="98" spans="1:15" ht="10.9" customHeight="1" x14ac:dyDescent="0.25">
      <c r="A98" s="152">
        <v>42</v>
      </c>
      <c r="B98" s="175" t="str">
        <f>'Pay App 1'!B98</f>
        <v>08 60 00</v>
      </c>
      <c r="C98" s="180" t="str">
        <f>'Pay App 1'!C98</f>
        <v>Skylights</v>
      </c>
      <c r="D98" s="155">
        <f>'Pay App 1'!D98</f>
        <v>0</v>
      </c>
      <c r="E98" s="155">
        <f>VLOOKUP(B98,'Graph Data'!$O$2:$BX$88,14,FALSE)</f>
        <v>0</v>
      </c>
      <c r="F98" s="155">
        <f>IFERROR(E98+'Pay App 11'!F98,"")</f>
        <v>0</v>
      </c>
      <c r="G98" s="155">
        <f>SUM('Pay App 1:Pay App 11'!H98)</f>
        <v>0</v>
      </c>
      <c r="H98" s="154"/>
      <c r="I98" s="155">
        <f t="shared" si="0"/>
        <v>0</v>
      </c>
      <c r="J98" s="156">
        <f t="shared" si="1"/>
        <v>0</v>
      </c>
      <c r="K98" s="155">
        <f t="shared" si="2"/>
        <v>0</v>
      </c>
      <c r="L98" s="155" t="str">
        <f>IF(AND('Summary Sheet'!$E$23="No",$H$33&gt;0,H98&gt;=1),"",IF(AND('Summary Sheet'!$E$23="Yes",H98&lt;&gt;""),H98*'Summary Sheet'!$G$23,""))</f>
        <v/>
      </c>
      <c r="M98" s="154"/>
      <c r="N98" s="155">
        <f>SUM('Pay App 1:Pay App 12'!L98)+SUM('Pay App 1:Pay App 12'!M98)</f>
        <v>0</v>
      </c>
    </row>
    <row r="99" spans="1:15" ht="10.9" customHeight="1" x14ac:dyDescent="0.25">
      <c r="A99" s="152">
        <v>43</v>
      </c>
      <c r="B99" s="175" t="str">
        <f>'Pay App 1'!B99</f>
        <v>08 90 00</v>
      </c>
      <c r="C99" s="180" t="str">
        <f>'Pay App 1'!C99</f>
        <v>Louvers &amp; Vents</v>
      </c>
      <c r="D99" s="155">
        <f>'Pay App 1'!D99</f>
        <v>0</v>
      </c>
      <c r="E99" s="155">
        <f>VLOOKUP(B99,'Graph Data'!$O$2:$BX$88,14,FALSE)</f>
        <v>0</v>
      </c>
      <c r="F99" s="155">
        <f>IFERROR(E99+'Pay App 11'!F99,"")</f>
        <v>0</v>
      </c>
      <c r="G99" s="155">
        <f>SUM('Pay App 1:Pay App 11'!H99)</f>
        <v>0</v>
      </c>
      <c r="H99" s="154"/>
      <c r="I99" s="155">
        <f t="shared" si="0"/>
        <v>0</v>
      </c>
      <c r="J99" s="156">
        <f t="shared" si="1"/>
        <v>0</v>
      </c>
      <c r="K99" s="155">
        <f t="shared" si="2"/>
        <v>0</v>
      </c>
      <c r="L99" s="155" t="str">
        <f>IF(AND('Summary Sheet'!$E$23="No",$H$33&gt;0,H99&gt;=1),"",IF(AND('Summary Sheet'!$E$23="Yes",H99&lt;&gt;""),H99*'Summary Sheet'!$G$23,""))</f>
        <v/>
      </c>
      <c r="M99" s="154"/>
      <c r="N99" s="155">
        <f>SUM('Pay App 1:Pay App 12'!L99)+SUM('Pay App 1:Pay App 12'!M99)</f>
        <v>0</v>
      </c>
    </row>
    <row r="100" spans="1:15" ht="11.25" customHeight="1" x14ac:dyDescent="0.25">
      <c r="A100" s="153">
        <v>44</v>
      </c>
      <c r="B100" s="176" t="str">
        <f>'Pay App 1'!B100</f>
        <v>09 20 00</v>
      </c>
      <c r="C100" s="181" t="str">
        <f>'Pay App 1'!C100</f>
        <v>Gypsum Board Systems</v>
      </c>
      <c r="D100" s="155">
        <f>'Pay App 1'!D100</f>
        <v>0</v>
      </c>
      <c r="E100" s="155">
        <f>VLOOKUP(B100,'Graph Data'!$O$2:$BX$88,14,FALSE)</f>
        <v>0</v>
      </c>
      <c r="F100" s="155">
        <f>IFERROR(E100+'Pay App 11'!F100,"")</f>
        <v>0</v>
      </c>
      <c r="G100" s="155">
        <f>SUM('Pay App 1:Pay App 11'!H100)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12'!L100)+SUM('Pay App 1:Pay App 12'!M100)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12.2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Data'!$O$2:$BX$88,14,FALSE)</f>
        <v>0</v>
      </c>
      <c r="F106" s="155">
        <f>IFERROR(E106+'Pay App 11'!F106,"")</f>
        <v>0</v>
      </c>
      <c r="G106" s="155">
        <f>SUM('Pay App 1:Pay App 11'!H106)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12'!L106)+SUM('Pay App 1:Pay App 12'!M106)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Data'!$O$2:$BX$88,14,FALSE)</f>
        <v>0</v>
      </c>
      <c r="F107" s="155">
        <f>IFERROR(E107+'Pay App 11'!F107,"")</f>
        <v>0</v>
      </c>
      <c r="G107" s="155">
        <f>SUM('Pay App 1:Pay App 11'!H107)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12'!L107)+SUM('Pay App 1:Pay App 12'!M107)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Data'!$O$2:$BX$88,14,FALSE)</f>
        <v>0</v>
      </c>
      <c r="F108" s="155">
        <f>IFERROR(E108+'Pay App 11'!F108,"")</f>
        <v>0</v>
      </c>
      <c r="G108" s="155">
        <f>SUM('Pay App 1:Pay App 11'!H108)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12'!L108)+SUM('Pay App 1:Pay App 12'!M108)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Data'!$O$2:$BX$88,14,FALSE)</f>
        <v>0</v>
      </c>
      <c r="F109" s="155">
        <f>IFERROR(E109+'Pay App 11'!F109,"")</f>
        <v>0</v>
      </c>
      <c r="G109" s="155">
        <f>SUM('Pay App 1:Pay App 11'!H109)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12'!L109)+SUM('Pay App 1:Pay App 12'!M109)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Data'!$O$2:$BX$88,14,FALSE)</f>
        <v>0</v>
      </c>
      <c r="F110" s="155">
        <f>IFERROR(E110+'Pay App 11'!F110,"")</f>
        <v>0</v>
      </c>
      <c r="G110" s="155">
        <f>SUM('Pay App 1:Pay App 11'!H110)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12'!L110)+SUM('Pay App 1:Pay App 12'!M110)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Data'!$O$2:$BX$88,14,FALSE)</f>
        <v>0</v>
      </c>
      <c r="F111" s="155">
        <f>IFERROR(E111+'Pay App 11'!F111,"")</f>
        <v>0</v>
      </c>
      <c r="G111" s="155">
        <f>SUM('Pay App 1:Pay App 11'!H111)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12'!L111)+SUM('Pay App 1:Pay App 12'!M111)</f>
        <v>0</v>
      </c>
    </row>
    <row r="112" spans="1:15" ht="11.25" customHeight="1" x14ac:dyDescent="0.25">
      <c r="A112" s="152">
        <f t="shared" si="3"/>
        <v>51</v>
      </c>
      <c r="B112" s="148" t="str">
        <f>'Pay App 1'!B112</f>
        <v>09 90 00</v>
      </c>
      <c r="C112" s="143" t="str">
        <f>'Pay App 1'!C112</f>
        <v>Painting</v>
      </c>
      <c r="D112" s="155">
        <f>'Pay App 1'!D112</f>
        <v>0</v>
      </c>
      <c r="E112" s="155">
        <f>VLOOKUP(B112,'Graph Data'!$O$2:$BX$88,14,FALSE)</f>
        <v>0</v>
      </c>
      <c r="F112" s="155">
        <f>IFERROR(E112+'Pay App 11'!F112,"")</f>
        <v>0</v>
      </c>
      <c r="G112" s="155">
        <f>SUM('Pay App 1:Pay App 11'!H112)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12'!L112)+SUM('Pay App 1:Pay App 12'!M112)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Data'!$O$2:$BX$88,14,FALSE)</f>
        <v>0</v>
      </c>
      <c r="F113" s="155">
        <f>IFERROR(E113+'Pay App 11'!F113,"")</f>
        <v>0</v>
      </c>
      <c r="G113" s="155">
        <f>SUM('Pay App 1:Pay App 11'!H113)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12'!L113)+SUM('Pay App 1:Pay App 12'!M113)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Data'!$O$2:$BX$88,14,FALSE)</f>
        <v>0</v>
      </c>
      <c r="F114" s="155">
        <f>IFERROR(E114+'Pay App 11'!F114,"")</f>
        <v>0</v>
      </c>
      <c r="G114" s="155">
        <f>SUM('Pay App 1:Pay App 11'!H114)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12'!L114)+SUM('Pay App 1:Pay App 12'!M114)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Data'!$O$2:$BX$88,14,FALSE)</f>
        <v>0</v>
      </c>
      <c r="F115" s="155">
        <f>IFERROR(E115+'Pay App 11'!F115,"")</f>
        <v>0</v>
      </c>
      <c r="G115" s="155">
        <f>SUM('Pay App 1:Pay App 11'!H115)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12'!L115)+SUM('Pay App 1:Pay App 12'!M115)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Data'!$O$2:$BX$88,14,FALSE)</f>
        <v>0</v>
      </c>
      <c r="F116" s="155">
        <f>IFERROR(E116+'Pay App 11'!F116,"")</f>
        <v>0</v>
      </c>
      <c r="G116" s="155">
        <f>SUM('Pay App 1:Pay App 11'!H116)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12'!L116)+SUM('Pay App 1:Pay App 12'!M116)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Data'!$O$2:$BX$88,14,FALSE)</f>
        <v>0</v>
      </c>
      <c r="F117" s="155">
        <f>IFERROR(E117+'Pay App 11'!F117,"")</f>
        <v>0</v>
      </c>
      <c r="G117" s="155">
        <f>SUM('Pay App 1:Pay App 11'!H117)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12'!L117)+SUM('Pay App 1:Pay App 12'!M117)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Data'!$O$2:$BX$88,14,FALSE)</f>
        <v>0</v>
      </c>
      <c r="F118" s="155">
        <f>IFERROR(E118+'Pay App 11'!F118,"")</f>
        <v>0</v>
      </c>
      <c r="G118" s="155">
        <f>SUM('Pay App 1:Pay App 11'!H118)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12'!L118)+SUM('Pay App 1:Pay App 12'!M118)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Data'!$O$2:$BX$88,14,FALSE)</f>
        <v>0</v>
      </c>
      <c r="F119" s="155">
        <f>IFERROR(E119+'Pay App 11'!F119,"")</f>
        <v>0</v>
      </c>
      <c r="G119" s="155">
        <f>SUM('Pay App 1:Pay App 11'!H119)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12'!L119)+SUM('Pay App 1:Pay App 12'!M119)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Data'!$O$2:$BX$88,14,FALSE)</f>
        <v>0</v>
      </c>
      <c r="F120" s="155">
        <f>IFERROR(E120+'Pay App 11'!F120,"")</f>
        <v>0</v>
      </c>
      <c r="G120" s="155">
        <f>SUM('Pay App 1:Pay App 11'!H120)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12'!L120)+SUM('Pay App 1:Pay App 12'!M120)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Data'!$O$2:$BX$88,14,FALSE)</f>
        <v>0</v>
      </c>
      <c r="F121" s="155">
        <f>IFERROR(E121+'Pay App 11'!F121,"")</f>
        <v>0</v>
      </c>
      <c r="G121" s="155">
        <f>SUM('Pay App 1:Pay App 11'!H121)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12'!L121)+SUM('Pay App 1:Pay App 12'!M121)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Data'!$O$2:$BX$88,14,FALSE)</f>
        <v>0</v>
      </c>
      <c r="F122" s="155">
        <f>IFERROR(E122+'Pay App 11'!F122,"")</f>
        <v>0</v>
      </c>
      <c r="G122" s="155">
        <f>SUM('Pay App 1:Pay App 11'!H122)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12'!L122)+SUM('Pay App 1:Pay App 12'!M122)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Data'!$O$2:$BX$88,14,FALSE)</f>
        <v>0</v>
      </c>
      <c r="F123" s="155">
        <f>IFERROR(E123+'Pay App 11'!F123,"")</f>
        <v>0</v>
      </c>
      <c r="G123" s="155">
        <f>SUM('Pay App 1:Pay App 11'!H123)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12'!L123)+SUM('Pay App 1:Pay App 12'!M123)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Data'!$O$2:$BX$88,14,FALSE)</f>
        <v>0</v>
      </c>
      <c r="F124" s="155">
        <f>IFERROR(E124+'Pay App 11'!F124,"")</f>
        <v>0</v>
      </c>
      <c r="G124" s="155">
        <f>SUM('Pay App 1:Pay App 11'!H124)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12'!L124)+SUM('Pay App 1:Pay App 12'!M124)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Data'!$O$2:$BX$88,14,FALSE)</f>
        <v>0</v>
      </c>
      <c r="F125" s="155">
        <f>IFERROR(E125+'Pay App 11'!F125,"")</f>
        <v>0</v>
      </c>
      <c r="G125" s="155">
        <f>SUM('Pay App 1:Pay App 11'!H125)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12'!L125)+SUM('Pay App 1:Pay App 12'!M125)</f>
        <v>0</v>
      </c>
    </row>
    <row r="126" spans="1:14" ht="11.25" customHeight="1" x14ac:dyDescent="0.25">
      <c r="A126" s="152">
        <f t="shared" si="3"/>
        <v>65</v>
      </c>
      <c r="B126" s="188" t="str">
        <f>'Pay App 1'!B126</f>
        <v>14 20 00</v>
      </c>
      <c r="C126" s="194" t="str">
        <f>'Pay App 1'!C126</f>
        <v>Elevator</v>
      </c>
      <c r="D126" s="155">
        <f>'Pay App 1'!D126</f>
        <v>0</v>
      </c>
      <c r="E126" s="155">
        <f>VLOOKUP(B126,'Graph Data'!$O$2:$BX$88,14,FALSE)</f>
        <v>0</v>
      </c>
      <c r="F126" s="155">
        <f>IFERROR(E126+'Pay App 11'!F126,"")</f>
        <v>0</v>
      </c>
      <c r="G126" s="155">
        <f>SUM('Pay App 1:Pay App 11'!H126)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12'!L126)+SUM('Pay App 1:Pay App 12'!M126)</f>
        <v>0</v>
      </c>
    </row>
    <row r="127" spans="1:14" ht="11.25" customHeight="1" x14ac:dyDescent="0.25">
      <c r="A127" s="152">
        <f t="shared" si="3"/>
        <v>66</v>
      </c>
      <c r="B127" s="188" t="str">
        <f>'Pay App 1'!B127</f>
        <v>14 40 00</v>
      </c>
      <c r="C127" s="194" t="str">
        <f>'Pay App 1'!C127</f>
        <v>Lifts</v>
      </c>
      <c r="D127" s="155">
        <f>'Pay App 1'!D127</f>
        <v>0</v>
      </c>
      <c r="E127" s="155">
        <f>VLOOKUP(B127,'Graph Data'!$O$2:$BX$88,14,FALSE)</f>
        <v>0</v>
      </c>
      <c r="F127" s="155">
        <f>IFERROR(E127+'Pay App 11'!F127,"")</f>
        <v>0</v>
      </c>
      <c r="G127" s="155">
        <f>SUM('Pay App 1:Pay App 11'!H127)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12'!L127)+SUM('Pay App 1:Pay App 12'!M127)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Data'!$O$2:$BX$88,14,FALSE)</f>
        <v>0</v>
      </c>
      <c r="F128" s="155">
        <f>IFERROR(E128+'Pay App 11'!F128,"")</f>
        <v>0</v>
      </c>
      <c r="G128" s="155">
        <f>SUM('Pay App 1:Pay App 11'!H128)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12'!L128)+SUM('Pay App 1:Pay App 12'!M128)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Data'!$O$2:$BX$88,14,FALSE)</f>
        <v>0</v>
      </c>
      <c r="F129" s="155">
        <f>IFERROR(E129+'Pay App 11'!F129,"")</f>
        <v>0</v>
      </c>
      <c r="G129" s="155">
        <f>SUM('Pay App 1:Pay App 11'!H129)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12'!L129)+SUM('Pay App 1:Pay App 12'!M129)</f>
        <v>0</v>
      </c>
    </row>
    <row r="130" spans="1:14" ht="11.25" customHeight="1" x14ac:dyDescent="0.25">
      <c r="A130" s="152">
        <f t="shared" si="3"/>
        <v>69</v>
      </c>
      <c r="B130" s="185" t="str">
        <f>'Pay App 1'!B130</f>
        <v>22 00 00</v>
      </c>
      <c r="C130" s="191" t="str">
        <f>'Pay App 1'!C130</f>
        <v>Plumbing</v>
      </c>
      <c r="D130" s="155">
        <f>'Pay App 1'!D130</f>
        <v>0</v>
      </c>
      <c r="E130" s="155">
        <f>VLOOKUP(B130,'Graph Data'!$O$2:$BX$88,14,FALSE)</f>
        <v>0</v>
      </c>
      <c r="F130" s="155">
        <f>IFERROR(E130+'Pay App 11'!F130,"")</f>
        <v>0</v>
      </c>
      <c r="G130" s="155">
        <f>SUM('Pay App 1:Pay App 11'!H130)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12'!L130)+SUM('Pay App 1:Pay App 12'!M130)</f>
        <v>0</v>
      </c>
    </row>
    <row r="131" spans="1:14" ht="11.25" customHeight="1" x14ac:dyDescent="0.25">
      <c r="A131" s="152">
        <f t="shared" si="3"/>
        <v>70</v>
      </c>
      <c r="B131" s="186" t="str">
        <f>'Pay App 1'!B131</f>
        <v>23 00 00</v>
      </c>
      <c r="C131" s="192" t="str">
        <f>'Pay App 1'!C131</f>
        <v>HVAC</v>
      </c>
      <c r="D131" s="155">
        <f>'Pay App 1'!D131</f>
        <v>0</v>
      </c>
      <c r="E131" s="155">
        <f>VLOOKUP(B131,'Graph Data'!$O$2:$BX$88,14,FALSE)</f>
        <v>0</v>
      </c>
      <c r="F131" s="155">
        <f>IFERROR(E131+'Pay App 11'!F131,"")</f>
        <v>0</v>
      </c>
      <c r="G131" s="155">
        <f>SUM('Pay App 1:Pay App 11'!H131)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12'!L131)+SUM('Pay App 1:Pay App 12'!M131)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Data'!$O$2:$BX$88,14,FALSE)</f>
        <v>0</v>
      </c>
      <c r="F132" s="155">
        <f>IFERROR(E132+'Pay App 11'!F132,"")</f>
        <v>0</v>
      </c>
      <c r="G132" s="155">
        <f>SUM('Pay App 1:Pay App 11'!H132)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12'!L132)+SUM('Pay App 1:Pay App 12'!M132)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Data'!$O$2:$BX$88,14,FALSE)</f>
        <v>0</v>
      </c>
      <c r="F133" s="155">
        <f>IFERROR(E133+'Pay App 11'!F133,"")</f>
        <v>0</v>
      </c>
      <c r="G133" s="155">
        <f>SUM('Pay App 1:Pay App 11'!H133)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12'!L133)+SUM('Pay App 1:Pay App 12'!M133)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Data'!$O$2:$BX$88,14,FALSE)</f>
        <v>0</v>
      </c>
      <c r="F134" s="155">
        <f>IFERROR(E134+'Pay App 11'!F134,"")</f>
        <v>0</v>
      </c>
      <c r="G134" s="155">
        <f>SUM('Pay App 1:Pay App 11'!H134)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12'!L134)+SUM('Pay App 1:Pay App 12'!M134)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Data'!$O$2:$BX$88,14,FALSE)</f>
        <v>0</v>
      </c>
      <c r="F135" s="155">
        <f>IFERROR(E135+'Pay App 11'!F135,"")</f>
        <v>0</v>
      </c>
      <c r="G135" s="155">
        <f>SUM('Pay App 1:Pay App 11'!H135)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12'!L135)+SUM('Pay App 1:Pay App 12'!M135)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Data'!$O$2:$BX$88,14,FALSE)</f>
        <v>0</v>
      </c>
      <c r="F136" s="155">
        <f>IFERROR(E136+'Pay App 11'!F136,"")</f>
        <v>0</v>
      </c>
      <c r="G136" s="155">
        <f>SUM('Pay App 1:Pay App 11'!H136)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12'!L136)+SUM('Pay App 1:Pay App 12'!M136)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Data'!$O$2:$BX$88,14,FALSE)</f>
        <v>0</v>
      </c>
      <c r="F137" s="155">
        <f>IFERROR(E137+'Pay App 11'!F137,"")</f>
        <v>0</v>
      </c>
      <c r="G137" s="155">
        <f>SUM('Pay App 1:Pay App 11'!H137)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12'!L137)+SUM('Pay App 1:Pay App 12'!M137)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Data'!$O$2:$BX$88,14,FALSE)</f>
        <v>0</v>
      </c>
      <c r="F138" s="155">
        <f>IFERROR(E138+'Pay App 11'!F138,"")</f>
        <v>0</v>
      </c>
      <c r="G138" s="155">
        <f>SUM('Pay App 1:Pay App 11'!H138)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12'!L138)+SUM('Pay App 1:Pay App 12'!M138)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Data'!$O$2:$BX$88,14,FALSE)</f>
        <v>0</v>
      </c>
      <c r="F139" s="155">
        <f>IFERROR(E139+'Pay App 11'!F139,"")</f>
        <v>0</v>
      </c>
      <c r="G139" s="155">
        <f>SUM('Pay App 1:Pay App 11'!H139)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12'!L139)+SUM('Pay App 1:Pay App 12'!M139)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Data'!$O$2:$BX$88,14,FALSE)</f>
        <v>0</v>
      </c>
      <c r="F140" s="155">
        <f>IFERROR(E140+'Pay App 11'!F140,"")</f>
        <v>0</v>
      </c>
      <c r="G140" s="155">
        <f>SUM('Pay App 1:Pay App 11'!H140)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12'!L140)+SUM('Pay App 1:Pay App 12'!M140)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Data'!$O$2:$BX$88,14,FALSE)</f>
        <v>0</v>
      </c>
      <c r="F141" s="155">
        <f>IFERROR(E141+'Pay App 11'!F141,"")</f>
        <v>0</v>
      </c>
      <c r="G141" s="155">
        <f>SUM('Pay App 1:Pay App 11'!H141)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12'!L141)+SUM('Pay App 1:Pay App 12'!M141)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Data'!$O$2:$BX$88,14,FALSE)</f>
        <v>0</v>
      </c>
      <c r="F142" s="155">
        <f>IFERROR(E142+'Pay App 11'!F142,"")</f>
        <v>0</v>
      </c>
      <c r="G142" s="155">
        <f>SUM('Pay App 1:Pay App 11'!H142)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12'!L142)+SUM('Pay App 1:Pay App 12'!M142)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Data'!$O$2:$BX$88,14,FALSE)</f>
        <v>0</v>
      </c>
      <c r="F143" s="155">
        <f>IFERROR(E143+'Pay App 11'!F143,"")</f>
        <v>0</v>
      </c>
      <c r="G143" s="155">
        <f>SUM('Pay App 1:Pay App 11'!H143)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12'!L143)+SUM('Pay App 1:Pay App 12'!M143)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Data'!$O$2:$BX$88,14,FALSE)</f>
        <v>0</v>
      </c>
      <c r="F144" s="155">
        <f>IFERROR(E144+'Pay App 11'!F144,"")</f>
        <v>0</v>
      </c>
      <c r="G144" s="155">
        <f>SUM('Pay App 1:Pay App 11'!H144)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12'!L144)+SUM('Pay App 1:Pay App 12'!M144)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Data'!$O$2:$BX$88,14,FALSE)</f>
        <v>0</v>
      </c>
      <c r="F145" s="155">
        <f>IFERROR(E145+'Pay App 11'!F145,"")</f>
        <v>0</v>
      </c>
      <c r="G145" s="155">
        <f>SUM('Pay App 1:Pay App 11'!H145)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12'!L145)+SUM('Pay App 1:Pay App 12'!M145)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Data'!$O$2:$BX$88,14,FALSE)</f>
        <v>0</v>
      </c>
      <c r="F146" s="155">
        <f>IFERROR(E146+'Pay App 11'!F146,"")</f>
        <v>0</v>
      </c>
      <c r="G146" s="155">
        <f>SUM('Pay App 1:Pay App 11'!H146)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12'!L146)+SUM('Pay App 1:Pay App 12'!M146)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Data'!$O$2:$BX$88,14,FALSE)</f>
        <v>0</v>
      </c>
      <c r="F147" s="155">
        <f>IFERROR(E147+'Pay App 11'!F147,"")</f>
        <v>0</v>
      </c>
      <c r="G147" s="155">
        <f>SUM('Pay App 1:Pay App 11'!H147)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12'!L147)+SUM('Pay App 1:Pay App 12'!M147)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Data'!$O$2:$BX$88,14,FALSE)</f>
        <v>0</v>
      </c>
      <c r="F148" s="155">
        <f>IFERROR(E148+'Pay App 11'!F148,"")</f>
        <v>0</v>
      </c>
      <c r="G148" s="155">
        <f>SUM('Pay App 1:Pay App 11'!H148)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12'!L148)+SUM('Pay App 1:Pay App 12'!M148)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bpIDnguVuu9Cb/BC2mF1Po46AlrejhhQza2DiaDXjho1eB8bD+MYmIb/SVrM9Etd6x4FmbjmWcDmqbchrEPHkw==" saltValue="IJiTEpJbf466RMI4FTV9z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38" priority="2" operator="equal">
      <formula>0</formula>
    </cfRule>
  </conditionalFormatting>
  <conditionalFormatting sqref="D106:G148">
    <cfRule type="cellIs" dxfId="537" priority="1" operator="equal">
      <formula>0</formula>
    </cfRule>
  </conditionalFormatting>
  <conditionalFormatting sqref="D10:H10 D12:H14 D19:H21">
    <cfRule type="cellIs" dxfId="536" priority="6" operator="equal">
      <formula>0</formula>
    </cfRule>
  </conditionalFormatting>
  <conditionalFormatting sqref="H51">
    <cfRule type="cellIs" dxfId="535" priority="9" operator="lessThan">
      <formula>0</formula>
    </cfRule>
  </conditionalFormatting>
  <conditionalFormatting sqref="I57:I100 K57:K100 I106:I148 K106:K148 N106:N148">
    <cfRule type="cellIs" dxfId="534" priority="14" operator="equal">
      <formula>0</formula>
    </cfRule>
  </conditionalFormatting>
  <conditionalFormatting sqref="J57:J100 J106:J149">
    <cfRule type="cellIs" dxfId="533" priority="11" operator="greaterThan">
      <formula>1</formula>
    </cfRule>
    <cfRule type="cellIs" dxfId="532" priority="12" operator="equal">
      <formula>0</formula>
    </cfRule>
  </conditionalFormatting>
  <conditionalFormatting sqref="K57:K100 K106:K148">
    <cfRule type="cellIs" dxfId="531" priority="10" operator="lessThan">
      <formula>0</formula>
    </cfRule>
  </conditionalFormatting>
  <conditionalFormatting sqref="M57:M100">
    <cfRule type="cellIs" dxfId="530" priority="13" operator="lessThan">
      <formula>0</formula>
    </cfRule>
  </conditionalFormatting>
  <conditionalFormatting sqref="M106:M148">
    <cfRule type="cellIs" dxfId="529" priority="8" operator="lessThan">
      <formula>0</formula>
    </cfRule>
  </conditionalFormatting>
  <conditionalFormatting sqref="N57:N100">
    <cfRule type="cellIs" dxfId="528"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6D69D56-966F-42CE-A64A-8F7A17E7D4E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2582-5EF2-41A5-844E-C2DC7B615AFE}">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Data'!$O$2:$BX$88,15,FALSE)</f>
        <v>0</v>
      </c>
      <c r="F57" s="155">
        <f>IFERROR(E57+'Pay App 12'!F57,"")</f>
        <v>0</v>
      </c>
      <c r="G57" s="155">
        <f>SUM('Pay App 1:Pay App 12'!H57)</f>
        <v>0</v>
      </c>
      <c r="H57" s="154"/>
      <c r="I57" s="155">
        <f>G57+H57</f>
        <v>0</v>
      </c>
      <c r="J57" s="156">
        <f>IFERROR(I57/F57,0)</f>
        <v>0</v>
      </c>
      <c r="K57" s="155">
        <f>IFERROR(F57-I57,"")</f>
        <v>0</v>
      </c>
      <c r="L57" s="155" t="str">
        <f>IF(AND('Summary Sheet'!$E$23="No",$H$33&gt;0,H57&gt;=1),"",IF(AND('Summary Sheet'!$E$23="Yes",H57&lt;&gt;""),H57*'Summary Sheet'!$G$23,""))</f>
        <v/>
      </c>
      <c r="M57" s="154"/>
      <c r="N57" s="155">
        <f>SUM('Pay App 1:Pay App 13'!L57)+SUM('Pay App 1:Pay App 13'!M57)</f>
        <v>0</v>
      </c>
    </row>
    <row r="58" spans="1:16" ht="11.25" customHeight="1" x14ac:dyDescent="0.25">
      <c r="A58" s="152">
        <v>2</v>
      </c>
      <c r="B58" s="145" t="str">
        <f>'Pay App 1'!B58</f>
        <v>00 02 00</v>
      </c>
      <c r="C58" s="134" t="str">
        <f>'Pay App 1'!C58</f>
        <v>Preconstruction Services</v>
      </c>
      <c r="D58" s="155">
        <f>'Pay App 1'!D58</f>
        <v>0</v>
      </c>
      <c r="E58" s="155">
        <f>VLOOKUP(B58,'Graph Data'!$O$2:$BX$88,15,FALSE)</f>
        <v>0</v>
      </c>
      <c r="F58" s="155">
        <f>IFERROR(E58+'Pay App 12'!F58,"")</f>
        <v>0</v>
      </c>
      <c r="G58" s="155">
        <f>SUM('Pay App 1:Pay App 12'!H58)</f>
        <v>0</v>
      </c>
      <c r="H58" s="154"/>
      <c r="I58" s="155">
        <f>G58+H58</f>
        <v>0</v>
      </c>
      <c r="J58" s="156">
        <f>IFERROR(I58/F58,0)</f>
        <v>0</v>
      </c>
      <c r="K58" s="155">
        <f>IFERROR(F58-I58,"")</f>
        <v>0</v>
      </c>
      <c r="L58" s="155" t="str">
        <f>IF(AND('Summary Sheet'!$E$23="No",$H$33&gt;0,H58&gt;=1),"",IF(AND('Summary Sheet'!$E$23="Yes",H58&lt;&gt;""),H58*'Summary Sheet'!$G$23,""))</f>
        <v/>
      </c>
      <c r="M58" s="154"/>
      <c r="N58" s="155">
        <f>SUM('Pay App 1:Pay App 13'!L58)+SUM('Pay App 1:Pay App 13'!M58)</f>
        <v>0</v>
      </c>
    </row>
    <row r="59" spans="1:16" ht="11.25" customHeight="1" x14ac:dyDescent="0.25">
      <c r="A59" s="152">
        <v>3</v>
      </c>
      <c r="B59" s="174" t="str">
        <f>'Pay App 1'!B59</f>
        <v>01 00 00</v>
      </c>
      <c r="C59" s="179" t="str">
        <f>'Pay App 1'!C59</f>
        <v>General Conditions/Requirements</v>
      </c>
      <c r="D59" s="155">
        <f>'Pay App 1'!D59</f>
        <v>0</v>
      </c>
      <c r="E59" s="155">
        <f>VLOOKUP(B59,'Graph Data'!$O$2:$BX$88,15,FALSE)</f>
        <v>0</v>
      </c>
      <c r="F59" s="155">
        <f>IFERROR(E59+'Pay App 12'!F59,"")</f>
        <v>0</v>
      </c>
      <c r="G59" s="155">
        <f>SUM('Pay App 1:Pay App 12'!H59)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13'!L59)+SUM('Pay App 1:Pay App 13'!M59)</f>
        <v>0</v>
      </c>
    </row>
    <row r="60" spans="1:16" ht="11.25" customHeight="1" x14ac:dyDescent="0.25">
      <c r="A60" s="152">
        <v>4</v>
      </c>
      <c r="B60" s="174" t="str">
        <f>'Pay App 1'!B60</f>
        <v>01 13 41</v>
      </c>
      <c r="C60" s="179" t="str">
        <f>'Pay App 1'!C60</f>
        <v>Temp. Scaffolding and Platforms</v>
      </c>
      <c r="D60" s="155">
        <f>'Pay App 1'!D60</f>
        <v>0</v>
      </c>
      <c r="E60" s="155">
        <f>VLOOKUP(B60,'Graph Data'!$O$2:$BX$88,15,FALSE)</f>
        <v>0</v>
      </c>
      <c r="F60" s="155">
        <f>IFERROR(E60+'Pay App 12'!F60,"")</f>
        <v>0</v>
      </c>
      <c r="G60" s="155">
        <f>SUM('Pay App 1:Pay App 12'!H60)</f>
        <v>0</v>
      </c>
      <c r="H60" s="154"/>
      <c r="I60" s="155">
        <f t="shared" si="0"/>
        <v>0</v>
      </c>
      <c r="J60" s="156">
        <f t="shared" si="1"/>
        <v>0</v>
      </c>
      <c r="K60" s="155">
        <f t="shared" si="2"/>
        <v>0</v>
      </c>
      <c r="L60" s="155" t="str">
        <f>IF(AND('Summary Sheet'!$E$23="No",$H$33&gt;0,H60&gt;=1),"",IF(AND('Summary Sheet'!$E$23="Yes",H60&lt;&gt;""),H60*'Summary Sheet'!$G$23,""))</f>
        <v/>
      </c>
      <c r="M60" s="154"/>
      <c r="N60" s="155">
        <f>SUM('Pay App 1:Pay App 13'!L60)+SUM('Pay App 1:Pay App 13'!M60)</f>
        <v>0</v>
      </c>
    </row>
    <row r="61" spans="1:16" ht="11.25" customHeight="1" x14ac:dyDescent="0.25">
      <c r="A61" s="152">
        <v>5</v>
      </c>
      <c r="B61" s="174" t="str">
        <f>'Pay App 1'!B61</f>
        <v>01 13 60</v>
      </c>
      <c r="C61" s="179" t="str">
        <f>'Pay App 1'!C61</f>
        <v>SWPPP</v>
      </c>
      <c r="D61" s="155">
        <f>'Pay App 1'!D61</f>
        <v>0</v>
      </c>
      <c r="E61" s="155">
        <f>VLOOKUP(B61,'Graph Data'!$O$2:$BX$88,15,FALSE)</f>
        <v>0</v>
      </c>
      <c r="F61" s="155">
        <f>IFERROR(E61+'Pay App 12'!F61,"")</f>
        <v>0</v>
      </c>
      <c r="G61" s="155">
        <f>SUM('Pay App 1:Pay App 12'!H61)</f>
        <v>0</v>
      </c>
      <c r="H61" s="154"/>
      <c r="I61" s="155">
        <f t="shared" si="0"/>
        <v>0</v>
      </c>
      <c r="J61" s="156">
        <f t="shared" si="1"/>
        <v>0</v>
      </c>
      <c r="K61" s="155">
        <f t="shared" si="2"/>
        <v>0</v>
      </c>
      <c r="L61" s="155" t="str">
        <f>IF(AND('Summary Sheet'!$E$23="No",$H$33&gt;0,H61&gt;=1),"",IF(AND('Summary Sheet'!$E$23="Yes",H61&lt;&gt;""),H61*'Summary Sheet'!$G$23,""))</f>
        <v/>
      </c>
      <c r="M61" s="154"/>
      <c r="N61" s="155">
        <f>SUM('Pay App 1:Pay App 13'!L61)+SUM('Pay App 1:Pay App 13'!M61)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Data'!$O$2:$BX$88,15,FALSE)</f>
        <v>0</v>
      </c>
      <c r="F62" s="155">
        <f>IFERROR(E62+'Pay App 12'!F62,"")</f>
        <v>0</v>
      </c>
      <c r="G62" s="155">
        <f>SUM('Pay App 1:Pay App 12'!H62)</f>
        <v>0</v>
      </c>
      <c r="H62" s="154"/>
      <c r="I62" s="155">
        <f t="shared" si="0"/>
        <v>0</v>
      </c>
      <c r="J62" s="156">
        <f t="shared" si="1"/>
        <v>0</v>
      </c>
      <c r="K62" s="155">
        <f t="shared" si="2"/>
        <v>0</v>
      </c>
      <c r="L62" s="155" t="str">
        <f>IF(AND('Summary Sheet'!$E$23="No",$H$33&gt;0,H62&gt;=1),"",IF(AND('Summary Sheet'!$E$23="Yes",H62&lt;&gt;""),H62*'Summary Sheet'!$G$23,""))</f>
        <v/>
      </c>
      <c r="M62" s="154"/>
      <c r="N62" s="155">
        <f>SUM('Pay App 1:Pay App 13'!L62)+SUM('Pay App 1:Pay App 13'!M62)</f>
        <v>0</v>
      </c>
    </row>
    <row r="63" spans="1:16" ht="11.25" customHeight="1" x14ac:dyDescent="0.25">
      <c r="A63" s="152">
        <v>7</v>
      </c>
      <c r="B63" s="174" t="str">
        <f>'Pay App 1'!B63</f>
        <v>01 31 00</v>
      </c>
      <c r="C63" s="179" t="str">
        <f>'Pay App 1'!C63</f>
        <v>Contractor's Supervision</v>
      </c>
      <c r="D63" s="155">
        <f>'Pay App 1'!D63</f>
        <v>0</v>
      </c>
      <c r="E63" s="155">
        <f>VLOOKUP(B63,'Graph Data'!$O$2:$BX$88,15,FALSE)</f>
        <v>0</v>
      </c>
      <c r="F63" s="155">
        <f>IFERROR(E63+'Pay App 12'!F63,"")</f>
        <v>0</v>
      </c>
      <c r="G63" s="155">
        <f>SUM('Pay App 1:Pay App 12'!H63)</f>
        <v>0</v>
      </c>
      <c r="H63" s="154"/>
      <c r="I63" s="155">
        <f t="shared" si="0"/>
        <v>0</v>
      </c>
      <c r="J63" s="156">
        <f t="shared" si="1"/>
        <v>0</v>
      </c>
      <c r="K63" s="155">
        <f t="shared" si="2"/>
        <v>0</v>
      </c>
      <c r="L63" s="155" t="str">
        <f>IF(AND('Summary Sheet'!$E$23="No",$H$33&gt;0,H63&gt;=1),"",IF(AND('Summary Sheet'!$E$23="Yes",H63&lt;&gt;""),H63*'Summary Sheet'!$G$23,""))</f>
        <v/>
      </c>
      <c r="M63" s="154"/>
      <c r="N63" s="155">
        <f>SUM('Pay App 1:Pay App 13'!L63)+SUM('Pay App 1:Pay App 13'!M63)</f>
        <v>0</v>
      </c>
    </row>
    <row r="64" spans="1:16" ht="11.25" customHeight="1" x14ac:dyDescent="0.25">
      <c r="A64" s="152">
        <v>8</v>
      </c>
      <c r="B64" s="174" t="str">
        <f>'Pay App 1'!B64</f>
        <v>01 32 00</v>
      </c>
      <c r="C64" s="179" t="str">
        <f>'Pay App 1'!C64</f>
        <v>General Liability Insurance</v>
      </c>
      <c r="D64" s="155">
        <f>'Pay App 1'!D64</f>
        <v>0</v>
      </c>
      <c r="E64" s="155">
        <f>VLOOKUP(B64,'Graph Data'!$O$2:$BX$88,15,FALSE)</f>
        <v>0</v>
      </c>
      <c r="F64" s="155">
        <f>IFERROR(E64+'Pay App 12'!F64,"")</f>
        <v>0</v>
      </c>
      <c r="G64" s="155">
        <f>SUM('Pay App 1:Pay App 12'!H64)</f>
        <v>0</v>
      </c>
      <c r="H64" s="154"/>
      <c r="I64" s="155">
        <f t="shared" si="0"/>
        <v>0</v>
      </c>
      <c r="J64" s="156">
        <f t="shared" si="1"/>
        <v>0</v>
      </c>
      <c r="K64" s="155">
        <f t="shared" si="2"/>
        <v>0</v>
      </c>
      <c r="L64" s="155" t="str">
        <f>IF(AND('Summary Sheet'!$E$23="No",$H$33&gt;0,H64&gt;=1),"",IF(AND('Summary Sheet'!$E$23="Yes",H64&lt;&gt;""),H64*'Summary Sheet'!$G$23,""))</f>
        <v/>
      </c>
      <c r="M64" s="154"/>
      <c r="N64" s="155">
        <f>SUM('Pay App 1:Pay App 13'!L64)+SUM('Pay App 1:Pay App 13'!M64)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Data'!$O$2:$BX$88,15,FALSE)</f>
        <v>0</v>
      </c>
      <c r="F65" s="155">
        <f>IFERROR(E65+'Pay App 12'!F65,"")</f>
        <v>0</v>
      </c>
      <c r="G65" s="155">
        <f>SUM('Pay App 1:Pay App 12'!H65)</f>
        <v>0</v>
      </c>
      <c r="H65" s="154"/>
      <c r="I65" s="155">
        <f t="shared" si="0"/>
        <v>0</v>
      </c>
      <c r="J65" s="156">
        <f t="shared" si="1"/>
        <v>0</v>
      </c>
      <c r="K65" s="155">
        <f t="shared" si="2"/>
        <v>0</v>
      </c>
      <c r="L65" s="155" t="str">
        <f>IF(AND('Summary Sheet'!$E$23="No",$H$33&gt;0,H65&gt;=1),"",IF(AND('Summary Sheet'!$E$23="Yes",H65&lt;&gt;""),H65*'Summary Sheet'!$G$23,""))</f>
        <v/>
      </c>
      <c r="M65" s="154"/>
      <c r="N65" s="155">
        <f>SUM('Pay App 1:Pay App 13'!L65)+SUM('Pay App 1:Pay App 13'!M65)</f>
        <v>0</v>
      </c>
    </row>
    <row r="66" spans="1:17" ht="11.25" customHeight="1" x14ac:dyDescent="0.25">
      <c r="A66" s="152">
        <v>10</v>
      </c>
      <c r="B66" s="174" t="str">
        <f>'Pay App 1'!B66</f>
        <v>01 34 00</v>
      </c>
      <c r="C66" s="179" t="str">
        <f>'Pay App 1'!C66</f>
        <v>Subcontractor Default Insurance</v>
      </c>
      <c r="D66" s="155">
        <f>'Pay App 1'!D66</f>
        <v>0</v>
      </c>
      <c r="E66" s="155">
        <f>VLOOKUP(B66,'Graph Data'!$O$2:$BX$88,15,FALSE)</f>
        <v>0</v>
      </c>
      <c r="F66" s="155">
        <f>IFERROR(E66+'Pay App 12'!F66,"")</f>
        <v>0</v>
      </c>
      <c r="G66" s="155">
        <f>SUM('Pay App 1:Pay App 12'!H66)</f>
        <v>0</v>
      </c>
      <c r="H66" s="154"/>
      <c r="I66" s="155">
        <f t="shared" si="0"/>
        <v>0</v>
      </c>
      <c r="J66" s="156">
        <f t="shared" si="1"/>
        <v>0</v>
      </c>
      <c r="K66" s="155">
        <f t="shared" si="2"/>
        <v>0</v>
      </c>
      <c r="L66" s="155" t="str">
        <f>IF(AND('Summary Sheet'!$E$23="No",$H$33&gt;0,H66&gt;=1),"",IF(AND('Summary Sheet'!$E$23="Yes",H66&lt;&gt;""),H66*'Summary Sheet'!$G$23,""))</f>
        <v/>
      </c>
      <c r="M66" s="154"/>
      <c r="N66" s="155">
        <f>SUM('Pay App 1:Pay App 13'!L66)+SUM('Pay App 1:Pay App 13'!M66)</f>
        <v>0</v>
      </c>
    </row>
    <row r="67" spans="1:17" ht="11.25" customHeight="1" x14ac:dyDescent="0.25">
      <c r="A67" s="152">
        <v>11</v>
      </c>
      <c r="B67" s="174" t="str">
        <f>'Pay App 1'!B67</f>
        <v>01 35 00</v>
      </c>
      <c r="C67" s="179" t="str">
        <f>'Pay App 1'!C67</f>
        <v>Construction Management Fee</v>
      </c>
      <c r="D67" s="155">
        <f>'Pay App 1'!D67</f>
        <v>0</v>
      </c>
      <c r="E67" s="155">
        <f>VLOOKUP(B67,'Graph Data'!$O$2:$BX$88,15,FALSE)</f>
        <v>0</v>
      </c>
      <c r="F67" s="155">
        <f>IFERROR(E67+'Pay App 12'!F67,"")</f>
        <v>0</v>
      </c>
      <c r="G67" s="155">
        <f>SUM('Pay App 1:Pay App 12'!H67)</f>
        <v>0</v>
      </c>
      <c r="H67" s="154"/>
      <c r="I67" s="155">
        <f t="shared" si="0"/>
        <v>0</v>
      </c>
      <c r="J67" s="156">
        <f t="shared" si="1"/>
        <v>0</v>
      </c>
      <c r="K67" s="155">
        <f t="shared" si="2"/>
        <v>0</v>
      </c>
      <c r="L67" s="155" t="str">
        <f>IF(AND('Summary Sheet'!$E$23="No",$H$33&gt;0,H67&gt;=1),"",IF(AND('Summary Sheet'!$E$23="Yes",H67&lt;&gt;""),H67*'Summary Sheet'!$G$23,""))</f>
        <v/>
      </c>
      <c r="M67" s="154"/>
      <c r="N67" s="155">
        <f>SUM('Pay App 1:Pay App 13'!L67)+SUM('Pay App 1:Pay App 13'!M67)</f>
        <v>0</v>
      </c>
    </row>
    <row r="68" spans="1:17" ht="11.25" customHeight="1" x14ac:dyDescent="0.25">
      <c r="A68" s="152">
        <v>12</v>
      </c>
      <c r="B68" s="174" t="str">
        <f>'Pay App 1'!B68</f>
        <v>01 36 00</v>
      </c>
      <c r="C68" s="179" t="str">
        <f>'Pay App 1'!C68</f>
        <v>Contingency</v>
      </c>
      <c r="D68" s="155">
        <f>'Pay App 1'!D68</f>
        <v>0</v>
      </c>
      <c r="E68" s="155">
        <f>VLOOKUP(B68,'Graph Data'!$O$2:$BX$88,15,FALSE)</f>
        <v>0</v>
      </c>
      <c r="F68" s="155">
        <f>IFERROR(E68+'Pay App 12'!F68,"")</f>
        <v>0</v>
      </c>
      <c r="G68" s="155">
        <f>SUM('Pay App 1:Pay App 12'!H68)</f>
        <v>0</v>
      </c>
      <c r="H68" s="154"/>
      <c r="I68" s="155">
        <f t="shared" si="0"/>
        <v>0</v>
      </c>
      <c r="J68" s="156">
        <f t="shared" si="1"/>
        <v>0</v>
      </c>
      <c r="K68" s="155">
        <f t="shared" si="2"/>
        <v>0</v>
      </c>
      <c r="L68" s="155" t="str">
        <f>IF(AND('Summary Sheet'!$E$23="No",$H$33&gt;0,H68&gt;=1),"",IF(AND('Summary Sheet'!$E$23="Yes",H68&lt;&gt;""),H68*'Summary Sheet'!$G$23,""))</f>
        <v/>
      </c>
      <c r="M68" s="154"/>
      <c r="N68" s="155">
        <f>SUM('Pay App 1:Pay App 13'!L68)+SUM('Pay App 1:Pay App 13'!M68)</f>
        <v>0</v>
      </c>
    </row>
    <row r="69" spans="1:17" ht="11.25" customHeight="1" x14ac:dyDescent="0.25">
      <c r="A69" s="152">
        <v>13</v>
      </c>
      <c r="B69" s="174" t="str">
        <f>'Pay App 1'!B69</f>
        <v>01 37 00</v>
      </c>
      <c r="C69" s="179" t="str">
        <f>'Pay App 1'!C69</f>
        <v>Weather Allowance (All Trades)</v>
      </c>
      <c r="D69" s="155">
        <f>'Pay App 1'!D69</f>
        <v>0</v>
      </c>
      <c r="E69" s="155">
        <f>VLOOKUP(B69,'Graph Data'!$O$2:$BX$88,15,FALSE)</f>
        <v>0</v>
      </c>
      <c r="F69" s="155">
        <f>IFERROR(E69+'Pay App 12'!F69,"")</f>
        <v>0</v>
      </c>
      <c r="G69" s="155">
        <f>SUM('Pay App 1:Pay App 12'!H69)</f>
        <v>0</v>
      </c>
      <c r="H69" s="154"/>
      <c r="I69" s="155">
        <f t="shared" si="0"/>
        <v>0</v>
      </c>
      <c r="J69" s="156">
        <f t="shared" si="1"/>
        <v>0</v>
      </c>
      <c r="K69" s="155">
        <f t="shared" si="2"/>
        <v>0</v>
      </c>
      <c r="L69" s="155" t="str">
        <f>IF(AND('Summary Sheet'!$E$23="No",$H$33&gt;0,H69&gt;=1),"",IF(AND('Summary Sheet'!$E$23="Yes",H69&lt;&gt;""),H69*'Summary Sheet'!$G$23,""))</f>
        <v/>
      </c>
      <c r="M69" s="154"/>
      <c r="N69" s="155">
        <f>SUM('Pay App 1:Pay App 13'!L69)+SUM('Pay App 1:Pay App 13'!M69)</f>
        <v>0</v>
      </c>
    </row>
    <row r="70" spans="1:17" ht="11.25" customHeight="1" x14ac:dyDescent="0.25">
      <c r="A70" s="152">
        <v>14</v>
      </c>
      <c r="B70" s="174" t="str">
        <f>'Pay App 1'!B70</f>
        <v>01 74 23</v>
      </c>
      <c r="C70" s="179" t="str">
        <f>'Pay App 1'!C70</f>
        <v>Cleaning (Final)</v>
      </c>
      <c r="D70" s="155">
        <f>'Pay App 1'!D70</f>
        <v>0</v>
      </c>
      <c r="E70" s="155">
        <f>VLOOKUP(B70,'Graph Data'!$O$2:$BX$88,15,FALSE)</f>
        <v>0</v>
      </c>
      <c r="F70" s="155">
        <f>IFERROR(E70+'Pay App 12'!F70,"")</f>
        <v>0</v>
      </c>
      <c r="G70" s="155">
        <f>SUM('Pay App 1:Pay App 12'!H70)</f>
        <v>0</v>
      </c>
      <c r="H70" s="154"/>
      <c r="I70" s="155">
        <f t="shared" si="0"/>
        <v>0</v>
      </c>
      <c r="J70" s="156">
        <f t="shared" si="1"/>
        <v>0</v>
      </c>
      <c r="K70" s="155">
        <f t="shared" si="2"/>
        <v>0</v>
      </c>
      <c r="L70" s="155" t="str">
        <f>IF(AND('Summary Sheet'!$E$23="No",$H$33&gt;0,H70&gt;=1),"",IF(AND('Summary Sheet'!$E$23="Yes",H70&lt;&gt;""),H70*'Summary Sheet'!$G$23,""))</f>
        <v/>
      </c>
      <c r="M70" s="154"/>
      <c r="N70" s="155">
        <f>SUM('Pay App 1:Pay App 13'!L70)+SUM('Pay App 1:Pay App 13'!M70)</f>
        <v>0</v>
      </c>
    </row>
    <row r="71" spans="1:17" ht="11.25" customHeight="1" x14ac:dyDescent="0.25">
      <c r="A71" s="152">
        <v>15</v>
      </c>
      <c r="B71" s="175" t="str">
        <f>'Pay App 1'!B71</f>
        <v>02 21 00</v>
      </c>
      <c r="C71" s="180" t="str">
        <f>'Pay App 1'!C71</f>
        <v>Survey/Engineering</v>
      </c>
      <c r="D71" s="155">
        <f>'Pay App 1'!D71</f>
        <v>0</v>
      </c>
      <c r="E71" s="155">
        <f>VLOOKUP(B71,'Graph Data'!$O$2:$BX$88,15,FALSE)</f>
        <v>0</v>
      </c>
      <c r="F71" s="155">
        <f>IFERROR(E71+'Pay App 12'!F71,"")</f>
        <v>0</v>
      </c>
      <c r="G71" s="155">
        <f>SUM('Pay App 1:Pay App 12'!H71)</f>
        <v>0</v>
      </c>
      <c r="H71" s="154"/>
      <c r="I71" s="155">
        <f t="shared" si="0"/>
        <v>0</v>
      </c>
      <c r="J71" s="156">
        <f t="shared" si="1"/>
        <v>0</v>
      </c>
      <c r="K71" s="155">
        <f t="shared" si="2"/>
        <v>0</v>
      </c>
      <c r="L71" s="155" t="str">
        <f>IF(AND('Summary Sheet'!$E$23="No",$H$33&gt;0,H71&gt;=1),"",IF(AND('Summary Sheet'!$E$23="Yes",H71&lt;&gt;""),H71*'Summary Sheet'!$G$23,""))</f>
        <v/>
      </c>
      <c r="M71" s="154"/>
      <c r="N71" s="155">
        <f>SUM('Pay App 1:Pay App 13'!L71)+SUM('Pay App 1:Pay App 13'!M71)</f>
        <v>0</v>
      </c>
      <c r="Q71" s="28"/>
    </row>
    <row r="72" spans="1:17" ht="11.25" customHeight="1" x14ac:dyDescent="0.25">
      <c r="A72" s="152">
        <v>16</v>
      </c>
      <c r="B72" s="175" t="str">
        <f>'Pay App 1'!B72</f>
        <v>02 41 00</v>
      </c>
      <c r="C72" s="180" t="str">
        <f>'Pay App 1'!C72</f>
        <v>Demolition</v>
      </c>
      <c r="D72" s="155">
        <f>'Pay App 1'!D72</f>
        <v>0</v>
      </c>
      <c r="E72" s="155">
        <f>VLOOKUP(B72,'Graph Data'!$O$2:$BX$88,15,FALSE)</f>
        <v>0</v>
      </c>
      <c r="F72" s="155">
        <f>IFERROR(E72+'Pay App 12'!F72,"")</f>
        <v>0</v>
      </c>
      <c r="G72" s="155">
        <f>SUM('Pay App 1:Pay App 12'!H72)</f>
        <v>0</v>
      </c>
      <c r="H72" s="154"/>
      <c r="I72" s="155">
        <f t="shared" si="0"/>
        <v>0</v>
      </c>
      <c r="J72" s="156">
        <f t="shared" si="1"/>
        <v>0</v>
      </c>
      <c r="K72" s="155">
        <f t="shared" si="2"/>
        <v>0</v>
      </c>
      <c r="L72" s="155" t="str">
        <f>IF(AND('Summary Sheet'!$E$23="No",$H$33&gt;0,H72&gt;=1),"",IF(AND('Summary Sheet'!$E$23="Yes",H72&lt;&gt;""),H72*'Summary Sheet'!$G$23,""))</f>
        <v/>
      </c>
      <c r="M72" s="154"/>
      <c r="N72" s="155">
        <f>SUM('Pay App 1:Pay App 13'!L72)+SUM('Pay App 1:Pay App 13'!M72)</f>
        <v>0</v>
      </c>
      <c r="Q72" s="28"/>
    </row>
    <row r="73" spans="1:17" ht="11.25" customHeight="1" x14ac:dyDescent="0.25">
      <c r="A73" s="152">
        <v>17</v>
      </c>
      <c r="B73" s="175" t="str">
        <f>'Pay App 1'!B73</f>
        <v>02 82 00</v>
      </c>
      <c r="C73" s="180" t="str">
        <f>'Pay App 1'!C73</f>
        <v>Asbestos Abatement</v>
      </c>
      <c r="D73" s="155">
        <f>'Pay App 1'!D73</f>
        <v>0</v>
      </c>
      <c r="E73" s="155">
        <f>VLOOKUP(B73,'Graph Data'!$O$2:$BX$88,15,FALSE)</f>
        <v>0</v>
      </c>
      <c r="F73" s="155">
        <f>IFERROR(E73+'Pay App 12'!F73,"")</f>
        <v>0</v>
      </c>
      <c r="G73" s="155">
        <f>SUM('Pay App 1:Pay App 12'!H73)</f>
        <v>0</v>
      </c>
      <c r="H73" s="154"/>
      <c r="I73" s="155">
        <f t="shared" si="0"/>
        <v>0</v>
      </c>
      <c r="J73" s="156">
        <f t="shared" si="1"/>
        <v>0</v>
      </c>
      <c r="K73" s="155">
        <f t="shared" si="2"/>
        <v>0</v>
      </c>
      <c r="L73" s="155" t="str">
        <f>IF(AND('Summary Sheet'!$E$23="No",$H$33&gt;0,H73&gt;=1),"",IF(AND('Summary Sheet'!$E$23="Yes",H73&lt;&gt;""),H73*'Summary Sheet'!$G$23,""))</f>
        <v/>
      </c>
      <c r="M73" s="154"/>
      <c r="N73" s="155">
        <f>SUM('Pay App 1:Pay App 13'!L73)+SUM('Pay App 1:Pay App 13'!M73)</f>
        <v>0</v>
      </c>
    </row>
    <row r="74" spans="1:17" ht="11.25" customHeight="1" x14ac:dyDescent="0.25">
      <c r="A74" s="152">
        <v>18</v>
      </c>
      <c r="B74" s="176" t="str">
        <f>'Pay App 1'!B74</f>
        <v>03 00 00</v>
      </c>
      <c r="C74" s="181" t="str">
        <f>'Pay App 1'!C74</f>
        <v>Building Concrete</v>
      </c>
      <c r="D74" s="155">
        <f>'Pay App 1'!D74</f>
        <v>0</v>
      </c>
      <c r="E74" s="155">
        <f>VLOOKUP(B74,'Graph Data'!$O$2:$BX$88,15,FALSE)</f>
        <v>0</v>
      </c>
      <c r="F74" s="155">
        <f>IFERROR(E74+'Pay App 12'!F74,"")</f>
        <v>0</v>
      </c>
      <c r="G74" s="155">
        <f>SUM('Pay App 1:Pay App 12'!H74)</f>
        <v>0</v>
      </c>
      <c r="H74" s="154"/>
      <c r="I74" s="155">
        <f t="shared" si="0"/>
        <v>0</v>
      </c>
      <c r="J74" s="156">
        <f t="shared" si="1"/>
        <v>0</v>
      </c>
      <c r="K74" s="155">
        <f t="shared" si="2"/>
        <v>0</v>
      </c>
      <c r="L74" s="155" t="str">
        <f>IF(AND('Summary Sheet'!$E$23="No",$H$33&gt;0,H74&gt;=1),"",IF(AND('Summary Sheet'!$E$23="Yes",H74&lt;&gt;""),H74*'Summary Sheet'!$G$23,""))</f>
        <v/>
      </c>
      <c r="M74" s="154"/>
      <c r="N74" s="155">
        <f>SUM('Pay App 1:Pay App 13'!L74)+SUM('Pay App 1:Pay App 13'!M74)</f>
        <v>0</v>
      </c>
    </row>
    <row r="75" spans="1:17" ht="11.25" customHeight="1" x14ac:dyDescent="0.25">
      <c r="A75" s="152">
        <v>19</v>
      </c>
      <c r="B75" s="176" t="str">
        <f>'Pay App 1'!B75</f>
        <v>03 20 00</v>
      </c>
      <c r="C75" s="181" t="str">
        <f>'Pay App 1'!C75</f>
        <v>Building Concrete Reinforcing</v>
      </c>
      <c r="D75" s="155">
        <f>'Pay App 1'!D75</f>
        <v>0</v>
      </c>
      <c r="E75" s="155">
        <f>VLOOKUP(B75,'Graph Data'!$O$2:$BX$88,15,FALSE)</f>
        <v>0</v>
      </c>
      <c r="F75" s="155">
        <f>IFERROR(E75+'Pay App 12'!F75,"")</f>
        <v>0</v>
      </c>
      <c r="G75" s="155">
        <f>SUM('Pay App 1:Pay App 12'!H75)</f>
        <v>0</v>
      </c>
      <c r="H75" s="154"/>
      <c r="I75" s="155">
        <f t="shared" si="0"/>
        <v>0</v>
      </c>
      <c r="J75" s="156">
        <f t="shared" si="1"/>
        <v>0</v>
      </c>
      <c r="K75" s="155">
        <f t="shared" si="2"/>
        <v>0</v>
      </c>
      <c r="L75" s="155" t="str">
        <f>IF(AND('Summary Sheet'!$E$23="No",$H$33&gt;0,H75&gt;=1),"",IF(AND('Summary Sheet'!$E$23="Yes",H75&lt;&gt;""),H75*'Summary Sheet'!$G$23,""))</f>
        <v/>
      </c>
      <c r="M75" s="154"/>
      <c r="N75" s="155">
        <f>SUM('Pay App 1:Pay App 13'!L75)+SUM('Pay App 1:Pay App 13'!M75)</f>
        <v>0</v>
      </c>
    </row>
    <row r="76" spans="1:17" ht="11.25" customHeight="1" x14ac:dyDescent="0.25">
      <c r="A76" s="152">
        <v>20</v>
      </c>
      <c r="B76" s="176" t="str">
        <f>'Pay App 1'!B76</f>
        <v>03 40 00</v>
      </c>
      <c r="C76" s="181" t="str">
        <f>'Pay App 1'!C76</f>
        <v>Precast</v>
      </c>
      <c r="D76" s="155">
        <f>'Pay App 1'!D76</f>
        <v>0</v>
      </c>
      <c r="E76" s="155">
        <f>VLOOKUP(B76,'Graph Data'!$O$2:$BX$88,15,FALSE)</f>
        <v>0</v>
      </c>
      <c r="F76" s="155">
        <f>IFERROR(E76+'Pay App 12'!F76,"")</f>
        <v>0</v>
      </c>
      <c r="G76" s="155">
        <f>SUM('Pay App 1:Pay App 12'!H76)</f>
        <v>0</v>
      </c>
      <c r="H76" s="154"/>
      <c r="I76" s="155">
        <f t="shared" si="0"/>
        <v>0</v>
      </c>
      <c r="J76" s="156">
        <f t="shared" si="1"/>
        <v>0</v>
      </c>
      <c r="K76" s="155">
        <f t="shared" si="2"/>
        <v>0</v>
      </c>
      <c r="L76" s="155" t="str">
        <f>IF(AND('Summary Sheet'!$E$23="No",$H$33&gt;0,H76&gt;=1),"",IF(AND('Summary Sheet'!$E$23="Yes",H76&lt;&gt;""),H76*'Summary Sheet'!$G$23,""))</f>
        <v/>
      </c>
      <c r="M76" s="154"/>
      <c r="N76" s="155">
        <f>SUM('Pay App 1:Pay App 13'!L76)+SUM('Pay App 1:Pay App 13'!M76)</f>
        <v>0</v>
      </c>
    </row>
    <row r="77" spans="1:17" ht="11.25" customHeight="1" x14ac:dyDescent="0.25">
      <c r="A77" s="152">
        <v>21</v>
      </c>
      <c r="B77" s="177" t="str">
        <f>'Pay App 1'!B77</f>
        <v>04 00 00</v>
      </c>
      <c r="C77" s="182" t="str">
        <f>'Pay App 1'!C77</f>
        <v>Masonry</v>
      </c>
      <c r="D77" s="155">
        <f>'Pay App 1'!D77</f>
        <v>0</v>
      </c>
      <c r="E77" s="155">
        <f>VLOOKUP(B77,'Graph Data'!$O$2:$BX$88,15,FALSE)</f>
        <v>0</v>
      </c>
      <c r="F77" s="155">
        <f>IFERROR(E77+'Pay App 12'!F77,"")</f>
        <v>0</v>
      </c>
      <c r="G77" s="155">
        <f>SUM('Pay App 1:Pay App 12'!H77)</f>
        <v>0</v>
      </c>
      <c r="H77" s="154"/>
      <c r="I77" s="155">
        <f t="shared" si="0"/>
        <v>0</v>
      </c>
      <c r="J77" s="156">
        <f t="shared" si="1"/>
        <v>0</v>
      </c>
      <c r="K77" s="155">
        <f t="shared" si="2"/>
        <v>0</v>
      </c>
      <c r="L77" s="155" t="str">
        <f>IF(AND('Summary Sheet'!$E$23="No",$H$33&gt;0,H77&gt;=1),"",IF(AND('Summary Sheet'!$E$23="Yes",H77&lt;&gt;""),H77*'Summary Sheet'!$G$23,""))</f>
        <v/>
      </c>
      <c r="M77" s="154"/>
      <c r="N77" s="155">
        <f>SUM('Pay App 1:Pay App 13'!L77)+SUM('Pay App 1:Pay App 13'!M77)</f>
        <v>0</v>
      </c>
    </row>
    <row r="78" spans="1:17" ht="11.25" customHeight="1" x14ac:dyDescent="0.25">
      <c r="A78" s="152">
        <v>22</v>
      </c>
      <c r="B78" s="177" t="str">
        <f>'Pay App 1'!B78</f>
        <v>04 05 19</v>
      </c>
      <c r="C78" s="182" t="str">
        <f>'Pay App 1'!C78</f>
        <v>Masonry Reinforcing</v>
      </c>
      <c r="D78" s="155">
        <f>'Pay App 1'!D78</f>
        <v>0</v>
      </c>
      <c r="E78" s="155">
        <f>VLOOKUP(B78,'Graph Data'!$O$2:$BX$88,15,FALSE)</f>
        <v>0</v>
      </c>
      <c r="F78" s="155">
        <f>IFERROR(E78+'Pay App 12'!F78,"")</f>
        <v>0</v>
      </c>
      <c r="G78" s="155">
        <f>SUM('Pay App 1:Pay App 12'!H78)</f>
        <v>0</v>
      </c>
      <c r="H78" s="154"/>
      <c r="I78" s="155">
        <f t="shared" si="0"/>
        <v>0</v>
      </c>
      <c r="J78" s="156">
        <f t="shared" si="1"/>
        <v>0</v>
      </c>
      <c r="K78" s="155">
        <f t="shared" si="2"/>
        <v>0</v>
      </c>
      <c r="L78" s="155" t="str">
        <f>IF(AND('Summary Sheet'!$E$23="No",$H$33&gt;0,H78&gt;=1),"",IF(AND('Summary Sheet'!$E$23="Yes",H78&lt;&gt;""),H78*'Summary Sheet'!$G$23,""))</f>
        <v/>
      </c>
      <c r="M78" s="154"/>
      <c r="N78" s="155">
        <f>SUM('Pay App 1:Pay App 13'!L78)+SUM('Pay App 1:Pay App 13'!M78)</f>
        <v>0</v>
      </c>
    </row>
    <row r="79" spans="1:17" ht="11.25" customHeight="1" x14ac:dyDescent="0.25">
      <c r="A79" s="152">
        <v>23</v>
      </c>
      <c r="B79" s="178" t="str">
        <f>'Pay App 1'!B79</f>
        <v>05 10 00</v>
      </c>
      <c r="C79" s="183" t="str">
        <f>'Pay App 1'!C79</f>
        <v>Structural Steel/Misc. Steel Fab</v>
      </c>
      <c r="D79" s="155">
        <f>'Pay App 1'!D79</f>
        <v>0</v>
      </c>
      <c r="E79" s="155">
        <f>VLOOKUP(B79,'Graph Data'!$O$2:$BX$88,15,FALSE)</f>
        <v>0</v>
      </c>
      <c r="F79" s="155">
        <f>IFERROR(E79+'Pay App 12'!F79,"")</f>
        <v>0</v>
      </c>
      <c r="G79" s="155">
        <f>SUM('Pay App 1:Pay App 12'!H79)</f>
        <v>0</v>
      </c>
      <c r="H79" s="154"/>
      <c r="I79" s="155">
        <f t="shared" si="0"/>
        <v>0</v>
      </c>
      <c r="J79" s="156">
        <f t="shared" si="1"/>
        <v>0</v>
      </c>
      <c r="K79" s="155">
        <f t="shared" si="2"/>
        <v>0</v>
      </c>
      <c r="L79" s="155" t="str">
        <f>IF(AND('Summary Sheet'!$E$23="No",$H$33&gt;0,H79&gt;=1),"",IF(AND('Summary Sheet'!$E$23="Yes",H79&lt;&gt;""),H79*'Summary Sheet'!$G$23,""))</f>
        <v/>
      </c>
      <c r="M79" s="154"/>
      <c r="N79" s="155">
        <f>SUM('Pay App 1:Pay App 13'!L79)+SUM('Pay App 1:Pay App 13'!M79)</f>
        <v>0</v>
      </c>
    </row>
    <row r="80" spans="1:17" ht="11.25" customHeight="1" x14ac:dyDescent="0.25">
      <c r="A80" s="152">
        <v>24</v>
      </c>
      <c r="B80" s="178" t="str">
        <f>'Pay App 1'!B80</f>
        <v>05 20 00</v>
      </c>
      <c r="C80" s="183" t="str">
        <f>'Pay App 1'!C80</f>
        <v>Joists &amp; Deck</v>
      </c>
      <c r="D80" s="155">
        <f>'Pay App 1'!D80</f>
        <v>0</v>
      </c>
      <c r="E80" s="155">
        <f>VLOOKUP(B80,'Graph Data'!$O$2:$BX$88,15,FALSE)</f>
        <v>0</v>
      </c>
      <c r="F80" s="155">
        <f>IFERROR(E80+'Pay App 12'!F80,"")</f>
        <v>0</v>
      </c>
      <c r="G80" s="155">
        <f>SUM('Pay App 1:Pay App 12'!H80)</f>
        <v>0</v>
      </c>
      <c r="H80" s="154"/>
      <c r="I80" s="155">
        <f t="shared" si="0"/>
        <v>0</v>
      </c>
      <c r="J80" s="156">
        <f t="shared" si="1"/>
        <v>0</v>
      </c>
      <c r="K80" s="155">
        <f t="shared" si="2"/>
        <v>0</v>
      </c>
      <c r="L80" s="155" t="str">
        <f>IF(AND('Summary Sheet'!$E$23="No",$H$33&gt;0,H80&gt;=1),"",IF(AND('Summary Sheet'!$E$23="Yes",H80&lt;&gt;""),H80*'Summary Sheet'!$G$23,""))</f>
        <v/>
      </c>
      <c r="M80" s="154"/>
      <c r="N80" s="155">
        <f>SUM('Pay App 1:Pay App 13'!L80)+SUM('Pay App 1:Pay App 13'!M80)</f>
        <v>0</v>
      </c>
    </row>
    <row r="81" spans="1:14" ht="11.25" customHeight="1" x14ac:dyDescent="0.25">
      <c r="A81" s="152">
        <v>25</v>
      </c>
      <c r="B81" s="178" t="str">
        <f>'Pay App 1'!B81</f>
        <v>05 70 00</v>
      </c>
      <c r="C81" s="183" t="str">
        <f>'Pay App 1'!C81</f>
        <v>Ornamental Metal</v>
      </c>
      <c r="D81" s="155">
        <f>'Pay App 1'!D81</f>
        <v>0</v>
      </c>
      <c r="E81" s="155">
        <f>VLOOKUP(B81,'Graph Data'!$O$2:$BX$88,15,FALSE)</f>
        <v>0</v>
      </c>
      <c r="F81" s="155">
        <f>IFERROR(E81+'Pay App 12'!F81,"")</f>
        <v>0</v>
      </c>
      <c r="G81" s="155">
        <f>SUM('Pay App 1:Pay App 12'!H81)</f>
        <v>0</v>
      </c>
      <c r="H81" s="154"/>
      <c r="I81" s="155">
        <f t="shared" si="0"/>
        <v>0</v>
      </c>
      <c r="J81" s="156">
        <f t="shared" si="1"/>
        <v>0</v>
      </c>
      <c r="K81" s="155">
        <f t="shared" si="2"/>
        <v>0</v>
      </c>
      <c r="L81" s="155" t="str">
        <f>IF(AND('Summary Sheet'!$E$23="No",$H$33&gt;0,H81&gt;=1),"",IF(AND('Summary Sheet'!$E$23="Yes",H81&lt;&gt;""),H81*'Summary Sheet'!$G$23,""))</f>
        <v/>
      </c>
      <c r="M81" s="154"/>
      <c r="N81" s="155">
        <f>SUM('Pay App 1:Pay App 13'!L81)+SUM('Pay App 1:Pay App 13'!M81)</f>
        <v>0</v>
      </c>
    </row>
    <row r="82" spans="1:14" ht="11.25" customHeight="1" x14ac:dyDescent="0.25">
      <c r="A82" s="152">
        <v>26</v>
      </c>
      <c r="B82" s="145" t="str">
        <f>'Pay App 1'!B82</f>
        <v>06 10 00</v>
      </c>
      <c r="C82" s="134" t="str">
        <f>'Pay App 1'!C82</f>
        <v>Rough Carpentry</v>
      </c>
      <c r="D82" s="155">
        <f>'Pay App 1'!D82</f>
        <v>0</v>
      </c>
      <c r="E82" s="155">
        <f>VLOOKUP(B82,'Graph Data'!$O$2:$BX$88,15,FALSE)</f>
        <v>0</v>
      </c>
      <c r="F82" s="155">
        <f>IFERROR(E82+'Pay App 12'!F82,"")</f>
        <v>0</v>
      </c>
      <c r="G82" s="155">
        <f>SUM('Pay App 1:Pay App 12'!H82)</f>
        <v>0</v>
      </c>
      <c r="H82" s="154"/>
      <c r="I82" s="155">
        <f t="shared" si="0"/>
        <v>0</v>
      </c>
      <c r="J82" s="156">
        <f t="shared" si="1"/>
        <v>0</v>
      </c>
      <c r="K82" s="155">
        <f t="shared" si="2"/>
        <v>0</v>
      </c>
      <c r="L82" s="155" t="str">
        <f>IF(AND('Summary Sheet'!$E$23="No",$H$33&gt;0,H82&gt;=1),"",IF(AND('Summary Sheet'!$E$23="Yes",H82&lt;&gt;""),H82*'Summary Sheet'!$G$23,""))</f>
        <v/>
      </c>
      <c r="M82" s="154"/>
      <c r="N82" s="155">
        <f>SUM('Pay App 1:Pay App 13'!L82)+SUM('Pay App 1:Pay App 13'!M82)</f>
        <v>0</v>
      </c>
    </row>
    <row r="83" spans="1:14" ht="11.25" customHeight="1" x14ac:dyDescent="0.25">
      <c r="A83" s="152">
        <v>27</v>
      </c>
      <c r="B83" s="145" t="str">
        <f>'Pay App 1'!B83</f>
        <v>06 40 00</v>
      </c>
      <c r="C83" s="134" t="str">
        <f>'Pay App 1'!C83</f>
        <v>Arch. Woodwork &amp; Finish Carp.</v>
      </c>
      <c r="D83" s="155">
        <f>'Pay App 1'!D83</f>
        <v>0</v>
      </c>
      <c r="E83" s="155">
        <f>VLOOKUP(B83,'Graph Data'!$O$2:$BX$88,15,FALSE)</f>
        <v>0</v>
      </c>
      <c r="F83" s="155">
        <f>IFERROR(E83+'Pay App 12'!F83,"")</f>
        <v>0</v>
      </c>
      <c r="G83" s="155">
        <f>SUM('Pay App 1:Pay App 12'!H83)</f>
        <v>0</v>
      </c>
      <c r="H83" s="154"/>
      <c r="I83" s="155">
        <f t="shared" si="0"/>
        <v>0</v>
      </c>
      <c r="J83" s="156">
        <f t="shared" si="1"/>
        <v>0</v>
      </c>
      <c r="K83" s="155">
        <f t="shared" si="2"/>
        <v>0</v>
      </c>
      <c r="L83" s="155" t="str">
        <f>IF(AND('Summary Sheet'!$E$23="No",$H$33&gt;0,H83&gt;=1),"",IF(AND('Summary Sheet'!$E$23="Yes",H83&lt;&gt;""),H83*'Summary Sheet'!$G$23,""))</f>
        <v/>
      </c>
      <c r="M83" s="154"/>
      <c r="N83" s="155">
        <f>SUM('Pay App 1:Pay App 13'!L83)+SUM('Pay App 1:Pay App 13'!M83)</f>
        <v>0</v>
      </c>
    </row>
    <row r="84" spans="1:14" ht="11.25" customHeight="1" x14ac:dyDescent="0.25">
      <c r="A84" s="152">
        <v>28</v>
      </c>
      <c r="B84" s="174" t="str">
        <f>'Pay App 1'!B84</f>
        <v>07 10 00</v>
      </c>
      <c r="C84" s="179" t="str">
        <f>'Pay App 1'!C84</f>
        <v>Waterproofing/Water Repellents</v>
      </c>
      <c r="D84" s="155">
        <f>'Pay App 1'!D84</f>
        <v>0</v>
      </c>
      <c r="E84" s="155">
        <f>VLOOKUP(B84,'Graph Data'!$O$2:$BX$88,15,FALSE)</f>
        <v>0</v>
      </c>
      <c r="F84" s="155">
        <f>IFERROR(E84+'Pay App 12'!F84,"")</f>
        <v>0</v>
      </c>
      <c r="G84" s="155">
        <f>SUM('Pay App 1:Pay App 12'!H84)</f>
        <v>0</v>
      </c>
      <c r="H84" s="154"/>
      <c r="I84" s="155">
        <f t="shared" si="0"/>
        <v>0</v>
      </c>
      <c r="J84" s="156">
        <f t="shared" si="1"/>
        <v>0</v>
      </c>
      <c r="K84" s="155">
        <f t="shared" si="2"/>
        <v>0</v>
      </c>
      <c r="L84" s="155" t="str">
        <f>IF(AND('Summary Sheet'!$E$23="No",$H$33&gt;0,H84&gt;=1),"",IF(AND('Summary Sheet'!$E$23="Yes",H84&lt;&gt;""),H84*'Summary Sheet'!$G$23,""))</f>
        <v/>
      </c>
      <c r="M84" s="154"/>
      <c r="N84" s="155">
        <f>SUM('Pay App 1:Pay App 13'!L84)+SUM('Pay App 1:Pay App 13'!M84)</f>
        <v>0</v>
      </c>
    </row>
    <row r="85" spans="1:14" ht="11.25" customHeight="1" x14ac:dyDescent="0.25">
      <c r="A85" s="152">
        <v>29</v>
      </c>
      <c r="B85" s="174" t="str">
        <f>'Pay App 1'!B85</f>
        <v>07 20 00</v>
      </c>
      <c r="C85" s="179" t="str">
        <f>'Pay App 1'!C85</f>
        <v>Insulation</v>
      </c>
      <c r="D85" s="155">
        <f>'Pay App 1'!D85</f>
        <v>0</v>
      </c>
      <c r="E85" s="155">
        <f>VLOOKUP(B85,'Graph Data'!$O$2:$BX$88,15,FALSE)</f>
        <v>0</v>
      </c>
      <c r="F85" s="155">
        <f>IFERROR(E85+'Pay App 12'!F85,"")</f>
        <v>0</v>
      </c>
      <c r="G85" s="155">
        <f>SUM('Pay App 1:Pay App 12'!H85)</f>
        <v>0</v>
      </c>
      <c r="H85" s="154"/>
      <c r="I85" s="155">
        <f t="shared" si="0"/>
        <v>0</v>
      </c>
      <c r="J85" s="156">
        <f t="shared" si="1"/>
        <v>0</v>
      </c>
      <c r="K85" s="155">
        <f t="shared" si="2"/>
        <v>0</v>
      </c>
      <c r="L85" s="155" t="str">
        <f>IF(AND('Summary Sheet'!$E$23="No",$H$33&gt;0,H85&gt;=1),"",IF(AND('Summary Sheet'!$E$23="Yes",H85&lt;&gt;""),H85*'Summary Sheet'!$G$23,""))</f>
        <v/>
      </c>
      <c r="M85" s="154"/>
      <c r="N85" s="155">
        <f>SUM('Pay App 1:Pay App 13'!L85)+SUM('Pay App 1:Pay App 13'!M85)</f>
        <v>0</v>
      </c>
    </row>
    <row r="86" spans="1:14" ht="11.25" customHeight="1" x14ac:dyDescent="0.25">
      <c r="A86" s="152">
        <v>30</v>
      </c>
      <c r="B86" s="174" t="str">
        <f>'Pay App 1'!B86</f>
        <v>07 24 00</v>
      </c>
      <c r="C86" s="179" t="str">
        <f>'Pay App 1'!C86</f>
        <v>EIFS</v>
      </c>
      <c r="D86" s="155">
        <f>'Pay App 1'!D86</f>
        <v>0</v>
      </c>
      <c r="E86" s="155">
        <f>VLOOKUP(B86,'Graph Data'!$O$2:$BX$88,15,FALSE)</f>
        <v>0</v>
      </c>
      <c r="F86" s="155">
        <f>IFERROR(E86+'Pay App 12'!F86,"")</f>
        <v>0</v>
      </c>
      <c r="G86" s="155">
        <f>SUM('Pay App 1:Pay App 12'!H86)</f>
        <v>0</v>
      </c>
      <c r="H86" s="154"/>
      <c r="I86" s="155">
        <f t="shared" si="0"/>
        <v>0</v>
      </c>
      <c r="J86" s="156">
        <f t="shared" si="1"/>
        <v>0</v>
      </c>
      <c r="K86" s="155">
        <f t="shared" si="2"/>
        <v>0</v>
      </c>
      <c r="L86" s="155" t="str">
        <f>IF(AND('Summary Sheet'!$E$23="No",$H$33&gt;0,H86&gt;=1),"",IF(AND('Summary Sheet'!$E$23="Yes",H86&lt;&gt;""),H86*'Summary Sheet'!$G$23,""))</f>
        <v/>
      </c>
      <c r="M86" s="154"/>
      <c r="N86" s="155">
        <f>SUM('Pay App 1:Pay App 13'!L86)+SUM('Pay App 1:Pay App 13'!M86)</f>
        <v>0</v>
      </c>
    </row>
    <row r="87" spans="1:14" ht="11.25" customHeight="1" x14ac:dyDescent="0.25">
      <c r="A87" s="152">
        <v>31</v>
      </c>
      <c r="B87" s="174" t="str">
        <f>'Pay App 1'!B87</f>
        <v>07 26 00</v>
      </c>
      <c r="C87" s="179" t="str">
        <f>'Pay App 1'!C87</f>
        <v>Vapor Retarders</v>
      </c>
      <c r="D87" s="155">
        <f>'Pay App 1'!D87</f>
        <v>0</v>
      </c>
      <c r="E87" s="155">
        <f>VLOOKUP(B87,'Graph Data'!$O$2:$BX$88,15,FALSE)</f>
        <v>0</v>
      </c>
      <c r="F87" s="155">
        <f>IFERROR(E87+'Pay App 12'!F87,"")</f>
        <v>0</v>
      </c>
      <c r="G87" s="155">
        <f>SUM('Pay App 1:Pay App 12'!H87)</f>
        <v>0</v>
      </c>
      <c r="H87" s="154"/>
      <c r="I87" s="155">
        <f t="shared" si="0"/>
        <v>0</v>
      </c>
      <c r="J87" s="156">
        <f t="shared" si="1"/>
        <v>0</v>
      </c>
      <c r="K87" s="155">
        <f t="shared" si="2"/>
        <v>0</v>
      </c>
      <c r="L87" s="155" t="str">
        <f>IF(AND('Summary Sheet'!$E$23="No",$H$33&gt;0,H87&gt;=1),"",IF(AND('Summary Sheet'!$E$23="Yes",H87&lt;&gt;""),H87*'Summary Sheet'!$G$23,""))</f>
        <v/>
      </c>
      <c r="M87" s="154"/>
      <c r="N87" s="155">
        <f>SUM('Pay App 1:Pay App 13'!L87)+SUM('Pay App 1:Pay App 13'!M87)</f>
        <v>0</v>
      </c>
    </row>
    <row r="88" spans="1:14" ht="11.25" customHeight="1" x14ac:dyDescent="0.25">
      <c r="A88" s="152">
        <v>32</v>
      </c>
      <c r="B88" s="174" t="str">
        <f>'Pay App 1'!B88</f>
        <v>07 41 00</v>
      </c>
      <c r="C88" s="179" t="str">
        <f>'Pay App 1'!C88</f>
        <v>Roofing</v>
      </c>
      <c r="D88" s="155">
        <f>'Pay App 1'!D88</f>
        <v>0</v>
      </c>
      <c r="E88" s="155">
        <f>VLOOKUP(B88,'Graph Data'!$O$2:$BX$88,15,FALSE)</f>
        <v>0</v>
      </c>
      <c r="F88" s="155">
        <f>IFERROR(E88+'Pay App 12'!F88,"")</f>
        <v>0</v>
      </c>
      <c r="G88" s="155">
        <f>SUM('Pay App 1:Pay App 12'!H88)</f>
        <v>0</v>
      </c>
      <c r="H88" s="154"/>
      <c r="I88" s="155">
        <f t="shared" si="0"/>
        <v>0</v>
      </c>
      <c r="J88" s="156">
        <f t="shared" si="1"/>
        <v>0</v>
      </c>
      <c r="K88" s="155">
        <f t="shared" si="2"/>
        <v>0</v>
      </c>
      <c r="L88" s="155" t="str">
        <f>IF(AND('Summary Sheet'!$E$23="No",$H$33&gt;0,H88&gt;=1),"",IF(AND('Summary Sheet'!$E$23="Yes",H88&lt;&gt;""),H88*'Summary Sheet'!$G$23,""))</f>
        <v/>
      </c>
      <c r="M88" s="154"/>
      <c r="N88" s="155">
        <f>SUM('Pay App 1:Pay App 13'!L88)+SUM('Pay App 1:Pay App 13'!M88)</f>
        <v>0</v>
      </c>
    </row>
    <row r="89" spans="1:14" ht="11.25" customHeight="1" x14ac:dyDescent="0.25">
      <c r="A89" s="152">
        <v>33</v>
      </c>
      <c r="B89" s="174" t="str">
        <f>'Pay App 1'!B89</f>
        <v>07 42 00</v>
      </c>
      <c r="C89" s="179" t="str">
        <f>'Pay App 1'!C89</f>
        <v>Metal Panels</v>
      </c>
      <c r="D89" s="155">
        <f>'Pay App 1'!D89</f>
        <v>0</v>
      </c>
      <c r="E89" s="155">
        <f>VLOOKUP(B89,'Graph Data'!$O$2:$BX$88,15,FALSE)</f>
        <v>0</v>
      </c>
      <c r="F89" s="155">
        <f>IFERROR(E89+'Pay App 12'!F89,"")</f>
        <v>0</v>
      </c>
      <c r="G89" s="155">
        <f>SUM('Pay App 1:Pay App 12'!H89)</f>
        <v>0</v>
      </c>
      <c r="H89" s="154"/>
      <c r="I89" s="155">
        <f t="shared" si="0"/>
        <v>0</v>
      </c>
      <c r="J89" s="156">
        <f t="shared" si="1"/>
        <v>0</v>
      </c>
      <c r="K89" s="155">
        <f t="shared" si="2"/>
        <v>0</v>
      </c>
      <c r="L89" s="155" t="str">
        <f>IF(AND('Summary Sheet'!$E$23="No",$H$33&gt;0,H89&gt;=1),"",IF(AND('Summary Sheet'!$E$23="Yes",H89&lt;&gt;""),H89*'Summary Sheet'!$G$23,""))</f>
        <v/>
      </c>
      <c r="M89" s="154"/>
      <c r="N89" s="155">
        <f>SUM('Pay App 1:Pay App 13'!L89)+SUM('Pay App 1:Pay App 13'!M89)</f>
        <v>0</v>
      </c>
    </row>
    <row r="90" spans="1:14" ht="11.25" customHeight="1" x14ac:dyDescent="0.25">
      <c r="A90" s="152">
        <v>34</v>
      </c>
      <c r="B90" s="174" t="str">
        <f>'Pay App 1'!B90</f>
        <v>07 60 00</v>
      </c>
      <c r="C90" s="179" t="str">
        <f>'Pay App 1'!C90</f>
        <v>Sheet Metal Flashing &amp; Trim</v>
      </c>
      <c r="D90" s="155">
        <f>'Pay App 1'!D90</f>
        <v>0</v>
      </c>
      <c r="E90" s="155">
        <f>VLOOKUP(B90,'Graph Data'!$O$2:$BX$88,15,FALSE)</f>
        <v>0</v>
      </c>
      <c r="F90" s="155">
        <f>IFERROR(E90+'Pay App 12'!F90,"")</f>
        <v>0</v>
      </c>
      <c r="G90" s="155">
        <f>SUM('Pay App 1:Pay App 12'!H90)</f>
        <v>0</v>
      </c>
      <c r="H90" s="154"/>
      <c r="I90" s="155">
        <f t="shared" si="0"/>
        <v>0</v>
      </c>
      <c r="J90" s="156">
        <f t="shared" si="1"/>
        <v>0</v>
      </c>
      <c r="K90" s="155">
        <f t="shared" si="2"/>
        <v>0</v>
      </c>
      <c r="L90" s="155" t="str">
        <f>IF(AND('Summary Sheet'!$E$23="No",$H$33&gt;0,H90&gt;=1),"",IF(AND('Summary Sheet'!$E$23="Yes",H90&lt;&gt;""),H90*'Summary Sheet'!$G$23,""))</f>
        <v/>
      </c>
      <c r="M90" s="154"/>
      <c r="N90" s="155">
        <f>SUM('Pay App 1:Pay App 13'!L90)+SUM('Pay App 1:Pay App 13'!M90)</f>
        <v>0</v>
      </c>
    </row>
    <row r="91" spans="1:14" ht="11.25" customHeight="1" x14ac:dyDescent="0.25">
      <c r="A91" s="152">
        <v>35</v>
      </c>
      <c r="B91" s="174" t="str">
        <f>'Pay App 1'!B91</f>
        <v>07 80 00</v>
      </c>
      <c r="C91" s="179" t="str">
        <f>'Pay App 1'!C91</f>
        <v>Fireproofing</v>
      </c>
      <c r="D91" s="155">
        <f>'Pay App 1'!D91</f>
        <v>0</v>
      </c>
      <c r="E91" s="155">
        <f>VLOOKUP(B91,'Graph Data'!$O$2:$BX$88,15,FALSE)</f>
        <v>0</v>
      </c>
      <c r="F91" s="155">
        <f>IFERROR(E91+'Pay App 12'!F91,"")</f>
        <v>0</v>
      </c>
      <c r="G91" s="155">
        <f>SUM('Pay App 1:Pay App 12'!H91)</f>
        <v>0</v>
      </c>
      <c r="H91" s="154"/>
      <c r="I91" s="155">
        <f t="shared" si="0"/>
        <v>0</v>
      </c>
      <c r="J91" s="156">
        <f t="shared" si="1"/>
        <v>0</v>
      </c>
      <c r="K91" s="155">
        <f t="shared" si="2"/>
        <v>0</v>
      </c>
      <c r="L91" s="155" t="str">
        <f>IF(AND('Summary Sheet'!$E$23="No",$H$33&gt;0,H91&gt;=1),"",IF(AND('Summary Sheet'!$E$23="Yes",H91&lt;&gt;""),H91*'Summary Sheet'!$G$23,""))</f>
        <v/>
      </c>
      <c r="M91" s="154"/>
      <c r="N91" s="155">
        <f>SUM('Pay App 1:Pay App 13'!L91)+SUM('Pay App 1:Pay App 13'!M91)</f>
        <v>0</v>
      </c>
    </row>
    <row r="92" spans="1:14" ht="11.25" customHeight="1" x14ac:dyDescent="0.25">
      <c r="A92" s="152">
        <v>36</v>
      </c>
      <c r="B92" s="174" t="str">
        <f>'Pay App 1'!B92</f>
        <v>07 90 00</v>
      </c>
      <c r="C92" s="179" t="str">
        <f>'Pay App 1'!C92</f>
        <v>Joint Sealants</v>
      </c>
      <c r="D92" s="155">
        <f>'Pay App 1'!D92</f>
        <v>0</v>
      </c>
      <c r="E92" s="155">
        <f>VLOOKUP(B92,'Graph Data'!$O$2:$BX$88,15,FALSE)</f>
        <v>0</v>
      </c>
      <c r="F92" s="155">
        <f>IFERROR(E92+'Pay App 12'!F92,"")</f>
        <v>0</v>
      </c>
      <c r="G92" s="155">
        <f>SUM('Pay App 1:Pay App 12'!H92)</f>
        <v>0</v>
      </c>
      <c r="H92" s="154"/>
      <c r="I92" s="155">
        <f t="shared" si="0"/>
        <v>0</v>
      </c>
      <c r="J92" s="156">
        <f t="shared" si="1"/>
        <v>0</v>
      </c>
      <c r="K92" s="155">
        <f t="shared" si="2"/>
        <v>0</v>
      </c>
      <c r="L92" s="155" t="str">
        <f>IF(AND('Summary Sheet'!$E$23="No",$H$33&gt;0,H92&gt;=1),"",IF(AND('Summary Sheet'!$E$23="Yes",H92&lt;&gt;""),H92*'Summary Sheet'!$G$23,""))</f>
        <v/>
      </c>
      <c r="M92" s="154"/>
      <c r="N92" s="155">
        <f>SUM('Pay App 1:Pay App 13'!L92)+SUM('Pay App 1:Pay App 13'!M92)</f>
        <v>0</v>
      </c>
    </row>
    <row r="93" spans="1:14" ht="11.25" customHeight="1" x14ac:dyDescent="0.25">
      <c r="A93" s="152">
        <v>37</v>
      </c>
      <c r="B93" s="174" t="str">
        <f>'Pay App 1'!B93</f>
        <v>07 95 00</v>
      </c>
      <c r="C93" s="179" t="str">
        <f>'Pay App 1'!C93</f>
        <v>Expansion Joints</v>
      </c>
      <c r="D93" s="155">
        <f>'Pay App 1'!D93</f>
        <v>0</v>
      </c>
      <c r="E93" s="155">
        <f>VLOOKUP(B93,'Graph Data'!$O$2:$BX$88,15,FALSE)</f>
        <v>0</v>
      </c>
      <c r="F93" s="155">
        <f>IFERROR(E93+'Pay App 12'!F93,"")</f>
        <v>0</v>
      </c>
      <c r="G93" s="155">
        <f>SUM('Pay App 1:Pay App 12'!H93)</f>
        <v>0</v>
      </c>
      <c r="H93" s="154"/>
      <c r="I93" s="155">
        <f t="shared" si="0"/>
        <v>0</v>
      </c>
      <c r="J93" s="156">
        <f t="shared" si="1"/>
        <v>0</v>
      </c>
      <c r="K93" s="155">
        <f t="shared" si="2"/>
        <v>0</v>
      </c>
      <c r="L93" s="155" t="str">
        <f>IF(AND('Summary Sheet'!$E$23="No",$H$33&gt;0,H93&gt;=1),"",IF(AND('Summary Sheet'!$E$23="Yes",H93&lt;&gt;""),H93*'Summary Sheet'!$G$23,""))</f>
        <v/>
      </c>
      <c r="M93" s="154"/>
      <c r="N93" s="155">
        <f>SUM('Pay App 1:Pay App 13'!L93)+SUM('Pay App 1:Pay App 13'!M93)</f>
        <v>0</v>
      </c>
    </row>
    <row r="94" spans="1:14" ht="11.25" customHeight="1" x14ac:dyDescent="0.25">
      <c r="A94" s="152">
        <v>38</v>
      </c>
      <c r="B94" s="175" t="str">
        <f>'Pay App 1'!B94</f>
        <v>08 10 00</v>
      </c>
      <c r="C94" s="180" t="str">
        <f>'Pay App 1'!C94</f>
        <v>Doors, Frames &amp; Hardware</v>
      </c>
      <c r="D94" s="155">
        <f>'Pay App 1'!D94</f>
        <v>0</v>
      </c>
      <c r="E94" s="155">
        <f>VLOOKUP(B94,'Graph Data'!$O$2:$BX$88,15,FALSE)</f>
        <v>0</v>
      </c>
      <c r="F94" s="155">
        <f>IFERROR(E94+'Pay App 12'!F94,"")</f>
        <v>0</v>
      </c>
      <c r="G94" s="155">
        <f>SUM('Pay App 1:Pay App 12'!H94)</f>
        <v>0</v>
      </c>
      <c r="H94" s="154"/>
      <c r="I94" s="155">
        <f t="shared" si="0"/>
        <v>0</v>
      </c>
      <c r="J94" s="156">
        <f t="shared" si="1"/>
        <v>0</v>
      </c>
      <c r="K94" s="155">
        <f t="shared" si="2"/>
        <v>0</v>
      </c>
      <c r="L94" s="155" t="str">
        <f>IF(AND('Summary Sheet'!$E$23="No",$H$33&gt;0,H94&gt;=1),"",IF(AND('Summary Sheet'!$E$23="Yes",H94&lt;&gt;""),H94*'Summary Sheet'!$G$23,""))</f>
        <v/>
      </c>
      <c r="M94" s="154"/>
      <c r="N94" s="155">
        <f>SUM('Pay App 1:Pay App 13'!L94)+SUM('Pay App 1:Pay App 13'!M94)</f>
        <v>0</v>
      </c>
    </row>
    <row r="95" spans="1:14" ht="11.25" customHeight="1" x14ac:dyDescent="0.25">
      <c r="A95" s="152">
        <v>39</v>
      </c>
      <c r="B95" s="175" t="str">
        <f>'Pay App 1'!B95</f>
        <v>08 30 00</v>
      </c>
      <c r="C95" s="180" t="str">
        <f>'Pay App 1'!C95</f>
        <v>Specialty Doors</v>
      </c>
      <c r="D95" s="155">
        <f>'Pay App 1'!D95</f>
        <v>0</v>
      </c>
      <c r="E95" s="155">
        <f>VLOOKUP(B95,'Graph Data'!$O$2:$BX$88,15,FALSE)</f>
        <v>0</v>
      </c>
      <c r="F95" s="155">
        <f>IFERROR(E95+'Pay App 12'!F95,"")</f>
        <v>0</v>
      </c>
      <c r="G95" s="155">
        <f>SUM('Pay App 1:Pay App 12'!H95)</f>
        <v>0</v>
      </c>
      <c r="H95" s="154"/>
      <c r="I95" s="155">
        <f t="shared" si="0"/>
        <v>0</v>
      </c>
      <c r="J95" s="156">
        <f t="shared" si="1"/>
        <v>0</v>
      </c>
      <c r="K95" s="155">
        <f t="shared" si="2"/>
        <v>0</v>
      </c>
      <c r="L95" s="155" t="str">
        <f>IF(AND('Summary Sheet'!$E$23="No",$H$33&gt;0,H95&gt;=1),"",IF(AND('Summary Sheet'!$E$23="Yes",H95&lt;&gt;""),H95*'Summary Sheet'!$G$23,""))</f>
        <v/>
      </c>
      <c r="M95" s="154"/>
      <c r="N95" s="155">
        <f>SUM('Pay App 1:Pay App 13'!L95)+SUM('Pay App 1:Pay App 13'!M95)</f>
        <v>0</v>
      </c>
    </row>
    <row r="96" spans="1:14" ht="11.25" customHeight="1" x14ac:dyDescent="0.25">
      <c r="A96" s="152">
        <v>40</v>
      </c>
      <c r="B96" s="175" t="str">
        <f>'Pay App 1'!B96</f>
        <v>08 33 00</v>
      </c>
      <c r="C96" s="180" t="str">
        <f>'Pay App 1'!C96</f>
        <v>Overhead Doors/Coiling Doors</v>
      </c>
      <c r="D96" s="155">
        <f>'Pay App 1'!D96</f>
        <v>0</v>
      </c>
      <c r="E96" s="155">
        <f>VLOOKUP(B96,'Graph Data'!$O$2:$BX$88,15,FALSE)</f>
        <v>0</v>
      </c>
      <c r="F96" s="155">
        <f>IFERROR(E96+'Pay App 12'!F96,"")</f>
        <v>0</v>
      </c>
      <c r="G96" s="155">
        <f>SUM('Pay App 1:Pay App 12'!H96)</f>
        <v>0</v>
      </c>
      <c r="H96" s="154"/>
      <c r="I96" s="155">
        <f t="shared" si="0"/>
        <v>0</v>
      </c>
      <c r="J96" s="156">
        <f t="shared" si="1"/>
        <v>0</v>
      </c>
      <c r="K96" s="155">
        <f t="shared" si="2"/>
        <v>0</v>
      </c>
      <c r="L96" s="155" t="str">
        <f>IF(AND('Summary Sheet'!$E$23="No",$H$33&gt;0,H96&gt;=1),"",IF(AND('Summary Sheet'!$E$23="Yes",H96&lt;&gt;""),H96*'Summary Sheet'!$G$23,""))</f>
        <v/>
      </c>
      <c r="M96" s="154"/>
      <c r="N96" s="155">
        <f>SUM('Pay App 1:Pay App 13'!L96)+SUM('Pay App 1:Pay App 13'!M96)</f>
        <v>0</v>
      </c>
    </row>
    <row r="97" spans="1:15" ht="11.25" customHeight="1" x14ac:dyDescent="0.25">
      <c r="A97" s="152">
        <v>41</v>
      </c>
      <c r="B97" s="175" t="str">
        <f>'Pay App 1'!B97</f>
        <v>08 40 00</v>
      </c>
      <c r="C97" s="180" t="str">
        <f>'Pay App 1'!C97</f>
        <v>Curtain Wall, Glass &amp; Glazing</v>
      </c>
      <c r="D97" s="155">
        <f>'Pay App 1'!D97</f>
        <v>0</v>
      </c>
      <c r="E97" s="155">
        <f>VLOOKUP(B97,'Graph Data'!$O$2:$BX$88,15,FALSE)</f>
        <v>0</v>
      </c>
      <c r="F97" s="155">
        <f>IFERROR(E97+'Pay App 12'!F97,"")</f>
        <v>0</v>
      </c>
      <c r="G97" s="155">
        <f>SUM('Pay App 1:Pay App 12'!H97)</f>
        <v>0</v>
      </c>
      <c r="H97" s="154"/>
      <c r="I97" s="155">
        <f t="shared" si="0"/>
        <v>0</v>
      </c>
      <c r="J97" s="156">
        <f t="shared" si="1"/>
        <v>0</v>
      </c>
      <c r="K97" s="155">
        <f t="shared" si="2"/>
        <v>0</v>
      </c>
      <c r="L97" s="155" t="str">
        <f>IF(AND('Summary Sheet'!$E$23="No",$H$33&gt;0,H97&gt;=1),"",IF(AND('Summary Sheet'!$E$23="Yes",H97&lt;&gt;""),H97*'Summary Sheet'!$G$23,""))</f>
        <v/>
      </c>
      <c r="M97" s="154"/>
      <c r="N97" s="155">
        <f>SUM('Pay App 1:Pay App 13'!L97)+SUM('Pay App 1:Pay App 13'!M97)</f>
        <v>0</v>
      </c>
    </row>
    <row r="98" spans="1:15" ht="10.9" customHeight="1" x14ac:dyDescent="0.25">
      <c r="A98" s="152">
        <v>42</v>
      </c>
      <c r="B98" s="175" t="str">
        <f>'Pay App 1'!B98</f>
        <v>08 60 00</v>
      </c>
      <c r="C98" s="180" t="str">
        <f>'Pay App 1'!C98</f>
        <v>Skylights</v>
      </c>
      <c r="D98" s="155">
        <f>'Pay App 1'!D98</f>
        <v>0</v>
      </c>
      <c r="E98" s="155">
        <f>VLOOKUP(B98,'Graph Data'!$O$2:$BX$88,15,FALSE)</f>
        <v>0</v>
      </c>
      <c r="F98" s="155">
        <f>IFERROR(E98+'Pay App 12'!F98,"")</f>
        <v>0</v>
      </c>
      <c r="G98" s="155">
        <f>SUM('Pay App 1:Pay App 12'!H98)</f>
        <v>0</v>
      </c>
      <c r="H98" s="154"/>
      <c r="I98" s="155">
        <f t="shared" si="0"/>
        <v>0</v>
      </c>
      <c r="J98" s="156">
        <f t="shared" si="1"/>
        <v>0</v>
      </c>
      <c r="K98" s="155">
        <f t="shared" si="2"/>
        <v>0</v>
      </c>
      <c r="L98" s="155" t="str">
        <f>IF(AND('Summary Sheet'!$E$23="No",$H$33&gt;0,H98&gt;=1),"",IF(AND('Summary Sheet'!$E$23="Yes",H98&lt;&gt;""),H98*'Summary Sheet'!$G$23,""))</f>
        <v/>
      </c>
      <c r="M98" s="154"/>
      <c r="N98" s="155">
        <f>SUM('Pay App 1:Pay App 13'!L98)+SUM('Pay App 1:Pay App 13'!M98)</f>
        <v>0</v>
      </c>
    </row>
    <row r="99" spans="1:15" ht="10.9" customHeight="1" x14ac:dyDescent="0.25">
      <c r="A99" s="152">
        <v>43</v>
      </c>
      <c r="B99" s="175" t="str">
        <f>'Pay App 1'!B99</f>
        <v>08 90 00</v>
      </c>
      <c r="C99" s="180" t="str">
        <f>'Pay App 1'!C99</f>
        <v>Louvers &amp; Vents</v>
      </c>
      <c r="D99" s="155">
        <f>'Pay App 1'!D99</f>
        <v>0</v>
      </c>
      <c r="E99" s="155">
        <f>VLOOKUP(B99,'Graph Data'!$O$2:$BX$88,15,FALSE)</f>
        <v>0</v>
      </c>
      <c r="F99" s="155">
        <f>IFERROR(E99+'Pay App 12'!F99,"")</f>
        <v>0</v>
      </c>
      <c r="G99" s="155">
        <f>SUM('Pay App 1:Pay App 12'!H99)</f>
        <v>0</v>
      </c>
      <c r="H99" s="154"/>
      <c r="I99" s="155">
        <f t="shared" si="0"/>
        <v>0</v>
      </c>
      <c r="J99" s="156">
        <f t="shared" si="1"/>
        <v>0</v>
      </c>
      <c r="K99" s="155">
        <f t="shared" si="2"/>
        <v>0</v>
      </c>
      <c r="L99" s="155" t="str">
        <f>IF(AND('Summary Sheet'!$E$23="No",$H$33&gt;0,H99&gt;=1),"",IF(AND('Summary Sheet'!$E$23="Yes",H99&lt;&gt;""),H99*'Summary Sheet'!$G$23,""))</f>
        <v/>
      </c>
      <c r="M99" s="154"/>
      <c r="N99" s="155">
        <f>SUM('Pay App 1:Pay App 13'!L99)+SUM('Pay App 1:Pay App 13'!M99)</f>
        <v>0</v>
      </c>
    </row>
    <row r="100" spans="1:15" ht="11.25" customHeight="1" x14ac:dyDescent="0.25">
      <c r="A100" s="153">
        <v>44</v>
      </c>
      <c r="B100" s="176" t="str">
        <f>'Pay App 1'!B100</f>
        <v>09 20 00</v>
      </c>
      <c r="C100" s="181" t="str">
        <f>'Pay App 1'!C100</f>
        <v>Gypsum Board Systems</v>
      </c>
      <c r="D100" s="155">
        <f>'Pay App 1'!D100</f>
        <v>0</v>
      </c>
      <c r="E100" s="155">
        <f>VLOOKUP(B100,'Graph Data'!$O$2:$BX$88,15,FALSE)</f>
        <v>0</v>
      </c>
      <c r="F100" s="155">
        <f>IFERROR(E100+'Pay App 12'!F100,"")</f>
        <v>0</v>
      </c>
      <c r="G100" s="155">
        <f>SUM('Pay App 1:Pay App 12'!H100)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13'!L100)+SUM('Pay App 1:Pay App 13'!M100)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13.2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Data'!$O$2:$BX$88,15,FALSE)</f>
        <v>0</v>
      </c>
      <c r="F106" s="155">
        <f>IFERROR(E106+'Pay App 12'!F106,"")</f>
        <v>0</v>
      </c>
      <c r="G106" s="155">
        <f>SUM('Pay App 1:Pay App 12'!H106)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13'!L106)+SUM('Pay App 1:Pay App 13'!M106)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Data'!$O$2:$BX$88,15,FALSE)</f>
        <v>0</v>
      </c>
      <c r="F107" s="155">
        <f>IFERROR(E107+'Pay App 12'!F107,"")</f>
        <v>0</v>
      </c>
      <c r="G107" s="155">
        <f>SUM('Pay App 1:Pay App 12'!H107)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13'!L107)+SUM('Pay App 1:Pay App 13'!M107)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Data'!$O$2:$BX$88,15,FALSE)</f>
        <v>0</v>
      </c>
      <c r="F108" s="155">
        <f>IFERROR(E108+'Pay App 12'!F108,"")</f>
        <v>0</v>
      </c>
      <c r="G108" s="155">
        <f>SUM('Pay App 1:Pay App 12'!H108)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13'!L108)+SUM('Pay App 1:Pay App 13'!M108)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Data'!$O$2:$BX$88,15,FALSE)</f>
        <v>0</v>
      </c>
      <c r="F109" s="155">
        <f>IFERROR(E109+'Pay App 12'!F109,"")</f>
        <v>0</v>
      </c>
      <c r="G109" s="155">
        <f>SUM('Pay App 1:Pay App 12'!H109)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13'!L109)+SUM('Pay App 1:Pay App 13'!M109)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Data'!$O$2:$BX$88,15,FALSE)</f>
        <v>0</v>
      </c>
      <c r="F110" s="155">
        <f>IFERROR(E110+'Pay App 12'!F110,"")</f>
        <v>0</v>
      </c>
      <c r="G110" s="155">
        <f>SUM('Pay App 1:Pay App 12'!H110)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13'!L110)+SUM('Pay App 1:Pay App 13'!M110)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Data'!$O$2:$BX$88,15,FALSE)</f>
        <v>0</v>
      </c>
      <c r="F111" s="155">
        <f>IFERROR(E111+'Pay App 12'!F111,"")</f>
        <v>0</v>
      </c>
      <c r="G111" s="155">
        <f>SUM('Pay App 1:Pay App 12'!H111)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13'!L111)+SUM('Pay App 1:Pay App 13'!M111)</f>
        <v>0</v>
      </c>
    </row>
    <row r="112" spans="1:15" ht="11.25" customHeight="1" x14ac:dyDescent="0.25">
      <c r="A112" s="152">
        <f t="shared" si="3"/>
        <v>51</v>
      </c>
      <c r="B112" s="148" t="str">
        <f>'Pay App 1'!B112</f>
        <v>09 90 00</v>
      </c>
      <c r="C112" s="143" t="str">
        <f>'Pay App 1'!C112</f>
        <v>Painting</v>
      </c>
      <c r="D112" s="155">
        <f>'Pay App 1'!D112</f>
        <v>0</v>
      </c>
      <c r="E112" s="155">
        <f>VLOOKUP(B112,'Graph Data'!$O$2:$BX$88,15,FALSE)</f>
        <v>0</v>
      </c>
      <c r="F112" s="155">
        <f>IFERROR(E112+'Pay App 12'!F112,"")</f>
        <v>0</v>
      </c>
      <c r="G112" s="155">
        <f>SUM('Pay App 1:Pay App 12'!H112)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13'!L112)+SUM('Pay App 1:Pay App 13'!M112)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Data'!$O$2:$BX$88,15,FALSE)</f>
        <v>0</v>
      </c>
      <c r="F113" s="155">
        <f>IFERROR(E113+'Pay App 12'!F113,"")</f>
        <v>0</v>
      </c>
      <c r="G113" s="155">
        <f>SUM('Pay App 1:Pay App 12'!H113)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13'!L113)+SUM('Pay App 1:Pay App 13'!M113)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Data'!$O$2:$BX$88,15,FALSE)</f>
        <v>0</v>
      </c>
      <c r="F114" s="155">
        <f>IFERROR(E114+'Pay App 12'!F114,"")</f>
        <v>0</v>
      </c>
      <c r="G114" s="155">
        <f>SUM('Pay App 1:Pay App 12'!H114)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13'!L114)+SUM('Pay App 1:Pay App 13'!M114)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Data'!$O$2:$BX$88,15,FALSE)</f>
        <v>0</v>
      </c>
      <c r="F115" s="155">
        <f>IFERROR(E115+'Pay App 12'!F115,"")</f>
        <v>0</v>
      </c>
      <c r="G115" s="155">
        <f>SUM('Pay App 1:Pay App 12'!H115)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13'!L115)+SUM('Pay App 1:Pay App 13'!M115)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Data'!$O$2:$BX$88,15,FALSE)</f>
        <v>0</v>
      </c>
      <c r="F116" s="155">
        <f>IFERROR(E116+'Pay App 12'!F116,"")</f>
        <v>0</v>
      </c>
      <c r="G116" s="155">
        <f>SUM('Pay App 1:Pay App 12'!H116)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13'!L116)+SUM('Pay App 1:Pay App 13'!M116)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Data'!$O$2:$BX$88,15,FALSE)</f>
        <v>0</v>
      </c>
      <c r="F117" s="155">
        <f>IFERROR(E117+'Pay App 12'!F117,"")</f>
        <v>0</v>
      </c>
      <c r="G117" s="155">
        <f>SUM('Pay App 1:Pay App 12'!H117)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13'!L117)+SUM('Pay App 1:Pay App 13'!M117)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Data'!$O$2:$BX$88,15,FALSE)</f>
        <v>0</v>
      </c>
      <c r="F118" s="155">
        <f>IFERROR(E118+'Pay App 12'!F118,"")</f>
        <v>0</v>
      </c>
      <c r="G118" s="155">
        <f>SUM('Pay App 1:Pay App 12'!H118)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13'!L118)+SUM('Pay App 1:Pay App 13'!M118)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Data'!$O$2:$BX$88,15,FALSE)</f>
        <v>0</v>
      </c>
      <c r="F119" s="155">
        <f>IFERROR(E119+'Pay App 12'!F119,"")</f>
        <v>0</v>
      </c>
      <c r="G119" s="155">
        <f>SUM('Pay App 1:Pay App 12'!H119)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13'!L119)+SUM('Pay App 1:Pay App 13'!M119)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Data'!$O$2:$BX$88,15,FALSE)</f>
        <v>0</v>
      </c>
      <c r="F120" s="155">
        <f>IFERROR(E120+'Pay App 12'!F120,"")</f>
        <v>0</v>
      </c>
      <c r="G120" s="155">
        <f>SUM('Pay App 1:Pay App 12'!H120)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13'!L120)+SUM('Pay App 1:Pay App 13'!M120)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Data'!$O$2:$BX$88,15,FALSE)</f>
        <v>0</v>
      </c>
      <c r="F121" s="155">
        <f>IFERROR(E121+'Pay App 12'!F121,"")</f>
        <v>0</v>
      </c>
      <c r="G121" s="155">
        <f>SUM('Pay App 1:Pay App 12'!H121)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13'!L121)+SUM('Pay App 1:Pay App 13'!M121)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Data'!$O$2:$BX$88,15,FALSE)</f>
        <v>0</v>
      </c>
      <c r="F122" s="155">
        <f>IFERROR(E122+'Pay App 12'!F122,"")</f>
        <v>0</v>
      </c>
      <c r="G122" s="155">
        <f>SUM('Pay App 1:Pay App 12'!H122)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13'!L122)+SUM('Pay App 1:Pay App 13'!M122)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Data'!$O$2:$BX$88,15,FALSE)</f>
        <v>0</v>
      </c>
      <c r="F123" s="155">
        <f>IFERROR(E123+'Pay App 12'!F123,"")</f>
        <v>0</v>
      </c>
      <c r="G123" s="155">
        <f>SUM('Pay App 1:Pay App 12'!H123)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13'!L123)+SUM('Pay App 1:Pay App 13'!M123)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Data'!$O$2:$BX$88,15,FALSE)</f>
        <v>0</v>
      </c>
      <c r="F124" s="155">
        <f>IFERROR(E124+'Pay App 12'!F124,"")</f>
        <v>0</v>
      </c>
      <c r="G124" s="155">
        <f>SUM('Pay App 1:Pay App 12'!H124)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13'!L124)+SUM('Pay App 1:Pay App 13'!M124)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Data'!$O$2:$BX$88,15,FALSE)</f>
        <v>0</v>
      </c>
      <c r="F125" s="155">
        <f>IFERROR(E125+'Pay App 12'!F125,"")</f>
        <v>0</v>
      </c>
      <c r="G125" s="155">
        <f>SUM('Pay App 1:Pay App 12'!H125)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13'!L125)+SUM('Pay App 1:Pay App 13'!M125)</f>
        <v>0</v>
      </c>
    </row>
    <row r="126" spans="1:14" ht="11.25" customHeight="1" x14ac:dyDescent="0.25">
      <c r="A126" s="152">
        <f t="shared" si="3"/>
        <v>65</v>
      </c>
      <c r="B126" s="188" t="str">
        <f>'Pay App 1'!B126</f>
        <v>14 20 00</v>
      </c>
      <c r="C126" s="194" t="str">
        <f>'Pay App 1'!C126</f>
        <v>Elevator</v>
      </c>
      <c r="D126" s="155">
        <f>'Pay App 1'!D126</f>
        <v>0</v>
      </c>
      <c r="E126" s="155">
        <f>VLOOKUP(B126,'Graph Data'!$O$2:$BX$88,15,FALSE)</f>
        <v>0</v>
      </c>
      <c r="F126" s="155">
        <f>IFERROR(E126+'Pay App 12'!F126,"")</f>
        <v>0</v>
      </c>
      <c r="G126" s="155">
        <f>SUM('Pay App 1:Pay App 12'!H126)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13'!L126)+SUM('Pay App 1:Pay App 13'!M126)</f>
        <v>0</v>
      </c>
    </row>
    <row r="127" spans="1:14" ht="11.25" customHeight="1" x14ac:dyDescent="0.25">
      <c r="A127" s="152">
        <f t="shared" si="3"/>
        <v>66</v>
      </c>
      <c r="B127" s="188" t="str">
        <f>'Pay App 1'!B127</f>
        <v>14 40 00</v>
      </c>
      <c r="C127" s="194" t="str">
        <f>'Pay App 1'!C127</f>
        <v>Lifts</v>
      </c>
      <c r="D127" s="155">
        <f>'Pay App 1'!D127</f>
        <v>0</v>
      </c>
      <c r="E127" s="155">
        <f>VLOOKUP(B127,'Graph Data'!$O$2:$BX$88,15,FALSE)</f>
        <v>0</v>
      </c>
      <c r="F127" s="155">
        <f>IFERROR(E127+'Pay App 12'!F127,"")</f>
        <v>0</v>
      </c>
      <c r="G127" s="155">
        <f>SUM('Pay App 1:Pay App 12'!H127)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13'!L127)+SUM('Pay App 1:Pay App 13'!M127)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Data'!$O$2:$BX$88,15,FALSE)</f>
        <v>0</v>
      </c>
      <c r="F128" s="155">
        <f>IFERROR(E128+'Pay App 12'!F128,"")</f>
        <v>0</v>
      </c>
      <c r="G128" s="155">
        <f>SUM('Pay App 1:Pay App 12'!H128)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13'!L128)+SUM('Pay App 1:Pay App 13'!M128)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Data'!$O$2:$BX$88,15,FALSE)</f>
        <v>0</v>
      </c>
      <c r="F129" s="155">
        <f>IFERROR(E129+'Pay App 12'!F129,"")</f>
        <v>0</v>
      </c>
      <c r="G129" s="155">
        <f>SUM('Pay App 1:Pay App 12'!H129)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13'!L129)+SUM('Pay App 1:Pay App 13'!M129)</f>
        <v>0</v>
      </c>
    </row>
    <row r="130" spans="1:14" ht="11.25" customHeight="1" x14ac:dyDescent="0.25">
      <c r="A130" s="152">
        <f t="shared" si="3"/>
        <v>69</v>
      </c>
      <c r="B130" s="185" t="str">
        <f>'Pay App 1'!B130</f>
        <v>22 00 00</v>
      </c>
      <c r="C130" s="191" t="str">
        <f>'Pay App 1'!C130</f>
        <v>Plumbing</v>
      </c>
      <c r="D130" s="155">
        <f>'Pay App 1'!D130</f>
        <v>0</v>
      </c>
      <c r="E130" s="155">
        <f>VLOOKUP(B130,'Graph Data'!$O$2:$BX$88,15,FALSE)</f>
        <v>0</v>
      </c>
      <c r="F130" s="155">
        <f>IFERROR(E130+'Pay App 12'!F130,"")</f>
        <v>0</v>
      </c>
      <c r="G130" s="155">
        <f>SUM('Pay App 1:Pay App 12'!H130)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13'!L130)+SUM('Pay App 1:Pay App 13'!M130)</f>
        <v>0</v>
      </c>
    </row>
    <row r="131" spans="1:14" ht="11.25" customHeight="1" x14ac:dyDescent="0.25">
      <c r="A131" s="152">
        <f t="shared" si="3"/>
        <v>70</v>
      </c>
      <c r="B131" s="186" t="str">
        <f>'Pay App 1'!B131</f>
        <v>23 00 00</v>
      </c>
      <c r="C131" s="192" t="str">
        <f>'Pay App 1'!C131</f>
        <v>HVAC</v>
      </c>
      <c r="D131" s="155">
        <f>'Pay App 1'!D131</f>
        <v>0</v>
      </c>
      <c r="E131" s="155">
        <f>VLOOKUP(B131,'Graph Data'!$O$2:$BX$88,15,FALSE)</f>
        <v>0</v>
      </c>
      <c r="F131" s="155">
        <f>IFERROR(E131+'Pay App 12'!F131,"")</f>
        <v>0</v>
      </c>
      <c r="G131" s="155">
        <f>SUM('Pay App 1:Pay App 12'!H131)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13'!L131)+SUM('Pay App 1:Pay App 13'!M131)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Data'!$O$2:$BX$88,15,FALSE)</f>
        <v>0</v>
      </c>
      <c r="F132" s="155">
        <f>IFERROR(E132+'Pay App 12'!F132,"")</f>
        <v>0</v>
      </c>
      <c r="G132" s="155">
        <f>SUM('Pay App 1:Pay App 12'!H132)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13'!L132)+SUM('Pay App 1:Pay App 13'!M132)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Data'!$O$2:$BX$88,15,FALSE)</f>
        <v>0</v>
      </c>
      <c r="F133" s="155">
        <f>IFERROR(E133+'Pay App 12'!F133,"")</f>
        <v>0</v>
      </c>
      <c r="G133" s="155">
        <f>SUM('Pay App 1:Pay App 12'!H133)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13'!L133)+SUM('Pay App 1:Pay App 13'!M133)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Data'!$O$2:$BX$88,15,FALSE)</f>
        <v>0</v>
      </c>
      <c r="F134" s="155">
        <f>IFERROR(E134+'Pay App 12'!F134,"")</f>
        <v>0</v>
      </c>
      <c r="G134" s="155">
        <f>SUM('Pay App 1:Pay App 12'!H134)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13'!L134)+SUM('Pay App 1:Pay App 13'!M134)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Data'!$O$2:$BX$88,15,FALSE)</f>
        <v>0</v>
      </c>
      <c r="F135" s="155">
        <f>IFERROR(E135+'Pay App 12'!F135,"")</f>
        <v>0</v>
      </c>
      <c r="G135" s="155">
        <f>SUM('Pay App 1:Pay App 12'!H135)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13'!L135)+SUM('Pay App 1:Pay App 13'!M135)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Data'!$O$2:$BX$88,15,FALSE)</f>
        <v>0</v>
      </c>
      <c r="F136" s="155">
        <f>IFERROR(E136+'Pay App 12'!F136,"")</f>
        <v>0</v>
      </c>
      <c r="G136" s="155">
        <f>SUM('Pay App 1:Pay App 12'!H136)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13'!L136)+SUM('Pay App 1:Pay App 13'!M136)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Data'!$O$2:$BX$88,15,FALSE)</f>
        <v>0</v>
      </c>
      <c r="F137" s="155">
        <f>IFERROR(E137+'Pay App 12'!F137,"")</f>
        <v>0</v>
      </c>
      <c r="G137" s="155">
        <f>SUM('Pay App 1:Pay App 12'!H137)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13'!L137)+SUM('Pay App 1:Pay App 13'!M137)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Data'!$O$2:$BX$88,15,FALSE)</f>
        <v>0</v>
      </c>
      <c r="F138" s="155">
        <f>IFERROR(E138+'Pay App 12'!F138,"")</f>
        <v>0</v>
      </c>
      <c r="G138" s="155">
        <f>SUM('Pay App 1:Pay App 12'!H138)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13'!L138)+SUM('Pay App 1:Pay App 13'!M138)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Data'!$O$2:$BX$88,15,FALSE)</f>
        <v>0</v>
      </c>
      <c r="F139" s="155">
        <f>IFERROR(E139+'Pay App 12'!F139,"")</f>
        <v>0</v>
      </c>
      <c r="G139" s="155">
        <f>SUM('Pay App 1:Pay App 12'!H139)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13'!L139)+SUM('Pay App 1:Pay App 13'!M139)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Data'!$O$2:$BX$88,15,FALSE)</f>
        <v>0</v>
      </c>
      <c r="F140" s="155">
        <f>IFERROR(E140+'Pay App 12'!F140,"")</f>
        <v>0</v>
      </c>
      <c r="G140" s="155">
        <f>SUM('Pay App 1:Pay App 12'!H140)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13'!L140)+SUM('Pay App 1:Pay App 13'!M140)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Data'!$O$2:$BX$88,15,FALSE)</f>
        <v>0</v>
      </c>
      <c r="F141" s="155">
        <f>IFERROR(E141+'Pay App 12'!F141,"")</f>
        <v>0</v>
      </c>
      <c r="G141" s="155">
        <f>SUM('Pay App 1:Pay App 12'!H141)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13'!L141)+SUM('Pay App 1:Pay App 13'!M141)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Data'!$O$2:$BX$88,15,FALSE)</f>
        <v>0</v>
      </c>
      <c r="F142" s="155">
        <f>IFERROR(E142+'Pay App 12'!F142,"")</f>
        <v>0</v>
      </c>
      <c r="G142" s="155">
        <f>SUM('Pay App 1:Pay App 12'!H142)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13'!L142)+SUM('Pay App 1:Pay App 13'!M142)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Data'!$O$2:$BX$88,15,FALSE)</f>
        <v>0</v>
      </c>
      <c r="F143" s="155">
        <f>IFERROR(E143+'Pay App 12'!F143,"")</f>
        <v>0</v>
      </c>
      <c r="G143" s="155">
        <f>SUM('Pay App 1:Pay App 12'!H143)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13'!L143)+SUM('Pay App 1:Pay App 13'!M143)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Data'!$O$2:$BX$88,15,FALSE)</f>
        <v>0</v>
      </c>
      <c r="F144" s="155">
        <f>IFERROR(E144+'Pay App 12'!F144,"")</f>
        <v>0</v>
      </c>
      <c r="G144" s="155">
        <f>SUM('Pay App 1:Pay App 12'!H144)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13'!L144)+SUM('Pay App 1:Pay App 13'!M144)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Data'!$O$2:$BX$88,15,FALSE)</f>
        <v>0</v>
      </c>
      <c r="F145" s="155">
        <f>IFERROR(E145+'Pay App 12'!F145,"")</f>
        <v>0</v>
      </c>
      <c r="G145" s="155">
        <f>SUM('Pay App 1:Pay App 12'!H145)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13'!L145)+SUM('Pay App 1:Pay App 13'!M145)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Data'!$O$2:$BX$88,15,FALSE)</f>
        <v>0</v>
      </c>
      <c r="F146" s="155">
        <f>IFERROR(E146+'Pay App 12'!F146,"")</f>
        <v>0</v>
      </c>
      <c r="G146" s="155">
        <f>SUM('Pay App 1:Pay App 12'!H146)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13'!L146)+SUM('Pay App 1:Pay App 13'!M146)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Data'!$O$2:$BX$88,15,FALSE)</f>
        <v>0</v>
      </c>
      <c r="F147" s="155">
        <f>IFERROR(E147+'Pay App 12'!F147,"")</f>
        <v>0</v>
      </c>
      <c r="G147" s="155">
        <f>SUM('Pay App 1:Pay App 12'!H147)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13'!L147)+SUM('Pay App 1:Pay App 13'!M147)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Data'!$O$2:$BX$88,15,FALSE)</f>
        <v>0</v>
      </c>
      <c r="F148" s="155">
        <f>IFERROR(E148+'Pay App 12'!F148,"")</f>
        <v>0</v>
      </c>
      <c r="G148" s="155">
        <f>SUM('Pay App 1:Pay App 12'!H148)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13'!L148)+SUM('Pay App 1:Pay App 13'!M148)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4XQpCUc5p45LPb5DUrvdIBKeYjbgNmPbasykXwrOSyU3Uj1ASq2WYd2BFERLHmZjQ67jdNtx/mqyXljnODF+Ng==" saltValue="zHz7Dg+DeWTxvqSgIi52a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27" priority="2" operator="equal">
      <formula>0</formula>
    </cfRule>
  </conditionalFormatting>
  <conditionalFormatting sqref="D106:G148">
    <cfRule type="cellIs" dxfId="526" priority="1" operator="equal">
      <formula>0</formula>
    </cfRule>
  </conditionalFormatting>
  <conditionalFormatting sqref="D10:H10 D12:H14 D19:H21">
    <cfRule type="cellIs" dxfId="525" priority="6" operator="equal">
      <formula>0</formula>
    </cfRule>
  </conditionalFormatting>
  <conditionalFormatting sqref="H51">
    <cfRule type="cellIs" dxfId="524" priority="9" operator="lessThan">
      <formula>0</formula>
    </cfRule>
  </conditionalFormatting>
  <conditionalFormatting sqref="I57:I100 K57:K100 I106:I148 K106:K148 N106:N148">
    <cfRule type="cellIs" dxfId="523" priority="14" operator="equal">
      <formula>0</formula>
    </cfRule>
  </conditionalFormatting>
  <conditionalFormatting sqref="J57:J100 J106:J149">
    <cfRule type="cellIs" dxfId="522" priority="11" operator="greaterThan">
      <formula>1</formula>
    </cfRule>
    <cfRule type="cellIs" dxfId="521" priority="12" operator="equal">
      <formula>0</formula>
    </cfRule>
  </conditionalFormatting>
  <conditionalFormatting sqref="K57:K100 K106:K148">
    <cfRule type="cellIs" dxfId="520" priority="10" operator="lessThan">
      <formula>0</formula>
    </cfRule>
  </conditionalFormatting>
  <conditionalFormatting sqref="M57:M100">
    <cfRule type="cellIs" dxfId="519" priority="13" operator="lessThan">
      <formula>0</formula>
    </cfRule>
  </conditionalFormatting>
  <conditionalFormatting sqref="M106:M148">
    <cfRule type="cellIs" dxfId="518" priority="8" operator="lessThan">
      <formula>0</formula>
    </cfRule>
  </conditionalFormatting>
  <conditionalFormatting sqref="N57:N100">
    <cfRule type="cellIs" dxfId="51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BA462769-77BF-482D-8533-4B6626A3FE9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D0735-6E77-4227-81E1-6E0109B31EF5}">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14.1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Data'!$O$2:$BX$88,16,FALSE)</f>
        <v>0</v>
      </c>
      <c r="F57" s="155">
        <f>IFERROR(E57+'Pay App 13'!F57,"")</f>
        <v>0</v>
      </c>
      <c r="G57" s="155">
        <f>SUM('Pay App 1:Pay App 13'!H57)</f>
        <v>0</v>
      </c>
      <c r="H57" s="154"/>
      <c r="I57" s="155">
        <f>G57+H57</f>
        <v>0</v>
      </c>
      <c r="J57" s="156">
        <f>IFERROR(I57/F57,0)</f>
        <v>0</v>
      </c>
      <c r="K57" s="155">
        <f>IFERROR(F57-I57,"")</f>
        <v>0</v>
      </c>
      <c r="L57" s="155" t="str">
        <f>IF(AND('Summary Sheet'!$E$23="No",$H$33&gt;0,H57&gt;=1),"",IF(AND('Summary Sheet'!$E$23="Yes",H57&lt;&gt;""),H57*'Summary Sheet'!$G$23,""))</f>
        <v/>
      </c>
      <c r="M57" s="154"/>
      <c r="N57" s="155">
        <f>SUM('Pay App 1:Pay App 14'!L57)+SUM('Pay App 1:Pay App 14'!M57)</f>
        <v>0</v>
      </c>
    </row>
    <row r="58" spans="1:16" ht="11.25" customHeight="1" x14ac:dyDescent="0.25">
      <c r="A58" s="152">
        <v>2</v>
      </c>
      <c r="B58" s="145" t="str">
        <f>'Pay App 1'!B58</f>
        <v>00 02 00</v>
      </c>
      <c r="C58" s="134" t="str">
        <f>'Pay App 1'!C58</f>
        <v>Preconstruction Services</v>
      </c>
      <c r="D58" s="155">
        <f>'Pay App 1'!D58</f>
        <v>0</v>
      </c>
      <c r="E58" s="155">
        <f>VLOOKUP(B58,'Graph Data'!$O$2:$BX$88,16,FALSE)</f>
        <v>0</v>
      </c>
      <c r="F58" s="155">
        <f>IFERROR(E58+'Pay App 13'!F58,"")</f>
        <v>0</v>
      </c>
      <c r="G58" s="155">
        <f>SUM('Pay App 1:Pay App 13'!H58)</f>
        <v>0</v>
      </c>
      <c r="H58" s="154"/>
      <c r="I58" s="155">
        <f>G58+H58</f>
        <v>0</v>
      </c>
      <c r="J58" s="156">
        <f>IFERROR(I58/F58,0)</f>
        <v>0</v>
      </c>
      <c r="K58" s="155">
        <f>IFERROR(F58-I58,"")</f>
        <v>0</v>
      </c>
      <c r="L58" s="155" t="str">
        <f>IF(AND('Summary Sheet'!$E$23="No",$H$33&gt;0,H58&gt;=1),"",IF(AND('Summary Sheet'!$E$23="Yes",H58&lt;&gt;""),H58*'Summary Sheet'!$G$23,""))</f>
        <v/>
      </c>
      <c r="M58" s="154"/>
      <c r="N58" s="155">
        <f>SUM('Pay App 1:Pay App 14'!L58)+SUM('Pay App 1:Pay App 14'!M58)</f>
        <v>0</v>
      </c>
    </row>
    <row r="59" spans="1:16" ht="11.25" customHeight="1" x14ac:dyDescent="0.25">
      <c r="A59" s="152">
        <v>3</v>
      </c>
      <c r="B59" s="174" t="str">
        <f>'Pay App 1'!B59</f>
        <v>01 00 00</v>
      </c>
      <c r="C59" s="179" t="str">
        <f>'Pay App 1'!C59</f>
        <v>General Conditions/Requirements</v>
      </c>
      <c r="D59" s="155">
        <f>'Pay App 1'!D59</f>
        <v>0</v>
      </c>
      <c r="E59" s="155">
        <f>VLOOKUP(B59,'Graph Data'!$O$2:$BX$88,16,FALSE)</f>
        <v>0</v>
      </c>
      <c r="F59" s="155">
        <f>IFERROR(E59+'Pay App 13'!F59,"")</f>
        <v>0</v>
      </c>
      <c r="G59" s="155">
        <f>SUM('Pay App 1:Pay App 13'!H59)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14'!L59)+SUM('Pay App 1:Pay App 14'!M59)</f>
        <v>0</v>
      </c>
    </row>
    <row r="60" spans="1:16" ht="11.25" customHeight="1" x14ac:dyDescent="0.25">
      <c r="A60" s="152">
        <v>4</v>
      </c>
      <c r="B60" s="174" t="str">
        <f>'Pay App 1'!B60</f>
        <v>01 13 41</v>
      </c>
      <c r="C60" s="179" t="str">
        <f>'Pay App 1'!C60</f>
        <v>Temp. Scaffolding and Platforms</v>
      </c>
      <c r="D60" s="155">
        <f>'Pay App 1'!D60</f>
        <v>0</v>
      </c>
      <c r="E60" s="155">
        <f>VLOOKUP(B60,'Graph Data'!$O$2:$BX$88,16,FALSE)</f>
        <v>0</v>
      </c>
      <c r="F60" s="155">
        <f>IFERROR(E60+'Pay App 13'!F60,"")</f>
        <v>0</v>
      </c>
      <c r="G60" s="155">
        <f>SUM('Pay App 1:Pay App 13'!H60)</f>
        <v>0</v>
      </c>
      <c r="H60" s="154"/>
      <c r="I60" s="155">
        <f t="shared" si="0"/>
        <v>0</v>
      </c>
      <c r="J60" s="156">
        <f t="shared" si="1"/>
        <v>0</v>
      </c>
      <c r="K60" s="155">
        <f t="shared" si="2"/>
        <v>0</v>
      </c>
      <c r="L60" s="155" t="str">
        <f>IF(AND('Summary Sheet'!$E$23="No",$H$33&gt;0,H60&gt;=1),"",IF(AND('Summary Sheet'!$E$23="Yes",H60&lt;&gt;""),H60*'Summary Sheet'!$G$23,""))</f>
        <v/>
      </c>
      <c r="M60" s="154"/>
      <c r="N60" s="155">
        <f>SUM('Pay App 1:Pay App 14'!L60)+SUM('Pay App 1:Pay App 14'!M60)</f>
        <v>0</v>
      </c>
    </row>
    <row r="61" spans="1:16" ht="11.25" customHeight="1" x14ac:dyDescent="0.25">
      <c r="A61" s="152">
        <v>5</v>
      </c>
      <c r="B61" s="174" t="str">
        <f>'Pay App 1'!B61</f>
        <v>01 13 60</v>
      </c>
      <c r="C61" s="179" t="str">
        <f>'Pay App 1'!C61</f>
        <v>SWPPP</v>
      </c>
      <c r="D61" s="155">
        <f>'Pay App 1'!D61</f>
        <v>0</v>
      </c>
      <c r="E61" s="155">
        <f>VLOOKUP(B61,'Graph Data'!$O$2:$BX$88,16,FALSE)</f>
        <v>0</v>
      </c>
      <c r="F61" s="155">
        <f>IFERROR(E61+'Pay App 13'!F61,"")</f>
        <v>0</v>
      </c>
      <c r="G61" s="155">
        <f>SUM('Pay App 1:Pay App 13'!H61)</f>
        <v>0</v>
      </c>
      <c r="H61" s="154"/>
      <c r="I61" s="155">
        <f t="shared" si="0"/>
        <v>0</v>
      </c>
      <c r="J61" s="156">
        <f t="shared" si="1"/>
        <v>0</v>
      </c>
      <c r="K61" s="155">
        <f t="shared" si="2"/>
        <v>0</v>
      </c>
      <c r="L61" s="155" t="str">
        <f>IF(AND('Summary Sheet'!$E$23="No",$H$33&gt;0,H61&gt;=1),"",IF(AND('Summary Sheet'!$E$23="Yes",H61&lt;&gt;""),H61*'Summary Sheet'!$G$23,""))</f>
        <v/>
      </c>
      <c r="M61" s="154"/>
      <c r="N61" s="155">
        <f>SUM('Pay App 1:Pay App 14'!L61)+SUM('Pay App 1:Pay App 14'!M61)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Data'!$O$2:$BX$88,16,FALSE)</f>
        <v>0</v>
      </c>
      <c r="F62" s="155">
        <f>IFERROR(E62+'Pay App 13'!F62,"")</f>
        <v>0</v>
      </c>
      <c r="G62" s="155">
        <f>SUM('Pay App 1:Pay App 13'!H62)</f>
        <v>0</v>
      </c>
      <c r="H62" s="154"/>
      <c r="I62" s="155">
        <f t="shared" si="0"/>
        <v>0</v>
      </c>
      <c r="J62" s="156">
        <f t="shared" si="1"/>
        <v>0</v>
      </c>
      <c r="K62" s="155">
        <f t="shared" si="2"/>
        <v>0</v>
      </c>
      <c r="L62" s="155" t="str">
        <f>IF(AND('Summary Sheet'!$E$23="No",$H$33&gt;0,H62&gt;=1),"",IF(AND('Summary Sheet'!$E$23="Yes",H62&lt;&gt;""),H62*'Summary Sheet'!$G$23,""))</f>
        <v/>
      </c>
      <c r="M62" s="154"/>
      <c r="N62" s="155">
        <f>SUM('Pay App 1:Pay App 14'!L62)+SUM('Pay App 1:Pay App 14'!M62)</f>
        <v>0</v>
      </c>
    </row>
    <row r="63" spans="1:16" ht="11.25" customHeight="1" x14ac:dyDescent="0.25">
      <c r="A63" s="152">
        <v>7</v>
      </c>
      <c r="B63" s="174" t="str">
        <f>'Pay App 1'!B63</f>
        <v>01 31 00</v>
      </c>
      <c r="C63" s="179" t="str">
        <f>'Pay App 1'!C63</f>
        <v>Contractor's Supervision</v>
      </c>
      <c r="D63" s="155">
        <f>'Pay App 1'!D63</f>
        <v>0</v>
      </c>
      <c r="E63" s="155">
        <f>VLOOKUP(B63,'Graph Data'!$O$2:$BX$88,16,FALSE)</f>
        <v>0</v>
      </c>
      <c r="F63" s="155">
        <f>IFERROR(E63+'Pay App 13'!F63,"")</f>
        <v>0</v>
      </c>
      <c r="G63" s="155">
        <f>SUM('Pay App 1:Pay App 13'!H63)</f>
        <v>0</v>
      </c>
      <c r="H63" s="154"/>
      <c r="I63" s="155">
        <f t="shared" si="0"/>
        <v>0</v>
      </c>
      <c r="J63" s="156">
        <f t="shared" si="1"/>
        <v>0</v>
      </c>
      <c r="K63" s="155">
        <f t="shared" si="2"/>
        <v>0</v>
      </c>
      <c r="L63" s="155" t="str">
        <f>IF(AND('Summary Sheet'!$E$23="No",$H$33&gt;0,H63&gt;=1),"",IF(AND('Summary Sheet'!$E$23="Yes",H63&lt;&gt;""),H63*'Summary Sheet'!$G$23,""))</f>
        <v/>
      </c>
      <c r="M63" s="154"/>
      <c r="N63" s="155">
        <f>SUM('Pay App 1:Pay App 14'!L63)+SUM('Pay App 1:Pay App 14'!M63)</f>
        <v>0</v>
      </c>
    </row>
    <row r="64" spans="1:16" ht="11.25" customHeight="1" x14ac:dyDescent="0.25">
      <c r="A64" s="152">
        <v>8</v>
      </c>
      <c r="B64" s="174" t="str">
        <f>'Pay App 1'!B64</f>
        <v>01 32 00</v>
      </c>
      <c r="C64" s="179" t="str">
        <f>'Pay App 1'!C64</f>
        <v>General Liability Insurance</v>
      </c>
      <c r="D64" s="155">
        <f>'Pay App 1'!D64</f>
        <v>0</v>
      </c>
      <c r="E64" s="155">
        <f>VLOOKUP(B64,'Graph Data'!$O$2:$BX$88,16,FALSE)</f>
        <v>0</v>
      </c>
      <c r="F64" s="155">
        <f>IFERROR(E64+'Pay App 13'!F64,"")</f>
        <v>0</v>
      </c>
      <c r="G64" s="155">
        <f>SUM('Pay App 1:Pay App 13'!H64)</f>
        <v>0</v>
      </c>
      <c r="H64" s="154"/>
      <c r="I64" s="155">
        <f t="shared" si="0"/>
        <v>0</v>
      </c>
      <c r="J64" s="156">
        <f t="shared" si="1"/>
        <v>0</v>
      </c>
      <c r="K64" s="155">
        <f t="shared" si="2"/>
        <v>0</v>
      </c>
      <c r="L64" s="155" t="str">
        <f>IF(AND('Summary Sheet'!$E$23="No",$H$33&gt;0,H64&gt;=1),"",IF(AND('Summary Sheet'!$E$23="Yes",H64&lt;&gt;""),H64*'Summary Sheet'!$G$23,""))</f>
        <v/>
      </c>
      <c r="M64" s="154"/>
      <c r="N64" s="155">
        <f>SUM('Pay App 1:Pay App 14'!L64)+SUM('Pay App 1:Pay App 14'!M64)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Data'!$O$2:$BX$88,16,FALSE)</f>
        <v>0</v>
      </c>
      <c r="F65" s="155">
        <f>IFERROR(E65+'Pay App 13'!F65,"")</f>
        <v>0</v>
      </c>
      <c r="G65" s="155">
        <f>SUM('Pay App 1:Pay App 13'!H65)</f>
        <v>0</v>
      </c>
      <c r="H65" s="154"/>
      <c r="I65" s="155">
        <f t="shared" si="0"/>
        <v>0</v>
      </c>
      <c r="J65" s="156">
        <f t="shared" si="1"/>
        <v>0</v>
      </c>
      <c r="K65" s="155">
        <f t="shared" si="2"/>
        <v>0</v>
      </c>
      <c r="L65" s="155" t="str">
        <f>IF(AND('Summary Sheet'!$E$23="No",$H$33&gt;0,H65&gt;=1),"",IF(AND('Summary Sheet'!$E$23="Yes",H65&lt;&gt;""),H65*'Summary Sheet'!$G$23,""))</f>
        <v/>
      </c>
      <c r="M65" s="154"/>
      <c r="N65" s="155">
        <f>SUM('Pay App 1:Pay App 14'!L65)+SUM('Pay App 1:Pay App 14'!M65)</f>
        <v>0</v>
      </c>
    </row>
    <row r="66" spans="1:17" ht="11.25" customHeight="1" x14ac:dyDescent="0.25">
      <c r="A66" s="152">
        <v>10</v>
      </c>
      <c r="B66" s="174" t="str">
        <f>'Pay App 1'!B66</f>
        <v>01 34 00</v>
      </c>
      <c r="C66" s="179" t="str">
        <f>'Pay App 1'!C66</f>
        <v>Subcontractor Default Insurance</v>
      </c>
      <c r="D66" s="155">
        <f>'Pay App 1'!D66</f>
        <v>0</v>
      </c>
      <c r="E66" s="155">
        <f>VLOOKUP(B66,'Graph Data'!$O$2:$BX$88,16,FALSE)</f>
        <v>0</v>
      </c>
      <c r="F66" s="155">
        <f>IFERROR(E66+'Pay App 13'!F66,"")</f>
        <v>0</v>
      </c>
      <c r="G66" s="155">
        <f>SUM('Pay App 1:Pay App 13'!H66)</f>
        <v>0</v>
      </c>
      <c r="H66" s="154"/>
      <c r="I66" s="155">
        <f t="shared" si="0"/>
        <v>0</v>
      </c>
      <c r="J66" s="156">
        <f t="shared" si="1"/>
        <v>0</v>
      </c>
      <c r="K66" s="155">
        <f t="shared" si="2"/>
        <v>0</v>
      </c>
      <c r="L66" s="155" t="str">
        <f>IF(AND('Summary Sheet'!$E$23="No",$H$33&gt;0,H66&gt;=1),"",IF(AND('Summary Sheet'!$E$23="Yes",H66&lt;&gt;""),H66*'Summary Sheet'!$G$23,""))</f>
        <v/>
      </c>
      <c r="M66" s="154"/>
      <c r="N66" s="155">
        <f>SUM('Pay App 1:Pay App 14'!L66)+SUM('Pay App 1:Pay App 14'!M66)</f>
        <v>0</v>
      </c>
    </row>
    <row r="67" spans="1:17" ht="11.25" customHeight="1" x14ac:dyDescent="0.25">
      <c r="A67" s="152">
        <v>11</v>
      </c>
      <c r="B67" s="174" t="str">
        <f>'Pay App 1'!B67</f>
        <v>01 35 00</v>
      </c>
      <c r="C67" s="179" t="str">
        <f>'Pay App 1'!C67</f>
        <v>Construction Management Fee</v>
      </c>
      <c r="D67" s="155">
        <f>'Pay App 1'!D67</f>
        <v>0</v>
      </c>
      <c r="E67" s="155">
        <f>VLOOKUP(B67,'Graph Data'!$O$2:$BX$88,16,FALSE)</f>
        <v>0</v>
      </c>
      <c r="F67" s="155">
        <f>IFERROR(E67+'Pay App 13'!F67,"")</f>
        <v>0</v>
      </c>
      <c r="G67" s="155">
        <f>SUM('Pay App 1:Pay App 13'!H67)</f>
        <v>0</v>
      </c>
      <c r="H67" s="154"/>
      <c r="I67" s="155">
        <f t="shared" si="0"/>
        <v>0</v>
      </c>
      <c r="J67" s="156">
        <f t="shared" si="1"/>
        <v>0</v>
      </c>
      <c r="K67" s="155">
        <f t="shared" si="2"/>
        <v>0</v>
      </c>
      <c r="L67" s="155" t="str">
        <f>IF(AND('Summary Sheet'!$E$23="No",$H$33&gt;0,H67&gt;=1),"",IF(AND('Summary Sheet'!$E$23="Yes",H67&lt;&gt;""),H67*'Summary Sheet'!$G$23,""))</f>
        <v/>
      </c>
      <c r="M67" s="154"/>
      <c r="N67" s="155">
        <f>SUM('Pay App 1:Pay App 14'!L67)+SUM('Pay App 1:Pay App 14'!M67)</f>
        <v>0</v>
      </c>
    </row>
    <row r="68" spans="1:17" ht="11.25" customHeight="1" x14ac:dyDescent="0.25">
      <c r="A68" s="152">
        <v>12</v>
      </c>
      <c r="B68" s="174" t="str">
        <f>'Pay App 1'!B68</f>
        <v>01 36 00</v>
      </c>
      <c r="C68" s="179" t="str">
        <f>'Pay App 1'!C68</f>
        <v>Contingency</v>
      </c>
      <c r="D68" s="155">
        <f>'Pay App 1'!D68</f>
        <v>0</v>
      </c>
      <c r="E68" s="155">
        <f>VLOOKUP(B68,'Graph Data'!$O$2:$BX$88,16,FALSE)</f>
        <v>0</v>
      </c>
      <c r="F68" s="155">
        <f>IFERROR(E68+'Pay App 13'!F68,"")</f>
        <v>0</v>
      </c>
      <c r="G68" s="155">
        <f>SUM('Pay App 1:Pay App 13'!H68)</f>
        <v>0</v>
      </c>
      <c r="H68" s="154"/>
      <c r="I68" s="155">
        <f t="shared" si="0"/>
        <v>0</v>
      </c>
      <c r="J68" s="156">
        <f t="shared" si="1"/>
        <v>0</v>
      </c>
      <c r="K68" s="155">
        <f t="shared" si="2"/>
        <v>0</v>
      </c>
      <c r="L68" s="155" t="str">
        <f>IF(AND('Summary Sheet'!$E$23="No",$H$33&gt;0,H68&gt;=1),"",IF(AND('Summary Sheet'!$E$23="Yes",H68&lt;&gt;""),H68*'Summary Sheet'!$G$23,""))</f>
        <v/>
      </c>
      <c r="M68" s="154"/>
      <c r="N68" s="155">
        <f>SUM('Pay App 1:Pay App 14'!L68)+SUM('Pay App 1:Pay App 14'!M68)</f>
        <v>0</v>
      </c>
    </row>
    <row r="69" spans="1:17" ht="11.25" customHeight="1" x14ac:dyDescent="0.25">
      <c r="A69" s="152">
        <v>13</v>
      </c>
      <c r="B69" s="174" t="str">
        <f>'Pay App 1'!B69</f>
        <v>01 37 00</v>
      </c>
      <c r="C69" s="179" t="str">
        <f>'Pay App 1'!C69</f>
        <v>Weather Allowance (All Trades)</v>
      </c>
      <c r="D69" s="155">
        <f>'Pay App 1'!D69</f>
        <v>0</v>
      </c>
      <c r="E69" s="155">
        <f>VLOOKUP(B69,'Graph Data'!$O$2:$BX$88,16,FALSE)</f>
        <v>0</v>
      </c>
      <c r="F69" s="155">
        <f>IFERROR(E69+'Pay App 13'!F69,"")</f>
        <v>0</v>
      </c>
      <c r="G69" s="155">
        <f>SUM('Pay App 1:Pay App 13'!H69)</f>
        <v>0</v>
      </c>
      <c r="H69" s="154"/>
      <c r="I69" s="155">
        <f t="shared" si="0"/>
        <v>0</v>
      </c>
      <c r="J69" s="156">
        <f t="shared" si="1"/>
        <v>0</v>
      </c>
      <c r="K69" s="155">
        <f t="shared" si="2"/>
        <v>0</v>
      </c>
      <c r="L69" s="155" t="str">
        <f>IF(AND('Summary Sheet'!$E$23="No",$H$33&gt;0,H69&gt;=1),"",IF(AND('Summary Sheet'!$E$23="Yes",H69&lt;&gt;""),H69*'Summary Sheet'!$G$23,""))</f>
        <v/>
      </c>
      <c r="M69" s="154"/>
      <c r="N69" s="155">
        <f>SUM('Pay App 1:Pay App 14'!L69)+SUM('Pay App 1:Pay App 14'!M69)</f>
        <v>0</v>
      </c>
    </row>
    <row r="70" spans="1:17" ht="11.25" customHeight="1" x14ac:dyDescent="0.25">
      <c r="A70" s="152">
        <v>14</v>
      </c>
      <c r="B70" s="174" t="str">
        <f>'Pay App 1'!B70</f>
        <v>01 74 23</v>
      </c>
      <c r="C70" s="179" t="str">
        <f>'Pay App 1'!C70</f>
        <v>Cleaning (Final)</v>
      </c>
      <c r="D70" s="155">
        <f>'Pay App 1'!D70</f>
        <v>0</v>
      </c>
      <c r="E70" s="155">
        <f>VLOOKUP(B70,'Graph Data'!$O$2:$BX$88,16,FALSE)</f>
        <v>0</v>
      </c>
      <c r="F70" s="155">
        <f>IFERROR(E70+'Pay App 13'!F70,"")</f>
        <v>0</v>
      </c>
      <c r="G70" s="155">
        <f>SUM('Pay App 1:Pay App 13'!H70)</f>
        <v>0</v>
      </c>
      <c r="H70" s="154"/>
      <c r="I70" s="155">
        <f t="shared" si="0"/>
        <v>0</v>
      </c>
      <c r="J70" s="156">
        <f t="shared" si="1"/>
        <v>0</v>
      </c>
      <c r="K70" s="155">
        <f t="shared" si="2"/>
        <v>0</v>
      </c>
      <c r="L70" s="155" t="str">
        <f>IF(AND('Summary Sheet'!$E$23="No",$H$33&gt;0,H70&gt;=1),"",IF(AND('Summary Sheet'!$E$23="Yes",H70&lt;&gt;""),H70*'Summary Sheet'!$G$23,""))</f>
        <v/>
      </c>
      <c r="M70" s="154"/>
      <c r="N70" s="155">
        <f>SUM('Pay App 1:Pay App 14'!L70)+SUM('Pay App 1:Pay App 14'!M70)</f>
        <v>0</v>
      </c>
    </row>
    <row r="71" spans="1:17" ht="11.25" customHeight="1" x14ac:dyDescent="0.25">
      <c r="A71" s="152">
        <v>15</v>
      </c>
      <c r="B71" s="175" t="str">
        <f>'Pay App 1'!B71</f>
        <v>02 21 00</v>
      </c>
      <c r="C71" s="180" t="str">
        <f>'Pay App 1'!C71</f>
        <v>Survey/Engineering</v>
      </c>
      <c r="D71" s="155">
        <f>'Pay App 1'!D71</f>
        <v>0</v>
      </c>
      <c r="E71" s="155">
        <f>VLOOKUP(B71,'Graph Data'!$O$2:$BX$88,16,FALSE)</f>
        <v>0</v>
      </c>
      <c r="F71" s="155">
        <f>IFERROR(E71+'Pay App 13'!F71,"")</f>
        <v>0</v>
      </c>
      <c r="G71" s="155">
        <f>SUM('Pay App 1:Pay App 13'!H71)</f>
        <v>0</v>
      </c>
      <c r="H71" s="154"/>
      <c r="I71" s="155">
        <f t="shared" si="0"/>
        <v>0</v>
      </c>
      <c r="J71" s="156">
        <f t="shared" si="1"/>
        <v>0</v>
      </c>
      <c r="K71" s="155">
        <f t="shared" si="2"/>
        <v>0</v>
      </c>
      <c r="L71" s="155" t="str">
        <f>IF(AND('Summary Sheet'!$E$23="No",$H$33&gt;0,H71&gt;=1),"",IF(AND('Summary Sheet'!$E$23="Yes",H71&lt;&gt;""),H71*'Summary Sheet'!$G$23,""))</f>
        <v/>
      </c>
      <c r="M71" s="154"/>
      <c r="N71" s="155">
        <f>SUM('Pay App 1:Pay App 14'!L71)+SUM('Pay App 1:Pay App 14'!M71)</f>
        <v>0</v>
      </c>
      <c r="Q71" s="28"/>
    </row>
    <row r="72" spans="1:17" ht="11.25" customHeight="1" x14ac:dyDescent="0.25">
      <c r="A72" s="152">
        <v>16</v>
      </c>
      <c r="B72" s="175" t="str">
        <f>'Pay App 1'!B72</f>
        <v>02 41 00</v>
      </c>
      <c r="C72" s="180" t="str">
        <f>'Pay App 1'!C72</f>
        <v>Demolition</v>
      </c>
      <c r="D72" s="155">
        <f>'Pay App 1'!D72</f>
        <v>0</v>
      </c>
      <c r="E72" s="155">
        <f>VLOOKUP(B72,'Graph Data'!$O$2:$BX$88,16,FALSE)</f>
        <v>0</v>
      </c>
      <c r="F72" s="155">
        <f>IFERROR(E72+'Pay App 13'!F72,"")</f>
        <v>0</v>
      </c>
      <c r="G72" s="155">
        <f>SUM('Pay App 1:Pay App 13'!H72)</f>
        <v>0</v>
      </c>
      <c r="H72" s="154"/>
      <c r="I72" s="155">
        <f t="shared" si="0"/>
        <v>0</v>
      </c>
      <c r="J72" s="156">
        <f t="shared" si="1"/>
        <v>0</v>
      </c>
      <c r="K72" s="155">
        <f t="shared" si="2"/>
        <v>0</v>
      </c>
      <c r="L72" s="155" t="str">
        <f>IF(AND('Summary Sheet'!$E$23="No",$H$33&gt;0,H72&gt;=1),"",IF(AND('Summary Sheet'!$E$23="Yes",H72&lt;&gt;""),H72*'Summary Sheet'!$G$23,""))</f>
        <v/>
      </c>
      <c r="M72" s="154"/>
      <c r="N72" s="155">
        <f>SUM('Pay App 1:Pay App 14'!L72)+SUM('Pay App 1:Pay App 14'!M72)</f>
        <v>0</v>
      </c>
      <c r="Q72" s="28"/>
    </row>
    <row r="73" spans="1:17" ht="11.25" customHeight="1" x14ac:dyDescent="0.25">
      <c r="A73" s="152">
        <v>17</v>
      </c>
      <c r="B73" s="175" t="str">
        <f>'Pay App 1'!B73</f>
        <v>02 82 00</v>
      </c>
      <c r="C73" s="180" t="str">
        <f>'Pay App 1'!C73</f>
        <v>Asbestos Abatement</v>
      </c>
      <c r="D73" s="155">
        <f>'Pay App 1'!D73</f>
        <v>0</v>
      </c>
      <c r="E73" s="155">
        <f>VLOOKUP(B73,'Graph Data'!$O$2:$BX$88,16,FALSE)</f>
        <v>0</v>
      </c>
      <c r="F73" s="155">
        <f>IFERROR(E73+'Pay App 13'!F73,"")</f>
        <v>0</v>
      </c>
      <c r="G73" s="155">
        <f>SUM('Pay App 1:Pay App 13'!H73)</f>
        <v>0</v>
      </c>
      <c r="H73" s="154"/>
      <c r="I73" s="155">
        <f t="shared" si="0"/>
        <v>0</v>
      </c>
      <c r="J73" s="156">
        <f t="shared" si="1"/>
        <v>0</v>
      </c>
      <c r="K73" s="155">
        <f t="shared" si="2"/>
        <v>0</v>
      </c>
      <c r="L73" s="155" t="str">
        <f>IF(AND('Summary Sheet'!$E$23="No",$H$33&gt;0,H73&gt;=1),"",IF(AND('Summary Sheet'!$E$23="Yes",H73&lt;&gt;""),H73*'Summary Sheet'!$G$23,""))</f>
        <v/>
      </c>
      <c r="M73" s="154"/>
      <c r="N73" s="155">
        <f>SUM('Pay App 1:Pay App 14'!L73)+SUM('Pay App 1:Pay App 14'!M73)</f>
        <v>0</v>
      </c>
    </row>
    <row r="74" spans="1:17" ht="11.25" customHeight="1" x14ac:dyDescent="0.25">
      <c r="A74" s="152">
        <v>18</v>
      </c>
      <c r="B74" s="176" t="str">
        <f>'Pay App 1'!B74</f>
        <v>03 00 00</v>
      </c>
      <c r="C74" s="181" t="str">
        <f>'Pay App 1'!C74</f>
        <v>Building Concrete</v>
      </c>
      <c r="D74" s="155">
        <f>'Pay App 1'!D74</f>
        <v>0</v>
      </c>
      <c r="E74" s="155">
        <f>VLOOKUP(B74,'Graph Data'!$O$2:$BX$88,16,FALSE)</f>
        <v>0</v>
      </c>
      <c r="F74" s="155">
        <f>IFERROR(E74+'Pay App 13'!F74,"")</f>
        <v>0</v>
      </c>
      <c r="G74" s="155">
        <f>SUM('Pay App 1:Pay App 13'!H74)</f>
        <v>0</v>
      </c>
      <c r="H74" s="154"/>
      <c r="I74" s="155">
        <f t="shared" si="0"/>
        <v>0</v>
      </c>
      <c r="J74" s="156">
        <f t="shared" si="1"/>
        <v>0</v>
      </c>
      <c r="K74" s="155">
        <f t="shared" si="2"/>
        <v>0</v>
      </c>
      <c r="L74" s="155" t="str">
        <f>IF(AND('Summary Sheet'!$E$23="No",$H$33&gt;0,H74&gt;=1),"",IF(AND('Summary Sheet'!$E$23="Yes",H74&lt;&gt;""),H74*'Summary Sheet'!$G$23,""))</f>
        <v/>
      </c>
      <c r="M74" s="154"/>
      <c r="N74" s="155">
        <f>SUM('Pay App 1:Pay App 14'!L74)+SUM('Pay App 1:Pay App 14'!M74)</f>
        <v>0</v>
      </c>
    </row>
    <row r="75" spans="1:17" ht="11.25" customHeight="1" x14ac:dyDescent="0.25">
      <c r="A75" s="152">
        <v>19</v>
      </c>
      <c r="B75" s="176" t="str">
        <f>'Pay App 1'!B75</f>
        <v>03 20 00</v>
      </c>
      <c r="C75" s="181" t="str">
        <f>'Pay App 1'!C75</f>
        <v>Building Concrete Reinforcing</v>
      </c>
      <c r="D75" s="155">
        <f>'Pay App 1'!D75</f>
        <v>0</v>
      </c>
      <c r="E75" s="155">
        <f>VLOOKUP(B75,'Graph Data'!$O$2:$BX$88,16,FALSE)</f>
        <v>0</v>
      </c>
      <c r="F75" s="155">
        <f>IFERROR(E75+'Pay App 13'!F75,"")</f>
        <v>0</v>
      </c>
      <c r="G75" s="155">
        <f>SUM('Pay App 1:Pay App 13'!H75)</f>
        <v>0</v>
      </c>
      <c r="H75" s="154"/>
      <c r="I75" s="155">
        <f t="shared" si="0"/>
        <v>0</v>
      </c>
      <c r="J75" s="156">
        <f t="shared" si="1"/>
        <v>0</v>
      </c>
      <c r="K75" s="155">
        <f t="shared" si="2"/>
        <v>0</v>
      </c>
      <c r="L75" s="155" t="str">
        <f>IF(AND('Summary Sheet'!$E$23="No",$H$33&gt;0,H75&gt;=1),"",IF(AND('Summary Sheet'!$E$23="Yes",H75&lt;&gt;""),H75*'Summary Sheet'!$G$23,""))</f>
        <v/>
      </c>
      <c r="M75" s="154"/>
      <c r="N75" s="155">
        <f>SUM('Pay App 1:Pay App 14'!L75)+SUM('Pay App 1:Pay App 14'!M75)</f>
        <v>0</v>
      </c>
    </row>
    <row r="76" spans="1:17" ht="11.25" customHeight="1" x14ac:dyDescent="0.25">
      <c r="A76" s="152">
        <v>20</v>
      </c>
      <c r="B76" s="176" t="str">
        <f>'Pay App 1'!B76</f>
        <v>03 40 00</v>
      </c>
      <c r="C76" s="181" t="str">
        <f>'Pay App 1'!C76</f>
        <v>Precast</v>
      </c>
      <c r="D76" s="155">
        <f>'Pay App 1'!D76</f>
        <v>0</v>
      </c>
      <c r="E76" s="155">
        <f>VLOOKUP(B76,'Graph Data'!$O$2:$BX$88,16,FALSE)</f>
        <v>0</v>
      </c>
      <c r="F76" s="155">
        <f>IFERROR(E76+'Pay App 13'!F76,"")</f>
        <v>0</v>
      </c>
      <c r="G76" s="155">
        <f>SUM('Pay App 1:Pay App 13'!H76)</f>
        <v>0</v>
      </c>
      <c r="H76" s="154"/>
      <c r="I76" s="155">
        <f t="shared" si="0"/>
        <v>0</v>
      </c>
      <c r="J76" s="156">
        <f t="shared" si="1"/>
        <v>0</v>
      </c>
      <c r="K76" s="155">
        <f t="shared" si="2"/>
        <v>0</v>
      </c>
      <c r="L76" s="155" t="str">
        <f>IF(AND('Summary Sheet'!$E$23="No",$H$33&gt;0,H76&gt;=1),"",IF(AND('Summary Sheet'!$E$23="Yes",H76&lt;&gt;""),H76*'Summary Sheet'!$G$23,""))</f>
        <v/>
      </c>
      <c r="M76" s="154"/>
      <c r="N76" s="155">
        <f>SUM('Pay App 1:Pay App 14'!L76)+SUM('Pay App 1:Pay App 14'!M76)</f>
        <v>0</v>
      </c>
    </row>
    <row r="77" spans="1:17" ht="11.25" customHeight="1" x14ac:dyDescent="0.25">
      <c r="A77" s="152">
        <v>21</v>
      </c>
      <c r="B77" s="177" t="str">
        <f>'Pay App 1'!B77</f>
        <v>04 00 00</v>
      </c>
      <c r="C77" s="182" t="str">
        <f>'Pay App 1'!C77</f>
        <v>Masonry</v>
      </c>
      <c r="D77" s="155">
        <f>'Pay App 1'!D77</f>
        <v>0</v>
      </c>
      <c r="E77" s="155">
        <f>VLOOKUP(B77,'Graph Data'!$O$2:$BX$88,16,FALSE)</f>
        <v>0</v>
      </c>
      <c r="F77" s="155">
        <f>IFERROR(E77+'Pay App 13'!F77,"")</f>
        <v>0</v>
      </c>
      <c r="G77" s="155">
        <f>SUM('Pay App 1:Pay App 13'!H77)</f>
        <v>0</v>
      </c>
      <c r="H77" s="154"/>
      <c r="I77" s="155">
        <f t="shared" si="0"/>
        <v>0</v>
      </c>
      <c r="J77" s="156">
        <f t="shared" si="1"/>
        <v>0</v>
      </c>
      <c r="K77" s="155">
        <f t="shared" si="2"/>
        <v>0</v>
      </c>
      <c r="L77" s="155" t="str">
        <f>IF(AND('Summary Sheet'!$E$23="No",$H$33&gt;0,H77&gt;=1),"",IF(AND('Summary Sheet'!$E$23="Yes",H77&lt;&gt;""),H77*'Summary Sheet'!$G$23,""))</f>
        <v/>
      </c>
      <c r="M77" s="154"/>
      <c r="N77" s="155">
        <f>SUM('Pay App 1:Pay App 14'!L77)+SUM('Pay App 1:Pay App 14'!M77)</f>
        <v>0</v>
      </c>
    </row>
    <row r="78" spans="1:17" ht="11.25" customHeight="1" x14ac:dyDescent="0.25">
      <c r="A78" s="152">
        <v>22</v>
      </c>
      <c r="B78" s="177" t="str">
        <f>'Pay App 1'!B78</f>
        <v>04 05 19</v>
      </c>
      <c r="C78" s="182" t="str">
        <f>'Pay App 1'!C78</f>
        <v>Masonry Reinforcing</v>
      </c>
      <c r="D78" s="155">
        <f>'Pay App 1'!D78</f>
        <v>0</v>
      </c>
      <c r="E78" s="155">
        <f>VLOOKUP(B78,'Graph Data'!$O$2:$BX$88,16,FALSE)</f>
        <v>0</v>
      </c>
      <c r="F78" s="155">
        <f>IFERROR(E78+'Pay App 13'!F78,"")</f>
        <v>0</v>
      </c>
      <c r="G78" s="155">
        <f>SUM('Pay App 1:Pay App 13'!H78)</f>
        <v>0</v>
      </c>
      <c r="H78" s="154"/>
      <c r="I78" s="155">
        <f t="shared" si="0"/>
        <v>0</v>
      </c>
      <c r="J78" s="156">
        <f t="shared" si="1"/>
        <v>0</v>
      </c>
      <c r="K78" s="155">
        <f t="shared" si="2"/>
        <v>0</v>
      </c>
      <c r="L78" s="155" t="str">
        <f>IF(AND('Summary Sheet'!$E$23="No",$H$33&gt;0,H78&gt;=1),"",IF(AND('Summary Sheet'!$E$23="Yes",H78&lt;&gt;""),H78*'Summary Sheet'!$G$23,""))</f>
        <v/>
      </c>
      <c r="M78" s="154"/>
      <c r="N78" s="155">
        <f>SUM('Pay App 1:Pay App 14'!L78)+SUM('Pay App 1:Pay App 14'!M78)</f>
        <v>0</v>
      </c>
    </row>
    <row r="79" spans="1:17" ht="11.25" customHeight="1" x14ac:dyDescent="0.25">
      <c r="A79" s="152">
        <v>23</v>
      </c>
      <c r="B79" s="178" t="str">
        <f>'Pay App 1'!B79</f>
        <v>05 10 00</v>
      </c>
      <c r="C79" s="183" t="str">
        <f>'Pay App 1'!C79</f>
        <v>Structural Steel/Misc. Steel Fab</v>
      </c>
      <c r="D79" s="155">
        <f>'Pay App 1'!D79</f>
        <v>0</v>
      </c>
      <c r="E79" s="155">
        <f>VLOOKUP(B79,'Graph Data'!$O$2:$BX$88,16,FALSE)</f>
        <v>0</v>
      </c>
      <c r="F79" s="155">
        <f>IFERROR(E79+'Pay App 13'!F79,"")</f>
        <v>0</v>
      </c>
      <c r="G79" s="155">
        <f>SUM('Pay App 1:Pay App 13'!H79)</f>
        <v>0</v>
      </c>
      <c r="H79" s="154"/>
      <c r="I79" s="155">
        <f t="shared" si="0"/>
        <v>0</v>
      </c>
      <c r="J79" s="156">
        <f t="shared" si="1"/>
        <v>0</v>
      </c>
      <c r="K79" s="155">
        <f t="shared" si="2"/>
        <v>0</v>
      </c>
      <c r="L79" s="155" t="str">
        <f>IF(AND('Summary Sheet'!$E$23="No",$H$33&gt;0,H79&gt;=1),"",IF(AND('Summary Sheet'!$E$23="Yes",H79&lt;&gt;""),H79*'Summary Sheet'!$G$23,""))</f>
        <v/>
      </c>
      <c r="M79" s="154"/>
      <c r="N79" s="155">
        <f>SUM('Pay App 1:Pay App 14'!L79)+SUM('Pay App 1:Pay App 14'!M79)</f>
        <v>0</v>
      </c>
    </row>
    <row r="80" spans="1:17" ht="11.25" customHeight="1" x14ac:dyDescent="0.25">
      <c r="A80" s="152">
        <v>24</v>
      </c>
      <c r="B80" s="178" t="str">
        <f>'Pay App 1'!B80</f>
        <v>05 20 00</v>
      </c>
      <c r="C80" s="183" t="str">
        <f>'Pay App 1'!C80</f>
        <v>Joists &amp; Deck</v>
      </c>
      <c r="D80" s="155">
        <f>'Pay App 1'!D80</f>
        <v>0</v>
      </c>
      <c r="E80" s="155">
        <f>VLOOKUP(B80,'Graph Data'!$O$2:$BX$88,16,FALSE)</f>
        <v>0</v>
      </c>
      <c r="F80" s="155">
        <f>IFERROR(E80+'Pay App 13'!F80,"")</f>
        <v>0</v>
      </c>
      <c r="G80" s="155">
        <f>SUM('Pay App 1:Pay App 13'!H80)</f>
        <v>0</v>
      </c>
      <c r="H80" s="154"/>
      <c r="I80" s="155">
        <f t="shared" si="0"/>
        <v>0</v>
      </c>
      <c r="J80" s="156">
        <f t="shared" si="1"/>
        <v>0</v>
      </c>
      <c r="K80" s="155">
        <f t="shared" si="2"/>
        <v>0</v>
      </c>
      <c r="L80" s="155" t="str">
        <f>IF(AND('Summary Sheet'!$E$23="No",$H$33&gt;0,H80&gt;=1),"",IF(AND('Summary Sheet'!$E$23="Yes",H80&lt;&gt;""),H80*'Summary Sheet'!$G$23,""))</f>
        <v/>
      </c>
      <c r="M80" s="154"/>
      <c r="N80" s="155">
        <f>SUM('Pay App 1:Pay App 14'!L80)+SUM('Pay App 1:Pay App 14'!M80)</f>
        <v>0</v>
      </c>
    </row>
    <row r="81" spans="1:14" ht="11.25" customHeight="1" x14ac:dyDescent="0.25">
      <c r="A81" s="152">
        <v>25</v>
      </c>
      <c r="B81" s="178" t="str">
        <f>'Pay App 1'!B81</f>
        <v>05 70 00</v>
      </c>
      <c r="C81" s="183" t="str">
        <f>'Pay App 1'!C81</f>
        <v>Ornamental Metal</v>
      </c>
      <c r="D81" s="155">
        <f>'Pay App 1'!D81</f>
        <v>0</v>
      </c>
      <c r="E81" s="155">
        <f>VLOOKUP(B81,'Graph Data'!$O$2:$BX$88,16,FALSE)</f>
        <v>0</v>
      </c>
      <c r="F81" s="155">
        <f>IFERROR(E81+'Pay App 13'!F81,"")</f>
        <v>0</v>
      </c>
      <c r="G81" s="155">
        <f>SUM('Pay App 1:Pay App 13'!H81)</f>
        <v>0</v>
      </c>
      <c r="H81" s="154"/>
      <c r="I81" s="155">
        <f t="shared" si="0"/>
        <v>0</v>
      </c>
      <c r="J81" s="156">
        <f t="shared" si="1"/>
        <v>0</v>
      </c>
      <c r="K81" s="155">
        <f t="shared" si="2"/>
        <v>0</v>
      </c>
      <c r="L81" s="155" t="str">
        <f>IF(AND('Summary Sheet'!$E$23="No",$H$33&gt;0,H81&gt;=1),"",IF(AND('Summary Sheet'!$E$23="Yes",H81&lt;&gt;""),H81*'Summary Sheet'!$G$23,""))</f>
        <v/>
      </c>
      <c r="M81" s="154"/>
      <c r="N81" s="155">
        <f>SUM('Pay App 1:Pay App 14'!L81)+SUM('Pay App 1:Pay App 14'!M81)</f>
        <v>0</v>
      </c>
    </row>
    <row r="82" spans="1:14" ht="11.25" customHeight="1" x14ac:dyDescent="0.25">
      <c r="A82" s="152">
        <v>26</v>
      </c>
      <c r="B82" s="145" t="str">
        <f>'Pay App 1'!B82</f>
        <v>06 10 00</v>
      </c>
      <c r="C82" s="134" t="str">
        <f>'Pay App 1'!C82</f>
        <v>Rough Carpentry</v>
      </c>
      <c r="D82" s="155">
        <f>'Pay App 1'!D82</f>
        <v>0</v>
      </c>
      <c r="E82" s="155">
        <f>VLOOKUP(B82,'Graph Data'!$O$2:$BX$88,16,FALSE)</f>
        <v>0</v>
      </c>
      <c r="F82" s="155">
        <f>IFERROR(E82+'Pay App 13'!F82,"")</f>
        <v>0</v>
      </c>
      <c r="G82" s="155">
        <f>SUM('Pay App 1:Pay App 13'!H82)</f>
        <v>0</v>
      </c>
      <c r="H82" s="154"/>
      <c r="I82" s="155">
        <f t="shared" si="0"/>
        <v>0</v>
      </c>
      <c r="J82" s="156">
        <f t="shared" si="1"/>
        <v>0</v>
      </c>
      <c r="K82" s="155">
        <f t="shared" si="2"/>
        <v>0</v>
      </c>
      <c r="L82" s="155" t="str">
        <f>IF(AND('Summary Sheet'!$E$23="No",$H$33&gt;0,H82&gt;=1),"",IF(AND('Summary Sheet'!$E$23="Yes",H82&lt;&gt;""),H82*'Summary Sheet'!$G$23,""))</f>
        <v/>
      </c>
      <c r="M82" s="154"/>
      <c r="N82" s="155">
        <f>SUM('Pay App 1:Pay App 14'!L82)+SUM('Pay App 1:Pay App 14'!M82)</f>
        <v>0</v>
      </c>
    </row>
    <row r="83" spans="1:14" ht="11.25" customHeight="1" x14ac:dyDescent="0.25">
      <c r="A83" s="152">
        <v>27</v>
      </c>
      <c r="B83" s="145" t="str">
        <f>'Pay App 1'!B83</f>
        <v>06 40 00</v>
      </c>
      <c r="C83" s="134" t="str">
        <f>'Pay App 1'!C83</f>
        <v>Arch. Woodwork &amp; Finish Carp.</v>
      </c>
      <c r="D83" s="155">
        <f>'Pay App 1'!D83</f>
        <v>0</v>
      </c>
      <c r="E83" s="155">
        <f>VLOOKUP(B83,'Graph Data'!$O$2:$BX$88,16,FALSE)</f>
        <v>0</v>
      </c>
      <c r="F83" s="155">
        <f>IFERROR(E83+'Pay App 13'!F83,"")</f>
        <v>0</v>
      </c>
      <c r="G83" s="155">
        <f>SUM('Pay App 1:Pay App 13'!H83)</f>
        <v>0</v>
      </c>
      <c r="H83" s="154"/>
      <c r="I83" s="155">
        <f t="shared" si="0"/>
        <v>0</v>
      </c>
      <c r="J83" s="156">
        <f t="shared" si="1"/>
        <v>0</v>
      </c>
      <c r="K83" s="155">
        <f t="shared" si="2"/>
        <v>0</v>
      </c>
      <c r="L83" s="155" t="str">
        <f>IF(AND('Summary Sheet'!$E$23="No",$H$33&gt;0,H83&gt;=1),"",IF(AND('Summary Sheet'!$E$23="Yes",H83&lt;&gt;""),H83*'Summary Sheet'!$G$23,""))</f>
        <v/>
      </c>
      <c r="M83" s="154"/>
      <c r="N83" s="155">
        <f>SUM('Pay App 1:Pay App 14'!L83)+SUM('Pay App 1:Pay App 14'!M83)</f>
        <v>0</v>
      </c>
    </row>
    <row r="84" spans="1:14" ht="11.25" customHeight="1" x14ac:dyDescent="0.25">
      <c r="A84" s="152">
        <v>28</v>
      </c>
      <c r="B84" s="174" t="str">
        <f>'Pay App 1'!B84</f>
        <v>07 10 00</v>
      </c>
      <c r="C84" s="179" t="str">
        <f>'Pay App 1'!C84</f>
        <v>Waterproofing/Water Repellents</v>
      </c>
      <c r="D84" s="155">
        <f>'Pay App 1'!D84</f>
        <v>0</v>
      </c>
      <c r="E84" s="155">
        <f>VLOOKUP(B84,'Graph Data'!$O$2:$BX$88,16,FALSE)</f>
        <v>0</v>
      </c>
      <c r="F84" s="155">
        <f>IFERROR(E84+'Pay App 13'!F84,"")</f>
        <v>0</v>
      </c>
      <c r="G84" s="155">
        <f>SUM('Pay App 1:Pay App 13'!H84)</f>
        <v>0</v>
      </c>
      <c r="H84" s="154"/>
      <c r="I84" s="155">
        <f t="shared" si="0"/>
        <v>0</v>
      </c>
      <c r="J84" s="156">
        <f t="shared" si="1"/>
        <v>0</v>
      </c>
      <c r="K84" s="155">
        <f t="shared" si="2"/>
        <v>0</v>
      </c>
      <c r="L84" s="155" t="str">
        <f>IF(AND('Summary Sheet'!$E$23="No",$H$33&gt;0,H84&gt;=1),"",IF(AND('Summary Sheet'!$E$23="Yes",H84&lt;&gt;""),H84*'Summary Sheet'!$G$23,""))</f>
        <v/>
      </c>
      <c r="M84" s="154"/>
      <c r="N84" s="155">
        <f>SUM('Pay App 1:Pay App 14'!L84)+SUM('Pay App 1:Pay App 14'!M84)</f>
        <v>0</v>
      </c>
    </row>
    <row r="85" spans="1:14" ht="11.25" customHeight="1" x14ac:dyDescent="0.25">
      <c r="A85" s="152">
        <v>29</v>
      </c>
      <c r="B85" s="174" t="str">
        <f>'Pay App 1'!B85</f>
        <v>07 20 00</v>
      </c>
      <c r="C85" s="179" t="str">
        <f>'Pay App 1'!C85</f>
        <v>Insulation</v>
      </c>
      <c r="D85" s="155">
        <f>'Pay App 1'!D85</f>
        <v>0</v>
      </c>
      <c r="E85" s="155">
        <f>VLOOKUP(B85,'Graph Data'!$O$2:$BX$88,16,FALSE)</f>
        <v>0</v>
      </c>
      <c r="F85" s="155">
        <f>IFERROR(E85+'Pay App 13'!F85,"")</f>
        <v>0</v>
      </c>
      <c r="G85" s="155">
        <f>SUM('Pay App 1:Pay App 13'!H85)</f>
        <v>0</v>
      </c>
      <c r="H85" s="154"/>
      <c r="I85" s="155">
        <f t="shared" si="0"/>
        <v>0</v>
      </c>
      <c r="J85" s="156">
        <f t="shared" si="1"/>
        <v>0</v>
      </c>
      <c r="K85" s="155">
        <f t="shared" si="2"/>
        <v>0</v>
      </c>
      <c r="L85" s="155" t="str">
        <f>IF(AND('Summary Sheet'!$E$23="No",$H$33&gt;0,H85&gt;=1),"",IF(AND('Summary Sheet'!$E$23="Yes",H85&lt;&gt;""),H85*'Summary Sheet'!$G$23,""))</f>
        <v/>
      </c>
      <c r="M85" s="154"/>
      <c r="N85" s="155">
        <f>SUM('Pay App 1:Pay App 14'!L85)+SUM('Pay App 1:Pay App 14'!M85)</f>
        <v>0</v>
      </c>
    </row>
    <row r="86" spans="1:14" ht="11.25" customHeight="1" x14ac:dyDescent="0.25">
      <c r="A86" s="152">
        <v>30</v>
      </c>
      <c r="B86" s="174" t="str">
        <f>'Pay App 1'!B86</f>
        <v>07 24 00</v>
      </c>
      <c r="C86" s="179" t="str">
        <f>'Pay App 1'!C86</f>
        <v>EIFS</v>
      </c>
      <c r="D86" s="155">
        <f>'Pay App 1'!D86</f>
        <v>0</v>
      </c>
      <c r="E86" s="155">
        <f>VLOOKUP(B86,'Graph Data'!$O$2:$BX$88,16,FALSE)</f>
        <v>0</v>
      </c>
      <c r="F86" s="155">
        <f>IFERROR(E86+'Pay App 13'!F86,"")</f>
        <v>0</v>
      </c>
      <c r="G86" s="155">
        <f>SUM('Pay App 1:Pay App 13'!H86)</f>
        <v>0</v>
      </c>
      <c r="H86" s="154"/>
      <c r="I86" s="155">
        <f t="shared" si="0"/>
        <v>0</v>
      </c>
      <c r="J86" s="156">
        <f t="shared" si="1"/>
        <v>0</v>
      </c>
      <c r="K86" s="155">
        <f t="shared" si="2"/>
        <v>0</v>
      </c>
      <c r="L86" s="155" t="str">
        <f>IF(AND('Summary Sheet'!$E$23="No",$H$33&gt;0,H86&gt;=1),"",IF(AND('Summary Sheet'!$E$23="Yes",H86&lt;&gt;""),H86*'Summary Sheet'!$G$23,""))</f>
        <v/>
      </c>
      <c r="M86" s="154"/>
      <c r="N86" s="155">
        <f>SUM('Pay App 1:Pay App 14'!L86)+SUM('Pay App 1:Pay App 14'!M86)</f>
        <v>0</v>
      </c>
    </row>
    <row r="87" spans="1:14" ht="11.25" customHeight="1" x14ac:dyDescent="0.25">
      <c r="A87" s="152">
        <v>31</v>
      </c>
      <c r="B87" s="174" t="str">
        <f>'Pay App 1'!B87</f>
        <v>07 26 00</v>
      </c>
      <c r="C87" s="179" t="str">
        <f>'Pay App 1'!C87</f>
        <v>Vapor Retarders</v>
      </c>
      <c r="D87" s="155">
        <f>'Pay App 1'!D87</f>
        <v>0</v>
      </c>
      <c r="E87" s="155">
        <f>VLOOKUP(B87,'Graph Data'!$O$2:$BX$88,16,FALSE)</f>
        <v>0</v>
      </c>
      <c r="F87" s="155">
        <f>IFERROR(E87+'Pay App 13'!F87,"")</f>
        <v>0</v>
      </c>
      <c r="G87" s="155">
        <f>SUM('Pay App 1:Pay App 13'!H87)</f>
        <v>0</v>
      </c>
      <c r="H87" s="154"/>
      <c r="I87" s="155">
        <f t="shared" si="0"/>
        <v>0</v>
      </c>
      <c r="J87" s="156">
        <f t="shared" si="1"/>
        <v>0</v>
      </c>
      <c r="K87" s="155">
        <f t="shared" si="2"/>
        <v>0</v>
      </c>
      <c r="L87" s="155" t="str">
        <f>IF(AND('Summary Sheet'!$E$23="No",$H$33&gt;0,H87&gt;=1),"",IF(AND('Summary Sheet'!$E$23="Yes",H87&lt;&gt;""),H87*'Summary Sheet'!$G$23,""))</f>
        <v/>
      </c>
      <c r="M87" s="154"/>
      <c r="N87" s="155">
        <f>SUM('Pay App 1:Pay App 14'!L87)+SUM('Pay App 1:Pay App 14'!M87)</f>
        <v>0</v>
      </c>
    </row>
    <row r="88" spans="1:14" ht="11.25" customHeight="1" x14ac:dyDescent="0.25">
      <c r="A88" s="152">
        <v>32</v>
      </c>
      <c r="B88" s="174" t="str">
        <f>'Pay App 1'!B88</f>
        <v>07 41 00</v>
      </c>
      <c r="C88" s="179" t="str">
        <f>'Pay App 1'!C88</f>
        <v>Roofing</v>
      </c>
      <c r="D88" s="155">
        <f>'Pay App 1'!D88</f>
        <v>0</v>
      </c>
      <c r="E88" s="155">
        <f>VLOOKUP(B88,'Graph Data'!$O$2:$BX$88,16,FALSE)</f>
        <v>0</v>
      </c>
      <c r="F88" s="155">
        <f>IFERROR(E88+'Pay App 13'!F88,"")</f>
        <v>0</v>
      </c>
      <c r="G88" s="155">
        <f>SUM('Pay App 1:Pay App 13'!H88)</f>
        <v>0</v>
      </c>
      <c r="H88" s="154"/>
      <c r="I88" s="155">
        <f t="shared" si="0"/>
        <v>0</v>
      </c>
      <c r="J88" s="156">
        <f t="shared" si="1"/>
        <v>0</v>
      </c>
      <c r="K88" s="155">
        <f t="shared" si="2"/>
        <v>0</v>
      </c>
      <c r="L88" s="155" t="str">
        <f>IF(AND('Summary Sheet'!$E$23="No",$H$33&gt;0,H88&gt;=1),"",IF(AND('Summary Sheet'!$E$23="Yes",H88&lt;&gt;""),H88*'Summary Sheet'!$G$23,""))</f>
        <v/>
      </c>
      <c r="M88" s="154"/>
      <c r="N88" s="155">
        <f>SUM('Pay App 1:Pay App 14'!L88)+SUM('Pay App 1:Pay App 14'!M88)</f>
        <v>0</v>
      </c>
    </row>
    <row r="89" spans="1:14" ht="11.25" customHeight="1" x14ac:dyDescent="0.25">
      <c r="A89" s="152">
        <v>33</v>
      </c>
      <c r="B89" s="174" t="str">
        <f>'Pay App 1'!B89</f>
        <v>07 42 00</v>
      </c>
      <c r="C89" s="179" t="str">
        <f>'Pay App 1'!C89</f>
        <v>Metal Panels</v>
      </c>
      <c r="D89" s="155">
        <f>'Pay App 1'!D89</f>
        <v>0</v>
      </c>
      <c r="E89" s="155">
        <f>VLOOKUP(B89,'Graph Data'!$O$2:$BX$88,16,FALSE)</f>
        <v>0</v>
      </c>
      <c r="F89" s="155">
        <f>IFERROR(E89+'Pay App 13'!F89,"")</f>
        <v>0</v>
      </c>
      <c r="G89" s="155">
        <f>SUM('Pay App 1:Pay App 13'!H89)</f>
        <v>0</v>
      </c>
      <c r="H89" s="154"/>
      <c r="I89" s="155">
        <f t="shared" si="0"/>
        <v>0</v>
      </c>
      <c r="J89" s="156">
        <f t="shared" si="1"/>
        <v>0</v>
      </c>
      <c r="K89" s="155">
        <f t="shared" si="2"/>
        <v>0</v>
      </c>
      <c r="L89" s="155" t="str">
        <f>IF(AND('Summary Sheet'!$E$23="No",$H$33&gt;0,H89&gt;=1),"",IF(AND('Summary Sheet'!$E$23="Yes",H89&lt;&gt;""),H89*'Summary Sheet'!$G$23,""))</f>
        <v/>
      </c>
      <c r="M89" s="154"/>
      <c r="N89" s="155">
        <f>SUM('Pay App 1:Pay App 14'!L89)+SUM('Pay App 1:Pay App 14'!M89)</f>
        <v>0</v>
      </c>
    </row>
    <row r="90" spans="1:14" ht="11.25" customHeight="1" x14ac:dyDescent="0.25">
      <c r="A90" s="152">
        <v>34</v>
      </c>
      <c r="B90" s="174" t="str">
        <f>'Pay App 1'!B90</f>
        <v>07 60 00</v>
      </c>
      <c r="C90" s="179" t="str">
        <f>'Pay App 1'!C90</f>
        <v>Sheet Metal Flashing &amp; Trim</v>
      </c>
      <c r="D90" s="155">
        <f>'Pay App 1'!D90</f>
        <v>0</v>
      </c>
      <c r="E90" s="155">
        <f>VLOOKUP(B90,'Graph Data'!$O$2:$BX$88,16,FALSE)</f>
        <v>0</v>
      </c>
      <c r="F90" s="155">
        <f>IFERROR(E90+'Pay App 13'!F90,"")</f>
        <v>0</v>
      </c>
      <c r="G90" s="155">
        <f>SUM('Pay App 1:Pay App 13'!H90)</f>
        <v>0</v>
      </c>
      <c r="H90" s="154"/>
      <c r="I90" s="155">
        <f t="shared" si="0"/>
        <v>0</v>
      </c>
      <c r="J90" s="156">
        <f t="shared" si="1"/>
        <v>0</v>
      </c>
      <c r="K90" s="155">
        <f t="shared" si="2"/>
        <v>0</v>
      </c>
      <c r="L90" s="155" t="str">
        <f>IF(AND('Summary Sheet'!$E$23="No",$H$33&gt;0,H90&gt;=1),"",IF(AND('Summary Sheet'!$E$23="Yes",H90&lt;&gt;""),H90*'Summary Sheet'!$G$23,""))</f>
        <v/>
      </c>
      <c r="M90" s="154"/>
      <c r="N90" s="155">
        <f>SUM('Pay App 1:Pay App 14'!L90)+SUM('Pay App 1:Pay App 14'!M90)</f>
        <v>0</v>
      </c>
    </row>
    <row r="91" spans="1:14" ht="11.25" customHeight="1" x14ac:dyDescent="0.25">
      <c r="A91" s="152">
        <v>35</v>
      </c>
      <c r="B91" s="174" t="str">
        <f>'Pay App 1'!B91</f>
        <v>07 80 00</v>
      </c>
      <c r="C91" s="179" t="str">
        <f>'Pay App 1'!C91</f>
        <v>Fireproofing</v>
      </c>
      <c r="D91" s="155">
        <f>'Pay App 1'!D91</f>
        <v>0</v>
      </c>
      <c r="E91" s="155">
        <f>VLOOKUP(B91,'Graph Data'!$O$2:$BX$88,16,FALSE)</f>
        <v>0</v>
      </c>
      <c r="F91" s="155">
        <f>IFERROR(E91+'Pay App 13'!F91,"")</f>
        <v>0</v>
      </c>
      <c r="G91" s="155">
        <f>SUM('Pay App 1:Pay App 13'!H91)</f>
        <v>0</v>
      </c>
      <c r="H91" s="154"/>
      <c r="I91" s="155">
        <f t="shared" si="0"/>
        <v>0</v>
      </c>
      <c r="J91" s="156">
        <f t="shared" si="1"/>
        <v>0</v>
      </c>
      <c r="K91" s="155">
        <f t="shared" si="2"/>
        <v>0</v>
      </c>
      <c r="L91" s="155" t="str">
        <f>IF(AND('Summary Sheet'!$E$23="No",$H$33&gt;0,H91&gt;=1),"",IF(AND('Summary Sheet'!$E$23="Yes",H91&lt;&gt;""),H91*'Summary Sheet'!$G$23,""))</f>
        <v/>
      </c>
      <c r="M91" s="154"/>
      <c r="N91" s="155">
        <f>SUM('Pay App 1:Pay App 14'!L91)+SUM('Pay App 1:Pay App 14'!M91)</f>
        <v>0</v>
      </c>
    </row>
    <row r="92" spans="1:14" ht="11.25" customHeight="1" x14ac:dyDescent="0.25">
      <c r="A92" s="152">
        <v>36</v>
      </c>
      <c r="B92" s="174" t="str">
        <f>'Pay App 1'!B92</f>
        <v>07 90 00</v>
      </c>
      <c r="C92" s="179" t="str">
        <f>'Pay App 1'!C92</f>
        <v>Joint Sealants</v>
      </c>
      <c r="D92" s="155">
        <f>'Pay App 1'!D92</f>
        <v>0</v>
      </c>
      <c r="E92" s="155">
        <f>VLOOKUP(B92,'Graph Data'!$O$2:$BX$88,16,FALSE)</f>
        <v>0</v>
      </c>
      <c r="F92" s="155">
        <f>IFERROR(E92+'Pay App 13'!F92,"")</f>
        <v>0</v>
      </c>
      <c r="G92" s="155">
        <f>SUM('Pay App 1:Pay App 13'!H92)</f>
        <v>0</v>
      </c>
      <c r="H92" s="154"/>
      <c r="I92" s="155">
        <f t="shared" si="0"/>
        <v>0</v>
      </c>
      <c r="J92" s="156">
        <f t="shared" si="1"/>
        <v>0</v>
      </c>
      <c r="K92" s="155">
        <f t="shared" si="2"/>
        <v>0</v>
      </c>
      <c r="L92" s="155" t="str">
        <f>IF(AND('Summary Sheet'!$E$23="No",$H$33&gt;0,H92&gt;=1),"",IF(AND('Summary Sheet'!$E$23="Yes",H92&lt;&gt;""),H92*'Summary Sheet'!$G$23,""))</f>
        <v/>
      </c>
      <c r="M92" s="154"/>
      <c r="N92" s="155">
        <f>SUM('Pay App 1:Pay App 14'!L92)+SUM('Pay App 1:Pay App 14'!M92)</f>
        <v>0</v>
      </c>
    </row>
    <row r="93" spans="1:14" ht="11.25" customHeight="1" x14ac:dyDescent="0.25">
      <c r="A93" s="152">
        <v>37</v>
      </c>
      <c r="B93" s="174" t="str">
        <f>'Pay App 1'!B93</f>
        <v>07 95 00</v>
      </c>
      <c r="C93" s="179" t="str">
        <f>'Pay App 1'!C93</f>
        <v>Expansion Joints</v>
      </c>
      <c r="D93" s="155">
        <f>'Pay App 1'!D93</f>
        <v>0</v>
      </c>
      <c r="E93" s="155">
        <f>VLOOKUP(B93,'Graph Data'!$O$2:$BX$88,16,FALSE)</f>
        <v>0</v>
      </c>
      <c r="F93" s="155">
        <f>IFERROR(E93+'Pay App 13'!F93,"")</f>
        <v>0</v>
      </c>
      <c r="G93" s="155">
        <f>SUM('Pay App 1:Pay App 13'!H93)</f>
        <v>0</v>
      </c>
      <c r="H93" s="154"/>
      <c r="I93" s="155">
        <f t="shared" si="0"/>
        <v>0</v>
      </c>
      <c r="J93" s="156">
        <f t="shared" si="1"/>
        <v>0</v>
      </c>
      <c r="K93" s="155">
        <f t="shared" si="2"/>
        <v>0</v>
      </c>
      <c r="L93" s="155" t="str">
        <f>IF(AND('Summary Sheet'!$E$23="No",$H$33&gt;0,H93&gt;=1),"",IF(AND('Summary Sheet'!$E$23="Yes",H93&lt;&gt;""),H93*'Summary Sheet'!$G$23,""))</f>
        <v/>
      </c>
      <c r="M93" s="154"/>
      <c r="N93" s="155">
        <f>SUM('Pay App 1:Pay App 14'!L93)+SUM('Pay App 1:Pay App 14'!M93)</f>
        <v>0</v>
      </c>
    </row>
    <row r="94" spans="1:14" ht="11.25" customHeight="1" x14ac:dyDescent="0.25">
      <c r="A94" s="152">
        <v>38</v>
      </c>
      <c r="B94" s="175" t="str">
        <f>'Pay App 1'!B94</f>
        <v>08 10 00</v>
      </c>
      <c r="C94" s="180" t="str">
        <f>'Pay App 1'!C94</f>
        <v>Doors, Frames &amp; Hardware</v>
      </c>
      <c r="D94" s="155">
        <f>'Pay App 1'!D94</f>
        <v>0</v>
      </c>
      <c r="E94" s="155">
        <f>VLOOKUP(B94,'Graph Data'!$O$2:$BX$88,16,FALSE)</f>
        <v>0</v>
      </c>
      <c r="F94" s="155">
        <f>IFERROR(E94+'Pay App 13'!F94,"")</f>
        <v>0</v>
      </c>
      <c r="G94" s="155">
        <f>SUM('Pay App 1:Pay App 13'!H94)</f>
        <v>0</v>
      </c>
      <c r="H94" s="154"/>
      <c r="I94" s="155">
        <f t="shared" si="0"/>
        <v>0</v>
      </c>
      <c r="J94" s="156">
        <f t="shared" si="1"/>
        <v>0</v>
      </c>
      <c r="K94" s="155">
        <f t="shared" si="2"/>
        <v>0</v>
      </c>
      <c r="L94" s="155" t="str">
        <f>IF(AND('Summary Sheet'!$E$23="No",$H$33&gt;0,H94&gt;=1),"",IF(AND('Summary Sheet'!$E$23="Yes",H94&lt;&gt;""),H94*'Summary Sheet'!$G$23,""))</f>
        <v/>
      </c>
      <c r="M94" s="154"/>
      <c r="N94" s="155">
        <f>SUM('Pay App 1:Pay App 14'!L94)+SUM('Pay App 1:Pay App 14'!M94)</f>
        <v>0</v>
      </c>
    </row>
    <row r="95" spans="1:14" ht="11.25" customHeight="1" x14ac:dyDescent="0.25">
      <c r="A95" s="152">
        <v>39</v>
      </c>
      <c r="B95" s="175" t="str">
        <f>'Pay App 1'!B95</f>
        <v>08 30 00</v>
      </c>
      <c r="C95" s="180" t="str">
        <f>'Pay App 1'!C95</f>
        <v>Specialty Doors</v>
      </c>
      <c r="D95" s="155">
        <f>'Pay App 1'!D95</f>
        <v>0</v>
      </c>
      <c r="E95" s="155">
        <f>VLOOKUP(B95,'Graph Data'!$O$2:$BX$88,16,FALSE)</f>
        <v>0</v>
      </c>
      <c r="F95" s="155">
        <f>IFERROR(E95+'Pay App 13'!F95,"")</f>
        <v>0</v>
      </c>
      <c r="G95" s="155">
        <f>SUM('Pay App 1:Pay App 13'!H95)</f>
        <v>0</v>
      </c>
      <c r="H95" s="154"/>
      <c r="I95" s="155">
        <f t="shared" si="0"/>
        <v>0</v>
      </c>
      <c r="J95" s="156">
        <f t="shared" si="1"/>
        <v>0</v>
      </c>
      <c r="K95" s="155">
        <f t="shared" si="2"/>
        <v>0</v>
      </c>
      <c r="L95" s="155" t="str">
        <f>IF(AND('Summary Sheet'!$E$23="No",$H$33&gt;0,H95&gt;=1),"",IF(AND('Summary Sheet'!$E$23="Yes",H95&lt;&gt;""),H95*'Summary Sheet'!$G$23,""))</f>
        <v/>
      </c>
      <c r="M95" s="154"/>
      <c r="N95" s="155">
        <f>SUM('Pay App 1:Pay App 14'!L95)+SUM('Pay App 1:Pay App 14'!M95)</f>
        <v>0</v>
      </c>
    </row>
    <row r="96" spans="1:14" ht="11.25" customHeight="1" x14ac:dyDescent="0.25">
      <c r="A96" s="152">
        <v>40</v>
      </c>
      <c r="B96" s="175" t="str">
        <f>'Pay App 1'!B96</f>
        <v>08 33 00</v>
      </c>
      <c r="C96" s="180" t="str">
        <f>'Pay App 1'!C96</f>
        <v>Overhead Doors/Coiling Doors</v>
      </c>
      <c r="D96" s="155">
        <f>'Pay App 1'!D96</f>
        <v>0</v>
      </c>
      <c r="E96" s="155">
        <f>VLOOKUP(B96,'Graph Data'!$O$2:$BX$88,16,FALSE)</f>
        <v>0</v>
      </c>
      <c r="F96" s="155">
        <f>IFERROR(E96+'Pay App 13'!F96,"")</f>
        <v>0</v>
      </c>
      <c r="G96" s="155">
        <f>SUM('Pay App 1:Pay App 13'!H96)</f>
        <v>0</v>
      </c>
      <c r="H96" s="154"/>
      <c r="I96" s="155">
        <f t="shared" si="0"/>
        <v>0</v>
      </c>
      <c r="J96" s="156">
        <f t="shared" si="1"/>
        <v>0</v>
      </c>
      <c r="K96" s="155">
        <f t="shared" si="2"/>
        <v>0</v>
      </c>
      <c r="L96" s="155" t="str">
        <f>IF(AND('Summary Sheet'!$E$23="No",$H$33&gt;0,H96&gt;=1),"",IF(AND('Summary Sheet'!$E$23="Yes",H96&lt;&gt;""),H96*'Summary Sheet'!$G$23,""))</f>
        <v/>
      </c>
      <c r="M96" s="154"/>
      <c r="N96" s="155">
        <f>SUM('Pay App 1:Pay App 14'!L96)+SUM('Pay App 1:Pay App 14'!M96)</f>
        <v>0</v>
      </c>
    </row>
    <row r="97" spans="1:15" ht="11.25" customHeight="1" x14ac:dyDescent="0.25">
      <c r="A97" s="152">
        <v>41</v>
      </c>
      <c r="B97" s="175" t="str">
        <f>'Pay App 1'!B97</f>
        <v>08 40 00</v>
      </c>
      <c r="C97" s="180" t="str">
        <f>'Pay App 1'!C97</f>
        <v>Curtain Wall, Glass &amp; Glazing</v>
      </c>
      <c r="D97" s="155">
        <f>'Pay App 1'!D97</f>
        <v>0</v>
      </c>
      <c r="E97" s="155">
        <f>VLOOKUP(B97,'Graph Data'!$O$2:$BX$88,16,FALSE)</f>
        <v>0</v>
      </c>
      <c r="F97" s="155">
        <f>IFERROR(E97+'Pay App 13'!F97,"")</f>
        <v>0</v>
      </c>
      <c r="G97" s="155">
        <f>SUM('Pay App 1:Pay App 13'!H97)</f>
        <v>0</v>
      </c>
      <c r="H97" s="154"/>
      <c r="I97" s="155">
        <f t="shared" si="0"/>
        <v>0</v>
      </c>
      <c r="J97" s="156">
        <f t="shared" si="1"/>
        <v>0</v>
      </c>
      <c r="K97" s="155">
        <f t="shared" si="2"/>
        <v>0</v>
      </c>
      <c r="L97" s="155" t="str">
        <f>IF(AND('Summary Sheet'!$E$23="No",$H$33&gt;0,H97&gt;=1),"",IF(AND('Summary Sheet'!$E$23="Yes",H97&lt;&gt;""),H97*'Summary Sheet'!$G$23,""))</f>
        <v/>
      </c>
      <c r="M97" s="154"/>
      <c r="N97" s="155">
        <f>SUM('Pay App 1:Pay App 14'!L97)+SUM('Pay App 1:Pay App 14'!M97)</f>
        <v>0</v>
      </c>
    </row>
    <row r="98" spans="1:15" ht="10.9" customHeight="1" x14ac:dyDescent="0.25">
      <c r="A98" s="152">
        <v>42</v>
      </c>
      <c r="B98" s="175" t="str">
        <f>'Pay App 1'!B98</f>
        <v>08 60 00</v>
      </c>
      <c r="C98" s="180" t="str">
        <f>'Pay App 1'!C98</f>
        <v>Skylights</v>
      </c>
      <c r="D98" s="155">
        <f>'Pay App 1'!D98</f>
        <v>0</v>
      </c>
      <c r="E98" s="155">
        <f>VLOOKUP(B98,'Graph Data'!$O$2:$BX$88,16,FALSE)</f>
        <v>0</v>
      </c>
      <c r="F98" s="155">
        <f>IFERROR(E98+'Pay App 13'!F98,"")</f>
        <v>0</v>
      </c>
      <c r="G98" s="155">
        <f>SUM('Pay App 1:Pay App 13'!H98)</f>
        <v>0</v>
      </c>
      <c r="H98" s="154"/>
      <c r="I98" s="155">
        <f t="shared" si="0"/>
        <v>0</v>
      </c>
      <c r="J98" s="156">
        <f t="shared" si="1"/>
        <v>0</v>
      </c>
      <c r="K98" s="155">
        <f t="shared" si="2"/>
        <v>0</v>
      </c>
      <c r="L98" s="155" t="str">
        <f>IF(AND('Summary Sheet'!$E$23="No",$H$33&gt;0,H98&gt;=1),"",IF(AND('Summary Sheet'!$E$23="Yes",H98&lt;&gt;""),H98*'Summary Sheet'!$G$23,""))</f>
        <v/>
      </c>
      <c r="M98" s="154"/>
      <c r="N98" s="155">
        <f>SUM('Pay App 1:Pay App 14'!L98)+SUM('Pay App 1:Pay App 14'!M98)</f>
        <v>0</v>
      </c>
    </row>
    <row r="99" spans="1:15" ht="10.9" customHeight="1" x14ac:dyDescent="0.25">
      <c r="A99" s="152">
        <v>43</v>
      </c>
      <c r="B99" s="175" t="str">
        <f>'Pay App 1'!B99</f>
        <v>08 90 00</v>
      </c>
      <c r="C99" s="180" t="str">
        <f>'Pay App 1'!C99</f>
        <v>Louvers &amp; Vents</v>
      </c>
      <c r="D99" s="155">
        <f>'Pay App 1'!D99</f>
        <v>0</v>
      </c>
      <c r="E99" s="155">
        <f>VLOOKUP(B99,'Graph Data'!$O$2:$BX$88,16,FALSE)</f>
        <v>0</v>
      </c>
      <c r="F99" s="155">
        <f>IFERROR(E99+'Pay App 13'!F99,"")</f>
        <v>0</v>
      </c>
      <c r="G99" s="155">
        <f>SUM('Pay App 1:Pay App 13'!H99)</f>
        <v>0</v>
      </c>
      <c r="H99" s="154"/>
      <c r="I99" s="155">
        <f t="shared" si="0"/>
        <v>0</v>
      </c>
      <c r="J99" s="156">
        <f t="shared" si="1"/>
        <v>0</v>
      </c>
      <c r="K99" s="155">
        <f t="shared" si="2"/>
        <v>0</v>
      </c>
      <c r="L99" s="155" t="str">
        <f>IF(AND('Summary Sheet'!$E$23="No",$H$33&gt;0,H99&gt;=1),"",IF(AND('Summary Sheet'!$E$23="Yes",H99&lt;&gt;""),H99*'Summary Sheet'!$G$23,""))</f>
        <v/>
      </c>
      <c r="M99" s="154"/>
      <c r="N99" s="155">
        <f>SUM('Pay App 1:Pay App 14'!L99)+SUM('Pay App 1:Pay App 14'!M99)</f>
        <v>0</v>
      </c>
    </row>
    <row r="100" spans="1:15" ht="11.25" customHeight="1" x14ac:dyDescent="0.25">
      <c r="A100" s="153">
        <v>44</v>
      </c>
      <c r="B100" s="176" t="str">
        <f>'Pay App 1'!B100</f>
        <v>09 20 00</v>
      </c>
      <c r="C100" s="181" t="str">
        <f>'Pay App 1'!C100</f>
        <v>Gypsum Board Systems</v>
      </c>
      <c r="D100" s="155">
        <f>'Pay App 1'!D100</f>
        <v>0</v>
      </c>
      <c r="E100" s="155">
        <f>VLOOKUP(B100,'Graph Data'!$O$2:$BX$88,16,FALSE)</f>
        <v>0</v>
      </c>
      <c r="F100" s="155">
        <f>IFERROR(E100+'Pay App 13'!F100,"")</f>
        <v>0</v>
      </c>
      <c r="G100" s="155">
        <f>SUM('Pay App 1:Pay App 13'!H100)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14'!L100)+SUM('Pay App 1:Pay App 14'!M100)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14.2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Data'!$O$2:$BX$88,16,FALSE)</f>
        <v>0</v>
      </c>
      <c r="F106" s="155">
        <f>IFERROR(E106+'Pay App 13'!F106,"")</f>
        <v>0</v>
      </c>
      <c r="G106" s="155">
        <f>SUM('Pay App 1:Pay App 13'!H106)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14'!L106)+SUM('Pay App 1:Pay App 14'!M106)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Data'!$O$2:$BX$88,16,FALSE)</f>
        <v>0</v>
      </c>
      <c r="F107" s="155">
        <f>IFERROR(E107+'Pay App 13'!F107,"")</f>
        <v>0</v>
      </c>
      <c r="G107" s="155">
        <f>SUM('Pay App 1:Pay App 13'!H107)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14'!L107)+SUM('Pay App 1:Pay App 14'!M107)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Data'!$O$2:$BX$88,16,FALSE)</f>
        <v>0</v>
      </c>
      <c r="F108" s="155">
        <f>IFERROR(E108+'Pay App 13'!F108,"")</f>
        <v>0</v>
      </c>
      <c r="G108" s="155">
        <f>SUM('Pay App 1:Pay App 13'!H108)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14'!L108)+SUM('Pay App 1:Pay App 14'!M108)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Data'!$O$2:$BX$88,16,FALSE)</f>
        <v>0</v>
      </c>
      <c r="F109" s="155">
        <f>IFERROR(E109+'Pay App 13'!F109,"")</f>
        <v>0</v>
      </c>
      <c r="G109" s="155">
        <f>SUM('Pay App 1:Pay App 13'!H109)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14'!L109)+SUM('Pay App 1:Pay App 14'!M109)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Data'!$O$2:$BX$88,16,FALSE)</f>
        <v>0</v>
      </c>
      <c r="F110" s="155">
        <f>IFERROR(E110+'Pay App 13'!F110,"")</f>
        <v>0</v>
      </c>
      <c r="G110" s="155">
        <f>SUM('Pay App 1:Pay App 13'!H110)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14'!L110)+SUM('Pay App 1:Pay App 14'!M110)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Data'!$O$2:$BX$88,16,FALSE)</f>
        <v>0</v>
      </c>
      <c r="F111" s="155">
        <f>IFERROR(E111+'Pay App 13'!F111,"")</f>
        <v>0</v>
      </c>
      <c r="G111" s="155">
        <f>SUM('Pay App 1:Pay App 13'!H111)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14'!L111)+SUM('Pay App 1:Pay App 14'!M111)</f>
        <v>0</v>
      </c>
    </row>
    <row r="112" spans="1:15" ht="11.25" customHeight="1" x14ac:dyDescent="0.25">
      <c r="A112" s="152">
        <f t="shared" si="3"/>
        <v>51</v>
      </c>
      <c r="B112" s="148" t="str">
        <f>'Pay App 1'!B112</f>
        <v>09 90 00</v>
      </c>
      <c r="C112" s="143" t="str">
        <f>'Pay App 1'!C112</f>
        <v>Painting</v>
      </c>
      <c r="D112" s="155">
        <f>'Pay App 1'!D112</f>
        <v>0</v>
      </c>
      <c r="E112" s="155">
        <f>VLOOKUP(B112,'Graph Data'!$O$2:$BX$88,16,FALSE)</f>
        <v>0</v>
      </c>
      <c r="F112" s="155">
        <f>IFERROR(E112+'Pay App 13'!F112,"")</f>
        <v>0</v>
      </c>
      <c r="G112" s="155">
        <f>SUM('Pay App 1:Pay App 13'!H112)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14'!L112)+SUM('Pay App 1:Pay App 14'!M112)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Data'!$O$2:$BX$88,16,FALSE)</f>
        <v>0</v>
      </c>
      <c r="F113" s="155">
        <f>IFERROR(E113+'Pay App 13'!F113,"")</f>
        <v>0</v>
      </c>
      <c r="G113" s="155">
        <f>SUM('Pay App 1:Pay App 13'!H113)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14'!L113)+SUM('Pay App 1:Pay App 14'!M113)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Data'!$O$2:$BX$88,16,FALSE)</f>
        <v>0</v>
      </c>
      <c r="F114" s="155">
        <f>IFERROR(E114+'Pay App 13'!F114,"")</f>
        <v>0</v>
      </c>
      <c r="G114" s="155">
        <f>SUM('Pay App 1:Pay App 13'!H114)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14'!L114)+SUM('Pay App 1:Pay App 14'!M114)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Data'!$O$2:$BX$88,16,FALSE)</f>
        <v>0</v>
      </c>
      <c r="F115" s="155">
        <f>IFERROR(E115+'Pay App 13'!F115,"")</f>
        <v>0</v>
      </c>
      <c r="G115" s="155">
        <f>SUM('Pay App 1:Pay App 13'!H115)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14'!L115)+SUM('Pay App 1:Pay App 14'!M115)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Data'!$O$2:$BX$88,16,FALSE)</f>
        <v>0</v>
      </c>
      <c r="F116" s="155">
        <f>IFERROR(E116+'Pay App 13'!F116,"")</f>
        <v>0</v>
      </c>
      <c r="G116" s="155">
        <f>SUM('Pay App 1:Pay App 13'!H116)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14'!L116)+SUM('Pay App 1:Pay App 14'!M116)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Data'!$O$2:$BX$88,16,FALSE)</f>
        <v>0</v>
      </c>
      <c r="F117" s="155">
        <f>IFERROR(E117+'Pay App 13'!F117,"")</f>
        <v>0</v>
      </c>
      <c r="G117" s="155">
        <f>SUM('Pay App 1:Pay App 13'!H117)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14'!L117)+SUM('Pay App 1:Pay App 14'!M117)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Data'!$O$2:$BX$88,16,FALSE)</f>
        <v>0</v>
      </c>
      <c r="F118" s="155">
        <f>IFERROR(E118+'Pay App 13'!F118,"")</f>
        <v>0</v>
      </c>
      <c r="G118" s="155">
        <f>SUM('Pay App 1:Pay App 13'!H118)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14'!L118)+SUM('Pay App 1:Pay App 14'!M118)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Data'!$O$2:$BX$88,16,FALSE)</f>
        <v>0</v>
      </c>
      <c r="F119" s="155">
        <f>IFERROR(E119+'Pay App 13'!F119,"")</f>
        <v>0</v>
      </c>
      <c r="G119" s="155">
        <f>SUM('Pay App 1:Pay App 13'!H119)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14'!L119)+SUM('Pay App 1:Pay App 14'!M119)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Data'!$O$2:$BX$88,16,FALSE)</f>
        <v>0</v>
      </c>
      <c r="F120" s="155">
        <f>IFERROR(E120+'Pay App 13'!F120,"")</f>
        <v>0</v>
      </c>
      <c r="G120" s="155">
        <f>SUM('Pay App 1:Pay App 13'!H120)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14'!L120)+SUM('Pay App 1:Pay App 14'!M120)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Data'!$O$2:$BX$88,16,FALSE)</f>
        <v>0</v>
      </c>
      <c r="F121" s="155">
        <f>IFERROR(E121+'Pay App 13'!F121,"")</f>
        <v>0</v>
      </c>
      <c r="G121" s="155">
        <f>SUM('Pay App 1:Pay App 13'!H121)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14'!L121)+SUM('Pay App 1:Pay App 14'!M121)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Data'!$O$2:$BX$88,16,FALSE)</f>
        <v>0</v>
      </c>
      <c r="F122" s="155">
        <f>IFERROR(E122+'Pay App 13'!F122,"")</f>
        <v>0</v>
      </c>
      <c r="G122" s="155">
        <f>SUM('Pay App 1:Pay App 13'!H122)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14'!L122)+SUM('Pay App 1:Pay App 14'!M122)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Data'!$O$2:$BX$88,16,FALSE)</f>
        <v>0</v>
      </c>
      <c r="F123" s="155">
        <f>IFERROR(E123+'Pay App 13'!F123,"")</f>
        <v>0</v>
      </c>
      <c r="G123" s="155">
        <f>SUM('Pay App 1:Pay App 13'!H123)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14'!L123)+SUM('Pay App 1:Pay App 14'!M123)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Data'!$O$2:$BX$88,16,FALSE)</f>
        <v>0</v>
      </c>
      <c r="F124" s="155">
        <f>IFERROR(E124+'Pay App 13'!F124,"")</f>
        <v>0</v>
      </c>
      <c r="G124" s="155">
        <f>SUM('Pay App 1:Pay App 13'!H124)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14'!L124)+SUM('Pay App 1:Pay App 14'!M124)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Data'!$O$2:$BX$88,16,FALSE)</f>
        <v>0</v>
      </c>
      <c r="F125" s="155">
        <f>IFERROR(E125+'Pay App 13'!F125,"")</f>
        <v>0</v>
      </c>
      <c r="G125" s="155">
        <f>SUM('Pay App 1:Pay App 13'!H125)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14'!L125)+SUM('Pay App 1:Pay App 14'!M125)</f>
        <v>0</v>
      </c>
    </row>
    <row r="126" spans="1:14" ht="11.25" customHeight="1" x14ac:dyDescent="0.25">
      <c r="A126" s="152">
        <f t="shared" si="3"/>
        <v>65</v>
      </c>
      <c r="B126" s="188" t="str">
        <f>'Pay App 1'!B126</f>
        <v>14 20 00</v>
      </c>
      <c r="C126" s="194" t="str">
        <f>'Pay App 1'!C126</f>
        <v>Elevator</v>
      </c>
      <c r="D126" s="155">
        <f>'Pay App 1'!D126</f>
        <v>0</v>
      </c>
      <c r="E126" s="155">
        <f>VLOOKUP(B126,'Graph Data'!$O$2:$BX$88,16,FALSE)</f>
        <v>0</v>
      </c>
      <c r="F126" s="155">
        <f>IFERROR(E126+'Pay App 13'!F126,"")</f>
        <v>0</v>
      </c>
      <c r="G126" s="155">
        <f>SUM('Pay App 1:Pay App 13'!H126)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14'!L126)+SUM('Pay App 1:Pay App 14'!M126)</f>
        <v>0</v>
      </c>
    </row>
    <row r="127" spans="1:14" ht="11.25" customHeight="1" x14ac:dyDescent="0.25">
      <c r="A127" s="152">
        <f t="shared" si="3"/>
        <v>66</v>
      </c>
      <c r="B127" s="188" t="str">
        <f>'Pay App 1'!B127</f>
        <v>14 40 00</v>
      </c>
      <c r="C127" s="194" t="str">
        <f>'Pay App 1'!C127</f>
        <v>Lifts</v>
      </c>
      <c r="D127" s="155">
        <f>'Pay App 1'!D127</f>
        <v>0</v>
      </c>
      <c r="E127" s="155">
        <f>VLOOKUP(B127,'Graph Data'!$O$2:$BX$88,16,FALSE)</f>
        <v>0</v>
      </c>
      <c r="F127" s="155">
        <f>IFERROR(E127+'Pay App 13'!F127,"")</f>
        <v>0</v>
      </c>
      <c r="G127" s="155">
        <f>SUM('Pay App 1:Pay App 13'!H127)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14'!L127)+SUM('Pay App 1:Pay App 14'!M127)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Data'!$O$2:$BX$88,16,FALSE)</f>
        <v>0</v>
      </c>
      <c r="F128" s="155">
        <f>IFERROR(E128+'Pay App 13'!F128,"")</f>
        <v>0</v>
      </c>
      <c r="G128" s="155">
        <f>SUM('Pay App 1:Pay App 13'!H128)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14'!L128)+SUM('Pay App 1:Pay App 14'!M128)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Data'!$O$2:$BX$88,16,FALSE)</f>
        <v>0</v>
      </c>
      <c r="F129" s="155">
        <f>IFERROR(E129+'Pay App 13'!F129,"")</f>
        <v>0</v>
      </c>
      <c r="G129" s="155">
        <f>SUM('Pay App 1:Pay App 13'!H129)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14'!L129)+SUM('Pay App 1:Pay App 14'!M129)</f>
        <v>0</v>
      </c>
    </row>
    <row r="130" spans="1:14" ht="11.25" customHeight="1" x14ac:dyDescent="0.25">
      <c r="A130" s="152">
        <f t="shared" si="3"/>
        <v>69</v>
      </c>
      <c r="B130" s="185" t="str">
        <f>'Pay App 1'!B130</f>
        <v>22 00 00</v>
      </c>
      <c r="C130" s="191" t="str">
        <f>'Pay App 1'!C130</f>
        <v>Plumbing</v>
      </c>
      <c r="D130" s="155">
        <f>'Pay App 1'!D130</f>
        <v>0</v>
      </c>
      <c r="E130" s="155">
        <f>VLOOKUP(B130,'Graph Data'!$O$2:$BX$88,16,FALSE)</f>
        <v>0</v>
      </c>
      <c r="F130" s="155">
        <f>IFERROR(E130+'Pay App 13'!F130,"")</f>
        <v>0</v>
      </c>
      <c r="G130" s="155">
        <f>SUM('Pay App 1:Pay App 13'!H130)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14'!L130)+SUM('Pay App 1:Pay App 14'!M130)</f>
        <v>0</v>
      </c>
    </row>
    <row r="131" spans="1:14" ht="11.25" customHeight="1" x14ac:dyDescent="0.25">
      <c r="A131" s="152">
        <f t="shared" si="3"/>
        <v>70</v>
      </c>
      <c r="B131" s="186" t="str">
        <f>'Pay App 1'!B131</f>
        <v>23 00 00</v>
      </c>
      <c r="C131" s="192" t="str">
        <f>'Pay App 1'!C131</f>
        <v>HVAC</v>
      </c>
      <c r="D131" s="155">
        <f>'Pay App 1'!D131</f>
        <v>0</v>
      </c>
      <c r="E131" s="155">
        <f>VLOOKUP(B131,'Graph Data'!$O$2:$BX$88,16,FALSE)</f>
        <v>0</v>
      </c>
      <c r="F131" s="155">
        <f>IFERROR(E131+'Pay App 13'!F131,"")</f>
        <v>0</v>
      </c>
      <c r="G131" s="155">
        <f>SUM('Pay App 1:Pay App 13'!H131)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14'!L131)+SUM('Pay App 1:Pay App 14'!M131)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Data'!$O$2:$BX$88,16,FALSE)</f>
        <v>0</v>
      </c>
      <c r="F132" s="155">
        <f>IFERROR(E132+'Pay App 13'!F132,"")</f>
        <v>0</v>
      </c>
      <c r="G132" s="155">
        <f>SUM('Pay App 1:Pay App 13'!H132)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14'!L132)+SUM('Pay App 1:Pay App 14'!M132)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Data'!$O$2:$BX$88,16,FALSE)</f>
        <v>0</v>
      </c>
      <c r="F133" s="155">
        <f>IFERROR(E133+'Pay App 13'!F133,"")</f>
        <v>0</v>
      </c>
      <c r="G133" s="155">
        <f>SUM('Pay App 1:Pay App 13'!H133)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14'!L133)+SUM('Pay App 1:Pay App 14'!M133)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Data'!$O$2:$BX$88,16,FALSE)</f>
        <v>0</v>
      </c>
      <c r="F134" s="155">
        <f>IFERROR(E134+'Pay App 13'!F134,"")</f>
        <v>0</v>
      </c>
      <c r="G134" s="155">
        <f>SUM('Pay App 1:Pay App 13'!H134)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14'!L134)+SUM('Pay App 1:Pay App 14'!M134)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Data'!$O$2:$BX$88,16,FALSE)</f>
        <v>0</v>
      </c>
      <c r="F135" s="155">
        <f>IFERROR(E135+'Pay App 13'!F135,"")</f>
        <v>0</v>
      </c>
      <c r="G135" s="155">
        <f>SUM('Pay App 1:Pay App 13'!H135)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14'!L135)+SUM('Pay App 1:Pay App 14'!M135)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Data'!$O$2:$BX$88,16,FALSE)</f>
        <v>0</v>
      </c>
      <c r="F136" s="155">
        <f>IFERROR(E136+'Pay App 13'!F136,"")</f>
        <v>0</v>
      </c>
      <c r="G136" s="155">
        <f>SUM('Pay App 1:Pay App 13'!H136)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14'!L136)+SUM('Pay App 1:Pay App 14'!M136)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Data'!$O$2:$BX$88,16,FALSE)</f>
        <v>0</v>
      </c>
      <c r="F137" s="155">
        <f>IFERROR(E137+'Pay App 13'!F137,"")</f>
        <v>0</v>
      </c>
      <c r="G137" s="155">
        <f>SUM('Pay App 1:Pay App 13'!H137)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14'!L137)+SUM('Pay App 1:Pay App 14'!M137)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Data'!$O$2:$BX$88,16,FALSE)</f>
        <v>0</v>
      </c>
      <c r="F138" s="155">
        <f>IFERROR(E138+'Pay App 13'!F138,"")</f>
        <v>0</v>
      </c>
      <c r="G138" s="155">
        <f>SUM('Pay App 1:Pay App 13'!H138)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14'!L138)+SUM('Pay App 1:Pay App 14'!M138)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Data'!$O$2:$BX$88,16,FALSE)</f>
        <v>0</v>
      </c>
      <c r="F139" s="155">
        <f>IFERROR(E139+'Pay App 13'!F139,"")</f>
        <v>0</v>
      </c>
      <c r="G139" s="155">
        <f>SUM('Pay App 1:Pay App 13'!H139)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14'!L139)+SUM('Pay App 1:Pay App 14'!M139)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Data'!$O$2:$BX$88,16,FALSE)</f>
        <v>0</v>
      </c>
      <c r="F140" s="155">
        <f>IFERROR(E140+'Pay App 13'!F140,"")</f>
        <v>0</v>
      </c>
      <c r="G140" s="155">
        <f>SUM('Pay App 1:Pay App 13'!H140)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14'!L140)+SUM('Pay App 1:Pay App 14'!M140)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Data'!$O$2:$BX$88,16,FALSE)</f>
        <v>0</v>
      </c>
      <c r="F141" s="155">
        <f>IFERROR(E141+'Pay App 13'!F141,"")</f>
        <v>0</v>
      </c>
      <c r="G141" s="155">
        <f>SUM('Pay App 1:Pay App 13'!H141)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14'!L141)+SUM('Pay App 1:Pay App 14'!M141)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Data'!$O$2:$BX$88,16,FALSE)</f>
        <v>0</v>
      </c>
      <c r="F142" s="155">
        <f>IFERROR(E142+'Pay App 13'!F142,"")</f>
        <v>0</v>
      </c>
      <c r="G142" s="155">
        <f>SUM('Pay App 1:Pay App 13'!H142)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14'!L142)+SUM('Pay App 1:Pay App 14'!M142)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Data'!$O$2:$BX$88,16,FALSE)</f>
        <v>0</v>
      </c>
      <c r="F143" s="155">
        <f>IFERROR(E143+'Pay App 13'!F143,"")</f>
        <v>0</v>
      </c>
      <c r="G143" s="155">
        <f>SUM('Pay App 1:Pay App 13'!H143)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14'!L143)+SUM('Pay App 1:Pay App 14'!M143)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Data'!$O$2:$BX$88,16,FALSE)</f>
        <v>0</v>
      </c>
      <c r="F144" s="155">
        <f>IFERROR(E144+'Pay App 13'!F144,"")</f>
        <v>0</v>
      </c>
      <c r="G144" s="155">
        <f>SUM('Pay App 1:Pay App 13'!H144)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14'!L144)+SUM('Pay App 1:Pay App 14'!M144)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Data'!$O$2:$BX$88,16,FALSE)</f>
        <v>0</v>
      </c>
      <c r="F145" s="155">
        <f>IFERROR(E145+'Pay App 13'!F145,"")</f>
        <v>0</v>
      </c>
      <c r="G145" s="155">
        <f>SUM('Pay App 1:Pay App 13'!H145)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14'!L145)+SUM('Pay App 1:Pay App 14'!M145)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Data'!$O$2:$BX$88,16,FALSE)</f>
        <v>0</v>
      </c>
      <c r="F146" s="155">
        <f>IFERROR(E146+'Pay App 13'!F146,"")</f>
        <v>0</v>
      </c>
      <c r="G146" s="155">
        <f>SUM('Pay App 1:Pay App 13'!H146)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14'!L146)+SUM('Pay App 1:Pay App 14'!M146)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Data'!$O$2:$BX$88,16,FALSE)</f>
        <v>0</v>
      </c>
      <c r="F147" s="155">
        <f>IFERROR(E147+'Pay App 13'!F147,"")</f>
        <v>0</v>
      </c>
      <c r="G147" s="155">
        <f>SUM('Pay App 1:Pay App 13'!H147)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14'!L147)+SUM('Pay App 1:Pay App 14'!M147)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Data'!$O$2:$BX$88,16,FALSE)</f>
        <v>0</v>
      </c>
      <c r="F148" s="155">
        <f>IFERROR(E148+'Pay App 13'!F148,"")</f>
        <v>0</v>
      </c>
      <c r="G148" s="155">
        <f>SUM('Pay App 1:Pay App 13'!H148)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14'!L148)+SUM('Pay App 1:Pay App 14'!M148)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lq5iF/pZ1R0HBYInQmLW1tc8R7Emi09vHuoU+twb/XFBHSh2nST0+VsdQFZuEXDKBM52BWF3BDN2bIY+jUctxg==" saltValue="QYZ5WrtaOkKV2zV4H7N4d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16" priority="2" operator="equal">
      <formula>0</formula>
    </cfRule>
  </conditionalFormatting>
  <conditionalFormatting sqref="D106:G148">
    <cfRule type="cellIs" dxfId="515" priority="1" operator="equal">
      <formula>0</formula>
    </cfRule>
  </conditionalFormatting>
  <conditionalFormatting sqref="D10:H10 D12:H14 D19:H21">
    <cfRule type="cellIs" dxfId="514" priority="6" operator="equal">
      <formula>0</formula>
    </cfRule>
  </conditionalFormatting>
  <conditionalFormatting sqref="H51">
    <cfRule type="cellIs" dxfId="513" priority="9" operator="lessThan">
      <formula>0</formula>
    </cfRule>
  </conditionalFormatting>
  <conditionalFormatting sqref="I57:I100 K57:K100 I106:I148 K106:K148 N106:N148">
    <cfRule type="cellIs" dxfId="512" priority="14" operator="equal">
      <formula>0</formula>
    </cfRule>
  </conditionalFormatting>
  <conditionalFormatting sqref="J57:J100 J106:J149">
    <cfRule type="cellIs" dxfId="511" priority="11" operator="greaterThan">
      <formula>1</formula>
    </cfRule>
    <cfRule type="cellIs" dxfId="510" priority="12" operator="equal">
      <formula>0</formula>
    </cfRule>
  </conditionalFormatting>
  <conditionalFormatting sqref="K57:K100 K106:K148">
    <cfRule type="cellIs" dxfId="509" priority="10" operator="lessThan">
      <formula>0</formula>
    </cfRule>
  </conditionalFormatting>
  <conditionalFormatting sqref="M57:M100">
    <cfRule type="cellIs" dxfId="508" priority="13" operator="lessThan">
      <formula>0</formula>
    </cfRule>
  </conditionalFormatting>
  <conditionalFormatting sqref="M106:M148">
    <cfRule type="cellIs" dxfId="507" priority="8" operator="lessThan">
      <formula>0</formula>
    </cfRule>
  </conditionalFormatting>
  <conditionalFormatting sqref="N57:N100">
    <cfRule type="cellIs" dxfId="50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E80202B7-B725-433A-A3E5-8A04C95E5FD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596FB-6422-41BE-BB8C-A1929302829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15.1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Data'!$O$2:$BX$88,17,FALSE)</f>
        <v>0</v>
      </c>
      <c r="F57" s="155">
        <f>IFERROR(E57+'Pay App 14'!F57,"")</f>
        <v>0</v>
      </c>
      <c r="G57" s="155">
        <f>SUM('Pay App 1:Pay App 14'!H57)</f>
        <v>0</v>
      </c>
      <c r="H57" s="154"/>
      <c r="I57" s="155">
        <f>G57+H57</f>
        <v>0</v>
      </c>
      <c r="J57" s="156">
        <f>IFERROR(I57/F57,0)</f>
        <v>0</v>
      </c>
      <c r="K57" s="155">
        <f>IFERROR(F57-I57,"")</f>
        <v>0</v>
      </c>
      <c r="L57" s="155" t="str">
        <f>IF(AND('Summary Sheet'!$E$23="No",$H$33&gt;0,H57&gt;=1),"",IF(AND('Summary Sheet'!$E$23="Yes",H57&lt;&gt;""),H57*'Summary Sheet'!$G$23,""))</f>
        <v/>
      </c>
      <c r="M57" s="154"/>
      <c r="N57" s="155">
        <f>SUM('Pay App 1:Pay App 15'!L57)+SUM('Pay App 1:Pay App 15'!M57)</f>
        <v>0</v>
      </c>
    </row>
    <row r="58" spans="1:16" ht="11.25" customHeight="1" x14ac:dyDescent="0.25">
      <c r="A58" s="152">
        <v>2</v>
      </c>
      <c r="B58" s="145" t="str">
        <f>'Pay App 1'!B58</f>
        <v>00 02 00</v>
      </c>
      <c r="C58" s="134" t="str">
        <f>'Pay App 1'!C58</f>
        <v>Preconstruction Services</v>
      </c>
      <c r="D58" s="155">
        <f>'Pay App 1'!D58</f>
        <v>0</v>
      </c>
      <c r="E58" s="155">
        <f>VLOOKUP(B58,'Graph Data'!$O$2:$BX$88,17,FALSE)</f>
        <v>0</v>
      </c>
      <c r="F58" s="155">
        <f>IFERROR(E58+'Pay App 14'!F58,"")</f>
        <v>0</v>
      </c>
      <c r="G58" s="155">
        <f>SUM('Pay App 1:Pay App 14'!H58)</f>
        <v>0</v>
      </c>
      <c r="H58" s="154"/>
      <c r="I58" s="155">
        <f>G58+H58</f>
        <v>0</v>
      </c>
      <c r="J58" s="156">
        <f>IFERROR(I58/F58,0)</f>
        <v>0</v>
      </c>
      <c r="K58" s="155">
        <f>IFERROR(F58-I58,"")</f>
        <v>0</v>
      </c>
      <c r="L58" s="155" t="str">
        <f>IF(AND('Summary Sheet'!$E$23="No",$H$33&gt;0,H58&gt;=1),"",IF(AND('Summary Sheet'!$E$23="Yes",H58&lt;&gt;""),H58*'Summary Sheet'!$G$23,""))</f>
        <v/>
      </c>
      <c r="M58" s="154"/>
      <c r="N58" s="155">
        <f>SUM('Pay App 1:Pay App 15'!L58)+SUM('Pay App 1:Pay App 15'!M58)</f>
        <v>0</v>
      </c>
    </row>
    <row r="59" spans="1:16" ht="11.25" customHeight="1" x14ac:dyDescent="0.25">
      <c r="A59" s="152">
        <v>3</v>
      </c>
      <c r="B59" s="174" t="str">
        <f>'Pay App 1'!B59</f>
        <v>01 00 00</v>
      </c>
      <c r="C59" s="179" t="str">
        <f>'Pay App 1'!C59</f>
        <v>General Conditions/Requirements</v>
      </c>
      <c r="D59" s="155">
        <f>'Pay App 1'!D59</f>
        <v>0</v>
      </c>
      <c r="E59" s="155">
        <f>VLOOKUP(B59,'Graph Data'!$O$2:$BX$88,17,FALSE)</f>
        <v>0</v>
      </c>
      <c r="F59" s="155">
        <f>IFERROR(E59+'Pay App 14'!F59,"")</f>
        <v>0</v>
      </c>
      <c r="G59" s="155">
        <f>SUM('Pay App 1:Pay App 14'!H59)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15'!L59)+SUM('Pay App 1:Pay App 15'!M59)</f>
        <v>0</v>
      </c>
    </row>
    <row r="60" spans="1:16" ht="11.25" customHeight="1" x14ac:dyDescent="0.25">
      <c r="A60" s="152">
        <v>4</v>
      </c>
      <c r="B60" s="174" t="str">
        <f>'Pay App 1'!B60</f>
        <v>01 13 41</v>
      </c>
      <c r="C60" s="179" t="str">
        <f>'Pay App 1'!C60</f>
        <v>Temp. Scaffolding and Platforms</v>
      </c>
      <c r="D60" s="155">
        <f>'Pay App 1'!D60</f>
        <v>0</v>
      </c>
      <c r="E60" s="155">
        <f>VLOOKUP(B60,'Graph Data'!$O$2:$BX$88,17,FALSE)</f>
        <v>0</v>
      </c>
      <c r="F60" s="155">
        <f>IFERROR(E60+'Pay App 14'!F60,"")</f>
        <v>0</v>
      </c>
      <c r="G60" s="155">
        <f>SUM('Pay App 1:Pay App 14'!H60)</f>
        <v>0</v>
      </c>
      <c r="H60" s="154"/>
      <c r="I60" s="155">
        <f t="shared" si="0"/>
        <v>0</v>
      </c>
      <c r="J60" s="156">
        <f t="shared" si="1"/>
        <v>0</v>
      </c>
      <c r="K60" s="155">
        <f t="shared" si="2"/>
        <v>0</v>
      </c>
      <c r="L60" s="155" t="str">
        <f>IF(AND('Summary Sheet'!$E$23="No",$H$33&gt;0,H60&gt;=1),"",IF(AND('Summary Sheet'!$E$23="Yes",H60&lt;&gt;""),H60*'Summary Sheet'!$G$23,""))</f>
        <v/>
      </c>
      <c r="M60" s="154"/>
      <c r="N60" s="155">
        <f>SUM('Pay App 1:Pay App 15'!L60)+SUM('Pay App 1:Pay App 15'!M60)</f>
        <v>0</v>
      </c>
    </row>
    <row r="61" spans="1:16" ht="11.25" customHeight="1" x14ac:dyDescent="0.25">
      <c r="A61" s="152">
        <v>5</v>
      </c>
      <c r="B61" s="174" t="str">
        <f>'Pay App 1'!B61</f>
        <v>01 13 60</v>
      </c>
      <c r="C61" s="179" t="str">
        <f>'Pay App 1'!C61</f>
        <v>SWPPP</v>
      </c>
      <c r="D61" s="155">
        <f>'Pay App 1'!D61</f>
        <v>0</v>
      </c>
      <c r="E61" s="155">
        <f>VLOOKUP(B61,'Graph Data'!$O$2:$BX$88,17,FALSE)</f>
        <v>0</v>
      </c>
      <c r="F61" s="155">
        <f>IFERROR(E61+'Pay App 14'!F61,"")</f>
        <v>0</v>
      </c>
      <c r="G61" s="155">
        <f>SUM('Pay App 1:Pay App 14'!H61)</f>
        <v>0</v>
      </c>
      <c r="H61" s="154"/>
      <c r="I61" s="155">
        <f t="shared" si="0"/>
        <v>0</v>
      </c>
      <c r="J61" s="156">
        <f t="shared" si="1"/>
        <v>0</v>
      </c>
      <c r="K61" s="155">
        <f t="shared" si="2"/>
        <v>0</v>
      </c>
      <c r="L61" s="155" t="str">
        <f>IF(AND('Summary Sheet'!$E$23="No",$H$33&gt;0,H61&gt;=1),"",IF(AND('Summary Sheet'!$E$23="Yes",H61&lt;&gt;""),H61*'Summary Sheet'!$G$23,""))</f>
        <v/>
      </c>
      <c r="M61" s="154"/>
      <c r="N61" s="155">
        <f>SUM('Pay App 1:Pay App 15'!L61)+SUM('Pay App 1:Pay App 15'!M61)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Data'!$O$2:$BX$88,17,FALSE)</f>
        <v>0</v>
      </c>
      <c r="F62" s="155">
        <f>IFERROR(E62+'Pay App 14'!F62,"")</f>
        <v>0</v>
      </c>
      <c r="G62" s="155">
        <f>SUM('Pay App 1:Pay App 14'!H62)</f>
        <v>0</v>
      </c>
      <c r="H62" s="154"/>
      <c r="I62" s="155">
        <f t="shared" si="0"/>
        <v>0</v>
      </c>
      <c r="J62" s="156">
        <f t="shared" si="1"/>
        <v>0</v>
      </c>
      <c r="K62" s="155">
        <f t="shared" si="2"/>
        <v>0</v>
      </c>
      <c r="L62" s="155" t="str">
        <f>IF(AND('Summary Sheet'!$E$23="No",$H$33&gt;0,H62&gt;=1),"",IF(AND('Summary Sheet'!$E$23="Yes",H62&lt;&gt;""),H62*'Summary Sheet'!$G$23,""))</f>
        <v/>
      </c>
      <c r="M62" s="154"/>
      <c r="N62" s="155">
        <f>SUM('Pay App 1:Pay App 15'!L62)+SUM('Pay App 1:Pay App 15'!M62)</f>
        <v>0</v>
      </c>
    </row>
    <row r="63" spans="1:16" ht="11.25" customHeight="1" x14ac:dyDescent="0.25">
      <c r="A63" s="152">
        <v>7</v>
      </c>
      <c r="B63" s="174" t="str">
        <f>'Pay App 1'!B63</f>
        <v>01 31 00</v>
      </c>
      <c r="C63" s="179" t="str">
        <f>'Pay App 1'!C63</f>
        <v>Contractor's Supervision</v>
      </c>
      <c r="D63" s="155">
        <f>'Pay App 1'!D63</f>
        <v>0</v>
      </c>
      <c r="E63" s="155">
        <f>VLOOKUP(B63,'Graph Data'!$O$2:$BX$88,17,FALSE)</f>
        <v>0</v>
      </c>
      <c r="F63" s="155">
        <f>IFERROR(E63+'Pay App 14'!F63,"")</f>
        <v>0</v>
      </c>
      <c r="G63" s="155">
        <f>SUM('Pay App 1:Pay App 14'!H63)</f>
        <v>0</v>
      </c>
      <c r="H63" s="154"/>
      <c r="I63" s="155">
        <f t="shared" si="0"/>
        <v>0</v>
      </c>
      <c r="J63" s="156">
        <f t="shared" si="1"/>
        <v>0</v>
      </c>
      <c r="K63" s="155">
        <f t="shared" si="2"/>
        <v>0</v>
      </c>
      <c r="L63" s="155" t="str">
        <f>IF(AND('Summary Sheet'!$E$23="No",$H$33&gt;0,H63&gt;=1),"",IF(AND('Summary Sheet'!$E$23="Yes",H63&lt;&gt;""),H63*'Summary Sheet'!$G$23,""))</f>
        <v/>
      </c>
      <c r="M63" s="154"/>
      <c r="N63" s="155">
        <f>SUM('Pay App 1:Pay App 15'!L63)+SUM('Pay App 1:Pay App 15'!M63)</f>
        <v>0</v>
      </c>
    </row>
    <row r="64" spans="1:16" ht="11.25" customHeight="1" x14ac:dyDescent="0.25">
      <c r="A64" s="152">
        <v>8</v>
      </c>
      <c r="B64" s="174" t="str">
        <f>'Pay App 1'!B64</f>
        <v>01 32 00</v>
      </c>
      <c r="C64" s="179" t="str">
        <f>'Pay App 1'!C64</f>
        <v>General Liability Insurance</v>
      </c>
      <c r="D64" s="155">
        <f>'Pay App 1'!D64</f>
        <v>0</v>
      </c>
      <c r="E64" s="155">
        <f>VLOOKUP(B64,'Graph Data'!$O$2:$BX$88,17,FALSE)</f>
        <v>0</v>
      </c>
      <c r="F64" s="155">
        <f>IFERROR(E64+'Pay App 14'!F64,"")</f>
        <v>0</v>
      </c>
      <c r="G64" s="155">
        <f>SUM('Pay App 1:Pay App 14'!H64)</f>
        <v>0</v>
      </c>
      <c r="H64" s="154"/>
      <c r="I64" s="155">
        <f t="shared" si="0"/>
        <v>0</v>
      </c>
      <c r="J64" s="156">
        <f t="shared" si="1"/>
        <v>0</v>
      </c>
      <c r="K64" s="155">
        <f t="shared" si="2"/>
        <v>0</v>
      </c>
      <c r="L64" s="155" t="str">
        <f>IF(AND('Summary Sheet'!$E$23="No",$H$33&gt;0,H64&gt;=1),"",IF(AND('Summary Sheet'!$E$23="Yes",H64&lt;&gt;""),H64*'Summary Sheet'!$G$23,""))</f>
        <v/>
      </c>
      <c r="M64" s="154"/>
      <c r="N64" s="155">
        <f>SUM('Pay App 1:Pay App 15'!L64)+SUM('Pay App 1:Pay App 15'!M64)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Data'!$O$2:$BX$88,17,FALSE)</f>
        <v>0</v>
      </c>
      <c r="F65" s="155">
        <f>IFERROR(E65+'Pay App 14'!F65,"")</f>
        <v>0</v>
      </c>
      <c r="G65" s="155">
        <f>SUM('Pay App 1:Pay App 14'!H65)</f>
        <v>0</v>
      </c>
      <c r="H65" s="154"/>
      <c r="I65" s="155">
        <f t="shared" si="0"/>
        <v>0</v>
      </c>
      <c r="J65" s="156">
        <f t="shared" si="1"/>
        <v>0</v>
      </c>
      <c r="K65" s="155">
        <f t="shared" si="2"/>
        <v>0</v>
      </c>
      <c r="L65" s="155" t="str">
        <f>IF(AND('Summary Sheet'!$E$23="No",$H$33&gt;0,H65&gt;=1),"",IF(AND('Summary Sheet'!$E$23="Yes",H65&lt;&gt;""),H65*'Summary Sheet'!$G$23,""))</f>
        <v/>
      </c>
      <c r="M65" s="154"/>
      <c r="N65" s="155">
        <f>SUM('Pay App 1:Pay App 15'!L65)+SUM('Pay App 1:Pay App 15'!M65)</f>
        <v>0</v>
      </c>
    </row>
    <row r="66" spans="1:17" ht="11.25" customHeight="1" x14ac:dyDescent="0.25">
      <c r="A66" s="152">
        <v>10</v>
      </c>
      <c r="B66" s="174" t="str">
        <f>'Pay App 1'!B66</f>
        <v>01 34 00</v>
      </c>
      <c r="C66" s="179" t="str">
        <f>'Pay App 1'!C66</f>
        <v>Subcontractor Default Insurance</v>
      </c>
      <c r="D66" s="155">
        <f>'Pay App 1'!D66</f>
        <v>0</v>
      </c>
      <c r="E66" s="155">
        <f>VLOOKUP(B66,'Graph Data'!$O$2:$BX$88,17,FALSE)</f>
        <v>0</v>
      </c>
      <c r="F66" s="155">
        <f>IFERROR(E66+'Pay App 14'!F66,"")</f>
        <v>0</v>
      </c>
      <c r="G66" s="155">
        <f>SUM('Pay App 1:Pay App 14'!H66)</f>
        <v>0</v>
      </c>
      <c r="H66" s="154"/>
      <c r="I66" s="155">
        <f t="shared" si="0"/>
        <v>0</v>
      </c>
      <c r="J66" s="156">
        <f t="shared" si="1"/>
        <v>0</v>
      </c>
      <c r="K66" s="155">
        <f t="shared" si="2"/>
        <v>0</v>
      </c>
      <c r="L66" s="155" t="str">
        <f>IF(AND('Summary Sheet'!$E$23="No",$H$33&gt;0,H66&gt;=1),"",IF(AND('Summary Sheet'!$E$23="Yes",H66&lt;&gt;""),H66*'Summary Sheet'!$G$23,""))</f>
        <v/>
      </c>
      <c r="M66" s="154"/>
      <c r="N66" s="155">
        <f>SUM('Pay App 1:Pay App 15'!L66)+SUM('Pay App 1:Pay App 15'!M66)</f>
        <v>0</v>
      </c>
    </row>
    <row r="67" spans="1:17" ht="11.25" customHeight="1" x14ac:dyDescent="0.25">
      <c r="A67" s="152">
        <v>11</v>
      </c>
      <c r="B67" s="174" t="str">
        <f>'Pay App 1'!B67</f>
        <v>01 35 00</v>
      </c>
      <c r="C67" s="179" t="str">
        <f>'Pay App 1'!C67</f>
        <v>Construction Management Fee</v>
      </c>
      <c r="D67" s="155">
        <f>'Pay App 1'!D67</f>
        <v>0</v>
      </c>
      <c r="E67" s="155">
        <f>VLOOKUP(B67,'Graph Data'!$O$2:$BX$88,17,FALSE)</f>
        <v>0</v>
      </c>
      <c r="F67" s="155">
        <f>IFERROR(E67+'Pay App 14'!F67,"")</f>
        <v>0</v>
      </c>
      <c r="G67" s="155">
        <f>SUM('Pay App 1:Pay App 14'!H67)</f>
        <v>0</v>
      </c>
      <c r="H67" s="154"/>
      <c r="I67" s="155">
        <f t="shared" si="0"/>
        <v>0</v>
      </c>
      <c r="J67" s="156">
        <f t="shared" si="1"/>
        <v>0</v>
      </c>
      <c r="K67" s="155">
        <f t="shared" si="2"/>
        <v>0</v>
      </c>
      <c r="L67" s="155" t="str">
        <f>IF(AND('Summary Sheet'!$E$23="No",$H$33&gt;0,H67&gt;=1),"",IF(AND('Summary Sheet'!$E$23="Yes",H67&lt;&gt;""),H67*'Summary Sheet'!$G$23,""))</f>
        <v/>
      </c>
      <c r="M67" s="154"/>
      <c r="N67" s="155">
        <f>SUM('Pay App 1:Pay App 15'!L67)+SUM('Pay App 1:Pay App 15'!M67)</f>
        <v>0</v>
      </c>
    </row>
    <row r="68" spans="1:17" ht="11.25" customHeight="1" x14ac:dyDescent="0.25">
      <c r="A68" s="152">
        <v>12</v>
      </c>
      <c r="B68" s="174" t="str">
        <f>'Pay App 1'!B68</f>
        <v>01 36 00</v>
      </c>
      <c r="C68" s="179" t="str">
        <f>'Pay App 1'!C68</f>
        <v>Contingency</v>
      </c>
      <c r="D68" s="155">
        <f>'Pay App 1'!D68</f>
        <v>0</v>
      </c>
      <c r="E68" s="155">
        <f>VLOOKUP(B68,'Graph Data'!$O$2:$BX$88,17,FALSE)</f>
        <v>0</v>
      </c>
      <c r="F68" s="155">
        <f>IFERROR(E68+'Pay App 14'!F68,"")</f>
        <v>0</v>
      </c>
      <c r="G68" s="155">
        <f>SUM('Pay App 1:Pay App 14'!H68)</f>
        <v>0</v>
      </c>
      <c r="H68" s="154"/>
      <c r="I68" s="155">
        <f t="shared" si="0"/>
        <v>0</v>
      </c>
      <c r="J68" s="156">
        <f t="shared" si="1"/>
        <v>0</v>
      </c>
      <c r="K68" s="155">
        <f t="shared" si="2"/>
        <v>0</v>
      </c>
      <c r="L68" s="155" t="str">
        <f>IF(AND('Summary Sheet'!$E$23="No",$H$33&gt;0,H68&gt;=1),"",IF(AND('Summary Sheet'!$E$23="Yes",H68&lt;&gt;""),H68*'Summary Sheet'!$G$23,""))</f>
        <v/>
      </c>
      <c r="M68" s="154"/>
      <c r="N68" s="155">
        <f>SUM('Pay App 1:Pay App 15'!L68)+SUM('Pay App 1:Pay App 15'!M68)</f>
        <v>0</v>
      </c>
    </row>
    <row r="69" spans="1:17" ht="11.25" customHeight="1" x14ac:dyDescent="0.25">
      <c r="A69" s="152">
        <v>13</v>
      </c>
      <c r="B69" s="174" t="str">
        <f>'Pay App 1'!B69</f>
        <v>01 37 00</v>
      </c>
      <c r="C69" s="179" t="str">
        <f>'Pay App 1'!C69</f>
        <v>Weather Allowance (All Trades)</v>
      </c>
      <c r="D69" s="155">
        <f>'Pay App 1'!D69</f>
        <v>0</v>
      </c>
      <c r="E69" s="155">
        <f>VLOOKUP(B69,'Graph Data'!$O$2:$BX$88,17,FALSE)</f>
        <v>0</v>
      </c>
      <c r="F69" s="155">
        <f>IFERROR(E69+'Pay App 14'!F69,"")</f>
        <v>0</v>
      </c>
      <c r="G69" s="155">
        <f>SUM('Pay App 1:Pay App 14'!H69)</f>
        <v>0</v>
      </c>
      <c r="H69" s="154"/>
      <c r="I69" s="155">
        <f t="shared" si="0"/>
        <v>0</v>
      </c>
      <c r="J69" s="156">
        <f t="shared" si="1"/>
        <v>0</v>
      </c>
      <c r="K69" s="155">
        <f t="shared" si="2"/>
        <v>0</v>
      </c>
      <c r="L69" s="155" t="str">
        <f>IF(AND('Summary Sheet'!$E$23="No",$H$33&gt;0,H69&gt;=1),"",IF(AND('Summary Sheet'!$E$23="Yes",H69&lt;&gt;""),H69*'Summary Sheet'!$G$23,""))</f>
        <v/>
      </c>
      <c r="M69" s="154"/>
      <c r="N69" s="155">
        <f>SUM('Pay App 1:Pay App 15'!L69)+SUM('Pay App 1:Pay App 15'!M69)</f>
        <v>0</v>
      </c>
    </row>
    <row r="70" spans="1:17" ht="11.25" customHeight="1" x14ac:dyDescent="0.25">
      <c r="A70" s="152">
        <v>14</v>
      </c>
      <c r="B70" s="174" t="str">
        <f>'Pay App 1'!B70</f>
        <v>01 74 23</v>
      </c>
      <c r="C70" s="179" t="str">
        <f>'Pay App 1'!C70</f>
        <v>Cleaning (Final)</v>
      </c>
      <c r="D70" s="155">
        <f>'Pay App 1'!D70</f>
        <v>0</v>
      </c>
      <c r="E70" s="155">
        <f>VLOOKUP(B70,'Graph Data'!$O$2:$BX$88,17,FALSE)</f>
        <v>0</v>
      </c>
      <c r="F70" s="155">
        <f>IFERROR(E70+'Pay App 14'!F70,"")</f>
        <v>0</v>
      </c>
      <c r="G70" s="155">
        <f>SUM('Pay App 1:Pay App 14'!H70)</f>
        <v>0</v>
      </c>
      <c r="H70" s="154"/>
      <c r="I70" s="155">
        <f t="shared" si="0"/>
        <v>0</v>
      </c>
      <c r="J70" s="156">
        <f t="shared" si="1"/>
        <v>0</v>
      </c>
      <c r="K70" s="155">
        <f t="shared" si="2"/>
        <v>0</v>
      </c>
      <c r="L70" s="155" t="str">
        <f>IF(AND('Summary Sheet'!$E$23="No",$H$33&gt;0,H70&gt;=1),"",IF(AND('Summary Sheet'!$E$23="Yes",H70&lt;&gt;""),H70*'Summary Sheet'!$G$23,""))</f>
        <v/>
      </c>
      <c r="M70" s="154"/>
      <c r="N70" s="155">
        <f>SUM('Pay App 1:Pay App 15'!L70)+SUM('Pay App 1:Pay App 15'!M70)</f>
        <v>0</v>
      </c>
    </row>
    <row r="71" spans="1:17" ht="11.25" customHeight="1" x14ac:dyDescent="0.25">
      <c r="A71" s="152">
        <v>15</v>
      </c>
      <c r="B71" s="175" t="str">
        <f>'Pay App 1'!B71</f>
        <v>02 21 00</v>
      </c>
      <c r="C71" s="180" t="str">
        <f>'Pay App 1'!C71</f>
        <v>Survey/Engineering</v>
      </c>
      <c r="D71" s="155">
        <f>'Pay App 1'!D71</f>
        <v>0</v>
      </c>
      <c r="E71" s="155">
        <f>VLOOKUP(B71,'Graph Data'!$O$2:$BX$88,17,FALSE)</f>
        <v>0</v>
      </c>
      <c r="F71" s="155">
        <f>IFERROR(E71+'Pay App 14'!F71,"")</f>
        <v>0</v>
      </c>
      <c r="G71" s="155">
        <f>SUM('Pay App 1:Pay App 14'!H71)</f>
        <v>0</v>
      </c>
      <c r="H71" s="154"/>
      <c r="I71" s="155">
        <f t="shared" si="0"/>
        <v>0</v>
      </c>
      <c r="J71" s="156">
        <f t="shared" si="1"/>
        <v>0</v>
      </c>
      <c r="K71" s="155">
        <f t="shared" si="2"/>
        <v>0</v>
      </c>
      <c r="L71" s="155" t="str">
        <f>IF(AND('Summary Sheet'!$E$23="No",$H$33&gt;0,H71&gt;=1),"",IF(AND('Summary Sheet'!$E$23="Yes",H71&lt;&gt;""),H71*'Summary Sheet'!$G$23,""))</f>
        <v/>
      </c>
      <c r="M71" s="154"/>
      <c r="N71" s="155">
        <f>SUM('Pay App 1:Pay App 15'!L71)+SUM('Pay App 1:Pay App 15'!M71)</f>
        <v>0</v>
      </c>
      <c r="Q71" s="28"/>
    </row>
    <row r="72" spans="1:17" ht="11.25" customHeight="1" x14ac:dyDescent="0.25">
      <c r="A72" s="152">
        <v>16</v>
      </c>
      <c r="B72" s="175" t="str">
        <f>'Pay App 1'!B72</f>
        <v>02 41 00</v>
      </c>
      <c r="C72" s="180" t="str">
        <f>'Pay App 1'!C72</f>
        <v>Demolition</v>
      </c>
      <c r="D72" s="155">
        <f>'Pay App 1'!D72</f>
        <v>0</v>
      </c>
      <c r="E72" s="155">
        <f>VLOOKUP(B72,'Graph Data'!$O$2:$BX$88,17,FALSE)</f>
        <v>0</v>
      </c>
      <c r="F72" s="155">
        <f>IFERROR(E72+'Pay App 14'!F72,"")</f>
        <v>0</v>
      </c>
      <c r="G72" s="155">
        <f>SUM('Pay App 1:Pay App 14'!H72)</f>
        <v>0</v>
      </c>
      <c r="H72" s="154"/>
      <c r="I72" s="155">
        <f t="shared" si="0"/>
        <v>0</v>
      </c>
      <c r="J72" s="156">
        <f t="shared" si="1"/>
        <v>0</v>
      </c>
      <c r="K72" s="155">
        <f t="shared" si="2"/>
        <v>0</v>
      </c>
      <c r="L72" s="155" t="str">
        <f>IF(AND('Summary Sheet'!$E$23="No",$H$33&gt;0,H72&gt;=1),"",IF(AND('Summary Sheet'!$E$23="Yes",H72&lt;&gt;""),H72*'Summary Sheet'!$G$23,""))</f>
        <v/>
      </c>
      <c r="M72" s="154"/>
      <c r="N72" s="155">
        <f>SUM('Pay App 1:Pay App 15'!L72)+SUM('Pay App 1:Pay App 15'!M72)</f>
        <v>0</v>
      </c>
      <c r="Q72" s="28"/>
    </row>
    <row r="73" spans="1:17" ht="11.25" customHeight="1" x14ac:dyDescent="0.25">
      <c r="A73" s="152">
        <v>17</v>
      </c>
      <c r="B73" s="175" t="str">
        <f>'Pay App 1'!B73</f>
        <v>02 82 00</v>
      </c>
      <c r="C73" s="180" t="str">
        <f>'Pay App 1'!C73</f>
        <v>Asbestos Abatement</v>
      </c>
      <c r="D73" s="155">
        <f>'Pay App 1'!D73</f>
        <v>0</v>
      </c>
      <c r="E73" s="155">
        <f>VLOOKUP(B73,'Graph Data'!$O$2:$BX$88,17,FALSE)</f>
        <v>0</v>
      </c>
      <c r="F73" s="155">
        <f>IFERROR(E73+'Pay App 14'!F73,"")</f>
        <v>0</v>
      </c>
      <c r="G73" s="155">
        <f>SUM('Pay App 1:Pay App 14'!H73)</f>
        <v>0</v>
      </c>
      <c r="H73" s="154"/>
      <c r="I73" s="155">
        <f t="shared" si="0"/>
        <v>0</v>
      </c>
      <c r="J73" s="156">
        <f t="shared" si="1"/>
        <v>0</v>
      </c>
      <c r="K73" s="155">
        <f t="shared" si="2"/>
        <v>0</v>
      </c>
      <c r="L73" s="155" t="str">
        <f>IF(AND('Summary Sheet'!$E$23="No",$H$33&gt;0,H73&gt;=1),"",IF(AND('Summary Sheet'!$E$23="Yes",H73&lt;&gt;""),H73*'Summary Sheet'!$G$23,""))</f>
        <v/>
      </c>
      <c r="M73" s="154"/>
      <c r="N73" s="155">
        <f>SUM('Pay App 1:Pay App 15'!L73)+SUM('Pay App 1:Pay App 15'!M73)</f>
        <v>0</v>
      </c>
    </row>
    <row r="74" spans="1:17" ht="11.25" customHeight="1" x14ac:dyDescent="0.25">
      <c r="A74" s="152">
        <v>18</v>
      </c>
      <c r="B74" s="176" t="str">
        <f>'Pay App 1'!B74</f>
        <v>03 00 00</v>
      </c>
      <c r="C74" s="181" t="str">
        <f>'Pay App 1'!C74</f>
        <v>Building Concrete</v>
      </c>
      <c r="D74" s="155">
        <f>'Pay App 1'!D74</f>
        <v>0</v>
      </c>
      <c r="E74" s="155">
        <f>VLOOKUP(B74,'Graph Data'!$O$2:$BX$88,17,FALSE)</f>
        <v>0</v>
      </c>
      <c r="F74" s="155">
        <f>IFERROR(E74+'Pay App 14'!F74,"")</f>
        <v>0</v>
      </c>
      <c r="G74" s="155">
        <f>SUM('Pay App 1:Pay App 14'!H74)</f>
        <v>0</v>
      </c>
      <c r="H74" s="154"/>
      <c r="I74" s="155">
        <f t="shared" si="0"/>
        <v>0</v>
      </c>
      <c r="J74" s="156">
        <f t="shared" si="1"/>
        <v>0</v>
      </c>
      <c r="K74" s="155">
        <f t="shared" si="2"/>
        <v>0</v>
      </c>
      <c r="L74" s="155" t="str">
        <f>IF(AND('Summary Sheet'!$E$23="No",$H$33&gt;0,H74&gt;=1),"",IF(AND('Summary Sheet'!$E$23="Yes",H74&lt;&gt;""),H74*'Summary Sheet'!$G$23,""))</f>
        <v/>
      </c>
      <c r="M74" s="154"/>
      <c r="N74" s="155">
        <f>SUM('Pay App 1:Pay App 15'!L74)+SUM('Pay App 1:Pay App 15'!M74)</f>
        <v>0</v>
      </c>
    </row>
    <row r="75" spans="1:17" ht="11.25" customHeight="1" x14ac:dyDescent="0.25">
      <c r="A75" s="152">
        <v>19</v>
      </c>
      <c r="B75" s="176" t="str">
        <f>'Pay App 1'!B75</f>
        <v>03 20 00</v>
      </c>
      <c r="C75" s="181" t="str">
        <f>'Pay App 1'!C75</f>
        <v>Building Concrete Reinforcing</v>
      </c>
      <c r="D75" s="155">
        <f>'Pay App 1'!D75</f>
        <v>0</v>
      </c>
      <c r="E75" s="155">
        <f>VLOOKUP(B75,'Graph Data'!$O$2:$BX$88,17,FALSE)</f>
        <v>0</v>
      </c>
      <c r="F75" s="155">
        <f>IFERROR(E75+'Pay App 14'!F75,"")</f>
        <v>0</v>
      </c>
      <c r="G75" s="155">
        <f>SUM('Pay App 1:Pay App 14'!H75)</f>
        <v>0</v>
      </c>
      <c r="H75" s="154"/>
      <c r="I75" s="155">
        <f t="shared" si="0"/>
        <v>0</v>
      </c>
      <c r="J75" s="156">
        <f t="shared" si="1"/>
        <v>0</v>
      </c>
      <c r="K75" s="155">
        <f t="shared" si="2"/>
        <v>0</v>
      </c>
      <c r="L75" s="155" t="str">
        <f>IF(AND('Summary Sheet'!$E$23="No",$H$33&gt;0,H75&gt;=1),"",IF(AND('Summary Sheet'!$E$23="Yes",H75&lt;&gt;""),H75*'Summary Sheet'!$G$23,""))</f>
        <v/>
      </c>
      <c r="M75" s="154"/>
      <c r="N75" s="155">
        <f>SUM('Pay App 1:Pay App 15'!L75)+SUM('Pay App 1:Pay App 15'!M75)</f>
        <v>0</v>
      </c>
    </row>
    <row r="76" spans="1:17" ht="11.25" customHeight="1" x14ac:dyDescent="0.25">
      <c r="A76" s="152">
        <v>20</v>
      </c>
      <c r="B76" s="176" t="str">
        <f>'Pay App 1'!B76</f>
        <v>03 40 00</v>
      </c>
      <c r="C76" s="181" t="str">
        <f>'Pay App 1'!C76</f>
        <v>Precast</v>
      </c>
      <c r="D76" s="155">
        <f>'Pay App 1'!D76</f>
        <v>0</v>
      </c>
      <c r="E76" s="155">
        <f>VLOOKUP(B76,'Graph Data'!$O$2:$BX$88,17,FALSE)</f>
        <v>0</v>
      </c>
      <c r="F76" s="155">
        <f>IFERROR(E76+'Pay App 14'!F76,"")</f>
        <v>0</v>
      </c>
      <c r="G76" s="155">
        <f>SUM('Pay App 1:Pay App 14'!H76)</f>
        <v>0</v>
      </c>
      <c r="H76" s="154"/>
      <c r="I76" s="155">
        <f t="shared" si="0"/>
        <v>0</v>
      </c>
      <c r="J76" s="156">
        <f t="shared" si="1"/>
        <v>0</v>
      </c>
      <c r="K76" s="155">
        <f t="shared" si="2"/>
        <v>0</v>
      </c>
      <c r="L76" s="155" t="str">
        <f>IF(AND('Summary Sheet'!$E$23="No",$H$33&gt;0,H76&gt;=1),"",IF(AND('Summary Sheet'!$E$23="Yes",H76&lt;&gt;""),H76*'Summary Sheet'!$G$23,""))</f>
        <v/>
      </c>
      <c r="M76" s="154"/>
      <c r="N76" s="155">
        <f>SUM('Pay App 1:Pay App 15'!L76)+SUM('Pay App 1:Pay App 15'!M76)</f>
        <v>0</v>
      </c>
    </row>
    <row r="77" spans="1:17" ht="11.25" customHeight="1" x14ac:dyDescent="0.25">
      <c r="A77" s="152">
        <v>21</v>
      </c>
      <c r="B77" s="177" t="str">
        <f>'Pay App 1'!B77</f>
        <v>04 00 00</v>
      </c>
      <c r="C77" s="182" t="str">
        <f>'Pay App 1'!C77</f>
        <v>Masonry</v>
      </c>
      <c r="D77" s="155">
        <f>'Pay App 1'!D77</f>
        <v>0</v>
      </c>
      <c r="E77" s="155">
        <f>VLOOKUP(B77,'Graph Data'!$O$2:$BX$88,17,FALSE)</f>
        <v>0</v>
      </c>
      <c r="F77" s="155">
        <f>IFERROR(E77+'Pay App 14'!F77,"")</f>
        <v>0</v>
      </c>
      <c r="G77" s="155">
        <f>SUM('Pay App 1:Pay App 14'!H77)</f>
        <v>0</v>
      </c>
      <c r="H77" s="154"/>
      <c r="I77" s="155">
        <f t="shared" si="0"/>
        <v>0</v>
      </c>
      <c r="J77" s="156">
        <f t="shared" si="1"/>
        <v>0</v>
      </c>
      <c r="K77" s="155">
        <f t="shared" si="2"/>
        <v>0</v>
      </c>
      <c r="L77" s="155" t="str">
        <f>IF(AND('Summary Sheet'!$E$23="No",$H$33&gt;0,H77&gt;=1),"",IF(AND('Summary Sheet'!$E$23="Yes",H77&lt;&gt;""),H77*'Summary Sheet'!$G$23,""))</f>
        <v/>
      </c>
      <c r="M77" s="154"/>
      <c r="N77" s="155">
        <f>SUM('Pay App 1:Pay App 15'!L77)+SUM('Pay App 1:Pay App 15'!M77)</f>
        <v>0</v>
      </c>
    </row>
    <row r="78" spans="1:17" ht="11.25" customHeight="1" x14ac:dyDescent="0.25">
      <c r="A78" s="152">
        <v>22</v>
      </c>
      <c r="B78" s="177" t="str">
        <f>'Pay App 1'!B78</f>
        <v>04 05 19</v>
      </c>
      <c r="C78" s="182" t="str">
        <f>'Pay App 1'!C78</f>
        <v>Masonry Reinforcing</v>
      </c>
      <c r="D78" s="155">
        <f>'Pay App 1'!D78</f>
        <v>0</v>
      </c>
      <c r="E78" s="155">
        <f>VLOOKUP(B78,'Graph Data'!$O$2:$BX$88,17,FALSE)</f>
        <v>0</v>
      </c>
      <c r="F78" s="155">
        <f>IFERROR(E78+'Pay App 14'!F78,"")</f>
        <v>0</v>
      </c>
      <c r="G78" s="155">
        <f>SUM('Pay App 1:Pay App 14'!H78)</f>
        <v>0</v>
      </c>
      <c r="H78" s="154"/>
      <c r="I78" s="155">
        <f t="shared" si="0"/>
        <v>0</v>
      </c>
      <c r="J78" s="156">
        <f t="shared" si="1"/>
        <v>0</v>
      </c>
      <c r="K78" s="155">
        <f t="shared" si="2"/>
        <v>0</v>
      </c>
      <c r="L78" s="155" t="str">
        <f>IF(AND('Summary Sheet'!$E$23="No",$H$33&gt;0,H78&gt;=1),"",IF(AND('Summary Sheet'!$E$23="Yes",H78&lt;&gt;""),H78*'Summary Sheet'!$G$23,""))</f>
        <v/>
      </c>
      <c r="M78" s="154"/>
      <c r="N78" s="155">
        <f>SUM('Pay App 1:Pay App 15'!L78)+SUM('Pay App 1:Pay App 15'!M78)</f>
        <v>0</v>
      </c>
    </row>
    <row r="79" spans="1:17" ht="11.25" customHeight="1" x14ac:dyDescent="0.25">
      <c r="A79" s="152">
        <v>23</v>
      </c>
      <c r="B79" s="178" t="str">
        <f>'Pay App 1'!B79</f>
        <v>05 10 00</v>
      </c>
      <c r="C79" s="183" t="str">
        <f>'Pay App 1'!C79</f>
        <v>Structural Steel/Misc. Steel Fab</v>
      </c>
      <c r="D79" s="155">
        <f>'Pay App 1'!D79</f>
        <v>0</v>
      </c>
      <c r="E79" s="155">
        <f>VLOOKUP(B79,'Graph Data'!$O$2:$BX$88,17,FALSE)</f>
        <v>0</v>
      </c>
      <c r="F79" s="155">
        <f>IFERROR(E79+'Pay App 14'!F79,"")</f>
        <v>0</v>
      </c>
      <c r="G79" s="155">
        <f>SUM('Pay App 1:Pay App 14'!H79)</f>
        <v>0</v>
      </c>
      <c r="H79" s="154"/>
      <c r="I79" s="155">
        <f t="shared" si="0"/>
        <v>0</v>
      </c>
      <c r="J79" s="156">
        <f t="shared" si="1"/>
        <v>0</v>
      </c>
      <c r="K79" s="155">
        <f t="shared" si="2"/>
        <v>0</v>
      </c>
      <c r="L79" s="155" t="str">
        <f>IF(AND('Summary Sheet'!$E$23="No",$H$33&gt;0,H79&gt;=1),"",IF(AND('Summary Sheet'!$E$23="Yes",H79&lt;&gt;""),H79*'Summary Sheet'!$G$23,""))</f>
        <v/>
      </c>
      <c r="M79" s="154"/>
      <c r="N79" s="155">
        <f>SUM('Pay App 1:Pay App 15'!L79)+SUM('Pay App 1:Pay App 15'!M79)</f>
        <v>0</v>
      </c>
    </row>
    <row r="80" spans="1:17" ht="11.25" customHeight="1" x14ac:dyDescent="0.25">
      <c r="A80" s="152">
        <v>24</v>
      </c>
      <c r="B80" s="178" t="str">
        <f>'Pay App 1'!B80</f>
        <v>05 20 00</v>
      </c>
      <c r="C80" s="183" t="str">
        <f>'Pay App 1'!C80</f>
        <v>Joists &amp; Deck</v>
      </c>
      <c r="D80" s="155">
        <f>'Pay App 1'!D80</f>
        <v>0</v>
      </c>
      <c r="E80" s="155">
        <f>VLOOKUP(B80,'Graph Data'!$O$2:$BX$88,17,FALSE)</f>
        <v>0</v>
      </c>
      <c r="F80" s="155">
        <f>IFERROR(E80+'Pay App 14'!F80,"")</f>
        <v>0</v>
      </c>
      <c r="G80" s="155">
        <f>SUM('Pay App 1:Pay App 14'!H80)</f>
        <v>0</v>
      </c>
      <c r="H80" s="154"/>
      <c r="I80" s="155">
        <f t="shared" si="0"/>
        <v>0</v>
      </c>
      <c r="J80" s="156">
        <f t="shared" si="1"/>
        <v>0</v>
      </c>
      <c r="K80" s="155">
        <f t="shared" si="2"/>
        <v>0</v>
      </c>
      <c r="L80" s="155" t="str">
        <f>IF(AND('Summary Sheet'!$E$23="No",$H$33&gt;0,H80&gt;=1),"",IF(AND('Summary Sheet'!$E$23="Yes",H80&lt;&gt;""),H80*'Summary Sheet'!$G$23,""))</f>
        <v/>
      </c>
      <c r="M80" s="154"/>
      <c r="N80" s="155">
        <f>SUM('Pay App 1:Pay App 15'!L80)+SUM('Pay App 1:Pay App 15'!M80)</f>
        <v>0</v>
      </c>
    </row>
    <row r="81" spans="1:14" ht="11.25" customHeight="1" x14ac:dyDescent="0.25">
      <c r="A81" s="152">
        <v>25</v>
      </c>
      <c r="B81" s="178" t="str">
        <f>'Pay App 1'!B81</f>
        <v>05 70 00</v>
      </c>
      <c r="C81" s="183" t="str">
        <f>'Pay App 1'!C81</f>
        <v>Ornamental Metal</v>
      </c>
      <c r="D81" s="155">
        <f>'Pay App 1'!D81</f>
        <v>0</v>
      </c>
      <c r="E81" s="155">
        <f>VLOOKUP(B81,'Graph Data'!$O$2:$BX$88,17,FALSE)</f>
        <v>0</v>
      </c>
      <c r="F81" s="155">
        <f>IFERROR(E81+'Pay App 14'!F81,"")</f>
        <v>0</v>
      </c>
      <c r="G81" s="155">
        <f>SUM('Pay App 1:Pay App 14'!H81)</f>
        <v>0</v>
      </c>
      <c r="H81" s="154"/>
      <c r="I81" s="155">
        <f t="shared" si="0"/>
        <v>0</v>
      </c>
      <c r="J81" s="156">
        <f t="shared" si="1"/>
        <v>0</v>
      </c>
      <c r="K81" s="155">
        <f t="shared" si="2"/>
        <v>0</v>
      </c>
      <c r="L81" s="155" t="str">
        <f>IF(AND('Summary Sheet'!$E$23="No",$H$33&gt;0,H81&gt;=1),"",IF(AND('Summary Sheet'!$E$23="Yes",H81&lt;&gt;""),H81*'Summary Sheet'!$G$23,""))</f>
        <v/>
      </c>
      <c r="M81" s="154"/>
      <c r="N81" s="155">
        <f>SUM('Pay App 1:Pay App 15'!L81)+SUM('Pay App 1:Pay App 15'!M81)</f>
        <v>0</v>
      </c>
    </row>
    <row r="82" spans="1:14" ht="11.25" customHeight="1" x14ac:dyDescent="0.25">
      <c r="A82" s="152">
        <v>26</v>
      </c>
      <c r="B82" s="145" t="str">
        <f>'Pay App 1'!B82</f>
        <v>06 10 00</v>
      </c>
      <c r="C82" s="134" t="str">
        <f>'Pay App 1'!C82</f>
        <v>Rough Carpentry</v>
      </c>
      <c r="D82" s="155">
        <f>'Pay App 1'!D82</f>
        <v>0</v>
      </c>
      <c r="E82" s="155">
        <f>VLOOKUP(B82,'Graph Data'!$O$2:$BX$88,17,FALSE)</f>
        <v>0</v>
      </c>
      <c r="F82" s="155">
        <f>IFERROR(E82+'Pay App 14'!F82,"")</f>
        <v>0</v>
      </c>
      <c r="G82" s="155">
        <f>SUM('Pay App 1:Pay App 14'!H82)</f>
        <v>0</v>
      </c>
      <c r="H82" s="154"/>
      <c r="I82" s="155">
        <f t="shared" si="0"/>
        <v>0</v>
      </c>
      <c r="J82" s="156">
        <f t="shared" si="1"/>
        <v>0</v>
      </c>
      <c r="K82" s="155">
        <f t="shared" si="2"/>
        <v>0</v>
      </c>
      <c r="L82" s="155" t="str">
        <f>IF(AND('Summary Sheet'!$E$23="No",$H$33&gt;0,H82&gt;=1),"",IF(AND('Summary Sheet'!$E$23="Yes",H82&lt;&gt;""),H82*'Summary Sheet'!$G$23,""))</f>
        <v/>
      </c>
      <c r="M82" s="154"/>
      <c r="N82" s="155">
        <f>SUM('Pay App 1:Pay App 15'!L82)+SUM('Pay App 1:Pay App 15'!M82)</f>
        <v>0</v>
      </c>
    </row>
    <row r="83" spans="1:14" ht="11.25" customHeight="1" x14ac:dyDescent="0.25">
      <c r="A83" s="152">
        <v>27</v>
      </c>
      <c r="B83" s="145" t="str">
        <f>'Pay App 1'!B83</f>
        <v>06 40 00</v>
      </c>
      <c r="C83" s="134" t="str">
        <f>'Pay App 1'!C83</f>
        <v>Arch. Woodwork &amp; Finish Carp.</v>
      </c>
      <c r="D83" s="155">
        <f>'Pay App 1'!D83</f>
        <v>0</v>
      </c>
      <c r="E83" s="155">
        <f>VLOOKUP(B83,'Graph Data'!$O$2:$BX$88,17,FALSE)</f>
        <v>0</v>
      </c>
      <c r="F83" s="155">
        <f>IFERROR(E83+'Pay App 14'!F83,"")</f>
        <v>0</v>
      </c>
      <c r="G83" s="155">
        <f>SUM('Pay App 1:Pay App 14'!H83)</f>
        <v>0</v>
      </c>
      <c r="H83" s="154"/>
      <c r="I83" s="155">
        <f t="shared" si="0"/>
        <v>0</v>
      </c>
      <c r="J83" s="156">
        <f t="shared" si="1"/>
        <v>0</v>
      </c>
      <c r="K83" s="155">
        <f t="shared" si="2"/>
        <v>0</v>
      </c>
      <c r="L83" s="155" t="str">
        <f>IF(AND('Summary Sheet'!$E$23="No",$H$33&gt;0,H83&gt;=1),"",IF(AND('Summary Sheet'!$E$23="Yes",H83&lt;&gt;""),H83*'Summary Sheet'!$G$23,""))</f>
        <v/>
      </c>
      <c r="M83" s="154"/>
      <c r="N83" s="155">
        <f>SUM('Pay App 1:Pay App 15'!L83)+SUM('Pay App 1:Pay App 15'!M83)</f>
        <v>0</v>
      </c>
    </row>
    <row r="84" spans="1:14" ht="11.25" customHeight="1" x14ac:dyDescent="0.25">
      <c r="A84" s="152">
        <v>28</v>
      </c>
      <c r="B84" s="174" t="str">
        <f>'Pay App 1'!B84</f>
        <v>07 10 00</v>
      </c>
      <c r="C84" s="179" t="str">
        <f>'Pay App 1'!C84</f>
        <v>Waterproofing/Water Repellents</v>
      </c>
      <c r="D84" s="155">
        <f>'Pay App 1'!D84</f>
        <v>0</v>
      </c>
      <c r="E84" s="155">
        <f>VLOOKUP(B84,'Graph Data'!$O$2:$BX$88,17,FALSE)</f>
        <v>0</v>
      </c>
      <c r="F84" s="155">
        <f>IFERROR(E84+'Pay App 14'!F84,"")</f>
        <v>0</v>
      </c>
      <c r="G84" s="155">
        <f>SUM('Pay App 1:Pay App 14'!H84)</f>
        <v>0</v>
      </c>
      <c r="H84" s="154"/>
      <c r="I84" s="155">
        <f t="shared" si="0"/>
        <v>0</v>
      </c>
      <c r="J84" s="156">
        <f t="shared" si="1"/>
        <v>0</v>
      </c>
      <c r="K84" s="155">
        <f t="shared" si="2"/>
        <v>0</v>
      </c>
      <c r="L84" s="155" t="str">
        <f>IF(AND('Summary Sheet'!$E$23="No",$H$33&gt;0,H84&gt;=1),"",IF(AND('Summary Sheet'!$E$23="Yes",H84&lt;&gt;""),H84*'Summary Sheet'!$G$23,""))</f>
        <v/>
      </c>
      <c r="M84" s="154"/>
      <c r="N84" s="155">
        <f>SUM('Pay App 1:Pay App 15'!L84)+SUM('Pay App 1:Pay App 15'!M84)</f>
        <v>0</v>
      </c>
    </row>
    <row r="85" spans="1:14" ht="11.25" customHeight="1" x14ac:dyDescent="0.25">
      <c r="A85" s="152">
        <v>29</v>
      </c>
      <c r="B85" s="174" t="str">
        <f>'Pay App 1'!B85</f>
        <v>07 20 00</v>
      </c>
      <c r="C85" s="179" t="str">
        <f>'Pay App 1'!C85</f>
        <v>Insulation</v>
      </c>
      <c r="D85" s="155">
        <f>'Pay App 1'!D85</f>
        <v>0</v>
      </c>
      <c r="E85" s="155">
        <f>VLOOKUP(B85,'Graph Data'!$O$2:$BX$88,17,FALSE)</f>
        <v>0</v>
      </c>
      <c r="F85" s="155">
        <f>IFERROR(E85+'Pay App 14'!F85,"")</f>
        <v>0</v>
      </c>
      <c r="G85" s="155">
        <f>SUM('Pay App 1:Pay App 14'!H85)</f>
        <v>0</v>
      </c>
      <c r="H85" s="154"/>
      <c r="I85" s="155">
        <f t="shared" si="0"/>
        <v>0</v>
      </c>
      <c r="J85" s="156">
        <f t="shared" si="1"/>
        <v>0</v>
      </c>
      <c r="K85" s="155">
        <f t="shared" si="2"/>
        <v>0</v>
      </c>
      <c r="L85" s="155" t="str">
        <f>IF(AND('Summary Sheet'!$E$23="No",$H$33&gt;0,H85&gt;=1),"",IF(AND('Summary Sheet'!$E$23="Yes",H85&lt;&gt;""),H85*'Summary Sheet'!$G$23,""))</f>
        <v/>
      </c>
      <c r="M85" s="154"/>
      <c r="N85" s="155">
        <f>SUM('Pay App 1:Pay App 15'!L85)+SUM('Pay App 1:Pay App 15'!M85)</f>
        <v>0</v>
      </c>
    </row>
    <row r="86" spans="1:14" ht="11.25" customHeight="1" x14ac:dyDescent="0.25">
      <c r="A86" s="152">
        <v>30</v>
      </c>
      <c r="B86" s="174" t="str">
        <f>'Pay App 1'!B86</f>
        <v>07 24 00</v>
      </c>
      <c r="C86" s="179" t="str">
        <f>'Pay App 1'!C86</f>
        <v>EIFS</v>
      </c>
      <c r="D86" s="155">
        <f>'Pay App 1'!D86</f>
        <v>0</v>
      </c>
      <c r="E86" s="155">
        <f>VLOOKUP(B86,'Graph Data'!$O$2:$BX$88,17,FALSE)</f>
        <v>0</v>
      </c>
      <c r="F86" s="155">
        <f>IFERROR(E86+'Pay App 14'!F86,"")</f>
        <v>0</v>
      </c>
      <c r="G86" s="155">
        <f>SUM('Pay App 1:Pay App 14'!H86)</f>
        <v>0</v>
      </c>
      <c r="H86" s="154"/>
      <c r="I86" s="155">
        <f t="shared" si="0"/>
        <v>0</v>
      </c>
      <c r="J86" s="156">
        <f t="shared" si="1"/>
        <v>0</v>
      </c>
      <c r="K86" s="155">
        <f t="shared" si="2"/>
        <v>0</v>
      </c>
      <c r="L86" s="155" t="str">
        <f>IF(AND('Summary Sheet'!$E$23="No",$H$33&gt;0,H86&gt;=1),"",IF(AND('Summary Sheet'!$E$23="Yes",H86&lt;&gt;""),H86*'Summary Sheet'!$G$23,""))</f>
        <v/>
      </c>
      <c r="M86" s="154"/>
      <c r="N86" s="155">
        <f>SUM('Pay App 1:Pay App 15'!L86)+SUM('Pay App 1:Pay App 15'!M86)</f>
        <v>0</v>
      </c>
    </row>
    <row r="87" spans="1:14" ht="11.25" customHeight="1" x14ac:dyDescent="0.25">
      <c r="A87" s="152">
        <v>31</v>
      </c>
      <c r="B87" s="174" t="str">
        <f>'Pay App 1'!B87</f>
        <v>07 26 00</v>
      </c>
      <c r="C87" s="179" t="str">
        <f>'Pay App 1'!C87</f>
        <v>Vapor Retarders</v>
      </c>
      <c r="D87" s="155">
        <f>'Pay App 1'!D87</f>
        <v>0</v>
      </c>
      <c r="E87" s="155">
        <f>VLOOKUP(B87,'Graph Data'!$O$2:$BX$88,17,FALSE)</f>
        <v>0</v>
      </c>
      <c r="F87" s="155">
        <f>IFERROR(E87+'Pay App 14'!F87,"")</f>
        <v>0</v>
      </c>
      <c r="G87" s="155">
        <f>SUM('Pay App 1:Pay App 14'!H87)</f>
        <v>0</v>
      </c>
      <c r="H87" s="154"/>
      <c r="I87" s="155">
        <f t="shared" si="0"/>
        <v>0</v>
      </c>
      <c r="J87" s="156">
        <f t="shared" si="1"/>
        <v>0</v>
      </c>
      <c r="K87" s="155">
        <f t="shared" si="2"/>
        <v>0</v>
      </c>
      <c r="L87" s="155" t="str">
        <f>IF(AND('Summary Sheet'!$E$23="No",$H$33&gt;0,H87&gt;=1),"",IF(AND('Summary Sheet'!$E$23="Yes",H87&lt;&gt;""),H87*'Summary Sheet'!$G$23,""))</f>
        <v/>
      </c>
      <c r="M87" s="154"/>
      <c r="N87" s="155">
        <f>SUM('Pay App 1:Pay App 15'!L87)+SUM('Pay App 1:Pay App 15'!M87)</f>
        <v>0</v>
      </c>
    </row>
    <row r="88" spans="1:14" ht="11.25" customHeight="1" x14ac:dyDescent="0.25">
      <c r="A88" s="152">
        <v>32</v>
      </c>
      <c r="B88" s="174" t="str">
        <f>'Pay App 1'!B88</f>
        <v>07 41 00</v>
      </c>
      <c r="C88" s="179" t="str">
        <f>'Pay App 1'!C88</f>
        <v>Roofing</v>
      </c>
      <c r="D88" s="155">
        <f>'Pay App 1'!D88</f>
        <v>0</v>
      </c>
      <c r="E88" s="155">
        <f>VLOOKUP(B88,'Graph Data'!$O$2:$BX$88,17,FALSE)</f>
        <v>0</v>
      </c>
      <c r="F88" s="155">
        <f>IFERROR(E88+'Pay App 14'!F88,"")</f>
        <v>0</v>
      </c>
      <c r="G88" s="155">
        <f>SUM('Pay App 1:Pay App 14'!H88)</f>
        <v>0</v>
      </c>
      <c r="H88" s="154"/>
      <c r="I88" s="155">
        <f t="shared" si="0"/>
        <v>0</v>
      </c>
      <c r="J88" s="156">
        <f t="shared" si="1"/>
        <v>0</v>
      </c>
      <c r="K88" s="155">
        <f t="shared" si="2"/>
        <v>0</v>
      </c>
      <c r="L88" s="155" t="str">
        <f>IF(AND('Summary Sheet'!$E$23="No",$H$33&gt;0,H88&gt;=1),"",IF(AND('Summary Sheet'!$E$23="Yes",H88&lt;&gt;""),H88*'Summary Sheet'!$G$23,""))</f>
        <v/>
      </c>
      <c r="M88" s="154"/>
      <c r="N88" s="155">
        <f>SUM('Pay App 1:Pay App 15'!L88)+SUM('Pay App 1:Pay App 15'!M88)</f>
        <v>0</v>
      </c>
    </row>
    <row r="89" spans="1:14" ht="11.25" customHeight="1" x14ac:dyDescent="0.25">
      <c r="A89" s="152">
        <v>33</v>
      </c>
      <c r="B89" s="174" t="str">
        <f>'Pay App 1'!B89</f>
        <v>07 42 00</v>
      </c>
      <c r="C89" s="179" t="str">
        <f>'Pay App 1'!C89</f>
        <v>Metal Panels</v>
      </c>
      <c r="D89" s="155">
        <f>'Pay App 1'!D89</f>
        <v>0</v>
      </c>
      <c r="E89" s="155">
        <f>VLOOKUP(B89,'Graph Data'!$O$2:$BX$88,17,FALSE)</f>
        <v>0</v>
      </c>
      <c r="F89" s="155">
        <f>IFERROR(E89+'Pay App 14'!F89,"")</f>
        <v>0</v>
      </c>
      <c r="G89" s="155">
        <f>SUM('Pay App 1:Pay App 14'!H89)</f>
        <v>0</v>
      </c>
      <c r="H89" s="154"/>
      <c r="I89" s="155">
        <f t="shared" si="0"/>
        <v>0</v>
      </c>
      <c r="J89" s="156">
        <f t="shared" si="1"/>
        <v>0</v>
      </c>
      <c r="K89" s="155">
        <f t="shared" si="2"/>
        <v>0</v>
      </c>
      <c r="L89" s="155" t="str">
        <f>IF(AND('Summary Sheet'!$E$23="No",$H$33&gt;0,H89&gt;=1),"",IF(AND('Summary Sheet'!$E$23="Yes",H89&lt;&gt;""),H89*'Summary Sheet'!$G$23,""))</f>
        <v/>
      </c>
      <c r="M89" s="154"/>
      <c r="N89" s="155">
        <f>SUM('Pay App 1:Pay App 15'!L89)+SUM('Pay App 1:Pay App 15'!M89)</f>
        <v>0</v>
      </c>
    </row>
    <row r="90" spans="1:14" ht="11.25" customHeight="1" x14ac:dyDescent="0.25">
      <c r="A90" s="152">
        <v>34</v>
      </c>
      <c r="B90" s="174" t="str">
        <f>'Pay App 1'!B90</f>
        <v>07 60 00</v>
      </c>
      <c r="C90" s="179" t="str">
        <f>'Pay App 1'!C90</f>
        <v>Sheet Metal Flashing &amp; Trim</v>
      </c>
      <c r="D90" s="155">
        <f>'Pay App 1'!D90</f>
        <v>0</v>
      </c>
      <c r="E90" s="155">
        <f>VLOOKUP(B90,'Graph Data'!$O$2:$BX$88,17,FALSE)</f>
        <v>0</v>
      </c>
      <c r="F90" s="155">
        <f>IFERROR(E90+'Pay App 14'!F90,"")</f>
        <v>0</v>
      </c>
      <c r="G90" s="155">
        <f>SUM('Pay App 1:Pay App 14'!H90)</f>
        <v>0</v>
      </c>
      <c r="H90" s="154"/>
      <c r="I90" s="155">
        <f t="shared" si="0"/>
        <v>0</v>
      </c>
      <c r="J90" s="156">
        <f t="shared" si="1"/>
        <v>0</v>
      </c>
      <c r="K90" s="155">
        <f t="shared" si="2"/>
        <v>0</v>
      </c>
      <c r="L90" s="155" t="str">
        <f>IF(AND('Summary Sheet'!$E$23="No",$H$33&gt;0,H90&gt;=1),"",IF(AND('Summary Sheet'!$E$23="Yes",H90&lt;&gt;""),H90*'Summary Sheet'!$G$23,""))</f>
        <v/>
      </c>
      <c r="M90" s="154"/>
      <c r="N90" s="155">
        <f>SUM('Pay App 1:Pay App 15'!L90)+SUM('Pay App 1:Pay App 15'!M90)</f>
        <v>0</v>
      </c>
    </row>
    <row r="91" spans="1:14" ht="11.25" customHeight="1" x14ac:dyDescent="0.25">
      <c r="A91" s="152">
        <v>35</v>
      </c>
      <c r="B91" s="174" t="str">
        <f>'Pay App 1'!B91</f>
        <v>07 80 00</v>
      </c>
      <c r="C91" s="179" t="str">
        <f>'Pay App 1'!C91</f>
        <v>Fireproofing</v>
      </c>
      <c r="D91" s="155">
        <f>'Pay App 1'!D91</f>
        <v>0</v>
      </c>
      <c r="E91" s="155">
        <f>VLOOKUP(B91,'Graph Data'!$O$2:$BX$88,17,FALSE)</f>
        <v>0</v>
      </c>
      <c r="F91" s="155">
        <f>IFERROR(E91+'Pay App 14'!F91,"")</f>
        <v>0</v>
      </c>
      <c r="G91" s="155">
        <f>SUM('Pay App 1:Pay App 14'!H91)</f>
        <v>0</v>
      </c>
      <c r="H91" s="154"/>
      <c r="I91" s="155">
        <f t="shared" si="0"/>
        <v>0</v>
      </c>
      <c r="J91" s="156">
        <f t="shared" si="1"/>
        <v>0</v>
      </c>
      <c r="K91" s="155">
        <f t="shared" si="2"/>
        <v>0</v>
      </c>
      <c r="L91" s="155" t="str">
        <f>IF(AND('Summary Sheet'!$E$23="No",$H$33&gt;0,H91&gt;=1),"",IF(AND('Summary Sheet'!$E$23="Yes",H91&lt;&gt;""),H91*'Summary Sheet'!$G$23,""))</f>
        <v/>
      </c>
      <c r="M91" s="154"/>
      <c r="N91" s="155">
        <f>SUM('Pay App 1:Pay App 15'!L91)+SUM('Pay App 1:Pay App 15'!M91)</f>
        <v>0</v>
      </c>
    </row>
    <row r="92" spans="1:14" ht="11.25" customHeight="1" x14ac:dyDescent="0.25">
      <c r="A92" s="152">
        <v>36</v>
      </c>
      <c r="B92" s="174" t="str">
        <f>'Pay App 1'!B92</f>
        <v>07 90 00</v>
      </c>
      <c r="C92" s="179" t="str">
        <f>'Pay App 1'!C92</f>
        <v>Joint Sealants</v>
      </c>
      <c r="D92" s="155">
        <f>'Pay App 1'!D92</f>
        <v>0</v>
      </c>
      <c r="E92" s="155">
        <f>VLOOKUP(B92,'Graph Data'!$O$2:$BX$88,17,FALSE)</f>
        <v>0</v>
      </c>
      <c r="F92" s="155">
        <f>IFERROR(E92+'Pay App 14'!F92,"")</f>
        <v>0</v>
      </c>
      <c r="G92" s="155">
        <f>SUM('Pay App 1:Pay App 14'!H92)</f>
        <v>0</v>
      </c>
      <c r="H92" s="154"/>
      <c r="I92" s="155">
        <f t="shared" si="0"/>
        <v>0</v>
      </c>
      <c r="J92" s="156">
        <f t="shared" si="1"/>
        <v>0</v>
      </c>
      <c r="K92" s="155">
        <f t="shared" si="2"/>
        <v>0</v>
      </c>
      <c r="L92" s="155" t="str">
        <f>IF(AND('Summary Sheet'!$E$23="No",$H$33&gt;0,H92&gt;=1),"",IF(AND('Summary Sheet'!$E$23="Yes",H92&lt;&gt;""),H92*'Summary Sheet'!$G$23,""))</f>
        <v/>
      </c>
      <c r="M92" s="154"/>
      <c r="N92" s="155">
        <f>SUM('Pay App 1:Pay App 15'!L92)+SUM('Pay App 1:Pay App 15'!M92)</f>
        <v>0</v>
      </c>
    </row>
    <row r="93" spans="1:14" ht="11.25" customHeight="1" x14ac:dyDescent="0.25">
      <c r="A93" s="152">
        <v>37</v>
      </c>
      <c r="B93" s="174" t="str">
        <f>'Pay App 1'!B93</f>
        <v>07 95 00</v>
      </c>
      <c r="C93" s="179" t="str">
        <f>'Pay App 1'!C93</f>
        <v>Expansion Joints</v>
      </c>
      <c r="D93" s="155">
        <f>'Pay App 1'!D93</f>
        <v>0</v>
      </c>
      <c r="E93" s="155">
        <f>VLOOKUP(B93,'Graph Data'!$O$2:$BX$88,17,FALSE)</f>
        <v>0</v>
      </c>
      <c r="F93" s="155">
        <f>IFERROR(E93+'Pay App 14'!F93,"")</f>
        <v>0</v>
      </c>
      <c r="G93" s="155">
        <f>SUM('Pay App 1:Pay App 14'!H93)</f>
        <v>0</v>
      </c>
      <c r="H93" s="154"/>
      <c r="I93" s="155">
        <f t="shared" si="0"/>
        <v>0</v>
      </c>
      <c r="J93" s="156">
        <f t="shared" si="1"/>
        <v>0</v>
      </c>
      <c r="K93" s="155">
        <f t="shared" si="2"/>
        <v>0</v>
      </c>
      <c r="L93" s="155" t="str">
        <f>IF(AND('Summary Sheet'!$E$23="No",$H$33&gt;0,H93&gt;=1),"",IF(AND('Summary Sheet'!$E$23="Yes",H93&lt;&gt;""),H93*'Summary Sheet'!$G$23,""))</f>
        <v/>
      </c>
      <c r="M93" s="154"/>
      <c r="N93" s="155">
        <f>SUM('Pay App 1:Pay App 15'!L93)+SUM('Pay App 1:Pay App 15'!M93)</f>
        <v>0</v>
      </c>
    </row>
    <row r="94" spans="1:14" ht="11.25" customHeight="1" x14ac:dyDescent="0.25">
      <c r="A94" s="152">
        <v>38</v>
      </c>
      <c r="B94" s="175" t="str">
        <f>'Pay App 1'!B94</f>
        <v>08 10 00</v>
      </c>
      <c r="C94" s="180" t="str">
        <f>'Pay App 1'!C94</f>
        <v>Doors, Frames &amp; Hardware</v>
      </c>
      <c r="D94" s="155">
        <f>'Pay App 1'!D94</f>
        <v>0</v>
      </c>
      <c r="E94" s="155">
        <f>VLOOKUP(B94,'Graph Data'!$O$2:$BX$88,17,FALSE)</f>
        <v>0</v>
      </c>
      <c r="F94" s="155">
        <f>IFERROR(E94+'Pay App 14'!F94,"")</f>
        <v>0</v>
      </c>
      <c r="G94" s="155">
        <f>SUM('Pay App 1:Pay App 14'!H94)</f>
        <v>0</v>
      </c>
      <c r="H94" s="154"/>
      <c r="I94" s="155">
        <f t="shared" si="0"/>
        <v>0</v>
      </c>
      <c r="J94" s="156">
        <f t="shared" si="1"/>
        <v>0</v>
      </c>
      <c r="K94" s="155">
        <f t="shared" si="2"/>
        <v>0</v>
      </c>
      <c r="L94" s="155" t="str">
        <f>IF(AND('Summary Sheet'!$E$23="No",$H$33&gt;0,H94&gt;=1),"",IF(AND('Summary Sheet'!$E$23="Yes",H94&lt;&gt;""),H94*'Summary Sheet'!$G$23,""))</f>
        <v/>
      </c>
      <c r="M94" s="154"/>
      <c r="N94" s="155">
        <f>SUM('Pay App 1:Pay App 15'!L94)+SUM('Pay App 1:Pay App 15'!M94)</f>
        <v>0</v>
      </c>
    </row>
    <row r="95" spans="1:14" ht="11.25" customHeight="1" x14ac:dyDescent="0.25">
      <c r="A95" s="152">
        <v>39</v>
      </c>
      <c r="B95" s="175" t="str">
        <f>'Pay App 1'!B95</f>
        <v>08 30 00</v>
      </c>
      <c r="C95" s="180" t="str">
        <f>'Pay App 1'!C95</f>
        <v>Specialty Doors</v>
      </c>
      <c r="D95" s="155">
        <f>'Pay App 1'!D95</f>
        <v>0</v>
      </c>
      <c r="E95" s="155">
        <f>VLOOKUP(B95,'Graph Data'!$O$2:$BX$88,17,FALSE)</f>
        <v>0</v>
      </c>
      <c r="F95" s="155">
        <f>IFERROR(E95+'Pay App 14'!F95,"")</f>
        <v>0</v>
      </c>
      <c r="G95" s="155">
        <f>SUM('Pay App 1:Pay App 14'!H95)</f>
        <v>0</v>
      </c>
      <c r="H95" s="154"/>
      <c r="I95" s="155">
        <f t="shared" si="0"/>
        <v>0</v>
      </c>
      <c r="J95" s="156">
        <f t="shared" si="1"/>
        <v>0</v>
      </c>
      <c r="K95" s="155">
        <f t="shared" si="2"/>
        <v>0</v>
      </c>
      <c r="L95" s="155" t="str">
        <f>IF(AND('Summary Sheet'!$E$23="No",$H$33&gt;0,H95&gt;=1),"",IF(AND('Summary Sheet'!$E$23="Yes",H95&lt;&gt;""),H95*'Summary Sheet'!$G$23,""))</f>
        <v/>
      </c>
      <c r="M95" s="154"/>
      <c r="N95" s="155">
        <f>SUM('Pay App 1:Pay App 15'!L95)+SUM('Pay App 1:Pay App 15'!M95)</f>
        <v>0</v>
      </c>
    </row>
    <row r="96" spans="1:14" ht="11.25" customHeight="1" x14ac:dyDescent="0.25">
      <c r="A96" s="152">
        <v>40</v>
      </c>
      <c r="B96" s="175" t="str">
        <f>'Pay App 1'!B96</f>
        <v>08 33 00</v>
      </c>
      <c r="C96" s="180" t="str">
        <f>'Pay App 1'!C96</f>
        <v>Overhead Doors/Coiling Doors</v>
      </c>
      <c r="D96" s="155">
        <f>'Pay App 1'!D96</f>
        <v>0</v>
      </c>
      <c r="E96" s="155">
        <f>VLOOKUP(B96,'Graph Data'!$O$2:$BX$88,17,FALSE)</f>
        <v>0</v>
      </c>
      <c r="F96" s="155">
        <f>IFERROR(E96+'Pay App 14'!F96,"")</f>
        <v>0</v>
      </c>
      <c r="G96" s="155">
        <f>SUM('Pay App 1:Pay App 14'!H96)</f>
        <v>0</v>
      </c>
      <c r="H96" s="154"/>
      <c r="I96" s="155">
        <f t="shared" si="0"/>
        <v>0</v>
      </c>
      <c r="J96" s="156">
        <f t="shared" si="1"/>
        <v>0</v>
      </c>
      <c r="K96" s="155">
        <f t="shared" si="2"/>
        <v>0</v>
      </c>
      <c r="L96" s="155" t="str">
        <f>IF(AND('Summary Sheet'!$E$23="No",$H$33&gt;0,H96&gt;=1),"",IF(AND('Summary Sheet'!$E$23="Yes",H96&lt;&gt;""),H96*'Summary Sheet'!$G$23,""))</f>
        <v/>
      </c>
      <c r="M96" s="154"/>
      <c r="N96" s="155">
        <f>SUM('Pay App 1:Pay App 15'!L96)+SUM('Pay App 1:Pay App 15'!M96)</f>
        <v>0</v>
      </c>
    </row>
    <row r="97" spans="1:15" ht="11.25" customHeight="1" x14ac:dyDescent="0.25">
      <c r="A97" s="152">
        <v>41</v>
      </c>
      <c r="B97" s="175" t="str">
        <f>'Pay App 1'!B97</f>
        <v>08 40 00</v>
      </c>
      <c r="C97" s="180" t="str">
        <f>'Pay App 1'!C97</f>
        <v>Curtain Wall, Glass &amp; Glazing</v>
      </c>
      <c r="D97" s="155">
        <f>'Pay App 1'!D97</f>
        <v>0</v>
      </c>
      <c r="E97" s="155">
        <f>VLOOKUP(B97,'Graph Data'!$O$2:$BX$88,17,FALSE)</f>
        <v>0</v>
      </c>
      <c r="F97" s="155">
        <f>IFERROR(E97+'Pay App 14'!F97,"")</f>
        <v>0</v>
      </c>
      <c r="G97" s="155">
        <f>SUM('Pay App 1:Pay App 14'!H97)</f>
        <v>0</v>
      </c>
      <c r="H97" s="154"/>
      <c r="I97" s="155">
        <f t="shared" si="0"/>
        <v>0</v>
      </c>
      <c r="J97" s="156">
        <f t="shared" si="1"/>
        <v>0</v>
      </c>
      <c r="K97" s="155">
        <f t="shared" si="2"/>
        <v>0</v>
      </c>
      <c r="L97" s="155" t="str">
        <f>IF(AND('Summary Sheet'!$E$23="No",$H$33&gt;0,H97&gt;=1),"",IF(AND('Summary Sheet'!$E$23="Yes",H97&lt;&gt;""),H97*'Summary Sheet'!$G$23,""))</f>
        <v/>
      </c>
      <c r="M97" s="154"/>
      <c r="N97" s="155">
        <f>SUM('Pay App 1:Pay App 15'!L97)+SUM('Pay App 1:Pay App 15'!M97)</f>
        <v>0</v>
      </c>
    </row>
    <row r="98" spans="1:15" ht="10.9" customHeight="1" x14ac:dyDescent="0.25">
      <c r="A98" s="152">
        <v>42</v>
      </c>
      <c r="B98" s="175" t="str">
        <f>'Pay App 1'!B98</f>
        <v>08 60 00</v>
      </c>
      <c r="C98" s="180" t="str">
        <f>'Pay App 1'!C98</f>
        <v>Skylights</v>
      </c>
      <c r="D98" s="155">
        <f>'Pay App 1'!D98</f>
        <v>0</v>
      </c>
      <c r="E98" s="155">
        <f>VLOOKUP(B98,'Graph Data'!$O$2:$BX$88,17,FALSE)</f>
        <v>0</v>
      </c>
      <c r="F98" s="155">
        <f>IFERROR(E98+'Pay App 14'!F98,"")</f>
        <v>0</v>
      </c>
      <c r="G98" s="155">
        <f>SUM('Pay App 1:Pay App 14'!H98)</f>
        <v>0</v>
      </c>
      <c r="H98" s="154"/>
      <c r="I98" s="155">
        <f t="shared" si="0"/>
        <v>0</v>
      </c>
      <c r="J98" s="156">
        <f t="shared" si="1"/>
        <v>0</v>
      </c>
      <c r="K98" s="155">
        <f t="shared" si="2"/>
        <v>0</v>
      </c>
      <c r="L98" s="155" t="str">
        <f>IF(AND('Summary Sheet'!$E$23="No",$H$33&gt;0,H98&gt;=1),"",IF(AND('Summary Sheet'!$E$23="Yes",H98&lt;&gt;""),H98*'Summary Sheet'!$G$23,""))</f>
        <v/>
      </c>
      <c r="M98" s="154"/>
      <c r="N98" s="155">
        <f>SUM('Pay App 1:Pay App 15'!L98)+SUM('Pay App 1:Pay App 15'!M98)</f>
        <v>0</v>
      </c>
    </row>
    <row r="99" spans="1:15" ht="10.9" customHeight="1" x14ac:dyDescent="0.25">
      <c r="A99" s="152">
        <v>43</v>
      </c>
      <c r="B99" s="175" t="str">
        <f>'Pay App 1'!B99</f>
        <v>08 90 00</v>
      </c>
      <c r="C99" s="180" t="str">
        <f>'Pay App 1'!C99</f>
        <v>Louvers &amp; Vents</v>
      </c>
      <c r="D99" s="155">
        <f>'Pay App 1'!D99</f>
        <v>0</v>
      </c>
      <c r="E99" s="155">
        <f>VLOOKUP(B99,'Graph Data'!$O$2:$BX$88,17,FALSE)</f>
        <v>0</v>
      </c>
      <c r="F99" s="155">
        <f>IFERROR(E99+'Pay App 14'!F99,"")</f>
        <v>0</v>
      </c>
      <c r="G99" s="155">
        <f>SUM('Pay App 1:Pay App 14'!H99)</f>
        <v>0</v>
      </c>
      <c r="H99" s="154"/>
      <c r="I99" s="155">
        <f t="shared" si="0"/>
        <v>0</v>
      </c>
      <c r="J99" s="156">
        <f t="shared" si="1"/>
        <v>0</v>
      </c>
      <c r="K99" s="155">
        <f t="shared" si="2"/>
        <v>0</v>
      </c>
      <c r="L99" s="155" t="str">
        <f>IF(AND('Summary Sheet'!$E$23="No",$H$33&gt;0,H99&gt;=1),"",IF(AND('Summary Sheet'!$E$23="Yes",H99&lt;&gt;""),H99*'Summary Sheet'!$G$23,""))</f>
        <v/>
      </c>
      <c r="M99" s="154"/>
      <c r="N99" s="155">
        <f>SUM('Pay App 1:Pay App 15'!L99)+SUM('Pay App 1:Pay App 15'!M99)</f>
        <v>0</v>
      </c>
    </row>
    <row r="100" spans="1:15" ht="11.25" customHeight="1" x14ac:dyDescent="0.25">
      <c r="A100" s="153">
        <v>44</v>
      </c>
      <c r="B100" s="176" t="str">
        <f>'Pay App 1'!B100</f>
        <v>09 20 00</v>
      </c>
      <c r="C100" s="181" t="str">
        <f>'Pay App 1'!C100</f>
        <v>Gypsum Board Systems</v>
      </c>
      <c r="D100" s="155">
        <f>'Pay App 1'!D100</f>
        <v>0</v>
      </c>
      <c r="E100" s="155">
        <f>VLOOKUP(B100,'Graph Data'!$O$2:$BX$88,17,FALSE)</f>
        <v>0</v>
      </c>
      <c r="F100" s="155">
        <f>IFERROR(E100+'Pay App 14'!F100,"")</f>
        <v>0</v>
      </c>
      <c r="G100" s="155">
        <f>SUM('Pay App 1:Pay App 14'!H100)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15'!L100)+SUM('Pay App 1:Pay App 15'!M100)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15.2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Data'!$O$2:$BX$88,17,FALSE)</f>
        <v>0</v>
      </c>
      <c r="F106" s="155">
        <f>IFERROR(E106+'Pay App 14'!F106,"")</f>
        <v>0</v>
      </c>
      <c r="G106" s="155">
        <f>SUM('Pay App 1:Pay App 14'!H106)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15'!L106)+SUM('Pay App 1:Pay App 15'!M106)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Data'!$O$2:$BX$88,17,FALSE)</f>
        <v>0</v>
      </c>
      <c r="F107" s="155">
        <f>IFERROR(E107+'Pay App 14'!F107,"")</f>
        <v>0</v>
      </c>
      <c r="G107" s="155">
        <f>SUM('Pay App 1:Pay App 14'!H107)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15'!L107)+SUM('Pay App 1:Pay App 15'!M107)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Data'!$O$2:$BX$88,17,FALSE)</f>
        <v>0</v>
      </c>
      <c r="F108" s="155">
        <f>IFERROR(E108+'Pay App 14'!F108,"")</f>
        <v>0</v>
      </c>
      <c r="G108" s="155">
        <f>SUM('Pay App 1:Pay App 14'!H108)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15'!L108)+SUM('Pay App 1:Pay App 15'!M108)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Data'!$O$2:$BX$88,17,FALSE)</f>
        <v>0</v>
      </c>
      <c r="F109" s="155">
        <f>IFERROR(E109+'Pay App 14'!F109,"")</f>
        <v>0</v>
      </c>
      <c r="G109" s="155">
        <f>SUM('Pay App 1:Pay App 14'!H109)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15'!L109)+SUM('Pay App 1:Pay App 15'!M109)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Data'!$O$2:$BX$88,17,FALSE)</f>
        <v>0</v>
      </c>
      <c r="F110" s="155">
        <f>IFERROR(E110+'Pay App 14'!F110,"")</f>
        <v>0</v>
      </c>
      <c r="G110" s="155">
        <f>SUM('Pay App 1:Pay App 14'!H110)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15'!L110)+SUM('Pay App 1:Pay App 15'!M110)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Data'!$O$2:$BX$88,17,FALSE)</f>
        <v>0</v>
      </c>
      <c r="F111" s="155">
        <f>IFERROR(E111+'Pay App 14'!F111,"")</f>
        <v>0</v>
      </c>
      <c r="G111" s="155">
        <f>SUM('Pay App 1:Pay App 14'!H111)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15'!L111)+SUM('Pay App 1:Pay App 15'!M111)</f>
        <v>0</v>
      </c>
    </row>
    <row r="112" spans="1:15" ht="11.25" customHeight="1" x14ac:dyDescent="0.25">
      <c r="A112" s="152">
        <f t="shared" si="3"/>
        <v>51</v>
      </c>
      <c r="B112" s="148" t="str">
        <f>'Pay App 1'!B112</f>
        <v>09 90 00</v>
      </c>
      <c r="C112" s="143" t="str">
        <f>'Pay App 1'!C112</f>
        <v>Painting</v>
      </c>
      <c r="D112" s="155">
        <f>'Pay App 1'!D112</f>
        <v>0</v>
      </c>
      <c r="E112" s="155">
        <f>VLOOKUP(B112,'Graph Data'!$O$2:$BX$88,17,FALSE)</f>
        <v>0</v>
      </c>
      <c r="F112" s="155">
        <f>IFERROR(E112+'Pay App 14'!F112,"")</f>
        <v>0</v>
      </c>
      <c r="G112" s="155">
        <f>SUM('Pay App 1:Pay App 14'!H112)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15'!L112)+SUM('Pay App 1:Pay App 15'!M112)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Data'!$O$2:$BX$88,17,FALSE)</f>
        <v>0</v>
      </c>
      <c r="F113" s="155">
        <f>IFERROR(E113+'Pay App 14'!F113,"")</f>
        <v>0</v>
      </c>
      <c r="G113" s="155">
        <f>SUM('Pay App 1:Pay App 14'!H113)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15'!L113)+SUM('Pay App 1:Pay App 15'!M113)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Data'!$O$2:$BX$88,17,FALSE)</f>
        <v>0</v>
      </c>
      <c r="F114" s="155">
        <f>IFERROR(E114+'Pay App 14'!F114,"")</f>
        <v>0</v>
      </c>
      <c r="G114" s="155">
        <f>SUM('Pay App 1:Pay App 14'!H114)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15'!L114)+SUM('Pay App 1:Pay App 15'!M114)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Data'!$O$2:$BX$88,17,FALSE)</f>
        <v>0</v>
      </c>
      <c r="F115" s="155">
        <f>IFERROR(E115+'Pay App 14'!F115,"")</f>
        <v>0</v>
      </c>
      <c r="G115" s="155">
        <f>SUM('Pay App 1:Pay App 14'!H115)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15'!L115)+SUM('Pay App 1:Pay App 15'!M115)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Data'!$O$2:$BX$88,17,FALSE)</f>
        <v>0</v>
      </c>
      <c r="F116" s="155">
        <f>IFERROR(E116+'Pay App 14'!F116,"")</f>
        <v>0</v>
      </c>
      <c r="G116" s="155">
        <f>SUM('Pay App 1:Pay App 14'!H116)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15'!L116)+SUM('Pay App 1:Pay App 15'!M116)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Data'!$O$2:$BX$88,17,FALSE)</f>
        <v>0</v>
      </c>
      <c r="F117" s="155">
        <f>IFERROR(E117+'Pay App 14'!F117,"")</f>
        <v>0</v>
      </c>
      <c r="G117" s="155">
        <f>SUM('Pay App 1:Pay App 14'!H117)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15'!L117)+SUM('Pay App 1:Pay App 15'!M117)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Data'!$O$2:$BX$88,17,FALSE)</f>
        <v>0</v>
      </c>
      <c r="F118" s="155">
        <f>IFERROR(E118+'Pay App 14'!F118,"")</f>
        <v>0</v>
      </c>
      <c r="G118" s="155">
        <f>SUM('Pay App 1:Pay App 14'!H118)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15'!L118)+SUM('Pay App 1:Pay App 15'!M118)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Data'!$O$2:$BX$88,17,FALSE)</f>
        <v>0</v>
      </c>
      <c r="F119" s="155">
        <f>IFERROR(E119+'Pay App 14'!F119,"")</f>
        <v>0</v>
      </c>
      <c r="G119" s="155">
        <f>SUM('Pay App 1:Pay App 14'!H119)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15'!L119)+SUM('Pay App 1:Pay App 15'!M119)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Data'!$O$2:$BX$88,17,FALSE)</f>
        <v>0</v>
      </c>
      <c r="F120" s="155">
        <f>IFERROR(E120+'Pay App 14'!F120,"")</f>
        <v>0</v>
      </c>
      <c r="G120" s="155">
        <f>SUM('Pay App 1:Pay App 14'!H120)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15'!L120)+SUM('Pay App 1:Pay App 15'!M120)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Data'!$O$2:$BX$88,17,FALSE)</f>
        <v>0</v>
      </c>
      <c r="F121" s="155">
        <f>IFERROR(E121+'Pay App 14'!F121,"")</f>
        <v>0</v>
      </c>
      <c r="G121" s="155">
        <f>SUM('Pay App 1:Pay App 14'!H121)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15'!L121)+SUM('Pay App 1:Pay App 15'!M121)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Data'!$O$2:$BX$88,17,FALSE)</f>
        <v>0</v>
      </c>
      <c r="F122" s="155">
        <f>IFERROR(E122+'Pay App 14'!F122,"")</f>
        <v>0</v>
      </c>
      <c r="G122" s="155">
        <f>SUM('Pay App 1:Pay App 14'!H122)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15'!L122)+SUM('Pay App 1:Pay App 15'!M122)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Data'!$O$2:$BX$88,17,FALSE)</f>
        <v>0</v>
      </c>
      <c r="F123" s="155">
        <f>IFERROR(E123+'Pay App 14'!F123,"")</f>
        <v>0</v>
      </c>
      <c r="G123" s="155">
        <f>SUM('Pay App 1:Pay App 14'!H123)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15'!L123)+SUM('Pay App 1:Pay App 15'!M123)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Data'!$O$2:$BX$88,17,FALSE)</f>
        <v>0</v>
      </c>
      <c r="F124" s="155">
        <f>IFERROR(E124+'Pay App 14'!F124,"")</f>
        <v>0</v>
      </c>
      <c r="G124" s="155">
        <f>SUM('Pay App 1:Pay App 14'!H124)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15'!L124)+SUM('Pay App 1:Pay App 15'!M124)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Data'!$O$2:$BX$88,17,FALSE)</f>
        <v>0</v>
      </c>
      <c r="F125" s="155">
        <f>IFERROR(E125+'Pay App 14'!F125,"")</f>
        <v>0</v>
      </c>
      <c r="G125" s="155">
        <f>SUM('Pay App 1:Pay App 14'!H125)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15'!L125)+SUM('Pay App 1:Pay App 15'!M125)</f>
        <v>0</v>
      </c>
    </row>
    <row r="126" spans="1:14" ht="11.25" customHeight="1" x14ac:dyDescent="0.25">
      <c r="A126" s="152">
        <f t="shared" si="3"/>
        <v>65</v>
      </c>
      <c r="B126" s="188" t="str">
        <f>'Pay App 1'!B126</f>
        <v>14 20 00</v>
      </c>
      <c r="C126" s="194" t="str">
        <f>'Pay App 1'!C126</f>
        <v>Elevator</v>
      </c>
      <c r="D126" s="155">
        <f>'Pay App 1'!D126</f>
        <v>0</v>
      </c>
      <c r="E126" s="155">
        <f>VLOOKUP(B126,'Graph Data'!$O$2:$BX$88,17,FALSE)</f>
        <v>0</v>
      </c>
      <c r="F126" s="155">
        <f>IFERROR(E126+'Pay App 14'!F126,"")</f>
        <v>0</v>
      </c>
      <c r="G126" s="155">
        <f>SUM('Pay App 1:Pay App 14'!H126)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15'!L126)+SUM('Pay App 1:Pay App 15'!M126)</f>
        <v>0</v>
      </c>
    </row>
    <row r="127" spans="1:14" ht="11.25" customHeight="1" x14ac:dyDescent="0.25">
      <c r="A127" s="152">
        <f t="shared" si="3"/>
        <v>66</v>
      </c>
      <c r="B127" s="188" t="str">
        <f>'Pay App 1'!B127</f>
        <v>14 40 00</v>
      </c>
      <c r="C127" s="194" t="str">
        <f>'Pay App 1'!C127</f>
        <v>Lifts</v>
      </c>
      <c r="D127" s="155">
        <f>'Pay App 1'!D127</f>
        <v>0</v>
      </c>
      <c r="E127" s="155">
        <f>VLOOKUP(B127,'Graph Data'!$O$2:$BX$88,17,FALSE)</f>
        <v>0</v>
      </c>
      <c r="F127" s="155">
        <f>IFERROR(E127+'Pay App 14'!F127,"")</f>
        <v>0</v>
      </c>
      <c r="G127" s="155">
        <f>SUM('Pay App 1:Pay App 14'!H127)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15'!L127)+SUM('Pay App 1:Pay App 15'!M127)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Data'!$O$2:$BX$88,17,FALSE)</f>
        <v>0</v>
      </c>
      <c r="F128" s="155">
        <f>IFERROR(E128+'Pay App 14'!F128,"")</f>
        <v>0</v>
      </c>
      <c r="G128" s="155">
        <f>SUM('Pay App 1:Pay App 14'!H128)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15'!L128)+SUM('Pay App 1:Pay App 15'!M128)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Data'!$O$2:$BX$88,17,FALSE)</f>
        <v>0</v>
      </c>
      <c r="F129" s="155">
        <f>IFERROR(E129+'Pay App 14'!F129,"")</f>
        <v>0</v>
      </c>
      <c r="G129" s="155">
        <f>SUM('Pay App 1:Pay App 14'!H129)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15'!L129)+SUM('Pay App 1:Pay App 15'!M129)</f>
        <v>0</v>
      </c>
    </row>
    <row r="130" spans="1:14" ht="11.25" customHeight="1" x14ac:dyDescent="0.25">
      <c r="A130" s="152">
        <f t="shared" si="3"/>
        <v>69</v>
      </c>
      <c r="B130" s="185" t="str">
        <f>'Pay App 1'!B130</f>
        <v>22 00 00</v>
      </c>
      <c r="C130" s="191" t="str">
        <f>'Pay App 1'!C130</f>
        <v>Plumbing</v>
      </c>
      <c r="D130" s="155">
        <f>'Pay App 1'!D130</f>
        <v>0</v>
      </c>
      <c r="E130" s="155">
        <f>VLOOKUP(B130,'Graph Data'!$O$2:$BX$88,17,FALSE)</f>
        <v>0</v>
      </c>
      <c r="F130" s="155">
        <f>IFERROR(E130+'Pay App 14'!F130,"")</f>
        <v>0</v>
      </c>
      <c r="G130" s="155">
        <f>SUM('Pay App 1:Pay App 14'!H130)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15'!L130)+SUM('Pay App 1:Pay App 15'!M130)</f>
        <v>0</v>
      </c>
    </row>
    <row r="131" spans="1:14" ht="11.25" customHeight="1" x14ac:dyDescent="0.25">
      <c r="A131" s="152">
        <f t="shared" si="3"/>
        <v>70</v>
      </c>
      <c r="B131" s="186" t="str">
        <f>'Pay App 1'!B131</f>
        <v>23 00 00</v>
      </c>
      <c r="C131" s="192" t="str">
        <f>'Pay App 1'!C131</f>
        <v>HVAC</v>
      </c>
      <c r="D131" s="155">
        <f>'Pay App 1'!D131</f>
        <v>0</v>
      </c>
      <c r="E131" s="155">
        <f>VLOOKUP(B131,'Graph Data'!$O$2:$BX$88,17,FALSE)</f>
        <v>0</v>
      </c>
      <c r="F131" s="155">
        <f>IFERROR(E131+'Pay App 14'!F131,"")</f>
        <v>0</v>
      </c>
      <c r="G131" s="155">
        <f>SUM('Pay App 1:Pay App 14'!H131)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15'!L131)+SUM('Pay App 1:Pay App 15'!M131)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Data'!$O$2:$BX$88,17,FALSE)</f>
        <v>0</v>
      </c>
      <c r="F132" s="155">
        <f>IFERROR(E132+'Pay App 14'!F132,"")</f>
        <v>0</v>
      </c>
      <c r="G132" s="155">
        <f>SUM('Pay App 1:Pay App 14'!H132)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15'!L132)+SUM('Pay App 1:Pay App 15'!M132)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Data'!$O$2:$BX$88,17,FALSE)</f>
        <v>0</v>
      </c>
      <c r="F133" s="155">
        <f>IFERROR(E133+'Pay App 14'!F133,"")</f>
        <v>0</v>
      </c>
      <c r="G133" s="155">
        <f>SUM('Pay App 1:Pay App 14'!H133)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15'!L133)+SUM('Pay App 1:Pay App 15'!M133)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Data'!$O$2:$BX$88,17,FALSE)</f>
        <v>0</v>
      </c>
      <c r="F134" s="155">
        <f>IFERROR(E134+'Pay App 14'!F134,"")</f>
        <v>0</v>
      </c>
      <c r="G134" s="155">
        <f>SUM('Pay App 1:Pay App 14'!H134)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15'!L134)+SUM('Pay App 1:Pay App 15'!M134)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Data'!$O$2:$BX$88,17,FALSE)</f>
        <v>0</v>
      </c>
      <c r="F135" s="155">
        <f>IFERROR(E135+'Pay App 14'!F135,"")</f>
        <v>0</v>
      </c>
      <c r="G135" s="155">
        <f>SUM('Pay App 1:Pay App 14'!H135)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15'!L135)+SUM('Pay App 1:Pay App 15'!M135)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Data'!$O$2:$BX$88,17,FALSE)</f>
        <v>0</v>
      </c>
      <c r="F136" s="155">
        <f>IFERROR(E136+'Pay App 14'!F136,"")</f>
        <v>0</v>
      </c>
      <c r="G136" s="155">
        <f>SUM('Pay App 1:Pay App 14'!H136)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15'!L136)+SUM('Pay App 1:Pay App 15'!M136)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Data'!$O$2:$BX$88,17,FALSE)</f>
        <v>0</v>
      </c>
      <c r="F137" s="155">
        <f>IFERROR(E137+'Pay App 14'!F137,"")</f>
        <v>0</v>
      </c>
      <c r="G137" s="155">
        <f>SUM('Pay App 1:Pay App 14'!H137)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15'!L137)+SUM('Pay App 1:Pay App 15'!M137)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Data'!$O$2:$BX$88,17,FALSE)</f>
        <v>0</v>
      </c>
      <c r="F138" s="155">
        <f>IFERROR(E138+'Pay App 14'!F138,"")</f>
        <v>0</v>
      </c>
      <c r="G138" s="155">
        <f>SUM('Pay App 1:Pay App 14'!H138)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15'!L138)+SUM('Pay App 1:Pay App 15'!M138)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Data'!$O$2:$BX$88,17,FALSE)</f>
        <v>0</v>
      </c>
      <c r="F139" s="155">
        <f>IFERROR(E139+'Pay App 14'!F139,"")</f>
        <v>0</v>
      </c>
      <c r="G139" s="155">
        <f>SUM('Pay App 1:Pay App 14'!H139)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15'!L139)+SUM('Pay App 1:Pay App 15'!M139)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Data'!$O$2:$BX$88,17,FALSE)</f>
        <v>0</v>
      </c>
      <c r="F140" s="155">
        <f>IFERROR(E140+'Pay App 14'!F140,"")</f>
        <v>0</v>
      </c>
      <c r="G140" s="155">
        <f>SUM('Pay App 1:Pay App 14'!H140)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15'!L140)+SUM('Pay App 1:Pay App 15'!M140)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Data'!$O$2:$BX$88,17,FALSE)</f>
        <v>0</v>
      </c>
      <c r="F141" s="155">
        <f>IFERROR(E141+'Pay App 14'!F141,"")</f>
        <v>0</v>
      </c>
      <c r="G141" s="155">
        <f>SUM('Pay App 1:Pay App 14'!H141)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15'!L141)+SUM('Pay App 1:Pay App 15'!M141)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Data'!$O$2:$BX$88,17,FALSE)</f>
        <v>0</v>
      </c>
      <c r="F142" s="155">
        <f>IFERROR(E142+'Pay App 14'!F142,"")</f>
        <v>0</v>
      </c>
      <c r="G142" s="155">
        <f>SUM('Pay App 1:Pay App 14'!H142)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15'!L142)+SUM('Pay App 1:Pay App 15'!M142)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Data'!$O$2:$BX$88,17,FALSE)</f>
        <v>0</v>
      </c>
      <c r="F143" s="155">
        <f>IFERROR(E143+'Pay App 14'!F143,"")</f>
        <v>0</v>
      </c>
      <c r="G143" s="155">
        <f>SUM('Pay App 1:Pay App 14'!H143)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15'!L143)+SUM('Pay App 1:Pay App 15'!M143)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Data'!$O$2:$BX$88,17,FALSE)</f>
        <v>0</v>
      </c>
      <c r="F144" s="155">
        <f>IFERROR(E144+'Pay App 14'!F144,"")</f>
        <v>0</v>
      </c>
      <c r="G144" s="155">
        <f>SUM('Pay App 1:Pay App 14'!H144)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15'!L144)+SUM('Pay App 1:Pay App 15'!M144)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Data'!$O$2:$BX$88,17,FALSE)</f>
        <v>0</v>
      </c>
      <c r="F145" s="155">
        <f>IFERROR(E145+'Pay App 14'!F145,"")</f>
        <v>0</v>
      </c>
      <c r="G145" s="155">
        <f>SUM('Pay App 1:Pay App 14'!H145)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15'!L145)+SUM('Pay App 1:Pay App 15'!M145)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Data'!$O$2:$BX$88,17,FALSE)</f>
        <v>0</v>
      </c>
      <c r="F146" s="155">
        <f>IFERROR(E146+'Pay App 14'!F146,"")</f>
        <v>0</v>
      </c>
      <c r="G146" s="155">
        <f>SUM('Pay App 1:Pay App 14'!H146)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15'!L146)+SUM('Pay App 1:Pay App 15'!M146)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Data'!$O$2:$BX$88,17,FALSE)</f>
        <v>0</v>
      </c>
      <c r="F147" s="155">
        <f>IFERROR(E147+'Pay App 14'!F147,"")</f>
        <v>0</v>
      </c>
      <c r="G147" s="155">
        <f>SUM('Pay App 1:Pay App 14'!H147)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15'!L147)+SUM('Pay App 1:Pay App 15'!M147)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Data'!$O$2:$BX$88,17,FALSE)</f>
        <v>0</v>
      </c>
      <c r="F148" s="155">
        <f>IFERROR(E148+'Pay App 14'!F148,"")</f>
        <v>0</v>
      </c>
      <c r="G148" s="155">
        <f>SUM('Pay App 1:Pay App 14'!H148)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15'!L148)+SUM('Pay App 1:Pay App 15'!M148)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RTYtmHzG5fkyqqDqhweV5JK1ByVFIuY5MRLu7nyWSyYHf5BH+8iGdRi7Z3Oreu9/1u1DYOvJCyfOutif6RJNJA==" saltValue="VrDI9mha2e27+M1cV5s/Z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05" priority="2" operator="equal">
      <formula>0</formula>
    </cfRule>
  </conditionalFormatting>
  <conditionalFormatting sqref="D106:G148">
    <cfRule type="cellIs" dxfId="504" priority="1" operator="equal">
      <formula>0</formula>
    </cfRule>
  </conditionalFormatting>
  <conditionalFormatting sqref="D10:H10 D12:H14 D19:H21">
    <cfRule type="cellIs" dxfId="503" priority="6" operator="equal">
      <formula>0</formula>
    </cfRule>
  </conditionalFormatting>
  <conditionalFormatting sqref="H51">
    <cfRule type="cellIs" dxfId="502" priority="9" operator="lessThan">
      <formula>0</formula>
    </cfRule>
  </conditionalFormatting>
  <conditionalFormatting sqref="I57:I100 K57:K100 I106:I148 K106:K148 N106:N148">
    <cfRule type="cellIs" dxfId="501" priority="14" operator="equal">
      <formula>0</formula>
    </cfRule>
  </conditionalFormatting>
  <conditionalFormatting sqref="J57:J100 J106:J149">
    <cfRule type="cellIs" dxfId="500" priority="11" operator="greaterThan">
      <formula>1</formula>
    </cfRule>
    <cfRule type="cellIs" dxfId="499" priority="12" operator="equal">
      <formula>0</formula>
    </cfRule>
  </conditionalFormatting>
  <conditionalFormatting sqref="K57:K100 K106:K148">
    <cfRule type="cellIs" dxfId="498" priority="10" operator="lessThan">
      <formula>0</formula>
    </cfRule>
  </conditionalFormatting>
  <conditionalFormatting sqref="M57:M100">
    <cfRule type="cellIs" dxfId="497" priority="13" operator="lessThan">
      <formula>0</formula>
    </cfRule>
  </conditionalFormatting>
  <conditionalFormatting sqref="M106:M148">
    <cfRule type="cellIs" dxfId="496" priority="8" operator="lessThan">
      <formula>0</formula>
    </cfRule>
  </conditionalFormatting>
  <conditionalFormatting sqref="N57:N100">
    <cfRule type="cellIs" dxfId="495" priority="7" operator="equal">
      <formula>0</formula>
    </cfRule>
  </conditionalFormatting>
  <dataValidations count="1">
    <dataValidation type="decimal" operator="lessThanOrEqual" allowBlank="1" showInputMessage="1" showErrorMessage="1" errorTitle="Negative Number" error="In order to release retention, the number entered into this cell must be negative." sqref="M57:M100 M106:M148" xr:uid="{9A69AC44-5B1F-4C96-A45B-DA9513F22FCC}">
      <formula1>0</formula1>
    </dataValidation>
  </dataValidations>
  <pageMargins left="0.2" right="0.2" top="6.9444444444444441E-3" bottom="0.35" header="0" footer="0"/>
  <pageSetup fitToHeight="3" orientation="landscape" r:id="rId1"/>
  <headerFooter>
    <oddFooter>&amp;L&amp;"Arial Narrow,Regular"&amp;8&amp;A - &amp;D &amp;R&amp;"Arial Narrow,Regular"&amp;8PO Box 141160 | Salt Lake City, UT 84114-1160 | (801) 957-7230 | https://dfcm.utah.gov   Page &amp;P</oddFooter>
  </headerFooter>
  <rowBreaks count="2" manualBreakCount="2">
    <brk id="51" max="13" man="1"/>
    <brk id="100" max="13" man="1"/>
  </rowBreaks>
  <drawing r:id="rId2"/>
  <legacyDrawing r:id="rId3"/>
  <legacyDrawingHF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42EAD-F257-45ED-A8E7-5DB5B7BA8BDE}">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16.100000000000001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Data'!$O$2:$BX$88,18,FALSE)</f>
        <v>0</v>
      </c>
      <c r="F57" s="155">
        <f>IFERROR(E57+'Pay App 15'!F57,"")</f>
        <v>0</v>
      </c>
      <c r="G57" s="155">
        <f>SUM('Pay App 1:Pay App 15'!H57)</f>
        <v>0</v>
      </c>
      <c r="H57" s="154"/>
      <c r="I57" s="155">
        <f>G57+H57</f>
        <v>0</v>
      </c>
      <c r="J57" s="156">
        <f>IFERROR(I57/F57,0)</f>
        <v>0</v>
      </c>
      <c r="K57" s="155">
        <f>IFERROR(F57-I57,"")</f>
        <v>0</v>
      </c>
      <c r="L57" s="155" t="str">
        <f>IF(AND('Summary Sheet'!$E$23="No",$H$33&gt;0,H57&gt;=1),"",IF(AND('Summary Sheet'!$E$23="Yes",H57&lt;&gt;""),H57*'Summary Sheet'!$G$23,""))</f>
        <v/>
      </c>
      <c r="M57" s="154"/>
      <c r="N57" s="155">
        <f>SUM('Pay App 1:Pay App 16'!L57)+SUM('Pay App 1:Pay App 16'!M57)</f>
        <v>0</v>
      </c>
    </row>
    <row r="58" spans="1:16" ht="11.25" customHeight="1" x14ac:dyDescent="0.25">
      <c r="A58" s="152">
        <v>2</v>
      </c>
      <c r="B58" s="145" t="str">
        <f>'Pay App 1'!B58</f>
        <v>00 02 00</v>
      </c>
      <c r="C58" s="134" t="str">
        <f>'Pay App 1'!C58</f>
        <v>Preconstruction Services</v>
      </c>
      <c r="D58" s="155">
        <f>'Pay App 1'!D58</f>
        <v>0</v>
      </c>
      <c r="E58" s="155">
        <f>VLOOKUP(B58,'Graph Data'!$O$2:$BX$88,18,FALSE)</f>
        <v>0</v>
      </c>
      <c r="F58" s="155">
        <f>IFERROR(E58+'Pay App 15'!F58,"")</f>
        <v>0</v>
      </c>
      <c r="G58" s="155">
        <f>SUM('Pay App 1:Pay App 15'!H58)</f>
        <v>0</v>
      </c>
      <c r="H58" s="154"/>
      <c r="I58" s="155">
        <f>G58+H58</f>
        <v>0</v>
      </c>
      <c r="J58" s="156">
        <f>IFERROR(I58/F58,0)</f>
        <v>0</v>
      </c>
      <c r="K58" s="155">
        <f>IFERROR(F58-I58,"")</f>
        <v>0</v>
      </c>
      <c r="L58" s="155" t="str">
        <f>IF(AND('Summary Sheet'!$E$23="No",$H$33&gt;0,H58&gt;=1),"",IF(AND('Summary Sheet'!$E$23="Yes",H58&lt;&gt;""),H58*'Summary Sheet'!$G$23,""))</f>
        <v/>
      </c>
      <c r="M58" s="154"/>
      <c r="N58" s="155">
        <f>SUM('Pay App 1:Pay App 16'!L58)+SUM('Pay App 1:Pay App 16'!M58)</f>
        <v>0</v>
      </c>
    </row>
    <row r="59" spans="1:16" ht="11.25" customHeight="1" x14ac:dyDescent="0.25">
      <c r="A59" s="152">
        <v>3</v>
      </c>
      <c r="B59" s="174" t="str">
        <f>'Pay App 1'!B59</f>
        <v>01 00 00</v>
      </c>
      <c r="C59" s="179" t="str">
        <f>'Pay App 1'!C59</f>
        <v>General Conditions/Requirements</v>
      </c>
      <c r="D59" s="155">
        <f>'Pay App 1'!D59</f>
        <v>0</v>
      </c>
      <c r="E59" s="155">
        <f>VLOOKUP(B59,'Graph Data'!$O$2:$BX$88,18,FALSE)</f>
        <v>0</v>
      </c>
      <c r="F59" s="155">
        <f>IFERROR(E59+'Pay App 15'!F59,"")</f>
        <v>0</v>
      </c>
      <c r="G59" s="155">
        <f>SUM('Pay App 1:Pay App 15'!H59)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16'!L59)+SUM('Pay App 1:Pay App 16'!M59)</f>
        <v>0</v>
      </c>
    </row>
    <row r="60" spans="1:16" ht="11.25" customHeight="1" x14ac:dyDescent="0.25">
      <c r="A60" s="152">
        <v>4</v>
      </c>
      <c r="B60" s="174" t="str">
        <f>'Pay App 1'!B60</f>
        <v>01 13 41</v>
      </c>
      <c r="C60" s="179" t="str">
        <f>'Pay App 1'!C60</f>
        <v>Temp. Scaffolding and Platforms</v>
      </c>
      <c r="D60" s="155">
        <f>'Pay App 1'!D60</f>
        <v>0</v>
      </c>
      <c r="E60" s="155">
        <f>VLOOKUP(B60,'Graph Data'!$O$2:$BX$88,18,FALSE)</f>
        <v>0</v>
      </c>
      <c r="F60" s="155">
        <f>IFERROR(E60+'Pay App 15'!F60,"")</f>
        <v>0</v>
      </c>
      <c r="G60" s="155">
        <f>SUM('Pay App 1:Pay App 15'!H60)</f>
        <v>0</v>
      </c>
      <c r="H60" s="154"/>
      <c r="I60" s="155">
        <f t="shared" si="0"/>
        <v>0</v>
      </c>
      <c r="J60" s="156">
        <f t="shared" si="1"/>
        <v>0</v>
      </c>
      <c r="K60" s="155">
        <f t="shared" si="2"/>
        <v>0</v>
      </c>
      <c r="L60" s="155" t="str">
        <f>IF(AND('Summary Sheet'!$E$23="No",$H$33&gt;0,H60&gt;=1),"",IF(AND('Summary Sheet'!$E$23="Yes",H60&lt;&gt;""),H60*'Summary Sheet'!$G$23,""))</f>
        <v/>
      </c>
      <c r="M60" s="154"/>
      <c r="N60" s="155">
        <f>SUM('Pay App 1:Pay App 16'!L60)+SUM('Pay App 1:Pay App 16'!M60)</f>
        <v>0</v>
      </c>
    </row>
    <row r="61" spans="1:16" ht="11.25" customHeight="1" x14ac:dyDescent="0.25">
      <c r="A61" s="152">
        <v>5</v>
      </c>
      <c r="B61" s="174" t="str">
        <f>'Pay App 1'!B61</f>
        <v>01 13 60</v>
      </c>
      <c r="C61" s="179" t="str">
        <f>'Pay App 1'!C61</f>
        <v>SWPPP</v>
      </c>
      <c r="D61" s="155">
        <f>'Pay App 1'!D61</f>
        <v>0</v>
      </c>
      <c r="E61" s="155">
        <f>VLOOKUP(B61,'Graph Data'!$O$2:$BX$88,18,FALSE)</f>
        <v>0</v>
      </c>
      <c r="F61" s="155">
        <f>IFERROR(E61+'Pay App 15'!F61,"")</f>
        <v>0</v>
      </c>
      <c r="G61" s="155">
        <f>SUM('Pay App 1:Pay App 15'!H61)</f>
        <v>0</v>
      </c>
      <c r="H61" s="154"/>
      <c r="I61" s="155">
        <f t="shared" si="0"/>
        <v>0</v>
      </c>
      <c r="J61" s="156">
        <f t="shared" si="1"/>
        <v>0</v>
      </c>
      <c r="K61" s="155">
        <f t="shared" si="2"/>
        <v>0</v>
      </c>
      <c r="L61" s="155" t="str">
        <f>IF(AND('Summary Sheet'!$E$23="No",$H$33&gt;0,H61&gt;=1),"",IF(AND('Summary Sheet'!$E$23="Yes",H61&lt;&gt;""),H61*'Summary Sheet'!$G$23,""))</f>
        <v/>
      </c>
      <c r="M61" s="154"/>
      <c r="N61" s="155">
        <f>SUM('Pay App 1:Pay App 16'!L61)+SUM('Pay App 1:Pay App 16'!M61)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Data'!$O$2:$BX$88,18,FALSE)</f>
        <v>0</v>
      </c>
      <c r="F62" s="155">
        <f>IFERROR(E62+'Pay App 15'!F62,"")</f>
        <v>0</v>
      </c>
      <c r="G62" s="155">
        <f>SUM('Pay App 1:Pay App 15'!H62)</f>
        <v>0</v>
      </c>
      <c r="H62" s="154"/>
      <c r="I62" s="155">
        <f t="shared" si="0"/>
        <v>0</v>
      </c>
      <c r="J62" s="156">
        <f t="shared" si="1"/>
        <v>0</v>
      </c>
      <c r="K62" s="155">
        <f t="shared" si="2"/>
        <v>0</v>
      </c>
      <c r="L62" s="155" t="str">
        <f>IF(AND('Summary Sheet'!$E$23="No",$H$33&gt;0,H62&gt;=1),"",IF(AND('Summary Sheet'!$E$23="Yes",H62&lt;&gt;""),H62*'Summary Sheet'!$G$23,""))</f>
        <v/>
      </c>
      <c r="M62" s="154"/>
      <c r="N62" s="155">
        <f>SUM('Pay App 1:Pay App 16'!L62)+SUM('Pay App 1:Pay App 16'!M62)</f>
        <v>0</v>
      </c>
    </row>
    <row r="63" spans="1:16" ht="11.25" customHeight="1" x14ac:dyDescent="0.25">
      <c r="A63" s="152">
        <v>7</v>
      </c>
      <c r="B63" s="174" t="str">
        <f>'Pay App 1'!B63</f>
        <v>01 31 00</v>
      </c>
      <c r="C63" s="179" t="str">
        <f>'Pay App 1'!C63</f>
        <v>Contractor's Supervision</v>
      </c>
      <c r="D63" s="155">
        <f>'Pay App 1'!D63</f>
        <v>0</v>
      </c>
      <c r="E63" s="155">
        <f>VLOOKUP(B63,'Graph Data'!$O$2:$BX$88,18,FALSE)</f>
        <v>0</v>
      </c>
      <c r="F63" s="155">
        <f>IFERROR(E63+'Pay App 15'!F63,"")</f>
        <v>0</v>
      </c>
      <c r="G63" s="155">
        <f>SUM('Pay App 1:Pay App 15'!H63)</f>
        <v>0</v>
      </c>
      <c r="H63" s="154"/>
      <c r="I63" s="155">
        <f t="shared" si="0"/>
        <v>0</v>
      </c>
      <c r="J63" s="156">
        <f t="shared" si="1"/>
        <v>0</v>
      </c>
      <c r="K63" s="155">
        <f t="shared" si="2"/>
        <v>0</v>
      </c>
      <c r="L63" s="155" t="str">
        <f>IF(AND('Summary Sheet'!$E$23="No",$H$33&gt;0,H63&gt;=1),"",IF(AND('Summary Sheet'!$E$23="Yes",H63&lt;&gt;""),H63*'Summary Sheet'!$G$23,""))</f>
        <v/>
      </c>
      <c r="M63" s="154"/>
      <c r="N63" s="155">
        <f>SUM('Pay App 1:Pay App 16'!L63)+SUM('Pay App 1:Pay App 16'!M63)</f>
        <v>0</v>
      </c>
    </row>
    <row r="64" spans="1:16" ht="11.25" customHeight="1" x14ac:dyDescent="0.25">
      <c r="A64" s="152">
        <v>8</v>
      </c>
      <c r="B64" s="174" t="str">
        <f>'Pay App 1'!B64</f>
        <v>01 32 00</v>
      </c>
      <c r="C64" s="179" t="str">
        <f>'Pay App 1'!C64</f>
        <v>General Liability Insurance</v>
      </c>
      <c r="D64" s="155">
        <f>'Pay App 1'!D64</f>
        <v>0</v>
      </c>
      <c r="E64" s="155">
        <f>VLOOKUP(B64,'Graph Data'!$O$2:$BX$88,18,FALSE)</f>
        <v>0</v>
      </c>
      <c r="F64" s="155">
        <f>IFERROR(E64+'Pay App 15'!F64,"")</f>
        <v>0</v>
      </c>
      <c r="G64" s="155">
        <f>SUM('Pay App 1:Pay App 15'!H64)</f>
        <v>0</v>
      </c>
      <c r="H64" s="154"/>
      <c r="I64" s="155">
        <f t="shared" si="0"/>
        <v>0</v>
      </c>
      <c r="J64" s="156">
        <f t="shared" si="1"/>
        <v>0</v>
      </c>
      <c r="K64" s="155">
        <f t="shared" si="2"/>
        <v>0</v>
      </c>
      <c r="L64" s="155" t="str">
        <f>IF(AND('Summary Sheet'!$E$23="No",$H$33&gt;0,H64&gt;=1),"",IF(AND('Summary Sheet'!$E$23="Yes",H64&lt;&gt;""),H64*'Summary Sheet'!$G$23,""))</f>
        <v/>
      </c>
      <c r="M64" s="154"/>
      <c r="N64" s="155">
        <f>SUM('Pay App 1:Pay App 16'!L64)+SUM('Pay App 1:Pay App 16'!M64)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Data'!$O$2:$BX$88,18,FALSE)</f>
        <v>0</v>
      </c>
      <c r="F65" s="155">
        <f>IFERROR(E65+'Pay App 15'!F65,"")</f>
        <v>0</v>
      </c>
      <c r="G65" s="155">
        <f>SUM('Pay App 1:Pay App 15'!H65)</f>
        <v>0</v>
      </c>
      <c r="H65" s="154"/>
      <c r="I65" s="155">
        <f t="shared" si="0"/>
        <v>0</v>
      </c>
      <c r="J65" s="156">
        <f t="shared" si="1"/>
        <v>0</v>
      </c>
      <c r="K65" s="155">
        <f t="shared" si="2"/>
        <v>0</v>
      </c>
      <c r="L65" s="155" t="str">
        <f>IF(AND('Summary Sheet'!$E$23="No",$H$33&gt;0,H65&gt;=1),"",IF(AND('Summary Sheet'!$E$23="Yes",H65&lt;&gt;""),H65*'Summary Sheet'!$G$23,""))</f>
        <v/>
      </c>
      <c r="M65" s="154"/>
      <c r="N65" s="155">
        <f>SUM('Pay App 1:Pay App 16'!L65)+SUM('Pay App 1:Pay App 16'!M65)</f>
        <v>0</v>
      </c>
    </row>
    <row r="66" spans="1:17" ht="11.25" customHeight="1" x14ac:dyDescent="0.25">
      <c r="A66" s="152">
        <v>10</v>
      </c>
      <c r="B66" s="174" t="str">
        <f>'Pay App 1'!B66</f>
        <v>01 34 00</v>
      </c>
      <c r="C66" s="179" t="str">
        <f>'Pay App 1'!C66</f>
        <v>Subcontractor Default Insurance</v>
      </c>
      <c r="D66" s="155">
        <f>'Pay App 1'!D66</f>
        <v>0</v>
      </c>
      <c r="E66" s="155">
        <f>VLOOKUP(B66,'Graph Data'!$O$2:$BX$88,18,FALSE)</f>
        <v>0</v>
      </c>
      <c r="F66" s="155">
        <f>IFERROR(E66+'Pay App 15'!F66,"")</f>
        <v>0</v>
      </c>
      <c r="G66" s="155">
        <f>SUM('Pay App 1:Pay App 15'!H66)</f>
        <v>0</v>
      </c>
      <c r="H66" s="154"/>
      <c r="I66" s="155">
        <f t="shared" si="0"/>
        <v>0</v>
      </c>
      <c r="J66" s="156">
        <f t="shared" si="1"/>
        <v>0</v>
      </c>
      <c r="K66" s="155">
        <f t="shared" si="2"/>
        <v>0</v>
      </c>
      <c r="L66" s="155" t="str">
        <f>IF(AND('Summary Sheet'!$E$23="No",$H$33&gt;0,H66&gt;=1),"",IF(AND('Summary Sheet'!$E$23="Yes",H66&lt;&gt;""),H66*'Summary Sheet'!$G$23,""))</f>
        <v/>
      </c>
      <c r="M66" s="154"/>
      <c r="N66" s="155">
        <f>SUM('Pay App 1:Pay App 16'!L66)+SUM('Pay App 1:Pay App 16'!M66)</f>
        <v>0</v>
      </c>
    </row>
    <row r="67" spans="1:17" ht="11.25" customHeight="1" x14ac:dyDescent="0.25">
      <c r="A67" s="152">
        <v>11</v>
      </c>
      <c r="B67" s="174" t="str">
        <f>'Pay App 1'!B67</f>
        <v>01 35 00</v>
      </c>
      <c r="C67" s="179" t="str">
        <f>'Pay App 1'!C67</f>
        <v>Construction Management Fee</v>
      </c>
      <c r="D67" s="155">
        <f>'Pay App 1'!D67</f>
        <v>0</v>
      </c>
      <c r="E67" s="155">
        <f>VLOOKUP(B67,'Graph Data'!$O$2:$BX$88,18,FALSE)</f>
        <v>0</v>
      </c>
      <c r="F67" s="155">
        <f>IFERROR(E67+'Pay App 15'!F67,"")</f>
        <v>0</v>
      </c>
      <c r="G67" s="155">
        <f>SUM('Pay App 1:Pay App 15'!H67)</f>
        <v>0</v>
      </c>
      <c r="H67" s="154"/>
      <c r="I67" s="155">
        <f t="shared" si="0"/>
        <v>0</v>
      </c>
      <c r="J67" s="156">
        <f t="shared" si="1"/>
        <v>0</v>
      </c>
      <c r="K67" s="155">
        <f t="shared" si="2"/>
        <v>0</v>
      </c>
      <c r="L67" s="155" t="str">
        <f>IF(AND('Summary Sheet'!$E$23="No",$H$33&gt;0,H67&gt;=1),"",IF(AND('Summary Sheet'!$E$23="Yes",H67&lt;&gt;""),H67*'Summary Sheet'!$G$23,""))</f>
        <v/>
      </c>
      <c r="M67" s="154"/>
      <c r="N67" s="155">
        <f>SUM('Pay App 1:Pay App 16'!L67)+SUM('Pay App 1:Pay App 16'!M67)</f>
        <v>0</v>
      </c>
    </row>
    <row r="68" spans="1:17" ht="11.25" customHeight="1" x14ac:dyDescent="0.25">
      <c r="A68" s="152">
        <v>12</v>
      </c>
      <c r="B68" s="174" t="str">
        <f>'Pay App 1'!B68</f>
        <v>01 36 00</v>
      </c>
      <c r="C68" s="179" t="str">
        <f>'Pay App 1'!C68</f>
        <v>Contingency</v>
      </c>
      <c r="D68" s="155">
        <f>'Pay App 1'!D68</f>
        <v>0</v>
      </c>
      <c r="E68" s="155">
        <f>VLOOKUP(B68,'Graph Data'!$O$2:$BX$88,18,FALSE)</f>
        <v>0</v>
      </c>
      <c r="F68" s="155">
        <f>IFERROR(E68+'Pay App 15'!F68,"")</f>
        <v>0</v>
      </c>
      <c r="G68" s="155">
        <f>SUM('Pay App 1:Pay App 15'!H68)</f>
        <v>0</v>
      </c>
      <c r="H68" s="154"/>
      <c r="I68" s="155">
        <f t="shared" si="0"/>
        <v>0</v>
      </c>
      <c r="J68" s="156">
        <f t="shared" si="1"/>
        <v>0</v>
      </c>
      <c r="K68" s="155">
        <f t="shared" si="2"/>
        <v>0</v>
      </c>
      <c r="L68" s="155" t="str">
        <f>IF(AND('Summary Sheet'!$E$23="No",$H$33&gt;0,H68&gt;=1),"",IF(AND('Summary Sheet'!$E$23="Yes",H68&lt;&gt;""),H68*'Summary Sheet'!$G$23,""))</f>
        <v/>
      </c>
      <c r="M68" s="154"/>
      <c r="N68" s="155">
        <f>SUM('Pay App 1:Pay App 16'!L68)+SUM('Pay App 1:Pay App 16'!M68)</f>
        <v>0</v>
      </c>
    </row>
    <row r="69" spans="1:17" ht="11.25" customHeight="1" x14ac:dyDescent="0.25">
      <c r="A69" s="152">
        <v>13</v>
      </c>
      <c r="B69" s="174" t="str">
        <f>'Pay App 1'!B69</f>
        <v>01 37 00</v>
      </c>
      <c r="C69" s="179" t="str">
        <f>'Pay App 1'!C69</f>
        <v>Weather Allowance (All Trades)</v>
      </c>
      <c r="D69" s="155">
        <f>'Pay App 1'!D69</f>
        <v>0</v>
      </c>
      <c r="E69" s="155">
        <f>VLOOKUP(B69,'Graph Data'!$O$2:$BX$88,18,FALSE)</f>
        <v>0</v>
      </c>
      <c r="F69" s="155">
        <f>IFERROR(E69+'Pay App 15'!F69,"")</f>
        <v>0</v>
      </c>
      <c r="G69" s="155">
        <f>SUM('Pay App 1:Pay App 15'!H69)</f>
        <v>0</v>
      </c>
      <c r="H69" s="154"/>
      <c r="I69" s="155">
        <f t="shared" si="0"/>
        <v>0</v>
      </c>
      <c r="J69" s="156">
        <f t="shared" si="1"/>
        <v>0</v>
      </c>
      <c r="K69" s="155">
        <f t="shared" si="2"/>
        <v>0</v>
      </c>
      <c r="L69" s="155" t="str">
        <f>IF(AND('Summary Sheet'!$E$23="No",$H$33&gt;0,H69&gt;=1),"",IF(AND('Summary Sheet'!$E$23="Yes",H69&lt;&gt;""),H69*'Summary Sheet'!$G$23,""))</f>
        <v/>
      </c>
      <c r="M69" s="154"/>
      <c r="N69" s="155">
        <f>SUM('Pay App 1:Pay App 16'!L69)+SUM('Pay App 1:Pay App 16'!M69)</f>
        <v>0</v>
      </c>
    </row>
    <row r="70" spans="1:17" ht="11.25" customHeight="1" x14ac:dyDescent="0.25">
      <c r="A70" s="152">
        <v>14</v>
      </c>
      <c r="B70" s="174" t="str">
        <f>'Pay App 1'!B70</f>
        <v>01 74 23</v>
      </c>
      <c r="C70" s="179" t="str">
        <f>'Pay App 1'!C70</f>
        <v>Cleaning (Final)</v>
      </c>
      <c r="D70" s="155">
        <f>'Pay App 1'!D70</f>
        <v>0</v>
      </c>
      <c r="E70" s="155">
        <f>VLOOKUP(B70,'Graph Data'!$O$2:$BX$88,18,FALSE)</f>
        <v>0</v>
      </c>
      <c r="F70" s="155">
        <f>IFERROR(E70+'Pay App 15'!F70,"")</f>
        <v>0</v>
      </c>
      <c r="G70" s="155">
        <f>SUM('Pay App 1:Pay App 15'!H70)</f>
        <v>0</v>
      </c>
      <c r="H70" s="154"/>
      <c r="I70" s="155">
        <f t="shared" si="0"/>
        <v>0</v>
      </c>
      <c r="J70" s="156">
        <f t="shared" si="1"/>
        <v>0</v>
      </c>
      <c r="K70" s="155">
        <f t="shared" si="2"/>
        <v>0</v>
      </c>
      <c r="L70" s="155" t="str">
        <f>IF(AND('Summary Sheet'!$E$23="No",$H$33&gt;0,H70&gt;=1),"",IF(AND('Summary Sheet'!$E$23="Yes",H70&lt;&gt;""),H70*'Summary Sheet'!$G$23,""))</f>
        <v/>
      </c>
      <c r="M70" s="154"/>
      <c r="N70" s="155">
        <f>SUM('Pay App 1:Pay App 16'!L70)+SUM('Pay App 1:Pay App 16'!M70)</f>
        <v>0</v>
      </c>
    </row>
    <row r="71" spans="1:17" ht="11.25" customHeight="1" x14ac:dyDescent="0.25">
      <c r="A71" s="152">
        <v>15</v>
      </c>
      <c r="B71" s="175" t="str">
        <f>'Pay App 1'!B71</f>
        <v>02 21 00</v>
      </c>
      <c r="C71" s="180" t="str">
        <f>'Pay App 1'!C71</f>
        <v>Survey/Engineering</v>
      </c>
      <c r="D71" s="155">
        <f>'Pay App 1'!D71</f>
        <v>0</v>
      </c>
      <c r="E71" s="155">
        <f>VLOOKUP(B71,'Graph Data'!$O$2:$BX$88,18,FALSE)</f>
        <v>0</v>
      </c>
      <c r="F71" s="155">
        <f>IFERROR(E71+'Pay App 15'!F71,"")</f>
        <v>0</v>
      </c>
      <c r="G71" s="155">
        <f>SUM('Pay App 1:Pay App 15'!H71)</f>
        <v>0</v>
      </c>
      <c r="H71" s="154"/>
      <c r="I71" s="155">
        <f t="shared" si="0"/>
        <v>0</v>
      </c>
      <c r="J71" s="156">
        <f t="shared" si="1"/>
        <v>0</v>
      </c>
      <c r="K71" s="155">
        <f t="shared" si="2"/>
        <v>0</v>
      </c>
      <c r="L71" s="155" t="str">
        <f>IF(AND('Summary Sheet'!$E$23="No",$H$33&gt;0,H71&gt;=1),"",IF(AND('Summary Sheet'!$E$23="Yes",H71&lt;&gt;""),H71*'Summary Sheet'!$G$23,""))</f>
        <v/>
      </c>
      <c r="M71" s="154"/>
      <c r="N71" s="155">
        <f>SUM('Pay App 1:Pay App 16'!L71)+SUM('Pay App 1:Pay App 16'!M71)</f>
        <v>0</v>
      </c>
      <c r="Q71" s="28"/>
    </row>
    <row r="72" spans="1:17" ht="11.25" customHeight="1" x14ac:dyDescent="0.25">
      <c r="A72" s="152">
        <v>16</v>
      </c>
      <c r="B72" s="175" t="str">
        <f>'Pay App 1'!B72</f>
        <v>02 41 00</v>
      </c>
      <c r="C72" s="180" t="str">
        <f>'Pay App 1'!C72</f>
        <v>Demolition</v>
      </c>
      <c r="D72" s="155">
        <f>'Pay App 1'!D72</f>
        <v>0</v>
      </c>
      <c r="E72" s="155">
        <f>VLOOKUP(B72,'Graph Data'!$O$2:$BX$88,18,FALSE)</f>
        <v>0</v>
      </c>
      <c r="F72" s="155">
        <f>IFERROR(E72+'Pay App 15'!F72,"")</f>
        <v>0</v>
      </c>
      <c r="G72" s="155">
        <f>SUM('Pay App 1:Pay App 15'!H72)</f>
        <v>0</v>
      </c>
      <c r="H72" s="154"/>
      <c r="I72" s="155">
        <f t="shared" si="0"/>
        <v>0</v>
      </c>
      <c r="J72" s="156">
        <f t="shared" si="1"/>
        <v>0</v>
      </c>
      <c r="K72" s="155">
        <f t="shared" si="2"/>
        <v>0</v>
      </c>
      <c r="L72" s="155" t="str">
        <f>IF(AND('Summary Sheet'!$E$23="No",$H$33&gt;0,H72&gt;=1),"",IF(AND('Summary Sheet'!$E$23="Yes",H72&lt;&gt;""),H72*'Summary Sheet'!$G$23,""))</f>
        <v/>
      </c>
      <c r="M72" s="154"/>
      <c r="N72" s="155">
        <f>SUM('Pay App 1:Pay App 16'!L72)+SUM('Pay App 1:Pay App 16'!M72)</f>
        <v>0</v>
      </c>
      <c r="Q72" s="28"/>
    </row>
    <row r="73" spans="1:17" ht="11.25" customHeight="1" x14ac:dyDescent="0.25">
      <c r="A73" s="152">
        <v>17</v>
      </c>
      <c r="B73" s="175" t="str">
        <f>'Pay App 1'!B73</f>
        <v>02 82 00</v>
      </c>
      <c r="C73" s="180" t="str">
        <f>'Pay App 1'!C73</f>
        <v>Asbestos Abatement</v>
      </c>
      <c r="D73" s="155">
        <f>'Pay App 1'!D73</f>
        <v>0</v>
      </c>
      <c r="E73" s="155">
        <f>VLOOKUP(B73,'Graph Data'!$O$2:$BX$88,18,FALSE)</f>
        <v>0</v>
      </c>
      <c r="F73" s="155">
        <f>IFERROR(E73+'Pay App 15'!F73,"")</f>
        <v>0</v>
      </c>
      <c r="G73" s="155">
        <f>SUM('Pay App 1:Pay App 15'!H73)</f>
        <v>0</v>
      </c>
      <c r="H73" s="154"/>
      <c r="I73" s="155">
        <f t="shared" si="0"/>
        <v>0</v>
      </c>
      <c r="J73" s="156">
        <f t="shared" si="1"/>
        <v>0</v>
      </c>
      <c r="K73" s="155">
        <f t="shared" si="2"/>
        <v>0</v>
      </c>
      <c r="L73" s="155" t="str">
        <f>IF(AND('Summary Sheet'!$E$23="No",$H$33&gt;0,H73&gt;=1),"",IF(AND('Summary Sheet'!$E$23="Yes",H73&lt;&gt;""),H73*'Summary Sheet'!$G$23,""))</f>
        <v/>
      </c>
      <c r="M73" s="154"/>
      <c r="N73" s="155">
        <f>SUM('Pay App 1:Pay App 16'!L73)+SUM('Pay App 1:Pay App 16'!M73)</f>
        <v>0</v>
      </c>
    </row>
    <row r="74" spans="1:17" ht="11.25" customHeight="1" x14ac:dyDescent="0.25">
      <c r="A74" s="152">
        <v>18</v>
      </c>
      <c r="B74" s="176" t="str">
        <f>'Pay App 1'!B74</f>
        <v>03 00 00</v>
      </c>
      <c r="C74" s="181" t="str">
        <f>'Pay App 1'!C74</f>
        <v>Building Concrete</v>
      </c>
      <c r="D74" s="155">
        <f>'Pay App 1'!D74</f>
        <v>0</v>
      </c>
      <c r="E74" s="155">
        <f>VLOOKUP(B74,'Graph Data'!$O$2:$BX$88,18,FALSE)</f>
        <v>0</v>
      </c>
      <c r="F74" s="155">
        <f>IFERROR(E74+'Pay App 15'!F74,"")</f>
        <v>0</v>
      </c>
      <c r="G74" s="155">
        <f>SUM('Pay App 1:Pay App 15'!H74)</f>
        <v>0</v>
      </c>
      <c r="H74" s="154"/>
      <c r="I74" s="155">
        <f t="shared" si="0"/>
        <v>0</v>
      </c>
      <c r="J74" s="156">
        <f t="shared" si="1"/>
        <v>0</v>
      </c>
      <c r="K74" s="155">
        <f t="shared" si="2"/>
        <v>0</v>
      </c>
      <c r="L74" s="155" t="str">
        <f>IF(AND('Summary Sheet'!$E$23="No",$H$33&gt;0,H74&gt;=1),"",IF(AND('Summary Sheet'!$E$23="Yes",H74&lt;&gt;""),H74*'Summary Sheet'!$G$23,""))</f>
        <v/>
      </c>
      <c r="M74" s="154"/>
      <c r="N74" s="155">
        <f>SUM('Pay App 1:Pay App 16'!L74)+SUM('Pay App 1:Pay App 16'!M74)</f>
        <v>0</v>
      </c>
    </row>
    <row r="75" spans="1:17" ht="11.25" customHeight="1" x14ac:dyDescent="0.25">
      <c r="A75" s="152">
        <v>19</v>
      </c>
      <c r="B75" s="176" t="str">
        <f>'Pay App 1'!B75</f>
        <v>03 20 00</v>
      </c>
      <c r="C75" s="181" t="str">
        <f>'Pay App 1'!C75</f>
        <v>Building Concrete Reinforcing</v>
      </c>
      <c r="D75" s="155">
        <f>'Pay App 1'!D75</f>
        <v>0</v>
      </c>
      <c r="E75" s="155">
        <f>VLOOKUP(B75,'Graph Data'!$O$2:$BX$88,18,FALSE)</f>
        <v>0</v>
      </c>
      <c r="F75" s="155">
        <f>IFERROR(E75+'Pay App 15'!F75,"")</f>
        <v>0</v>
      </c>
      <c r="G75" s="155">
        <f>SUM('Pay App 1:Pay App 15'!H75)</f>
        <v>0</v>
      </c>
      <c r="H75" s="154"/>
      <c r="I75" s="155">
        <f t="shared" si="0"/>
        <v>0</v>
      </c>
      <c r="J75" s="156">
        <f t="shared" si="1"/>
        <v>0</v>
      </c>
      <c r="K75" s="155">
        <f t="shared" si="2"/>
        <v>0</v>
      </c>
      <c r="L75" s="155" t="str">
        <f>IF(AND('Summary Sheet'!$E$23="No",$H$33&gt;0,H75&gt;=1),"",IF(AND('Summary Sheet'!$E$23="Yes",H75&lt;&gt;""),H75*'Summary Sheet'!$G$23,""))</f>
        <v/>
      </c>
      <c r="M75" s="154"/>
      <c r="N75" s="155">
        <f>SUM('Pay App 1:Pay App 16'!L75)+SUM('Pay App 1:Pay App 16'!M75)</f>
        <v>0</v>
      </c>
    </row>
    <row r="76" spans="1:17" ht="11.25" customHeight="1" x14ac:dyDescent="0.25">
      <c r="A76" s="152">
        <v>20</v>
      </c>
      <c r="B76" s="176" t="str">
        <f>'Pay App 1'!B76</f>
        <v>03 40 00</v>
      </c>
      <c r="C76" s="181" t="str">
        <f>'Pay App 1'!C76</f>
        <v>Precast</v>
      </c>
      <c r="D76" s="155">
        <f>'Pay App 1'!D76</f>
        <v>0</v>
      </c>
      <c r="E76" s="155">
        <f>VLOOKUP(B76,'Graph Data'!$O$2:$BX$88,18,FALSE)</f>
        <v>0</v>
      </c>
      <c r="F76" s="155">
        <f>IFERROR(E76+'Pay App 15'!F76,"")</f>
        <v>0</v>
      </c>
      <c r="G76" s="155">
        <f>SUM('Pay App 1:Pay App 15'!H76)</f>
        <v>0</v>
      </c>
      <c r="H76" s="154"/>
      <c r="I76" s="155">
        <f t="shared" si="0"/>
        <v>0</v>
      </c>
      <c r="J76" s="156">
        <f t="shared" si="1"/>
        <v>0</v>
      </c>
      <c r="K76" s="155">
        <f t="shared" si="2"/>
        <v>0</v>
      </c>
      <c r="L76" s="155" t="str">
        <f>IF(AND('Summary Sheet'!$E$23="No",$H$33&gt;0,H76&gt;=1),"",IF(AND('Summary Sheet'!$E$23="Yes",H76&lt;&gt;""),H76*'Summary Sheet'!$G$23,""))</f>
        <v/>
      </c>
      <c r="M76" s="154"/>
      <c r="N76" s="155">
        <f>SUM('Pay App 1:Pay App 16'!L76)+SUM('Pay App 1:Pay App 16'!M76)</f>
        <v>0</v>
      </c>
    </row>
    <row r="77" spans="1:17" ht="11.25" customHeight="1" x14ac:dyDescent="0.25">
      <c r="A77" s="152">
        <v>21</v>
      </c>
      <c r="B77" s="177" t="str">
        <f>'Pay App 1'!B77</f>
        <v>04 00 00</v>
      </c>
      <c r="C77" s="182" t="str">
        <f>'Pay App 1'!C77</f>
        <v>Masonry</v>
      </c>
      <c r="D77" s="155">
        <f>'Pay App 1'!D77</f>
        <v>0</v>
      </c>
      <c r="E77" s="155">
        <f>VLOOKUP(B77,'Graph Data'!$O$2:$BX$88,18,FALSE)</f>
        <v>0</v>
      </c>
      <c r="F77" s="155">
        <f>IFERROR(E77+'Pay App 15'!F77,"")</f>
        <v>0</v>
      </c>
      <c r="G77" s="155">
        <f>SUM('Pay App 1:Pay App 15'!H77)</f>
        <v>0</v>
      </c>
      <c r="H77" s="154"/>
      <c r="I77" s="155">
        <f t="shared" si="0"/>
        <v>0</v>
      </c>
      <c r="J77" s="156">
        <f t="shared" si="1"/>
        <v>0</v>
      </c>
      <c r="K77" s="155">
        <f t="shared" si="2"/>
        <v>0</v>
      </c>
      <c r="L77" s="155" t="str">
        <f>IF(AND('Summary Sheet'!$E$23="No",$H$33&gt;0,H77&gt;=1),"",IF(AND('Summary Sheet'!$E$23="Yes",H77&lt;&gt;""),H77*'Summary Sheet'!$G$23,""))</f>
        <v/>
      </c>
      <c r="M77" s="154"/>
      <c r="N77" s="155">
        <f>SUM('Pay App 1:Pay App 16'!L77)+SUM('Pay App 1:Pay App 16'!M77)</f>
        <v>0</v>
      </c>
    </row>
    <row r="78" spans="1:17" ht="11.25" customHeight="1" x14ac:dyDescent="0.25">
      <c r="A78" s="152">
        <v>22</v>
      </c>
      <c r="B78" s="177" t="str">
        <f>'Pay App 1'!B78</f>
        <v>04 05 19</v>
      </c>
      <c r="C78" s="182" t="str">
        <f>'Pay App 1'!C78</f>
        <v>Masonry Reinforcing</v>
      </c>
      <c r="D78" s="155">
        <f>'Pay App 1'!D78</f>
        <v>0</v>
      </c>
      <c r="E78" s="155">
        <f>VLOOKUP(B78,'Graph Data'!$O$2:$BX$88,18,FALSE)</f>
        <v>0</v>
      </c>
      <c r="F78" s="155">
        <f>IFERROR(E78+'Pay App 15'!F78,"")</f>
        <v>0</v>
      </c>
      <c r="G78" s="155">
        <f>SUM('Pay App 1:Pay App 15'!H78)</f>
        <v>0</v>
      </c>
      <c r="H78" s="154"/>
      <c r="I78" s="155">
        <f t="shared" si="0"/>
        <v>0</v>
      </c>
      <c r="J78" s="156">
        <f t="shared" si="1"/>
        <v>0</v>
      </c>
      <c r="K78" s="155">
        <f t="shared" si="2"/>
        <v>0</v>
      </c>
      <c r="L78" s="155" t="str">
        <f>IF(AND('Summary Sheet'!$E$23="No",$H$33&gt;0,H78&gt;=1),"",IF(AND('Summary Sheet'!$E$23="Yes",H78&lt;&gt;""),H78*'Summary Sheet'!$G$23,""))</f>
        <v/>
      </c>
      <c r="M78" s="154"/>
      <c r="N78" s="155">
        <f>SUM('Pay App 1:Pay App 16'!L78)+SUM('Pay App 1:Pay App 16'!M78)</f>
        <v>0</v>
      </c>
    </row>
    <row r="79" spans="1:17" ht="11.25" customHeight="1" x14ac:dyDescent="0.25">
      <c r="A79" s="152">
        <v>23</v>
      </c>
      <c r="B79" s="178" t="str">
        <f>'Pay App 1'!B79</f>
        <v>05 10 00</v>
      </c>
      <c r="C79" s="183" t="str">
        <f>'Pay App 1'!C79</f>
        <v>Structural Steel/Misc. Steel Fab</v>
      </c>
      <c r="D79" s="155">
        <f>'Pay App 1'!D79</f>
        <v>0</v>
      </c>
      <c r="E79" s="155">
        <f>VLOOKUP(B79,'Graph Data'!$O$2:$BX$88,18,FALSE)</f>
        <v>0</v>
      </c>
      <c r="F79" s="155">
        <f>IFERROR(E79+'Pay App 15'!F79,"")</f>
        <v>0</v>
      </c>
      <c r="G79" s="155">
        <f>SUM('Pay App 1:Pay App 15'!H79)</f>
        <v>0</v>
      </c>
      <c r="H79" s="154"/>
      <c r="I79" s="155">
        <f t="shared" si="0"/>
        <v>0</v>
      </c>
      <c r="J79" s="156">
        <f t="shared" si="1"/>
        <v>0</v>
      </c>
      <c r="K79" s="155">
        <f t="shared" si="2"/>
        <v>0</v>
      </c>
      <c r="L79" s="155" t="str">
        <f>IF(AND('Summary Sheet'!$E$23="No",$H$33&gt;0,H79&gt;=1),"",IF(AND('Summary Sheet'!$E$23="Yes",H79&lt;&gt;""),H79*'Summary Sheet'!$G$23,""))</f>
        <v/>
      </c>
      <c r="M79" s="154"/>
      <c r="N79" s="155">
        <f>SUM('Pay App 1:Pay App 16'!L79)+SUM('Pay App 1:Pay App 16'!M79)</f>
        <v>0</v>
      </c>
    </row>
    <row r="80" spans="1:17" ht="11.25" customHeight="1" x14ac:dyDescent="0.25">
      <c r="A80" s="152">
        <v>24</v>
      </c>
      <c r="B80" s="178" t="str">
        <f>'Pay App 1'!B80</f>
        <v>05 20 00</v>
      </c>
      <c r="C80" s="183" t="str">
        <f>'Pay App 1'!C80</f>
        <v>Joists &amp; Deck</v>
      </c>
      <c r="D80" s="155">
        <f>'Pay App 1'!D80</f>
        <v>0</v>
      </c>
      <c r="E80" s="155">
        <f>VLOOKUP(B80,'Graph Data'!$O$2:$BX$88,18,FALSE)</f>
        <v>0</v>
      </c>
      <c r="F80" s="155">
        <f>IFERROR(E80+'Pay App 15'!F80,"")</f>
        <v>0</v>
      </c>
      <c r="G80" s="155">
        <f>SUM('Pay App 1:Pay App 15'!H80)</f>
        <v>0</v>
      </c>
      <c r="H80" s="154"/>
      <c r="I80" s="155">
        <f t="shared" si="0"/>
        <v>0</v>
      </c>
      <c r="J80" s="156">
        <f t="shared" si="1"/>
        <v>0</v>
      </c>
      <c r="K80" s="155">
        <f t="shared" si="2"/>
        <v>0</v>
      </c>
      <c r="L80" s="155" t="str">
        <f>IF(AND('Summary Sheet'!$E$23="No",$H$33&gt;0,H80&gt;=1),"",IF(AND('Summary Sheet'!$E$23="Yes",H80&lt;&gt;""),H80*'Summary Sheet'!$G$23,""))</f>
        <v/>
      </c>
      <c r="M80" s="154"/>
      <c r="N80" s="155">
        <f>SUM('Pay App 1:Pay App 16'!L80)+SUM('Pay App 1:Pay App 16'!M80)</f>
        <v>0</v>
      </c>
    </row>
    <row r="81" spans="1:14" ht="11.25" customHeight="1" x14ac:dyDescent="0.25">
      <c r="A81" s="152">
        <v>25</v>
      </c>
      <c r="B81" s="178" t="str">
        <f>'Pay App 1'!B81</f>
        <v>05 70 00</v>
      </c>
      <c r="C81" s="183" t="str">
        <f>'Pay App 1'!C81</f>
        <v>Ornamental Metal</v>
      </c>
      <c r="D81" s="155">
        <f>'Pay App 1'!D81</f>
        <v>0</v>
      </c>
      <c r="E81" s="155">
        <f>VLOOKUP(B81,'Graph Data'!$O$2:$BX$88,18,FALSE)</f>
        <v>0</v>
      </c>
      <c r="F81" s="155">
        <f>IFERROR(E81+'Pay App 15'!F81,"")</f>
        <v>0</v>
      </c>
      <c r="G81" s="155">
        <f>SUM('Pay App 1:Pay App 15'!H81)</f>
        <v>0</v>
      </c>
      <c r="H81" s="154"/>
      <c r="I81" s="155">
        <f t="shared" si="0"/>
        <v>0</v>
      </c>
      <c r="J81" s="156">
        <f t="shared" si="1"/>
        <v>0</v>
      </c>
      <c r="K81" s="155">
        <f t="shared" si="2"/>
        <v>0</v>
      </c>
      <c r="L81" s="155" t="str">
        <f>IF(AND('Summary Sheet'!$E$23="No",$H$33&gt;0,H81&gt;=1),"",IF(AND('Summary Sheet'!$E$23="Yes",H81&lt;&gt;""),H81*'Summary Sheet'!$G$23,""))</f>
        <v/>
      </c>
      <c r="M81" s="154"/>
      <c r="N81" s="155">
        <f>SUM('Pay App 1:Pay App 16'!L81)+SUM('Pay App 1:Pay App 16'!M81)</f>
        <v>0</v>
      </c>
    </row>
    <row r="82" spans="1:14" ht="11.25" customHeight="1" x14ac:dyDescent="0.25">
      <c r="A82" s="152">
        <v>26</v>
      </c>
      <c r="B82" s="145" t="str">
        <f>'Pay App 1'!B82</f>
        <v>06 10 00</v>
      </c>
      <c r="C82" s="134" t="str">
        <f>'Pay App 1'!C82</f>
        <v>Rough Carpentry</v>
      </c>
      <c r="D82" s="155">
        <f>'Pay App 1'!D82</f>
        <v>0</v>
      </c>
      <c r="E82" s="155">
        <f>VLOOKUP(B82,'Graph Data'!$O$2:$BX$88,18,FALSE)</f>
        <v>0</v>
      </c>
      <c r="F82" s="155">
        <f>IFERROR(E82+'Pay App 15'!F82,"")</f>
        <v>0</v>
      </c>
      <c r="G82" s="155">
        <f>SUM('Pay App 1:Pay App 15'!H82)</f>
        <v>0</v>
      </c>
      <c r="H82" s="154"/>
      <c r="I82" s="155">
        <f t="shared" si="0"/>
        <v>0</v>
      </c>
      <c r="J82" s="156">
        <f t="shared" si="1"/>
        <v>0</v>
      </c>
      <c r="K82" s="155">
        <f t="shared" si="2"/>
        <v>0</v>
      </c>
      <c r="L82" s="155" t="str">
        <f>IF(AND('Summary Sheet'!$E$23="No",$H$33&gt;0,H82&gt;=1),"",IF(AND('Summary Sheet'!$E$23="Yes",H82&lt;&gt;""),H82*'Summary Sheet'!$G$23,""))</f>
        <v/>
      </c>
      <c r="M82" s="154"/>
      <c r="N82" s="155">
        <f>SUM('Pay App 1:Pay App 16'!L82)+SUM('Pay App 1:Pay App 16'!M82)</f>
        <v>0</v>
      </c>
    </row>
    <row r="83" spans="1:14" ht="11.25" customHeight="1" x14ac:dyDescent="0.25">
      <c r="A83" s="152">
        <v>27</v>
      </c>
      <c r="B83" s="145" t="str">
        <f>'Pay App 1'!B83</f>
        <v>06 40 00</v>
      </c>
      <c r="C83" s="134" t="str">
        <f>'Pay App 1'!C83</f>
        <v>Arch. Woodwork &amp; Finish Carp.</v>
      </c>
      <c r="D83" s="155">
        <f>'Pay App 1'!D83</f>
        <v>0</v>
      </c>
      <c r="E83" s="155">
        <f>VLOOKUP(B83,'Graph Data'!$O$2:$BX$88,18,FALSE)</f>
        <v>0</v>
      </c>
      <c r="F83" s="155">
        <f>IFERROR(E83+'Pay App 15'!F83,"")</f>
        <v>0</v>
      </c>
      <c r="G83" s="155">
        <f>SUM('Pay App 1:Pay App 15'!H83)</f>
        <v>0</v>
      </c>
      <c r="H83" s="154"/>
      <c r="I83" s="155">
        <f t="shared" si="0"/>
        <v>0</v>
      </c>
      <c r="J83" s="156">
        <f t="shared" si="1"/>
        <v>0</v>
      </c>
      <c r="K83" s="155">
        <f t="shared" si="2"/>
        <v>0</v>
      </c>
      <c r="L83" s="155" t="str">
        <f>IF(AND('Summary Sheet'!$E$23="No",$H$33&gt;0,H83&gt;=1),"",IF(AND('Summary Sheet'!$E$23="Yes",H83&lt;&gt;""),H83*'Summary Sheet'!$G$23,""))</f>
        <v/>
      </c>
      <c r="M83" s="154"/>
      <c r="N83" s="155">
        <f>SUM('Pay App 1:Pay App 16'!L83)+SUM('Pay App 1:Pay App 16'!M83)</f>
        <v>0</v>
      </c>
    </row>
    <row r="84" spans="1:14" ht="11.25" customHeight="1" x14ac:dyDescent="0.25">
      <c r="A84" s="152">
        <v>28</v>
      </c>
      <c r="B84" s="174" t="str">
        <f>'Pay App 1'!B84</f>
        <v>07 10 00</v>
      </c>
      <c r="C84" s="179" t="str">
        <f>'Pay App 1'!C84</f>
        <v>Waterproofing/Water Repellents</v>
      </c>
      <c r="D84" s="155">
        <f>'Pay App 1'!D84</f>
        <v>0</v>
      </c>
      <c r="E84" s="155">
        <f>VLOOKUP(B84,'Graph Data'!$O$2:$BX$88,18,FALSE)</f>
        <v>0</v>
      </c>
      <c r="F84" s="155">
        <f>IFERROR(E84+'Pay App 15'!F84,"")</f>
        <v>0</v>
      </c>
      <c r="G84" s="155">
        <f>SUM('Pay App 1:Pay App 15'!H84)</f>
        <v>0</v>
      </c>
      <c r="H84" s="154"/>
      <c r="I84" s="155">
        <f t="shared" si="0"/>
        <v>0</v>
      </c>
      <c r="J84" s="156">
        <f t="shared" si="1"/>
        <v>0</v>
      </c>
      <c r="K84" s="155">
        <f t="shared" si="2"/>
        <v>0</v>
      </c>
      <c r="L84" s="155" t="str">
        <f>IF(AND('Summary Sheet'!$E$23="No",$H$33&gt;0,H84&gt;=1),"",IF(AND('Summary Sheet'!$E$23="Yes",H84&lt;&gt;""),H84*'Summary Sheet'!$G$23,""))</f>
        <v/>
      </c>
      <c r="M84" s="154"/>
      <c r="N84" s="155">
        <f>SUM('Pay App 1:Pay App 16'!L84)+SUM('Pay App 1:Pay App 16'!M84)</f>
        <v>0</v>
      </c>
    </row>
    <row r="85" spans="1:14" ht="11.25" customHeight="1" x14ac:dyDescent="0.25">
      <c r="A85" s="152">
        <v>29</v>
      </c>
      <c r="B85" s="174" t="str">
        <f>'Pay App 1'!B85</f>
        <v>07 20 00</v>
      </c>
      <c r="C85" s="179" t="str">
        <f>'Pay App 1'!C85</f>
        <v>Insulation</v>
      </c>
      <c r="D85" s="155">
        <f>'Pay App 1'!D85</f>
        <v>0</v>
      </c>
      <c r="E85" s="155">
        <f>VLOOKUP(B85,'Graph Data'!$O$2:$BX$88,18,FALSE)</f>
        <v>0</v>
      </c>
      <c r="F85" s="155">
        <f>IFERROR(E85+'Pay App 15'!F85,"")</f>
        <v>0</v>
      </c>
      <c r="G85" s="155">
        <f>SUM('Pay App 1:Pay App 15'!H85)</f>
        <v>0</v>
      </c>
      <c r="H85" s="154"/>
      <c r="I85" s="155">
        <f t="shared" si="0"/>
        <v>0</v>
      </c>
      <c r="J85" s="156">
        <f t="shared" si="1"/>
        <v>0</v>
      </c>
      <c r="K85" s="155">
        <f t="shared" si="2"/>
        <v>0</v>
      </c>
      <c r="L85" s="155" t="str">
        <f>IF(AND('Summary Sheet'!$E$23="No",$H$33&gt;0,H85&gt;=1),"",IF(AND('Summary Sheet'!$E$23="Yes",H85&lt;&gt;""),H85*'Summary Sheet'!$G$23,""))</f>
        <v/>
      </c>
      <c r="M85" s="154"/>
      <c r="N85" s="155">
        <f>SUM('Pay App 1:Pay App 16'!L85)+SUM('Pay App 1:Pay App 16'!M85)</f>
        <v>0</v>
      </c>
    </row>
    <row r="86" spans="1:14" ht="11.25" customHeight="1" x14ac:dyDescent="0.25">
      <c r="A86" s="152">
        <v>30</v>
      </c>
      <c r="B86" s="174" t="str">
        <f>'Pay App 1'!B86</f>
        <v>07 24 00</v>
      </c>
      <c r="C86" s="179" t="str">
        <f>'Pay App 1'!C86</f>
        <v>EIFS</v>
      </c>
      <c r="D86" s="155">
        <f>'Pay App 1'!D86</f>
        <v>0</v>
      </c>
      <c r="E86" s="155">
        <f>VLOOKUP(B86,'Graph Data'!$O$2:$BX$88,18,FALSE)</f>
        <v>0</v>
      </c>
      <c r="F86" s="155">
        <f>IFERROR(E86+'Pay App 15'!F86,"")</f>
        <v>0</v>
      </c>
      <c r="G86" s="155">
        <f>SUM('Pay App 1:Pay App 15'!H86)</f>
        <v>0</v>
      </c>
      <c r="H86" s="154"/>
      <c r="I86" s="155">
        <f t="shared" si="0"/>
        <v>0</v>
      </c>
      <c r="J86" s="156">
        <f t="shared" si="1"/>
        <v>0</v>
      </c>
      <c r="K86" s="155">
        <f t="shared" si="2"/>
        <v>0</v>
      </c>
      <c r="L86" s="155" t="str">
        <f>IF(AND('Summary Sheet'!$E$23="No",$H$33&gt;0,H86&gt;=1),"",IF(AND('Summary Sheet'!$E$23="Yes",H86&lt;&gt;""),H86*'Summary Sheet'!$G$23,""))</f>
        <v/>
      </c>
      <c r="M86" s="154"/>
      <c r="N86" s="155">
        <f>SUM('Pay App 1:Pay App 16'!L86)+SUM('Pay App 1:Pay App 16'!M86)</f>
        <v>0</v>
      </c>
    </row>
    <row r="87" spans="1:14" ht="11.25" customHeight="1" x14ac:dyDescent="0.25">
      <c r="A87" s="152">
        <v>31</v>
      </c>
      <c r="B87" s="174" t="str">
        <f>'Pay App 1'!B87</f>
        <v>07 26 00</v>
      </c>
      <c r="C87" s="179" t="str">
        <f>'Pay App 1'!C87</f>
        <v>Vapor Retarders</v>
      </c>
      <c r="D87" s="155">
        <f>'Pay App 1'!D87</f>
        <v>0</v>
      </c>
      <c r="E87" s="155">
        <f>VLOOKUP(B87,'Graph Data'!$O$2:$BX$88,18,FALSE)</f>
        <v>0</v>
      </c>
      <c r="F87" s="155">
        <f>IFERROR(E87+'Pay App 15'!F87,"")</f>
        <v>0</v>
      </c>
      <c r="G87" s="155">
        <f>SUM('Pay App 1:Pay App 15'!H87)</f>
        <v>0</v>
      </c>
      <c r="H87" s="154"/>
      <c r="I87" s="155">
        <f t="shared" si="0"/>
        <v>0</v>
      </c>
      <c r="J87" s="156">
        <f t="shared" si="1"/>
        <v>0</v>
      </c>
      <c r="K87" s="155">
        <f t="shared" si="2"/>
        <v>0</v>
      </c>
      <c r="L87" s="155" t="str">
        <f>IF(AND('Summary Sheet'!$E$23="No",$H$33&gt;0,H87&gt;=1),"",IF(AND('Summary Sheet'!$E$23="Yes",H87&lt;&gt;""),H87*'Summary Sheet'!$G$23,""))</f>
        <v/>
      </c>
      <c r="M87" s="154"/>
      <c r="N87" s="155">
        <f>SUM('Pay App 1:Pay App 16'!L87)+SUM('Pay App 1:Pay App 16'!M87)</f>
        <v>0</v>
      </c>
    </row>
    <row r="88" spans="1:14" ht="11.25" customHeight="1" x14ac:dyDescent="0.25">
      <c r="A88" s="152">
        <v>32</v>
      </c>
      <c r="B88" s="174" t="str">
        <f>'Pay App 1'!B88</f>
        <v>07 41 00</v>
      </c>
      <c r="C88" s="179" t="str">
        <f>'Pay App 1'!C88</f>
        <v>Roofing</v>
      </c>
      <c r="D88" s="155">
        <f>'Pay App 1'!D88</f>
        <v>0</v>
      </c>
      <c r="E88" s="155">
        <f>VLOOKUP(B88,'Graph Data'!$O$2:$BX$88,18,FALSE)</f>
        <v>0</v>
      </c>
      <c r="F88" s="155">
        <f>IFERROR(E88+'Pay App 15'!F88,"")</f>
        <v>0</v>
      </c>
      <c r="G88" s="155">
        <f>SUM('Pay App 1:Pay App 15'!H88)</f>
        <v>0</v>
      </c>
      <c r="H88" s="154"/>
      <c r="I88" s="155">
        <f t="shared" si="0"/>
        <v>0</v>
      </c>
      <c r="J88" s="156">
        <f t="shared" si="1"/>
        <v>0</v>
      </c>
      <c r="K88" s="155">
        <f t="shared" si="2"/>
        <v>0</v>
      </c>
      <c r="L88" s="155" t="str">
        <f>IF(AND('Summary Sheet'!$E$23="No",$H$33&gt;0,H88&gt;=1),"",IF(AND('Summary Sheet'!$E$23="Yes",H88&lt;&gt;""),H88*'Summary Sheet'!$G$23,""))</f>
        <v/>
      </c>
      <c r="M88" s="154"/>
      <c r="N88" s="155">
        <f>SUM('Pay App 1:Pay App 16'!L88)+SUM('Pay App 1:Pay App 16'!M88)</f>
        <v>0</v>
      </c>
    </row>
    <row r="89" spans="1:14" ht="11.25" customHeight="1" x14ac:dyDescent="0.25">
      <c r="A89" s="152">
        <v>33</v>
      </c>
      <c r="B89" s="174" t="str">
        <f>'Pay App 1'!B89</f>
        <v>07 42 00</v>
      </c>
      <c r="C89" s="179" t="str">
        <f>'Pay App 1'!C89</f>
        <v>Metal Panels</v>
      </c>
      <c r="D89" s="155">
        <f>'Pay App 1'!D89</f>
        <v>0</v>
      </c>
      <c r="E89" s="155">
        <f>VLOOKUP(B89,'Graph Data'!$O$2:$BX$88,18,FALSE)</f>
        <v>0</v>
      </c>
      <c r="F89" s="155">
        <f>IFERROR(E89+'Pay App 15'!F89,"")</f>
        <v>0</v>
      </c>
      <c r="G89" s="155">
        <f>SUM('Pay App 1:Pay App 15'!H89)</f>
        <v>0</v>
      </c>
      <c r="H89" s="154"/>
      <c r="I89" s="155">
        <f t="shared" si="0"/>
        <v>0</v>
      </c>
      <c r="J89" s="156">
        <f t="shared" si="1"/>
        <v>0</v>
      </c>
      <c r="K89" s="155">
        <f t="shared" si="2"/>
        <v>0</v>
      </c>
      <c r="L89" s="155" t="str">
        <f>IF(AND('Summary Sheet'!$E$23="No",$H$33&gt;0,H89&gt;=1),"",IF(AND('Summary Sheet'!$E$23="Yes",H89&lt;&gt;""),H89*'Summary Sheet'!$G$23,""))</f>
        <v/>
      </c>
      <c r="M89" s="154"/>
      <c r="N89" s="155">
        <f>SUM('Pay App 1:Pay App 16'!L89)+SUM('Pay App 1:Pay App 16'!M89)</f>
        <v>0</v>
      </c>
    </row>
    <row r="90" spans="1:14" ht="11.25" customHeight="1" x14ac:dyDescent="0.25">
      <c r="A90" s="152">
        <v>34</v>
      </c>
      <c r="B90" s="174" t="str">
        <f>'Pay App 1'!B90</f>
        <v>07 60 00</v>
      </c>
      <c r="C90" s="179" t="str">
        <f>'Pay App 1'!C90</f>
        <v>Sheet Metal Flashing &amp; Trim</v>
      </c>
      <c r="D90" s="155">
        <f>'Pay App 1'!D90</f>
        <v>0</v>
      </c>
      <c r="E90" s="155">
        <f>VLOOKUP(B90,'Graph Data'!$O$2:$BX$88,18,FALSE)</f>
        <v>0</v>
      </c>
      <c r="F90" s="155">
        <f>IFERROR(E90+'Pay App 15'!F90,"")</f>
        <v>0</v>
      </c>
      <c r="G90" s="155">
        <f>SUM('Pay App 1:Pay App 15'!H90)</f>
        <v>0</v>
      </c>
      <c r="H90" s="154"/>
      <c r="I90" s="155">
        <f t="shared" si="0"/>
        <v>0</v>
      </c>
      <c r="J90" s="156">
        <f t="shared" si="1"/>
        <v>0</v>
      </c>
      <c r="K90" s="155">
        <f t="shared" si="2"/>
        <v>0</v>
      </c>
      <c r="L90" s="155" t="str">
        <f>IF(AND('Summary Sheet'!$E$23="No",$H$33&gt;0,H90&gt;=1),"",IF(AND('Summary Sheet'!$E$23="Yes",H90&lt;&gt;""),H90*'Summary Sheet'!$G$23,""))</f>
        <v/>
      </c>
      <c r="M90" s="154"/>
      <c r="N90" s="155">
        <f>SUM('Pay App 1:Pay App 16'!L90)+SUM('Pay App 1:Pay App 16'!M90)</f>
        <v>0</v>
      </c>
    </row>
    <row r="91" spans="1:14" ht="11.25" customHeight="1" x14ac:dyDescent="0.25">
      <c r="A91" s="152">
        <v>35</v>
      </c>
      <c r="B91" s="174" t="str">
        <f>'Pay App 1'!B91</f>
        <v>07 80 00</v>
      </c>
      <c r="C91" s="179" t="str">
        <f>'Pay App 1'!C91</f>
        <v>Fireproofing</v>
      </c>
      <c r="D91" s="155">
        <f>'Pay App 1'!D91</f>
        <v>0</v>
      </c>
      <c r="E91" s="155">
        <f>VLOOKUP(B91,'Graph Data'!$O$2:$BX$88,18,FALSE)</f>
        <v>0</v>
      </c>
      <c r="F91" s="155">
        <f>IFERROR(E91+'Pay App 15'!F91,"")</f>
        <v>0</v>
      </c>
      <c r="G91" s="155">
        <f>SUM('Pay App 1:Pay App 15'!H91)</f>
        <v>0</v>
      </c>
      <c r="H91" s="154"/>
      <c r="I91" s="155">
        <f t="shared" si="0"/>
        <v>0</v>
      </c>
      <c r="J91" s="156">
        <f t="shared" si="1"/>
        <v>0</v>
      </c>
      <c r="K91" s="155">
        <f t="shared" si="2"/>
        <v>0</v>
      </c>
      <c r="L91" s="155" t="str">
        <f>IF(AND('Summary Sheet'!$E$23="No",$H$33&gt;0,H91&gt;=1),"",IF(AND('Summary Sheet'!$E$23="Yes",H91&lt;&gt;""),H91*'Summary Sheet'!$G$23,""))</f>
        <v/>
      </c>
      <c r="M91" s="154"/>
      <c r="N91" s="155">
        <f>SUM('Pay App 1:Pay App 16'!L91)+SUM('Pay App 1:Pay App 16'!M91)</f>
        <v>0</v>
      </c>
    </row>
    <row r="92" spans="1:14" ht="11.25" customHeight="1" x14ac:dyDescent="0.25">
      <c r="A92" s="152">
        <v>36</v>
      </c>
      <c r="B92" s="174" t="str">
        <f>'Pay App 1'!B92</f>
        <v>07 90 00</v>
      </c>
      <c r="C92" s="179" t="str">
        <f>'Pay App 1'!C92</f>
        <v>Joint Sealants</v>
      </c>
      <c r="D92" s="155">
        <f>'Pay App 1'!D92</f>
        <v>0</v>
      </c>
      <c r="E92" s="155">
        <f>VLOOKUP(B92,'Graph Data'!$O$2:$BX$88,18,FALSE)</f>
        <v>0</v>
      </c>
      <c r="F92" s="155">
        <f>IFERROR(E92+'Pay App 15'!F92,"")</f>
        <v>0</v>
      </c>
      <c r="G92" s="155">
        <f>SUM('Pay App 1:Pay App 15'!H92)</f>
        <v>0</v>
      </c>
      <c r="H92" s="154"/>
      <c r="I92" s="155">
        <f t="shared" si="0"/>
        <v>0</v>
      </c>
      <c r="J92" s="156">
        <f t="shared" si="1"/>
        <v>0</v>
      </c>
      <c r="K92" s="155">
        <f t="shared" si="2"/>
        <v>0</v>
      </c>
      <c r="L92" s="155" t="str">
        <f>IF(AND('Summary Sheet'!$E$23="No",$H$33&gt;0,H92&gt;=1),"",IF(AND('Summary Sheet'!$E$23="Yes",H92&lt;&gt;""),H92*'Summary Sheet'!$G$23,""))</f>
        <v/>
      </c>
      <c r="M92" s="154"/>
      <c r="N92" s="155">
        <f>SUM('Pay App 1:Pay App 16'!L92)+SUM('Pay App 1:Pay App 16'!M92)</f>
        <v>0</v>
      </c>
    </row>
    <row r="93" spans="1:14" ht="11.25" customHeight="1" x14ac:dyDescent="0.25">
      <c r="A93" s="152">
        <v>37</v>
      </c>
      <c r="B93" s="174" t="str">
        <f>'Pay App 1'!B93</f>
        <v>07 95 00</v>
      </c>
      <c r="C93" s="179" t="str">
        <f>'Pay App 1'!C93</f>
        <v>Expansion Joints</v>
      </c>
      <c r="D93" s="155">
        <f>'Pay App 1'!D93</f>
        <v>0</v>
      </c>
      <c r="E93" s="155">
        <f>VLOOKUP(B93,'Graph Data'!$O$2:$BX$88,18,FALSE)</f>
        <v>0</v>
      </c>
      <c r="F93" s="155">
        <f>IFERROR(E93+'Pay App 15'!F93,"")</f>
        <v>0</v>
      </c>
      <c r="G93" s="155">
        <f>SUM('Pay App 1:Pay App 15'!H93)</f>
        <v>0</v>
      </c>
      <c r="H93" s="154"/>
      <c r="I93" s="155">
        <f t="shared" si="0"/>
        <v>0</v>
      </c>
      <c r="J93" s="156">
        <f t="shared" si="1"/>
        <v>0</v>
      </c>
      <c r="K93" s="155">
        <f t="shared" si="2"/>
        <v>0</v>
      </c>
      <c r="L93" s="155" t="str">
        <f>IF(AND('Summary Sheet'!$E$23="No",$H$33&gt;0,H93&gt;=1),"",IF(AND('Summary Sheet'!$E$23="Yes",H93&lt;&gt;""),H93*'Summary Sheet'!$G$23,""))</f>
        <v/>
      </c>
      <c r="M93" s="154"/>
      <c r="N93" s="155">
        <f>SUM('Pay App 1:Pay App 16'!L93)+SUM('Pay App 1:Pay App 16'!M93)</f>
        <v>0</v>
      </c>
    </row>
    <row r="94" spans="1:14" ht="11.25" customHeight="1" x14ac:dyDescent="0.25">
      <c r="A94" s="152">
        <v>38</v>
      </c>
      <c r="B94" s="175" t="str">
        <f>'Pay App 1'!B94</f>
        <v>08 10 00</v>
      </c>
      <c r="C94" s="180" t="str">
        <f>'Pay App 1'!C94</f>
        <v>Doors, Frames &amp; Hardware</v>
      </c>
      <c r="D94" s="155">
        <f>'Pay App 1'!D94</f>
        <v>0</v>
      </c>
      <c r="E94" s="155">
        <f>VLOOKUP(B94,'Graph Data'!$O$2:$BX$88,18,FALSE)</f>
        <v>0</v>
      </c>
      <c r="F94" s="155">
        <f>IFERROR(E94+'Pay App 15'!F94,"")</f>
        <v>0</v>
      </c>
      <c r="G94" s="155">
        <f>SUM('Pay App 1:Pay App 15'!H94)</f>
        <v>0</v>
      </c>
      <c r="H94" s="154"/>
      <c r="I94" s="155">
        <f t="shared" si="0"/>
        <v>0</v>
      </c>
      <c r="J94" s="156">
        <f t="shared" si="1"/>
        <v>0</v>
      </c>
      <c r="K94" s="155">
        <f t="shared" si="2"/>
        <v>0</v>
      </c>
      <c r="L94" s="155" t="str">
        <f>IF(AND('Summary Sheet'!$E$23="No",$H$33&gt;0,H94&gt;=1),"",IF(AND('Summary Sheet'!$E$23="Yes",H94&lt;&gt;""),H94*'Summary Sheet'!$G$23,""))</f>
        <v/>
      </c>
      <c r="M94" s="154"/>
      <c r="N94" s="155">
        <f>SUM('Pay App 1:Pay App 16'!L94)+SUM('Pay App 1:Pay App 16'!M94)</f>
        <v>0</v>
      </c>
    </row>
    <row r="95" spans="1:14" ht="11.25" customHeight="1" x14ac:dyDescent="0.25">
      <c r="A95" s="152">
        <v>39</v>
      </c>
      <c r="B95" s="175" t="str">
        <f>'Pay App 1'!B95</f>
        <v>08 30 00</v>
      </c>
      <c r="C95" s="180" t="str">
        <f>'Pay App 1'!C95</f>
        <v>Specialty Doors</v>
      </c>
      <c r="D95" s="155">
        <f>'Pay App 1'!D95</f>
        <v>0</v>
      </c>
      <c r="E95" s="155">
        <f>VLOOKUP(B95,'Graph Data'!$O$2:$BX$88,18,FALSE)</f>
        <v>0</v>
      </c>
      <c r="F95" s="155">
        <f>IFERROR(E95+'Pay App 15'!F95,"")</f>
        <v>0</v>
      </c>
      <c r="G95" s="155">
        <f>SUM('Pay App 1:Pay App 15'!H95)</f>
        <v>0</v>
      </c>
      <c r="H95" s="154"/>
      <c r="I95" s="155">
        <f t="shared" si="0"/>
        <v>0</v>
      </c>
      <c r="J95" s="156">
        <f t="shared" si="1"/>
        <v>0</v>
      </c>
      <c r="K95" s="155">
        <f t="shared" si="2"/>
        <v>0</v>
      </c>
      <c r="L95" s="155" t="str">
        <f>IF(AND('Summary Sheet'!$E$23="No",$H$33&gt;0,H95&gt;=1),"",IF(AND('Summary Sheet'!$E$23="Yes",H95&lt;&gt;""),H95*'Summary Sheet'!$G$23,""))</f>
        <v/>
      </c>
      <c r="M95" s="154"/>
      <c r="N95" s="155">
        <f>SUM('Pay App 1:Pay App 16'!L95)+SUM('Pay App 1:Pay App 16'!M95)</f>
        <v>0</v>
      </c>
    </row>
    <row r="96" spans="1:14" ht="11.25" customHeight="1" x14ac:dyDescent="0.25">
      <c r="A96" s="152">
        <v>40</v>
      </c>
      <c r="B96" s="175" t="str">
        <f>'Pay App 1'!B96</f>
        <v>08 33 00</v>
      </c>
      <c r="C96" s="180" t="str">
        <f>'Pay App 1'!C96</f>
        <v>Overhead Doors/Coiling Doors</v>
      </c>
      <c r="D96" s="155">
        <f>'Pay App 1'!D96</f>
        <v>0</v>
      </c>
      <c r="E96" s="155">
        <f>VLOOKUP(B96,'Graph Data'!$O$2:$BX$88,18,FALSE)</f>
        <v>0</v>
      </c>
      <c r="F96" s="155">
        <f>IFERROR(E96+'Pay App 15'!F96,"")</f>
        <v>0</v>
      </c>
      <c r="G96" s="155">
        <f>SUM('Pay App 1:Pay App 15'!H96)</f>
        <v>0</v>
      </c>
      <c r="H96" s="154"/>
      <c r="I96" s="155">
        <f t="shared" si="0"/>
        <v>0</v>
      </c>
      <c r="J96" s="156">
        <f t="shared" si="1"/>
        <v>0</v>
      </c>
      <c r="K96" s="155">
        <f t="shared" si="2"/>
        <v>0</v>
      </c>
      <c r="L96" s="155" t="str">
        <f>IF(AND('Summary Sheet'!$E$23="No",$H$33&gt;0,H96&gt;=1),"",IF(AND('Summary Sheet'!$E$23="Yes",H96&lt;&gt;""),H96*'Summary Sheet'!$G$23,""))</f>
        <v/>
      </c>
      <c r="M96" s="154"/>
      <c r="N96" s="155">
        <f>SUM('Pay App 1:Pay App 16'!L96)+SUM('Pay App 1:Pay App 16'!M96)</f>
        <v>0</v>
      </c>
    </row>
    <row r="97" spans="1:15" ht="11.25" customHeight="1" x14ac:dyDescent="0.25">
      <c r="A97" s="152">
        <v>41</v>
      </c>
      <c r="B97" s="175" t="str">
        <f>'Pay App 1'!B97</f>
        <v>08 40 00</v>
      </c>
      <c r="C97" s="180" t="str">
        <f>'Pay App 1'!C97</f>
        <v>Curtain Wall, Glass &amp; Glazing</v>
      </c>
      <c r="D97" s="155">
        <f>'Pay App 1'!D97</f>
        <v>0</v>
      </c>
      <c r="E97" s="155">
        <f>VLOOKUP(B97,'Graph Data'!$O$2:$BX$88,18,FALSE)</f>
        <v>0</v>
      </c>
      <c r="F97" s="155">
        <f>IFERROR(E97+'Pay App 15'!F97,"")</f>
        <v>0</v>
      </c>
      <c r="G97" s="155">
        <f>SUM('Pay App 1:Pay App 15'!H97)</f>
        <v>0</v>
      </c>
      <c r="H97" s="154"/>
      <c r="I97" s="155">
        <f t="shared" si="0"/>
        <v>0</v>
      </c>
      <c r="J97" s="156">
        <f t="shared" si="1"/>
        <v>0</v>
      </c>
      <c r="K97" s="155">
        <f t="shared" si="2"/>
        <v>0</v>
      </c>
      <c r="L97" s="155" t="str">
        <f>IF(AND('Summary Sheet'!$E$23="No",$H$33&gt;0,H97&gt;=1),"",IF(AND('Summary Sheet'!$E$23="Yes",H97&lt;&gt;""),H97*'Summary Sheet'!$G$23,""))</f>
        <v/>
      </c>
      <c r="M97" s="154"/>
      <c r="N97" s="155">
        <f>SUM('Pay App 1:Pay App 16'!L97)+SUM('Pay App 1:Pay App 16'!M97)</f>
        <v>0</v>
      </c>
    </row>
    <row r="98" spans="1:15" ht="10.9" customHeight="1" x14ac:dyDescent="0.25">
      <c r="A98" s="152">
        <v>42</v>
      </c>
      <c r="B98" s="175" t="str">
        <f>'Pay App 1'!B98</f>
        <v>08 60 00</v>
      </c>
      <c r="C98" s="180" t="str">
        <f>'Pay App 1'!C98</f>
        <v>Skylights</v>
      </c>
      <c r="D98" s="155">
        <f>'Pay App 1'!D98</f>
        <v>0</v>
      </c>
      <c r="E98" s="155">
        <f>VLOOKUP(B98,'Graph Data'!$O$2:$BX$88,18,FALSE)</f>
        <v>0</v>
      </c>
      <c r="F98" s="155">
        <f>IFERROR(E98+'Pay App 15'!F98,"")</f>
        <v>0</v>
      </c>
      <c r="G98" s="155">
        <f>SUM('Pay App 1:Pay App 15'!H98)</f>
        <v>0</v>
      </c>
      <c r="H98" s="154"/>
      <c r="I98" s="155">
        <f t="shared" si="0"/>
        <v>0</v>
      </c>
      <c r="J98" s="156">
        <f t="shared" si="1"/>
        <v>0</v>
      </c>
      <c r="K98" s="155">
        <f t="shared" si="2"/>
        <v>0</v>
      </c>
      <c r="L98" s="155" t="str">
        <f>IF(AND('Summary Sheet'!$E$23="No",$H$33&gt;0,H98&gt;=1),"",IF(AND('Summary Sheet'!$E$23="Yes",H98&lt;&gt;""),H98*'Summary Sheet'!$G$23,""))</f>
        <v/>
      </c>
      <c r="M98" s="154"/>
      <c r="N98" s="155">
        <f>SUM('Pay App 1:Pay App 16'!L98)+SUM('Pay App 1:Pay App 16'!M98)</f>
        <v>0</v>
      </c>
    </row>
    <row r="99" spans="1:15" ht="10.9" customHeight="1" x14ac:dyDescent="0.25">
      <c r="A99" s="152">
        <v>43</v>
      </c>
      <c r="B99" s="175" t="str">
        <f>'Pay App 1'!B99</f>
        <v>08 90 00</v>
      </c>
      <c r="C99" s="180" t="str">
        <f>'Pay App 1'!C99</f>
        <v>Louvers &amp; Vents</v>
      </c>
      <c r="D99" s="155">
        <f>'Pay App 1'!D99</f>
        <v>0</v>
      </c>
      <c r="E99" s="155">
        <f>VLOOKUP(B99,'Graph Data'!$O$2:$BX$88,18,FALSE)</f>
        <v>0</v>
      </c>
      <c r="F99" s="155">
        <f>IFERROR(E99+'Pay App 15'!F99,"")</f>
        <v>0</v>
      </c>
      <c r="G99" s="155">
        <f>SUM('Pay App 1:Pay App 15'!H99)</f>
        <v>0</v>
      </c>
      <c r="H99" s="154"/>
      <c r="I99" s="155">
        <f t="shared" si="0"/>
        <v>0</v>
      </c>
      <c r="J99" s="156">
        <f t="shared" si="1"/>
        <v>0</v>
      </c>
      <c r="K99" s="155">
        <f t="shared" si="2"/>
        <v>0</v>
      </c>
      <c r="L99" s="155" t="str">
        <f>IF(AND('Summary Sheet'!$E$23="No",$H$33&gt;0,H99&gt;=1),"",IF(AND('Summary Sheet'!$E$23="Yes",H99&lt;&gt;""),H99*'Summary Sheet'!$G$23,""))</f>
        <v/>
      </c>
      <c r="M99" s="154"/>
      <c r="N99" s="155">
        <f>SUM('Pay App 1:Pay App 16'!L99)+SUM('Pay App 1:Pay App 16'!M99)</f>
        <v>0</v>
      </c>
    </row>
    <row r="100" spans="1:15" ht="11.25" customHeight="1" x14ac:dyDescent="0.25">
      <c r="A100" s="153">
        <v>44</v>
      </c>
      <c r="B100" s="176" t="str">
        <f>'Pay App 1'!B100</f>
        <v>09 20 00</v>
      </c>
      <c r="C100" s="181" t="str">
        <f>'Pay App 1'!C100</f>
        <v>Gypsum Board Systems</v>
      </c>
      <c r="D100" s="155">
        <f>'Pay App 1'!D100</f>
        <v>0</v>
      </c>
      <c r="E100" s="155">
        <f>VLOOKUP(B100,'Graph Data'!$O$2:$BX$88,18,FALSE)</f>
        <v>0</v>
      </c>
      <c r="F100" s="155">
        <f>IFERROR(E100+'Pay App 15'!F100,"")</f>
        <v>0</v>
      </c>
      <c r="G100" s="155">
        <f>SUM('Pay App 1:Pay App 15'!H100)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16'!L100)+SUM('Pay App 1:Pay App 16'!M100)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16.2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Data'!$O$2:$BX$88,18,FALSE)</f>
        <v>0</v>
      </c>
      <c r="F106" s="155">
        <f>IFERROR(E106+'Pay App 15'!F106,"")</f>
        <v>0</v>
      </c>
      <c r="G106" s="155">
        <f>SUM('Pay App 1:Pay App 15'!H106)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16'!L106)+SUM('Pay App 1:Pay App 16'!M106)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Data'!$O$2:$BX$88,18,FALSE)</f>
        <v>0</v>
      </c>
      <c r="F107" s="155">
        <f>IFERROR(E107+'Pay App 15'!F107,"")</f>
        <v>0</v>
      </c>
      <c r="G107" s="155">
        <f>SUM('Pay App 1:Pay App 15'!H107)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16'!L107)+SUM('Pay App 1:Pay App 16'!M107)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Data'!$O$2:$BX$88,18,FALSE)</f>
        <v>0</v>
      </c>
      <c r="F108" s="155">
        <f>IFERROR(E108+'Pay App 15'!F108,"")</f>
        <v>0</v>
      </c>
      <c r="G108" s="155">
        <f>SUM('Pay App 1:Pay App 15'!H108)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16'!L108)+SUM('Pay App 1:Pay App 16'!M108)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Data'!$O$2:$BX$88,18,FALSE)</f>
        <v>0</v>
      </c>
      <c r="F109" s="155">
        <f>IFERROR(E109+'Pay App 15'!F109,"")</f>
        <v>0</v>
      </c>
      <c r="G109" s="155">
        <f>SUM('Pay App 1:Pay App 15'!H109)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16'!L109)+SUM('Pay App 1:Pay App 16'!M109)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Data'!$O$2:$BX$88,18,FALSE)</f>
        <v>0</v>
      </c>
      <c r="F110" s="155">
        <f>IFERROR(E110+'Pay App 15'!F110,"")</f>
        <v>0</v>
      </c>
      <c r="G110" s="155">
        <f>SUM('Pay App 1:Pay App 15'!H110)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16'!L110)+SUM('Pay App 1:Pay App 16'!M110)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Data'!$O$2:$BX$88,18,FALSE)</f>
        <v>0</v>
      </c>
      <c r="F111" s="155">
        <f>IFERROR(E111+'Pay App 15'!F111,"")</f>
        <v>0</v>
      </c>
      <c r="G111" s="155">
        <f>SUM('Pay App 1:Pay App 15'!H111)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16'!L111)+SUM('Pay App 1:Pay App 16'!M111)</f>
        <v>0</v>
      </c>
    </row>
    <row r="112" spans="1:15" ht="11.25" customHeight="1" x14ac:dyDescent="0.25">
      <c r="A112" s="152">
        <f t="shared" si="3"/>
        <v>51</v>
      </c>
      <c r="B112" s="148" t="str">
        <f>'Pay App 1'!B112</f>
        <v>09 90 00</v>
      </c>
      <c r="C112" s="143" t="str">
        <f>'Pay App 1'!C112</f>
        <v>Painting</v>
      </c>
      <c r="D112" s="155">
        <f>'Pay App 1'!D112</f>
        <v>0</v>
      </c>
      <c r="E112" s="155">
        <f>VLOOKUP(B112,'Graph Data'!$O$2:$BX$88,18,FALSE)</f>
        <v>0</v>
      </c>
      <c r="F112" s="155">
        <f>IFERROR(E112+'Pay App 15'!F112,"")</f>
        <v>0</v>
      </c>
      <c r="G112" s="155">
        <f>SUM('Pay App 1:Pay App 15'!H112)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16'!L112)+SUM('Pay App 1:Pay App 16'!M112)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Data'!$O$2:$BX$88,18,FALSE)</f>
        <v>0</v>
      </c>
      <c r="F113" s="155">
        <f>IFERROR(E113+'Pay App 15'!F113,"")</f>
        <v>0</v>
      </c>
      <c r="G113" s="155">
        <f>SUM('Pay App 1:Pay App 15'!H113)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16'!L113)+SUM('Pay App 1:Pay App 16'!M113)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Data'!$O$2:$BX$88,18,FALSE)</f>
        <v>0</v>
      </c>
      <c r="F114" s="155">
        <f>IFERROR(E114+'Pay App 15'!F114,"")</f>
        <v>0</v>
      </c>
      <c r="G114" s="155">
        <f>SUM('Pay App 1:Pay App 15'!H114)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16'!L114)+SUM('Pay App 1:Pay App 16'!M114)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Data'!$O$2:$BX$88,18,FALSE)</f>
        <v>0</v>
      </c>
      <c r="F115" s="155">
        <f>IFERROR(E115+'Pay App 15'!F115,"")</f>
        <v>0</v>
      </c>
      <c r="G115" s="155">
        <f>SUM('Pay App 1:Pay App 15'!H115)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16'!L115)+SUM('Pay App 1:Pay App 16'!M115)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Data'!$O$2:$BX$88,18,FALSE)</f>
        <v>0</v>
      </c>
      <c r="F116" s="155">
        <f>IFERROR(E116+'Pay App 15'!F116,"")</f>
        <v>0</v>
      </c>
      <c r="G116" s="155">
        <f>SUM('Pay App 1:Pay App 15'!H116)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16'!L116)+SUM('Pay App 1:Pay App 16'!M116)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Data'!$O$2:$BX$88,18,FALSE)</f>
        <v>0</v>
      </c>
      <c r="F117" s="155">
        <f>IFERROR(E117+'Pay App 15'!F117,"")</f>
        <v>0</v>
      </c>
      <c r="G117" s="155">
        <f>SUM('Pay App 1:Pay App 15'!H117)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16'!L117)+SUM('Pay App 1:Pay App 16'!M117)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Data'!$O$2:$BX$88,18,FALSE)</f>
        <v>0</v>
      </c>
      <c r="F118" s="155">
        <f>IFERROR(E118+'Pay App 15'!F118,"")</f>
        <v>0</v>
      </c>
      <c r="G118" s="155">
        <f>SUM('Pay App 1:Pay App 15'!H118)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16'!L118)+SUM('Pay App 1:Pay App 16'!M118)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Data'!$O$2:$BX$88,18,FALSE)</f>
        <v>0</v>
      </c>
      <c r="F119" s="155">
        <f>IFERROR(E119+'Pay App 15'!F119,"")</f>
        <v>0</v>
      </c>
      <c r="G119" s="155">
        <f>SUM('Pay App 1:Pay App 15'!H119)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16'!L119)+SUM('Pay App 1:Pay App 16'!M119)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Data'!$O$2:$BX$88,18,FALSE)</f>
        <v>0</v>
      </c>
      <c r="F120" s="155">
        <f>IFERROR(E120+'Pay App 15'!F120,"")</f>
        <v>0</v>
      </c>
      <c r="G120" s="155">
        <f>SUM('Pay App 1:Pay App 15'!H120)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16'!L120)+SUM('Pay App 1:Pay App 16'!M120)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Data'!$O$2:$BX$88,18,FALSE)</f>
        <v>0</v>
      </c>
      <c r="F121" s="155">
        <f>IFERROR(E121+'Pay App 15'!F121,"")</f>
        <v>0</v>
      </c>
      <c r="G121" s="155">
        <f>SUM('Pay App 1:Pay App 15'!H121)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16'!L121)+SUM('Pay App 1:Pay App 16'!M121)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Data'!$O$2:$BX$88,18,FALSE)</f>
        <v>0</v>
      </c>
      <c r="F122" s="155">
        <f>IFERROR(E122+'Pay App 15'!F122,"")</f>
        <v>0</v>
      </c>
      <c r="G122" s="155">
        <f>SUM('Pay App 1:Pay App 15'!H122)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16'!L122)+SUM('Pay App 1:Pay App 16'!M122)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Data'!$O$2:$BX$88,18,FALSE)</f>
        <v>0</v>
      </c>
      <c r="F123" s="155">
        <f>IFERROR(E123+'Pay App 15'!F123,"")</f>
        <v>0</v>
      </c>
      <c r="G123" s="155">
        <f>SUM('Pay App 1:Pay App 15'!H123)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16'!L123)+SUM('Pay App 1:Pay App 16'!M123)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Data'!$O$2:$BX$88,18,FALSE)</f>
        <v>0</v>
      </c>
      <c r="F124" s="155">
        <f>IFERROR(E124+'Pay App 15'!F124,"")</f>
        <v>0</v>
      </c>
      <c r="G124" s="155">
        <f>SUM('Pay App 1:Pay App 15'!H124)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16'!L124)+SUM('Pay App 1:Pay App 16'!M124)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Data'!$O$2:$BX$88,18,FALSE)</f>
        <v>0</v>
      </c>
      <c r="F125" s="155">
        <f>IFERROR(E125+'Pay App 15'!F125,"")</f>
        <v>0</v>
      </c>
      <c r="G125" s="155">
        <f>SUM('Pay App 1:Pay App 15'!H125)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16'!L125)+SUM('Pay App 1:Pay App 16'!M125)</f>
        <v>0</v>
      </c>
    </row>
    <row r="126" spans="1:14" ht="11.25" customHeight="1" x14ac:dyDescent="0.25">
      <c r="A126" s="152">
        <f t="shared" si="3"/>
        <v>65</v>
      </c>
      <c r="B126" s="188" t="str">
        <f>'Pay App 1'!B126</f>
        <v>14 20 00</v>
      </c>
      <c r="C126" s="194" t="str">
        <f>'Pay App 1'!C126</f>
        <v>Elevator</v>
      </c>
      <c r="D126" s="155">
        <f>'Pay App 1'!D126</f>
        <v>0</v>
      </c>
      <c r="E126" s="155">
        <f>VLOOKUP(B126,'Graph Data'!$O$2:$BX$88,18,FALSE)</f>
        <v>0</v>
      </c>
      <c r="F126" s="155">
        <f>IFERROR(E126+'Pay App 15'!F126,"")</f>
        <v>0</v>
      </c>
      <c r="G126" s="155">
        <f>SUM('Pay App 1:Pay App 15'!H126)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16'!L126)+SUM('Pay App 1:Pay App 16'!M126)</f>
        <v>0</v>
      </c>
    </row>
    <row r="127" spans="1:14" ht="11.25" customHeight="1" x14ac:dyDescent="0.25">
      <c r="A127" s="152">
        <f t="shared" si="3"/>
        <v>66</v>
      </c>
      <c r="B127" s="188" t="str">
        <f>'Pay App 1'!B127</f>
        <v>14 40 00</v>
      </c>
      <c r="C127" s="194" t="str">
        <f>'Pay App 1'!C127</f>
        <v>Lifts</v>
      </c>
      <c r="D127" s="155">
        <f>'Pay App 1'!D127</f>
        <v>0</v>
      </c>
      <c r="E127" s="155">
        <f>VLOOKUP(B127,'Graph Data'!$O$2:$BX$88,18,FALSE)</f>
        <v>0</v>
      </c>
      <c r="F127" s="155">
        <f>IFERROR(E127+'Pay App 15'!F127,"")</f>
        <v>0</v>
      </c>
      <c r="G127" s="155">
        <f>SUM('Pay App 1:Pay App 15'!H127)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16'!L127)+SUM('Pay App 1:Pay App 16'!M127)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Data'!$O$2:$BX$88,18,FALSE)</f>
        <v>0</v>
      </c>
      <c r="F128" s="155">
        <f>IFERROR(E128+'Pay App 15'!F128,"")</f>
        <v>0</v>
      </c>
      <c r="G128" s="155">
        <f>SUM('Pay App 1:Pay App 15'!H128)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16'!L128)+SUM('Pay App 1:Pay App 16'!M128)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Data'!$O$2:$BX$88,18,FALSE)</f>
        <v>0</v>
      </c>
      <c r="F129" s="155">
        <f>IFERROR(E129+'Pay App 15'!F129,"")</f>
        <v>0</v>
      </c>
      <c r="G129" s="155">
        <f>SUM('Pay App 1:Pay App 15'!H129)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16'!L129)+SUM('Pay App 1:Pay App 16'!M129)</f>
        <v>0</v>
      </c>
    </row>
    <row r="130" spans="1:14" ht="11.25" customHeight="1" x14ac:dyDescent="0.25">
      <c r="A130" s="152">
        <f t="shared" si="3"/>
        <v>69</v>
      </c>
      <c r="B130" s="185" t="str">
        <f>'Pay App 1'!B130</f>
        <v>22 00 00</v>
      </c>
      <c r="C130" s="191" t="str">
        <f>'Pay App 1'!C130</f>
        <v>Plumbing</v>
      </c>
      <c r="D130" s="155">
        <f>'Pay App 1'!D130</f>
        <v>0</v>
      </c>
      <c r="E130" s="155">
        <f>VLOOKUP(B130,'Graph Data'!$O$2:$BX$88,18,FALSE)</f>
        <v>0</v>
      </c>
      <c r="F130" s="155">
        <f>IFERROR(E130+'Pay App 15'!F130,"")</f>
        <v>0</v>
      </c>
      <c r="G130" s="155">
        <f>SUM('Pay App 1:Pay App 15'!H130)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16'!L130)+SUM('Pay App 1:Pay App 16'!M130)</f>
        <v>0</v>
      </c>
    </row>
    <row r="131" spans="1:14" ht="11.25" customHeight="1" x14ac:dyDescent="0.25">
      <c r="A131" s="152">
        <f t="shared" si="3"/>
        <v>70</v>
      </c>
      <c r="B131" s="186" t="str">
        <f>'Pay App 1'!B131</f>
        <v>23 00 00</v>
      </c>
      <c r="C131" s="192" t="str">
        <f>'Pay App 1'!C131</f>
        <v>HVAC</v>
      </c>
      <c r="D131" s="155">
        <f>'Pay App 1'!D131</f>
        <v>0</v>
      </c>
      <c r="E131" s="155">
        <f>VLOOKUP(B131,'Graph Data'!$O$2:$BX$88,18,FALSE)</f>
        <v>0</v>
      </c>
      <c r="F131" s="155">
        <f>IFERROR(E131+'Pay App 15'!F131,"")</f>
        <v>0</v>
      </c>
      <c r="G131" s="155">
        <f>SUM('Pay App 1:Pay App 15'!H131)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16'!L131)+SUM('Pay App 1:Pay App 16'!M131)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Data'!$O$2:$BX$88,18,FALSE)</f>
        <v>0</v>
      </c>
      <c r="F132" s="155">
        <f>IFERROR(E132+'Pay App 15'!F132,"")</f>
        <v>0</v>
      </c>
      <c r="G132" s="155">
        <f>SUM('Pay App 1:Pay App 15'!H132)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16'!L132)+SUM('Pay App 1:Pay App 16'!M132)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Data'!$O$2:$BX$88,18,FALSE)</f>
        <v>0</v>
      </c>
      <c r="F133" s="155">
        <f>IFERROR(E133+'Pay App 15'!F133,"")</f>
        <v>0</v>
      </c>
      <c r="G133" s="155">
        <f>SUM('Pay App 1:Pay App 15'!H133)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16'!L133)+SUM('Pay App 1:Pay App 16'!M133)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Data'!$O$2:$BX$88,18,FALSE)</f>
        <v>0</v>
      </c>
      <c r="F134" s="155">
        <f>IFERROR(E134+'Pay App 15'!F134,"")</f>
        <v>0</v>
      </c>
      <c r="G134" s="155">
        <f>SUM('Pay App 1:Pay App 15'!H134)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16'!L134)+SUM('Pay App 1:Pay App 16'!M134)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Data'!$O$2:$BX$88,18,FALSE)</f>
        <v>0</v>
      </c>
      <c r="F135" s="155">
        <f>IFERROR(E135+'Pay App 15'!F135,"")</f>
        <v>0</v>
      </c>
      <c r="G135" s="155">
        <f>SUM('Pay App 1:Pay App 15'!H135)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16'!L135)+SUM('Pay App 1:Pay App 16'!M135)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Data'!$O$2:$BX$88,18,FALSE)</f>
        <v>0</v>
      </c>
      <c r="F136" s="155">
        <f>IFERROR(E136+'Pay App 15'!F136,"")</f>
        <v>0</v>
      </c>
      <c r="G136" s="155">
        <f>SUM('Pay App 1:Pay App 15'!H136)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16'!L136)+SUM('Pay App 1:Pay App 16'!M136)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Data'!$O$2:$BX$88,18,FALSE)</f>
        <v>0</v>
      </c>
      <c r="F137" s="155">
        <f>IFERROR(E137+'Pay App 15'!F137,"")</f>
        <v>0</v>
      </c>
      <c r="G137" s="155">
        <f>SUM('Pay App 1:Pay App 15'!H137)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16'!L137)+SUM('Pay App 1:Pay App 16'!M137)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Data'!$O$2:$BX$88,18,FALSE)</f>
        <v>0</v>
      </c>
      <c r="F138" s="155">
        <f>IFERROR(E138+'Pay App 15'!F138,"")</f>
        <v>0</v>
      </c>
      <c r="G138" s="155">
        <f>SUM('Pay App 1:Pay App 15'!H138)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16'!L138)+SUM('Pay App 1:Pay App 16'!M138)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Data'!$O$2:$BX$88,18,FALSE)</f>
        <v>0</v>
      </c>
      <c r="F139" s="155">
        <f>IFERROR(E139+'Pay App 15'!F139,"")</f>
        <v>0</v>
      </c>
      <c r="G139" s="155">
        <f>SUM('Pay App 1:Pay App 15'!H139)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16'!L139)+SUM('Pay App 1:Pay App 16'!M139)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Data'!$O$2:$BX$88,18,FALSE)</f>
        <v>0</v>
      </c>
      <c r="F140" s="155">
        <f>IFERROR(E140+'Pay App 15'!F140,"")</f>
        <v>0</v>
      </c>
      <c r="G140" s="155">
        <f>SUM('Pay App 1:Pay App 15'!H140)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16'!L140)+SUM('Pay App 1:Pay App 16'!M140)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Data'!$O$2:$BX$88,18,FALSE)</f>
        <v>0</v>
      </c>
      <c r="F141" s="155">
        <f>IFERROR(E141+'Pay App 15'!F141,"")</f>
        <v>0</v>
      </c>
      <c r="G141" s="155">
        <f>SUM('Pay App 1:Pay App 15'!H141)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16'!L141)+SUM('Pay App 1:Pay App 16'!M141)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Data'!$O$2:$BX$88,18,FALSE)</f>
        <v>0</v>
      </c>
      <c r="F142" s="155">
        <f>IFERROR(E142+'Pay App 15'!F142,"")</f>
        <v>0</v>
      </c>
      <c r="G142" s="155">
        <f>SUM('Pay App 1:Pay App 15'!H142)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16'!L142)+SUM('Pay App 1:Pay App 16'!M142)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Data'!$O$2:$BX$88,18,FALSE)</f>
        <v>0</v>
      </c>
      <c r="F143" s="155">
        <f>IFERROR(E143+'Pay App 15'!F143,"")</f>
        <v>0</v>
      </c>
      <c r="G143" s="155">
        <f>SUM('Pay App 1:Pay App 15'!H143)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16'!L143)+SUM('Pay App 1:Pay App 16'!M143)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Data'!$O$2:$BX$88,18,FALSE)</f>
        <v>0</v>
      </c>
      <c r="F144" s="155">
        <f>IFERROR(E144+'Pay App 15'!F144,"")</f>
        <v>0</v>
      </c>
      <c r="G144" s="155">
        <f>SUM('Pay App 1:Pay App 15'!H144)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16'!L144)+SUM('Pay App 1:Pay App 16'!M144)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Data'!$O$2:$BX$88,18,FALSE)</f>
        <v>0</v>
      </c>
      <c r="F145" s="155">
        <f>IFERROR(E145+'Pay App 15'!F145,"")</f>
        <v>0</v>
      </c>
      <c r="G145" s="155">
        <f>SUM('Pay App 1:Pay App 15'!H145)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16'!L145)+SUM('Pay App 1:Pay App 16'!M145)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Data'!$O$2:$BX$88,18,FALSE)</f>
        <v>0</v>
      </c>
      <c r="F146" s="155">
        <f>IFERROR(E146+'Pay App 15'!F146,"")</f>
        <v>0</v>
      </c>
      <c r="G146" s="155">
        <f>SUM('Pay App 1:Pay App 15'!H146)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16'!L146)+SUM('Pay App 1:Pay App 16'!M146)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Data'!$O$2:$BX$88,18,FALSE)</f>
        <v>0</v>
      </c>
      <c r="F147" s="155">
        <f>IFERROR(E147+'Pay App 15'!F147,"")</f>
        <v>0</v>
      </c>
      <c r="G147" s="155">
        <f>SUM('Pay App 1:Pay App 15'!H147)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16'!L147)+SUM('Pay App 1:Pay App 16'!M147)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Data'!$O$2:$BX$88,18,FALSE)</f>
        <v>0</v>
      </c>
      <c r="F148" s="155">
        <f>IFERROR(E148+'Pay App 15'!F148,"")</f>
        <v>0</v>
      </c>
      <c r="G148" s="155">
        <f>SUM('Pay App 1:Pay App 15'!H148)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16'!L148)+SUM('Pay App 1:Pay App 16'!M148)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jeXhel/Eyy8pZzKBGCHPPjKswbYrnJWQXHtylYOHgdy70Iv/nRqNyarp2Ie47lWGfYgIgKALu5K3TBXSVTSGxA==" saltValue="yPGNXAHs5D8YlrY/vqby7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94" priority="2" operator="equal">
      <formula>0</formula>
    </cfRule>
  </conditionalFormatting>
  <conditionalFormatting sqref="D106:G148">
    <cfRule type="cellIs" dxfId="493" priority="1" operator="equal">
      <formula>0</formula>
    </cfRule>
  </conditionalFormatting>
  <conditionalFormatting sqref="D10:H10 D12:H14 D19:H21">
    <cfRule type="cellIs" dxfId="492" priority="6" operator="equal">
      <formula>0</formula>
    </cfRule>
  </conditionalFormatting>
  <conditionalFormatting sqref="H51">
    <cfRule type="cellIs" dxfId="491" priority="9" operator="lessThan">
      <formula>0</formula>
    </cfRule>
  </conditionalFormatting>
  <conditionalFormatting sqref="I57:I100 K57:K100 I106:I148 K106:K148 N106:N148">
    <cfRule type="cellIs" dxfId="490" priority="14" operator="equal">
      <formula>0</formula>
    </cfRule>
  </conditionalFormatting>
  <conditionalFormatting sqref="J57:J100 J106:J149">
    <cfRule type="cellIs" dxfId="489" priority="11" operator="greaterThan">
      <formula>1</formula>
    </cfRule>
    <cfRule type="cellIs" dxfId="488" priority="12" operator="equal">
      <formula>0</formula>
    </cfRule>
  </conditionalFormatting>
  <conditionalFormatting sqref="K57:K100 K106:K148">
    <cfRule type="cellIs" dxfId="487" priority="10" operator="lessThan">
      <formula>0</formula>
    </cfRule>
  </conditionalFormatting>
  <conditionalFormatting sqref="M57:M100">
    <cfRule type="cellIs" dxfId="486" priority="13" operator="lessThan">
      <formula>0</formula>
    </cfRule>
  </conditionalFormatting>
  <conditionalFormatting sqref="M106:M148">
    <cfRule type="cellIs" dxfId="485" priority="8" operator="lessThan">
      <formula>0</formula>
    </cfRule>
  </conditionalFormatting>
  <conditionalFormatting sqref="N57:N100">
    <cfRule type="cellIs" dxfId="48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F1F5A58-F53E-4C82-9F04-8DBF2831BC5B}">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7AC1-4CD0-45FB-8127-901ECF1DC121}">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75"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936</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17.100000000000001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Data'!$O$2:$BX$88,19,FALSE)</f>
        <v>0</v>
      </c>
      <c r="F57" s="155">
        <f>IFERROR(E57+'Pay App 16'!F57,"")</f>
        <v>0</v>
      </c>
      <c r="G57" s="155">
        <f>SUM('Pay App 1:Pay App 16'!H57)</f>
        <v>0</v>
      </c>
      <c r="H57" s="154"/>
      <c r="I57" s="155">
        <f>G57+H57</f>
        <v>0</v>
      </c>
      <c r="J57" s="156">
        <f>IFERROR(I57/F57,0)</f>
        <v>0</v>
      </c>
      <c r="K57" s="155">
        <f>IFERROR(F57-I57,"")</f>
        <v>0</v>
      </c>
      <c r="L57" s="155" t="str">
        <f>IF(AND('Summary Sheet'!$E$23="No",$H$33&gt;0,H57&gt;=1),"",IF(AND('Summary Sheet'!$E$23="Yes",H57&lt;&gt;""),H57*'Summary Sheet'!$G$23,""))</f>
        <v/>
      </c>
      <c r="M57" s="154"/>
      <c r="N57" s="155">
        <f>SUM('Pay App 1:Pay App 17'!L57)+SUM('Pay App 1:Pay App 17'!M57)</f>
        <v>0</v>
      </c>
    </row>
    <row r="58" spans="1:16" ht="11.25" customHeight="1" x14ac:dyDescent="0.25">
      <c r="A58" s="152">
        <v>2</v>
      </c>
      <c r="B58" s="145" t="str">
        <f>'Pay App 1'!B58</f>
        <v>00 02 00</v>
      </c>
      <c r="C58" s="134" t="str">
        <f>'Pay App 1'!C58</f>
        <v>Preconstruction Services</v>
      </c>
      <c r="D58" s="155">
        <f>'Pay App 1'!D58</f>
        <v>0</v>
      </c>
      <c r="E58" s="155">
        <f>VLOOKUP(B58,'Graph Data'!$O$2:$BX$88,19,FALSE)</f>
        <v>0</v>
      </c>
      <c r="F58" s="155">
        <f>IFERROR(E58+'Pay App 16'!F58,"")</f>
        <v>0</v>
      </c>
      <c r="G58" s="155">
        <f>SUM('Pay App 1:Pay App 16'!H58)</f>
        <v>0</v>
      </c>
      <c r="H58" s="154"/>
      <c r="I58" s="155">
        <f>G58+H58</f>
        <v>0</v>
      </c>
      <c r="J58" s="156">
        <f>IFERROR(I58/F58,0)</f>
        <v>0</v>
      </c>
      <c r="K58" s="155">
        <f>IFERROR(F58-I58,"")</f>
        <v>0</v>
      </c>
      <c r="L58" s="155" t="str">
        <f>IF(AND('Summary Sheet'!$E$23="No",$H$33&gt;0,H58&gt;=1),"",IF(AND('Summary Sheet'!$E$23="Yes",H58&lt;&gt;""),H58*'Summary Sheet'!$G$23,""))</f>
        <v/>
      </c>
      <c r="M58" s="154"/>
      <c r="N58" s="155">
        <f>SUM('Pay App 1:Pay App 17'!L58)+SUM('Pay App 1:Pay App 17'!M58)</f>
        <v>0</v>
      </c>
    </row>
    <row r="59" spans="1:16" ht="11.25" customHeight="1" x14ac:dyDescent="0.25">
      <c r="A59" s="152">
        <v>3</v>
      </c>
      <c r="B59" s="174" t="str">
        <f>'Pay App 1'!B59</f>
        <v>01 00 00</v>
      </c>
      <c r="C59" s="179" t="str">
        <f>'Pay App 1'!C59</f>
        <v>General Conditions/Requirements</v>
      </c>
      <c r="D59" s="155">
        <f>'Pay App 1'!D59</f>
        <v>0</v>
      </c>
      <c r="E59" s="155">
        <f>VLOOKUP(B59,'Graph Data'!$O$2:$BX$88,19,FALSE)</f>
        <v>0</v>
      </c>
      <c r="F59" s="155">
        <f>IFERROR(E59+'Pay App 16'!F59,"")</f>
        <v>0</v>
      </c>
      <c r="G59" s="155">
        <f>SUM('Pay App 1:Pay App 16'!H59)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17'!L59)+SUM('Pay App 1:Pay App 17'!M59)</f>
        <v>0</v>
      </c>
    </row>
    <row r="60" spans="1:16" ht="11.25" customHeight="1" x14ac:dyDescent="0.25">
      <c r="A60" s="152">
        <v>4</v>
      </c>
      <c r="B60" s="174" t="str">
        <f>'Pay App 1'!B60</f>
        <v>01 13 41</v>
      </c>
      <c r="C60" s="179" t="str">
        <f>'Pay App 1'!C60</f>
        <v>Temp. Scaffolding and Platforms</v>
      </c>
      <c r="D60" s="155">
        <f>'Pay App 1'!D60</f>
        <v>0</v>
      </c>
      <c r="E60" s="155">
        <f>VLOOKUP(B60,'Graph Data'!$O$2:$BX$88,19,FALSE)</f>
        <v>0</v>
      </c>
      <c r="F60" s="155">
        <f>IFERROR(E60+'Pay App 16'!F60,"")</f>
        <v>0</v>
      </c>
      <c r="G60" s="155">
        <f>SUM('Pay App 1:Pay App 16'!H60)</f>
        <v>0</v>
      </c>
      <c r="H60" s="154"/>
      <c r="I60" s="155">
        <f t="shared" si="0"/>
        <v>0</v>
      </c>
      <c r="J60" s="156">
        <f t="shared" si="1"/>
        <v>0</v>
      </c>
      <c r="K60" s="155">
        <f t="shared" si="2"/>
        <v>0</v>
      </c>
      <c r="L60" s="155" t="str">
        <f>IF(AND('Summary Sheet'!$E$23="No",$H$33&gt;0,H60&gt;=1),"",IF(AND('Summary Sheet'!$E$23="Yes",H60&lt;&gt;""),H60*'Summary Sheet'!$G$23,""))</f>
        <v/>
      </c>
      <c r="M60" s="154"/>
      <c r="N60" s="155">
        <f>SUM('Pay App 1:Pay App 17'!L60)+SUM('Pay App 1:Pay App 17'!M60)</f>
        <v>0</v>
      </c>
    </row>
    <row r="61" spans="1:16" ht="11.25" customHeight="1" x14ac:dyDescent="0.25">
      <c r="A61" s="152">
        <v>5</v>
      </c>
      <c r="B61" s="174" t="str">
        <f>'Pay App 1'!B61</f>
        <v>01 13 60</v>
      </c>
      <c r="C61" s="179" t="str">
        <f>'Pay App 1'!C61</f>
        <v>SWPPP</v>
      </c>
      <c r="D61" s="155">
        <f>'Pay App 1'!D61</f>
        <v>0</v>
      </c>
      <c r="E61" s="155">
        <f>VLOOKUP(B61,'Graph Data'!$O$2:$BX$88,19,FALSE)</f>
        <v>0</v>
      </c>
      <c r="F61" s="155">
        <f>IFERROR(E61+'Pay App 16'!F61,"")</f>
        <v>0</v>
      </c>
      <c r="G61" s="155">
        <f>SUM('Pay App 1:Pay App 16'!H61)</f>
        <v>0</v>
      </c>
      <c r="H61" s="154"/>
      <c r="I61" s="155">
        <f t="shared" si="0"/>
        <v>0</v>
      </c>
      <c r="J61" s="156">
        <f t="shared" si="1"/>
        <v>0</v>
      </c>
      <c r="K61" s="155">
        <f t="shared" si="2"/>
        <v>0</v>
      </c>
      <c r="L61" s="155" t="str">
        <f>IF(AND('Summary Sheet'!$E$23="No",$H$33&gt;0,H61&gt;=1),"",IF(AND('Summary Sheet'!$E$23="Yes",H61&lt;&gt;""),H61*'Summary Sheet'!$G$23,""))</f>
        <v/>
      </c>
      <c r="M61" s="154"/>
      <c r="N61" s="155">
        <f>SUM('Pay App 1:Pay App 17'!L61)+SUM('Pay App 1:Pay App 17'!M61)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Data'!$O$2:$BX$88,19,FALSE)</f>
        <v>0</v>
      </c>
      <c r="F62" s="155">
        <f>IFERROR(E62+'Pay App 16'!F62,"")</f>
        <v>0</v>
      </c>
      <c r="G62" s="155">
        <f>SUM('Pay App 1:Pay App 16'!H62)</f>
        <v>0</v>
      </c>
      <c r="H62" s="154"/>
      <c r="I62" s="155">
        <f t="shared" si="0"/>
        <v>0</v>
      </c>
      <c r="J62" s="156">
        <f t="shared" si="1"/>
        <v>0</v>
      </c>
      <c r="K62" s="155">
        <f t="shared" si="2"/>
        <v>0</v>
      </c>
      <c r="L62" s="155" t="str">
        <f>IF(AND('Summary Sheet'!$E$23="No",$H$33&gt;0,H62&gt;=1),"",IF(AND('Summary Sheet'!$E$23="Yes",H62&lt;&gt;""),H62*'Summary Sheet'!$G$23,""))</f>
        <v/>
      </c>
      <c r="M62" s="154"/>
      <c r="N62" s="155">
        <f>SUM('Pay App 1:Pay App 17'!L62)+SUM('Pay App 1:Pay App 17'!M62)</f>
        <v>0</v>
      </c>
    </row>
    <row r="63" spans="1:16" ht="11.25" customHeight="1" x14ac:dyDescent="0.25">
      <c r="A63" s="152">
        <v>7</v>
      </c>
      <c r="B63" s="174" t="str">
        <f>'Pay App 1'!B63</f>
        <v>01 31 00</v>
      </c>
      <c r="C63" s="179" t="str">
        <f>'Pay App 1'!C63</f>
        <v>Contractor's Supervision</v>
      </c>
      <c r="D63" s="155">
        <f>'Pay App 1'!D63</f>
        <v>0</v>
      </c>
      <c r="E63" s="155">
        <f>VLOOKUP(B63,'Graph Data'!$O$2:$BX$88,19,FALSE)</f>
        <v>0</v>
      </c>
      <c r="F63" s="155">
        <f>IFERROR(E63+'Pay App 16'!F63,"")</f>
        <v>0</v>
      </c>
      <c r="G63" s="155">
        <f>SUM('Pay App 1:Pay App 16'!H63)</f>
        <v>0</v>
      </c>
      <c r="H63" s="154"/>
      <c r="I63" s="155">
        <f t="shared" si="0"/>
        <v>0</v>
      </c>
      <c r="J63" s="156">
        <f t="shared" si="1"/>
        <v>0</v>
      </c>
      <c r="K63" s="155">
        <f t="shared" si="2"/>
        <v>0</v>
      </c>
      <c r="L63" s="155" t="str">
        <f>IF(AND('Summary Sheet'!$E$23="No",$H$33&gt;0,H63&gt;=1),"",IF(AND('Summary Sheet'!$E$23="Yes",H63&lt;&gt;""),H63*'Summary Sheet'!$G$23,""))</f>
        <v/>
      </c>
      <c r="M63" s="154"/>
      <c r="N63" s="155">
        <f>SUM('Pay App 1:Pay App 17'!L63)+SUM('Pay App 1:Pay App 17'!M63)</f>
        <v>0</v>
      </c>
    </row>
    <row r="64" spans="1:16" ht="11.25" customHeight="1" x14ac:dyDescent="0.25">
      <c r="A64" s="152">
        <v>8</v>
      </c>
      <c r="B64" s="174" t="str">
        <f>'Pay App 1'!B64</f>
        <v>01 32 00</v>
      </c>
      <c r="C64" s="179" t="str">
        <f>'Pay App 1'!C64</f>
        <v>General Liability Insurance</v>
      </c>
      <c r="D64" s="155">
        <f>'Pay App 1'!D64</f>
        <v>0</v>
      </c>
      <c r="E64" s="155">
        <f>VLOOKUP(B64,'Graph Data'!$O$2:$BX$88,19,FALSE)</f>
        <v>0</v>
      </c>
      <c r="F64" s="155">
        <f>IFERROR(E64+'Pay App 16'!F64,"")</f>
        <v>0</v>
      </c>
      <c r="G64" s="155">
        <f>SUM('Pay App 1:Pay App 16'!H64)</f>
        <v>0</v>
      </c>
      <c r="H64" s="154"/>
      <c r="I64" s="155">
        <f t="shared" si="0"/>
        <v>0</v>
      </c>
      <c r="J64" s="156">
        <f t="shared" si="1"/>
        <v>0</v>
      </c>
      <c r="K64" s="155">
        <f t="shared" si="2"/>
        <v>0</v>
      </c>
      <c r="L64" s="155" t="str">
        <f>IF(AND('Summary Sheet'!$E$23="No",$H$33&gt;0,H64&gt;=1),"",IF(AND('Summary Sheet'!$E$23="Yes",H64&lt;&gt;""),H64*'Summary Sheet'!$G$23,""))</f>
        <v/>
      </c>
      <c r="M64" s="154"/>
      <c r="N64" s="155">
        <f>SUM('Pay App 1:Pay App 17'!L64)+SUM('Pay App 1:Pay App 17'!M64)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Data'!$O$2:$BX$88,19,FALSE)</f>
        <v>0</v>
      </c>
      <c r="F65" s="155">
        <f>IFERROR(E65+'Pay App 16'!F65,"")</f>
        <v>0</v>
      </c>
      <c r="G65" s="155">
        <f>SUM('Pay App 1:Pay App 16'!H65)</f>
        <v>0</v>
      </c>
      <c r="H65" s="154"/>
      <c r="I65" s="155">
        <f t="shared" si="0"/>
        <v>0</v>
      </c>
      <c r="J65" s="156">
        <f t="shared" si="1"/>
        <v>0</v>
      </c>
      <c r="K65" s="155">
        <f t="shared" si="2"/>
        <v>0</v>
      </c>
      <c r="L65" s="155" t="str">
        <f>IF(AND('Summary Sheet'!$E$23="No",$H$33&gt;0,H65&gt;=1),"",IF(AND('Summary Sheet'!$E$23="Yes",H65&lt;&gt;""),H65*'Summary Sheet'!$G$23,""))</f>
        <v/>
      </c>
      <c r="M65" s="154"/>
      <c r="N65" s="155">
        <f>SUM('Pay App 1:Pay App 17'!L65)+SUM('Pay App 1:Pay App 17'!M65)</f>
        <v>0</v>
      </c>
    </row>
    <row r="66" spans="1:17" ht="11.25" customHeight="1" x14ac:dyDescent="0.25">
      <c r="A66" s="152">
        <v>10</v>
      </c>
      <c r="B66" s="174" t="str">
        <f>'Pay App 1'!B66</f>
        <v>01 34 00</v>
      </c>
      <c r="C66" s="179" t="str">
        <f>'Pay App 1'!C66</f>
        <v>Subcontractor Default Insurance</v>
      </c>
      <c r="D66" s="155">
        <f>'Pay App 1'!D66</f>
        <v>0</v>
      </c>
      <c r="E66" s="155">
        <f>VLOOKUP(B66,'Graph Data'!$O$2:$BX$88,19,FALSE)</f>
        <v>0</v>
      </c>
      <c r="F66" s="155">
        <f>IFERROR(E66+'Pay App 16'!F66,"")</f>
        <v>0</v>
      </c>
      <c r="G66" s="155">
        <f>SUM('Pay App 1:Pay App 16'!H66)</f>
        <v>0</v>
      </c>
      <c r="H66" s="154"/>
      <c r="I66" s="155">
        <f t="shared" si="0"/>
        <v>0</v>
      </c>
      <c r="J66" s="156">
        <f t="shared" si="1"/>
        <v>0</v>
      </c>
      <c r="K66" s="155">
        <f t="shared" si="2"/>
        <v>0</v>
      </c>
      <c r="L66" s="155" t="str">
        <f>IF(AND('Summary Sheet'!$E$23="No",$H$33&gt;0,H66&gt;=1),"",IF(AND('Summary Sheet'!$E$23="Yes",H66&lt;&gt;""),H66*'Summary Sheet'!$G$23,""))</f>
        <v/>
      </c>
      <c r="M66" s="154"/>
      <c r="N66" s="155">
        <f>SUM('Pay App 1:Pay App 17'!L66)+SUM('Pay App 1:Pay App 17'!M66)</f>
        <v>0</v>
      </c>
    </row>
    <row r="67" spans="1:17" ht="11.25" customHeight="1" x14ac:dyDescent="0.25">
      <c r="A67" s="152">
        <v>11</v>
      </c>
      <c r="B67" s="174" t="str">
        <f>'Pay App 1'!B67</f>
        <v>01 35 00</v>
      </c>
      <c r="C67" s="179" t="str">
        <f>'Pay App 1'!C67</f>
        <v>Construction Management Fee</v>
      </c>
      <c r="D67" s="155">
        <f>'Pay App 1'!D67</f>
        <v>0</v>
      </c>
      <c r="E67" s="155">
        <f>VLOOKUP(B67,'Graph Data'!$O$2:$BX$88,19,FALSE)</f>
        <v>0</v>
      </c>
      <c r="F67" s="155">
        <f>IFERROR(E67+'Pay App 16'!F67,"")</f>
        <v>0</v>
      </c>
      <c r="G67" s="155">
        <f>SUM('Pay App 1:Pay App 16'!H67)</f>
        <v>0</v>
      </c>
      <c r="H67" s="154"/>
      <c r="I67" s="155">
        <f t="shared" si="0"/>
        <v>0</v>
      </c>
      <c r="J67" s="156">
        <f t="shared" si="1"/>
        <v>0</v>
      </c>
      <c r="K67" s="155">
        <f t="shared" si="2"/>
        <v>0</v>
      </c>
      <c r="L67" s="155" t="str">
        <f>IF(AND('Summary Sheet'!$E$23="No",$H$33&gt;0,H67&gt;=1),"",IF(AND('Summary Sheet'!$E$23="Yes",H67&lt;&gt;""),H67*'Summary Sheet'!$G$23,""))</f>
        <v/>
      </c>
      <c r="M67" s="154"/>
      <c r="N67" s="155">
        <f>SUM('Pay App 1:Pay App 17'!L67)+SUM('Pay App 1:Pay App 17'!M67)</f>
        <v>0</v>
      </c>
    </row>
    <row r="68" spans="1:17" ht="11.25" customHeight="1" x14ac:dyDescent="0.25">
      <c r="A68" s="152">
        <v>12</v>
      </c>
      <c r="B68" s="174" t="str">
        <f>'Pay App 1'!B68</f>
        <v>01 36 00</v>
      </c>
      <c r="C68" s="179" t="str">
        <f>'Pay App 1'!C68</f>
        <v>Contingency</v>
      </c>
      <c r="D68" s="155">
        <f>'Pay App 1'!D68</f>
        <v>0</v>
      </c>
      <c r="E68" s="155">
        <f>VLOOKUP(B68,'Graph Data'!$O$2:$BX$88,19,FALSE)</f>
        <v>0</v>
      </c>
      <c r="F68" s="155">
        <f>IFERROR(E68+'Pay App 16'!F68,"")</f>
        <v>0</v>
      </c>
      <c r="G68" s="155">
        <f>SUM('Pay App 1:Pay App 16'!H68)</f>
        <v>0</v>
      </c>
      <c r="H68" s="154"/>
      <c r="I68" s="155">
        <f t="shared" si="0"/>
        <v>0</v>
      </c>
      <c r="J68" s="156">
        <f t="shared" si="1"/>
        <v>0</v>
      </c>
      <c r="K68" s="155">
        <f t="shared" si="2"/>
        <v>0</v>
      </c>
      <c r="L68" s="155" t="str">
        <f>IF(AND('Summary Sheet'!$E$23="No",$H$33&gt;0,H68&gt;=1),"",IF(AND('Summary Sheet'!$E$23="Yes",H68&lt;&gt;""),H68*'Summary Sheet'!$G$23,""))</f>
        <v/>
      </c>
      <c r="M68" s="154"/>
      <c r="N68" s="155">
        <f>SUM('Pay App 1:Pay App 17'!L68)+SUM('Pay App 1:Pay App 17'!M68)</f>
        <v>0</v>
      </c>
    </row>
    <row r="69" spans="1:17" ht="11.25" customHeight="1" x14ac:dyDescent="0.25">
      <c r="A69" s="152">
        <v>13</v>
      </c>
      <c r="B69" s="174" t="str">
        <f>'Pay App 1'!B69</f>
        <v>01 37 00</v>
      </c>
      <c r="C69" s="179" t="str">
        <f>'Pay App 1'!C69</f>
        <v>Weather Allowance (All Trades)</v>
      </c>
      <c r="D69" s="155">
        <f>'Pay App 1'!D69</f>
        <v>0</v>
      </c>
      <c r="E69" s="155">
        <f>VLOOKUP(B69,'Graph Data'!$O$2:$BX$88,19,FALSE)</f>
        <v>0</v>
      </c>
      <c r="F69" s="155">
        <f>IFERROR(E69+'Pay App 16'!F69,"")</f>
        <v>0</v>
      </c>
      <c r="G69" s="155">
        <f>SUM('Pay App 1:Pay App 16'!H69)</f>
        <v>0</v>
      </c>
      <c r="H69" s="154"/>
      <c r="I69" s="155">
        <f t="shared" si="0"/>
        <v>0</v>
      </c>
      <c r="J69" s="156">
        <f t="shared" si="1"/>
        <v>0</v>
      </c>
      <c r="K69" s="155">
        <f t="shared" si="2"/>
        <v>0</v>
      </c>
      <c r="L69" s="155" t="str">
        <f>IF(AND('Summary Sheet'!$E$23="No",$H$33&gt;0,H69&gt;=1),"",IF(AND('Summary Sheet'!$E$23="Yes",H69&lt;&gt;""),H69*'Summary Sheet'!$G$23,""))</f>
        <v/>
      </c>
      <c r="M69" s="154"/>
      <c r="N69" s="155">
        <f>SUM('Pay App 1:Pay App 17'!L69)+SUM('Pay App 1:Pay App 17'!M69)</f>
        <v>0</v>
      </c>
    </row>
    <row r="70" spans="1:17" ht="11.25" customHeight="1" x14ac:dyDescent="0.25">
      <c r="A70" s="152">
        <v>14</v>
      </c>
      <c r="B70" s="174" t="str">
        <f>'Pay App 1'!B70</f>
        <v>01 74 23</v>
      </c>
      <c r="C70" s="179" t="str">
        <f>'Pay App 1'!C70</f>
        <v>Cleaning (Final)</v>
      </c>
      <c r="D70" s="155">
        <f>'Pay App 1'!D70</f>
        <v>0</v>
      </c>
      <c r="E70" s="155">
        <f>VLOOKUP(B70,'Graph Data'!$O$2:$BX$88,19,FALSE)</f>
        <v>0</v>
      </c>
      <c r="F70" s="155">
        <f>IFERROR(E70+'Pay App 16'!F70,"")</f>
        <v>0</v>
      </c>
      <c r="G70" s="155">
        <f>SUM('Pay App 1:Pay App 16'!H70)</f>
        <v>0</v>
      </c>
      <c r="H70" s="154"/>
      <c r="I70" s="155">
        <f t="shared" si="0"/>
        <v>0</v>
      </c>
      <c r="J70" s="156">
        <f t="shared" si="1"/>
        <v>0</v>
      </c>
      <c r="K70" s="155">
        <f t="shared" si="2"/>
        <v>0</v>
      </c>
      <c r="L70" s="155" t="str">
        <f>IF(AND('Summary Sheet'!$E$23="No",$H$33&gt;0,H70&gt;=1),"",IF(AND('Summary Sheet'!$E$23="Yes",H70&lt;&gt;""),H70*'Summary Sheet'!$G$23,""))</f>
        <v/>
      </c>
      <c r="M70" s="154"/>
      <c r="N70" s="155">
        <f>SUM('Pay App 1:Pay App 17'!L70)+SUM('Pay App 1:Pay App 17'!M70)</f>
        <v>0</v>
      </c>
    </row>
    <row r="71" spans="1:17" ht="11.25" customHeight="1" x14ac:dyDescent="0.25">
      <c r="A71" s="152">
        <v>15</v>
      </c>
      <c r="B71" s="175" t="str">
        <f>'Pay App 1'!B71</f>
        <v>02 21 00</v>
      </c>
      <c r="C71" s="180" t="str">
        <f>'Pay App 1'!C71</f>
        <v>Survey/Engineering</v>
      </c>
      <c r="D71" s="155">
        <f>'Pay App 1'!D71</f>
        <v>0</v>
      </c>
      <c r="E71" s="155">
        <f>VLOOKUP(B71,'Graph Data'!$O$2:$BX$88,19,FALSE)</f>
        <v>0</v>
      </c>
      <c r="F71" s="155">
        <f>IFERROR(E71+'Pay App 16'!F71,"")</f>
        <v>0</v>
      </c>
      <c r="G71" s="155">
        <f>SUM('Pay App 1:Pay App 16'!H71)</f>
        <v>0</v>
      </c>
      <c r="H71" s="154"/>
      <c r="I71" s="155">
        <f t="shared" si="0"/>
        <v>0</v>
      </c>
      <c r="J71" s="156">
        <f t="shared" si="1"/>
        <v>0</v>
      </c>
      <c r="K71" s="155">
        <f t="shared" si="2"/>
        <v>0</v>
      </c>
      <c r="L71" s="155" t="str">
        <f>IF(AND('Summary Sheet'!$E$23="No",$H$33&gt;0,H71&gt;=1),"",IF(AND('Summary Sheet'!$E$23="Yes",H71&lt;&gt;""),H71*'Summary Sheet'!$G$23,""))</f>
        <v/>
      </c>
      <c r="M71" s="154"/>
      <c r="N71" s="155">
        <f>SUM('Pay App 1:Pay App 17'!L71)+SUM('Pay App 1:Pay App 17'!M71)</f>
        <v>0</v>
      </c>
      <c r="Q71" s="28"/>
    </row>
    <row r="72" spans="1:17" ht="11.25" customHeight="1" x14ac:dyDescent="0.25">
      <c r="A72" s="152">
        <v>16</v>
      </c>
      <c r="B72" s="175" t="str">
        <f>'Pay App 1'!B72</f>
        <v>02 41 00</v>
      </c>
      <c r="C72" s="180" t="str">
        <f>'Pay App 1'!C72</f>
        <v>Demolition</v>
      </c>
      <c r="D72" s="155">
        <f>'Pay App 1'!D72</f>
        <v>0</v>
      </c>
      <c r="E72" s="155">
        <f>VLOOKUP(B72,'Graph Data'!$O$2:$BX$88,19,FALSE)</f>
        <v>0</v>
      </c>
      <c r="F72" s="155">
        <f>IFERROR(E72+'Pay App 16'!F72,"")</f>
        <v>0</v>
      </c>
      <c r="G72" s="155">
        <f>SUM('Pay App 1:Pay App 16'!H72)</f>
        <v>0</v>
      </c>
      <c r="H72" s="154"/>
      <c r="I72" s="155">
        <f t="shared" si="0"/>
        <v>0</v>
      </c>
      <c r="J72" s="156">
        <f t="shared" si="1"/>
        <v>0</v>
      </c>
      <c r="K72" s="155">
        <f t="shared" si="2"/>
        <v>0</v>
      </c>
      <c r="L72" s="155" t="str">
        <f>IF(AND('Summary Sheet'!$E$23="No",$H$33&gt;0,H72&gt;=1),"",IF(AND('Summary Sheet'!$E$23="Yes",H72&lt;&gt;""),H72*'Summary Sheet'!$G$23,""))</f>
        <v/>
      </c>
      <c r="M72" s="154"/>
      <c r="N72" s="155">
        <f>SUM('Pay App 1:Pay App 17'!L72)+SUM('Pay App 1:Pay App 17'!M72)</f>
        <v>0</v>
      </c>
      <c r="Q72" s="28"/>
    </row>
    <row r="73" spans="1:17" ht="11.25" customHeight="1" x14ac:dyDescent="0.25">
      <c r="A73" s="152">
        <v>17</v>
      </c>
      <c r="B73" s="175" t="str">
        <f>'Pay App 1'!B73</f>
        <v>02 82 00</v>
      </c>
      <c r="C73" s="180" t="str">
        <f>'Pay App 1'!C73</f>
        <v>Asbestos Abatement</v>
      </c>
      <c r="D73" s="155">
        <f>'Pay App 1'!D73</f>
        <v>0</v>
      </c>
      <c r="E73" s="155">
        <f>VLOOKUP(B73,'Graph Data'!$O$2:$BX$88,19,FALSE)</f>
        <v>0</v>
      </c>
      <c r="F73" s="155">
        <f>IFERROR(E73+'Pay App 16'!F73,"")</f>
        <v>0</v>
      </c>
      <c r="G73" s="155">
        <f>SUM('Pay App 1:Pay App 16'!H73)</f>
        <v>0</v>
      </c>
      <c r="H73" s="154"/>
      <c r="I73" s="155">
        <f t="shared" si="0"/>
        <v>0</v>
      </c>
      <c r="J73" s="156">
        <f t="shared" si="1"/>
        <v>0</v>
      </c>
      <c r="K73" s="155">
        <f t="shared" si="2"/>
        <v>0</v>
      </c>
      <c r="L73" s="155" t="str">
        <f>IF(AND('Summary Sheet'!$E$23="No",$H$33&gt;0,H73&gt;=1),"",IF(AND('Summary Sheet'!$E$23="Yes",H73&lt;&gt;""),H73*'Summary Sheet'!$G$23,""))</f>
        <v/>
      </c>
      <c r="M73" s="154"/>
      <c r="N73" s="155">
        <f>SUM('Pay App 1:Pay App 17'!L73)+SUM('Pay App 1:Pay App 17'!M73)</f>
        <v>0</v>
      </c>
    </row>
    <row r="74" spans="1:17" ht="11.25" customHeight="1" x14ac:dyDescent="0.25">
      <c r="A74" s="152">
        <v>18</v>
      </c>
      <c r="B74" s="176" t="str">
        <f>'Pay App 1'!B74</f>
        <v>03 00 00</v>
      </c>
      <c r="C74" s="181" t="str">
        <f>'Pay App 1'!C74</f>
        <v>Building Concrete</v>
      </c>
      <c r="D74" s="155">
        <f>'Pay App 1'!D74</f>
        <v>0</v>
      </c>
      <c r="E74" s="155">
        <f>VLOOKUP(B74,'Graph Data'!$O$2:$BX$88,19,FALSE)</f>
        <v>0</v>
      </c>
      <c r="F74" s="155">
        <f>IFERROR(E74+'Pay App 16'!F74,"")</f>
        <v>0</v>
      </c>
      <c r="G74" s="155">
        <f>SUM('Pay App 1:Pay App 16'!H74)</f>
        <v>0</v>
      </c>
      <c r="H74" s="154"/>
      <c r="I74" s="155">
        <f t="shared" si="0"/>
        <v>0</v>
      </c>
      <c r="J74" s="156">
        <f t="shared" si="1"/>
        <v>0</v>
      </c>
      <c r="K74" s="155">
        <f t="shared" si="2"/>
        <v>0</v>
      </c>
      <c r="L74" s="155" t="str">
        <f>IF(AND('Summary Sheet'!$E$23="No",$H$33&gt;0,H74&gt;=1),"",IF(AND('Summary Sheet'!$E$23="Yes",H74&lt;&gt;""),H74*'Summary Sheet'!$G$23,""))</f>
        <v/>
      </c>
      <c r="M74" s="154"/>
      <c r="N74" s="155">
        <f>SUM('Pay App 1:Pay App 17'!L74)+SUM('Pay App 1:Pay App 17'!M74)</f>
        <v>0</v>
      </c>
    </row>
    <row r="75" spans="1:17" ht="11.25" customHeight="1" x14ac:dyDescent="0.25">
      <c r="A75" s="152">
        <v>19</v>
      </c>
      <c r="B75" s="176" t="str">
        <f>'Pay App 1'!B75</f>
        <v>03 20 00</v>
      </c>
      <c r="C75" s="181" t="str">
        <f>'Pay App 1'!C75</f>
        <v>Building Concrete Reinforcing</v>
      </c>
      <c r="D75" s="155">
        <f>'Pay App 1'!D75</f>
        <v>0</v>
      </c>
      <c r="E75" s="155">
        <f>VLOOKUP(B75,'Graph Data'!$O$2:$BX$88,19,FALSE)</f>
        <v>0</v>
      </c>
      <c r="F75" s="155">
        <f>IFERROR(E75+'Pay App 16'!F75,"")</f>
        <v>0</v>
      </c>
      <c r="G75" s="155">
        <f>SUM('Pay App 1:Pay App 16'!H75)</f>
        <v>0</v>
      </c>
      <c r="H75" s="154"/>
      <c r="I75" s="155">
        <f t="shared" si="0"/>
        <v>0</v>
      </c>
      <c r="J75" s="156">
        <f t="shared" si="1"/>
        <v>0</v>
      </c>
      <c r="K75" s="155">
        <f t="shared" si="2"/>
        <v>0</v>
      </c>
      <c r="L75" s="155" t="str">
        <f>IF(AND('Summary Sheet'!$E$23="No",$H$33&gt;0,H75&gt;=1),"",IF(AND('Summary Sheet'!$E$23="Yes",H75&lt;&gt;""),H75*'Summary Sheet'!$G$23,""))</f>
        <v/>
      </c>
      <c r="M75" s="154"/>
      <c r="N75" s="155">
        <f>SUM('Pay App 1:Pay App 17'!L75)+SUM('Pay App 1:Pay App 17'!M75)</f>
        <v>0</v>
      </c>
    </row>
    <row r="76" spans="1:17" ht="11.25" customHeight="1" x14ac:dyDescent="0.25">
      <c r="A76" s="152">
        <v>20</v>
      </c>
      <c r="B76" s="176" t="str">
        <f>'Pay App 1'!B76</f>
        <v>03 40 00</v>
      </c>
      <c r="C76" s="181" t="str">
        <f>'Pay App 1'!C76</f>
        <v>Precast</v>
      </c>
      <c r="D76" s="155">
        <f>'Pay App 1'!D76</f>
        <v>0</v>
      </c>
      <c r="E76" s="155">
        <f>VLOOKUP(B76,'Graph Data'!$O$2:$BX$88,19,FALSE)</f>
        <v>0</v>
      </c>
      <c r="F76" s="155">
        <f>IFERROR(E76+'Pay App 16'!F76,"")</f>
        <v>0</v>
      </c>
      <c r="G76" s="155">
        <f>SUM('Pay App 1:Pay App 16'!H76)</f>
        <v>0</v>
      </c>
      <c r="H76" s="154"/>
      <c r="I76" s="155">
        <f t="shared" si="0"/>
        <v>0</v>
      </c>
      <c r="J76" s="156">
        <f t="shared" si="1"/>
        <v>0</v>
      </c>
      <c r="K76" s="155">
        <f t="shared" si="2"/>
        <v>0</v>
      </c>
      <c r="L76" s="155" t="str">
        <f>IF(AND('Summary Sheet'!$E$23="No",$H$33&gt;0,H76&gt;=1),"",IF(AND('Summary Sheet'!$E$23="Yes",H76&lt;&gt;""),H76*'Summary Sheet'!$G$23,""))</f>
        <v/>
      </c>
      <c r="M76" s="154"/>
      <c r="N76" s="155">
        <f>SUM('Pay App 1:Pay App 17'!L76)+SUM('Pay App 1:Pay App 17'!M76)</f>
        <v>0</v>
      </c>
    </row>
    <row r="77" spans="1:17" ht="11.25" customHeight="1" x14ac:dyDescent="0.25">
      <c r="A77" s="152">
        <v>21</v>
      </c>
      <c r="B77" s="177" t="str">
        <f>'Pay App 1'!B77</f>
        <v>04 00 00</v>
      </c>
      <c r="C77" s="182" t="str">
        <f>'Pay App 1'!C77</f>
        <v>Masonry</v>
      </c>
      <c r="D77" s="155">
        <f>'Pay App 1'!D77</f>
        <v>0</v>
      </c>
      <c r="E77" s="155">
        <f>VLOOKUP(B77,'Graph Data'!$O$2:$BX$88,19,FALSE)</f>
        <v>0</v>
      </c>
      <c r="F77" s="155">
        <f>IFERROR(E77+'Pay App 16'!F77,"")</f>
        <v>0</v>
      </c>
      <c r="G77" s="155">
        <f>SUM('Pay App 1:Pay App 16'!H77)</f>
        <v>0</v>
      </c>
      <c r="H77" s="154"/>
      <c r="I77" s="155">
        <f t="shared" si="0"/>
        <v>0</v>
      </c>
      <c r="J77" s="156">
        <f t="shared" si="1"/>
        <v>0</v>
      </c>
      <c r="K77" s="155">
        <f t="shared" si="2"/>
        <v>0</v>
      </c>
      <c r="L77" s="155" t="str">
        <f>IF(AND('Summary Sheet'!$E$23="No",$H$33&gt;0,H77&gt;=1),"",IF(AND('Summary Sheet'!$E$23="Yes",H77&lt;&gt;""),H77*'Summary Sheet'!$G$23,""))</f>
        <v/>
      </c>
      <c r="M77" s="154"/>
      <c r="N77" s="155">
        <f>SUM('Pay App 1:Pay App 17'!L77)+SUM('Pay App 1:Pay App 17'!M77)</f>
        <v>0</v>
      </c>
    </row>
    <row r="78" spans="1:17" ht="11.25" customHeight="1" x14ac:dyDescent="0.25">
      <c r="A78" s="152">
        <v>22</v>
      </c>
      <c r="B78" s="177" t="str">
        <f>'Pay App 1'!B78</f>
        <v>04 05 19</v>
      </c>
      <c r="C78" s="182" t="str">
        <f>'Pay App 1'!C78</f>
        <v>Masonry Reinforcing</v>
      </c>
      <c r="D78" s="155">
        <f>'Pay App 1'!D78</f>
        <v>0</v>
      </c>
      <c r="E78" s="155">
        <f>VLOOKUP(B78,'Graph Data'!$O$2:$BX$88,19,FALSE)</f>
        <v>0</v>
      </c>
      <c r="F78" s="155">
        <f>IFERROR(E78+'Pay App 16'!F78,"")</f>
        <v>0</v>
      </c>
      <c r="G78" s="155">
        <f>SUM('Pay App 1:Pay App 16'!H78)</f>
        <v>0</v>
      </c>
      <c r="H78" s="154"/>
      <c r="I78" s="155">
        <f t="shared" si="0"/>
        <v>0</v>
      </c>
      <c r="J78" s="156">
        <f t="shared" si="1"/>
        <v>0</v>
      </c>
      <c r="K78" s="155">
        <f t="shared" si="2"/>
        <v>0</v>
      </c>
      <c r="L78" s="155" t="str">
        <f>IF(AND('Summary Sheet'!$E$23="No",$H$33&gt;0,H78&gt;=1),"",IF(AND('Summary Sheet'!$E$23="Yes",H78&lt;&gt;""),H78*'Summary Sheet'!$G$23,""))</f>
        <v/>
      </c>
      <c r="M78" s="154"/>
      <c r="N78" s="155">
        <f>SUM('Pay App 1:Pay App 17'!L78)+SUM('Pay App 1:Pay App 17'!M78)</f>
        <v>0</v>
      </c>
    </row>
    <row r="79" spans="1:17" ht="11.25" customHeight="1" x14ac:dyDescent="0.25">
      <c r="A79" s="152">
        <v>23</v>
      </c>
      <c r="B79" s="178" t="str">
        <f>'Pay App 1'!B79</f>
        <v>05 10 00</v>
      </c>
      <c r="C79" s="183" t="str">
        <f>'Pay App 1'!C79</f>
        <v>Structural Steel/Misc. Steel Fab</v>
      </c>
      <c r="D79" s="155">
        <f>'Pay App 1'!D79</f>
        <v>0</v>
      </c>
      <c r="E79" s="155">
        <f>VLOOKUP(B79,'Graph Data'!$O$2:$BX$88,19,FALSE)</f>
        <v>0</v>
      </c>
      <c r="F79" s="155">
        <f>IFERROR(E79+'Pay App 16'!F79,"")</f>
        <v>0</v>
      </c>
      <c r="G79" s="155">
        <f>SUM('Pay App 1:Pay App 16'!H79)</f>
        <v>0</v>
      </c>
      <c r="H79" s="154"/>
      <c r="I79" s="155">
        <f t="shared" si="0"/>
        <v>0</v>
      </c>
      <c r="J79" s="156">
        <f t="shared" si="1"/>
        <v>0</v>
      </c>
      <c r="K79" s="155">
        <f t="shared" si="2"/>
        <v>0</v>
      </c>
      <c r="L79" s="155" t="str">
        <f>IF(AND('Summary Sheet'!$E$23="No",$H$33&gt;0,H79&gt;=1),"",IF(AND('Summary Sheet'!$E$23="Yes",H79&lt;&gt;""),H79*'Summary Sheet'!$G$23,""))</f>
        <v/>
      </c>
      <c r="M79" s="154"/>
      <c r="N79" s="155">
        <f>SUM('Pay App 1:Pay App 17'!L79)+SUM('Pay App 1:Pay App 17'!M79)</f>
        <v>0</v>
      </c>
    </row>
    <row r="80" spans="1:17" ht="11.25" customHeight="1" x14ac:dyDescent="0.25">
      <c r="A80" s="152">
        <v>24</v>
      </c>
      <c r="B80" s="178" t="str">
        <f>'Pay App 1'!B80</f>
        <v>05 20 00</v>
      </c>
      <c r="C80" s="183" t="str">
        <f>'Pay App 1'!C80</f>
        <v>Joists &amp; Deck</v>
      </c>
      <c r="D80" s="155">
        <f>'Pay App 1'!D80</f>
        <v>0</v>
      </c>
      <c r="E80" s="155">
        <f>VLOOKUP(B80,'Graph Data'!$O$2:$BX$88,19,FALSE)</f>
        <v>0</v>
      </c>
      <c r="F80" s="155">
        <f>IFERROR(E80+'Pay App 16'!F80,"")</f>
        <v>0</v>
      </c>
      <c r="G80" s="155">
        <f>SUM('Pay App 1:Pay App 16'!H80)</f>
        <v>0</v>
      </c>
      <c r="H80" s="154"/>
      <c r="I80" s="155">
        <f t="shared" si="0"/>
        <v>0</v>
      </c>
      <c r="J80" s="156">
        <f t="shared" si="1"/>
        <v>0</v>
      </c>
      <c r="K80" s="155">
        <f t="shared" si="2"/>
        <v>0</v>
      </c>
      <c r="L80" s="155" t="str">
        <f>IF(AND('Summary Sheet'!$E$23="No",$H$33&gt;0,H80&gt;=1),"",IF(AND('Summary Sheet'!$E$23="Yes",H80&lt;&gt;""),H80*'Summary Sheet'!$G$23,""))</f>
        <v/>
      </c>
      <c r="M80" s="154"/>
      <c r="N80" s="155">
        <f>SUM('Pay App 1:Pay App 17'!L80)+SUM('Pay App 1:Pay App 17'!M80)</f>
        <v>0</v>
      </c>
    </row>
    <row r="81" spans="1:14" ht="11.25" customHeight="1" x14ac:dyDescent="0.25">
      <c r="A81" s="152">
        <v>25</v>
      </c>
      <c r="B81" s="178" t="str">
        <f>'Pay App 1'!B81</f>
        <v>05 70 00</v>
      </c>
      <c r="C81" s="183" t="str">
        <f>'Pay App 1'!C81</f>
        <v>Ornamental Metal</v>
      </c>
      <c r="D81" s="155">
        <f>'Pay App 1'!D81</f>
        <v>0</v>
      </c>
      <c r="E81" s="155">
        <f>VLOOKUP(B81,'Graph Data'!$O$2:$BX$88,19,FALSE)</f>
        <v>0</v>
      </c>
      <c r="F81" s="155">
        <f>IFERROR(E81+'Pay App 16'!F81,"")</f>
        <v>0</v>
      </c>
      <c r="G81" s="155">
        <f>SUM('Pay App 1:Pay App 16'!H81)</f>
        <v>0</v>
      </c>
      <c r="H81" s="154"/>
      <c r="I81" s="155">
        <f t="shared" si="0"/>
        <v>0</v>
      </c>
      <c r="J81" s="156">
        <f t="shared" si="1"/>
        <v>0</v>
      </c>
      <c r="K81" s="155">
        <f t="shared" si="2"/>
        <v>0</v>
      </c>
      <c r="L81" s="155" t="str">
        <f>IF(AND('Summary Sheet'!$E$23="No",$H$33&gt;0,H81&gt;=1),"",IF(AND('Summary Sheet'!$E$23="Yes",H81&lt;&gt;""),H81*'Summary Sheet'!$G$23,""))</f>
        <v/>
      </c>
      <c r="M81" s="154"/>
      <c r="N81" s="155">
        <f>SUM('Pay App 1:Pay App 17'!L81)+SUM('Pay App 1:Pay App 17'!M81)</f>
        <v>0</v>
      </c>
    </row>
    <row r="82" spans="1:14" ht="11.25" customHeight="1" x14ac:dyDescent="0.25">
      <c r="A82" s="152">
        <v>26</v>
      </c>
      <c r="B82" s="145" t="str">
        <f>'Pay App 1'!B82</f>
        <v>06 10 00</v>
      </c>
      <c r="C82" s="134" t="str">
        <f>'Pay App 1'!C82</f>
        <v>Rough Carpentry</v>
      </c>
      <c r="D82" s="155">
        <f>'Pay App 1'!D82</f>
        <v>0</v>
      </c>
      <c r="E82" s="155">
        <f>VLOOKUP(B82,'Graph Data'!$O$2:$BX$88,19,FALSE)</f>
        <v>0</v>
      </c>
      <c r="F82" s="155">
        <f>IFERROR(E82+'Pay App 16'!F82,"")</f>
        <v>0</v>
      </c>
      <c r="G82" s="155">
        <f>SUM('Pay App 1:Pay App 16'!H82)</f>
        <v>0</v>
      </c>
      <c r="H82" s="154"/>
      <c r="I82" s="155">
        <f t="shared" si="0"/>
        <v>0</v>
      </c>
      <c r="J82" s="156">
        <f t="shared" si="1"/>
        <v>0</v>
      </c>
      <c r="K82" s="155">
        <f t="shared" si="2"/>
        <v>0</v>
      </c>
      <c r="L82" s="155" t="str">
        <f>IF(AND('Summary Sheet'!$E$23="No",$H$33&gt;0,H82&gt;=1),"",IF(AND('Summary Sheet'!$E$23="Yes",H82&lt;&gt;""),H82*'Summary Sheet'!$G$23,""))</f>
        <v/>
      </c>
      <c r="M82" s="154"/>
      <c r="N82" s="155">
        <f>SUM('Pay App 1:Pay App 17'!L82)+SUM('Pay App 1:Pay App 17'!M82)</f>
        <v>0</v>
      </c>
    </row>
    <row r="83" spans="1:14" ht="11.25" customHeight="1" x14ac:dyDescent="0.25">
      <c r="A83" s="152">
        <v>27</v>
      </c>
      <c r="B83" s="145" t="str">
        <f>'Pay App 1'!B83</f>
        <v>06 40 00</v>
      </c>
      <c r="C83" s="134" t="str">
        <f>'Pay App 1'!C83</f>
        <v>Arch. Woodwork &amp; Finish Carp.</v>
      </c>
      <c r="D83" s="155">
        <f>'Pay App 1'!D83</f>
        <v>0</v>
      </c>
      <c r="E83" s="155">
        <f>VLOOKUP(B83,'Graph Data'!$O$2:$BX$88,19,FALSE)</f>
        <v>0</v>
      </c>
      <c r="F83" s="155">
        <f>IFERROR(E83+'Pay App 16'!F83,"")</f>
        <v>0</v>
      </c>
      <c r="G83" s="155">
        <f>SUM('Pay App 1:Pay App 16'!H83)</f>
        <v>0</v>
      </c>
      <c r="H83" s="154"/>
      <c r="I83" s="155">
        <f t="shared" si="0"/>
        <v>0</v>
      </c>
      <c r="J83" s="156">
        <f t="shared" si="1"/>
        <v>0</v>
      </c>
      <c r="K83" s="155">
        <f t="shared" si="2"/>
        <v>0</v>
      </c>
      <c r="L83" s="155" t="str">
        <f>IF(AND('Summary Sheet'!$E$23="No",$H$33&gt;0,H83&gt;=1),"",IF(AND('Summary Sheet'!$E$23="Yes",H83&lt;&gt;""),H83*'Summary Sheet'!$G$23,""))</f>
        <v/>
      </c>
      <c r="M83" s="154"/>
      <c r="N83" s="155">
        <f>SUM('Pay App 1:Pay App 17'!L83)+SUM('Pay App 1:Pay App 17'!M83)</f>
        <v>0</v>
      </c>
    </row>
    <row r="84" spans="1:14" ht="11.25" customHeight="1" x14ac:dyDescent="0.25">
      <c r="A84" s="152">
        <v>28</v>
      </c>
      <c r="B84" s="174" t="str">
        <f>'Pay App 1'!B84</f>
        <v>07 10 00</v>
      </c>
      <c r="C84" s="179" t="str">
        <f>'Pay App 1'!C84</f>
        <v>Waterproofing/Water Repellents</v>
      </c>
      <c r="D84" s="155">
        <f>'Pay App 1'!D84</f>
        <v>0</v>
      </c>
      <c r="E84" s="155">
        <f>VLOOKUP(B84,'Graph Data'!$O$2:$BX$88,19,FALSE)</f>
        <v>0</v>
      </c>
      <c r="F84" s="155">
        <f>IFERROR(E84+'Pay App 16'!F84,"")</f>
        <v>0</v>
      </c>
      <c r="G84" s="155">
        <f>SUM('Pay App 1:Pay App 16'!H84)</f>
        <v>0</v>
      </c>
      <c r="H84" s="154"/>
      <c r="I84" s="155">
        <f t="shared" si="0"/>
        <v>0</v>
      </c>
      <c r="J84" s="156">
        <f t="shared" si="1"/>
        <v>0</v>
      </c>
      <c r="K84" s="155">
        <f t="shared" si="2"/>
        <v>0</v>
      </c>
      <c r="L84" s="155" t="str">
        <f>IF(AND('Summary Sheet'!$E$23="No",$H$33&gt;0,H84&gt;=1),"",IF(AND('Summary Sheet'!$E$23="Yes",H84&lt;&gt;""),H84*'Summary Sheet'!$G$23,""))</f>
        <v/>
      </c>
      <c r="M84" s="154"/>
      <c r="N84" s="155">
        <f>SUM('Pay App 1:Pay App 17'!L84)+SUM('Pay App 1:Pay App 17'!M84)</f>
        <v>0</v>
      </c>
    </row>
    <row r="85" spans="1:14" ht="11.25" customHeight="1" x14ac:dyDescent="0.25">
      <c r="A85" s="152">
        <v>29</v>
      </c>
      <c r="B85" s="174" t="str">
        <f>'Pay App 1'!B85</f>
        <v>07 20 00</v>
      </c>
      <c r="C85" s="179" t="str">
        <f>'Pay App 1'!C85</f>
        <v>Insulation</v>
      </c>
      <c r="D85" s="155">
        <f>'Pay App 1'!D85</f>
        <v>0</v>
      </c>
      <c r="E85" s="155">
        <f>VLOOKUP(B85,'Graph Data'!$O$2:$BX$88,19,FALSE)</f>
        <v>0</v>
      </c>
      <c r="F85" s="155">
        <f>IFERROR(E85+'Pay App 16'!F85,"")</f>
        <v>0</v>
      </c>
      <c r="G85" s="155">
        <f>SUM('Pay App 1:Pay App 16'!H85)</f>
        <v>0</v>
      </c>
      <c r="H85" s="154"/>
      <c r="I85" s="155">
        <f t="shared" si="0"/>
        <v>0</v>
      </c>
      <c r="J85" s="156">
        <f t="shared" si="1"/>
        <v>0</v>
      </c>
      <c r="K85" s="155">
        <f t="shared" si="2"/>
        <v>0</v>
      </c>
      <c r="L85" s="155" t="str">
        <f>IF(AND('Summary Sheet'!$E$23="No",$H$33&gt;0,H85&gt;=1),"",IF(AND('Summary Sheet'!$E$23="Yes",H85&lt;&gt;""),H85*'Summary Sheet'!$G$23,""))</f>
        <v/>
      </c>
      <c r="M85" s="154"/>
      <c r="N85" s="155">
        <f>SUM('Pay App 1:Pay App 17'!L85)+SUM('Pay App 1:Pay App 17'!M85)</f>
        <v>0</v>
      </c>
    </row>
    <row r="86" spans="1:14" ht="11.25" customHeight="1" x14ac:dyDescent="0.25">
      <c r="A86" s="152">
        <v>30</v>
      </c>
      <c r="B86" s="174" t="str">
        <f>'Pay App 1'!B86</f>
        <v>07 24 00</v>
      </c>
      <c r="C86" s="179" t="str">
        <f>'Pay App 1'!C86</f>
        <v>EIFS</v>
      </c>
      <c r="D86" s="155">
        <f>'Pay App 1'!D86</f>
        <v>0</v>
      </c>
      <c r="E86" s="155">
        <f>VLOOKUP(B86,'Graph Data'!$O$2:$BX$88,19,FALSE)</f>
        <v>0</v>
      </c>
      <c r="F86" s="155">
        <f>IFERROR(E86+'Pay App 16'!F86,"")</f>
        <v>0</v>
      </c>
      <c r="G86" s="155">
        <f>SUM('Pay App 1:Pay App 16'!H86)</f>
        <v>0</v>
      </c>
      <c r="H86" s="154"/>
      <c r="I86" s="155">
        <f t="shared" si="0"/>
        <v>0</v>
      </c>
      <c r="J86" s="156">
        <f t="shared" si="1"/>
        <v>0</v>
      </c>
      <c r="K86" s="155">
        <f t="shared" si="2"/>
        <v>0</v>
      </c>
      <c r="L86" s="155" t="str">
        <f>IF(AND('Summary Sheet'!$E$23="No",$H$33&gt;0,H86&gt;=1),"",IF(AND('Summary Sheet'!$E$23="Yes",H86&lt;&gt;""),H86*'Summary Sheet'!$G$23,""))</f>
        <v/>
      </c>
      <c r="M86" s="154"/>
      <c r="N86" s="155">
        <f>SUM('Pay App 1:Pay App 17'!L86)+SUM('Pay App 1:Pay App 17'!M86)</f>
        <v>0</v>
      </c>
    </row>
    <row r="87" spans="1:14" ht="11.25" customHeight="1" x14ac:dyDescent="0.25">
      <c r="A87" s="152">
        <v>31</v>
      </c>
      <c r="B87" s="174" t="str">
        <f>'Pay App 1'!B87</f>
        <v>07 26 00</v>
      </c>
      <c r="C87" s="179" t="str">
        <f>'Pay App 1'!C87</f>
        <v>Vapor Retarders</v>
      </c>
      <c r="D87" s="155">
        <f>'Pay App 1'!D87</f>
        <v>0</v>
      </c>
      <c r="E87" s="155">
        <f>VLOOKUP(B87,'Graph Data'!$O$2:$BX$88,19,FALSE)</f>
        <v>0</v>
      </c>
      <c r="F87" s="155">
        <f>IFERROR(E87+'Pay App 16'!F87,"")</f>
        <v>0</v>
      </c>
      <c r="G87" s="155">
        <f>SUM('Pay App 1:Pay App 16'!H87)</f>
        <v>0</v>
      </c>
      <c r="H87" s="154"/>
      <c r="I87" s="155">
        <f t="shared" si="0"/>
        <v>0</v>
      </c>
      <c r="J87" s="156">
        <f t="shared" si="1"/>
        <v>0</v>
      </c>
      <c r="K87" s="155">
        <f t="shared" si="2"/>
        <v>0</v>
      </c>
      <c r="L87" s="155" t="str">
        <f>IF(AND('Summary Sheet'!$E$23="No",$H$33&gt;0,H87&gt;=1),"",IF(AND('Summary Sheet'!$E$23="Yes",H87&lt;&gt;""),H87*'Summary Sheet'!$G$23,""))</f>
        <v/>
      </c>
      <c r="M87" s="154"/>
      <c r="N87" s="155">
        <f>SUM('Pay App 1:Pay App 17'!L87)+SUM('Pay App 1:Pay App 17'!M87)</f>
        <v>0</v>
      </c>
    </row>
    <row r="88" spans="1:14" ht="11.25" customHeight="1" x14ac:dyDescent="0.25">
      <c r="A88" s="152">
        <v>32</v>
      </c>
      <c r="B88" s="174" t="str">
        <f>'Pay App 1'!B88</f>
        <v>07 41 00</v>
      </c>
      <c r="C88" s="179" t="str">
        <f>'Pay App 1'!C88</f>
        <v>Roofing</v>
      </c>
      <c r="D88" s="155">
        <f>'Pay App 1'!D88</f>
        <v>0</v>
      </c>
      <c r="E88" s="155">
        <f>VLOOKUP(B88,'Graph Data'!$O$2:$BX$88,19,FALSE)</f>
        <v>0</v>
      </c>
      <c r="F88" s="155">
        <f>IFERROR(E88+'Pay App 16'!F88,"")</f>
        <v>0</v>
      </c>
      <c r="G88" s="155">
        <f>SUM('Pay App 1:Pay App 16'!H88)</f>
        <v>0</v>
      </c>
      <c r="H88" s="154"/>
      <c r="I88" s="155">
        <f t="shared" si="0"/>
        <v>0</v>
      </c>
      <c r="J88" s="156">
        <f t="shared" si="1"/>
        <v>0</v>
      </c>
      <c r="K88" s="155">
        <f t="shared" si="2"/>
        <v>0</v>
      </c>
      <c r="L88" s="155" t="str">
        <f>IF(AND('Summary Sheet'!$E$23="No",$H$33&gt;0,H88&gt;=1),"",IF(AND('Summary Sheet'!$E$23="Yes",H88&lt;&gt;""),H88*'Summary Sheet'!$G$23,""))</f>
        <v/>
      </c>
      <c r="M88" s="154"/>
      <c r="N88" s="155">
        <f>SUM('Pay App 1:Pay App 17'!L88)+SUM('Pay App 1:Pay App 17'!M88)</f>
        <v>0</v>
      </c>
    </row>
    <row r="89" spans="1:14" ht="11.25" customHeight="1" x14ac:dyDescent="0.25">
      <c r="A89" s="152">
        <v>33</v>
      </c>
      <c r="B89" s="174" t="str">
        <f>'Pay App 1'!B89</f>
        <v>07 42 00</v>
      </c>
      <c r="C89" s="179" t="str">
        <f>'Pay App 1'!C89</f>
        <v>Metal Panels</v>
      </c>
      <c r="D89" s="155">
        <f>'Pay App 1'!D89</f>
        <v>0</v>
      </c>
      <c r="E89" s="155">
        <f>VLOOKUP(B89,'Graph Data'!$O$2:$BX$88,19,FALSE)</f>
        <v>0</v>
      </c>
      <c r="F89" s="155">
        <f>IFERROR(E89+'Pay App 16'!F89,"")</f>
        <v>0</v>
      </c>
      <c r="G89" s="155">
        <f>SUM('Pay App 1:Pay App 16'!H89)</f>
        <v>0</v>
      </c>
      <c r="H89" s="154"/>
      <c r="I89" s="155">
        <f t="shared" si="0"/>
        <v>0</v>
      </c>
      <c r="J89" s="156">
        <f t="shared" si="1"/>
        <v>0</v>
      </c>
      <c r="K89" s="155">
        <f t="shared" si="2"/>
        <v>0</v>
      </c>
      <c r="L89" s="155" t="str">
        <f>IF(AND('Summary Sheet'!$E$23="No",$H$33&gt;0,H89&gt;=1),"",IF(AND('Summary Sheet'!$E$23="Yes",H89&lt;&gt;""),H89*'Summary Sheet'!$G$23,""))</f>
        <v/>
      </c>
      <c r="M89" s="154"/>
      <c r="N89" s="155">
        <f>SUM('Pay App 1:Pay App 17'!L89)+SUM('Pay App 1:Pay App 17'!M89)</f>
        <v>0</v>
      </c>
    </row>
    <row r="90" spans="1:14" ht="11.25" customHeight="1" x14ac:dyDescent="0.25">
      <c r="A90" s="152">
        <v>34</v>
      </c>
      <c r="B90" s="174" t="str">
        <f>'Pay App 1'!B90</f>
        <v>07 60 00</v>
      </c>
      <c r="C90" s="179" t="str">
        <f>'Pay App 1'!C90</f>
        <v>Sheet Metal Flashing &amp; Trim</v>
      </c>
      <c r="D90" s="155">
        <f>'Pay App 1'!D90</f>
        <v>0</v>
      </c>
      <c r="E90" s="155">
        <f>VLOOKUP(B90,'Graph Data'!$O$2:$BX$88,19,FALSE)</f>
        <v>0</v>
      </c>
      <c r="F90" s="155">
        <f>IFERROR(E90+'Pay App 16'!F90,"")</f>
        <v>0</v>
      </c>
      <c r="G90" s="155">
        <f>SUM('Pay App 1:Pay App 16'!H90)</f>
        <v>0</v>
      </c>
      <c r="H90" s="154"/>
      <c r="I90" s="155">
        <f t="shared" si="0"/>
        <v>0</v>
      </c>
      <c r="J90" s="156">
        <f t="shared" si="1"/>
        <v>0</v>
      </c>
      <c r="K90" s="155">
        <f t="shared" si="2"/>
        <v>0</v>
      </c>
      <c r="L90" s="155" t="str">
        <f>IF(AND('Summary Sheet'!$E$23="No",$H$33&gt;0,H90&gt;=1),"",IF(AND('Summary Sheet'!$E$23="Yes",H90&lt;&gt;""),H90*'Summary Sheet'!$G$23,""))</f>
        <v/>
      </c>
      <c r="M90" s="154"/>
      <c r="N90" s="155">
        <f>SUM('Pay App 1:Pay App 17'!L90)+SUM('Pay App 1:Pay App 17'!M90)</f>
        <v>0</v>
      </c>
    </row>
    <row r="91" spans="1:14" ht="11.25" customHeight="1" x14ac:dyDescent="0.25">
      <c r="A91" s="152">
        <v>35</v>
      </c>
      <c r="B91" s="174" t="str">
        <f>'Pay App 1'!B91</f>
        <v>07 80 00</v>
      </c>
      <c r="C91" s="179" t="str">
        <f>'Pay App 1'!C91</f>
        <v>Fireproofing</v>
      </c>
      <c r="D91" s="155">
        <f>'Pay App 1'!D91</f>
        <v>0</v>
      </c>
      <c r="E91" s="155">
        <f>VLOOKUP(B91,'Graph Data'!$O$2:$BX$88,19,FALSE)</f>
        <v>0</v>
      </c>
      <c r="F91" s="155">
        <f>IFERROR(E91+'Pay App 16'!F91,"")</f>
        <v>0</v>
      </c>
      <c r="G91" s="155">
        <f>SUM('Pay App 1:Pay App 16'!H91)</f>
        <v>0</v>
      </c>
      <c r="H91" s="154"/>
      <c r="I91" s="155">
        <f t="shared" si="0"/>
        <v>0</v>
      </c>
      <c r="J91" s="156">
        <f t="shared" si="1"/>
        <v>0</v>
      </c>
      <c r="K91" s="155">
        <f t="shared" si="2"/>
        <v>0</v>
      </c>
      <c r="L91" s="155" t="str">
        <f>IF(AND('Summary Sheet'!$E$23="No",$H$33&gt;0,H91&gt;=1),"",IF(AND('Summary Sheet'!$E$23="Yes",H91&lt;&gt;""),H91*'Summary Sheet'!$G$23,""))</f>
        <v/>
      </c>
      <c r="M91" s="154"/>
      <c r="N91" s="155">
        <f>SUM('Pay App 1:Pay App 17'!L91)+SUM('Pay App 1:Pay App 17'!M91)</f>
        <v>0</v>
      </c>
    </row>
    <row r="92" spans="1:14" ht="11.25" customHeight="1" x14ac:dyDescent="0.25">
      <c r="A92" s="152">
        <v>36</v>
      </c>
      <c r="B92" s="174" t="str">
        <f>'Pay App 1'!B92</f>
        <v>07 90 00</v>
      </c>
      <c r="C92" s="179" t="str">
        <f>'Pay App 1'!C92</f>
        <v>Joint Sealants</v>
      </c>
      <c r="D92" s="155">
        <f>'Pay App 1'!D92</f>
        <v>0</v>
      </c>
      <c r="E92" s="155">
        <f>VLOOKUP(B92,'Graph Data'!$O$2:$BX$88,19,FALSE)</f>
        <v>0</v>
      </c>
      <c r="F92" s="155">
        <f>IFERROR(E92+'Pay App 16'!F92,"")</f>
        <v>0</v>
      </c>
      <c r="G92" s="155">
        <f>SUM('Pay App 1:Pay App 16'!H92)</f>
        <v>0</v>
      </c>
      <c r="H92" s="154"/>
      <c r="I92" s="155">
        <f t="shared" si="0"/>
        <v>0</v>
      </c>
      <c r="J92" s="156">
        <f t="shared" si="1"/>
        <v>0</v>
      </c>
      <c r="K92" s="155">
        <f t="shared" si="2"/>
        <v>0</v>
      </c>
      <c r="L92" s="155" t="str">
        <f>IF(AND('Summary Sheet'!$E$23="No",$H$33&gt;0,H92&gt;=1),"",IF(AND('Summary Sheet'!$E$23="Yes",H92&lt;&gt;""),H92*'Summary Sheet'!$G$23,""))</f>
        <v/>
      </c>
      <c r="M92" s="154"/>
      <c r="N92" s="155">
        <f>SUM('Pay App 1:Pay App 17'!L92)+SUM('Pay App 1:Pay App 17'!M92)</f>
        <v>0</v>
      </c>
    </row>
    <row r="93" spans="1:14" ht="11.25" customHeight="1" x14ac:dyDescent="0.25">
      <c r="A93" s="152">
        <v>37</v>
      </c>
      <c r="B93" s="174" t="str">
        <f>'Pay App 1'!B93</f>
        <v>07 95 00</v>
      </c>
      <c r="C93" s="179" t="str">
        <f>'Pay App 1'!C93</f>
        <v>Expansion Joints</v>
      </c>
      <c r="D93" s="155">
        <f>'Pay App 1'!D93</f>
        <v>0</v>
      </c>
      <c r="E93" s="155">
        <f>VLOOKUP(B93,'Graph Data'!$O$2:$BX$88,19,FALSE)</f>
        <v>0</v>
      </c>
      <c r="F93" s="155">
        <f>IFERROR(E93+'Pay App 16'!F93,"")</f>
        <v>0</v>
      </c>
      <c r="G93" s="155">
        <f>SUM('Pay App 1:Pay App 16'!H93)</f>
        <v>0</v>
      </c>
      <c r="H93" s="154"/>
      <c r="I93" s="155">
        <f t="shared" si="0"/>
        <v>0</v>
      </c>
      <c r="J93" s="156">
        <f t="shared" si="1"/>
        <v>0</v>
      </c>
      <c r="K93" s="155">
        <f t="shared" si="2"/>
        <v>0</v>
      </c>
      <c r="L93" s="155" t="str">
        <f>IF(AND('Summary Sheet'!$E$23="No",$H$33&gt;0,H93&gt;=1),"",IF(AND('Summary Sheet'!$E$23="Yes",H93&lt;&gt;""),H93*'Summary Sheet'!$G$23,""))</f>
        <v/>
      </c>
      <c r="M93" s="154"/>
      <c r="N93" s="155">
        <f>SUM('Pay App 1:Pay App 17'!L93)+SUM('Pay App 1:Pay App 17'!M93)</f>
        <v>0</v>
      </c>
    </row>
    <row r="94" spans="1:14" ht="11.25" customHeight="1" x14ac:dyDescent="0.25">
      <c r="A94" s="152">
        <v>38</v>
      </c>
      <c r="B94" s="175" t="str">
        <f>'Pay App 1'!B94</f>
        <v>08 10 00</v>
      </c>
      <c r="C94" s="180" t="str">
        <f>'Pay App 1'!C94</f>
        <v>Doors, Frames &amp; Hardware</v>
      </c>
      <c r="D94" s="155">
        <f>'Pay App 1'!D94</f>
        <v>0</v>
      </c>
      <c r="E94" s="155">
        <f>VLOOKUP(B94,'Graph Data'!$O$2:$BX$88,19,FALSE)</f>
        <v>0</v>
      </c>
      <c r="F94" s="155">
        <f>IFERROR(E94+'Pay App 16'!F94,"")</f>
        <v>0</v>
      </c>
      <c r="G94" s="155">
        <f>SUM('Pay App 1:Pay App 16'!H94)</f>
        <v>0</v>
      </c>
      <c r="H94" s="154"/>
      <c r="I94" s="155">
        <f t="shared" si="0"/>
        <v>0</v>
      </c>
      <c r="J94" s="156">
        <f t="shared" si="1"/>
        <v>0</v>
      </c>
      <c r="K94" s="155">
        <f t="shared" si="2"/>
        <v>0</v>
      </c>
      <c r="L94" s="155" t="str">
        <f>IF(AND('Summary Sheet'!$E$23="No",$H$33&gt;0,H94&gt;=1),"",IF(AND('Summary Sheet'!$E$23="Yes",H94&lt;&gt;""),H94*'Summary Sheet'!$G$23,""))</f>
        <v/>
      </c>
      <c r="M94" s="154"/>
      <c r="N94" s="155">
        <f>SUM('Pay App 1:Pay App 17'!L94)+SUM('Pay App 1:Pay App 17'!M94)</f>
        <v>0</v>
      </c>
    </row>
    <row r="95" spans="1:14" ht="11.25" customHeight="1" x14ac:dyDescent="0.25">
      <c r="A95" s="152">
        <v>39</v>
      </c>
      <c r="B95" s="175" t="str">
        <f>'Pay App 1'!B95</f>
        <v>08 30 00</v>
      </c>
      <c r="C95" s="180" t="str">
        <f>'Pay App 1'!C95</f>
        <v>Specialty Doors</v>
      </c>
      <c r="D95" s="155">
        <f>'Pay App 1'!D95</f>
        <v>0</v>
      </c>
      <c r="E95" s="155">
        <f>VLOOKUP(B95,'Graph Data'!$O$2:$BX$88,19,FALSE)</f>
        <v>0</v>
      </c>
      <c r="F95" s="155">
        <f>IFERROR(E95+'Pay App 16'!F95,"")</f>
        <v>0</v>
      </c>
      <c r="G95" s="155">
        <f>SUM('Pay App 1:Pay App 16'!H95)</f>
        <v>0</v>
      </c>
      <c r="H95" s="154"/>
      <c r="I95" s="155">
        <f t="shared" si="0"/>
        <v>0</v>
      </c>
      <c r="J95" s="156">
        <f t="shared" si="1"/>
        <v>0</v>
      </c>
      <c r="K95" s="155">
        <f t="shared" si="2"/>
        <v>0</v>
      </c>
      <c r="L95" s="155" t="str">
        <f>IF(AND('Summary Sheet'!$E$23="No",$H$33&gt;0,H95&gt;=1),"",IF(AND('Summary Sheet'!$E$23="Yes",H95&lt;&gt;""),H95*'Summary Sheet'!$G$23,""))</f>
        <v/>
      </c>
      <c r="M95" s="154"/>
      <c r="N95" s="155">
        <f>SUM('Pay App 1:Pay App 17'!L95)+SUM('Pay App 1:Pay App 17'!M95)</f>
        <v>0</v>
      </c>
    </row>
    <row r="96" spans="1:14" ht="11.25" customHeight="1" x14ac:dyDescent="0.25">
      <c r="A96" s="152">
        <v>40</v>
      </c>
      <c r="B96" s="175" t="str">
        <f>'Pay App 1'!B96</f>
        <v>08 33 00</v>
      </c>
      <c r="C96" s="180" t="str">
        <f>'Pay App 1'!C96</f>
        <v>Overhead Doors/Coiling Doors</v>
      </c>
      <c r="D96" s="155">
        <f>'Pay App 1'!D96</f>
        <v>0</v>
      </c>
      <c r="E96" s="155">
        <f>VLOOKUP(B96,'Graph Data'!$O$2:$BX$88,19,FALSE)</f>
        <v>0</v>
      </c>
      <c r="F96" s="155">
        <f>IFERROR(E96+'Pay App 16'!F96,"")</f>
        <v>0</v>
      </c>
      <c r="G96" s="155">
        <f>SUM('Pay App 1:Pay App 16'!H96)</f>
        <v>0</v>
      </c>
      <c r="H96" s="154"/>
      <c r="I96" s="155">
        <f t="shared" si="0"/>
        <v>0</v>
      </c>
      <c r="J96" s="156">
        <f t="shared" si="1"/>
        <v>0</v>
      </c>
      <c r="K96" s="155">
        <f t="shared" si="2"/>
        <v>0</v>
      </c>
      <c r="L96" s="155" t="str">
        <f>IF(AND('Summary Sheet'!$E$23="No",$H$33&gt;0,H96&gt;=1),"",IF(AND('Summary Sheet'!$E$23="Yes",H96&lt;&gt;""),H96*'Summary Sheet'!$G$23,""))</f>
        <v/>
      </c>
      <c r="M96" s="154"/>
      <c r="N96" s="155">
        <f>SUM('Pay App 1:Pay App 17'!L96)+SUM('Pay App 1:Pay App 17'!M96)</f>
        <v>0</v>
      </c>
    </row>
    <row r="97" spans="1:15" ht="11.25" customHeight="1" x14ac:dyDescent="0.25">
      <c r="A97" s="152">
        <v>41</v>
      </c>
      <c r="B97" s="175" t="str">
        <f>'Pay App 1'!B97</f>
        <v>08 40 00</v>
      </c>
      <c r="C97" s="180" t="str">
        <f>'Pay App 1'!C97</f>
        <v>Curtain Wall, Glass &amp; Glazing</v>
      </c>
      <c r="D97" s="155">
        <f>'Pay App 1'!D97</f>
        <v>0</v>
      </c>
      <c r="E97" s="155">
        <f>VLOOKUP(B97,'Graph Data'!$O$2:$BX$88,19,FALSE)</f>
        <v>0</v>
      </c>
      <c r="F97" s="155">
        <f>IFERROR(E97+'Pay App 16'!F97,"")</f>
        <v>0</v>
      </c>
      <c r="G97" s="155">
        <f>SUM('Pay App 1:Pay App 16'!H97)</f>
        <v>0</v>
      </c>
      <c r="H97" s="154"/>
      <c r="I97" s="155">
        <f t="shared" si="0"/>
        <v>0</v>
      </c>
      <c r="J97" s="156">
        <f t="shared" si="1"/>
        <v>0</v>
      </c>
      <c r="K97" s="155">
        <f t="shared" si="2"/>
        <v>0</v>
      </c>
      <c r="L97" s="155" t="str">
        <f>IF(AND('Summary Sheet'!$E$23="No",$H$33&gt;0,H97&gt;=1),"",IF(AND('Summary Sheet'!$E$23="Yes",H97&lt;&gt;""),H97*'Summary Sheet'!$G$23,""))</f>
        <v/>
      </c>
      <c r="M97" s="154"/>
      <c r="N97" s="155">
        <f>SUM('Pay App 1:Pay App 17'!L97)+SUM('Pay App 1:Pay App 17'!M97)</f>
        <v>0</v>
      </c>
    </row>
    <row r="98" spans="1:15" ht="10.9" customHeight="1" x14ac:dyDescent="0.25">
      <c r="A98" s="152">
        <v>42</v>
      </c>
      <c r="B98" s="175" t="str">
        <f>'Pay App 1'!B98</f>
        <v>08 60 00</v>
      </c>
      <c r="C98" s="180" t="str">
        <f>'Pay App 1'!C98</f>
        <v>Skylights</v>
      </c>
      <c r="D98" s="155">
        <f>'Pay App 1'!D98</f>
        <v>0</v>
      </c>
      <c r="E98" s="155">
        <f>VLOOKUP(B98,'Graph Data'!$O$2:$BX$88,19,FALSE)</f>
        <v>0</v>
      </c>
      <c r="F98" s="155">
        <f>IFERROR(E98+'Pay App 16'!F98,"")</f>
        <v>0</v>
      </c>
      <c r="G98" s="155">
        <f>SUM('Pay App 1:Pay App 16'!H98)</f>
        <v>0</v>
      </c>
      <c r="H98" s="154"/>
      <c r="I98" s="155">
        <f t="shared" si="0"/>
        <v>0</v>
      </c>
      <c r="J98" s="156">
        <f t="shared" si="1"/>
        <v>0</v>
      </c>
      <c r="K98" s="155">
        <f t="shared" si="2"/>
        <v>0</v>
      </c>
      <c r="L98" s="155" t="str">
        <f>IF(AND('Summary Sheet'!$E$23="No",$H$33&gt;0,H98&gt;=1),"",IF(AND('Summary Sheet'!$E$23="Yes",H98&lt;&gt;""),H98*'Summary Sheet'!$G$23,""))</f>
        <v/>
      </c>
      <c r="M98" s="154"/>
      <c r="N98" s="155">
        <f>SUM('Pay App 1:Pay App 17'!L98)+SUM('Pay App 1:Pay App 17'!M98)</f>
        <v>0</v>
      </c>
    </row>
    <row r="99" spans="1:15" ht="10.9" customHeight="1" x14ac:dyDescent="0.25">
      <c r="A99" s="152">
        <v>43</v>
      </c>
      <c r="B99" s="175" t="str">
        <f>'Pay App 1'!B99</f>
        <v>08 90 00</v>
      </c>
      <c r="C99" s="180" t="str">
        <f>'Pay App 1'!C99</f>
        <v>Louvers &amp; Vents</v>
      </c>
      <c r="D99" s="155">
        <f>'Pay App 1'!D99</f>
        <v>0</v>
      </c>
      <c r="E99" s="155">
        <f>VLOOKUP(B99,'Graph Data'!$O$2:$BX$88,19,FALSE)</f>
        <v>0</v>
      </c>
      <c r="F99" s="155">
        <f>IFERROR(E99+'Pay App 16'!F99,"")</f>
        <v>0</v>
      </c>
      <c r="G99" s="155">
        <f>SUM('Pay App 1:Pay App 16'!H99)</f>
        <v>0</v>
      </c>
      <c r="H99" s="154"/>
      <c r="I99" s="155">
        <f t="shared" si="0"/>
        <v>0</v>
      </c>
      <c r="J99" s="156">
        <f t="shared" si="1"/>
        <v>0</v>
      </c>
      <c r="K99" s="155">
        <f t="shared" si="2"/>
        <v>0</v>
      </c>
      <c r="L99" s="155" t="str">
        <f>IF(AND('Summary Sheet'!$E$23="No",$H$33&gt;0,H99&gt;=1),"",IF(AND('Summary Sheet'!$E$23="Yes",H99&lt;&gt;""),H99*'Summary Sheet'!$G$23,""))</f>
        <v/>
      </c>
      <c r="M99" s="154"/>
      <c r="N99" s="155">
        <f>SUM('Pay App 1:Pay App 17'!L99)+SUM('Pay App 1:Pay App 17'!M99)</f>
        <v>0</v>
      </c>
    </row>
    <row r="100" spans="1:15" ht="11.25" customHeight="1" x14ac:dyDescent="0.25">
      <c r="A100" s="153">
        <v>44</v>
      </c>
      <c r="B100" s="176" t="str">
        <f>'Pay App 1'!B100</f>
        <v>09 20 00</v>
      </c>
      <c r="C100" s="181" t="str">
        <f>'Pay App 1'!C100</f>
        <v>Gypsum Board Systems</v>
      </c>
      <c r="D100" s="155">
        <f>'Pay App 1'!D100</f>
        <v>0</v>
      </c>
      <c r="E100" s="155">
        <f>VLOOKUP(B100,'Graph Data'!$O$2:$BX$88,19,FALSE)</f>
        <v>0</v>
      </c>
      <c r="F100" s="155">
        <f>IFERROR(E100+'Pay App 16'!F100,"")</f>
        <v>0</v>
      </c>
      <c r="G100" s="155">
        <f>SUM('Pay App 1:Pay App 16'!H100)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17'!L100)+SUM('Pay App 1:Pay App 17'!M100)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17.2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Data'!$O$2:$BX$88,19,FALSE)</f>
        <v>0</v>
      </c>
      <c r="F106" s="155">
        <f>IFERROR(E106+'Pay App 16'!F106,"")</f>
        <v>0</v>
      </c>
      <c r="G106" s="155">
        <f>SUM('Pay App 1:Pay App 16'!H106)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17'!L106)+SUM('Pay App 1:Pay App 17'!M106)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Data'!$O$2:$BX$88,19,FALSE)</f>
        <v>0</v>
      </c>
      <c r="F107" s="155">
        <f>IFERROR(E107+'Pay App 16'!F107,"")</f>
        <v>0</v>
      </c>
      <c r="G107" s="155">
        <f>SUM('Pay App 1:Pay App 16'!H107)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17'!L107)+SUM('Pay App 1:Pay App 17'!M107)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Data'!$O$2:$BX$88,19,FALSE)</f>
        <v>0</v>
      </c>
      <c r="F108" s="155">
        <f>IFERROR(E108+'Pay App 16'!F108,"")</f>
        <v>0</v>
      </c>
      <c r="G108" s="155">
        <f>SUM('Pay App 1:Pay App 16'!H108)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17'!L108)+SUM('Pay App 1:Pay App 17'!M108)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Data'!$O$2:$BX$88,19,FALSE)</f>
        <v>0</v>
      </c>
      <c r="F109" s="155">
        <f>IFERROR(E109+'Pay App 16'!F109,"")</f>
        <v>0</v>
      </c>
      <c r="G109" s="155">
        <f>SUM('Pay App 1:Pay App 16'!H109)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17'!L109)+SUM('Pay App 1:Pay App 17'!M109)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Data'!$O$2:$BX$88,19,FALSE)</f>
        <v>0</v>
      </c>
      <c r="F110" s="155">
        <f>IFERROR(E110+'Pay App 16'!F110,"")</f>
        <v>0</v>
      </c>
      <c r="G110" s="155">
        <f>SUM('Pay App 1:Pay App 16'!H110)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17'!L110)+SUM('Pay App 1:Pay App 17'!M110)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Data'!$O$2:$BX$88,19,FALSE)</f>
        <v>0</v>
      </c>
      <c r="F111" s="155">
        <f>IFERROR(E111+'Pay App 16'!F111,"")</f>
        <v>0</v>
      </c>
      <c r="G111" s="155">
        <f>SUM('Pay App 1:Pay App 16'!H111)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17'!L111)+SUM('Pay App 1:Pay App 17'!M111)</f>
        <v>0</v>
      </c>
    </row>
    <row r="112" spans="1:15" ht="11.25" customHeight="1" x14ac:dyDescent="0.25">
      <c r="A112" s="152">
        <f t="shared" si="3"/>
        <v>51</v>
      </c>
      <c r="B112" s="148" t="str">
        <f>'Pay App 1'!B112</f>
        <v>09 90 00</v>
      </c>
      <c r="C112" s="143" t="str">
        <f>'Pay App 1'!C112</f>
        <v>Painting</v>
      </c>
      <c r="D112" s="155">
        <f>'Pay App 1'!D112</f>
        <v>0</v>
      </c>
      <c r="E112" s="155">
        <f>VLOOKUP(B112,'Graph Data'!$O$2:$BX$88,19,FALSE)</f>
        <v>0</v>
      </c>
      <c r="F112" s="155">
        <f>IFERROR(E112+'Pay App 16'!F112,"")</f>
        <v>0</v>
      </c>
      <c r="G112" s="155">
        <f>SUM('Pay App 1:Pay App 16'!H112)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17'!L112)+SUM('Pay App 1:Pay App 17'!M112)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Data'!$O$2:$BX$88,19,FALSE)</f>
        <v>0</v>
      </c>
      <c r="F113" s="155">
        <f>IFERROR(E113+'Pay App 16'!F113,"")</f>
        <v>0</v>
      </c>
      <c r="G113" s="155">
        <f>SUM('Pay App 1:Pay App 16'!H113)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17'!L113)+SUM('Pay App 1:Pay App 17'!M113)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Data'!$O$2:$BX$88,19,FALSE)</f>
        <v>0</v>
      </c>
      <c r="F114" s="155">
        <f>IFERROR(E114+'Pay App 16'!F114,"")</f>
        <v>0</v>
      </c>
      <c r="G114" s="155">
        <f>SUM('Pay App 1:Pay App 16'!H114)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17'!L114)+SUM('Pay App 1:Pay App 17'!M114)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Data'!$O$2:$BX$88,19,FALSE)</f>
        <v>0</v>
      </c>
      <c r="F115" s="155">
        <f>IFERROR(E115+'Pay App 16'!F115,"")</f>
        <v>0</v>
      </c>
      <c r="G115" s="155">
        <f>SUM('Pay App 1:Pay App 16'!H115)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17'!L115)+SUM('Pay App 1:Pay App 17'!M115)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Data'!$O$2:$BX$88,19,FALSE)</f>
        <v>0</v>
      </c>
      <c r="F116" s="155">
        <f>IFERROR(E116+'Pay App 16'!F116,"")</f>
        <v>0</v>
      </c>
      <c r="G116" s="155">
        <f>SUM('Pay App 1:Pay App 16'!H116)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17'!L116)+SUM('Pay App 1:Pay App 17'!M116)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Data'!$O$2:$BX$88,19,FALSE)</f>
        <v>0</v>
      </c>
      <c r="F117" s="155">
        <f>IFERROR(E117+'Pay App 16'!F117,"")</f>
        <v>0</v>
      </c>
      <c r="G117" s="155">
        <f>SUM('Pay App 1:Pay App 16'!H117)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17'!L117)+SUM('Pay App 1:Pay App 17'!M117)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Data'!$O$2:$BX$88,19,FALSE)</f>
        <v>0</v>
      </c>
      <c r="F118" s="155">
        <f>IFERROR(E118+'Pay App 16'!F118,"")</f>
        <v>0</v>
      </c>
      <c r="G118" s="155">
        <f>SUM('Pay App 1:Pay App 16'!H118)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17'!L118)+SUM('Pay App 1:Pay App 17'!M118)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Data'!$O$2:$BX$88,19,FALSE)</f>
        <v>0</v>
      </c>
      <c r="F119" s="155">
        <f>IFERROR(E119+'Pay App 16'!F119,"")</f>
        <v>0</v>
      </c>
      <c r="G119" s="155">
        <f>SUM('Pay App 1:Pay App 16'!H119)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17'!L119)+SUM('Pay App 1:Pay App 17'!M119)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Data'!$O$2:$BX$88,19,FALSE)</f>
        <v>0</v>
      </c>
      <c r="F120" s="155">
        <f>IFERROR(E120+'Pay App 16'!F120,"")</f>
        <v>0</v>
      </c>
      <c r="G120" s="155">
        <f>SUM('Pay App 1:Pay App 16'!H120)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17'!L120)+SUM('Pay App 1:Pay App 17'!M120)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Data'!$O$2:$BX$88,19,FALSE)</f>
        <v>0</v>
      </c>
      <c r="F121" s="155">
        <f>IFERROR(E121+'Pay App 16'!F121,"")</f>
        <v>0</v>
      </c>
      <c r="G121" s="155">
        <f>SUM('Pay App 1:Pay App 16'!H121)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17'!L121)+SUM('Pay App 1:Pay App 17'!M121)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Data'!$O$2:$BX$88,19,FALSE)</f>
        <v>0</v>
      </c>
      <c r="F122" s="155">
        <f>IFERROR(E122+'Pay App 16'!F122,"")</f>
        <v>0</v>
      </c>
      <c r="G122" s="155">
        <f>SUM('Pay App 1:Pay App 16'!H122)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17'!L122)+SUM('Pay App 1:Pay App 17'!M122)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Data'!$O$2:$BX$88,19,FALSE)</f>
        <v>0</v>
      </c>
      <c r="F123" s="155">
        <f>IFERROR(E123+'Pay App 16'!F123,"")</f>
        <v>0</v>
      </c>
      <c r="G123" s="155">
        <f>SUM('Pay App 1:Pay App 16'!H123)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17'!L123)+SUM('Pay App 1:Pay App 17'!M123)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Data'!$O$2:$BX$88,19,FALSE)</f>
        <v>0</v>
      </c>
      <c r="F124" s="155">
        <f>IFERROR(E124+'Pay App 16'!F124,"")</f>
        <v>0</v>
      </c>
      <c r="G124" s="155">
        <f>SUM('Pay App 1:Pay App 16'!H124)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17'!L124)+SUM('Pay App 1:Pay App 17'!M124)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Data'!$O$2:$BX$88,19,FALSE)</f>
        <v>0</v>
      </c>
      <c r="F125" s="155">
        <f>IFERROR(E125+'Pay App 16'!F125,"")</f>
        <v>0</v>
      </c>
      <c r="G125" s="155">
        <f>SUM('Pay App 1:Pay App 16'!H125)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17'!L125)+SUM('Pay App 1:Pay App 17'!M125)</f>
        <v>0</v>
      </c>
    </row>
    <row r="126" spans="1:14" ht="11.25" customHeight="1" x14ac:dyDescent="0.25">
      <c r="A126" s="152">
        <f t="shared" si="3"/>
        <v>65</v>
      </c>
      <c r="B126" s="188" t="str">
        <f>'Pay App 1'!B126</f>
        <v>14 20 00</v>
      </c>
      <c r="C126" s="194" t="str">
        <f>'Pay App 1'!C126</f>
        <v>Elevator</v>
      </c>
      <c r="D126" s="155">
        <f>'Pay App 1'!D126</f>
        <v>0</v>
      </c>
      <c r="E126" s="155">
        <f>VLOOKUP(B126,'Graph Data'!$O$2:$BX$88,19,FALSE)</f>
        <v>0</v>
      </c>
      <c r="F126" s="155">
        <f>IFERROR(E126+'Pay App 16'!F126,"")</f>
        <v>0</v>
      </c>
      <c r="G126" s="155">
        <f>SUM('Pay App 1:Pay App 16'!H126)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17'!L126)+SUM('Pay App 1:Pay App 17'!M126)</f>
        <v>0</v>
      </c>
    </row>
    <row r="127" spans="1:14" ht="11.25" customHeight="1" x14ac:dyDescent="0.25">
      <c r="A127" s="152">
        <f t="shared" si="3"/>
        <v>66</v>
      </c>
      <c r="B127" s="188" t="str">
        <f>'Pay App 1'!B127</f>
        <v>14 40 00</v>
      </c>
      <c r="C127" s="194" t="str">
        <f>'Pay App 1'!C127</f>
        <v>Lifts</v>
      </c>
      <c r="D127" s="155">
        <f>'Pay App 1'!D127</f>
        <v>0</v>
      </c>
      <c r="E127" s="155">
        <f>VLOOKUP(B127,'Graph Data'!$O$2:$BX$88,19,FALSE)</f>
        <v>0</v>
      </c>
      <c r="F127" s="155">
        <f>IFERROR(E127+'Pay App 16'!F127,"")</f>
        <v>0</v>
      </c>
      <c r="G127" s="155">
        <f>SUM('Pay App 1:Pay App 16'!H127)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17'!L127)+SUM('Pay App 1:Pay App 17'!M127)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Data'!$O$2:$BX$88,19,FALSE)</f>
        <v>0</v>
      </c>
      <c r="F128" s="155">
        <f>IFERROR(E128+'Pay App 16'!F128,"")</f>
        <v>0</v>
      </c>
      <c r="G128" s="155">
        <f>SUM('Pay App 1:Pay App 16'!H128)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17'!L128)+SUM('Pay App 1:Pay App 17'!M128)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Data'!$O$2:$BX$88,19,FALSE)</f>
        <v>0</v>
      </c>
      <c r="F129" s="155">
        <f>IFERROR(E129+'Pay App 16'!F129,"")</f>
        <v>0</v>
      </c>
      <c r="G129" s="155">
        <f>SUM('Pay App 1:Pay App 16'!H129)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17'!L129)+SUM('Pay App 1:Pay App 17'!M129)</f>
        <v>0</v>
      </c>
    </row>
    <row r="130" spans="1:14" ht="11.25" customHeight="1" x14ac:dyDescent="0.25">
      <c r="A130" s="152">
        <f t="shared" si="3"/>
        <v>69</v>
      </c>
      <c r="B130" s="185" t="str">
        <f>'Pay App 1'!B130</f>
        <v>22 00 00</v>
      </c>
      <c r="C130" s="191" t="str">
        <f>'Pay App 1'!C130</f>
        <v>Plumbing</v>
      </c>
      <c r="D130" s="155">
        <f>'Pay App 1'!D130</f>
        <v>0</v>
      </c>
      <c r="E130" s="155">
        <f>VLOOKUP(B130,'Graph Data'!$O$2:$BX$88,19,FALSE)</f>
        <v>0</v>
      </c>
      <c r="F130" s="155">
        <f>IFERROR(E130+'Pay App 16'!F130,"")</f>
        <v>0</v>
      </c>
      <c r="G130" s="155">
        <f>SUM('Pay App 1:Pay App 16'!H130)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17'!L130)+SUM('Pay App 1:Pay App 17'!M130)</f>
        <v>0</v>
      </c>
    </row>
    <row r="131" spans="1:14" ht="11.25" customHeight="1" x14ac:dyDescent="0.25">
      <c r="A131" s="152">
        <f t="shared" si="3"/>
        <v>70</v>
      </c>
      <c r="B131" s="186" t="str">
        <f>'Pay App 1'!B131</f>
        <v>23 00 00</v>
      </c>
      <c r="C131" s="192" t="str">
        <f>'Pay App 1'!C131</f>
        <v>HVAC</v>
      </c>
      <c r="D131" s="155">
        <f>'Pay App 1'!D131</f>
        <v>0</v>
      </c>
      <c r="E131" s="155">
        <f>VLOOKUP(B131,'Graph Data'!$O$2:$BX$88,19,FALSE)</f>
        <v>0</v>
      </c>
      <c r="F131" s="155">
        <f>IFERROR(E131+'Pay App 16'!F131,"")</f>
        <v>0</v>
      </c>
      <c r="G131" s="155">
        <f>SUM('Pay App 1:Pay App 16'!H131)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17'!L131)+SUM('Pay App 1:Pay App 17'!M131)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Data'!$O$2:$BX$88,19,FALSE)</f>
        <v>0</v>
      </c>
      <c r="F132" s="155">
        <f>IFERROR(E132+'Pay App 16'!F132,"")</f>
        <v>0</v>
      </c>
      <c r="G132" s="155">
        <f>SUM('Pay App 1:Pay App 16'!H132)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17'!L132)+SUM('Pay App 1:Pay App 17'!M132)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Data'!$O$2:$BX$88,19,FALSE)</f>
        <v>0</v>
      </c>
      <c r="F133" s="155">
        <f>IFERROR(E133+'Pay App 16'!F133,"")</f>
        <v>0</v>
      </c>
      <c r="G133" s="155">
        <f>SUM('Pay App 1:Pay App 16'!H133)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17'!L133)+SUM('Pay App 1:Pay App 17'!M133)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Data'!$O$2:$BX$88,19,FALSE)</f>
        <v>0</v>
      </c>
      <c r="F134" s="155">
        <f>IFERROR(E134+'Pay App 16'!F134,"")</f>
        <v>0</v>
      </c>
      <c r="G134" s="155">
        <f>SUM('Pay App 1:Pay App 16'!H134)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17'!L134)+SUM('Pay App 1:Pay App 17'!M134)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Data'!$O$2:$BX$88,19,FALSE)</f>
        <v>0</v>
      </c>
      <c r="F135" s="155">
        <f>IFERROR(E135+'Pay App 16'!F135,"")</f>
        <v>0</v>
      </c>
      <c r="G135" s="155">
        <f>SUM('Pay App 1:Pay App 16'!H135)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17'!L135)+SUM('Pay App 1:Pay App 17'!M135)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Data'!$O$2:$BX$88,19,FALSE)</f>
        <v>0</v>
      </c>
      <c r="F136" s="155">
        <f>IFERROR(E136+'Pay App 16'!F136,"")</f>
        <v>0</v>
      </c>
      <c r="G136" s="155">
        <f>SUM('Pay App 1:Pay App 16'!H136)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17'!L136)+SUM('Pay App 1:Pay App 17'!M136)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Data'!$O$2:$BX$88,19,FALSE)</f>
        <v>0</v>
      </c>
      <c r="F137" s="155">
        <f>IFERROR(E137+'Pay App 16'!F137,"")</f>
        <v>0</v>
      </c>
      <c r="G137" s="155">
        <f>SUM('Pay App 1:Pay App 16'!H137)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17'!L137)+SUM('Pay App 1:Pay App 17'!M137)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Data'!$O$2:$BX$88,19,FALSE)</f>
        <v>0</v>
      </c>
      <c r="F138" s="155">
        <f>IFERROR(E138+'Pay App 16'!F138,"")</f>
        <v>0</v>
      </c>
      <c r="G138" s="155">
        <f>SUM('Pay App 1:Pay App 16'!H138)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17'!L138)+SUM('Pay App 1:Pay App 17'!M138)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Data'!$O$2:$BX$88,19,FALSE)</f>
        <v>0</v>
      </c>
      <c r="F139" s="155">
        <f>IFERROR(E139+'Pay App 16'!F139,"")</f>
        <v>0</v>
      </c>
      <c r="G139" s="155">
        <f>SUM('Pay App 1:Pay App 16'!H139)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17'!L139)+SUM('Pay App 1:Pay App 17'!M139)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Data'!$O$2:$BX$88,19,FALSE)</f>
        <v>0</v>
      </c>
      <c r="F140" s="155">
        <f>IFERROR(E140+'Pay App 16'!F140,"")</f>
        <v>0</v>
      </c>
      <c r="G140" s="155">
        <f>SUM('Pay App 1:Pay App 16'!H140)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17'!L140)+SUM('Pay App 1:Pay App 17'!M140)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Data'!$O$2:$BX$88,19,FALSE)</f>
        <v>0</v>
      </c>
      <c r="F141" s="155">
        <f>IFERROR(E141+'Pay App 16'!F141,"")</f>
        <v>0</v>
      </c>
      <c r="G141" s="155">
        <f>SUM('Pay App 1:Pay App 16'!H141)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17'!L141)+SUM('Pay App 1:Pay App 17'!M141)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Data'!$O$2:$BX$88,19,FALSE)</f>
        <v>0</v>
      </c>
      <c r="F142" s="155">
        <f>IFERROR(E142+'Pay App 16'!F142,"")</f>
        <v>0</v>
      </c>
      <c r="G142" s="155">
        <f>SUM('Pay App 1:Pay App 16'!H142)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17'!L142)+SUM('Pay App 1:Pay App 17'!M142)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Data'!$O$2:$BX$88,19,FALSE)</f>
        <v>0</v>
      </c>
      <c r="F143" s="155">
        <f>IFERROR(E143+'Pay App 16'!F143,"")</f>
        <v>0</v>
      </c>
      <c r="G143" s="155">
        <f>SUM('Pay App 1:Pay App 16'!H143)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17'!L143)+SUM('Pay App 1:Pay App 17'!M143)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Data'!$O$2:$BX$88,19,FALSE)</f>
        <v>0</v>
      </c>
      <c r="F144" s="155">
        <f>IFERROR(E144+'Pay App 16'!F144,"")</f>
        <v>0</v>
      </c>
      <c r="G144" s="155">
        <f>SUM('Pay App 1:Pay App 16'!H144)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17'!L144)+SUM('Pay App 1:Pay App 17'!M144)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Data'!$O$2:$BX$88,19,FALSE)</f>
        <v>0</v>
      </c>
      <c r="F145" s="155">
        <f>IFERROR(E145+'Pay App 16'!F145,"")</f>
        <v>0</v>
      </c>
      <c r="G145" s="155">
        <f>SUM('Pay App 1:Pay App 16'!H145)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17'!L145)+SUM('Pay App 1:Pay App 17'!M145)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Data'!$O$2:$BX$88,19,FALSE)</f>
        <v>0</v>
      </c>
      <c r="F146" s="155">
        <f>IFERROR(E146+'Pay App 16'!F146,"")</f>
        <v>0</v>
      </c>
      <c r="G146" s="155">
        <f>SUM('Pay App 1:Pay App 16'!H146)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17'!L146)+SUM('Pay App 1:Pay App 17'!M146)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Data'!$O$2:$BX$88,19,FALSE)</f>
        <v>0</v>
      </c>
      <c r="F147" s="155">
        <f>IFERROR(E147+'Pay App 16'!F147,"")</f>
        <v>0</v>
      </c>
      <c r="G147" s="155">
        <f>SUM('Pay App 1:Pay App 16'!H147)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17'!L147)+SUM('Pay App 1:Pay App 17'!M147)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Data'!$O$2:$BX$88,19,FALSE)</f>
        <v>0</v>
      </c>
      <c r="F148" s="155">
        <f>IFERROR(E148+'Pay App 16'!F148,"")</f>
        <v>0</v>
      </c>
      <c r="G148" s="155">
        <f>SUM('Pay App 1:Pay App 16'!H148)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17'!L148)+SUM('Pay App 1:Pay App 17'!M148)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nS4puViqmRzzdQ5AhE7Nu9/nnMmqcteJlcEsF/mHZaCJH1Rvh1TbTS1sqe4T/a+gYCWupTZZePaH/hfpKfl+QQ==" saltValue="2T44Ecj2uW5080jaLefVX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83" priority="2" operator="equal">
      <formula>0</formula>
    </cfRule>
  </conditionalFormatting>
  <conditionalFormatting sqref="D106:G148">
    <cfRule type="cellIs" dxfId="482" priority="1" operator="equal">
      <formula>0</formula>
    </cfRule>
  </conditionalFormatting>
  <conditionalFormatting sqref="D10:H10 D12:H14 D19:H21">
    <cfRule type="cellIs" dxfId="481" priority="6" operator="equal">
      <formula>0</formula>
    </cfRule>
  </conditionalFormatting>
  <conditionalFormatting sqref="H51">
    <cfRule type="cellIs" dxfId="480" priority="9" operator="lessThan">
      <formula>0</formula>
    </cfRule>
  </conditionalFormatting>
  <conditionalFormatting sqref="I57:I100 K57:K100 I106:I148 K106:K148 N106:N148">
    <cfRule type="cellIs" dxfId="479" priority="14" operator="equal">
      <formula>0</formula>
    </cfRule>
  </conditionalFormatting>
  <conditionalFormatting sqref="J57:J100 J106:J149">
    <cfRule type="cellIs" dxfId="478" priority="11" operator="greaterThan">
      <formula>1</formula>
    </cfRule>
    <cfRule type="cellIs" dxfId="477" priority="12" operator="equal">
      <formula>0</formula>
    </cfRule>
  </conditionalFormatting>
  <conditionalFormatting sqref="K57:K100 K106:K148">
    <cfRule type="cellIs" dxfId="476" priority="10" operator="lessThan">
      <formula>0</formula>
    </cfRule>
  </conditionalFormatting>
  <conditionalFormatting sqref="M57:M100">
    <cfRule type="cellIs" dxfId="475" priority="13" operator="lessThan">
      <formula>0</formula>
    </cfRule>
  </conditionalFormatting>
  <conditionalFormatting sqref="M106:M148">
    <cfRule type="cellIs" dxfId="474" priority="8" operator="lessThan">
      <formula>0</formula>
    </cfRule>
  </conditionalFormatting>
  <conditionalFormatting sqref="N57:N100">
    <cfRule type="cellIs" dxfId="47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2BA9B5A-3F79-44AE-BDA0-FF1E36CE4B32}">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5F096-B59E-48E4-AEAA-5EDA4751A1A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18.100000000000001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Data'!$O$2:$BX$88,20,FALSE)</f>
        <v>0</v>
      </c>
      <c r="F57" s="155">
        <f>IFERROR(E57+'Pay App 17'!F57,"")</f>
        <v>0</v>
      </c>
      <c r="G57" s="155">
        <f>SUM('Pay App 1:Pay App 17'!H57)</f>
        <v>0</v>
      </c>
      <c r="H57" s="154"/>
      <c r="I57" s="155">
        <f>G57+H57</f>
        <v>0</v>
      </c>
      <c r="J57" s="156">
        <f>IFERROR(I57/F57,0)</f>
        <v>0</v>
      </c>
      <c r="K57" s="155">
        <f>IFERROR(F57-I57,"")</f>
        <v>0</v>
      </c>
      <c r="L57" s="155" t="str">
        <f>IF(AND('Summary Sheet'!$E$23="No",$H$33&gt;0,H57&gt;=1),"",IF(AND('Summary Sheet'!$E$23="Yes",H57&lt;&gt;""),H57*'Summary Sheet'!$G$23,""))</f>
        <v/>
      </c>
      <c r="M57" s="154"/>
      <c r="N57" s="155">
        <f>SUM('Pay App 1:Pay App 18'!L57)+SUM('Pay App 1:Pay App 18'!M57)</f>
        <v>0</v>
      </c>
    </row>
    <row r="58" spans="1:16" ht="11.25" customHeight="1" x14ac:dyDescent="0.25">
      <c r="A58" s="152">
        <v>2</v>
      </c>
      <c r="B58" s="145" t="str">
        <f>'Pay App 1'!B58</f>
        <v>00 02 00</v>
      </c>
      <c r="C58" s="134" t="str">
        <f>'Pay App 1'!C58</f>
        <v>Preconstruction Services</v>
      </c>
      <c r="D58" s="155">
        <f>'Pay App 1'!D58</f>
        <v>0</v>
      </c>
      <c r="E58" s="155">
        <f>VLOOKUP(B58,'Graph Data'!$O$2:$BX$88,20,FALSE)</f>
        <v>0</v>
      </c>
      <c r="F58" s="155">
        <f>IFERROR(E58+'Pay App 17'!F58,"")</f>
        <v>0</v>
      </c>
      <c r="G58" s="155">
        <f>SUM('Pay App 1:Pay App 17'!H58)</f>
        <v>0</v>
      </c>
      <c r="H58" s="154"/>
      <c r="I58" s="155">
        <f>G58+H58</f>
        <v>0</v>
      </c>
      <c r="J58" s="156">
        <f>IFERROR(I58/F58,0)</f>
        <v>0</v>
      </c>
      <c r="K58" s="155">
        <f>IFERROR(F58-I58,"")</f>
        <v>0</v>
      </c>
      <c r="L58" s="155" t="str">
        <f>IF(AND('Summary Sheet'!$E$23="No",$H$33&gt;0,H58&gt;=1),"",IF(AND('Summary Sheet'!$E$23="Yes",H58&lt;&gt;""),H58*'Summary Sheet'!$G$23,""))</f>
        <v/>
      </c>
      <c r="M58" s="154"/>
      <c r="N58" s="155">
        <f>SUM('Pay App 1:Pay App 18'!L58)+SUM('Pay App 1:Pay App 18'!M58)</f>
        <v>0</v>
      </c>
    </row>
    <row r="59" spans="1:16" ht="11.25" customHeight="1" x14ac:dyDescent="0.25">
      <c r="A59" s="152">
        <v>3</v>
      </c>
      <c r="B59" s="174" t="str">
        <f>'Pay App 1'!B59</f>
        <v>01 00 00</v>
      </c>
      <c r="C59" s="179" t="str">
        <f>'Pay App 1'!C59</f>
        <v>General Conditions/Requirements</v>
      </c>
      <c r="D59" s="155">
        <f>'Pay App 1'!D59</f>
        <v>0</v>
      </c>
      <c r="E59" s="155">
        <f>VLOOKUP(B59,'Graph Data'!$O$2:$BX$88,20,FALSE)</f>
        <v>0</v>
      </c>
      <c r="F59" s="155">
        <f>IFERROR(E59+'Pay App 17'!F59,"")</f>
        <v>0</v>
      </c>
      <c r="G59" s="155">
        <f>SUM('Pay App 1:Pay App 17'!H59)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18'!L59)+SUM('Pay App 1:Pay App 18'!M59)</f>
        <v>0</v>
      </c>
    </row>
    <row r="60" spans="1:16" ht="11.25" customHeight="1" x14ac:dyDescent="0.25">
      <c r="A60" s="152">
        <v>4</v>
      </c>
      <c r="B60" s="174" t="str">
        <f>'Pay App 1'!B60</f>
        <v>01 13 41</v>
      </c>
      <c r="C60" s="179" t="str">
        <f>'Pay App 1'!C60</f>
        <v>Temp. Scaffolding and Platforms</v>
      </c>
      <c r="D60" s="155">
        <f>'Pay App 1'!D60</f>
        <v>0</v>
      </c>
      <c r="E60" s="155">
        <f>VLOOKUP(B60,'Graph Data'!$O$2:$BX$88,20,FALSE)</f>
        <v>0</v>
      </c>
      <c r="F60" s="155">
        <f>IFERROR(E60+'Pay App 17'!F60,"")</f>
        <v>0</v>
      </c>
      <c r="G60" s="155">
        <f>SUM('Pay App 1:Pay App 17'!H60)</f>
        <v>0</v>
      </c>
      <c r="H60" s="154"/>
      <c r="I60" s="155">
        <f t="shared" si="0"/>
        <v>0</v>
      </c>
      <c r="J60" s="156">
        <f t="shared" si="1"/>
        <v>0</v>
      </c>
      <c r="K60" s="155">
        <f t="shared" si="2"/>
        <v>0</v>
      </c>
      <c r="L60" s="155" t="str">
        <f>IF(AND('Summary Sheet'!$E$23="No",$H$33&gt;0,H60&gt;=1),"",IF(AND('Summary Sheet'!$E$23="Yes",H60&lt;&gt;""),H60*'Summary Sheet'!$G$23,""))</f>
        <v/>
      </c>
      <c r="M60" s="154"/>
      <c r="N60" s="155">
        <f>SUM('Pay App 1:Pay App 18'!L60)+SUM('Pay App 1:Pay App 18'!M60)</f>
        <v>0</v>
      </c>
    </row>
    <row r="61" spans="1:16" ht="11.25" customHeight="1" x14ac:dyDescent="0.25">
      <c r="A61" s="152">
        <v>5</v>
      </c>
      <c r="B61" s="174" t="str">
        <f>'Pay App 1'!B61</f>
        <v>01 13 60</v>
      </c>
      <c r="C61" s="179" t="str">
        <f>'Pay App 1'!C61</f>
        <v>SWPPP</v>
      </c>
      <c r="D61" s="155">
        <f>'Pay App 1'!D61</f>
        <v>0</v>
      </c>
      <c r="E61" s="155">
        <f>VLOOKUP(B61,'Graph Data'!$O$2:$BX$88,20,FALSE)</f>
        <v>0</v>
      </c>
      <c r="F61" s="155">
        <f>IFERROR(E61+'Pay App 17'!F61,"")</f>
        <v>0</v>
      </c>
      <c r="G61" s="155">
        <f>SUM('Pay App 1:Pay App 17'!H61)</f>
        <v>0</v>
      </c>
      <c r="H61" s="154"/>
      <c r="I61" s="155">
        <f t="shared" si="0"/>
        <v>0</v>
      </c>
      <c r="J61" s="156">
        <f t="shared" si="1"/>
        <v>0</v>
      </c>
      <c r="K61" s="155">
        <f t="shared" si="2"/>
        <v>0</v>
      </c>
      <c r="L61" s="155" t="str">
        <f>IF(AND('Summary Sheet'!$E$23="No",$H$33&gt;0,H61&gt;=1),"",IF(AND('Summary Sheet'!$E$23="Yes",H61&lt;&gt;""),H61*'Summary Sheet'!$G$23,""))</f>
        <v/>
      </c>
      <c r="M61" s="154"/>
      <c r="N61" s="155">
        <f>SUM('Pay App 1:Pay App 18'!L61)+SUM('Pay App 1:Pay App 18'!M61)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Data'!$O$2:$BX$88,20,FALSE)</f>
        <v>0</v>
      </c>
      <c r="F62" s="155">
        <f>IFERROR(E62+'Pay App 17'!F62,"")</f>
        <v>0</v>
      </c>
      <c r="G62" s="155">
        <f>SUM('Pay App 1:Pay App 17'!H62)</f>
        <v>0</v>
      </c>
      <c r="H62" s="154"/>
      <c r="I62" s="155">
        <f t="shared" si="0"/>
        <v>0</v>
      </c>
      <c r="J62" s="156">
        <f t="shared" si="1"/>
        <v>0</v>
      </c>
      <c r="K62" s="155">
        <f t="shared" si="2"/>
        <v>0</v>
      </c>
      <c r="L62" s="155" t="str">
        <f>IF(AND('Summary Sheet'!$E$23="No",$H$33&gt;0,H62&gt;=1),"",IF(AND('Summary Sheet'!$E$23="Yes",H62&lt;&gt;""),H62*'Summary Sheet'!$G$23,""))</f>
        <v/>
      </c>
      <c r="M62" s="154"/>
      <c r="N62" s="155">
        <f>SUM('Pay App 1:Pay App 18'!L62)+SUM('Pay App 1:Pay App 18'!M62)</f>
        <v>0</v>
      </c>
    </row>
    <row r="63" spans="1:16" ht="11.25" customHeight="1" x14ac:dyDescent="0.25">
      <c r="A63" s="152">
        <v>7</v>
      </c>
      <c r="B63" s="174" t="str">
        <f>'Pay App 1'!B63</f>
        <v>01 31 00</v>
      </c>
      <c r="C63" s="179" t="str">
        <f>'Pay App 1'!C63</f>
        <v>Contractor's Supervision</v>
      </c>
      <c r="D63" s="155">
        <f>'Pay App 1'!D63</f>
        <v>0</v>
      </c>
      <c r="E63" s="155">
        <f>VLOOKUP(B63,'Graph Data'!$O$2:$BX$88,20,FALSE)</f>
        <v>0</v>
      </c>
      <c r="F63" s="155">
        <f>IFERROR(E63+'Pay App 17'!F63,"")</f>
        <v>0</v>
      </c>
      <c r="G63" s="155">
        <f>SUM('Pay App 1:Pay App 17'!H63)</f>
        <v>0</v>
      </c>
      <c r="H63" s="154"/>
      <c r="I63" s="155">
        <f t="shared" si="0"/>
        <v>0</v>
      </c>
      <c r="J63" s="156">
        <f t="shared" si="1"/>
        <v>0</v>
      </c>
      <c r="K63" s="155">
        <f t="shared" si="2"/>
        <v>0</v>
      </c>
      <c r="L63" s="155" t="str">
        <f>IF(AND('Summary Sheet'!$E$23="No",$H$33&gt;0,H63&gt;=1),"",IF(AND('Summary Sheet'!$E$23="Yes",H63&lt;&gt;""),H63*'Summary Sheet'!$G$23,""))</f>
        <v/>
      </c>
      <c r="M63" s="154"/>
      <c r="N63" s="155">
        <f>SUM('Pay App 1:Pay App 18'!L63)+SUM('Pay App 1:Pay App 18'!M63)</f>
        <v>0</v>
      </c>
    </row>
    <row r="64" spans="1:16" ht="11.25" customHeight="1" x14ac:dyDescent="0.25">
      <c r="A64" s="152">
        <v>8</v>
      </c>
      <c r="B64" s="174" t="str">
        <f>'Pay App 1'!B64</f>
        <v>01 32 00</v>
      </c>
      <c r="C64" s="179" t="str">
        <f>'Pay App 1'!C64</f>
        <v>General Liability Insurance</v>
      </c>
      <c r="D64" s="155">
        <f>'Pay App 1'!D64</f>
        <v>0</v>
      </c>
      <c r="E64" s="155">
        <f>VLOOKUP(B64,'Graph Data'!$O$2:$BX$88,20,FALSE)</f>
        <v>0</v>
      </c>
      <c r="F64" s="155">
        <f>IFERROR(E64+'Pay App 17'!F64,"")</f>
        <v>0</v>
      </c>
      <c r="G64" s="155">
        <f>SUM('Pay App 1:Pay App 17'!H64)</f>
        <v>0</v>
      </c>
      <c r="H64" s="154"/>
      <c r="I64" s="155">
        <f t="shared" si="0"/>
        <v>0</v>
      </c>
      <c r="J64" s="156">
        <f t="shared" si="1"/>
        <v>0</v>
      </c>
      <c r="K64" s="155">
        <f t="shared" si="2"/>
        <v>0</v>
      </c>
      <c r="L64" s="155" t="str">
        <f>IF(AND('Summary Sheet'!$E$23="No",$H$33&gt;0,H64&gt;=1),"",IF(AND('Summary Sheet'!$E$23="Yes",H64&lt;&gt;""),H64*'Summary Sheet'!$G$23,""))</f>
        <v/>
      </c>
      <c r="M64" s="154"/>
      <c r="N64" s="155">
        <f>SUM('Pay App 1:Pay App 18'!L64)+SUM('Pay App 1:Pay App 18'!M64)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Data'!$O$2:$BX$88,20,FALSE)</f>
        <v>0</v>
      </c>
      <c r="F65" s="155">
        <f>IFERROR(E65+'Pay App 17'!F65,"")</f>
        <v>0</v>
      </c>
      <c r="G65" s="155">
        <f>SUM('Pay App 1:Pay App 17'!H65)</f>
        <v>0</v>
      </c>
      <c r="H65" s="154"/>
      <c r="I65" s="155">
        <f t="shared" si="0"/>
        <v>0</v>
      </c>
      <c r="J65" s="156">
        <f t="shared" si="1"/>
        <v>0</v>
      </c>
      <c r="K65" s="155">
        <f t="shared" si="2"/>
        <v>0</v>
      </c>
      <c r="L65" s="155" t="str">
        <f>IF(AND('Summary Sheet'!$E$23="No",$H$33&gt;0,H65&gt;=1),"",IF(AND('Summary Sheet'!$E$23="Yes",H65&lt;&gt;""),H65*'Summary Sheet'!$G$23,""))</f>
        <v/>
      </c>
      <c r="M65" s="154"/>
      <c r="N65" s="155">
        <f>SUM('Pay App 1:Pay App 18'!L65)+SUM('Pay App 1:Pay App 18'!M65)</f>
        <v>0</v>
      </c>
    </row>
    <row r="66" spans="1:17" ht="11.25" customHeight="1" x14ac:dyDescent="0.25">
      <c r="A66" s="152">
        <v>10</v>
      </c>
      <c r="B66" s="174" t="str">
        <f>'Pay App 1'!B66</f>
        <v>01 34 00</v>
      </c>
      <c r="C66" s="179" t="str">
        <f>'Pay App 1'!C66</f>
        <v>Subcontractor Default Insurance</v>
      </c>
      <c r="D66" s="155">
        <f>'Pay App 1'!D66</f>
        <v>0</v>
      </c>
      <c r="E66" s="155">
        <f>VLOOKUP(B66,'Graph Data'!$O$2:$BX$88,20,FALSE)</f>
        <v>0</v>
      </c>
      <c r="F66" s="155">
        <f>IFERROR(E66+'Pay App 17'!F66,"")</f>
        <v>0</v>
      </c>
      <c r="G66" s="155">
        <f>SUM('Pay App 1:Pay App 17'!H66)</f>
        <v>0</v>
      </c>
      <c r="H66" s="154"/>
      <c r="I66" s="155">
        <f t="shared" si="0"/>
        <v>0</v>
      </c>
      <c r="J66" s="156">
        <f t="shared" si="1"/>
        <v>0</v>
      </c>
      <c r="K66" s="155">
        <f t="shared" si="2"/>
        <v>0</v>
      </c>
      <c r="L66" s="155" t="str">
        <f>IF(AND('Summary Sheet'!$E$23="No",$H$33&gt;0,H66&gt;=1),"",IF(AND('Summary Sheet'!$E$23="Yes",H66&lt;&gt;""),H66*'Summary Sheet'!$G$23,""))</f>
        <v/>
      </c>
      <c r="M66" s="154"/>
      <c r="N66" s="155">
        <f>SUM('Pay App 1:Pay App 18'!L66)+SUM('Pay App 1:Pay App 18'!M66)</f>
        <v>0</v>
      </c>
    </row>
    <row r="67" spans="1:17" ht="11.25" customHeight="1" x14ac:dyDescent="0.25">
      <c r="A67" s="152">
        <v>11</v>
      </c>
      <c r="B67" s="174" t="str">
        <f>'Pay App 1'!B67</f>
        <v>01 35 00</v>
      </c>
      <c r="C67" s="179" t="str">
        <f>'Pay App 1'!C67</f>
        <v>Construction Management Fee</v>
      </c>
      <c r="D67" s="155">
        <f>'Pay App 1'!D67</f>
        <v>0</v>
      </c>
      <c r="E67" s="155">
        <f>VLOOKUP(B67,'Graph Data'!$O$2:$BX$88,20,FALSE)</f>
        <v>0</v>
      </c>
      <c r="F67" s="155">
        <f>IFERROR(E67+'Pay App 17'!F67,"")</f>
        <v>0</v>
      </c>
      <c r="G67" s="155">
        <f>SUM('Pay App 1:Pay App 17'!H67)</f>
        <v>0</v>
      </c>
      <c r="H67" s="154"/>
      <c r="I67" s="155">
        <f t="shared" si="0"/>
        <v>0</v>
      </c>
      <c r="J67" s="156">
        <f t="shared" si="1"/>
        <v>0</v>
      </c>
      <c r="K67" s="155">
        <f t="shared" si="2"/>
        <v>0</v>
      </c>
      <c r="L67" s="155" t="str">
        <f>IF(AND('Summary Sheet'!$E$23="No",$H$33&gt;0,H67&gt;=1),"",IF(AND('Summary Sheet'!$E$23="Yes",H67&lt;&gt;""),H67*'Summary Sheet'!$G$23,""))</f>
        <v/>
      </c>
      <c r="M67" s="154"/>
      <c r="N67" s="155">
        <f>SUM('Pay App 1:Pay App 18'!L67)+SUM('Pay App 1:Pay App 18'!M67)</f>
        <v>0</v>
      </c>
    </row>
    <row r="68" spans="1:17" ht="11.25" customHeight="1" x14ac:dyDescent="0.25">
      <c r="A68" s="152">
        <v>12</v>
      </c>
      <c r="B68" s="174" t="str">
        <f>'Pay App 1'!B68</f>
        <v>01 36 00</v>
      </c>
      <c r="C68" s="179" t="str">
        <f>'Pay App 1'!C68</f>
        <v>Contingency</v>
      </c>
      <c r="D68" s="155">
        <f>'Pay App 1'!D68</f>
        <v>0</v>
      </c>
      <c r="E68" s="155">
        <f>VLOOKUP(B68,'Graph Data'!$O$2:$BX$88,20,FALSE)</f>
        <v>0</v>
      </c>
      <c r="F68" s="155">
        <f>IFERROR(E68+'Pay App 17'!F68,"")</f>
        <v>0</v>
      </c>
      <c r="G68" s="155">
        <f>SUM('Pay App 1:Pay App 17'!H68)</f>
        <v>0</v>
      </c>
      <c r="H68" s="154"/>
      <c r="I68" s="155">
        <f t="shared" si="0"/>
        <v>0</v>
      </c>
      <c r="J68" s="156">
        <f t="shared" si="1"/>
        <v>0</v>
      </c>
      <c r="K68" s="155">
        <f t="shared" si="2"/>
        <v>0</v>
      </c>
      <c r="L68" s="155" t="str">
        <f>IF(AND('Summary Sheet'!$E$23="No",$H$33&gt;0,H68&gt;=1),"",IF(AND('Summary Sheet'!$E$23="Yes",H68&lt;&gt;""),H68*'Summary Sheet'!$G$23,""))</f>
        <v/>
      </c>
      <c r="M68" s="154"/>
      <c r="N68" s="155">
        <f>SUM('Pay App 1:Pay App 18'!L68)+SUM('Pay App 1:Pay App 18'!M68)</f>
        <v>0</v>
      </c>
    </row>
    <row r="69" spans="1:17" ht="11.25" customHeight="1" x14ac:dyDescent="0.25">
      <c r="A69" s="152">
        <v>13</v>
      </c>
      <c r="B69" s="174" t="str">
        <f>'Pay App 1'!B69</f>
        <v>01 37 00</v>
      </c>
      <c r="C69" s="179" t="str">
        <f>'Pay App 1'!C69</f>
        <v>Weather Allowance (All Trades)</v>
      </c>
      <c r="D69" s="155">
        <f>'Pay App 1'!D69</f>
        <v>0</v>
      </c>
      <c r="E69" s="155">
        <f>VLOOKUP(B69,'Graph Data'!$O$2:$BX$88,20,FALSE)</f>
        <v>0</v>
      </c>
      <c r="F69" s="155">
        <f>IFERROR(E69+'Pay App 17'!F69,"")</f>
        <v>0</v>
      </c>
      <c r="G69" s="155">
        <f>SUM('Pay App 1:Pay App 17'!H69)</f>
        <v>0</v>
      </c>
      <c r="H69" s="154"/>
      <c r="I69" s="155">
        <f t="shared" si="0"/>
        <v>0</v>
      </c>
      <c r="J69" s="156">
        <f t="shared" si="1"/>
        <v>0</v>
      </c>
      <c r="K69" s="155">
        <f t="shared" si="2"/>
        <v>0</v>
      </c>
      <c r="L69" s="155" t="str">
        <f>IF(AND('Summary Sheet'!$E$23="No",$H$33&gt;0,H69&gt;=1),"",IF(AND('Summary Sheet'!$E$23="Yes",H69&lt;&gt;""),H69*'Summary Sheet'!$G$23,""))</f>
        <v/>
      </c>
      <c r="M69" s="154"/>
      <c r="N69" s="155">
        <f>SUM('Pay App 1:Pay App 18'!L69)+SUM('Pay App 1:Pay App 18'!M69)</f>
        <v>0</v>
      </c>
    </row>
    <row r="70" spans="1:17" ht="11.25" customHeight="1" x14ac:dyDescent="0.25">
      <c r="A70" s="152">
        <v>14</v>
      </c>
      <c r="B70" s="174" t="str">
        <f>'Pay App 1'!B70</f>
        <v>01 74 23</v>
      </c>
      <c r="C70" s="179" t="str">
        <f>'Pay App 1'!C70</f>
        <v>Cleaning (Final)</v>
      </c>
      <c r="D70" s="155">
        <f>'Pay App 1'!D70</f>
        <v>0</v>
      </c>
      <c r="E70" s="155">
        <f>VLOOKUP(B70,'Graph Data'!$O$2:$BX$88,20,FALSE)</f>
        <v>0</v>
      </c>
      <c r="F70" s="155">
        <f>IFERROR(E70+'Pay App 17'!F70,"")</f>
        <v>0</v>
      </c>
      <c r="G70" s="155">
        <f>SUM('Pay App 1:Pay App 17'!H70)</f>
        <v>0</v>
      </c>
      <c r="H70" s="154"/>
      <c r="I70" s="155">
        <f t="shared" si="0"/>
        <v>0</v>
      </c>
      <c r="J70" s="156">
        <f t="shared" si="1"/>
        <v>0</v>
      </c>
      <c r="K70" s="155">
        <f t="shared" si="2"/>
        <v>0</v>
      </c>
      <c r="L70" s="155" t="str">
        <f>IF(AND('Summary Sheet'!$E$23="No",$H$33&gt;0,H70&gt;=1),"",IF(AND('Summary Sheet'!$E$23="Yes",H70&lt;&gt;""),H70*'Summary Sheet'!$G$23,""))</f>
        <v/>
      </c>
      <c r="M70" s="154"/>
      <c r="N70" s="155">
        <f>SUM('Pay App 1:Pay App 18'!L70)+SUM('Pay App 1:Pay App 18'!M70)</f>
        <v>0</v>
      </c>
    </row>
    <row r="71" spans="1:17" ht="11.25" customHeight="1" x14ac:dyDescent="0.25">
      <c r="A71" s="152">
        <v>15</v>
      </c>
      <c r="B71" s="175" t="str">
        <f>'Pay App 1'!B71</f>
        <v>02 21 00</v>
      </c>
      <c r="C71" s="180" t="str">
        <f>'Pay App 1'!C71</f>
        <v>Survey/Engineering</v>
      </c>
      <c r="D71" s="155">
        <f>'Pay App 1'!D71</f>
        <v>0</v>
      </c>
      <c r="E71" s="155">
        <f>VLOOKUP(B71,'Graph Data'!$O$2:$BX$88,20,FALSE)</f>
        <v>0</v>
      </c>
      <c r="F71" s="155">
        <f>IFERROR(E71+'Pay App 17'!F71,"")</f>
        <v>0</v>
      </c>
      <c r="G71" s="155">
        <f>SUM('Pay App 1:Pay App 17'!H71)</f>
        <v>0</v>
      </c>
      <c r="H71" s="154"/>
      <c r="I71" s="155">
        <f t="shared" si="0"/>
        <v>0</v>
      </c>
      <c r="J71" s="156">
        <f t="shared" si="1"/>
        <v>0</v>
      </c>
      <c r="K71" s="155">
        <f t="shared" si="2"/>
        <v>0</v>
      </c>
      <c r="L71" s="155" t="str">
        <f>IF(AND('Summary Sheet'!$E$23="No",$H$33&gt;0,H71&gt;=1),"",IF(AND('Summary Sheet'!$E$23="Yes",H71&lt;&gt;""),H71*'Summary Sheet'!$G$23,""))</f>
        <v/>
      </c>
      <c r="M71" s="154"/>
      <c r="N71" s="155">
        <f>SUM('Pay App 1:Pay App 18'!L71)+SUM('Pay App 1:Pay App 18'!M71)</f>
        <v>0</v>
      </c>
      <c r="Q71" s="28"/>
    </row>
    <row r="72" spans="1:17" ht="11.25" customHeight="1" x14ac:dyDescent="0.25">
      <c r="A72" s="152">
        <v>16</v>
      </c>
      <c r="B72" s="175" t="str">
        <f>'Pay App 1'!B72</f>
        <v>02 41 00</v>
      </c>
      <c r="C72" s="180" t="str">
        <f>'Pay App 1'!C72</f>
        <v>Demolition</v>
      </c>
      <c r="D72" s="155">
        <f>'Pay App 1'!D72</f>
        <v>0</v>
      </c>
      <c r="E72" s="155">
        <f>VLOOKUP(B72,'Graph Data'!$O$2:$BX$88,20,FALSE)</f>
        <v>0</v>
      </c>
      <c r="F72" s="155">
        <f>IFERROR(E72+'Pay App 17'!F72,"")</f>
        <v>0</v>
      </c>
      <c r="G72" s="155">
        <f>SUM('Pay App 1:Pay App 17'!H72)</f>
        <v>0</v>
      </c>
      <c r="H72" s="154"/>
      <c r="I72" s="155">
        <f t="shared" si="0"/>
        <v>0</v>
      </c>
      <c r="J72" s="156">
        <f t="shared" si="1"/>
        <v>0</v>
      </c>
      <c r="K72" s="155">
        <f t="shared" si="2"/>
        <v>0</v>
      </c>
      <c r="L72" s="155" t="str">
        <f>IF(AND('Summary Sheet'!$E$23="No",$H$33&gt;0,H72&gt;=1),"",IF(AND('Summary Sheet'!$E$23="Yes",H72&lt;&gt;""),H72*'Summary Sheet'!$G$23,""))</f>
        <v/>
      </c>
      <c r="M72" s="154"/>
      <c r="N72" s="155">
        <f>SUM('Pay App 1:Pay App 18'!L72)+SUM('Pay App 1:Pay App 18'!M72)</f>
        <v>0</v>
      </c>
      <c r="Q72" s="28"/>
    </row>
    <row r="73" spans="1:17" ht="11.25" customHeight="1" x14ac:dyDescent="0.25">
      <c r="A73" s="152">
        <v>17</v>
      </c>
      <c r="B73" s="175" t="str">
        <f>'Pay App 1'!B73</f>
        <v>02 82 00</v>
      </c>
      <c r="C73" s="180" t="str">
        <f>'Pay App 1'!C73</f>
        <v>Asbestos Abatement</v>
      </c>
      <c r="D73" s="155">
        <f>'Pay App 1'!D73</f>
        <v>0</v>
      </c>
      <c r="E73" s="155">
        <f>VLOOKUP(B73,'Graph Data'!$O$2:$BX$88,20,FALSE)</f>
        <v>0</v>
      </c>
      <c r="F73" s="155">
        <f>IFERROR(E73+'Pay App 17'!F73,"")</f>
        <v>0</v>
      </c>
      <c r="G73" s="155">
        <f>SUM('Pay App 1:Pay App 17'!H73)</f>
        <v>0</v>
      </c>
      <c r="H73" s="154"/>
      <c r="I73" s="155">
        <f t="shared" si="0"/>
        <v>0</v>
      </c>
      <c r="J73" s="156">
        <f t="shared" si="1"/>
        <v>0</v>
      </c>
      <c r="K73" s="155">
        <f t="shared" si="2"/>
        <v>0</v>
      </c>
      <c r="L73" s="155" t="str">
        <f>IF(AND('Summary Sheet'!$E$23="No",$H$33&gt;0,H73&gt;=1),"",IF(AND('Summary Sheet'!$E$23="Yes",H73&lt;&gt;""),H73*'Summary Sheet'!$G$23,""))</f>
        <v/>
      </c>
      <c r="M73" s="154"/>
      <c r="N73" s="155">
        <f>SUM('Pay App 1:Pay App 18'!L73)+SUM('Pay App 1:Pay App 18'!M73)</f>
        <v>0</v>
      </c>
    </row>
    <row r="74" spans="1:17" ht="11.25" customHeight="1" x14ac:dyDescent="0.25">
      <c r="A74" s="152">
        <v>18</v>
      </c>
      <c r="B74" s="176" t="str">
        <f>'Pay App 1'!B74</f>
        <v>03 00 00</v>
      </c>
      <c r="C74" s="181" t="str">
        <f>'Pay App 1'!C74</f>
        <v>Building Concrete</v>
      </c>
      <c r="D74" s="155">
        <f>'Pay App 1'!D74</f>
        <v>0</v>
      </c>
      <c r="E74" s="155">
        <f>VLOOKUP(B74,'Graph Data'!$O$2:$BX$88,20,FALSE)</f>
        <v>0</v>
      </c>
      <c r="F74" s="155">
        <f>IFERROR(E74+'Pay App 17'!F74,"")</f>
        <v>0</v>
      </c>
      <c r="G74" s="155">
        <f>SUM('Pay App 1:Pay App 17'!H74)</f>
        <v>0</v>
      </c>
      <c r="H74" s="154"/>
      <c r="I74" s="155">
        <f t="shared" si="0"/>
        <v>0</v>
      </c>
      <c r="J74" s="156">
        <f t="shared" si="1"/>
        <v>0</v>
      </c>
      <c r="K74" s="155">
        <f t="shared" si="2"/>
        <v>0</v>
      </c>
      <c r="L74" s="155" t="str">
        <f>IF(AND('Summary Sheet'!$E$23="No",$H$33&gt;0,H74&gt;=1),"",IF(AND('Summary Sheet'!$E$23="Yes",H74&lt;&gt;""),H74*'Summary Sheet'!$G$23,""))</f>
        <v/>
      </c>
      <c r="M74" s="154"/>
      <c r="N74" s="155">
        <f>SUM('Pay App 1:Pay App 18'!L74)+SUM('Pay App 1:Pay App 18'!M74)</f>
        <v>0</v>
      </c>
    </row>
    <row r="75" spans="1:17" ht="11.25" customHeight="1" x14ac:dyDescent="0.25">
      <c r="A75" s="152">
        <v>19</v>
      </c>
      <c r="B75" s="176" t="str">
        <f>'Pay App 1'!B75</f>
        <v>03 20 00</v>
      </c>
      <c r="C75" s="181" t="str">
        <f>'Pay App 1'!C75</f>
        <v>Building Concrete Reinforcing</v>
      </c>
      <c r="D75" s="155">
        <f>'Pay App 1'!D75</f>
        <v>0</v>
      </c>
      <c r="E75" s="155">
        <f>VLOOKUP(B75,'Graph Data'!$O$2:$BX$88,20,FALSE)</f>
        <v>0</v>
      </c>
      <c r="F75" s="155">
        <f>IFERROR(E75+'Pay App 17'!F75,"")</f>
        <v>0</v>
      </c>
      <c r="G75" s="155">
        <f>SUM('Pay App 1:Pay App 17'!H75)</f>
        <v>0</v>
      </c>
      <c r="H75" s="154"/>
      <c r="I75" s="155">
        <f t="shared" si="0"/>
        <v>0</v>
      </c>
      <c r="J75" s="156">
        <f t="shared" si="1"/>
        <v>0</v>
      </c>
      <c r="K75" s="155">
        <f t="shared" si="2"/>
        <v>0</v>
      </c>
      <c r="L75" s="155" t="str">
        <f>IF(AND('Summary Sheet'!$E$23="No",$H$33&gt;0,H75&gt;=1),"",IF(AND('Summary Sheet'!$E$23="Yes",H75&lt;&gt;""),H75*'Summary Sheet'!$G$23,""))</f>
        <v/>
      </c>
      <c r="M75" s="154"/>
      <c r="N75" s="155">
        <f>SUM('Pay App 1:Pay App 18'!L75)+SUM('Pay App 1:Pay App 18'!M75)</f>
        <v>0</v>
      </c>
    </row>
    <row r="76" spans="1:17" ht="11.25" customHeight="1" x14ac:dyDescent="0.25">
      <c r="A76" s="152">
        <v>20</v>
      </c>
      <c r="B76" s="176" t="str">
        <f>'Pay App 1'!B76</f>
        <v>03 40 00</v>
      </c>
      <c r="C76" s="181" t="str">
        <f>'Pay App 1'!C76</f>
        <v>Precast</v>
      </c>
      <c r="D76" s="155">
        <f>'Pay App 1'!D76</f>
        <v>0</v>
      </c>
      <c r="E76" s="155">
        <f>VLOOKUP(B76,'Graph Data'!$O$2:$BX$88,20,FALSE)</f>
        <v>0</v>
      </c>
      <c r="F76" s="155">
        <f>IFERROR(E76+'Pay App 17'!F76,"")</f>
        <v>0</v>
      </c>
      <c r="G76" s="155">
        <f>SUM('Pay App 1:Pay App 17'!H76)</f>
        <v>0</v>
      </c>
      <c r="H76" s="154"/>
      <c r="I76" s="155">
        <f t="shared" si="0"/>
        <v>0</v>
      </c>
      <c r="J76" s="156">
        <f t="shared" si="1"/>
        <v>0</v>
      </c>
      <c r="K76" s="155">
        <f t="shared" si="2"/>
        <v>0</v>
      </c>
      <c r="L76" s="155" t="str">
        <f>IF(AND('Summary Sheet'!$E$23="No",$H$33&gt;0,H76&gt;=1),"",IF(AND('Summary Sheet'!$E$23="Yes",H76&lt;&gt;""),H76*'Summary Sheet'!$G$23,""))</f>
        <v/>
      </c>
      <c r="M76" s="154"/>
      <c r="N76" s="155">
        <f>SUM('Pay App 1:Pay App 18'!L76)+SUM('Pay App 1:Pay App 18'!M76)</f>
        <v>0</v>
      </c>
    </row>
    <row r="77" spans="1:17" ht="11.25" customHeight="1" x14ac:dyDescent="0.25">
      <c r="A77" s="152">
        <v>21</v>
      </c>
      <c r="B77" s="177" t="str">
        <f>'Pay App 1'!B77</f>
        <v>04 00 00</v>
      </c>
      <c r="C77" s="182" t="str">
        <f>'Pay App 1'!C77</f>
        <v>Masonry</v>
      </c>
      <c r="D77" s="155">
        <f>'Pay App 1'!D77</f>
        <v>0</v>
      </c>
      <c r="E77" s="155">
        <f>VLOOKUP(B77,'Graph Data'!$O$2:$BX$88,20,FALSE)</f>
        <v>0</v>
      </c>
      <c r="F77" s="155">
        <f>IFERROR(E77+'Pay App 17'!F77,"")</f>
        <v>0</v>
      </c>
      <c r="G77" s="155">
        <f>SUM('Pay App 1:Pay App 17'!H77)</f>
        <v>0</v>
      </c>
      <c r="H77" s="154"/>
      <c r="I77" s="155">
        <f t="shared" si="0"/>
        <v>0</v>
      </c>
      <c r="J77" s="156">
        <f t="shared" si="1"/>
        <v>0</v>
      </c>
      <c r="K77" s="155">
        <f t="shared" si="2"/>
        <v>0</v>
      </c>
      <c r="L77" s="155" t="str">
        <f>IF(AND('Summary Sheet'!$E$23="No",$H$33&gt;0,H77&gt;=1),"",IF(AND('Summary Sheet'!$E$23="Yes",H77&lt;&gt;""),H77*'Summary Sheet'!$G$23,""))</f>
        <v/>
      </c>
      <c r="M77" s="154"/>
      <c r="N77" s="155">
        <f>SUM('Pay App 1:Pay App 18'!L77)+SUM('Pay App 1:Pay App 18'!M77)</f>
        <v>0</v>
      </c>
    </row>
    <row r="78" spans="1:17" ht="11.25" customHeight="1" x14ac:dyDescent="0.25">
      <c r="A78" s="152">
        <v>22</v>
      </c>
      <c r="B78" s="177" t="str">
        <f>'Pay App 1'!B78</f>
        <v>04 05 19</v>
      </c>
      <c r="C78" s="182" t="str">
        <f>'Pay App 1'!C78</f>
        <v>Masonry Reinforcing</v>
      </c>
      <c r="D78" s="155">
        <f>'Pay App 1'!D78</f>
        <v>0</v>
      </c>
      <c r="E78" s="155">
        <f>VLOOKUP(B78,'Graph Data'!$O$2:$BX$88,20,FALSE)</f>
        <v>0</v>
      </c>
      <c r="F78" s="155">
        <f>IFERROR(E78+'Pay App 17'!F78,"")</f>
        <v>0</v>
      </c>
      <c r="G78" s="155">
        <f>SUM('Pay App 1:Pay App 17'!H78)</f>
        <v>0</v>
      </c>
      <c r="H78" s="154"/>
      <c r="I78" s="155">
        <f t="shared" si="0"/>
        <v>0</v>
      </c>
      <c r="J78" s="156">
        <f t="shared" si="1"/>
        <v>0</v>
      </c>
      <c r="K78" s="155">
        <f t="shared" si="2"/>
        <v>0</v>
      </c>
      <c r="L78" s="155" t="str">
        <f>IF(AND('Summary Sheet'!$E$23="No",$H$33&gt;0,H78&gt;=1),"",IF(AND('Summary Sheet'!$E$23="Yes",H78&lt;&gt;""),H78*'Summary Sheet'!$G$23,""))</f>
        <v/>
      </c>
      <c r="M78" s="154"/>
      <c r="N78" s="155">
        <f>SUM('Pay App 1:Pay App 18'!L78)+SUM('Pay App 1:Pay App 18'!M78)</f>
        <v>0</v>
      </c>
    </row>
    <row r="79" spans="1:17" ht="11.25" customHeight="1" x14ac:dyDescent="0.25">
      <c r="A79" s="152">
        <v>23</v>
      </c>
      <c r="B79" s="178" t="str">
        <f>'Pay App 1'!B79</f>
        <v>05 10 00</v>
      </c>
      <c r="C79" s="183" t="str">
        <f>'Pay App 1'!C79</f>
        <v>Structural Steel/Misc. Steel Fab</v>
      </c>
      <c r="D79" s="155">
        <f>'Pay App 1'!D79</f>
        <v>0</v>
      </c>
      <c r="E79" s="155">
        <f>VLOOKUP(B79,'Graph Data'!$O$2:$BX$88,20,FALSE)</f>
        <v>0</v>
      </c>
      <c r="F79" s="155">
        <f>IFERROR(E79+'Pay App 17'!F79,"")</f>
        <v>0</v>
      </c>
      <c r="G79" s="155">
        <f>SUM('Pay App 1:Pay App 17'!H79)</f>
        <v>0</v>
      </c>
      <c r="H79" s="154"/>
      <c r="I79" s="155">
        <f t="shared" si="0"/>
        <v>0</v>
      </c>
      <c r="J79" s="156">
        <f t="shared" si="1"/>
        <v>0</v>
      </c>
      <c r="K79" s="155">
        <f t="shared" si="2"/>
        <v>0</v>
      </c>
      <c r="L79" s="155" t="str">
        <f>IF(AND('Summary Sheet'!$E$23="No",$H$33&gt;0,H79&gt;=1),"",IF(AND('Summary Sheet'!$E$23="Yes",H79&lt;&gt;""),H79*'Summary Sheet'!$G$23,""))</f>
        <v/>
      </c>
      <c r="M79" s="154"/>
      <c r="N79" s="155">
        <f>SUM('Pay App 1:Pay App 18'!L79)+SUM('Pay App 1:Pay App 18'!M79)</f>
        <v>0</v>
      </c>
    </row>
    <row r="80" spans="1:17" ht="11.25" customHeight="1" x14ac:dyDescent="0.25">
      <c r="A80" s="152">
        <v>24</v>
      </c>
      <c r="B80" s="178" t="str">
        <f>'Pay App 1'!B80</f>
        <v>05 20 00</v>
      </c>
      <c r="C80" s="183" t="str">
        <f>'Pay App 1'!C80</f>
        <v>Joists &amp; Deck</v>
      </c>
      <c r="D80" s="155">
        <f>'Pay App 1'!D80</f>
        <v>0</v>
      </c>
      <c r="E80" s="155">
        <f>VLOOKUP(B80,'Graph Data'!$O$2:$BX$88,20,FALSE)</f>
        <v>0</v>
      </c>
      <c r="F80" s="155">
        <f>IFERROR(E80+'Pay App 17'!F80,"")</f>
        <v>0</v>
      </c>
      <c r="G80" s="155">
        <f>SUM('Pay App 1:Pay App 17'!H80)</f>
        <v>0</v>
      </c>
      <c r="H80" s="154"/>
      <c r="I80" s="155">
        <f t="shared" si="0"/>
        <v>0</v>
      </c>
      <c r="J80" s="156">
        <f t="shared" si="1"/>
        <v>0</v>
      </c>
      <c r="K80" s="155">
        <f t="shared" si="2"/>
        <v>0</v>
      </c>
      <c r="L80" s="155" t="str">
        <f>IF(AND('Summary Sheet'!$E$23="No",$H$33&gt;0,H80&gt;=1),"",IF(AND('Summary Sheet'!$E$23="Yes",H80&lt;&gt;""),H80*'Summary Sheet'!$G$23,""))</f>
        <v/>
      </c>
      <c r="M80" s="154"/>
      <c r="N80" s="155">
        <f>SUM('Pay App 1:Pay App 18'!L80)+SUM('Pay App 1:Pay App 18'!M80)</f>
        <v>0</v>
      </c>
    </row>
    <row r="81" spans="1:14" ht="11.25" customHeight="1" x14ac:dyDescent="0.25">
      <c r="A81" s="152">
        <v>25</v>
      </c>
      <c r="B81" s="178" t="str">
        <f>'Pay App 1'!B81</f>
        <v>05 70 00</v>
      </c>
      <c r="C81" s="183" t="str">
        <f>'Pay App 1'!C81</f>
        <v>Ornamental Metal</v>
      </c>
      <c r="D81" s="155">
        <f>'Pay App 1'!D81</f>
        <v>0</v>
      </c>
      <c r="E81" s="155">
        <f>VLOOKUP(B81,'Graph Data'!$O$2:$BX$88,20,FALSE)</f>
        <v>0</v>
      </c>
      <c r="F81" s="155">
        <f>IFERROR(E81+'Pay App 17'!F81,"")</f>
        <v>0</v>
      </c>
      <c r="G81" s="155">
        <f>SUM('Pay App 1:Pay App 17'!H81)</f>
        <v>0</v>
      </c>
      <c r="H81" s="154"/>
      <c r="I81" s="155">
        <f t="shared" si="0"/>
        <v>0</v>
      </c>
      <c r="J81" s="156">
        <f t="shared" si="1"/>
        <v>0</v>
      </c>
      <c r="K81" s="155">
        <f t="shared" si="2"/>
        <v>0</v>
      </c>
      <c r="L81" s="155" t="str">
        <f>IF(AND('Summary Sheet'!$E$23="No",$H$33&gt;0,H81&gt;=1),"",IF(AND('Summary Sheet'!$E$23="Yes",H81&lt;&gt;""),H81*'Summary Sheet'!$G$23,""))</f>
        <v/>
      </c>
      <c r="M81" s="154"/>
      <c r="N81" s="155">
        <f>SUM('Pay App 1:Pay App 18'!L81)+SUM('Pay App 1:Pay App 18'!M81)</f>
        <v>0</v>
      </c>
    </row>
    <row r="82" spans="1:14" ht="11.25" customHeight="1" x14ac:dyDescent="0.25">
      <c r="A82" s="152">
        <v>26</v>
      </c>
      <c r="B82" s="145" t="str">
        <f>'Pay App 1'!B82</f>
        <v>06 10 00</v>
      </c>
      <c r="C82" s="134" t="str">
        <f>'Pay App 1'!C82</f>
        <v>Rough Carpentry</v>
      </c>
      <c r="D82" s="155">
        <f>'Pay App 1'!D82</f>
        <v>0</v>
      </c>
      <c r="E82" s="155">
        <f>VLOOKUP(B82,'Graph Data'!$O$2:$BX$88,20,FALSE)</f>
        <v>0</v>
      </c>
      <c r="F82" s="155">
        <f>IFERROR(E82+'Pay App 17'!F82,"")</f>
        <v>0</v>
      </c>
      <c r="G82" s="155">
        <f>SUM('Pay App 1:Pay App 17'!H82)</f>
        <v>0</v>
      </c>
      <c r="H82" s="154"/>
      <c r="I82" s="155">
        <f t="shared" si="0"/>
        <v>0</v>
      </c>
      <c r="J82" s="156">
        <f t="shared" si="1"/>
        <v>0</v>
      </c>
      <c r="K82" s="155">
        <f t="shared" si="2"/>
        <v>0</v>
      </c>
      <c r="L82" s="155" t="str">
        <f>IF(AND('Summary Sheet'!$E$23="No",$H$33&gt;0,H82&gt;=1),"",IF(AND('Summary Sheet'!$E$23="Yes",H82&lt;&gt;""),H82*'Summary Sheet'!$G$23,""))</f>
        <v/>
      </c>
      <c r="M82" s="154"/>
      <c r="N82" s="155">
        <f>SUM('Pay App 1:Pay App 18'!L82)+SUM('Pay App 1:Pay App 18'!M82)</f>
        <v>0</v>
      </c>
    </row>
    <row r="83" spans="1:14" ht="11.25" customHeight="1" x14ac:dyDescent="0.25">
      <c r="A83" s="152">
        <v>27</v>
      </c>
      <c r="B83" s="145" t="str">
        <f>'Pay App 1'!B83</f>
        <v>06 40 00</v>
      </c>
      <c r="C83" s="134" t="str">
        <f>'Pay App 1'!C83</f>
        <v>Arch. Woodwork &amp; Finish Carp.</v>
      </c>
      <c r="D83" s="155">
        <f>'Pay App 1'!D83</f>
        <v>0</v>
      </c>
      <c r="E83" s="155">
        <f>VLOOKUP(B83,'Graph Data'!$O$2:$BX$88,20,FALSE)</f>
        <v>0</v>
      </c>
      <c r="F83" s="155">
        <f>IFERROR(E83+'Pay App 17'!F83,"")</f>
        <v>0</v>
      </c>
      <c r="G83" s="155">
        <f>SUM('Pay App 1:Pay App 17'!H83)</f>
        <v>0</v>
      </c>
      <c r="H83" s="154"/>
      <c r="I83" s="155">
        <f t="shared" si="0"/>
        <v>0</v>
      </c>
      <c r="J83" s="156">
        <f t="shared" si="1"/>
        <v>0</v>
      </c>
      <c r="K83" s="155">
        <f t="shared" si="2"/>
        <v>0</v>
      </c>
      <c r="L83" s="155" t="str">
        <f>IF(AND('Summary Sheet'!$E$23="No",$H$33&gt;0,H83&gt;=1),"",IF(AND('Summary Sheet'!$E$23="Yes",H83&lt;&gt;""),H83*'Summary Sheet'!$G$23,""))</f>
        <v/>
      </c>
      <c r="M83" s="154"/>
      <c r="N83" s="155">
        <f>SUM('Pay App 1:Pay App 18'!L83)+SUM('Pay App 1:Pay App 18'!M83)</f>
        <v>0</v>
      </c>
    </row>
    <row r="84" spans="1:14" ht="11.25" customHeight="1" x14ac:dyDescent="0.25">
      <c r="A84" s="152">
        <v>28</v>
      </c>
      <c r="B84" s="174" t="str">
        <f>'Pay App 1'!B84</f>
        <v>07 10 00</v>
      </c>
      <c r="C84" s="179" t="str">
        <f>'Pay App 1'!C84</f>
        <v>Waterproofing/Water Repellents</v>
      </c>
      <c r="D84" s="155">
        <f>'Pay App 1'!D84</f>
        <v>0</v>
      </c>
      <c r="E84" s="155">
        <f>VLOOKUP(B84,'Graph Data'!$O$2:$BX$88,20,FALSE)</f>
        <v>0</v>
      </c>
      <c r="F84" s="155">
        <f>IFERROR(E84+'Pay App 17'!F84,"")</f>
        <v>0</v>
      </c>
      <c r="G84" s="155">
        <f>SUM('Pay App 1:Pay App 17'!H84)</f>
        <v>0</v>
      </c>
      <c r="H84" s="154"/>
      <c r="I84" s="155">
        <f t="shared" si="0"/>
        <v>0</v>
      </c>
      <c r="J84" s="156">
        <f t="shared" si="1"/>
        <v>0</v>
      </c>
      <c r="K84" s="155">
        <f t="shared" si="2"/>
        <v>0</v>
      </c>
      <c r="L84" s="155" t="str">
        <f>IF(AND('Summary Sheet'!$E$23="No",$H$33&gt;0,H84&gt;=1),"",IF(AND('Summary Sheet'!$E$23="Yes",H84&lt;&gt;""),H84*'Summary Sheet'!$G$23,""))</f>
        <v/>
      </c>
      <c r="M84" s="154"/>
      <c r="N84" s="155">
        <f>SUM('Pay App 1:Pay App 18'!L84)+SUM('Pay App 1:Pay App 18'!M84)</f>
        <v>0</v>
      </c>
    </row>
    <row r="85" spans="1:14" ht="11.25" customHeight="1" x14ac:dyDescent="0.25">
      <c r="A85" s="152">
        <v>29</v>
      </c>
      <c r="B85" s="174" t="str">
        <f>'Pay App 1'!B85</f>
        <v>07 20 00</v>
      </c>
      <c r="C85" s="179" t="str">
        <f>'Pay App 1'!C85</f>
        <v>Insulation</v>
      </c>
      <c r="D85" s="155">
        <f>'Pay App 1'!D85</f>
        <v>0</v>
      </c>
      <c r="E85" s="155">
        <f>VLOOKUP(B85,'Graph Data'!$O$2:$BX$88,20,FALSE)</f>
        <v>0</v>
      </c>
      <c r="F85" s="155">
        <f>IFERROR(E85+'Pay App 17'!F85,"")</f>
        <v>0</v>
      </c>
      <c r="G85" s="155">
        <f>SUM('Pay App 1:Pay App 17'!H85)</f>
        <v>0</v>
      </c>
      <c r="H85" s="154"/>
      <c r="I85" s="155">
        <f t="shared" si="0"/>
        <v>0</v>
      </c>
      <c r="J85" s="156">
        <f t="shared" si="1"/>
        <v>0</v>
      </c>
      <c r="K85" s="155">
        <f t="shared" si="2"/>
        <v>0</v>
      </c>
      <c r="L85" s="155" t="str">
        <f>IF(AND('Summary Sheet'!$E$23="No",$H$33&gt;0,H85&gt;=1),"",IF(AND('Summary Sheet'!$E$23="Yes",H85&lt;&gt;""),H85*'Summary Sheet'!$G$23,""))</f>
        <v/>
      </c>
      <c r="M85" s="154"/>
      <c r="N85" s="155">
        <f>SUM('Pay App 1:Pay App 18'!L85)+SUM('Pay App 1:Pay App 18'!M85)</f>
        <v>0</v>
      </c>
    </row>
    <row r="86" spans="1:14" ht="11.25" customHeight="1" x14ac:dyDescent="0.25">
      <c r="A86" s="152">
        <v>30</v>
      </c>
      <c r="B86" s="174" t="str">
        <f>'Pay App 1'!B86</f>
        <v>07 24 00</v>
      </c>
      <c r="C86" s="179" t="str">
        <f>'Pay App 1'!C86</f>
        <v>EIFS</v>
      </c>
      <c r="D86" s="155">
        <f>'Pay App 1'!D86</f>
        <v>0</v>
      </c>
      <c r="E86" s="155">
        <f>VLOOKUP(B86,'Graph Data'!$O$2:$BX$88,20,FALSE)</f>
        <v>0</v>
      </c>
      <c r="F86" s="155">
        <f>IFERROR(E86+'Pay App 17'!F86,"")</f>
        <v>0</v>
      </c>
      <c r="G86" s="155">
        <f>SUM('Pay App 1:Pay App 17'!H86)</f>
        <v>0</v>
      </c>
      <c r="H86" s="154"/>
      <c r="I86" s="155">
        <f t="shared" si="0"/>
        <v>0</v>
      </c>
      <c r="J86" s="156">
        <f t="shared" si="1"/>
        <v>0</v>
      </c>
      <c r="K86" s="155">
        <f t="shared" si="2"/>
        <v>0</v>
      </c>
      <c r="L86" s="155" t="str">
        <f>IF(AND('Summary Sheet'!$E$23="No",$H$33&gt;0,H86&gt;=1),"",IF(AND('Summary Sheet'!$E$23="Yes",H86&lt;&gt;""),H86*'Summary Sheet'!$G$23,""))</f>
        <v/>
      </c>
      <c r="M86" s="154"/>
      <c r="N86" s="155">
        <f>SUM('Pay App 1:Pay App 18'!L86)+SUM('Pay App 1:Pay App 18'!M86)</f>
        <v>0</v>
      </c>
    </row>
    <row r="87" spans="1:14" ht="11.25" customHeight="1" x14ac:dyDescent="0.25">
      <c r="A87" s="152">
        <v>31</v>
      </c>
      <c r="B87" s="174" t="str">
        <f>'Pay App 1'!B87</f>
        <v>07 26 00</v>
      </c>
      <c r="C87" s="179" t="str">
        <f>'Pay App 1'!C87</f>
        <v>Vapor Retarders</v>
      </c>
      <c r="D87" s="155">
        <f>'Pay App 1'!D87</f>
        <v>0</v>
      </c>
      <c r="E87" s="155">
        <f>VLOOKUP(B87,'Graph Data'!$O$2:$BX$88,20,FALSE)</f>
        <v>0</v>
      </c>
      <c r="F87" s="155">
        <f>IFERROR(E87+'Pay App 17'!F87,"")</f>
        <v>0</v>
      </c>
      <c r="G87" s="155">
        <f>SUM('Pay App 1:Pay App 17'!H87)</f>
        <v>0</v>
      </c>
      <c r="H87" s="154"/>
      <c r="I87" s="155">
        <f t="shared" si="0"/>
        <v>0</v>
      </c>
      <c r="J87" s="156">
        <f t="shared" si="1"/>
        <v>0</v>
      </c>
      <c r="K87" s="155">
        <f t="shared" si="2"/>
        <v>0</v>
      </c>
      <c r="L87" s="155" t="str">
        <f>IF(AND('Summary Sheet'!$E$23="No",$H$33&gt;0,H87&gt;=1),"",IF(AND('Summary Sheet'!$E$23="Yes",H87&lt;&gt;""),H87*'Summary Sheet'!$G$23,""))</f>
        <v/>
      </c>
      <c r="M87" s="154"/>
      <c r="N87" s="155">
        <f>SUM('Pay App 1:Pay App 18'!L87)+SUM('Pay App 1:Pay App 18'!M87)</f>
        <v>0</v>
      </c>
    </row>
    <row r="88" spans="1:14" ht="11.25" customHeight="1" x14ac:dyDescent="0.25">
      <c r="A88" s="152">
        <v>32</v>
      </c>
      <c r="B88" s="174" t="str">
        <f>'Pay App 1'!B88</f>
        <v>07 41 00</v>
      </c>
      <c r="C88" s="179" t="str">
        <f>'Pay App 1'!C88</f>
        <v>Roofing</v>
      </c>
      <c r="D88" s="155">
        <f>'Pay App 1'!D88</f>
        <v>0</v>
      </c>
      <c r="E88" s="155">
        <f>VLOOKUP(B88,'Graph Data'!$O$2:$BX$88,20,FALSE)</f>
        <v>0</v>
      </c>
      <c r="F88" s="155">
        <f>IFERROR(E88+'Pay App 17'!F88,"")</f>
        <v>0</v>
      </c>
      <c r="G88" s="155">
        <f>SUM('Pay App 1:Pay App 17'!H88)</f>
        <v>0</v>
      </c>
      <c r="H88" s="154"/>
      <c r="I88" s="155">
        <f t="shared" si="0"/>
        <v>0</v>
      </c>
      <c r="J88" s="156">
        <f t="shared" si="1"/>
        <v>0</v>
      </c>
      <c r="K88" s="155">
        <f t="shared" si="2"/>
        <v>0</v>
      </c>
      <c r="L88" s="155" t="str">
        <f>IF(AND('Summary Sheet'!$E$23="No",$H$33&gt;0,H88&gt;=1),"",IF(AND('Summary Sheet'!$E$23="Yes",H88&lt;&gt;""),H88*'Summary Sheet'!$G$23,""))</f>
        <v/>
      </c>
      <c r="M88" s="154"/>
      <c r="N88" s="155">
        <f>SUM('Pay App 1:Pay App 18'!L88)+SUM('Pay App 1:Pay App 18'!M88)</f>
        <v>0</v>
      </c>
    </row>
    <row r="89" spans="1:14" ht="11.25" customHeight="1" x14ac:dyDescent="0.25">
      <c r="A89" s="152">
        <v>33</v>
      </c>
      <c r="B89" s="174" t="str">
        <f>'Pay App 1'!B89</f>
        <v>07 42 00</v>
      </c>
      <c r="C89" s="179" t="str">
        <f>'Pay App 1'!C89</f>
        <v>Metal Panels</v>
      </c>
      <c r="D89" s="155">
        <f>'Pay App 1'!D89</f>
        <v>0</v>
      </c>
      <c r="E89" s="155">
        <f>VLOOKUP(B89,'Graph Data'!$O$2:$BX$88,20,FALSE)</f>
        <v>0</v>
      </c>
      <c r="F89" s="155">
        <f>IFERROR(E89+'Pay App 17'!F89,"")</f>
        <v>0</v>
      </c>
      <c r="G89" s="155">
        <f>SUM('Pay App 1:Pay App 17'!H89)</f>
        <v>0</v>
      </c>
      <c r="H89" s="154"/>
      <c r="I89" s="155">
        <f t="shared" si="0"/>
        <v>0</v>
      </c>
      <c r="J89" s="156">
        <f t="shared" si="1"/>
        <v>0</v>
      </c>
      <c r="K89" s="155">
        <f t="shared" si="2"/>
        <v>0</v>
      </c>
      <c r="L89" s="155" t="str">
        <f>IF(AND('Summary Sheet'!$E$23="No",$H$33&gt;0,H89&gt;=1),"",IF(AND('Summary Sheet'!$E$23="Yes",H89&lt;&gt;""),H89*'Summary Sheet'!$G$23,""))</f>
        <v/>
      </c>
      <c r="M89" s="154"/>
      <c r="N89" s="155">
        <f>SUM('Pay App 1:Pay App 18'!L89)+SUM('Pay App 1:Pay App 18'!M89)</f>
        <v>0</v>
      </c>
    </row>
    <row r="90" spans="1:14" ht="11.25" customHeight="1" x14ac:dyDescent="0.25">
      <c r="A90" s="152">
        <v>34</v>
      </c>
      <c r="B90" s="174" t="str">
        <f>'Pay App 1'!B90</f>
        <v>07 60 00</v>
      </c>
      <c r="C90" s="179" t="str">
        <f>'Pay App 1'!C90</f>
        <v>Sheet Metal Flashing &amp; Trim</v>
      </c>
      <c r="D90" s="155">
        <f>'Pay App 1'!D90</f>
        <v>0</v>
      </c>
      <c r="E90" s="155">
        <f>VLOOKUP(B90,'Graph Data'!$O$2:$BX$88,20,FALSE)</f>
        <v>0</v>
      </c>
      <c r="F90" s="155">
        <f>IFERROR(E90+'Pay App 17'!F90,"")</f>
        <v>0</v>
      </c>
      <c r="G90" s="155">
        <f>SUM('Pay App 1:Pay App 17'!H90)</f>
        <v>0</v>
      </c>
      <c r="H90" s="154"/>
      <c r="I90" s="155">
        <f t="shared" si="0"/>
        <v>0</v>
      </c>
      <c r="J90" s="156">
        <f t="shared" si="1"/>
        <v>0</v>
      </c>
      <c r="K90" s="155">
        <f t="shared" si="2"/>
        <v>0</v>
      </c>
      <c r="L90" s="155" t="str">
        <f>IF(AND('Summary Sheet'!$E$23="No",$H$33&gt;0,H90&gt;=1),"",IF(AND('Summary Sheet'!$E$23="Yes",H90&lt;&gt;""),H90*'Summary Sheet'!$G$23,""))</f>
        <v/>
      </c>
      <c r="M90" s="154"/>
      <c r="N90" s="155">
        <f>SUM('Pay App 1:Pay App 18'!L90)+SUM('Pay App 1:Pay App 18'!M90)</f>
        <v>0</v>
      </c>
    </row>
    <row r="91" spans="1:14" ht="11.25" customHeight="1" x14ac:dyDescent="0.25">
      <c r="A91" s="152">
        <v>35</v>
      </c>
      <c r="B91" s="174" t="str">
        <f>'Pay App 1'!B91</f>
        <v>07 80 00</v>
      </c>
      <c r="C91" s="179" t="str">
        <f>'Pay App 1'!C91</f>
        <v>Fireproofing</v>
      </c>
      <c r="D91" s="155">
        <f>'Pay App 1'!D91</f>
        <v>0</v>
      </c>
      <c r="E91" s="155">
        <f>VLOOKUP(B91,'Graph Data'!$O$2:$BX$88,20,FALSE)</f>
        <v>0</v>
      </c>
      <c r="F91" s="155">
        <f>IFERROR(E91+'Pay App 17'!F91,"")</f>
        <v>0</v>
      </c>
      <c r="G91" s="155">
        <f>SUM('Pay App 1:Pay App 17'!H91)</f>
        <v>0</v>
      </c>
      <c r="H91" s="154"/>
      <c r="I91" s="155">
        <f t="shared" si="0"/>
        <v>0</v>
      </c>
      <c r="J91" s="156">
        <f t="shared" si="1"/>
        <v>0</v>
      </c>
      <c r="K91" s="155">
        <f t="shared" si="2"/>
        <v>0</v>
      </c>
      <c r="L91" s="155" t="str">
        <f>IF(AND('Summary Sheet'!$E$23="No",$H$33&gt;0,H91&gt;=1),"",IF(AND('Summary Sheet'!$E$23="Yes",H91&lt;&gt;""),H91*'Summary Sheet'!$G$23,""))</f>
        <v/>
      </c>
      <c r="M91" s="154"/>
      <c r="N91" s="155">
        <f>SUM('Pay App 1:Pay App 18'!L91)+SUM('Pay App 1:Pay App 18'!M91)</f>
        <v>0</v>
      </c>
    </row>
    <row r="92" spans="1:14" ht="11.25" customHeight="1" x14ac:dyDescent="0.25">
      <c r="A92" s="152">
        <v>36</v>
      </c>
      <c r="B92" s="174" t="str">
        <f>'Pay App 1'!B92</f>
        <v>07 90 00</v>
      </c>
      <c r="C92" s="179" t="str">
        <f>'Pay App 1'!C92</f>
        <v>Joint Sealants</v>
      </c>
      <c r="D92" s="155">
        <f>'Pay App 1'!D92</f>
        <v>0</v>
      </c>
      <c r="E92" s="155">
        <f>VLOOKUP(B92,'Graph Data'!$O$2:$BX$88,20,FALSE)</f>
        <v>0</v>
      </c>
      <c r="F92" s="155">
        <f>IFERROR(E92+'Pay App 17'!F92,"")</f>
        <v>0</v>
      </c>
      <c r="G92" s="155">
        <f>SUM('Pay App 1:Pay App 17'!H92)</f>
        <v>0</v>
      </c>
      <c r="H92" s="154"/>
      <c r="I92" s="155">
        <f t="shared" si="0"/>
        <v>0</v>
      </c>
      <c r="J92" s="156">
        <f t="shared" si="1"/>
        <v>0</v>
      </c>
      <c r="K92" s="155">
        <f t="shared" si="2"/>
        <v>0</v>
      </c>
      <c r="L92" s="155" t="str">
        <f>IF(AND('Summary Sheet'!$E$23="No",$H$33&gt;0,H92&gt;=1),"",IF(AND('Summary Sheet'!$E$23="Yes",H92&lt;&gt;""),H92*'Summary Sheet'!$G$23,""))</f>
        <v/>
      </c>
      <c r="M92" s="154"/>
      <c r="N92" s="155">
        <f>SUM('Pay App 1:Pay App 18'!L92)+SUM('Pay App 1:Pay App 18'!M92)</f>
        <v>0</v>
      </c>
    </row>
    <row r="93" spans="1:14" ht="11.25" customHeight="1" x14ac:dyDescent="0.25">
      <c r="A93" s="152">
        <v>37</v>
      </c>
      <c r="B93" s="174" t="str">
        <f>'Pay App 1'!B93</f>
        <v>07 95 00</v>
      </c>
      <c r="C93" s="179" t="str">
        <f>'Pay App 1'!C93</f>
        <v>Expansion Joints</v>
      </c>
      <c r="D93" s="155">
        <f>'Pay App 1'!D93</f>
        <v>0</v>
      </c>
      <c r="E93" s="155">
        <f>VLOOKUP(B93,'Graph Data'!$O$2:$BX$88,20,FALSE)</f>
        <v>0</v>
      </c>
      <c r="F93" s="155">
        <f>IFERROR(E93+'Pay App 17'!F93,"")</f>
        <v>0</v>
      </c>
      <c r="G93" s="155">
        <f>SUM('Pay App 1:Pay App 17'!H93)</f>
        <v>0</v>
      </c>
      <c r="H93" s="154"/>
      <c r="I93" s="155">
        <f t="shared" si="0"/>
        <v>0</v>
      </c>
      <c r="J93" s="156">
        <f t="shared" si="1"/>
        <v>0</v>
      </c>
      <c r="K93" s="155">
        <f t="shared" si="2"/>
        <v>0</v>
      </c>
      <c r="L93" s="155" t="str">
        <f>IF(AND('Summary Sheet'!$E$23="No",$H$33&gt;0,H93&gt;=1),"",IF(AND('Summary Sheet'!$E$23="Yes",H93&lt;&gt;""),H93*'Summary Sheet'!$G$23,""))</f>
        <v/>
      </c>
      <c r="M93" s="154"/>
      <c r="N93" s="155">
        <f>SUM('Pay App 1:Pay App 18'!L93)+SUM('Pay App 1:Pay App 18'!M93)</f>
        <v>0</v>
      </c>
    </row>
    <row r="94" spans="1:14" ht="11.25" customHeight="1" x14ac:dyDescent="0.25">
      <c r="A94" s="152">
        <v>38</v>
      </c>
      <c r="B94" s="175" t="str">
        <f>'Pay App 1'!B94</f>
        <v>08 10 00</v>
      </c>
      <c r="C94" s="180" t="str">
        <f>'Pay App 1'!C94</f>
        <v>Doors, Frames &amp; Hardware</v>
      </c>
      <c r="D94" s="155">
        <f>'Pay App 1'!D94</f>
        <v>0</v>
      </c>
      <c r="E94" s="155">
        <f>VLOOKUP(B94,'Graph Data'!$O$2:$BX$88,20,FALSE)</f>
        <v>0</v>
      </c>
      <c r="F94" s="155">
        <f>IFERROR(E94+'Pay App 17'!F94,"")</f>
        <v>0</v>
      </c>
      <c r="G94" s="155">
        <f>SUM('Pay App 1:Pay App 17'!H94)</f>
        <v>0</v>
      </c>
      <c r="H94" s="154"/>
      <c r="I94" s="155">
        <f t="shared" si="0"/>
        <v>0</v>
      </c>
      <c r="J94" s="156">
        <f t="shared" si="1"/>
        <v>0</v>
      </c>
      <c r="K94" s="155">
        <f t="shared" si="2"/>
        <v>0</v>
      </c>
      <c r="L94" s="155" t="str">
        <f>IF(AND('Summary Sheet'!$E$23="No",$H$33&gt;0,H94&gt;=1),"",IF(AND('Summary Sheet'!$E$23="Yes",H94&lt;&gt;""),H94*'Summary Sheet'!$G$23,""))</f>
        <v/>
      </c>
      <c r="M94" s="154"/>
      <c r="N94" s="155">
        <f>SUM('Pay App 1:Pay App 18'!L94)+SUM('Pay App 1:Pay App 18'!M94)</f>
        <v>0</v>
      </c>
    </row>
    <row r="95" spans="1:14" ht="11.25" customHeight="1" x14ac:dyDescent="0.25">
      <c r="A95" s="152">
        <v>39</v>
      </c>
      <c r="B95" s="175" t="str">
        <f>'Pay App 1'!B95</f>
        <v>08 30 00</v>
      </c>
      <c r="C95" s="180" t="str">
        <f>'Pay App 1'!C95</f>
        <v>Specialty Doors</v>
      </c>
      <c r="D95" s="155">
        <f>'Pay App 1'!D95</f>
        <v>0</v>
      </c>
      <c r="E95" s="155">
        <f>VLOOKUP(B95,'Graph Data'!$O$2:$BX$88,20,FALSE)</f>
        <v>0</v>
      </c>
      <c r="F95" s="155">
        <f>IFERROR(E95+'Pay App 17'!F95,"")</f>
        <v>0</v>
      </c>
      <c r="G95" s="155">
        <f>SUM('Pay App 1:Pay App 17'!H95)</f>
        <v>0</v>
      </c>
      <c r="H95" s="154"/>
      <c r="I95" s="155">
        <f t="shared" si="0"/>
        <v>0</v>
      </c>
      <c r="J95" s="156">
        <f t="shared" si="1"/>
        <v>0</v>
      </c>
      <c r="K95" s="155">
        <f t="shared" si="2"/>
        <v>0</v>
      </c>
      <c r="L95" s="155" t="str">
        <f>IF(AND('Summary Sheet'!$E$23="No",$H$33&gt;0,H95&gt;=1),"",IF(AND('Summary Sheet'!$E$23="Yes",H95&lt;&gt;""),H95*'Summary Sheet'!$G$23,""))</f>
        <v/>
      </c>
      <c r="M95" s="154"/>
      <c r="N95" s="155">
        <f>SUM('Pay App 1:Pay App 18'!L95)+SUM('Pay App 1:Pay App 18'!M95)</f>
        <v>0</v>
      </c>
    </row>
    <row r="96" spans="1:14" ht="11.25" customHeight="1" x14ac:dyDescent="0.25">
      <c r="A96" s="152">
        <v>40</v>
      </c>
      <c r="B96" s="175" t="str">
        <f>'Pay App 1'!B96</f>
        <v>08 33 00</v>
      </c>
      <c r="C96" s="180" t="str">
        <f>'Pay App 1'!C96</f>
        <v>Overhead Doors/Coiling Doors</v>
      </c>
      <c r="D96" s="155">
        <f>'Pay App 1'!D96</f>
        <v>0</v>
      </c>
      <c r="E96" s="155">
        <f>VLOOKUP(B96,'Graph Data'!$O$2:$BX$88,20,FALSE)</f>
        <v>0</v>
      </c>
      <c r="F96" s="155">
        <f>IFERROR(E96+'Pay App 17'!F96,"")</f>
        <v>0</v>
      </c>
      <c r="G96" s="155">
        <f>SUM('Pay App 1:Pay App 17'!H96)</f>
        <v>0</v>
      </c>
      <c r="H96" s="154"/>
      <c r="I96" s="155">
        <f t="shared" si="0"/>
        <v>0</v>
      </c>
      <c r="J96" s="156">
        <f t="shared" si="1"/>
        <v>0</v>
      </c>
      <c r="K96" s="155">
        <f t="shared" si="2"/>
        <v>0</v>
      </c>
      <c r="L96" s="155" t="str">
        <f>IF(AND('Summary Sheet'!$E$23="No",$H$33&gt;0,H96&gt;=1),"",IF(AND('Summary Sheet'!$E$23="Yes",H96&lt;&gt;""),H96*'Summary Sheet'!$G$23,""))</f>
        <v/>
      </c>
      <c r="M96" s="154"/>
      <c r="N96" s="155">
        <f>SUM('Pay App 1:Pay App 18'!L96)+SUM('Pay App 1:Pay App 18'!M96)</f>
        <v>0</v>
      </c>
    </row>
    <row r="97" spans="1:15" ht="11.25" customHeight="1" x14ac:dyDescent="0.25">
      <c r="A97" s="152">
        <v>41</v>
      </c>
      <c r="B97" s="175" t="str">
        <f>'Pay App 1'!B97</f>
        <v>08 40 00</v>
      </c>
      <c r="C97" s="180" t="str">
        <f>'Pay App 1'!C97</f>
        <v>Curtain Wall, Glass &amp; Glazing</v>
      </c>
      <c r="D97" s="155">
        <f>'Pay App 1'!D97</f>
        <v>0</v>
      </c>
      <c r="E97" s="155">
        <f>VLOOKUP(B97,'Graph Data'!$O$2:$BX$88,20,FALSE)</f>
        <v>0</v>
      </c>
      <c r="F97" s="155">
        <f>IFERROR(E97+'Pay App 17'!F97,"")</f>
        <v>0</v>
      </c>
      <c r="G97" s="155">
        <f>SUM('Pay App 1:Pay App 17'!H97)</f>
        <v>0</v>
      </c>
      <c r="H97" s="154"/>
      <c r="I97" s="155">
        <f t="shared" si="0"/>
        <v>0</v>
      </c>
      <c r="J97" s="156">
        <f t="shared" si="1"/>
        <v>0</v>
      </c>
      <c r="K97" s="155">
        <f t="shared" si="2"/>
        <v>0</v>
      </c>
      <c r="L97" s="155" t="str">
        <f>IF(AND('Summary Sheet'!$E$23="No",$H$33&gt;0,H97&gt;=1),"",IF(AND('Summary Sheet'!$E$23="Yes",H97&lt;&gt;""),H97*'Summary Sheet'!$G$23,""))</f>
        <v/>
      </c>
      <c r="M97" s="154"/>
      <c r="N97" s="155">
        <f>SUM('Pay App 1:Pay App 18'!L97)+SUM('Pay App 1:Pay App 18'!M97)</f>
        <v>0</v>
      </c>
    </row>
    <row r="98" spans="1:15" ht="10.9" customHeight="1" x14ac:dyDescent="0.25">
      <c r="A98" s="152">
        <v>42</v>
      </c>
      <c r="B98" s="175" t="str">
        <f>'Pay App 1'!B98</f>
        <v>08 60 00</v>
      </c>
      <c r="C98" s="180" t="str">
        <f>'Pay App 1'!C98</f>
        <v>Skylights</v>
      </c>
      <c r="D98" s="155">
        <f>'Pay App 1'!D98</f>
        <v>0</v>
      </c>
      <c r="E98" s="155">
        <f>VLOOKUP(B98,'Graph Data'!$O$2:$BX$88,20,FALSE)</f>
        <v>0</v>
      </c>
      <c r="F98" s="155">
        <f>IFERROR(E98+'Pay App 17'!F98,"")</f>
        <v>0</v>
      </c>
      <c r="G98" s="155">
        <f>SUM('Pay App 1:Pay App 17'!H98)</f>
        <v>0</v>
      </c>
      <c r="H98" s="154"/>
      <c r="I98" s="155">
        <f t="shared" si="0"/>
        <v>0</v>
      </c>
      <c r="J98" s="156">
        <f t="shared" si="1"/>
        <v>0</v>
      </c>
      <c r="K98" s="155">
        <f t="shared" si="2"/>
        <v>0</v>
      </c>
      <c r="L98" s="155" t="str">
        <f>IF(AND('Summary Sheet'!$E$23="No",$H$33&gt;0,H98&gt;=1),"",IF(AND('Summary Sheet'!$E$23="Yes",H98&lt;&gt;""),H98*'Summary Sheet'!$G$23,""))</f>
        <v/>
      </c>
      <c r="M98" s="154"/>
      <c r="N98" s="155">
        <f>SUM('Pay App 1:Pay App 18'!L98)+SUM('Pay App 1:Pay App 18'!M98)</f>
        <v>0</v>
      </c>
    </row>
    <row r="99" spans="1:15" ht="10.9" customHeight="1" x14ac:dyDescent="0.25">
      <c r="A99" s="152">
        <v>43</v>
      </c>
      <c r="B99" s="175" t="str">
        <f>'Pay App 1'!B99</f>
        <v>08 90 00</v>
      </c>
      <c r="C99" s="180" t="str">
        <f>'Pay App 1'!C99</f>
        <v>Louvers &amp; Vents</v>
      </c>
      <c r="D99" s="155">
        <f>'Pay App 1'!D99</f>
        <v>0</v>
      </c>
      <c r="E99" s="155">
        <f>VLOOKUP(B99,'Graph Data'!$O$2:$BX$88,20,FALSE)</f>
        <v>0</v>
      </c>
      <c r="F99" s="155">
        <f>IFERROR(E99+'Pay App 17'!F99,"")</f>
        <v>0</v>
      </c>
      <c r="G99" s="155">
        <f>SUM('Pay App 1:Pay App 17'!H99)</f>
        <v>0</v>
      </c>
      <c r="H99" s="154"/>
      <c r="I99" s="155">
        <f t="shared" si="0"/>
        <v>0</v>
      </c>
      <c r="J99" s="156">
        <f t="shared" si="1"/>
        <v>0</v>
      </c>
      <c r="K99" s="155">
        <f t="shared" si="2"/>
        <v>0</v>
      </c>
      <c r="L99" s="155" t="str">
        <f>IF(AND('Summary Sheet'!$E$23="No",$H$33&gt;0,H99&gt;=1),"",IF(AND('Summary Sheet'!$E$23="Yes",H99&lt;&gt;""),H99*'Summary Sheet'!$G$23,""))</f>
        <v/>
      </c>
      <c r="M99" s="154"/>
      <c r="N99" s="155">
        <f>SUM('Pay App 1:Pay App 18'!L99)+SUM('Pay App 1:Pay App 18'!M99)</f>
        <v>0</v>
      </c>
    </row>
    <row r="100" spans="1:15" ht="11.25" customHeight="1" x14ac:dyDescent="0.25">
      <c r="A100" s="153">
        <v>44</v>
      </c>
      <c r="B100" s="176" t="str">
        <f>'Pay App 1'!B100</f>
        <v>09 20 00</v>
      </c>
      <c r="C100" s="181" t="str">
        <f>'Pay App 1'!C100</f>
        <v>Gypsum Board Systems</v>
      </c>
      <c r="D100" s="155">
        <f>'Pay App 1'!D100</f>
        <v>0</v>
      </c>
      <c r="E100" s="155">
        <f>VLOOKUP(B100,'Graph Data'!$O$2:$BX$88,20,FALSE)</f>
        <v>0</v>
      </c>
      <c r="F100" s="155">
        <f>IFERROR(E100+'Pay App 17'!F100,"")</f>
        <v>0</v>
      </c>
      <c r="G100" s="155">
        <f>SUM('Pay App 1:Pay App 17'!H100)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18'!L100)+SUM('Pay App 1:Pay App 18'!M100)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18.2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Data'!$O$2:$BX$88,20,FALSE)</f>
        <v>0</v>
      </c>
      <c r="F106" s="155">
        <f>IFERROR(E106+'Pay App 17'!F106,"")</f>
        <v>0</v>
      </c>
      <c r="G106" s="155">
        <f>SUM('Pay App 1:Pay App 17'!H106)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18'!L106)+SUM('Pay App 1:Pay App 18'!M106)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Data'!$O$2:$BX$88,20,FALSE)</f>
        <v>0</v>
      </c>
      <c r="F107" s="155">
        <f>IFERROR(E107+'Pay App 17'!F107,"")</f>
        <v>0</v>
      </c>
      <c r="G107" s="155">
        <f>SUM('Pay App 1:Pay App 17'!H107)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18'!L107)+SUM('Pay App 1:Pay App 18'!M107)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Data'!$O$2:$BX$88,20,FALSE)</f>
        <v>0</v>
      </c>
      <c r="F108" s="155">
        <f>IFERROR(E108+'Pay App 17'!F108,"")</f>
        <v>0</v>
      </c>
      <c r="G108" s="155">
        <f>SUM('Pay App 1:Pay App 17'!H108)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18'!L108)+SUM('Pay App 1:Pay App 18'!M108)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Data'!$O$2:$BX$88,20,FALSE)</f>
        <v>0</v>
      </c>
      <c r="F109" s="155">
        <f>IFERROR(E109+'Pay App 17'!F109,"")</f>
        <v>0</v>
      </c>
      <c r="G109" s="155">
        <f>SUM('Pay App 1:Pay App 17'!H109)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18'!L109)+SUM('Pay App 1:Pay App 18'!M109)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Data'!$O$2:$BX$88,20,FALSE)</f>
        <v>0</v>
      </c>
      <c r="F110" s="155">
        <f>IFERROR(E110+'Pay App 17'!F110,"")</f>
        <v>0</v>
      </c>
      <c r="G110" s="155">
        <f>SUM('Pay App 1:Pay App 17'!H110)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18'!L110)+SUM('Pay App 1:Pay App 18'!M110)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Data'!$O$2:$BX$88,20,FALSE)</f>
        <v>0</v>
      </c>
      <c r="F111" s="155">
        <f>IFERROR(E111+'Pay App 17'!F111,"")</f>
        <v>0</v>
      </c>
      <c r="G111" s="155">
        <f>SUM('Pay App 1:Pay App 17'!H111)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18'!L111)+SUM('Pay App 1:Pay App 18'!M111)</f>
        <v>0</v>
      </c>
    </row>
    <row r="112" spans="1:15" ht="11.25" customHeight="1" x14ac:dyDescent="0.25">
      <c r="A112" s="152">
        <f t="shared" si="3"/>
        <v>51</v>
      </c>
      <c r="B112" s="148" t="str">
        <f>'Pay App 1'!B112</f>
        <v>09 90 00</v>
      </c>
      <c r="C112" s="143" t="str">
        <f>'Pay App 1'!C112</f>
        <v>Painting</v>
      </c>
      <c r="D112" s="155">
        <f>'Pay App 1'!D112</f>
        <v>0</v>
      </c>
      <c r="E112" s="155">
        <f>VLOOKUP(B112,'Graph Data'!$O$2:$BX$88,20,FALSE)</f>
        <v>0</v>
      </c>
      <c r="F112" s="155">
        <f>IFERROR(E112+'Pay App 17'!F112,"")</f>
        <v>0</v>
      </c>
      <c r="G112" s="155">
        <f>SUM('Pay App 1:Pay App 17'!H112)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18'!L112)+SUM('Pay App 1:Pay App 18'!M112)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Data'!$O$2:$BX$88,20,FALSE)</f>
        <v>0</v>
      </c>
      <c r="F113" s="155">
        <f>IFERROR(E113+'Pay App 17'!F113,"")</f>
        <v>0</v>
      </c>
      <c r="G113" s="155">
        <f>SUM('Pay App 1:Pay App 17'!H113)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18'!L113)+SUM('Pay App 1:Pay App 18'!M113)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Data'!$O$2:$BX$88,20,FALSE)</f>
        <v>0</v>
      </c>
      <c r="F114" s="155">
        <f>IFERROR(E114+'Pay App 17'!F114,"")</f>
        <v>0</v>
      </c>
      <c r="G114" s="155">
        <f>SUM('Pay App 1:Pay App 17'!H114)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18'!L114)+SUM('Pay App 1:Pay App 18'!M114)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Data'!$O$2:$BX$88,20,FALSE)</f>
        <v>0</v>
      </c>
      <c r="F115" s="155">
        <f>IFERROR(E115+'Pay App 17'!F115,"")</f>
        <v>0</v>
      </c>
      <c r="G115" s="155">
        <f>SUM('Pay App 1:Pay App 17'!H115)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18'!L115)+SUM('Pay App 1:Pay App 18'!M115)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Data'!$O$2:$BX$88,20,FALSE)</f>
        <v>0</v>
      </c>
      <c r="F116" s="155">
        <f>IFERROR(E116+'Pay App 17'!F116,"")</f>
        <v>0</v>
      </c>
      <c r="G116" s="155">
        <f>SUM('Pay App 1:Pay App 17'!H116)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18'!L116)+SUM('Pay App 1:Pay App 18'!M116)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Data'!$O$2:$BX$88,20,FALSE)</f>
        <v>0</v>
      </c>
      <c r="F117" s="155">
        <f>IFERROR(E117+'Pay App 17'!F117,"")</f>
        <v>0</v>
      </c>
      <c r="G117" s="155">
        <f>SUM('Pay App 1:Pay App 17'!H117)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18'!L117)+SUM('Pay App 1:Pay App 18'!M117)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Data'!$O$2:$BX$88,20,FALSE)</f>
        <v>0</v>
      </c>
      <c r="F118" s="155">
        <f>IFERROR(E118+'Pay App 17'!F118,"")</f>
        <v>0</v>
      </c>
      <c r="G118" s="155">
        <f>SUM('Pay App 1:Pay App 17'!H118)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18'!L118)+SUM('Pay App 1:Pay App 18'!M118)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Data'!$O$2:$BX$88,20,FALSE)</f>
        <v>0</v>
      </c>
      <c r="F119" s="155">
        <f>IFERROR(E119+'Pay App 17'!F119,"")</f>
        <v>0</v>
      </c>
      <c r="G119" s="155">
        <f>SUM('Pay App 1:Pay App 17'!H119)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18'!L119)+SUM('Pay App 1:Pay App 18'!M119)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Data'!$O$2:$BX$88,20,FALSE)</f>
        <v>0</v>
      </c>
      <c r="F120" s="155">
        <f>IFERROR(E120+'Pay App 17'!F120,"")</f>
        <v>0</v>
      </c>
      <c r="G120" s="155">
        <f>SUM('Pay App 1:Pay App 17'!H120)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18'!L120)+SUM('Pay App 1:Pay App 18'!M120)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Data'!$O$2:$BX$88,20,FALSE)</f>
        <v>0</v>
      </c>
      <c r="F121" s="155">
        <f>IFERROR(E121+'Pay App 17'!F121,"")</f>
        <v>0</v>
      </c>
      <c r="G121" s="155">
        <f>SUM('Pay App 1:Pay App 17'!H121)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18'!L121)+SUM('Pay App 1:Pay App 18'!M121)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Data'!$O$2:$BX$88,20,FALSE)</f>
        <v>0</v>
      </c>
      <c r="F122" s="155">
        <f>IFERROR(E122+'Pay App 17'!F122,"")</f>
        <v>0</v>
      </c>
      <c r="G122" s="155">
        <f>SUM('Pay App 1:Pay App 17'!H122)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18'!L122)+SUM('Pay App 1:Pay App 18'!M122)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Data'!$O$2:$BX$88,20,FALSE)</f>
        <v>0</v>
      </c>
      <c r="F123" s="155">
        <f>IFERROR(E123+'Pay App 17'!F123,"")</f>
        <v>0</v>
      </c>
      <c r="G123" s="155">
        <f>SUM('Pay App 1:Pay App 17'!H123)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18'!L123)+SUM('Pay App 1:Pay App 18'!M123)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Data'!$O$2:$BX$88,20,FALSE)</f>
        <v>0</v>
      </c>
      <c r="F124" s="155">
        <f>IFERROR(E124+'Pay App 17'!F124,"")</f>
        <v>0</v>
      </c>
      <c r="G124" s="155">
        <f>SUM('Pay App 1:Pay App 17'!H124)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18'!L124)+SUM('Pay App 1:Pay App 18'!M124)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Data'!$O$2:$BX$88,20,FALSE)</f>
        <v>0</v>
      </c>
      <c r="F125" s="155">
        <f>IFERROR(E125+'Pay App 17'!F125,"")</f>
        <v>0</v>
      </c>
      <c r="G125" s="155">
        <f>SUM('Pay App 1:Pay App 17'!H125)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18'!L125)+SUM('Pay App 1:Pay App 18'!M125)</f>
        <v>0</v>
      </c>
    </row>
    <row r="126" spans="1:14" ht="11.25" customHeight="1" x14ac:dyDescent="0.25">
      <c r="A126" s="152">
        <f t="shared" si="3"/>
        <v>65</v>
      </c>
      <c r="B126" s="188" t="str">
        <f>'Pay App 1'!B126</f>
        <v>14 20 00</v>
      </c>
      <c r="C126" s="194" t="str">
        <f>'Pay App 1'!C126</f>
        <v>Elevator</v>
      </c>
      <c r="D126" s="155">
        <f>'Pay App 1'!D126</f>
        <v>0</v>
      </c>
      <c r="E126" s="155">
        <f>VLOOKUP(B126,'Graph Data'!$O$2:$BX$88,20,FALSE)</f>
        <v>0</v>
      </c>
      <c r="F126" s="155">
        <f>IFERROR(E126+'Pay App 17'!F126,"")</f>
        <v>0</v>
      </c>
      <c r="G126" s="155">
        <f>SUM('Pay App 1:Pay App 17'!H126)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18'!L126)+SUM('Pay App 1:Pay App 18'!M126)</f>
        <v>0</v>
      </c>
    </row>
    <row r="127" spans="1:14" ht="11.25" customHeight="1" x14ac:dyDescent="0.25">
      <c r="A127" s="152">
        <f t="shared" si="3"/>
        <v>66</v>
      </c>
      <c r="B127" s="188" t="str">
        <f>'Pay App 1'!B127</f>
        <v>14 40 00</v>
      </c>
      <c r="C127" s="194" t="str">
        <f>'Pay App 1'!C127</f>
        <v>Lifts</v>
      </c>
      <c r="D127" s="155">
        <f>'Pay App 1'!D127</f>
        <v>0</v>
      </c>
      <c r="E127" s="155">
        <f>VLOOKUP(B127,'Graph Data'!$O$2:$BX$88,20,FALSE)</f>
        <v>0</v>
      </c>
      <c r="F127" s="155">
        <f>IFERROR(E127+'Pay App 17'!F127,"")</f>
        <v>0</v>
      </c>
      <c r="G127" s="155">
        <f>SUM('Pay App 1:Pay App 17'!H127)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18'!L127)+SUM('Pay App 1:Pay App 18'!M127)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Data'!$O$2:$BX$88,20,FALSE)</f>
        <v>0</v>
      </c>
      <c r="F128" s="155">
        <f>IFERROR(E128+'Pay App 17'!F128,"")</f>
        <v>0</v>
      </c>
      <c r="G128" s="155">
        <f>SUM('Pay App 1:Pay App 17'!H128)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18'!L128)+SUM('Pay App 1:Pay App 18'!M128)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Data'!$O$2:$BX$88,20,FALSE)</f>
        <v>0</v>
      </c>
      <c r="F129" s="155">
        <f>IFERROR(E129+'Pay App 17'!F129,"")</f>
        <v>0</v>
      </c>
      <c r="G129" s="155">
        <f>SUM('Pay App 1:Pay App 17'!H129)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18'!L129)+SUM('Pay App 1:Pay App 18'!M129)</f>
        <v>0</v>
      </c>
    </row>
    <row r="130" spans="1:14" ht="11.25" customHeight="1" x14ac:dyDescent="0.25">
      <c r="A130" s="152">
        <f t="shared" si="3"/>
        <v>69</v>
      </c>
      <c r="B130" s="185" t="str">
        <f>'Pay App 1'!B130</f>
        <v>22 00 00</v>
      </c>
      <c r="C130" s="191" t="str">
        <f>'Pay App 1'!C130</f>
        <v>Plumbing</v>
      </c>
      <c r="D130" s="155">
        <f>'Pay App 1'!D130</f>
        <v>0</v>
      </c>
      <c r="E130" s="155">
        <f>VLOOKUP(B130,'Graph Data'!$O$2:$BX$88,20,FALSE)</f>
        <v>0</v>
      </c>
      <c r="F130" s="155">
        <f>IFERROR(E130+'Pay App 17'!F130,"")</f>
        <v>0</v>
      </c>
      <c r="G130" s="155">
        <f>SUM('Pay App 1:Pay App 17'!H130)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18'!L130)+SUM('Pay App 1:Pay App 18'!M130)</f>
        <v>0</v>
      </c>
    </row>
    <row r="131" spans="1:14" ht="11.25" customHeight="1" x14ac:dyDescent="0.25">
      <c r="A131" s="152">
        <f t="shared" si="3"/>
        <v>70</v>
      </c>
      <c r="B131" s="186" t="str">
        <f>'Pay App 1'!B131</f>
        <v>23 00 00</v>
      </c>
      <c r="C131" s="192" t="str">
        <f>'Pay App 1'!C131</f>
        <v>HVAC</v>
      </c>
      <c r="D131" s="155">
        <f>'Pay App 1'!D131</f>
        <v>0</v>
      </c>
      <c r="E131" s="155">
        <f>VLOOKUP(B131,'Graph Data'!$O$2:$BX$88,20,FALSE)</f>
        <v>0</v>
      </c>
      <c r="F131" s="155">
        <f>IFERROR(E131+'Pay App 17'!F131,"")</f>
        <v>0</v>
      </c>
      <c r="G131" s="155">
        <f>SUM('Pay App 1:Pay App 17'!H131)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18'!L131)+SUM('Pay App 1:Pay App 18'!M131)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Data'!$O$2:$BX$88,20,FALSE)</f>
        <v>0</v>
      </c>
      <c r="F132" s="155">
        <f>IFERROR(E132+'Pay App 17'!F132,"")</f>
        <v>0</v>
      </c>
      <c r="G132" s="155">
        <f>SUM('Pay App 1:Pay App 17'!H132)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18'!L132)+SUM('Pay App 1:Pay App 18'!M132)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Data'!$O$2:$BX$88,20,FALSE)</f>
        <v>0</v>
      </c>
      <c r="F133" s="155">
        <f>IFERROR(E133+'Pay App 17'!F133,"")</f>
        <v>0</v>
      </c>
      <c r="G133" s="155">
        <f>SUM('Pay App 1:Pay App 17'!H133)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18'!L133)+SUM('Pay App 1:Pay App 18'!M133)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Data'!$O$2:$BX$88,20,FALSE)</f>
        <v>0</v>
      </c>
      <c r="F134" s="155">
        <f>IFERROR(E134+'Pay App 17'!F134,"")</f>
        <v>0</v>
      </c>
      <c r="G134" s="155">
        <f>SUM('Pay App 1:Pay App 17'!H134)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18'!L134)+SUM('Pay App 1:Pay App 18'!M134)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Data'!$O$2:$BX$88,20,FALSE)</f>
        <v>0</v>
      </c>
      <c r="F135" s="155">
        <f>IFERROR(E135+'Pay App 17'!F135,"")</f>
        <v>0</v>
      </c>
      <c r="G135" s="155">
        <f>SUM('Pay App 1:Pay App 17'!H135)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18'!L135)+SUM('Pay App 1:Pay App 18'!M135)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Data'!$O$2:$BX$88,20,FALSE)</f>
        <v>0</v>
      </c>
      <c r="F136" s="155">
        <f>IFERROR(E136+'Pay App 17'!F136,"")</f>
        <v>0</v>
      </c>
      <c r="G136" s="155">
        <f>SUM('Pay App 1:Pay App 17'!H136)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18'!L136)+SUM('Pay App 1:Pay App 18'!M136)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Data'!$O$2:$BX$88,20,FALSE)</f>
        <v>0</v>
      </c>
      <c r="F137" s="155">
        <f>IFERROR(E137+'Pay App 17'!F137,"")</f>
        <v>0</v>
      </c>
      <c r="G137" s="155">
        <f>SUM('Pay App 1:Pay App 17'!H137)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18'!L137)+SUM('Pay App 1:Pay App 18'!M137)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Data'!$O$2:$BX$88,20,FALSE)</f>
        <v>0</v>
      </c>
      <c r="F138" s="155">
        <f>IFERROR(E138+'Pay App 17'!F138,"")</f>
        <v>0</v>
      </c>
      <c r="G138" s="155">
        <f>SUM('Pay App 1:Pay App 17'!H138)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18'!L138)+SUM('Pay App 1:Pay App 18'!M138)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Data'!$O$2:$BX$88,20,FALSE)</f>
        <v>0</v>
      </c>
      <c r="F139" s="155">
        <f>IFERROR(E139+'Pay App 17'!F139,"")</f>
        <v>0</v>
      </c>
      <c r="G139" s="155">
        <f>SUM('Pay App 1:Pay App 17'!H139)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18'!L139)+SUM('Pay App 1:Pay App 18'!M139)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Data'!$O$2:$BX$88,20,FALSE)</f>
        <v>0</v>
      </c>
      <c r="F140" s="155">
        <f>IFERROR(E140+'Pay App 17'!F140,"")</f>
        <v>0</v>
      </c>
      <c r="G140" s="155">
        <f>SUM('Pay App 1:Pay App 17'!H140)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18'!L140)+SUM('Pay App 1:Pay App 18'!M140)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Data'!$O$2:$BX$88,20,FALSE)</f>
        <v>0</v>
      </c>
      <c r="F141" s="155">
        <f>IFERROR(E141+'Pay App 17'!F141,"")</f>
        <v>0</v>
      </c>
      <c r="G141" s="155">
        <f>SUM('Pay App 1:Pay App 17'!H141)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18'!L141)+SUM('Pay App 1:Pay App 18'!M141)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Data'!$O$2:$BX$88,20,FALSE)</f>
        <v>0</v>
      </c>
      <c r="F142" s="155">
        <f>IFERROR(E142+'Pay App 17'!F142,"")</f>
        <v>0</v>
      </c>
      <c r="G142" s="155">
        <f>SUM('Pay App 1:Pay App 17'!H142)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18'!L142)+SUM('Pay App 1:Pay App 18'!M142)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Data'!$O$2:$BX$88,20,FALSE)</f>
        <v>0</v>
      </c>
      <c r="F143" s="155">
        <f>IFERROR(E143+'Pay App 17'!F143,"")</f>
        <v>0</v>
      </c>
      <c r="G143" s="155">
        <f>SUM('Pay App 1:Pay App 17'!H143)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18'!L143)+SUM('Pay App 1:Pay App 18'!M143)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Data'!$O$2:$BX$88,20,FALSE)</f>
        <v>0</v>
      </c>
      <c r="F144" s="155">
        <f>IFERROR(E144+'Pay App 17'!F144,"")</f>
        <v>0</v>
      </c>
      <c r="G144" s="155">
        <f>SUM('Pay App 1:Pay App 17'!H144)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18'!L144)+SUM('Pay App 1:Pay App 18'!M144)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Data'!$O$2:$BX$88,20,FALSE)</f>
        <v>0</v>
      </c>
      <c r="F145" s="155">
        <f>IFERROR(E145+'Pay App 17'!F145,"")</f>
        <v>0</v>
      </c>
      <c r="G145" s="155">
        <f>SUM('Pay App 1:Pay App 17'!H145)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18'!L145)+SUM('Pay App 1:Pay App 18'!M145)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Data'!$O$2:$BX$88,20,FALSE)</f>
        <v>0</v>
      </c>
      <c r="F146" s="155">
        <f>IFERROR(E146+'Pay App 17'!F146,"")</f>
        <v>0</v>
      </c>
      <c r="G146" s="155">
        <f>SUM('Pay App 1:Pay App 17'!H146)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18'!L146)+SUM('Pay App 1:Pay App 18'!M146)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Data'!$O$2:$BX$88,20,FALSE)</f>
        <v>0</v>
      </c>
      <c r="F147" s="155">
        <f>IFERROR(E147+'Pay App 17'!F147,"")</f>
        <v>0</v>
      </c>
      <c r="G147" s="155">
        <f>SUM('Pay App 1:Pay App 17'!H147)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18'!L147)+SUM('Pay App 1:Pay App 18'!M147)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Data'!$O$2:$BX$88,20,FALSE)</f>
        <v>0</v>
      </c>
      <c r="F148" s="155">
        <f>IFERROR(E148+'Pay App 17'!F148,"")</f>
        <v>0</v>
      </c>
      <c r="G148" s="155">
        <f>SUM('Pay App 1:Pay App 17'!H148)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18'!L148)+SUM('Pay App 1:Pay App 18'!M148)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gv6+isFr5tgGU2IY+sUF3J4jQv8hmusxUdjV2Oa2pSbyYVfxUUaMM1Sb+1gWVpkfTZ1pIsSxTYqMnVIriZbwFA==" saltValue="Xgx2VwEXUMQZfQqA+wGhp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72" priority="2" operator="equal">
      <formula>0</formula>
    </cfRule>
  </conditionalFormatting>
  <conditionalFormatting sqref="D106:G148">
    <cfRule type="cellIs" dxfId="471" priority="1" operator="equal">
      <formula>0</formula>
    </cfRule>
  </conditionalFormatting>
  <conditionalFormatting sqref="D10:H10 D12:H14 D19:H21">
    <cfRule type="cellIs" dxfId="470" priority="6" operator="equal">
      <formula>0</formula>
    </cfRule>
  </conditionalFormatting>
  <conditionalFormatting sqref="H51">
    <cfRule type="cellIs" dxfId="469" priority="9" operator="lessThan">
      <formula>0</formula>
    </cfRule>
  </conditionalFormatting>
  <conditionalFormatting sqref="I57:I100 K57:K100 I106:I148 K106:K148 N106:N148">
    <cfRule type="cellIs" dxfId="468" priority="14" operator="equal">
      <formula>0</formula>
    </cfRule>
  </conditionalFormatting>
  <conditionalFormatting sqref="J57:J100 J106:J149">
    <cfRule type="cellIs" dxfId="467" priority="11" operator="greaterThan">
      <formula>1</formula>
    </cfRule>
    <cfRule type="cellIs" dxfId="466" priority="12" operator="equal">
      <formula>0</formula>
    </cfRule>
  </conditionalFormatting>
  <conditionalFormatting sqref="K57:K100 K106:K148">
    <cfRule type="cellIs" dxfId="465" priority="10" operator="lessThan">
      <formula>0</formula>
    </cfRule>
  </conditionalFormatting>
  <conditionalFormatting sqref="M57:M100">
    <cfRule type="cellIs" dxfId="464" priority="13" operator="lessThan">
      <formula>0</formula>
    </cfRule>
  </conditionalFormatting>
  <conditionalFormatting sqref="M106:M148">
    <cfRule type="cellIs" dxfId="463" priority="8" operator="lessThan">
      <formula>0</formula>
    </cfRule>
  </conditionalFormatting>
  <conditionalFormatting sqref="N57:N100">
    <cfRule type="cellIs" dxfId="46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9956F6C-FB14-4774-9808-23F3B8CEDEE2}">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1407F-3B05-44A5-B40E-338121143BA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19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19'!E149)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19'!G41)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19.100000000000001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Data'!$O$2:$BX$88,21,FALSE)</f>
        <v>0</v>
      </c>
      <c r="F57" s="155">
        <f>IFERROR(E57+'Pay App 18'!F57,"")</f>
        <v>0</v>
      </c>
      <c r="G57" s="155">
        <f>SUM('Pay App 1:Pay App 18'!H57)</f>
        <v>0</v>
      </c>
      <c r="H57" s="154"/>
      <c r="I57" s="155">
        <f>G57+H57</f>
        <v>0</v>
      </c>
      <c r="J57" s="156">
        <f>IFERROR(I57/F57,0)</f>
        <v>0</v>
      </c>
      <c r="K57" s="155">
        <f>IFERROR(F57-I57,"")</f>
        <v>0</v>
      </c>
      <c r="L57" s="155" t="str">
        <f>IF(AND('Summary Sheet'!$E$23="No",$H$33&gt;0,H57&gt;=1),"",IF(AND('Summary Sheet'!$E$23="Yes",H57&lt;&gt;""),H57*'Summary Sheet'!$G$23,""))</f>
        <v/>
      </c>
      <c r="M57" s="154"/>
      <c r="N57" s="155">
        <f>SUM('Pay App 1:Pay App 19'!L57)+SUM('Pay App 1:Pay App 19'!M57)</f>
        <v>0</v>
      </c>
    </row>
    <row r="58" spans="1:16" ht="11.25" customHeight="1" x14ac:dyDescent="0.25">
      <c r="A58" s="152">
        <v>2</v>
      </c>
      <c r="B58" s="145" t="str">
        <f>'Pay App 1'!B58</f>
        <v>00 02 00</v>
      </c>
      <c r="C58" s="134" t="str">
        <f>'Pay App 1'!C58</f>
        <v>Preconstruction Services</v>
      </c>
      <c r="D58" s="155">
        <f>'Pay App 1'!D58</f>
        <v>0</v>
      </c>
      <c r="E58" s="155">
        <f>VLOOKUP(B58,'Graph Data'!$O$2:$BX$88,21,FALSE)</f>
        <v>0</v>
      </c>
      <c r="F58" s="155">
        <f>IFERROR(E58+'Pay App 18'!F58,"")</f>
        <v>0</v>
      </c>
      <c r="G58" s="155">
        <f>SUM('Pay App 1:Pay App 18'!H58)</f>
        <v>0</v>
      </c>
      <c r="H58" s="154"/>
      <c r="I58" s="155">
        <f>G58+H58</f>
        <v>0</v>
      </c>
      <c r="J58" s="156">
        <f>IFERROR(I58/F58,0)</f>
        <v>0</v>
      </c>
      <c r="K58" s="155">
        <f>IFERROR(F58-I58,"")</f>
        <v>0</v>
      </c>
      <c r="L58" s="155" t="str">
        <f>IF(AND('Summary Sheet'!$E$23="No",$H$33&gt;0,H58&gt;=1),"",IF(AND('Summary Sheet'!$E$23="Yes",H58&lt;&gt;""),H58*'Summary Sheet'!$G$23,""))</f>
        <v/>
      </c>
      <c r="M58" s="154"/>
      <c r="N58" s="155">
        <f>SUM('Pay App 1:Pay App 19'!L58)+SUM('Pay App 1:Pay App 19'!M58)</f>
        <v>0</v>
      </c>
    </row>
    <row r="59" spans="1:16" ht="11.25" customHeight="1" x14ac:dyDescent="0.25">
      <c r="A59" s="152">
        <v>3</v>
      </c>
      <c r="B59" s="174" t="str">
        <f>'Pay App 1'!B59</f>
        <v>01 00 00</v>
      </c>
      <c r="C59" s="179" t="str">
        <f>'Pay App 1'!C59</f>
        <v>General Conditions/Requirements</v>
      </c>
      <c r="D59" s="155">
        <f>'Pay App 1'!D59</f>
        <v>0</v>
      </c>
      <c r="E59" s="155">
        <f>VLOOKUP(B59,'Graph Data'!$O$2:$BX$88,21,FALSE)</f>
        <v>0</v>
      </c>
      <c r="F59" s="155">
        <f>IFERROR(E59+'Pay App 18'!F59,"")</f>
        <v>0</v>
      </c>
      <c r="G59" s="155">
        <f>SUM('Pay App 1:Pay App 18'!H59)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19'!L59)+SUM('Pay App 1:Pay App 19'!M59)</f>
        <v>0</v>
      </c>
    </row>
    <row r="60" spans="1:16" ht="11.25" customHeight="1" x14ac:dyDescent="0.25">
      <c r="A60" s="152">
        <v>4</v>
      </c>
      <c r="B60" s="174" t="str">
        <f>'Pay App 1'!B60</f>
        <v>01 13 41</v>
      </c>
      <c r="C60" s="179" t="str">
        <f>'Pay App 1'!C60</f>
        <v>Temp. Scaffolding and Platforms</v>
      </c>
      <c r="D60" s="155">
        <f>'Pay App 1'!D60</f>
        <v>0</v>
      </c>
      <c r="E60" s="155">
        <f>VLOOKUP(B60,'Graph Data'!$O$2:$BX$88,21,FALSE)</f>
        <v>0</v>
      </c>
      <c r="F60" s="155">
        <f>IFERROR(E60+'Pay App 18'!F60,"")</f>
        <v>0</v>
      </c>
      <c r="G60" s="155">
        <f>SUM('Pay App 1:Pay App 18'!H60)</f>
        <v>0</v>
      </c>
      <c r="H60" s="154"/>
      <c r="I60" s="155">
        <f t="shared" si="0"/>
        <v>0</v>
      </c>
      <c r="J60" s="156">
        <f t="shared" si="1"/>
        <v>0</v>
      </c>
      <c r="K60" s="155">
        <f t="shared" si="2"/>
        <v>0</v>
      </c>
      <c r="L60" s="155" t="str">
        <f>IF(AND('Summary Sheet'!$E$23="No",$H$33&gt;0,H60&gt;=1),"",IF(AND('Summary Sheet'!$E$23="Yes",H60&lt;&gt;""),H60*'Summary Sheet'!$G$23,""))</f>
        <v/>
      </c>
      <c r="M60" s="154"/>
      <c r="N60" s="155">
        <f>SUM('Pay App 1:Pay App 19'!L60)+SUM('Pay App 1:Pay App 19'!M60)</f>
        <v>0</v>
      </c>
    </row>
    <row r="61" spans="1:16" ht="11.25" customHeight="1" x14ac:dyDescent="0.25">
      <c r="A61" s="152">
        <v>5</v>
      </c>
      <c r="B61" s="174" t="str">
        <f>'Pay App 1'!B61</f>
        <v>01 13 60</v>
      </c>
      <c r="C61" s="179" t="str">
        <f>'Pay App 1'!C61</f>
        <v>SWPPP</v>
      </c>
      <c r="D61" s="155">
        <f>'Pay App 1'!D61</f>
        <v>0</v>
      </c>
      <c r="E61" s="155">
        <f>VLOOKUP(B61,'Graph Data'!$O$2:$BX$88,21,FALSE)</f>
        <v>0</v>
      </c>
      <c r="F61" s="155">
        <f>IFERROR(E61+'Pay App 18'!F61,"")</f>
        <v>0</v>
      </c>
      <c r="G61" s="155">
        <f>SUM('Pay App 1:Pay App 18'!H61)</f>
        <v>0</v>
      </c>
      <c r="H61" s="154"/>
      <c r="I61" s="155">
        <f t="shared" si="0"/>
        <v>0</v>
      </c>
      <c r="J61" s="156">
        <f t="shared" si="1"/>
        <v>0</v>
      </c>
      <c r="K61" s="155">
        <f t="shared" si="2"/>
        <v>0</v>
      </c>
      <c r="L61" s="155" t="str">
        <f>IF(AND('Summary Sheet'!$E$23="No",$H$33&gt;0,H61&gt;=1),"",IF(AND('Summary Sheet'!$E$23="Yes",H61&lt;&gt;""),H61*'Summary Sheet'!$G$23,""))</f>
        <v/>
      </c>
      <c r="M61" s="154"/>
      <c r="N61" s="155">
        <f>SUM('Pay App 1:Pay App 19'!L61)+SUM('Pay App 1:Pay App 19'!M61)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Data'!$O$2:$BX$88,21,FALSE)</f>
        <v>0</v>
      </c>
      <c r="F62" s="155">
        <f>IFERROR(E62+'Pay App 18'!F62,"")</f>
        <v>0</v>
      </c>
      <c r="G62" s="155">
        <f>SUM('Pay App 1:Pay App 18'!H62)</f>
        <v>0</v>
      </c>
      <c r="H62" s="154"/>
      <c r="I62" s="155">
        <f t="shared" si="0"/>
        <v>0</v>
      </c>
      <c r="J62" s="156">
        <f t="shared" si="1"/>
        <v>0</v>
      </c>
      <c r="K62" s="155">
        <f t="shared" si="2"/>
        <v>0</v>
      </c>
      <c r="L62" s="155" t="str">
        <f>IF(AND('Summary Sheet'!$E$23="No",$H$33&gt;0,H62&gt;=1),"",IF(AND('Summary Sheet'!$E$23="Yes",H62&lt;&gt;""),H62*'Summary Sheet'!$G$23,""))</f>
        <v/>
      </c>
      <c r="M62" s="154"/>
      <c r="N62" s="155">
        <f>SUM('Pay App 1:Pay App 19'!L62)+SUM('Pay App 1:Pay App 19'!M62)</f>
        <v>0</v>
      </c>
    </row>
    <row r="63" spans="1:16" ht="11.25" customHeight="1" x14ac:dyDescent="0.25">
      <c r="A63" s="152">
        <v>7</v>
      </c>
      <c r="B63" s="174" t="str">
        <f>'Pay App 1'!B63</f>
        <v>01 31 00</v>
      </c>
      <c r="C63" s="179" t="str">
        <f>'Pay App 1'!C63</f>
        <v>Contractor's Supervision</v>
      </c>
      <c r="D63" s="155">
        <f>'Pay App 1'!D63</f>
        <v>0</v>
      </c>
      <c r="E63" s="155">
        <f>VLOOKUP(B63,'Graph Data'!$O$2:$BX$88,21,FALSE)</f>
        <v>0</v>
      </c>
      <c r="F63" s="155">
        <f>IFERROR(E63+'Pay App 18'!F63,"")</f>
        <v>0</v>
      </c>
      <c r="G63" s="155">
        <f>SUM('Pay App 1:Pay App 18'!H63)</f>
        <v>0</v>
      </c>
      <c r="H63" s="154"/>
      <c r="I63" s="155">
        <f t="shared" si="0"/>
        <v>0</v>
      </c>
      <c r="J63" s="156">
        <f t="shared" si="1"/>
        <v>0</v>
      </c>
      <c r="K63" s="155">
        <f t="shared" si="2"/>
        <v>0</v>
      </c>
      <c r="L63" s="155" t="str">
        <f>IF(AND('Summary Sheet'!$E$23="No",$H$33&gt;0,H63&gt;=1),"",IF(AND('Summary Sheet'!$E$23="Yes",H63&lt;&gt;""),H63*'Summary Sheet'!$G$23,""))</f>
        <v/>
      </c>
      <c r="M63" s="154"/>
      <c r="N63" s="155">
        <f>SUM('Pay App 1:Pay App 19'!L63)+SUM('Pay App 1:Pay App 19'!M63)</f>
        <v>0</v>
      </c>
    </row>
    <row r="64" spans="1:16" ht="11.25" customHeight="1" x14ac:dyDescent="0.25">
      <c r="A64" s="152">
        <v>8</v>
      </c>
      <c r="B64" s="174" t="str">
        <f>'Pay App 1'!B64</f>
        <v>01 32 00</v>
      </c>
      <c r="C64" s="179" t="str">
        <f>'Pay App 1'!C64</f>
        <v>General Liability Insurance</v>
      </c>
      <c r="D64" s="155">
        <f>'Pay App 1'!D64</f>
        <v>0</v>
      </c>
      <c r="E64" s="155">
        <f>VLOOKUP(B64,'Graph Data'!$O$2:$BX$88,21,FALSE)</f>
        <v>0</v>
      </c>
      <c r="F64" s="155">
        <f>IFERROR(E64+'Pay App 18'!F64,"")</f>
        <v>0</v>
      </c>
      <c r="G64" s="155">
        <f>SUM('Pay App 1:Pay App 18'!H64)</f>
        <v>0</v>
      </c>
      <c r="H64" s="154"/>
      <c r="I64" s="155">
        <f t="shared" si="0"/>
        <v>0</v>
      </c>
      <c r="J64" s="156">
        <f t="shared" si="1"/>
        <v>0</v>
      </c>
      <c r="K64" s="155">
        <f t="shared" si="2"/>
        <v>0</v>
      </c>
      <c r="L64" s="155" t="str">
        <f>IF(AND('Summary Sheet'!$E$23="No",$H$33&gt;0,H64&gt;=1),"",IF(AND('Summary Sheet'!$E$23="Yes",H64&lt;&gt;""),H64*'Summary Sheet'!$G$23,""))</f>
        <v/>
      </c>
      <c r="M64" s="154"/>
      <c r="N64" s="155">
        <f>SUM('Pay App 1:Pay App 19'!L64)+SUM('Pay App 1:Pay App 19'!M64)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Data'!$O$2:$BX$88,21,FALSE)</f>
        <v>0</v>
      </c>
      <c r="F65" s="155">
        <f>IFERROR(E65+'Pay App 18'!F65,"")</f>
        <v>0</v>
      </c>
      <c r="G65" s="155">
        <f>SUM('Pay App 1:Pay App 18'!H65)</f>
        <v>0</v>
      </c>
      <c r="H65" s="154"/>
      <c r="I65" s="155">
        <f t="shared" si="0"/>
        <v>0</v>
      </c>
      <c r="J65" s="156">
        <f t="shared" si="1"/>
        <v>0</v>
      </c>
      <c r="K65" s="155">
        <f t="shared" si="2"/>
        <v>0</v>
      </c>
      <c r="L65" s="155" t="str">
        <f>IF(AND('Summary Sheet'!$E$23="No",$H$33&gt;0,H65&gt;=1),"",IF(AND('Summary Sheet'!$E$23="Yes",H65&lt;&gt;""),H65*'Summary Sheet'!$G$23,""))</f>
        <v/>
      </c>
      <c r="M65" s="154"/>
      <c r="N65" s="155">
        <f>SUM('Pay App 1:Pay App 19'!L65)+SUM('Pay App 1:Pay App 19'!M65)</f>
        <v>0</v>
      </c>
    </row>
    <row r="66" spans="1:17" ht="11.25" customHeight="1" x14ac:dyDescent="0.25">
      <c r="A66" s="152">
        <v>10</v>
      </c>
      <c r="B66" s="174" t="str">
        <f>'Pay App 1'!B66</f>
        <v>01 34 00</v>
      </c>
      <c r="C66" s="179" t="str">
        <f>'Pay App 1'!C66</f>
        <v>Subcontractor Default Insurance</v>
      </c>
      <c r="D66" s="155">
        <f>'Pay App 1'!D66</f>
        <v>0</v>
      </c>
      <c r="E66" s="155">
        <f>VLOOKUP(B66,'Graph Data'!$O$2:$BX$88,21,FALSE)</f>
        <v>0</v>
      </c>
      <c r="F66" s="155">
        <f>IFERROR(E66+'Pay App 18'!F66,"")</f>
        <v>0</v>
      </c>
      <c r="G66" s="155">
        <f>SUM('Pay App 1:Pay App 18'!H66)</f>
        <v>0</v>
      </c>
      <c r="H66" s="154"/>
      <c r="I66" s="155">
        <f t="shared" si="0"/>
        <v>0</v>
      </c>
      <c r="J66" s="156">
        <f t="shared" si="1"/>
        <v>0</v>
      </c>
      <c r="K66" s="155">
        <f t="shared" si="2"/>
        <v>0</v>
      </c>
      <c r="L66" s="155" t="str">
        <f>IF(AND('Summary Sheet'!$E$23="No",$H$33&gt;0,H66&gt;=1),"",IF(AND('Summary Sheet'!$E$23="Yes",H66&lt;&gt;""),H66*'Summary Sheet'!$G$23,""))</f>
        <v/>
      </c>
      <c r="M66" s="154"/>
      <c r="N66" s="155">
        <f>SUM('Pay App 1:Pay App 19'!L66)+SUM('Pay App 1:Pay App 19'!M66)</f>
        <v>0</v>
      </c>
    </row>
    <row r="67" spans="1:17" ht="11.25" customHeight="1" x14ac:dyDescent="0.25">
      <c r="A67" s="152">
        <v>11</v>
      </c>
      <c r="B67" s="174" t="str">
        <f>'Pay App 1'!B67</f>
        <v>01 35 00</v>
      </c>
      <c r="C67" s="179" t="str">
        <f>'Pay App 1'!C67</f>
        <v>Construction Management Fee</v>
      </c>
      <c r="D67" s="155">
        <f>'Pay App 1'!D67</f>
        <v>0</v>
      </c>
      <c r="E67" s="155">
        <f>VLOOKUP(B67,'Graph Data'!$O$2:$BX$88,21,FALSE)</f>
        <v>0</v>
      </c>
      <c r="F67" s="155">
        <f>IFERROR(E67+'Pay App 18'!F67,"")</f>
        <v>0</v>
      </c>
      <c r="G67" s="155">
        <f>SUM('Pay App 1:Pay App 18'!H67)</f>
        <v>0</v>
      </c>
      <c r="H67" s="154"/>
      <c r="I67" s="155">
        <f t="shared" si="0"/>
        <v>0</v>
      </c>
      <c r="J67" s="156">
        <f t="shared" si="1"/>
        <v>0</v>
      </c>
      <c r="K67" s="155">
        <f t="shared" si="2"/>
        <v>0</v>
      </c>
      <c r="L67" s="155" t="str">
        <f>IF(AND('Summary Sheet'!$E$23="No",$H$33&gt;0,H67&gt;=1),"",IF(AND('Summary Sheet'!$E$23="Yes",H67&lt;&gt;""),H67*'Summary Sheet'!$G$23,""))</f>
        <v/>
      </c>
      <c r="M67" s="154"/>
      <c r="N67" s="155">
        <f>SUM('Pay App 1:Pay App 19'!L67)+SUM('Pay App 1:Pay App 19'!M67)</f>
        <v>0</v>
      </c>
    </row>
    <row r="68" spans="1:17" ht="11.25" customHeight="1" x14ac:dyDescent="0.25">
      <c r="A68" s="152">
        <v>12</v>
      </c>
      <c r="B68" s="174" t="str">
        <f>'Pay App 1'!B68</f>
        <v>01 36 00</v>
      </c>
      <c r="C68" s="179" t="str">
        <f>'Pay App 1'!C68</f>
        <v>Contingency</v>
      </c>
      <c r="D68" s="155">
        <f>'Pay App 1'!D68</f>
        <v>0</v>
      </c>
      <c r="E68" s="155">
        <f>VLOOKUP(B68,'Graph Data'!$O$2:$BX$88,21,FALSE)</f>
        <v>0</v>
      </c>
      <c r="F68" s="155">
        <f>IFERROR(E68+'Pay App 18'!F68,"")</f>
        <v>0</v>
      </c>
      <c r="G68" s="155">
        <f>SUM('Pay App 1:Pay App 18'!H68)</f>
        <v>0</v>
      </c>
      <c r="H68" s="154"/>
      <c r="I68" s="155">
        <f t="shared" si="0"/>
        <v>0</v>
      </c>
      <c r="J68" s="156">
        <f t="shared" si="1"/>
        <v>0</v>
      </c>
      <c r="K68" s="155">
        <f t="shared" si="2"/>
        <v>0</v>
      </c>
      <c r="L68" s="155" t="str">
        <f>IF(AND('Summary Sheet'!$E$23="No",$H$33&gt;0,H68&gt;=1),"",IF(AND('Summary Sheet'!$E$23="Yes",H68&lt;&gt;""),H68*'Summary Sheet'!$G$23,""))</f>
        <v/>
      </c>
      <c r="M68" s="154"/>
      <c r="N68" s="155">
        <f>SUM('Pay App 1:Pay App 19'!L68)+SUM('Pay App 1:Pay App 19'!M68)</f>
        <v>0</v>
      </c>
    </row>
    <row r="69" spans="1:17" ht="11.25" customHeight="1" x14ac:dyDescent="0.25">
      <c r="A69" s="152">
        <v>13</v>
      </c>
      <c r="B69" s="174" t="str">
        <f>'Pay App 1'!B69</f>
        <v>01 37 00</v>
      </c>
      <c r="C69" s="179" t="str">
        <f>'Pay App 1'!C69</f>
        <v>Weather Allowance (All Trades)</v>
      </c>
      <c r="D69" s="155">
        <f>'Pay App 1'!D69</f>
        <v>0</v>
      </c>
      <c r="E69" s="155">
        <f>VLOOKUP(B69,'Graph Data'!$O$2:$BX$88,21,FALSE)</f>
        <v>0</v>
      </c>
      <c r="F69" s="155">
        <f>IFERROR(E69+'Pay App 18'!F69,"")</f>
        <v>0</v>
      </c>
      <c r="G69" s="155">
        <f>SUM('Pay App 1:Pay App 18'!H69)</f>
        <v>0</v>
      </c>
      <c r="H69" s="154"/>
      <c r="I69" s="155">
        <f t="shared" si="0"/>
        <v>0</v>
      </c>
      <c r="J69" s="156">
        <f t="shared" si="1"/>
        <v>0</v>
      </c>
      <c r="K69" s="155">
        <f t="shared" si="2"/>
        <v>0</v>
      </c>
      <c r="L69" s="155" t="str">
        <f>IF(AND('Summary Sheet'!$E$23="No",$H$33&gt;0,H69&gt;=1),"",IF(AND('Summary Sheet'!$E$23="Yes",H69&lt;&gt;""),H69*'Summary Sheet'!$G$23,""))</f>
        <v/>
      </c>
      <c r="M69" s="154"/>
      <c r="N69" s="155">
        <f>SUM('Pay App 1:Pay App 19'!L69)+SUM('Pay App 1:Pay App 19'!M69)</f>
        <v>0</v>
      </c>
    </row>
    <row r="70" spans="1:17" ht="11.25" customHeight="1" x14ac:dyDescent="0.25">
      <c r="A70" s="152">
        <v>14</v>
      </c>
      <c r="B70" s="174" t="str">
        <f>'Pay App 1'!B70</f>
        <v>01 74 23</v>
      </c>
      <c r="C70" s="179" t="str">
        <f>'Pay App 1'!C70</f>
        <v>Cleaning (Final)</v>
      </c>
      <c r="D70" s="155">
        <f>'Pay App 1'!D70</f>
        <v>0</v>
      </c>
      <c r="E70" s="155">
        <f>VLOOKUP(B70,'Graph Data'!$O$2:$BX$88,21,FALSE)</f>
        <v>0</v>
      </c>
      <c r="F70" s="155">
        <f>IFERROR(E70+'Pay App 18'!F70,"")</f>
        <v>0</v>
      </c>
      <c r="G70" s="155">
        <f>SUM('Pay App 1:Pay App 18'!H70)</f>
        <v>0</v>
      </c>
      <c r="H70" s="154"/>
      <c r="I70" s="155">
        <f t="shared" si="0"/>
        <v>0</v>
      </c>
      <c r="J70" s="156">
        <f t="shared" si="1"/>
        <v>0</v>
      </c>
      <c r="K70" s="155">
        <f t="shared" si="2"/>
        <v>0</v>
      </c>
      <c r="L70" s="155" t="str">
        <f>IF(AND('Summary Sheet'!$E$23="No",$H$33&gt;0,H70&gt;=1),"",IF(AND('Summary Sheet'!$E$23="Yes",H70&lt;&gt;""),H70*'Summary Sheet'!$G$23,""))</f>
        <v/>
      </c>
      <c r="M70" s="154"/>
      <c r="N70" s="155">
        <f>SUM('Pay App 1:Pay App 19'!L70)+SUM('Pay App 1:Pay App 19'!M70)</f>
        <v>0</v>
      </c>
    </row>
    <row r="71" spans="1:17" ht="11.25" customHeight="1" x14ac:dyDescent="0.25">
      <c r="A71" s="152">
        <v>15</v>
      </c>
      <c r="B71" s="175" t="str">
        <f>'Pay App 1'!B71</f>
        <v>02 21 00</v>
      </c>
      <c r="C71" s="180" t="str">
        <f>'Pay App 1'!C71</f>
        <v>Survey/Engineering</v>
      </c>
      <c r="D71" s="155">
        <f>'Pay App 1'!D71</f>
        <v>0</v>
      </c>
      <c r="E71" s="155">
        <f>VLOOKUP(B71,'Graph Data'!$O$2:$BX$88,21,FALSE)</f>
        <v>0</v>
      </c>
      <c r="F71" s="155">
        <f>IFERROR(E71+'Pay App 18'!F71,"")</f>
        <v>0</v>
      </c>
      <c r="G71" s="155">
        <f>SUM('Pay App 1:Pay App 18'!H71)</f>
        <v>0</v>
      </c>
      <c r="H71" s="154"/>
      <c r="I71" s="155">
        <f t="shared" si="0"/>
        <v>0</v>
      </c>
      <c r="J71" s="156">
        <f t="shared" si="1"/>
        <v>0</v>
      </c>
      <c r="K71" s="155">
        <f t="shared" si="2"/>
        <v>0</v>
      </c>
      <c r="L71" s="155" t="str">
        <f>IF(AND('Summary Sheet'!$E$23="No",$H$33&gt;0,H71&gt;=1),"",IF(AND('Summary Sheet'!$E$23="Yes",H71&lt;&gt;""),H71*'Summary Sheet'!$G$23,""))</f>
        <v/>
      </c>
      <c r="M71" s="154"/>
      <c r="N71" s="155">
        <f>SUM('Pay App 1:Pay App 19'!L71)+SUM('Pay App 1:Pay App 19'!M71)</f>
        <v>0</v>
      </c>
      <c r="Q71" s="28"/>
    </row>
    <row r="72" spans="1:17" ht="11.25" customHeight="1" x14ac:dyDescent="0.25">
      <c r="A72" s="152">
        <v>16</v>
      </c>
      <c r="B72" s="175" t="str">
        <f>'Pay App 1'!B72</f>
        <v>02 41 00</v>
      </c>
      <c r="C72" s="180" t="str">
        <f>'Pay App 1'!C72</f>
        <v>Demolition</v>
      </c>
      <c r="D72" s="155">
        <f>'Pay App 1'!D72</f>
        <v>0</v>
      </c>
      <c r="E72" s="155">
        <f>VLOOKUP(B72,'Graph Data'!$O$2:$BX$88,21,FALSE)</f>
        <v>0</v>
      </c>
      <c r="F72" s="155">
        <f>IFERROR(E72+'Pay App 18'!F72,"")</f>
        <v>0</v>
      </c>
      <c r="G72" s="155">
        <f>SUM('Pay App 1:Pay App 18'!H72)</f>
        <v>0</v>
      </c>
      <c r="H72" s="154"/>
      <c r="I72" s="155">
        <f t="shared" si="0"/>
        <v>0</v>
      </c>
      <c r="J72" s="156">
        <f t="shared" si="1"/>
        <v>0</v>
      </c>
      <c r="K72" s="155">
        <f t="shared" si="2"/>
        <v>0</v>
      </c>
      <c r="L72" s="155" t="str">
        <f>IF(AND('Summary Sheet'!$E$23="No",$H$33&gt;0,H72&gt;=1),"",IF(AND('Summary Sheet'!$E$23="Yes",H72&lt;&gt;""),H72*'Summary Sheet'!$G$23,""))</f>
        <v/>
      </c>
      <c r="M72" s="154"/>
      <c r="N72" s="155">
        <f>SUM('Pay App 1:Pay App 19'!L72)+SUM('Pay App 1:Pay App 19'!M72)</f>
        <v>0</v>
      </c>
      <c r="Q72" s="28"/>
    </row>
    <row r="73" spans="1:17" ht="11.25" customHeight="1" x14ac:dyDescent="0.25">
      <c r="A73" s="152">
        <v>17</v>
      </c>
      <c r="B73" s="175" t="str">
        <f>'Pay App 1'!B73</f>
        <v>02 82 00</v>
      </c>
      <c r="C73" s="180" t="str">
        <f>'Pay App 1'!C73</f>
        <v>Asbestos Abatement</v>
      </c>
      <c r="D73" s="155">
        <f>'Pay App 1'!D73</f>
        <v>0</v>
      </c>
      <c r="E73" s="155">
        <f>VLOOKUP(B73,'Graph Data'!$O$2:$BX$88,21,FALSE)</f>
        <v>0</v>
      </c>
      <c r="F73" s="155">
        <f>IFERROR(E73+'Pay App 18'!F73,"")</f>
        <v>0</v>
      </c>
      <c r="G73" s="155">
        <f>SUM('Pay App 1:Pay App 18'!H73)</f>
        <v>0</v>
      </c>
      <c r="H73" s="154"/>
      <c r="I73" s="155">
        <f t="shared" si="0"/>
        <v>0</v>
      </c>
      <c r="J73" s="156">
        <f t="shared" si="1"/>
        <v>0</v>
      </c>
      <c r="K73" s="155">
        <f t="shared" si="2"/>
        <v>0</v>
      </c>
      <c r="L73" s="155" t="str">
        <f>IF(AND('Summary Sheet'!$E$23="No",$H$33&gt;0,H73&gt;=1),"",IF(AND('Summary Sheet'!$E$23="Yes",H73&lt;&gt;""),H73*'Summary Sheet'!$G$23,""))</f>
        <v/>
      </c>
      <c r="M73" s="154"/>
      <c r="N73" s="155">
        <f>SUM('Pay App 1:Pay App 19'!L73)+SUM('Pay App 1:Pay App 19'!M73)</f>
        <v>0</v>
      </c>
    </row>
    <row r="74" spans="1:17" ht="11.25" customHeight="1" x14ac:dyDescent="0.25">
      <c r="A74" s="152">
        <v>18</v>
      </c>
      <c r="B74" s="176" t="str">
        <f>'Pay App 1'!B74</f>
        <v>03 00 00</v>
      </c>
      <c r="C74" s="181" t="str">
        <f>'Pay App 1'!C74</f>
        <v>Building Concrete</v>
      </c>
      <c r="D74" s="155">
        <f>'Pay App 1'!D74</f>
        <v>0</v>
      </c>
      <c r="E74" s="155">
        <f>VLOOKUP(B74,'Graph Data'!$O$2:$BX$88,21,FALSE)</f>
        <v>0</v>
      </c>
      <c r="F74" s="155">
        <f>IFERROR(E74+'Pay App 18'!F74,"")</f>
        <v>0</v>
      </c>
      <c r="G74" s="155">
        <f>SUM('Pay App 1:Pay App 18'!H74)</f>
        <v>0</v>
      </c>
      <c r="H74" s="154"/>
      <c r="I74" s="155">
        <f t="shared" si="0"/>
        <v>0</v>
      </c>
      <c r="J74" s="156">
        <f t="shared" si="1"/>
        <v>0</v>
      </c>
      <c r="K74" s="155">
        <f t="shared" si="2"/>
        <v>0</v>
      </c>
      <c r="L74" s="155" t="str">
        <f>IF(AND('Summary Sheet'!$E$23="No",$H$33&gt;0,H74&gt;=1),"",IF(AND('Summary Sheet'!$E$23="Yes",H74&lt;&gt;""),H74*'Summary Sheet'!$G$23,""))</f>
        <v/>
      </c>
      <c r="M74" s="154"/>
      <c r="N74" s="155">
        <f>SUM('Pay App 1:Pay App 19'!L74)+SUM('Pay App 1:Pay App 19'!M74)</f>
        <v>0</v>
      </c>
    </row>
    <row r="75" spans="1:17" ht="11.25" customHeight="1" x14ac:dyDescent="0.25">
      <c r="A75" s="152">
        <v>19</v>
      </c>
      <c r="B75" s="176" t="str">
        <f>'Pay App 1'!B75</f>
        <v>03 20 00</v>
      </c>
      <c r="C75" s="181" t="str">
        <f>'Pay App 1'!C75</f>
        <v>Building Concrete Reinforcing</v>
      </c>
      <c r="D75" s="155">
        <f>'Pay App 1'!D75</f>
        <v>0</v>
      </c>
      <c r="E75" s="155">
        <f>VLOOKUP(B75,'Graph Data'!$O$2:$BX$88,21,FALSE)</f>
        <v>0</v>
      </c>
      <c r="F75" s="155">
        <f>IFERROR(E75+'Pay App 18'!F75,"")</f>
        <v>0</v>
      </c>
      <c r="G75" s="155">
        <f>SUM('Pay App 1:Pay App 18'!H75)</f>
        <v>0</v>
      </c>
      <c r="H75" s="154"/>
      <c r="I75" s="155">
        <f t="shared" si="0"/>
        <v>0</v>
      </c>
      <c r="J75" s="156">
        <f t="shared" si="1"/>
        <v>0</v>
      </c>
      <c r="K75" s="155">
        <f t="shared" si="2"/>
        <v>0</v>
      </c>
      <c r="L75" s="155" t="str">
        <f>IF(AND('Summary Sheet'!$E$23="No",$H$33&gt;0,H75&gt;=1),"",IF(AND('Summary Sheet'!$E$23="Yes",H75&lt;&gt;""),H75*'Summary Sheet'!$G$23,""))</f>
        <v/>
      </c>
      <c r="M75" s="154"/>
      <c r="N75" s="155">
        <f>SUM('Pay App 1:Pay App 19'!L75)+SUM('Pay App 1:Pay App 19'!M75)</f>
        <v>0</v>
      </c>
    </row>
    <row r="76" spans="1:17" ht="11.25" customHeight="1" x14ac:dyDescent="0.25">
      <c r="A76" s="152">
        <v>20</v>
      </c>
      <c r="B76" s="176" t="str">
        <f>'Pay App 1'!B76</f>
        <v>03 40 00</v>
      </c>
      <c r="C76" s="181" t="str">
        <f>'Pay App 1'!C76</f>
        <v>Precast</v>
      </c>
      <c r="D76" s="155">
        <f>'Pay App 1'!D76</f>
        <v>0</v>
      </c>
      <c r="E76" s="155">
        <f>VLOOKUP(B76,'Graph Data'!$O$2:$BX$88,21,FALSE)</f>
        <v>0</v>
      </c>
      <c r="F76" s="155">
        <f>IFERROR(E76+'Pay App 18'!F76,"")</f>
        <v>0</v>
      </c>
      <c r="G76" s="155">
        <f>SUM('Pay App 1:Pay App 18'!H76)</f>
        <v>0</v>
      </c>
      <c r="H76" s="154"/>
      <c r="I76" s="155">
        <f t="shared" si="0"/>
        <v>0</v>
      </c>
      <c r="J76" s="156">
        <f t="shared" si="1"/>
        <v>0</v>
      </c>
      <c r="K76" s="155">
        <f t="shared" si="2"/>
        <v>0</v>
      </c>
      <c r="L76" s="155" t="str">
        <f>IF(AND('Summary Sheet'!$E$23="No",$H$33&gt;0,H76&gt;=1),"",IF(AND('Summary Sheet'!$E$23="Yes",H76&lt;&gt;""),H76*'Summary Sheet'!$G$23,""))</f>
        <v/>
      </c>
      <c r="M76" s="154"/>
      <c r="N76" s="155">
        <f>SUM('Pay App 1:Pay App 19'!L76)+SUM('Pay App 1:Pay App 19'!M76)</f>
        <v>0</v>
      </c>
    </row>
    <row r="77" spans="1:17" ht="11.25" customHeight="1" x14ac:dyDescent="0.25">
      <c r="A77" s="152">
        <v>21</v>
      </c>
      <c r="B77" s="177" t="str">
        <f>'Pay App 1'!B77</f>
        <v>04 00 00</v>
      </c>
      <c r="C77" s="182" t="str">
        <f>'Pay App 1'!C77</f>
        <v>Masonry</v>
      </c>
      <c r="D77" s="155">
        <f>'Pay App 1'!D77</f>
        <v>0</v>
      </c>
      <c r="E77" s="155">
        <f>VLOOKUP(B77,'Graph Data'!$O$2:$BX$88,21,FALSE)</f>
        <v>0</v>
      </c>
      <c r="F77" s="155">
        <f>IFERROR(E77+'Pay App 18'!F77,"")</f>
        <v>0</v>
      </c>
      <c r="G77" s="155">
        <f>SUM('Pay App 1:Pay App 18'!H77)</f>
        <v>0</v>
      </c>
      <c r="H77" s="154"/>
      <c r="I77" s="155">
        <f t="shared" si="0"/>
        <v>0</v>
      </c>
      <c r="J77" s="156">
        <f t="shared" si="1"/>
        <v>0</v>
      </c>
      <c r="K77" s="155">
        <f t="shared" si="2"/>
        <v>0</v>
      </c>
      <c r="L77" s="155" t="str">
        <f>IF(AND('Summary Sheet'!$E$23="No",$H$33&gt;0,H77&gt;=1),"",IF(AND('Summary Sheet'!$E$23="Yes",H77&lt;&gt;""),H77*'Summary Sheet'!$G$23,""))</f>
        <v/>
      </c>
      <c r="M77" s="154"/>
      <c r="N77" s="155">
        <f>SUM('Pay App 1:Pay App 19'!L77)+SUM('Pay App 1:Pay App 19'!M77)</f>
        <v>0</v>
      </c>
    </row>
    <row r="78" spans="1:17" ht="11.25" customHeight="1" x14ac:dyDescent="0.25">
      <c r="A78" s="152">
        <v>22</v>
      </c>
      <c r="B78" s="177" t="str">
        <f>'Pay App 1'!B78</f>
        <v>04 05 19</v>
      </c>
      <c r="C78" s="182" t="str">
        <f>'Pay App 1'!C78</f>
        <v>Masonry Reinforcing</v>
      </c>
      <c r="D78" s="155">
        <f>'Pay App 1'!D78</f>
        <v>0</v>
      </c>
      <c r="E78" s="155">
        <f>VLOOKUP(B78,'Graph Data'!$O$2:$BX$88,21,FALSE)</f>
        <v>0</v>
      </c>
      <c r="F78" s="155">
        <f>IFERROR(E78+'Pay App 18'!F78,"")</f>
        <v>0</v>
      </c>
      <c r="G78" s="155">
        <f>SUM('Pay App 1:Pay App 18'!H78)</f>
        <v>0</v>
      </c>
      <c r="H78" s="154"/>
      <c r="I78" s="155">
        <f t="shared" si="0"/>
        <v>0</v>
      </c>
      <c r="J78" s="156">
        <f t="shared" si="1"/>
        <v>0</v>
      </c>
      <c r="K78" s="155">
        <f t="shared" si="2"/>
        <v>0</v>
      </c>
      <c r="L78" s="155" t="str">
        <f>IF(AND('Summary Sheet'!$E$23="No",$H$33&gt;0,H78&gt;=1),"",IF(AND('Summary Sheet'!$E$23="Yes",H78&lt;&gt;""),H78*'Summary Sheet'!$G$23,""))</f>
        <v/>
      </c>
      <c r="M78" s="154"/>
      <c r="N78" s="155">
        <f>SUM('Pay App 1:Pay App 19'!L78)+SUM('Pay App 1:Pay App 19'!M78)</f>
        <v>0</v>
      </c>
    </row>
    <row r="79" spans="1:17" ht="11.25" customHeight="1" x14ac:dyDescent="0.25">
      <c r="A79" s="152">
        <v>23</v>
      </c>
      <c r="B79" s="178" t="str">
        <f>'Pay App 1'!B79</f>
        <v>05 10 00</v>
      </c>
      <c r="C79" s="183" t="str">
        <f>'Pay App 1'!C79</f>
        <v>Structural Steel/Misc. Steel Fab</v>
      </c>
      <c r="D79" s="155">
        <f>'Pay App 1'!D79</f>
        <v>0</v>
      </c>
      <c r="E79" s="155">
        <f>VLOOKUP(B79,'Graph Data'!$O$2:$BX$88,21,FALSE)</f>
        <v>0</v>
      </c>
      <c r="F79" s="155">
        <f>IFERROR(E79+'Pay App 18'!F79,"")</f>
        <v>0</v>
      </c>
      <c r="G79" s="155">
        <f>SUM('Pay App 1:Pay App 18'!H79)</f>
        <v>0</v>
      </c>
      <c r="H79" s="154"/>
      <c r="I79" s="155">
        <f t="shared" si="0"/>
        <v>0</v>
      </c>
      <c r="J79" s="156">
        <f t="shared" si="1"/>
        <v>0</v>
      </c>
      <c r="K79" s="155">
        <f t="shared" si="2"/>
        <v>0</v>
      </c>
      <c r="L79" s="155" t="str">
        <f>IF(AND('Summary Sheet'!$E$23="No",$H$33&gt;0,H79&gt;=1),"",IF(AND('Summary Sheet'!$E$23="Yes",H79&lt;&gt;""),H79*'Summary Sheet'!$G$23,""))</f>
        <v/>
      </c>
      <c r="M79" s="154"/>
      <c r="N79" s="155">
        <f>SUM('Pay App 1:Pay App 19'!L79)+SUM('Pay App 1:Pay App 19'!M79)</f>
        <v>0</v>
      </c>
    </row>
    <row r="80" spans="1:17" ht="11.25" customHeight="1" x14ac:dyDescent="0.25">
      <c r="A80" s="152">
        <v>24</v>
      </c>
      <c r="B80" s="178" t="str">
        <f>'Pay App 1'!B80</f>
        <v>05 20 00</v>
      </c>
      <c r="C80" s="183" t="str">
        <f>'Pay App 1'!C80</f>
        <v>Joists &amp; Deck</v>
      </c>
      <c r="D80" s="155">
        <f>'Pay App 1'!D80</f>
        <v>0</v>
      </c>
      <c r="E80" s="155">
        <f>VLOOKUP(B80,'Graph Data'!$O$2:$BX$88,21,FALSE)</f>
        <v>0</v>
      </c>
      <c r="F80" s="155">
        <f>IFERROR(E80+'Pay App 18'!F80,"")</f>
        <v>0</v>
      </c>
      <c r="G80" s="155">
        <f>SUM('Pay App 1:Pay App 18'!H80)</f>
        <v>0</v>
      </c>
      <c r="H80" s="154"/>
      <c r="I80" s="155">
        <f t="shared" si="0"/>
        <v>0</v>
      </c>
      <c r="J80" s="156">
        <f t="shared" si="1"/>
        <v>0</v>
      </c>
      <c r="K80" s="155">
        <f t="shared" si="2"/>
        <v>0</v>
      </c>
      <c r="L80" s="155" t="str">
        <f>IF(AND('Summary Sheet'!$E$23="No",$H$33&gt;0,H80&gt;=1),"",IF(AND('Summary Sheet'!$E$23="Yes",H80&lt;&gt;""),H80*'Summary Sheet'!$G$23,""))</f>
        <v/>
      </c>
      <c r="M80" s="154"/>
      <c r="N80" s="155">
        <f>SUM('Pay App 1:Pay App 19'!L80)+SUM('Pay App 1:Pay App 19'!M80)</f>
        <v>0</v>
      </c>
    </row>
    <row r="81" spans="1:14" ht="11.25" customHeight="1" x14ac:dyDescent="0.25">
      <c r="A81" s="152">
        <v>25</v>
      </c>
      <c r="B81" s="178" t="str">
        <f>'Pay App 1'!B81</f>
        <v>05 70 00</v>
      </c>
      <c r="C81" s="183" t="str">
        <f>'Pay App 1'!C81</f>
        <v>Ornamental Metal</v>
      </c>
      <c r="D81" s="155">
        <f>'Pay App 1'!D81</f>
        <v>0</v>
      </c>
      <c r="E81" s="155">
        <f>VLOOKUP(B81,'Graph Data'!$O$2:$BX$88,21,FALSE)</f>
        <v>0</v>
      </c>
      <c r="F81" s="155">
        <f>IFERROR(E81+'Pay App 18'!F81,"")</f>
        <v>0</v>
      </c>
      <c r="G81" s="155">
        <f>SUM('Pay App 1:Pay App 18'!H81)</f>
        <v>0</v>
      </c>
      <c r="H81" s="154"/>
      <c r="I81" s="155">
        <f t="shared" si="0"/>
        <v>0</v>
      </c>
      <c r="J81" s="156">
        <f t="shared" si="1"/>
        <v>0</v>
      </c>
      <c r="K81" s="155">
        <f t="shared" si="2"/>
        <v>0</v>
      </c>
      <c r="L81" s="155" t="str">
        <f>IF(AND('Summary Sheet'!$E$23="No",$H$33&gt;0,H81&gt;=1),"",IF(AND('Summary Sheet'!$E$23="Yes",H81&lt;&gt;""),H81*'Summary Sheet'!$G$23,""))</f>
        <v/>
      </c>
      <c r="M81" s="154"/>
      <c r="N81" s="155">
        <f>SUM('Pay App 1:Pay App 19'!L81)+SUM('Pay App 1:Pay App 19'!M81)</f>
        <v>0</v>
      </c>
    </row>
    <row r="82" spans="1:14" ht="11.25" customHeight="1" x14ac:dyDescent="0.25">
      <c r="A82" s="152">
        <v>26</v>
      </c>
      <c r="B82" s="145" t="str">
        <f>'Pay App 1'!B82</f>
        <v>06 10 00</v>
      </c>
      <c r="C82" s="134" t="str">
        <f>'Pay App 1'!C82</f>
        <v>Rough Carpentry</v>
      </c>
      <c r="D82" s="155">
        <f>'Pay App 1'!D82</f>
        <v>0</v>
      </c>
      <c r="E82" s="155">
        <f>VLOOKUP(B82,'Graph Data'!$O$2:$BX$88,21,FALSE)</f>
        <v>0</v>
      </c>
      <c r="F82" s="155">
        <f>IFERROR(E82+'Pay App 18'!F82,"")</f>
        <v>0</v>
      </c>
      <c r="G82" s="155">
        <f>SUM('Pay App 1:Pay App 18'!H82)</f>
        <v>0</v>
      </c>
      <c r="H82" s="154"/>
      <c r="I82" s="155">
        <f t="shared" si="0"/>
        <v>0</v>
      </c>
      <c r="J82" s="156">
        <f t="shared" si="1"/>
        <v>0</v>
      </c>
      <c r="K82" s="155">
        <f t="shared" si="2"/>
        <v>0</v>
      </c>
      <c r="L82" s="155" t="str">
        <f>IF(AND('Summary Sheet'!$E$23="No",$H$33&gt;0,H82&gt;=1),"",IF(AND('Summary Sheet'!$E$23="Yes",H82&lt;&gt;""),H82*'Summary Sheet'!$G$23,""))</f>
        <v/>
      </c>
      <c r="M82" s="154"/>
      <c r="N82" s="155">
        <f>SUM('Pay App 1:Pay App 19'!L82)+SUM('Pay App 1:Pay App 19'!M82)</f>
        <v>0</v>
      </c>
    </row>
    <row r="83" spans="1:14" ht="11.25" customHeight="1" x14ac:dyDescent="0.25">
      <c r="A83" s="152">
        <v>27</v>
      </c>
      <c r="B83" s="145" t="str">
        <f>'Pay App 1'!B83</f>
        <v>06 40 00</v>
      </c>
      <c r="C83" s="134" t="str">
        <f>'Pay App 1'!C83</f>
        <v>Arch. Woodwork &amp; Finish Carp.</v>
      </c>
      <c r="D83" s="155">
        <f>'Pay App 1'!D83</f>
        <v>0</v>
      </c>
      <c r="E83" s="155">
        <f>VLOOKUP(B83,'Graph Data'!$O$2:$BX$88,21,FALSE)</f>
        <v>0</v>
      </c>
      <c r="F83" s="155">
        <f>IFERROR(E83+'Pay App 18'!F83,"")</f>
        <v>0</v>
      </c>
      <c r="G83" s="155">
        <f>SUM('Pay App 1:Pay App 18'!H83)</f>
        <v>0</v>
      </c>
      <c r="H83" s="154"/>
      <c r="I83" s="155">
        <f t="shared" si="0"/>
        <v>0</v>
      </c>
      <c r="J83" s="156">
        <f t="shared" si="1"/>
        <v>0</v>
      </c>
      <c r="K83" s="155">
        <f t="shared" si="2"/>
        <v>0</v>
      </c>
      <c r="L83" s="155" t="str">
        <f>IF(AND('Summary Sheet'!$E$23="No",$H$33&gt;0,H83&gt;=1),"",IF(AND('Summary Sheet'!$E$23="Yes",H83&lt;&gt;""),H83*'Summary Sheet'!$G$23,""))</f>
        <v/>
      </c>
      <c r="M83" s="154"/>
      <c r="N83" s="155">
        <f>SUM('Pay App 1:Pay App 19'!L83)+SUM('Pay App 1:Pay App 19'!M83)</f>
        <v>0</v>
      </c>
    </row>
    <row r="84" spans="1:14" ht="11.25" customHeight="1" x14ac:dyDescent="0.25">
      <c r="A84" s="152">
        <v>28</v>
      </c>
      <c r="B84" s="174" t="str">
        <f>'Pay App 1'!B84</f>
        <v>07 10 00</v>
      </c>
      <c r="C84" s="179" t="str">
        <f>'Pay App 1'!C84</f>
        <v>Waterproofing/Water Repellents</v>
      </c>
      <c r="D84" s="155">
        <f>'Pay App 1'!D84</f>
        <v>0</v>
      </c>
      <c r="E84" s="155">
        <f>VLOOKUP(B84,'Graph Data'!$O$2:$BX$88,21,FALSE)</f>
        <v>0</v>
      </c>
      <c r="F84" s="155">
        <f>IFERROR(E84+'Pay App 18'!F84,"")</f>
        <v>0</v>
      </c>
      <c r="G84" s="155">
        <f>SUM('Pay App 1:Pay App 18'!H84)</f>
        <v>0</v>
      </c>
      <c r="H84" s="154"/>
      <c r="I84" s="155">
        <f t="shared" si="0"/>
        <v>0</v>
      </c>
      <c r="J84" s="156">
        <f t="shared" si="1"/>
        <v>0</v>
      </c>
      <c r="K84" s="155">
        <f t="shared" si="2"/>
        <v>0</v>
      </c>
      <c r="L84" s="155" t="str">
        <f>IF(AND('Summary Sheet'!$E$23="No",$H$33&gt;0,H84&gt;=1),"",IF(AND('Summary Sheet'!$E$23="Yes",H84&lt;&gt;""),H84*'Summary Sheet'!$G$23,""))</f>
        <v/>
      </c>
      <c r="M84" s="154"/>
      <c r="N84" s="155">
        <f>SUM('Pay App 1:Pay App 19'!L84)+SUM('Pay App 1:Pay App 19'!M84)</f>
        <v>0</v>
      </c>
    </row>
    <row r="85" spans="1:14" ht="11.25" customHeight="1" x14ac:dyDescent="0.25">
      <c r="A85" s="152">
        <v>29</v>
      </c>
      <c r="B85" s="174" t="str">
        <f>'Pay App 1'!B85</f>
        <v>07 20 00</v>
      </c>
      <c r="C85" s="179" t="str">
        <f>'Pay App 1'!C85</f>
        <v>Insulation</v>
      </c>
      <c r="D85" s="155">
        <f>'Pay App 1'!D85</f>
        <v>0</v>
      </c>
      <c r="E85" s="155">
        <f>VLOOKUP(B85,'Graph Data'!$O$2:$BX$88,21,FALSE)</f>
        <v>0</v>
      </c>
      <c r="F85" s="155">
        <f>IFERROR(E85+'Pay App 18'!F85,"")</f>
        <v>0</v>
      </c>
      <c r="G85" s="155">
        <f>SUM('Pay App 1:Pay App 18'!H85)</f>
        <v>0</v>
      </c>
      <c r="H85" s="154"/>
      <c r="I85" s="155">
        <f t="shared" si="0"/>
        <v>0</v>
      </c>
      <c r="J85" s="156">
        <f t="shared" si="1"/>
        <v>0</v>
      </c>
      <c r="K85" s="155">
        <f t="shared" si="2"/>
        <v>0</v>
      </c>
      <c r="L85" s="155" t="str">
        <f>IF(AND('Summary Sheet'!$E$23="No",$H$33&gt;0,H85&gt;=1),"",IF(AND('Summary Sheet'!$E$23="Yes",H85&lt;&gt;""),H85*'Summary Sheet'!$G$23,""))</f>
        <v/>
      </c>
      <c r="M85" s="154"/>
      <c r="N85" s="155">
        <f>SUM('Pay App 1:Pay App 19'!L85)+SUM('Pay App 1:Pay App 19'!M85)</f>
        <v>0</v>
      </c>
    </row>
    <row r="86" spans="1:14" ht="11.25" customHeight="1" x14ac:dyDescent="0.25">
      <c r="A86" s="152">
        <v>30</v>
      </c>
      <c r="B86" s="174" t="str">
        <f>'Pay App 1'!B86</f>
        <v>07 24 00</v>
      </c>
      <c r="C86" s="179" t="str">
        <f>'Pay App 1'!C86</f>
        <v>EIFS</v>
      </c>
      <c r="D86" s="155">
        <f>'Pay App 1'!D86</f>
        <v>0</v>
      </c>
      <c r="E86" s="155">
        <f>VLOOKUP(B86,'Graph Data'!$O$2:$BX$88,21,FALSE)</f>
        <v>0</v>
      </c>
      <c r="F86" s="155">
        <f>IFERROR(E86+'Pay App 18'!F86,"")</f>
        <v>0</v>
      </c>
      <c r="G86" s="155">
        <f>SUM('Pay App 1:Pay App 18'!H86)</f>
        <v>0</v>
      </c>
      <c r="H86" s="154"/>
      <c r="I86" s="155">
        <f t="shared" si="0"/>
        <v>0</v>
      </c>
      <c r="J86" s="156">
        <f t="shared" si="1"/>
        <v>0</v>
      </c>
      <c r="K86" s="155">
        <f t="shared" si="2"/>
        <v>0</v>
      </c>
      <c r="L86" s="155" t="str">
        <f>IF(AND('Summary Sheet'!$E$23="No",$H$33&gt;0,H86&gt;=1),"",IF(AND('Summary Sheet'!$E$23="Yes",H86&lt;&gt;""),H86*'Summary Sheet'!$G$23,""))</f>
        <v/>
      </c>
      <c r="M86" s="154"/>
      <c r="N86" s="155">
        <f>SUM('Pay App 1:Pay App 19'!L86)+SUM('Pay App 1:Pay App 19'!M86)</f>
        <v>0</v>
      </c>
    </row>
    <row r="87" spans="1:14" ht="11.25" customHeight="1" x14ac:dyDescent="0.25">
      <c r="A87" s="152">
        <v>31</v>
      </c>
      <c r="B87" s="174" t="str">
        <f>'Pay App 1'!B87</f>
        <v>07 26 00</v>
      </c>
      <c r="C87" s="179" t="str">
        <f>'Pay App 1'!C87</f>
        <v>Vapor Retarders</v>
      </c>
      <c r="D87" s="155">
        <f>'Pay App 1'!D87</f>
        <v>0</v>
      </c>
      <c r="E87" s="155">
        <f>VLOOKUP(B87,'Graph Data'!$O$2:$BX$88,21,FALSE)</f>
        <v>0</v>
      </c>
      <c r="F87" s="155">
        <f>IFERROR(E87+'Pay App 18'!F87,"")</f>
        <v>0</v>
      </c>
      <c r="G87" s="155">
        <f>SUM('Pay App 1:Pay App 18'!H87)</f>
        <v>0</v>
      </c>
      <c r="H87" s="154"/>
      <c r="I87" s="155">
        <f t="shared" si="0"/>
        <v>0</v>
      </c>
      <c r="J87" s="156">
        <f t="shared" si="1"/>
        <v>0</v>
      </c>
      <c r="K87" s="155">
        <f t="shared" si="2"/>
        <v>0</v>
      </c>
      <c r="L87" s="155" t="str">
        <f>IF(AND('Summary Sheet'!$E$23="No",$H$33&gt;0,H87&gt;=1),"",IF(AND('Summary Sheet'!$E$23="Yes",H87&lt;&gt;""),H87*'Summary Sheet'!$G$23,""))</f>
        <v/>
      </c>
      <c r="M87" s="154"/>
      <c r="N87" s="155">
        <f>SUM('Pay App 1:Pay App 19'!L87)+SUM('Pay App 1:Pay App 19'!M87)</f>
        <v>0</v>
      </c>
    </row>
    <row r="88" spans="1:14" ht="11.25" customHeight="1" x14ac:dyDescent="0.25">
      <c r="A88" s="152">
        <v>32</v>
      </c>
      <c r="B88" s="174" t="str">
        <f>'Pay App 1'!B88</f>
        <v>07 41 00</v>
      </c>
      <c r="C88" s="179" t="str">
        <f>'Pay App 1'!C88</f>
        <v>Roofing</v>
      </c>
      <c r="D88" s="155">
        <f>'Pay App 1'!D88</f>
        <v>0</v>
      </c>
      <c r="E88" s="155">
        <f>VLOOKUP(B88,'Graph Data'!$O$2:$BX$88,21,FALSE)</f>
        <v>0</v>
      </c>
      <c r="F88" s="155">
        <f>IFERROR(E88+'Pay App 18'!F88,"")</f>
        <v>0</v>
      </c>
      <c r="G88" s="155">
        <f>SUM('Pay App 1:Pay App 18'!H88)</f>
        <v>0</v>
      </c>
      <c r="H88" s="154"/>
      <c r="I88" s="155">
        <f t="shared" si="0"/>
        <v>0</v>
      </c>
      <c r="J88" s="156">
        <f t="shared" si="1"/>
        <v>0</v>
      </c>
      <c r="K88" s="155">
        <f t="shared" si="2"/>
        <v>0</v>
      </c>
      <c r="L88" s="155" t="str">
        <f>IF(AND('Summary Sheet'!$E$23="No",$H$33&gt;0,H88&gt;=1),"",IF(AND('Summary Sheet'!$E$23="Yes",H88&lt;&gt;""),H88*'Summary Sheet'!$G$23,""))</f>
        <v/>
      </c>
      <c r="M88" s="154"/>
      <c r="N88" s="155">
        <f>SUM('Pay App 1:Pay App 19'!L88)+SUM('Pay App 1:Pay App 19'!M88)</f>
        <v>0</v>
      </c>
    </row>
    <row r="89" spans="1:14" ht="11.25" customHeight="1" x14ac:dyDescent="0.25">
      <c r="A89" s="152">
        <v>33</v>
      </c>
      <c r="B89" s="174" t="str">
        <f>'Pay App 1'!B89</f>
        <v>07 42 00</v>
      </c>
      <c r="C89" s="179" t="str">
        <f>'Pay App 1'!C89</f>
        <v>Metal Panels</v>
      </c>
      <c r="D89" s="155">
        <f>'Pay App 1'!D89</f>
        <v>0</v>
      </c>
      <c r="E89" s="155">
        <f>VLOOKUP(B89,'Graph Data'!$O$2:$BX$88,21,FALSE)</f>
        <v>0</v>
      </c>
      <c r="F89" s="155">
        <f>IFERROR(E89+'Pay App 18'!F89,"")</f>
        <v>0</v>
      </c>
      <c r="G89" s="155">
        <f>SUM('Pay App 1:Pay App 18'!H89)</f>
        <v>0</v>
      </c>
      <c r="H89" s="154"/>
      <c r="I89" s="155">
        <f t="shared" si="0"/>
        <v>0</v>
      </c>
      <c r="J89" s="156">
        <f t="shared" si="1"/>
        <v>0</v>
      </c>
      <c r="K89" s="155">
        <f t="shared" si="2"/>
        <v>0</v>
      </c>
      <c r="L89" s="155" t="str">
        <f>IF(AND('Summary Sheet'!$E$23="No",$H$33&gt;0,H89&gt;=1),"",IF(AND('Summary Sheet'!$E$23="Yes",H89&lt;&gt;""),H89*'Summary Sheet'!$G$23,""))</f>
        <v/>
      </c>
      <c r="M89" s="154"/>
      <c r="N89" s="155">
        <f>SUM('Pay App 1:Pay App 19'!L89)+SUM('Pay App 1:Pay App 19'!M89)</f>
        <v>0</v>
      </c>
    </row>
    <row r="90" spans="1:14" ht="11.25" customHeight="1" x14ac:dyDescent="0.25">
      <c r="A90" s="152">
        <v>34</v>
      </c>
      <c r="B90" s="174" t="str">
        <f>'Pay App 1'!B90</f>
        <v>07 60 00</v>
      </c>
      <c r="C90" s="179" t="str">
        <f>'Pay App 1'!C90</f>
        <v>Sheet Metal Flashing &amp; Trim</v>
      </c>
      <c r="D90" s="155">
        <f>'Pay App 1'!D90</f>
        <v>0</v>
      </c>
      <c r="E90" s="155">
        <f>VLOOKUP(B90,'Graph Data'!$O$2:$BX$88,21,FALSE)</f>
        <v>0</v>
      </c>
      <c r="F90" s="155">
        <f>IFERROR(E90+'Pay App 18'!F90,"")</f>
        <v>0</v>
      </c>
      <c r="G90" s="155">
        <f>SUM('Pay App 1:Pay App 18'!H90)</f>
        <v>0</v>
      </c>
      <c r="H90" s="154"/>
      <c r="I90" s="155">
        <f t="shared" si="0"/>
        <v>0</v>
      </c>
      <c r="J90" s="156">
        <f t="shared" si="1"/>
        <v>0</v>
      </c>
      <c r="K90" s="155">
        <f t="shared" si="2"/>
        <v>0</v>
      </c>
      <c r="L90" s="155" t="str">
        <f>IF(AND('Summary Sheet'!$E$23="No",$H$33&gt;0,H90&gt;=1),"",IF(AND('Summary Sheet'!$E$23="Yes",H90&lt;&gt;""),H90*'Summary Sheet'!$G$23,""))</f>
        <v/>
      </c>
      <c r="M90" s="154"/>
      <c r="N90" s="155">
        <f>SUM('Pay App 1:Pay App 19'!L90)+SUM('Pay App 1:Pay App 19'!M90)</f>
        <v>0</v>
      </c>
    </row>
    <row r="91" spans="1:14" ht="11.25" customHeight="1" x14ac:dyDescent="0.25">
      <c r="A91" s="152">
        <v>35</v>
      </c>
      <c r="B91" s="174" t="str">
        <f>'Pay App 1'!B91</f>
        <v>07 80 00</v>
      </c>
      <c r="C91" s="179" t="str">
        <f>'Pay App 1'!C91</f>
        <v>Fireproofing</v>
      </c>
      <c r="D91" s="155">
        <f>'Pay App 1'!D91</f>
        <v>0</v>
      </c>
      <c r="E91" s="155">
        <f>VLOOKUP(B91,'Graph Data'!$O$2:$BX$88,21,FALSE)</f>
        <v>0</v>
      </c>
      <c r="F91" s="155">
        <f>IFERROR(E91+'Pay App 18'!F91,"")</f>
        <v>0</v>
      </c>
      <c r="G91" s="155">
        <f>SUM('Pay App 1:Pay App 18'!H91)</f>
        <v>0</v>
      </c>
      <c r="H91" s="154"/>
      <c r="I91" s="155">
        <f t="shared" si="0"/>
        <v>0</v>
      </c>
      <c r="J91" s="156">
        <f t="shared" si="1"/>
        <v>0</v>
      </c>
      <c r="K91" s="155">
        <f t="shared" si="2"/>
        <v>0</v>
      </c>
      <c r="L91" s="155" t="str">
        <f>IF(AND('Summary Sheet'!$E$23="No",$H$33&gt;0,H91&gt;=1),"",IF(AND('Summary Sheet'!$E$23="Yes",H91&lt;&gt;""),H91*'Summary Sheet'!$G$23,""))</f>
        <v/>
      </c>
      <c r="M91" s="154"/>
      <c r="N91" s="155">
        <f>SUM('Pay App 1:Pay App 19'!L91)+SUM('Pay App 1:Pay App 19'!M91)</f>
        <v>0</v>
      </c>
    </row>
    <row r="92" spans="1:14" ht="11.25" customHeight="1" x14ac:dyDescent="0.25">
      <c r="A92" s="152">
        <v>36</v>
      </c>
      <c r="B92" s="174" t="str">
        <f>'Pay App 1'!B92</f>
        <v>07 90 00</v>
      </c>
      <c r="C92" s="179" t="str">
        <f>'Pay App 1'!C92</f>
        <v>Joint Sealants</v>
      </c>
      <c r="D92" s="155">
        <f>'Pay App 1'!D92</f>
        <v>0</v>
      </c>
      <c r="E92" s="155">
        <f>VLOOKUP(B92,'Graph Data'!$O$2:$BX$88,21,FALSE)</f>
        <v>0</v>
      </c>
      <c r="F92" s="155">
        <f>IFERROR(E92+'Pay App 18'!F92,"")</f>
        <v>0</v>
      </c>
      <c r="G92" s="155">
        <f>SUM('Pay App 1:Pay App 18'!H92)</f>
        <v>0</v>
      </c>
      <c r="H92" s="154"/>
      <c r="I92" s="155">
        <f t="shared" si="0"/>
        <v>0</v>
      </c>
      <c r="J92" s="156">
        <f t="shared" si="1"/>
        <v>0</v>
      </c>
      <c r="K92" s="155">
        <f t="shared" si="2"/>
        <v>0</v>
      </c>
      <c r="L92" s="155" t="str">
        <f>IF(AND('Summary Sheet'!$E$23="No",$H$33&gt;0,H92&gt;=1),"",IF(AND('Summary Sheet'!$E$23="Yes",H92&lt;&gt;""),H92*'Summary Sheet'!$G$23,""))</f>
        <v/>
      </c>
      <c r="M92" s="154"/>
      <c r="N92" s="155">
        <f>SUM('Pay App 1:Pay App 19'!L92)+SUM('Pay App 1:Pay App 19'!M92)</f>
        <v>0</v>
      </c>
    </row>
    <row r="93" spans="1:14" ht="11.25" customHeight="1" x14ac:dyDescent="0.25">
      <c r="A93" s="152">
        <v>37</v>
      </c>
      <c r="B93" s="174" t="str">
        <f>'Pay App 1'!B93</f>
        <v>07 95 00</v>
      </c>
      <c r="C93" s="179" t="str">
        <f>'Pay App 1'!C93</f>
        <v>Expansion Joints</v>
      </c>
      <c r="D93" s="155">
        <f>'Pay App 1'!D93</f>
        <v>0</v>
      </c>
      <c r="E93" s="155">
        <f>VLOOKUP(B93,'Graph Data'!$O$2:$BX$88,21,FALSE)</f>
        <v>0</v>
      </c>
      <c r="F93" s="155">
        <f>IFERROR(E93+'Pay App 18'!F93,"")</f>
        <v>0</v>
      </c>
      <c r="G93" s="155">
        <f>SUM('Pay App 1:Pay App 18'!H93)</f>
        <v>0</v>
      </c>
      <c r="H93" s="154"/>
      <c r="I93" s="155">
        <f t="shared" si="0"/>
        <v>0</v>
      </c>
      <c r="J93" s="156">
        <f t="shared" si="1"/>
        <v>0</v>
      </c>
      <c r="K93" s="155">
        <f t="shared" si="2"/>
        <v>0</v>
      </c>
      <c r="L93" s="155" t="str">
        <f>IF(AND('Summary Sheet'!$E$23="No",$H$33&gt;0,H93&gt;=1),"",IF(AND('Summary Sheet'!$E$23="Yes",H93&lt;&gt;""),H93*'Summary Sheet'!$G$23,""))</f>
        <v/>
      </c>
      <c r="M93" s="154"/>
      <c r="N93" s="155">
        <f>SUM('Pay App 1:Pay App 19'!L93)+SUM('Pay App 1:Pay App 19'!M93)</f>
        <v>0</v>
      </c>
    </row>
    <row r="94" spans="1:14" ht="11.25" customHeight="1" x14ac:dyDescent="0.25">
      <c r="A94" s="152">
        <v>38</v>
      </c>
      <c r="B94" s="175" t="str">
        <f>'Pay App 1'!B94</f>
        <v>08 10 00</v>
      </c>
      <c r="C94" s="180" t="str">
        <f>'Pay App 1'!C94</f>
        <v>Doors, Frames &amp; Hardware</v>
      </c>
      <c r="D94" s="155">
        <f>'Pay App 1'!D94</f>
        <v>0</v>
      </c>
      <c r="E94" s="155">
        <f>VLOOKUP(B94,'Graph Data'!$O$2:$BX$88,21,FALSE)</f>
        <v>0</v>
      </c>
      <c r="F94" s="155">
        <f>IFERROR(E94+'Pay App 18'!F94,"")</f>
        <v>0</v>
      </c>
      <c r="G94" s="155">
        <f>SUM('Pay App 1:Pay App 18'!H94)</f>
        <v>0</v>
      </c>
      <c r="H94" s="154"/>
      <c r="I94" s="155">
        <f t="shared" si="0"/>
        <v>0</v>
      </c>
      <c r="J94" s="156">
        <f t="shared" si="1"/>
        <v>0</v>
      </c>
      <c r="K94" s="155">
        <f t="shared" si="2"/>
        <v>0</v>
      </c>
      <c r="L94" s="155" t="str">
        <f>IF(AND('Summary Sheet'!$E$23="No",$H$33&gt;0,H94&gt;=1),"",IF(AND('Summary Sheet'!$E$23="Yes",H94&lt;&gt;""),H94*'Summary Sheet'!$G$23,""))</f>
        <v/>
      </c>
      <c r="M94" s="154"/>
      <c r="N94" s="155">
        <f>SUM('Pay App 1:Pay App 19'!L94)+SUM('Pay App 1:Pay App 19'!M94)</f>
        <v>0</v>
      </c>
    </row>
    <row r="95" spans="1:14" ht="11.25" customHeight="1" x14ac:dyDescent="0.25">
      <c r="A95" s="152">
        <v>39</v>
      </c>
      <c r="B95" s="175" t="str">
        <f>'Pay App 1'!B95</f>
        <v>08 30 00</v>
      </c>
      <c r="C95" s="180" t="str">
        <f>'Pay App 1'!C95</f>
        <v>Specialty Doors</v>
      </c>
      <c r="D95" s="155">
        <f>'Pay App 1'!D95</f>
        <v>0</v>
      </c>
      <c r="E95" s="155">
        <f>VLOOKUP(B95,'Graph Data'!$O$2:$BX$88,21,FALSE)</f>
        <v>0</v>
      </c>
      <c r="F95" s="155">
        <f>IFERROR(E95+'Pay App 18'!F95,"")</f>
        <v>0</v>
      </c>
      <c r="G95" s="155">
        <f>SUM('Pay App 1:Pay App 18'!H95)</f>
        <v>0</v>
      </c>
      <c r="H95" s="154"/>
      <c r="I95" s="155">
        <f t="shared" si="0"/>
        <v>0</v>
      </c>
      <c r="J95" s="156">
        <f t="shared" si="1"/>
        <v>0</v>
      </c>
      <c r="K95" s="155">
        <f t="shared" si="2"/>
        <v>0</v>
      </c>
      <c r="L95" s="155" t="str">
        <f>IF(AND('Summary Sheet'!$E$23="No",$H$33&gt;0,H95&gt;=1),"",IF(AND('Summary Sheet'!$E$23="Yes",H95&lt;&gt;""),H95*'Summary Sheet'!$G$23,""))</f>
        <v/>
      </c>
      <c r="M95" s="154"/>
      <c r="N95" s="155">
        <f>SUM('Pay App 1:Pay App 19'!L95)+SUM('Pay App 1:Pay App 19'!M95)</f>
        <v>0</v>
      </c>
    </row>
    <row r="96" spans="1:14" ht="11.25" customHeight="1" x14ac:dyDescent="0.25">
      <c r="A96" s="152">
        <v>40</v>
      </c>
      <c r="B96" s="175" t="str">
        <f>'Pay App 1'!B96</f>
        <v>08 33 00</v>
      </c>
      <c r="C96" s="180" t="str">
        <f>'Pay App 1'!C96</f>
        <v>Overhead Doors/Coiling Doors</v>
      </c>
      <c r="D96" s="155">
        <f>'Pay App 1'!D96</f>
        <v>0</v>
      </c>
      <c r="E96" s="155">
        <f>VLOOKUP(B96,'Graph Data'!$O$2:$BX$88,21,FALSE)</f>
        <v>0</v>
      </c>
      <c r="F96" s="155">
        <f>IFERROR(E96+'Pay App 18'!F96,"")</f>
        <v>0</v>
      </c>
      <c r="G96" s="155">
        <f>SUM('Pay App 1:Pay App 18'!H96)</f>
        <v>0</v>
      </c>
      <c r="H96" s="154"/>
      <c r="I96" s="155">
        <f t="shared" si="0"/>
        <v>0</v>
      </c>
      <c r="J96" s="156">
        <f t="shared" si="1"/>
        <v>0</v>
      </c>
      <c r="K96" s="155">
        <f t="shared" si="2"/>
        <v>0</v>
      </c>
      <c r="L96" s="155" t="str">
        <f>IF(AND('Summary Sheet'!$E$23="No",$H$33&gt;0,H96&gt;=1),"",IF(AND('Summary Sheet'!$E$23="Yes",H96&lt;&gt;""),H96*'Summary Sheet'!$G$23,""))</f>
        <v/>
      </c>
      <c r="M96" s="154"/>
      <c r="N96" s="155">
        <f>SUM('Pay App 1:Pay App 19'!L96)+SUM('Pay App 1:Pay App 19'!M96)</f>
        <v>0</v>
      </c>
    </row>
    <row r="97" spans="1:15" ht="11.25" customHeight="1" x14ac:dyDescent="0.25">
      <c r="A97" s="152">
        <v>41</v>
      </c>
      <c r="B97" s="175" t="str">
        <f>'Pay App 1'!B97</f>
        <v>08 40 00</v>
      </c>
      <c r="C97" s="180" t="str">
        <f>'Pay App 1'!C97</f>
        <v>Curtain Wall, Glass &amp; Glazing</v>
      </c>
      <c r="D97" s="155">
        <f>'Pay App 1'!D97</f>
        <v>0</v>
      </c>
      <c r="E97" s="155">
        <f>VLOOKUP(B97,'Graph Data'!$O$2:$BX$88,21,FALSE)</f>
        <v>0</v>
      </c>
      <c r="F97" s="155">
        <f>IFERROR(E97+'Pay App 18'!F97,"")</f>
        <v>0</v>
      </c>
      <c r="G97" s="155">
        <f>SUM('Pay App 1:Pay App 18'!H97)</f>
        <v>0</v>
      </c>
      <c r="H97" s="154"/>
      <c r="I97" s="155">
        <f t="shared" si="0"/>
        <v>0</v>
      </c>
      <c r="J97" s="156">
        <f t="shared" si="1"/>
        <v>0</v>
      </c>
      <c r="K97" s="155">
        <f t="shared" si="2"/>
        <v>0</v>
      </c>
      <c r="L97" s="155" t="str">
        <f>IF(AND('Summary Sheet'!$E$23="No",$H$33&gt;0,H97&gt;=1),"",IF(AND('Summary Sheet'!$E$23="Yes",H97&lt;&gt;""),H97*'Summary Sheet'!$G$23,""))</f>
        <v/>
      </c>
      <c r="M97" s="154"/>
      <c r="N97" s="155">
        <f>SUM('Pay App 1:Pay App 19'!L97)+SUM('Pay App 1:Pay App 19'!M97)</f>
        <v>0</v>
      </c>
    </row>
    <row r="98" spans="1:15" ht="10.9" customHeight="1" x14ac:dyDescent="0.25">
      <c r="A98" s="152">
        <v>42</v>
      </c>
      <c r="B98" s="175" t="str">
        <f>'Pay App 1'!B98</f>
        <v>08 60 00</v>
      </c>
      <c r="C98" s="180" t="str">
        <f>'Pay App 1'!C98</f>
        <v>Skylights</v>
      </c>
      <c r="D98" s="155">
        <f>'Pay App 1'!D98</f>
        <v>0</v>
      </c>
      <c r="E98" s="155">
        <f>VLOOKUP(B98,'Graph Data'!$O$2:$BX$88,21,FALSE)</f>
        <v>0</v>
      </c>
      <c r="F98" s="155">
        <f>IFERROR(E98+'Pay App 18'!F98,"")</f>
        <v>0</v>
      </c>
      <c r="G98" s="155">
        <f>SUM('Pay App 1:Pay App 18'!H98)</f>
        <v>0</v>
      </c>
      <c r="H98" s="154"/>
      <c r="I98" s="155">
        <f t="shared" si="0"/>
        <v>0</v>
      </c>
      <c r="J98" s="156">
        <f t="shared" si="1"/>
        <v>0</v>
      </c>
      <c r="K98" s="155">
        <f t="shared" si="2"/>
        <v>0</v>
      </c>
      <c r="L98" s="155" t="str">
        <f>IF(AND('Summary Sheet'!$E$23="No",$H$33&gt;0,H98&gt;=1),"",IF(AND('Summary Sheet'!$E$23="Yes",H98&lt;&gt;""),H98*'Summary Sheet'!$G$23,""))</f>
        <v/>
      </c>
      <c r="M98" s="154"/>
      <c r="N98" s="155">
        <f>SUM('Pay App 1:Pay App 19'!L98)+SUM('Pay App 1:Pay App 19'!M98)</f>
        <v>0</v>
      </c>
    </row>
    <row r="99" spans="1:15" ht="10.9" customHeight="1" x14ac:dyDescent="0.25">
      <c r="A99" s="152">
        <v>43</v>
      </c>
      <c r="B99" s="175" t="str">
        <f>'Pay App 1'!B99</f>
        <v>08 90 00</v>
      </c>
      <c r="C99" s="180" t="str">
        <f>'Pay App 1'!C99</f>
        <v>Louvers &amp; Vents</v>
      </c>
      <c r="D99" s="155">
        <f>'Pay App 1'!D99</f>
        <v>0</v>
      </c>
      <c r="E99" s="155">
        <f>VLOOKUP(B99,'Graph Data'!$O$2:$BX$88,21,FALSE)</f>
        <v>0</v>
      </c>
      <c r="F99" s="155">
        <f>IFERROR(E99+'Pay App 18'!F99,"")</f>
        <v>0</v>
      </c>
      <c r="G99" s="155">
        <f>SUM('Pay App 1:Pay App 18'!H99)</f>
        <v>0</v>
      </c>
      <c r="H99" s="154"/>
      <c r="I99" s="155">
        <f t="shared" si="0"/>
        <v>0</v>
      </c>
      <c r="J99" s="156">
        <f t="shared" si="1"/>
        <v>0</v>
      </c>
      <c r="K99" s="155">
        <f t="shared" si="2"/>
        <v>0</v>
      </c>
      <c r="L99" s="155" t="str">
        <f>IF(AND('Summary Sheet'!$E$23="No",$H$33&gt;0,H99&gt;=1),"",IF(AND('Summary Sheet'!$E$23="Yes",H99&lt;&gt;""),H99*'Summary Sheet'!$G$23,""))</f>
        <v/>
      </c>
      <c r="M99" s="154"/>
      <c r="N99" s="155">
        <f>SUM('Pay App 1:Pay App 19'!L99)+SUM('Pay App 1:Pay App 19'!M99)</f>
        <v>0</v>
      </c>
    </row>
    <row r="100" spans="1:15" ht="11.25" customHeight="1" x14ac:dyDescent="0.25">
      <c r="A100" s="153">
        <v>44</v>
      </c>
      <c r="B100" s="176" t="str">
        <f>'Pay App 1'!B100</f>
        <v>09 20 00</v>
      </c>
      <c r="C100" s="181" t="str">
        <f>'Pay App 1'!C100</f>
        <v>Gypsum Board Systems</v>
      </c>
      <c r="D100" s="155">
        <f>'Pay App 1'!D100</f>
        <v>0</v>
      </c>
      <c r="E100" s="155">
        <f>VLOOKUP(B100,'Graph Data'!$O$2:$BX$88,21,FALSE)</f>
        <v>0</v>
      </c>
      <c r="F100" s="155">
        <f>IFERROR(E100+'Pay App 18'!F100,"")</f>
        <v>0</v>
      </c>
      <c r="G100" s="155">
        <f>SUM('Pay App 1:Pay App 18'!H100)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19'!L100)+SUM('Pay App 1:Pay App 19'!M100)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19.2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Data'!$O$2:$BX$88,21,FALSE)</f>
        <v>0</v>
      </c>
      <c r="F106" s="155">
        <f>IFERROR(E106+'Pay App 18'!F106,"")</f>
        <v>0</v>
      </c>
      <c r="G106" s="155">
        <f>SUM('Pay App 1:Pay App 18'!H106)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19'!L106)+SUM('Pay App 1:Pay App 19'!M106)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Data'!$O$2:$BX$88,21,FALSE)</f>
        <v>0</v>
      </c>
      <c r="F107" s="155">
        <f>IFERROR(E107+'Pay App 18'!F107,"")</f>
        <v>0</v>
      </c>
      <c r="G107" s="155">
        <f>SUM('Pay App 1:Pay App 18'!H107)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19'!L107)+SUM('Pay App 1:Pay App 19'!M107)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Data'!$O$2:$BX$88,21,FALSE)</f>
        <v>0</v>
      </c>
      <c r="F108" s="155">
        <f>IFERROR(E108+'Pay App 18'!F108,"")</f>
        <v>0</v>
      </c>
      <c r="G108" s="155">
        <f>SUM('Pay App 1:Pay App 18'!H108)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19'!L108)+SUM('Pay App 1:Pay App 19'!M108)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Data'!$O$2:$BX$88,21,FALSE)</f>
        <v>0</v>
      </c>
      <c r="F109" s="155">
        <f>IFERROR(E109+'Pay App 18'!F109,"")</f>
        <v>0</v>
      </c>
      <c r="G109" s="155">
        <f>SUM('Pay App 1:Pay App 18'!H109)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19'!L109)+SUM('Pay App 1:Pay App 19'!M109)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Data'!$O$2:$BX$88,21,FALSE)</f>
        <v>0</v>
      </c>
      <c r="F110" s="155">
        <f>IFERROR(E110+'Pay App 18'!F110,"")</f>
        <v>0</v>
      </c>
      <c r="G110" s="155">
        <f>SUM('Pay App 1:Pay App 18'!H110)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19'!L110)+SUM('Pay App 1:Pay App 19'!M110)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Data'!$O$2:$BX$88,21,FALSE)</f>
        <v>0</v>
      </c>
      <c r="F111" s="155">
        <f>IFERROR(E111+'Pay App 18'!F111,"")</f>
        <v>0</v>
      </c>
      <c r="G111" s="155">
        <f>SUM('Pay App 1:Pay App 18'!H111)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19'!L111)+SUM('Pay App 1:Pay App 19'!M111)</f>
        <v>0</v>
      </c>
    </row>
    <row r="112" spans="1:15" ht="11.25" customHeight="1" x14ac:dyDescent="0.25">
      <c r="A112" s="152">
        <f t="shared" si="3"/>
        <v>51</v>
      </c>
      <c r="B112" s="148" t="str">
        <f>'Pay App 1'!B112</f>
        <v>09 90 00</v>
      </c>
      <c r="C112" s="143" t="str">
        <f>'Pay App 1'!C112</f>
        <v>Painting</v>
      </c>
      <c r="D112" s="155">
        <f>'Pay App 1'!D112</f>
        <v>0</v>
      </c>
      <c r="E112" s="155">
        <f>VLOOKUP(B112,'Graph Data'!$O$2:$BX$88,21,FALSE)</f>
        <v>0</v>
      </c>
      <c r="F112" s="155">
        <f>IFERROR(E112+'Pay App 18'!F112,"")</f>
        <v>0</v>
      </c>
      <c r="G112" s="155">
        <f>SUM('Pay App 1:Pay App 18'!H112)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19'!L112)+SUM('Pay App 1:Pay App 19'!M112)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Data'!$O$2:$BX$88,21,FALSE)</f>
        <v>0</v>
      </c>
      <c r="F113" s="155">
        <f>IFERROR(E113+'Pay App 18'!F113,"")</f>
        <v>0</v>
      </c>
      <c r="G113" s="155">
        <f>SUM('Pay App 1:Pay App 18'!H113)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19'!L113)+SUM('Pay App 1:Pay App 19'!M113)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Data'!$O$2:$BX$88,21,FALSE)</f>
        <v>0</v>
      </c>
      <c r="F114" s="155">
        <f>IFERROR(E114+'Pay App 18'!F114,"")</f>
        <v>0</v>
      </c>
      <c r="G114" s="155">
        <f>SUM('Pay App 1:Pay App 18'!H114)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19'!L114)+SUM('Pay App 1:Pay App 19'!M114)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Data'!$O$2:$BX$88,21,FALSE)</f>
        <v>0</v>
      </c>
      <c r="F115" s="155">
        <f>IFERROR(E115+'Pay App 18'!F115,"")</f>
        <v>0</v>
      </c>
      <c r="G115" s="155">
        <f>SUM('Pay App 1:Pay App 18'!H115)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19'!L115)+SUM('Pay App 1:Pay App 19'!M115)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Data'!$O$2:$BX$88,21,FALSE)</f>
        <v>0</v>
      </c>
      <c r="F116" s="155">
        <f>IFERROR(E116+'Pay App 18'!F116,"")</f>
        <v>0</v>
      </c>
      <c r="G116" s="155">
        <f>SUM('Pay App 1:Pay App 18'!H116)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19'!L116)+SUM('Pay App 1:Pay App 19'!M116)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Data'!$O$2:$BX$88,21,FALSE)</f>
        <v>0</v>
      </c>
      <c r="F117" s="155">
        <f>IFERROR(E117+'Pay App 18'!F117,"")</f>
        <v>0</v>
      </c>
      <c r="G117" s="155">
        <f>SUM('Pay App 1:Pay App 18'!H117)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19'!L117)+SUM('Pay App 1:Pay App 19'!M117)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Data'!$O$2:$BX$88,21,FALSE)</f>
        <v>0</v>
      </c>
      <c r="F118" s="155">
        <f>IFERROR(E118+'Pay App 18'!F118,"")</f>
        <v>0</v>
      </c>
      <c r="G118" s="155">
        <f>SUM('Pay App 1:Pay App 18'!H118)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19'!L118)+SUM('Pay App 1:Pay App 19'!M118)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Data'!$O$2:$BX$88,21,FALSE)</f>
        <v>0</v>
      </c>
      <c r="F119" s="155">
        <f>IFERROR(E119+'Pay App 18'!F119,"")</f>
        <v>0</v>
      </c>
      <c r="G119" s="155">
        <f>SUM('Pay App 1:Pay App 18'!H119)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19'!L119)+SUM('Pay App 1:Pay App 19'!M119)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Data'!$O$2:$BX$88,21,FALSE)</f>
        <v>0</v>
      </c>
      <c r="F120" s="155">
        <f>IFERROR(E120+'Pay App 18'!F120,"")</f>
        <v>0</v>
      </c>
      <c r="G120" s="155">
        <f>SUM('Pay App 1:Pay App 18'!H120)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19'!L120)+SUM('Pay App 1:Pay App 19'!M120)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Data'!$O$2:$BX$88,21,FALSE)</f>
        <v>0</v>
      </c>
      <c r="F121" s="155">
        <f>IFERROR(E121+'Pay App 18'!F121,"")</f>
        <v>0</v>
      </c>
      <c r="G121" s="155">
        <f>SUM('Pay App 1:Pay App 18'!H121)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19'!L121)+SUM('Pay App 1:Pay App 19'!M121)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Data'!$O$2:$BX$88,21,FALSE)</f>
        <v>0</v>
      </c>
      <c r="F122" s="155">
        <f>IFERROR(E122+'Pay App 18'!F122,"")</f>
        <v>0</v>
      </c>
      <c r="G122" s="155">
        <f>SUM('Pay App 1:Pay App 18'!H122)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19'!L122)+SUM('Pay App 1:Pay App 19'!M122)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Data'!$O$2:$BX$88,21,FALSE)</f>
        <v>0</v>
      </c>
      <c r="F123" s="155">
        <f>IFERROR(E123+'Pay App 18'!F123,"")</f>
        <v>0</v>
      </c>
      <c r="G123" s="155">
        <f>SUM('Pay App 1:Pay App 18'!H123)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19'!L123)+SUM('Pay App 1:Pay App 19'!M123)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Data'!$O$2:$BX$88,21,FALSE)</f>
        <v>0</v>
      </c>
      <c r="F124" s="155">
        <f>IFERROR(E124+'Pay App 18'!F124,"")</f>
        <v>0</v>
      </c>
      <c r="G124" s="155">
        <f>SUM('Pay App 1:Pay App 18'!H124)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19'!L124)+SUM('Pay App 1:Pay App 19'!M124)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Data'!$O$2:$BX$88,21,FALSE)</f>
        <v>0</v>
      </c>
      <c r="F125" s="155">
        <f>IFERROR(E125+'Pay App 18'!F125,"")</f>
        <v>0</v>
      </c>
      <c r="G125" s="155">
        <f>SUM('Pay App 1:Pay App 18'!H125)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19'!L125)+SUM('Pay App 1:Pay App 19'!M125)</f>
        <v>0</v>
      </c>
    </row>
    <row r="126" spans="1:14" ht="11.25" customHeight="1" x14ac:dyDescent="0.25">
      <c r="A126" s="152">
        <f t="shared" si="3"/>
        <v>65</v>
      </c>
      <c r="B126" s="188" t="str">
        <f>'Pay App 1'!B126</f>
        <v>14 20 00</v>
      </c>
      <c r="C126" s="194" t="str">
        <f>'Pay App 1'!C126</f>
        <v>Elevator</v>
      </c>
      <c r="D126" s="155">
        <f>'Pay App 1'!D126</f>
        <v>0</v>
      </c>
      <c r="E126" s="155">
        <f>VLOOKUP(B126,'Graph Data'!$O$2:$BX$88,21,FALSE)</f>
        <v>0</v>
      </c>
      <c r="F126" s="155">
        <f>IFERROR(E126+'Pay App 18'!F126,"")</f>
        <v>0</v>
      </c>
      <c r="G126" s="155">
        <f>SUM('Pay App 1:Pay App 18'!H126)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19'!L126)+SUM('Pay App 1:Pay App 19'!M126)</f>
        <v>0</v>
      </c>
    </row>
    <row r="127" spans="1:14" ht="11.25" customHeight="1" x14ac:dyDescent="0.25">
      <c r="A127" s="152">
        <f t="shared" si="3"/>
        <v>66</v>
      </c>
      <c r="B127" s="188" t="str">
        <f>'Pay App 1'!B127</f>
        <v>14 40 00</v>
      </c>
      <c r="C127" s="194" t="str">
        <f>'Pay App 1'!C127</f>
        <v>Lifts</v>
      </c>
      <c r="D127" s="155">
        <f>'Pay App 1'!D127</f>
        <v>0</v>
      </c>
      <c r="E127" s="155">
        <f>VLOOKUP(B127,'Graph Data'!$O$2:$BX$88,21,FALSE)</f>
        <v>0</v>
      </c>
      <c r="F127" s="155">
        <f>IFERROR(E127+'Pay App 18'!F127,"")</f>
        <v>0</v>
      </c>
      <c r="G127" s="155">
        <f>SUM('Pay App 1:Pay App 18'!H127)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19'!L127)+SUM('Pay App 1:Pay App 19'!M127)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Data'!$O$2:$BX$88,21,FALSE)</f>
        <v>0</v>
      </c>
      <c r="F128" s="155">
        <f>IFERROR(E128+'Pay App 18'!F128,"")</f>
        <v>0</v>
      </c>
      <c r="G128" s="155">
        <f>SUM('Pay App 1:Pay App 18'!H128)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19'!L128)+SUM('Pay App 1:Pay App 19'!M128)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Data'!$O$2:$BX$88,21,FALSE)</f>
        <v>0</v>
      </c>
      <c r="F129" s="155">
        <f>IFERROR(E129+'Pay App 18'!F129,"")</f>
        <v>0</v>
      </c>
      <c r="G129" s="155">
        <f>SUM('Pay App 1:Pay App 18'!H129)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19'!L129)+SUM('Pay App 1:Pay App 19'!M129)</f>
        <v>0</v>
      </c>
    </row>
    <row r="130" spans="1:14" ht="11.25" customHeight="1" x14ac:dyDescent="0.25">
      <c r="A130" s="152">
        <f t="shared" si="3"/>
        <v>69</v>
      </c>
      <c r="B130" s="185" t="str">
        <f>'Pay App 1'!B130</f>
        <v>22 00 00</v>
      </c>
      <c r="C130" s="191" t="str">
        <f>'Pay App 1'!C130</f>
        <v>Plumbing</v>
      </c>
      <c r="D130" s="155">
        <f>'Pay App 1'!D130</f>
        <v>0</v>
      </c>
      <c r="E130" s="155">
        <f>VLOOKUP(B130,'Graph Data'!$O$2:$BX$88,21,FALSE)</f>
        <v>0</v>
      </c>
      <c r="F130" s="155">
        <f>IFERROR(E130+'Pay App 18'!F130,"")</f>
        <v>0</v>
      </c>
      <c r="G130" s="155">
        <f>SUM('Pay App 1:Pay App 18'!H130)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19'!L130)+SUM('Pay App 1:Pay App 19'!M130)</f>
        <v>0</v>
      </c>
    </row>
    <row r="131" spans="1:14" ht="11.25" customHeight="1" x14ac:dyDescent="0.25">
      <c r="A131" s="152">
        <f t="shared" si="3"/>
        <v>70</v>
      </c>
      <c r="B131" s="186" t="str">
        <f>'Pay App 1'!B131</f>
        <v>23 00 00</v>
      </c>
      <c r="C131" s="192" t="str">
        <f>'Pay App 1'!C131</f>
        <v>HVAC</v>
      </c>
      <c r="D131" s="155">
        <f>'Pay App 1'!D131</f>
        <v>0</v>
      </c>
      <c r="E131" s="155">
        <f>VLOOKUP(B131,'Graph Data'!$O$2:$BX$88,21,FALSE)</f>
        <v>0</v>
      </c>
      <c r="F131" s="155">
        <f>IFERROR(E131+'Pay App 18'!F131,"")</f>
        <v>0</v>
      </c>
      <c r="G131" s="155">
        <f>SUM('Pay App 1:Pay App 18'!H131)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19'!L131)+SUM('Pay App 1:Pay App 19'!M131)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Data'!$O$2:$BX$88,21,FALSE)</f>
        <v>0</v>
      </c>
      <c r="F132" s="155">
        <f>IFERROR(E132+'Pay App 18'!F132,"")</f>
        <v>0</v>
      </c>
      <c r="G132" s="155">
        <f>SUM('Pay App 1:Pay App 18'!H132)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19'!L132)+SUM('Pay App 1:Pay App 19'!M132)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Data'!$O$2:$BX$88,21,FALSE)</f>
        <v>0</v>
      </c>
      <c r="F133" s="155">
        <f>IFERROR(E133+'Pay App 18'!F133,"")</f>
        <v>0</v>
      </c>
      <c r="G133" s="155">
        <f>SUM('Pay App 1:Pay App 18'!H133)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19'!L133)+SUM('Pay App 1:Pay App 19'!M133)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Data'!$O$2:$BX$88,21,FALSE)</f>
        <v>0</v>
      </c>
      <c r="F134" s="155">
        <f>IFERROR(E134+'Pay App 18'!F134,"")</f>
        <v>0</v>
      </c>
      <c r="G134" s="155">
        <f>SUM('Pay App 1:Pay App 18'!H134)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19'!L134)+SUM('Pay App 1:Pay App 19'!M134)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Data'!$O$2:$BX$88,21,FALSE)</f>
        <v>0</v>
      </c>
      <c r="F135" s="155">
        <f>IFERROR(E135+'Pay App 18'!F135,"")</f>
        <v>0</v>
      </c>
      <c r="G135" s="155">
        <f>SUM('Pay App 1:Pay App 18'!H135)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19'!L135)+SUM('Pay App 1:Pay App 19'!M135)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Data'!$O$2:$BX$88,21,FALSE)</f>
        <v>0</v>
      </c>
      <c r="F136" s="155">
        <f>IFERROR(E136+'Pay App 18'!F136,"")</f>
        <v>0</v>
      </c>
      <c r="G136" s="155">
        <f>SUM('Pay App 1:Pay App 18'!H136)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19'!L136)+SUM('Pay App 1:Pay App 19'!M136)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Data'!$O$2:$BX$88,21,FALSE)</f>
        <v>0</v>
      </c>
      <c r="F137" s="155">
        <f>IFERROR(E137+'Pay App 18'!F137,"")</f>
        <v>0</v>
      </c>
      <c r="G137" s="155">
        <f>SUM('Pay App 1:Pay App 18'!H137)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19'!L137)+SUM('Pay App 1:Pay App 19'!M137)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Data'!$O$2:$BX$88,21,FALSE)</f>
        <v>0</v>
      </c>
      <c r="F138" s="155">
        <f>IFERROR(E138+'Pay App 18'!F138,"")</f>
        <v>0</v>
      </c>
      <c r="G138" s="155">
        <f>SUM('Pay App 1:Pay App 18'!H138)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19'!L138)+SUM('Pay App 1:Pay App 19'!M138)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Data'!$O$2:$BX$88,21,FALSE)</f>
        <v>0</v>
      </c>
      <c r="F139" s="155">
        <f>IFERROR(E139+'Pay App 18'!F139,"")</f>
        <v>0</v>
      </c>
      <c r="G139" s="155">
        <f>SUM('Pay App 1:Pay App 18'!H139)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19'!L139)+SUM('Pay App 1:Pay App 19'!M139)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Data'!$O$2:$BX$88,21,FALSE)</f>
        <v>0</v>
      </c>
      <c r="F140" s="155">
        <f>IFERROR(E140+'Pay App 18'!F140,"")</f>
        <v>0</v>
      </c>
      <c r="G140" s="155">
        <f>SUM('Pay App 1:Pay App 18'!H140)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19'!L140)+SUM('Pay App 1:Pay App 19'!M140)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Data'!$O$2:$BX$88,21,FALSE)</f>
        <v>0</v>
      </c>
      <c r="F141" s="155">
        <f>IFERROR(E141+'Pay App 18'!F141,"")</f>
        <v>0</v>
      </c>
      <c r="G141" s="155">
        <f>SUM('Pay App 1:Pay App 18'!H141)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19'!L141)+SUM('Pay App 1:Pay App 19'!M141)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Data'!$O$2:$BX$88,21,FALSE)</f>
        <v>0</v>
      </c>
      <c r="F142" s="155">
        <f>IFERROR(E142+'Pay App 18'!F142,"")</f>
        <v>0</v>
      </c>
      <c r="G142" s="155">
        <f>SUM('Pay App 1:Pay App 18'!H142)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19'!L142)+SUM('Pay App 1:Pay App 19'!M142)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Data'!$O$2:$BX$88,21,FALSE)</f>
        <v>0</v>
      </c>
      <c r="F143" s="155">
        <f>IFERROR(E143+'Pay App 18'!F143,"")</f>
        <v>0</v>
      </c>
      <c r="G143" s="155">
        <f>SUM('Pay App 1:Pay App 18'!H143)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19'!L143)+SUM('Pay App 1:Pay App 19'!M143)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Data'!$O$2:$BX$88,21,FALSE)</f>
        <v>0</v>
      </c>
      <c r="F144" s="155">
        <f>IFERROR(E144+'Pay App 18'!F144,"")</f>
        <v>0</v>
      </c>
      <c r="G144" s="155">
        <f>SUM('Pay App 1:Pay App 18'!H144)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19'!L144)+SUM('Pay App 1:Pay App 19'!M144)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Data'!$O$2:$BX$88,21,FALSE)</f>
        <v>0</v>
      </c>
      <c r="F145" s="155">
        <f>IFERROR(E145+'Pay App 18'!F145,"")</f>
        <v>0</v>
      </c>
      <c r="G145" s="155">
        <f>SUM('Pay App 1:Pay App 18'!H145)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19'!L145)+SUM('Pay App 1:Pay App 19'!M145)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Data'!$O$2:$BX$88,21,FALSE)</f>
        <v>0</v>
      </c>
      <c r="F146" s="155">
        <f>IFERROR(E146+'Pay App 18'!F146,"")</f>
        <v>0</v>
      </c>
      <c r="G146" s="155">
        <f>SUM('Pay App 1:Pay App 18'!H146)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19'!L146)+SUM('Pay App 1:Pay App 19'!M146)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Data'!$O$2:$BX$88,21,FALSE)</f>
        <v>0</v>
      </c>
      <c r="F147" s="155">
        <f>IFERROR(E147+'Pay App 18'!F147,"")</f>
        <v>0</v>
      </c>
      <c r="G147" s="155">
        <f>SUM('Pay App 1:Pay App 18'!H147)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19'!L147)+SUM('Pay App 1:Pay App 19'!M147)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Data'!$O$2:$BX$88,21,FALSE)</f>
        <v>0</v>
      </c>
      <c r="F148" s="155">
        <f>IFERROR(E148+'Pay App 18'!F148,"")</f>
        <v>0</v>
      </c>
      <c r="G148" s="155">
        <f>SUM('Pay App 1:Pay App 18'!H148)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19'!L148)+SUM('Pay App 1:Pay App 19'!M148)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9tkCqqbcW5DSRV+r7ySLXXcy3sjgXFHsVcWt0ZwKXZD+k1ty1UwOn/L7WzpHxxaWRLU9XfbUZn2KhKqLP7p3Xg==" saltValue="SFbM4SsgZXdZAt0jeKhDi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61" priority="2" operator="equal">
      <formula>0</formula>
    </cfRule>
  </conditionalFormatting>
  <conditionalFormatting sqref="D106:G148">
    <cfRule type="cellIs" dxfId="460" priority="1" operator="equal">
      <formula>0</formula>
    </cfRule>
  </conditionalFormatting>
  <conditionalFormatting sqref="D10:H10 D12:H14 D19:H21">
    <cfRule type="cellIs" dxfId="459" priority="6" operator="equal">
      <formula>0</formula>
    </cfRule>
  </conditionalFormatting>
  <conditionalFormatting sqref="H51">
    <cfRule type="cellIs" dxfId="458" priority="9" operator="lessThan">
      <formula>0</formula>
    </cfRule>
  </conditionalFormatting>
  <conditionalFormatting sqref="I57:I100 K57:K100 I106:I148 K106:K148 N106:N148">
    <cfRule type="cellIs" dxfId="457" priority="14" operator="equal">
      <formula>0</formula>
    </cfRule>
  </conditionalFormatting>
  <conditionalFormatting sqref="J57:J100 J106:J149">
    <cfRule type="cellIs" dxfId="456" priority="11" operator="greaterThan">
      <formula>1</formula>
    </cfRule>
    <cfRule type="cellIs" dxfId="455" priority="12" operator="equal">
      <formula>0</formula>
    </cfRule>
  </conditionalFormatting>
  <conditionalFormatting sqref="K57:K100 K106:K148">
    <cfRule type="cellIs" dxfId="454" priority="10" operator="lessThan">
      <formula>0</formula>
    </cfRule>
  </conditionalFormatting>
  <conditionalFormatting sqref="M57:M100">
    <cfRule type="cellIs" dxfId="453" priority="13" operator="lessThan">
      <formula>0</formula>
    </cfRule>
  </conditionalFormatting>
  <conditionalFormatting sqref="M106:M148">
    <cfRule type="cellIs" dxfId="452" priority="8" operator="lessThan">
      <formula>0</formula>
    </cfRule>
  </conditionalFormatting>
  <conditionalFormatting sqref="N57:N100">
    <cfRule type="cellIs" dxfId="45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8D00DAD3-8D40-460D-81A9-A207EC1B1012}">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CC6EA-C797-4D7E-B1EF-B83C050B1A7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19'!H49)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20.100000000000001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Data'!$O$2:$BX$88,22,FALSE)</f>
        <v>0</v>
      </c>
      <c r="F57" s="155">
        <f>IFERROR(E57+'Pay App 19'!F57,"")</f>
        <v>0</v>
      </c>
      <c r="G57" s="155">
        <f>SUM('Pay App 1:Pay App 19'!H57)</f>
        <v>0</v>
      </c>
      <c r="H57" s="154"/>
      <c r="I57" s="155">
        <f>G57+H57</f>
        <v>0</v>
      </c>
      <c r="J57" s="156">
        <f>IFERROR(I57/F57,0)</f>
        <v>0</v>
      </c>
      <c r="K57" s="155">
        <f>IFERROR(F57-I57,"")</f>
        <v>0</v>
      </c>
      <c r="L57" s="155" t="str">
        <f>IF(AND('Summary Sheet'!$E$23="No",$H$33&gt;0,H57&gt;=1),"",IF(AND('Summary Sheet'!$E$23="Yes",H57&lt;&gt;""),H57*'Summary Sheet'!$G$23,""))</f>
        <v/>
      </c>
      <c r="M57" s="154"/>
      <c r="N57" s="155">
        <f>SUM('Pay App 1:Pay App 20'!L57)+SUM('Pay App 1:Pay App 20'!M57)</f>
        <v>0</v>
      </c>
    </row>
    <row r="58" spans="1:16" ht="11.25" customHeight="1" x14ac:dyDescent="0.25">
      <c r="A58" s="152">
        <v>2</v>
      </c>
      <c r="B58" s="145" t="str">
        <f>'Pay App 1'!B58</f>
        <v>00 02 00</v>
      </c>
      <c r="C58" s="134" t="str">
        <f>'Pay App 1'!C58</f>
        <v>Preconstruction Services</v>
      </c>
      <c r="D58" s="155">
        <f>'Pay App 1'!D58</f>
        <v>0</v>
      </c>
      <c r="E58" s="155">
        <f>VLOOKUP(B58,'Graph Data'!$O$2:$BX$88,22,FALSE)</f>
        <v>0</v>
      </c>
      <c r="F58" s="155">
        <f>IFERROR(E58+'Pay App 19'!F58,"")</f>
        <v>0</v>
      </c>
      <c r="G58" s="155">
        <f>SUM('Pay App 1:Pay App 19'!H58)</f>
        <v>0</v>
      </c>
      <c r="H58" s="154"/>
      <c r="I58" s="155">
        <f>G58+H58</f>
        <v>0</v>
      </c>
      <c r="J58" s="156">
        <f>IFERROR(I58/F58,0)</f>
        <v>0</v>
      </c>
      <c r="K58" s="155">
        <f>IFERROR(F58-I58,"")</f>
        <v>0</v>
      </c>
      <c r="L58" s="155" t="str">
        <f>IF(AND('Summary Sheet'!$E$23="No",$H$33&gt;0,H58&gt;=1),"",IF(AND('Summary Sheet'!$E$23="Yes",H58&lt;&gt;""),H58*'Summary Sheet'!$G$23,""))</f>
        <v/>
      </c>
      <c r="M58" s="154"/>
      <c r="N58" s="155">
        <f>SUM('Pay App 1:Pay App 20'!L58)+SUM('Pay App 1:Pay App 20'!M58)</f>
        <v>0</v>
      </c>
    </row>
    <row r="59" spans="1:16" ht="11.25" customHeight="1" x14ac:dyDescent="0.25">
      <c r="A59" s="152">
        <v>3</v>
      </c>
      <c r="B59" s="174" t="str">
        <f>'Pay App 1'!B59</f>
        <v>01 00 00</v>
      </c>
      <c r="C59" s="179" t="str">
        <f>'Pay App 1'!C59</f>
        <v>General Conditions/Requirements</v>
      </c>
      <c r="D59" s="155">
        <f>'Pay App 1'!D59</f>
        <v>0</v>
      </c>
      <c r="E59" s="155">
        <f>VLOOKUP(B59,'Graph Data'!$O$2:$BX$88,22,FALSE)</f>
        <v>0</v>
      </c>
      <c r="F59" s="155">
        <f>IFERROR(E59+'Pay App 19'!F59,"")</f>
        <v>0</v>
      </c>
      <c r="G59" s="155">
        <f>SUM('Pay App 1:Pay App 19'!H59)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20'!L59)+SUM('Pay App 1:Pay App 20'!M59)</f>
        <v>0</v>
      </c>
    </row>
    <row r="60" spans="1:16" ht="11.25" customHeight="1" x14ac:dyDescent="0.25">
      <c r="A60" s="152">
        <v>4</v>
      </c>
      <c r="B60" s="174" t="str">
        <f>'Pay App 1'!B60</f>
        <v>01 13 41</v>
      </c>
      <c r="C60" s="179" t="str">
        <f>'Pay App 1'!C60</f>
        <v>Temp. Scaffolding and Platforms</v>
      </c>
      <c r="D60" s="155">
        <f>'Pay App 1'!D60</f>
        <v>0</v>
      </c>
      <c r="E60" s="155">
        <f>VLOOKUP(B60,'Graph Data'!$O$2:$BX$88,22,FALSE)</f>
        <v>0</v>
      </c>
      <c r="F60" s="155">
        <f>IFERROR(E60+'Pay App 19'!F60,"")</f>
        <v>0</v>
      </c>
      <c r="G60" s="155">
        <f>SUM('Pay App 1:Pay App 19'!H60)</f>
        <v>0</v>
      </c>
      <c r="H60" s="154"/>
      <c r="I60" s="155">
        <f t="shared" si="0"/>
        <v>0</v>
      </c>
      <c r="J60" s="156">
        <f t="shared" si="1"/>
        <v>0</v>
      </c>
      <c r="K60" s="155">
        <f t="shared" si="2"/>
        <v>0</v>
      </c>
      <c r="L60" s="155" t="str">
        <f>IF(AND('Summary Sheet'!$E$23="No",$H$33&gt;0,H60&gt;=1),"",IF(AND('Summary Sheet'!$E$23="Yes",H60&lt;&gt;""),H60*'Summary Sheet'!$G$23,""))</f>
        <v/>
      </c>
      <c r="M60" s="154"/>
      <c r="N60" s="155">
        <f>SUM('Pay App 1:Pay App 20'!L60)+SUM('Pay App 1:Pay App 20'!M60)</f>
        <v>0</v>
      </c>
    </row>
    <row r="61" spans="1:16" ht="11.25" customHeight="1" x14ac:dyDescent="0.25">
      <c r="A61" s="152">
        <v>5</v>
      </c>
      <c r="B61" s="174" t="str">
        <f>'Pay App 1'!B61</f>
        <v>01 13 60</v>
      </c>
      <c r="C61" s="179" t="str">
        <f>'Pay App 1'!C61</f>
        <v>SWPPP</v>
      </c>
      <c r="D61" s="155">
        <f>'Pay App 1'!D61</f>
        <v>0</v>
      </c>
      <c r="E61" s="155">
        <f>VLOOKUP(B61,'Graph Data'!$O$2:$BX$88,22,FALSE)</f>
        <v>0</v>
      </c>
      <c r="F61" s="155">
        <f>IFERROR(E61+'Pay App 19'!F61,"")</f>
        <v>0</v>
      </c>
      <c r="G61" s="155">
        <f>SUM('Pay App 1:Pay App 19'!H61)</f>
        <v>0</v>
      </c>
      <c r="H61" s="154"/>
      <c r="I61" s="155">
        <f t="shared" si="0"/>
        <v>0</v>
      </c>
      <c r="J61" s="156">
        <f t="shared" si="1"/>
        <v>0</v>
      </c>
      <c r="K61" s="155">
        <f t="shared" si="2"/>
        <v>0</v>
      </c>
      <c r="L61" s="155" t="str">
        <f>IF(AND('Summary Sheet'!$E$23="No",$H$33&gt;0,H61&gt;=1),"",IF(AND('Summary Sheet'!$E$23="Yes",H61&lt;&gt;""),H61*'Summary Sheet'!$G$23,""))</f>
        <v/>
      </c>
      <c r="M61" s="154"/>
      <c r="N61" s="155">
        <f>SUM('Pay App 1:Pay App 20'!L61)+SUM('Pay App 1:Pay App 20'!M61)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Data'!$O$2:$BX$88,22,FALSE)</f>
        <v>0</v>
      </c>
      <c r="F62" s="155">
        <f>IFERROR(E62+'Pay App 19'!F62,"")</f>
        <v>0</v>
      </c>
      <c r="G62" s="155">
        <f>SUM('Pay App 1:Pay App 19'!H62)</f>
        <v>0</v>
      </c>
      <c r="H62" s="154"/>
      <c r="I62" s="155">
        <f t="shared" si="0"/>
        <v>0</v>
      </c>
      <c r="J62" s="156">
        <f t="shared" si="1"/>
        <v>0</v>
      </c>
      <c r="K62" s="155">
        <f t="shared" si="2"/>
        <v>0</v>
      </c>
      <c r="L62" s="155" t="str">
        <f>IF(AND('Summary Sheet'!$E$23="No",$H$33&gt;0,H62&gt;=1),"",IF(AND('Summary Sheet'!$E$23="Yes",H62&lt;&gt;""),H62*'Summary Sheet'!$G$23,""))</f>
        <v/>
      </c>
      <c r="M62" s="154"/>
      <c r="N62" s="155">
        <f>SUM('Pay App 1:Pay App 20'!L62)+SUM('Pay App 1:Pay App 20'!M62)</f>
        <v>0</v>
      </c>
    </row>
    <row r="63" spans="1:16" ht="11.25" customHeight="1" x14ac:dyDescent="0.25">
      <c r="A63" s="152">
        <v>7</v>
      </c>
      <c r="B63" s="174" t="str">
        <f>'Pay App 1'!B63</f>
        <v>01 31 00</v>
      </c>
      <c r="C63" s="179" t="str">
        <f>'Pay App 1'!C63</f>
        <v>Contractor's Supervision</v>
      </c>
      <c r="D63" s="155">
        <f>'Pay App 1'!D63</f>
        <v>0</v>
      </c>
      <c r="E63" s="155">
        <f>VLOOKUP(B63,'Graph Data'!$O$2:$BX$88,22,FALSE)</f>
        <v>0</v>
      </c>
      <c r="F63" s="155">
        <f>IFERROR(E63+'Pay App 19'!F63,"")</f>
        <v>0</v>
      </c>
      <c r="G63" s="155">
        <f>SUM('Pay App 1:Pay App 19'!H63)</f>
        <v>0</v>
      </c>
      <c r="H63" s="154"/>
      <c r="I63" s="155">
        <f t="shared" si="0"/>
        <v>0</v>
      </c>
      <c r="J63" s="156">
        <f t="shared" si="1"/>
        <v>0</v>
      </c>
      <c r="K63" s="155">
        <f t="shared" si="2"/>
        <v>0</v>
      </c>
      <c r="L63" s="155" t="str">
        <f>IF(AND('Summary Sheet'!$E$23="No",$H$33&gt;0,H63&gt;=1),"",IF(AND('Summary Sheet'!$E$23="Yes",H63&lt;&gt;""),H63*'Summary Sheet'!$G$23,""))</f>
        <v/>
      </c>
      <c r="M63" s="154"/>
      <c r="N63" s="155">
        <f>SUM('Pay App 1:Pay App 20'!L63)+SUM('Pay App 1:Pay App 20'!M63)</f>
        <v>0</v>
      </c>
    </row>
    <row r="64" spans="1:16" ht="11.25" customHeight="1" x14ac:dyDescent="0.25">
      <c r="A64" s="152">
        <v>8</v>
      </c>
      <c r="B64" s="174" t="str">
        <f>'Pay App 1'!B64</f>
        <v>01 32 00</v>
      </c>
      <c r="C64" s="179" t="str">
        <f>'Pay App 1'!C64</f>
        <v>General Liability Insurance</v>
      </c>
      <c r="D64" s="155">
        <f>'Pay App 1'!D64</f>
        <v>0</v>
      </c>
      <c r="E64" s="155">
        <f>VLOOKUP(B64,'Graph Data'!$O$2:$BX$88,22,FALSE)</f>
        <v>0</v>
      </c>
      <c r="F64" s="155">
        <f>IFERROR(E64+'Pay App 19'!F64,"")</f>
        <v>0</v>
      </c>
      <c r="G64" s="155">
        <f>SUM('Pay App 1:Pay App 19'!H64)</f>
        <v>0</v>
      </c>
      <c r="H64" s="154"/>
      <c r="I64" s="155">
        <f t="shared" si="0"/>
        <v>0</v>
      </c>
      <c r="J64" s="156">
        <f t="shared" si="1"/>
        <v>0</v>
      </c>
      <c r="K64" s="155">
        <f t="shared" si="2"/>
        <v>0</v>
      </c>
      <c r="L64" s="155" t="str">
        <f>IF(AND('Summary Sheet'!$E$23="No",$H$33&gt;0,H64&gt;=1),"",IF(AND('Summary Sheet'!$E$23="Yes",H64&lt;&gt;""),H64*'Summary Sheet'!$G$23,""))</f>
        <v/>
      </c>
      <c r="M64" s="154"/>
      <c r="N64" s="155">
        <f>SUM('Pay App 1:Pay App 20'!L64)+SUM('Pay App 1:Pay App 20'!M64)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Data'!$O$2:$BX$88,22,FALSE)</f>
        <v>0</v>
      </c>
      <c r="F65" s="155">
        <f>IFERROR(E65+'Pay App 19'!F65,"")</f>
        <v>0</v>
      </c>
      <c r="G65" s="155">
        <f>SUM('Pay App 1:Pay App 19'!H65)</f>
        <v>0</v>
      </c>
      <c r="H65" s="154"/>
      <c r="I65" s="155">
        <f t="shared" si="0"/>
        <v>0</v>
      </c>
      <c r="J65" s="156">
        <f t="shared" si="1"/>
        <v>0</v>
      </c>
      <c r="K65" s="155">
        <f t="shared" si="2"/>
        <v>0</v>
      </c>
      <c r="L65" s="155" t="str">
        <f>IF(AND('Summary Sheet'!$E$23="No",$H$33&gt;0,H65&gt;=1),"",IF(AND('Summary Sheet'!$E$23="Yes",H65&lt;&gt;""),H65*'Summary Sheet'!$G$23,""))</f>
        <v/>
      </c>
      <c r="M65" s="154"/>
      <c r="N65" s="155">
        <f>SUM('Pay App 1:Pay App 20'!L65)+SUM('Pay App 1:Pay App 20'!M65)</f>
        <v>0</v>
      </c>
    </row>
    <row r="66" spans="1:17" ht="11.25" customHeight="1" x14ac:dyDescent="0.25">
      <c r="A66" s="152">
        <v>10</v>
      </c>
      <c r="B66" s="174" t="str">
        <f>'Pay App 1'!B66</f>
        <v>01 34 00</v>
      </c>
      <c r="C66" s="179" t="str">
        <f>'Pay App 1'!C66</f>
        <v>Subcontractor Default Insurance</v>
      </c>
      <c r="D66" s="155">
        <f>'Pay App 1'!D66</f>
        <v>0</v>
      </c>
      <c r="E66" s="155">
        <f>VLOOKUP(B66,'Graph Data'!$O$2:$BX$88,22,FALSE)</f>
        <v>0</v>
      </c>
      <c r="F66" s="155">
        <f>IFERROR(E66+'Pay App 19'!F66,"")</f>
        <v>0</v>
      </c>
      <c r="G66" s="155">
        <f>SUM('Pay App 1:Pay App 19'!H66)</f>
        <v>0</v>
      </c>
      <c r="H66" s="154"/>
      <c r="I66" s="155">
        <f t="shared" si="0"/>
        <v>0</v>
      </c>
      <c r="J66" s="156">
        <f t="shared" si="1"/>
        <v>0</v>
      </c>
      <c r="K66" s="155">
        <f t="shared" si="2"/>
        <v>0</v>
      </c>
      <c r="L66" s="155" t="str">
        <f>IF(AND('Summary Sheet'!$E$23="No",$H$33&gt;0,H66&gt;=1),"",IF(AND('Summary Sheet'!$E$23="Yes",H66&lt;&gt;""),H66*'Summary Sheet'!$G$23,""))</f>
        <v/>
      </c>
      <c r="M66" s="154"/>
      <c r="N66" s="155">
        <f>SUM('Pay App 1:Pay App 20'!L66)+SUM('Pay App 1:Pay App 20'!M66)</f>
        <v>0</v>
      </c>
    </row>
    <row r="67" spans="1:17" ht="11.25" customHeight="1" x14ac:dyDescent="0.25">
      <c r="A67" s="152">
        <v>11</v>
      </c>
      <c r="B67" s="174" t="str">
        <f>'Pay App 1'!B67</f>
        <v>01 35 00</v>
      </c>
      <c r="C67" s="179" t="str">
        <f>'Pay App 1'!C67</f>
        <v>Construction Management Fee</v>
      </c>
      <c r="D67" s="155">
        <f>'Pay App 1'!D67</f>
        <v>0</v>
      </c>
      <c r="E67" s="155">
        <f>VLOOKUP(B67,'Graph Data'!$O$2:$BX$88,22,FALSE)</f>
        <v>0</v>
      </c>
      <c r="F67" s="155">
        <f>IFERROR(E67+'Pay App 19'!F67,"")</f>
        <v>0</v>
      </c>
      <c r="G67" s="155">
        <f>SUM('Pay App 1:Pay App 19'!H67)</f>
        <v>0</v>
      </c>
      <c r="H67" s="154"/>
      <c r="I67" s="155">
        <f t="shared" si="0"/>
        <v>0</v>
      </c>
      <c r="J67" s="156">
        <f t="shared" si="1"/>
        <v>0</v>
      </c>
      <c r="K67" s="155">
        <f t="shared" si="2"/>
        <v>0</v>
      </c>
      <c r="L67" s="155" t="str">
        <f>IF(AND('Summary Sheet'!$E$23="No",$H$33&gt;0,H67&gt;=1),"",IF(AND('Summary Sheet'!$E$23="Yes",H67&lt;&gt;""),H67*'Summary Sheet'!$G$23,""))</f>
        <v/>
      </c>
      <c r="M67" s="154"/>
      <c r="N67" s="155">
        <f>SUM('Pay App 1:Pay App 20'!L67)+SUM('Pay App 1:Pay App 20'!M67)</f>
        <v>0</v>
      </c>
    </row>
    <row r="68" spans="1:17" ht="11.25" customHeight="1" x14ac:dyDescent="0.25">
      <c r="A68" s="152">
        <v>12</v>
      </c>
      <c r="B68" s="174" t="str">
        <f>'Pay App 1'!B68</f>
        <v>01 36 00</v>
      </c>
      <c r="C68" s="179" t="str">
        <f>'Pay App 1'!C68</f>
        <v>Contingency</v>
      </c>
      <c r="D68" s="155">
        <f>'Pay App 1'!D68</f>
        <v>0</v>
      </c>
      <c r="E68" s="155">
        <f>VLOOKUP(B68,'Graph Data'!$O$2:$BX$88,22,FALSE)</f>
        <v>0</v>
      </c>
      <c r="F68" s="155">
        <f>IFERROR(E68+'Pay App 19'!F68,"")</f>
        <v>0</v>
      </c>
      <c r="G68" s="155">
        <f>SUM('Pay App 1:Pay App 19'!H68)</f>
        <v>0</v>
      </c>
      <c r="H68" s="154"/>
      <c r="I68" s="155">
        <f t="shared" si="0"/>
        <v>0</v>
      </c>
      <c r="J68" s="156">
        <f t="shared" si="1"/>
        <v>0</v>
      </c>
      <c r="K68" s="155">
        <f t="shared" si="2"/>
        <v>0</v>
      </c>
      <c r="L68" s="155" t="str">
        <f>IF(AND('Summary Sheet'!$E$23="No",$H$33&gt;0,H68&gt;=1),"",IF(AND('Summary Sheet'!$E$23="Yes",H68&lt;&gt;""),H68*'Summary Sheet'!$G$23,""))</f>
        <v/>
      </c>
      <c r="M68" s="154"/>
      <c r="N68" s="155">
        <f>SUM('Pay App 1:Pay App 20'!L68)+SUM('Pay App 1:Pay App 20'!M68)</f>
        <v>0</v>
      </c>
    </row>
    <row r="69" spans="1:17" ht="11.25" customHeight="1" x14ac:dyDescent="0.25">
      <c r="A69" s="152">
        <v>13</v>
      </c>
      <c r="B69" s="174" t="str">
        <f>'Pay App 1'!B69</f>
        <v>01 37 00</v>
      </c>
      <c r="C69" s="179" t="str">
        <f>'Pay App 1'!C69</f>
        <v>Weather Allowance (All Trades)</v>
      </c>
      <c r="D69" s="155">
        <f>'Pay App 1'!D69</f>
        <v>0</v>
      </c>
      <c r="E69" s="155">
        <f>VLOOKUP(B69,'Graph Data'!$O$2:$BX$88,22,FALSE)</f>
        <v>0</v>
      </c>
      <c r="F69" s="155">
        <f>IFERROR(E69+'Pay App 19'!F69,"")</f>
        <v>0</v>
      </c>
      <c r="G69" s="155">
        <f>SUM('Pay App 1:Pay App 19'!H69)</f>
        <v>0</v>
      </c>
      <c r="H69" s="154"/>
      <c r="I69" s="155">
        <f t="shared" si="0"/>
        <v>0</v>
      </c>
      <c r="J69" s="156">
        <f t="shared" si="1"/>
        <v>0</v>
      </c>
      <c r="K69" s="155">
        <f t="shared" si="2"/>
        <v>0</v>
      </c>
      <c r="L69" s="155" t="str">
        <f>IF(AND('Summary Sheet'!$E$23="No",$H$33&gt;0,H69&gt;=1),"",IF(AND('Summary Sheet'!$E$23="Yes",H69&lt;&gt;""),H69*'Summary Sheet'!$G$23,""))</f>
        <v/>
      </c>
      <c r="M69" s="154"/>
      <c r="N69" s="155">
        <f>SUM('Pay App 1:Pay App 20'!L69)+SUM('Pay App 1:Pay App 20'!M69)</f>
        <v>0</v>
      </c>
    </row>
    <row r="70" spans="1:17" ht="11.25" customHeight="1" x14ac:dyDescent="0.25">
      <c r="A70" s="152">
        <v>14</v>
      </c>
      <c r="B70" s="174" t="str">
        <f>'Pay App 1'!B70</f>
        <v>01 74 23</v>
      </c>
      <c r="C70" s="179" t="str">
        <f>'Pay App 1'!C70</f>
        <v>Cleaning (Final)</v>
      </c>
      <c r="D70" s="155">
        <f>'Pay App 1'!D70</f>
        <v>0</v>
      </c>
      <c r="E70" s="155">
        <f>VLOOKUP(B70,'Graph Data'!$O$2:$BX$88,22,FALSE)</f>
        <v>0</v>
      </c>
      <c r="F70" s="155">
        <f>IFERROR(E70+'Pay App 19'!F70,"")</f>
        <v>0</v>
      </c>
      <c r="G70" s="155">
        <f>SUM('Pay App 1:Pay App 19'!H70)</f>
        <v>0</v>
      </c>
      <c r="H70" s="154"/>
      <c r="I70" s="155">
        <f t="shared" si="0"/>
        <v>0</v>
      </c>
      <c r="J70" s="156">
        <f t="shared" si="1"/>
        <v>0</v>
      </c>
      <c r="K70" s="155">
        <f t="shared" si="2"/>
        <v>0</v>
      </c>
      <c r="L70" s="155" t="str">
        <f>IF(AND('Summary Sheet'!$E$23="No",$H$33&gt;0,H70&gt;=1),"",IF(AND('Summary Sheet'!$E$23="Yes",H70&lt;&gt;""),H70*'Summary Sheet'!$G$23,""))</f>
        <v/>
      </c>
      <c r="M70" s="154"/>
      <c r="N70" s="155">
        <f>SUM('Pay App 1:Pay App 20'!L70)+SUM('Pay App 1:Pay App 20'!M70)</f>
        <v>0</v>
      </c>
    </row>
    <row r="71" spans="1:17" ht="11.25" customHeight="1" x14ac:dyDescent="0.25">
      <c r="A71" s="152">
        <v>15</v>
      </c>
      <c r="B71" s="175" t="str">
        <f>'Pay App 1'!B71</f>
        <v>02 21 00</v>
      </c>
      <c r="C71" s="180" t="str">
        <f>'Pay App 1'!C71</f>
        <v>Survey/Engineering</v>
      </c>
      <c r="D71" s="155">
        <f>'Pay App 1'!D71</f>
        <v>0</v>
      </c>
      <c r="E71" s="155">
        <f>VLOOKUP(B71,'Graph Data'!$O$2:$BX$88,22,FALSE)</f>
        <v>0</v>
      </c>
      <c r="F71" s="155">
        <f>IFERROR(E71+'Pay App 19'!F71,"")</f>
        <v>0</v>
      </c>
      <c r="G71" s="155">
        <f>SUM('Pay App 1:Pay App 19'!H71)</f>
        <v>0</v>
      </c>
      <c r="H71" s="154"/>
      <c r="I71" s="155">
        <f t="shared" si="0"/>
        <v>0</v>
      </c>
      <c r="J71" s="156">
        <f t="shared" si="1"/>
        <v>0</v>
      </c>
      <c r="K71" s="155">
        <f t="shared" si="2"/>
        <v>0</v>
      </c>
      <c r="L71" s="155" t="str">
        <f>IF(AND('Summary Sheet'!$E$23="No",$H$33&gt;0,H71&gt;=1),"",IF(AND('Summary Sheet'!$E$23="Yes",H71&lt;&gt;""),H71*'Summary Sheet'!$G$23,""))</f>
        <v/>
      </c>
      <c r="M71" s="154"/>
      <c r="N71" s="155">
        <f>SUM('Pay App 1:Pay App 20'!L71)+SUM('Pay App 1:Pay App 20'!M71)</f>
        <v>0</v>
      </c>
      <c r="Q71" s="28"/>
    </row>
    <row r="72" spans="1:17" ht="11.25" customHeight="1" x14ac:dyDescent="0.25">
      <c r="A72" s="152">
        <v>16</v>
      </c>
      <c r="B72" s="175" t="str">
        <f>'Pay App 1'!B72</f>
        <v>02 41 00</v>
      </c>
      <c r="C72" s="180" t="str">
        <f>'Pay App 1'!C72</f>
        <v>Demolition</v>
      </c>
      <c r="D72" s="155">
        <f>'Pay App 1'!D72</f>
        <v>0</v>
      </c>
      <c r="E72" s="155">
        <f>VLOOKUP(B72,'Graph Data'!$O$2:$BX$88,22,FALSE)</f>
        <v>0</v>
      </c>
      <c r="F72" s="155">
        <f>IFERROR(E72+'Pay App 19'!F72,"")</f>
        <v>0</v>
      </c>
      <c r="G72" s="155">
        <f>SUM('Pay App 1:Pay App 19'!H72)</f>
        <v>0</v>
      </c>
      <c r="H72" s="154"/>
      <c r="I72" s="155">
        <f t="shared" si="0"/>
        <v>0</v>
      </c>
      <c r="J72" s="156">
        <f t="shared" si="1"/>
        <v>0</v>
      </c>
      <c r="K72" s="155">
        <f t="shared" si="2"/>
        <v>0</v>
      </c>
      <c r="L72" s="155" t="str">
        <f>IF(AND('Summary Sheet'!$E$23="No",$H$33&gt;0,H72&gt;=1),"",IF(AND('Summary Sheet'!$E$23="Yes",H72&lt;&gt;""),H72*'Summary Sheet'!$G$23,""))</f>
        <v/>
      </c>
      <c r="M72" s="154"/>
      <c r="N72" s="155">
        <f>SUM('Pay App 1:Pay App 20'!L72)+SUM('Pay App 1:Pay App 20'!M72)</f>
        <v>0</v>
      </c>
      <c r="Q72" s="28"/>
    </row>
    <row r="73" spans="1:17" ht="11.25" customHeight="1" x14ac:dyDescent="0.25">
      <c r="A73" s="152">
        <v>17</v>
      </c>
      <c r="B73" s="175" t="str">
        <f>'Pay App 1'!B73</f>
        <v>02 82 00</v>
      </c>
      <c r="C73" s="180" t="str">
        <f>'Pay App 1'!C73</f>
        <v>Asbestos Abatement</v>
      </c>
      <c r="D73" s="155">
        <f>'Pay App 1'!D73</f>
        <v>0</v>
      </c>
      <c r="E73" s="155">
        <f>VLOOKUP(B73,'Graph Data'!$O$2:$BX$88,22,FALSE)</f>
        <v>0</v>
      </c>
      <c r="F73" s="155">
        <f>IFERROR(E73+'Pay App 19'!F73,"")</f>
        <v>0</v>
      </c>
      <c r="G73" s="155">
        <f>SUM('Pay App 1:Pay App 19'!H73)</f>
        <v>0</v>
      </c>
      <c r="H73" s="154"/>
      <c r="I73" s="155">
        <f t="shared" si="0"/>
        <v>0</v>
      </c>
      <c r="J73" s="156">
        <f t="shared" si="1"/>
        <v>0</v>
      </c>
      <c r="K73" s="155">
        <f t="shared" si="2"/>
        <v>0</v>
      </c>
      <c r="L73" s="155" t="str">
        <f>IF(AND('Summary Sheet'!$E$23="No",$H$33&gt;0,H73&gt;=1),"",IF(AND('Summary Sheet'!$E$23="Yes",H73&lt;&gt;""),H73*'Summary Sheet'!$G$23,""))</f>
        <v/>
      </c>
      <c r="M73" s="154"/>
      <c r="N73" s="155">
        <f>SUM('Pay App 1:Pay App 20'!L73)+SUM('Pay App 1:Pay App 20'!M73)</f>
        <v>0</v>
      </c>
    </row>
    <row r="74" spans="1:17" ht="11.25" customHeight="1" x14ac:dyDescent="0.25">
      <c r="A74" s="152">
        <v>18</v>
      </c>
      <c r="B74" s="176" t="str">
        <f>'Pay App 1'!B74</f>
        <v>03 00 00</v>
      </c>
      <c r="C74" s="181" t="str">
        <f>'Pay App 1'!C74</f>
        <v>Building Concrete</v>
      </c>
      <c r="D74" s="155">
        <f>'Pay App 1'!D74</f>
        <v>0</v>
      </c>
      <c r="E74" s="155">
        <f>VLOOKUP(B74,'Graph Data'!$O$2:$BX$88,22,FALSE)</f>
        <v>0</v>
      </c>
      <c r="F74" s="155">
        <f>IFERROR(E74+'Pay App 19'!F74,"")</f>
        <v>0</v>
      </c>
      <c r="G74" s="155">
        <f>SUM('Pay App 1:Pay App 19'!H74)</f>
        <v>0</v>
      </c>
      <c r="H74" s="154"/>
      <c r="I74" s="155">
        <f t="shared" si="0"/>
        <v>0</v>
      </c>
      <c r="J74" s="156">
        <f t="shared" si="1"/>
        <v>0</v>
      </c>
      <c r="K74" s="155">
        <f t="shared" si="2"/>
        <v>0</v>
      </c>
      <c r="L74" s="155" t="str">
        <f>IF(AND('Summary Sheet'!$E$23="No",$H$33&gt;0,H74&gt;=1),"",IF(AND('Summary Sheet'!$E$23="Yes",H74&lt;&gt;""),H74*'Summary Sheet'!$G$23,""))</f>
        <v/>
      </c>
      <c r="M74" s="154"/>
      <c r="N74" s="155">
        <f>SUM('Pay App 1:Pay App 20'!L74)+SUM('Pay App 1:Pay App 20'!M74)</f>
        <v>0</v>
      </c>
    </row>
    <row r="75" spans="1:17" ht="11.25" customHeight="1" x14ac:dyDescent="0.25">
      <c r="A75" s="152">
        <v>19</v>
      </c>
      <c r="B75" s="176" t="str">
        <f>'Pay App 1'!B75</f>
        <v>03 20 00</v>
      </c>
      <c r="C75" s="181" t="str">
        <f>'Pay App 1'!C75</f>
        <v>Building Concrete Reinforcing</v>
      </c>
      <c r="D75" s="155">
        <f>'Pay App 1'!D75</f>
        <v>0</v>
      </c>
      <c r="E75" s="155">
        <f>VLOOKUP(B75,'Graph Data'!$O$2:$BX$88,22,FALSE)</f>
        <v>0</v>
      </c>
      <c r="F75" s="155">
        <f>IFERROR(E75+'Pay App 19'!F75,"")</f>
        <v>0</v>
      </c>
      <c r="G75" s="155">
        <f>SUM('Pay App 1:Pay App 19'!H75)</f>
        <v>0</v>
      </c>
      <c r="H75" s="154"/>
      <c r="I75" s="155">
        <f t="shared" si="0"/>
        <v>0</v>
      </c>
      <c r="J75" s="156">
        <f t="shared" si="1"/>
        <v>0</v>
      </c>
      <c r="K75" s="155">
        <f t="shared" si="2"/>
        <v>0</v>
      </c>
      <c r="L75" s="155" t="str">
        <f>IF(AND('Summary Sheet'!$E$23="No",$H$33&gt;0,H75&gt;=1),"",IF(AND('Summary Sheet'!$E$23="Yes",H75&lt;&gt;""),H75*'Summary Sheet'!$G$23,""))</f>
        <v/>
      </c>
      <c r="M75" s="154"/>
      <c r="N75" s="155">
        <f>SUM('Pay App 1:Pay App 20'!L75)+SUM('Pay App 1:Pay App 20'!M75)</f>
        <v>0</v>
      </c>
    </row>
    <row r="76" spans="1:17" ht="11.25" customHeight="1" x14ac:dyDescent="0.25">
      <c r="A76" s="152">
        <v>20</v>
      </c>
      <c r="B76" s="176" t="str">
        <f>'Pay App 1'!B76</f>
        <v>03 40 00</v>
      </c>
      <c r="C76" s="181" t="str">
        <f>'Pay App 1'!C76</f>
        <v>Precast</v>
      </c>
      <c r="D76" s="155">
        <f>'Pay App 1'!D76</f>
        <v>0</v>
      </c>
      <c r="E76" s="155">
        <f>VLOOKUP(B76,'Graph Data'!$O$2:$BX$88,22,FALSE)</f>
        <v>0</v>
      </c>
      <c r="F76" s="155">
        <f>IFERROR(E76+'Pay App 19'!F76,"")</f>
        <v>0</v>
      </c>
      <c r="G76" s="155">
        <f>SUM('Pay App 1:Pay App 19'!H76)</f>
        <v>0</v>
      </c>
      <c r="H76" s="154"/>
      <c r="I76" s="155">
        <f t="shared" si="0"/>
        <v>0</v>
      </c>
      <c r="J76" s="156">
        <f t="shared" si="1"/>
        <v>0</v>
      </c>
      <c r="K76" s="155">
        <f t="shared" si="2"/>
        <v>0</v>
      </c>
      <c r="L76" s="155" t="str">
        <f>IF(AND('Summary Sheet'!$E$23="No",$H$33&gt;0,H76&gt;=1),"",IF(AND('Summary Sheet'!$E$23="Yes",H76&lt;&gt;""),H76*'Summary Sheet'!$G$23,""))</f>
        <v/>
      </c>
      <c r="M76" s="154"/>
      <c r="N76" s="155">
        <f>SUM('Pay App 1:Pay App 20'!L76)+SUM('Pay App 1:Pay App 20'!M76)</f>
        <v>0</v>
      </c>
    </row>
    <row r="77" spans="1:17" ht="11.25" customHeight="1" x14ac:dyDescent="0.25">
      <c r="A77" s="152">
        <v>21</v>
      </c>
      <c r="B77" s="177" t="str">
        <f>'Pay App 1'!B77</f>
        <v>04 00 00</v>
      </c>
      <c r="C77" s="182" t="str">
        <f>'Pay App 1'!C77</f>
        <v>Masonry</v>
      </c>
      <c r="D77" s="155">
        <f>'Pay App 1'!D77</f>
        <v>0</v>
      </c>
      <c r="E77" s="155">
        <f>VLOOKUP(B77,'Graph Data'!$O$2:$BX$88,22,FALSE)</f>
        <v>0</v>
      </c>
      <c r="F77" s="155">
        <f>IFERROR(E77+'Pay App 19'!F77,"")</f>
        <v>0</v>
      </c>
      <c r="G77" s="155">
        <f>SUM('Pay App 1:Pay App 19'!H77)</f>
        <v>0</v>
      </c>
      <c r="H77" s="154"/>
      <c r="I77" s="155">
        <f t="shared" si="0"/>
        <v>0</v>
      </c>
      <c r="J77" s="156">
        <f t="shared" si="1"/>
        <v>0</v>
      </c>
      <c r="K77" s="155">
        <f t="shared" si="2"/>
        <v>0</v>
      </c>
      <c r="L77" s="155" t="str">
        <f>IF(AND('Summary Sheet'!$E$23="No",$H$33&gt;0,H77&gt;=1),"",IF(AND('Summary Sheet'!$E$23="Yes",H77&lt;&gt;""),H77*'Summary Sheet'!$G$23,""))</f>
        <v/>
      </c>
      <c r="M77" s="154"/>
      <c r="N77" s="155">
        <f>SUM('Pay App 1:Pay App 20'!L77)+SUM('Pay App 1:Pay App 20'!M77)</f>
        <v>0</v>
      </c>
    </row>
    <row r="78" spans="1:17" ht="11.25" customHeight="1" x14ac:dyDescent="0.25">
      <c r="A78" s="152">
        <v>22</v>
      </c>
      <c r="B78" s="177" t="str">
        <f>'Pay App 1'!B78</f>
        <v>04 05 19</v>
      </c>
      <c r="C78" s="182" t="str">
        <f>'Pay App 1'!C78</f>
        <v>Masonry Reinforcing</v>
      </c>
      <c r="D78" s="155">
        <f>'Pay App 1'!D78</f>
        <v>0</v>
      </c>
      <c r="E78" s="155">
        <f>VLOOKUP(B78,'Graph Data'!$O$2:$BX$88,22,FALSE)</f>
        <v>0</v>
      </c>
      <c r="F78" s="155">
        <f>IFERROR(E78+'Pay App 19'!F78,"")</f>
        <v>0</v>
      </c>
      <c r="G78" s="155">
        <f>SUM('Pay App 1:Pay App 19'!H78)</f>
        <v>0</v>
      </c>
      <c r="H78" s="154"/>
      <c r="I78" s="155">
        <f t="shared" si="0"/>
        <v>0</v>
      </c>
      <c r="J78" s="156">
        <f t="shared" si="1"/>
        <v>0</v>
      </c>
      <c r="K78" s="155">
        <f t="shared" si="2"/>
        <v>0</v>
      </c>
      <c r="L78" s="155" t="str">
        <f>IF(AND('Summary Sheet'!$E$23="No",$H$33&gt;0,H78&gt;=1),"",IF(AND('Summary Sheet'!$E$23="Yes",H78&lt;&gt;""),H78*'Summary Sheet'!$G$23,""))</f>
        <v/>
      </c>
      <c r="M78" s="154"/>
      <c r="N78" s="155">
        <f>SUM('Pay App 1:Pay App 20'!L78)+SUM('Pay App 1:Pay App 20'!M78)</f>
        <v>0</v>
      </c>
    </row>
    <row r="79" spans="1:17" ht="11.25" customHeight="1" x14ac:dyDescent="0.25">
      <c r="A79" s="152">
        <v>23</v>
      </c>
      <c r="B79" s="178" t="str">
        <f>'Pay App 1'!B79</f>
        <v>05 10 00</v>
      </c>
      <c r="C79" s="183" t="str">
        <f>'Pay App 1'!C79</f>
        <v>Structural Steel/Misc. Steel Fab</v>
      </c>
      <c r="D79" s="155">
        <f>'Pay App 1'!D79</f>
        <v>0</v>
      </c>
      <c r="E79" s="155">
        <f>VLOOKUP(B79,'Graph Data'!$O$2:$BX$88,22,FALSE)</f>
        <v>0</v>
      </c>
      <c r="F79" s="155">
        <f>IFERROR(E79+'Pay App 19'!F79,"")</f>
        <v>0</v>
      </c>
      <c r="G79" s="155">
        <f>SUM('Pay App 1:Pay App 19'!H79)</f>
        <v>0</v>
      </c>
      <c r="H79" s="154"/>
      <c r="I79" s="155">
        <f t="shared" si="0"/>
        <v>0</v>
      </c>
      <c r="J79" s="156">
        <f t="shared" si="1"/>
        <v>0</v>
      </c>
      <c r="K79" s="155">
        <f t="shared" si="2"/>
        <v>0</v>
      </c>
      <c r="L79" s="155" t="str">
        <f>IF(AND('Summary Sheet'!$E$23="No",$H$33&gt;0,H79&gt;=1),"",IF(AND('Summary Sheet'!$E$23="Yes",H79&lt;&gt;""),H79*'Summary Sheet'!$G$23,""))</f>
        <v/>
      </c>
      <c r="M79" s="154"/>
      <c r="N79" s="155">
        <f>SUM('Pay App 1:Pay App 20'!L79)+SUM('Pay App 1:Pay App 20'!M79)</f>
        <v>0</v>
      </c>
    </row>
    <row r="80" spans="1:17" ht="11.25" customHeight="1" x14ac:dyDescent="0.25">
      <c r="A80" s="152">
        <v>24</v>
      </c>
      <c r="B80" s="178" t="str">
        <f>'Pay App 1'!B80</f>
        <v>05 20 00</v>
      </c>
      <c r="C80" s="183" t="str">
        <f>'Pay App 1'!C80</f>
        <v>Joists &amp; Deck</v>
      </c>
      <c r="D80" s="155">
        <f>'Pay App 1'!D80</f>
        <v>0</v>
      </c>
      <c r="E80" s="155">
        <f>VLOOKUP(B80,'Graph Data'!$O$2:$BX$88,22,FALSE)</f>
        <v>0</v>
      </c>
      <c r="F80" s="155">
        <f>IFERROR(E80+'Pay App 19'!F80,"")</f>
        <v>0</v>
      </c>
      <c r="G80" s="155">
        <f>SUM('Pay App 1:Pay App 19'!H80)</f>
        <v>0</v>
      </c>
      <c r="H80" s="154"/>
      <c r="I80" s="155">
        <f t="shared" si="0"/>
        <v>0</v>
      </c>
      <c r="J80" s="156">
        <f t="shared" si="1"/>
        <v>0</v>
      </c>
      <c r="K80" s="155">
        <f t="shared" si="2"/>
        <v>0</v>
      </c>
      <c r="L80" s="155" t="str">
        <f>IF(AND('Summary Sheet'!$E$23="No",$H$33&gt;0,H80&gt;=1),"",IF(AND('Summary Sheet'!$E$23="Yes",H80&lt;&gt;""),H80*'Summary Sheet'!$G$23,""))</f>
        <v/>
      </c>
      <c r="M80" s="154"/>
      <c r="N80" s="155">
        <f>SUM('Pay App 1:Pay App 20'!L80)+SUM('Pay App 1:Pay App 20'!M80)</f>
        <v>0</v>
      </c>
    </row>
    <row r="81" spans="1:14" ht="11.25" customHeight="1" x14ac:dyDescent="0.25">
      <c r="A81" s="152">
        <v>25</v>
      </c>
      <c r="B81" s="178" t="str">
        <f>'Pay App 1'!B81</f>
        <v>05 70 00</v>
      </c>
      <c r="C81" s="183" t="str">
        <f>'Pay App 1'!C81</f>
        <v>Ornamental Metal</v>
      </c>
      <c r="D81" s="155">
        <f>'Pay App 1'!D81</f>
        <v>0</v>
      </c>
      <c r="E81" s="155">
        <f>VLOOKUP(B81,'Graph Data'!$O$2:$BX$88,22,FALSE)</f>
        <v>0</v>
      </c>
      <c r="F81" s="155">
        <f>IFERROR(E81+'Pay App 19'!F81,"")</f>
        <v>0</v>
      </c>
      <c r="G81" s="155">
        <f>SUM('Pay App 1:Pay App 19'!H81)</f>
        <v>0</v>
      </c>
      <c r="H81" s="154"/>
      <c r="I81" s="155">
        <f t="shared" si="0"/>
        <v>0</v>
      </c>
      <c r="J81" s="156">
        <f t="shared" si="1"/>
        <v>0</v>
      </c>
      <c r="K81" s="155">
        <f t="shared" si="2"/>
        <v>0</v>
      </c>
      <c r="L81" s="155" t="str">
        <f>IF(AND('Summary Sheet'!$E$23="No",$H$33&gt;0,H81&gt;=1),"",IF(AND('Summary Sheet'!$E$23="Yes",H81&lt;&gt;""),H81*'Summary Sheet'!$G$23,""))</f>
        <v/>
      </c>
      <c r="M81" s="154"/>
      <c r="N81" s="155">
        <f>SUM('Pay App 1:Pay App 20'!L81)+SUM('Pay App 1:Pay App 20'!M81)</f>
        <v>0</v>
      </c>
    </row>
    <row r="82" spans="1:14" ht="11.25" customHeight="1" x14ac:dyDescent="0.25">
      <c r="A82" s="152">
        <v>26</v>
      </c>
      <c r="B82" s="145" t="str">
        <f>'Pay App 1'!B82</f>
        <v>06 10 00</v>
      </c>
      <c r="C82" s="134" t="str">
        <f>'Pay App 1'!C82</f>
        <v>Rough Carpentry</v>
      </c>
      <c r="D82" s="155">
        <f>'Pay App 1'!D82</f>
        <v>0</v>
      </c>
      <c r="E82" s="155">
        <f>VLOOKUP(B82,'Graph Data'!$O$2:$BX$88,22,FALSE)</f>
        <v>0</v>
      </c>
      <c r="F82" s="155">
        <f>IFERROR(E82+'Pay App 19'!F82,"")</f>
        <v>0</v>
      </c>
      <c r="G82" s="155">
        <f>SUM('Pay App 1:Pay App 19'!H82)</f>
        <v>0</v>
      </c>
      <c r="H82" s="154"/>
      <c r="I82" s="155">
        <f t="shared" si="0"/>
        <v>0</v>
      </c>
      <c r="J82" s="156">
        <f t="shared" si="1"/>
        <v>0</v>
      </c>
      <c r="K82" s="155">
        <f t="shared" si="2"/>
        <v>0</v>
      </c>
      <c r="L82" s="155" t="str">
        <f>IF(AND('Summary Sheet'!$E$23="No",$H$33&gt;0,H82&gt;=1),"",IF(AND('Summary Sheet'!$E$23="Yes",H82&lt;&gt;""),H82*'Summary Sheet'!$G$23,""))</f>
        <v/>
      </c>
      <c r="M82" s="154"/>
      <c r="N82" s="155">
        <f>SUM('Pay App 1:Pay App 20'!L82)+SUM('Pay App 1:Pay App 20'!M82)</f>
        <v>0</v>
      </c>
    </row>
    <row r="83" spans="1:14" ht="11.25" customHeight="1" x14ac:dyDescent="0.25">
      <c r="A83" s="152">
        <v>27</v>
      </c>
      <c r="B83" s="145" t="str">
        <f>'Pay App 1'!B83</f>
        <v>06 40 00</v>
      </c>
      <c r="C83" s="134" t="str">
        <f>'Pay App 1'!C83</f>
        <v>Arch. Woodwork &amp; Finish Carp.</v>
      </c>
      <c r="D83" s="155">
        <f>'Pay App 1'!D83</f>
        <v>0</v>
      </c>
      <c r="E83" s="155">
        <f>VLOOKUP(B83,'Graph Data'!$O$2:$BX$88,22,FALSE)</f>
        <v>0</v>
      </c>
      <c r="F83" s="155">
        <f>IFERROR(E83+'Pay App 19'!F83,"")</f>
        <v>0</v>
      </c>
      <c r="G83" s="155">
        <f>SUM('Pay App 1:Pay App 19'!H83)</f>
        <v>0</v>
      </c>
      <c r="H83" s="154"/>
      <c r="I83" s="155">
        <f t="shared" si="0"/>
        <v>0</v>
      </c>
      <c r="J83" s="156">
        <f t="shared" si="1"/>
        <v>0</v>
      </c>
      <c r="K83" s="155">
        <f t="shared" si="2"/>
        <v>0</v>
      </c>
      <c r="L83" s="155" t="str">
        <f>IF(AND('Summary Sheet'!$E$23="No",$H$33&gt;0,H83&gt;=1),"",IF(AND('Summary Sheet'!$E$23="Yes",H83&lt;&gt;""),H83*'Summary Sheet'!$G$23,""))</f>
        <v/>
      </c>
      <c r="M83" s="154"/>
      <c r="N83" s="155">
        <f>SUM('Pay App 1:Pay App 20'!L83)+SUM('Pay App 1:Pay App 20'!M83)</f>
        <v>0</v>
      </c>
    </row>
    <row r="84" spans="1:14" ht="11.25" customHeight="1" x14ac:dyDescent="0.25">
      <c r="A84" s="152">
        <v>28</v>
      </c>
      <c r="B84" s="174" t="str">
        <f>'Pay App 1'!B84</f>
        <v>07 10 00</v>
      </c>
      <c r="C84" s="179" t="str">
        <f>'Pay App 1'!C84</f>
        <v>Waterproofing/Water Repellents</v>
      </c>
      <c r="D84" s="155">
        <f>'Pay App 1'!D84</f>
        <v>0</v>
      </c>
      <c r="E84" s="155">
        <f>VLOOKUP(B84,'Graph Data'!$O$2:$BX$88,22,FALSE)</f>
        <v>0</v>
      </c>
      <c r="F84" s="155">
        <f>IFERROR(E84+'Pay App 19'!F84,"")</f>
        <v>0</v>
      </c>
      <c r="G84" s="155">
        <f>SUM('Pay App 1:Pay App 19'!H84)</f>
        <v>0</v>
      </c>
      <c r="H84" s="154"/>
      <c r="I84" s="155">
        <f t="shared" si="0"/>
        <v>0</v>
      </c>
      <c r="J84" s="156">
        <f t="shared" si="1"/>
        <v>0</v>
      </c>
      <c r="K84" s="155">
        <f t="shared" si="2"/>
        <v>0</v>
      </c>
      <c r="L84" s="155" t="str">
        <f>IF(AND('Summary Sheet'!$E$23="No",$H$33&gt;0,H84&gt;=1),"",IF(AND('Summary Sheet'!$E$23="Yes",H84&lt;&gt;""),H84*'Summary Sheet'!$G$23,""))</f>
        <v/>
      </c>
      <c r="M84" s="154"/>
      <c r="N84" s="155">
        <f>SUM('Pay App 1:Pay App 20'!L84)+SUM('Pay App 1:Pay App 20'!M84)</f>
        <v>0</v>
      </c>
    </row>
    <row r="85" spans="1:14" ht="11.25" customHeight="1" x14ac:dyDescent="0.25">
      <c r="A85" s="152">
        <v>29</v>
      </c>
      <c r="B85" s="174" t="str">
        <f>'Pay App 1'!B85</f>
        <v>07 20 00</v>
      </c>
      <c r="C85" s="179" t="str">
        <f>'Pay App 1'!C85</f>
        <v>Insulation</v>
      </c>
      <c r="D85" s="155">
        <f>'Pay App 1'!D85</f>
        <v>0</v>
      </c>
      <c r="E85" s="155">
        <f>VLOOKUP(B85,'Graph Data'!$O$2:$BX$88,22,FALSE)</f>
        <v>0</v>
      </c>
      <c r="F85" s="155">
        <f>IFERROR(E85+'Pay App 19'!F85,"")</f>
        <v>0</v>
      </c>
      <c r="G85" s="155">
        <f>SUM('Pay App 1:Pay App 19'!H85)</f>
        <v>0</v>
      </c>
      <c r="H85" s="154"/>
      <c r="I85" s="155">
        <f t="shared" si="0"/>
        <v>0</v>
      </c>
      <c r="J85" s="156">
        <f t="shared" si="1"/>
        <v>0</v>
      </c>
      <c r="K85" s="155">
        <f t="shared" si="2"/>
        <v>0</v>
      </c>
      <c r="L85" s="155" t="str">
        <f>IF(AND('Summary Sheet'!$E$23="No",$H$33&gt;0,H85&gt;=1),"",IF(AND('Summary Sheet'!$E$23="Yes",H85&lt;&gt;""),H85*'Summary Sheet'!$G$23,""))</f>
        <v/>
      </c>
      <c r="M85" s="154"/>
      <c r="N85" s="155">
        <f>SUM('Pay App 1:Pay App 20'!L85)+SUM('Pay App 1:Pay App 20'!M85)</f>
        <v>0</v>
      </c>
    </row>
    <row r="86" spans="1:14" ht="11.25" customHeight="1" x14ac:dyDescent="0.25">
      <c r="A86" s="152">
        <v>30</v>
      </c>
      <c r="B86" s="174" t="str">
        <f>'Pay App 1'!B86</f>
        <v>07 24 00</v>
      </c>
      <c r="C86" s="179" t="str">
        <f>'Pay App 1'!C86</f>
        <v>EIFS</v>
      </c>
      <c r="D86" s="155">
        <f>'Pay App 1'!D86</f>
        <v>0</v>
      </c>
      <c r="E86" s="155">
        <f>VLOOKUP(B86,'Graph Data'!$O$2:$BX$88,22,FALSE)</f>
        <v>0</v>
      </c>
      <c r="F86" s="155">
        <f>IFERROR(E86+'Pay App 19'!F86,"")</f>
        <v>0</v>
      </c>
      <c r="G86" s="155">
        <f>SUM('Pay App 1:Pay App 19'!H86)</f>
        <v>0</v>
      </c>
      <c r="H86" s="154"/>
      <c r="I86" s="155">
        <f t="shared" si="0"/>
        <v>0</v>
      </c>
      <c r="J86" s="156">
        <f t="shared" si="1"/>
        <v>0</v>
      </c>
      <c r="K86" s="155">
        <f t="shared" si="2"/>
        <v>0</v>
      </c>
      <c r="L86" s="155" t="str">
        <f>IF(AND('Summary Sheet'!$E$23="No",$H$33&gt;0,H86&gt;=1),"",IF(AND('Summary Sheet'!$E$23="Yes",H86&lt;&gt;""),H86*'Summary Sheet'!$G$23,""))</f>
        <v/>
      </c>
      <c r="M86" s="154"/>
      <c r="N86" s="155">
        <f>SUM('Pay App 1:Pay App 20'!L86)+SUM('Pay App 1:Pay App 20'!M86)</f>
        <v>0</v>
      </c>
    </row>
    <row r="87" spans="1:14" ht="11.25" customHeight="1" x14ac:dyDescent="0.25">
      <c r="A87" s="152">
        <v>31</v>
      </c>
      <c r="B87" s="174" t="str">
        <f>'Pay App 1'!B87</f>
        <v>07 26 00</v>
      </c>
      <c r="C87" s="179" t="str">
        <f>'Pay App 1'!C87</f>
        <v>Vapor Retarders</v>
      </c>
      <c r="D87" s="155">
        <f>'Pay App 1'!D87</f>
        <v>0</v>
      </c>
      <c r="E87" s="155">
        <f>VLOOKUP(B87,'Graph Data'!$O$2:$BX$88,22,FALSE)</f>
        <v>0</v>
      </c>
      <c r="F87" s="155">
        <f>IFERROR(E87+'Pay App 19'!F87,"")</f>
        <v>0</v>
      </c>
      <c r="G87" s="155">
        <f>SUM('Pay App 1:Pay App 19'!H87)</f>
        <v>0</v>
      </c>
      <c r="H87" s="154"/>
      <c r="I87" s="155">
        <f t="shared" si="0"/>
        <v>0</v>
      </c>
      <c r="J87" s="156">
        <f t="shared" si="1"/>
        <v>0</v>
      </c>
      <c r="K87" s="155">
        <f t="shared" si="2"/>
        <v>0</v>
      </c>
      <c r="L87" s="155" t="str">
        <f>IF(AND('Summary Sheet'!$E$23="No",$H$33&gt;0,H87&gt;=1),"",IF(AND('Summary Sheet'!$E$23="Yes",H87&lt;&gt;""),H87*'Summary Sheet'!$G$23,""))</f>
        <v/>
      </c>
      <c r="M87" s="154"/>
      <c r="N87" s="155">
        <f>SUM('Pay App 1:Pay App 20'!L87)+SUM('Pay App 1:Pay App 20'!M87)</f>
        <v>0</v>
      </c>
    </row>
    <row r="88" spans="1:14" ht="11.25" customHeight="1" x14ac:dyDescent="0.25">
      <c r="A88" s="152">
        <v>32</v>
      </c>
      <c r="B88" s="174" t="str">
        <f>'Pay App 1'!B88</f>
        <v>07 41 00</v>
      </c>
      <c r="C88" s="179" t="str">
        <f>'Pay App 1'!C88</f>
        <v>Roofing</v>
      </c>
      <c r="D88" s="155">
        <f>'Pay App 1'!D88</f>
        <v>0</v>
      </c>
      <c r="E88" s="155">
        <f>VLOOKUP(B88,'Graph Data'!$O$2:$BX$88,22,FALSE)</f>
        <v>0</v>
      </c>
      <c r="F88" s="155">
        <f>IFERROR(E88+'Pay App 19'!F88,"")</f>
        <v>0</v>
      </c>
      <c r="G88" s="155">
        <f>SUM('Pay App 1:Pay App 19'!H88)</f>
        <v>0</v>
      </c>
      <c r="H88" s="154"/>
      <c r="I88" s="155">
        <f t="shared" si="0"/>
        <v>0</v>
      </c>
      <c r="J88" s="156">
        <f t="shared" si="1"/>
        <v>0</v>
      </c>
      <c r="K88" s="155">
        <f t="shared" si="2"/>
        <v>0</v>
      </c>
      <c r="L88" s="155" t="str">
        <f>IF(AND('Summary Sheet'!$E$23="No",$H$33&gt;0,H88&gt;=1),"",IF(AND('Summary Sheet'!$E$23="Yes",H88&lt;&gt;""),H88*'Summary Sheet'!$G$23,""))</f>
        <v/>
      </c>
      <c r="M88" s="154"/>
      <c r="N88" s="155">
        <f>SUM('Pay App 1:Pay App 20'!L88)+SUM('Pay App 1:Pay App 20'!M88)</f>
        <v>0</v>
      </c>
    </row>
    <row r="89" spans="1:14" ht="11.25" customHeight="1" x14ac:dyDescent="0.25">
      <c r="A89" s="152">
        <v>33</v>
      </c>
      <c r="B89" s="174" t="str">
        <f>'Pay App 1'!B89</f>
        <v>07 42 00</v>
      </c>
      <c r="C89" s="179" t="str">
        <f>'Pay App 1'!C89</f>
        <v>Metal Panels</v>
      </c>
      <c r="D89" s="155">
        <f>'Pay App 1'!D89</f>
        <v>0</v>
      </c>
      <c r="E89" s="155">
        <f>VLOOKUP(B89,'Graph Data'!$O$2:$BX$88,22,FALSE)</f>
        <v>0</v>
      </c>
      <c r="F89" s="155">
        <f>IFERROR(E89+'Pay App 19'!F89,"")</f>
        <v>0</v>
      </c>
      <c r="G89" s="155">
        <f>SUM('Pay App 1:Pay App 19'!H89)</f>
        <v>0</v>
      </c>
      <c r="H89" s="154"/>
      <c r="I89" s="155">
        <f t="shared" si="0"/>
        <v>0</v>
      </c>
      <c r="J89" s="156">
        <f t="shared" si="1"/>
        <v>0</v>
      </c>
      <c r="K89" s="155">
        <f t="shared" si="2"/>
        <v>0</v>
      </c>
      <c r="L89" s="155" t="str">
        <f>IF(AND('Summary Sheet'!$E$23="No",$H$33&gt;0,H89&gt;=1),"",IF(AND('Summary Sheet'!$E$23="Yes",H89&lt;&gt;""),H89*'Summary Sheet'!$G$23,""))</f>
        <v/>
      </c>
      <c r="M89" s="154"/>
      <c r="N89" s="155">
        <f>SUM('Pay App 1:Pay App 20'!L89)+SUM('Pay App 1:Pay App 20'!M89)</f>
        <v>0</v>
      </c>
    </row>
    <row r="90" spans="1:14" ht="11.25" customHeight="1" x14ac:dyDescent="0.25">
      <c r="A90" s="152">
        <v>34</v>
      </c>
      <c r="B90" s="174" t="str">
        <f>'Pay App 1'!B90</f>
        <v>07 60 00</v>
      </c>
      <c r="C90" s="179" t="str">
        <f>'Pay App 1'!C90</f>
        <v>Sheet Metal Flashing &amp; Trim</v>
      </c>
      <c r="D90" s="155">
        <f>'Pay App 1'!D90</f>
        <v>0</v>
      </c>
      <c r="E90" s="155">
        <f>VLOOKUP(B90,'Graph Data'!$O$2:$BX$88,22,FALSE)</f>
        <v>0</v>
      </c>
      <c r="F90" s="155">
        <f>IFERROR(E90+'Pay App 19'!F90,"")</f>
        <v>0</v>
      </c>
      <c r="G90" s="155">
        <f>SUM('Pay App 1:Pay App 19'!H90)</f>
        <v>0</v>
      </c>
      <c r="H90" s="154"/>
      <c r="I90" s="155">
        <f t="shared" si="0"/>
        <v>0</v>
      </c>
      <c r="J90" s="156">
        <f t="shared" si="1"/>
        <v>0</v>
      </c>
      <c r="K90" s="155">
        <f t="shared" si="2"/>
        <v>0</v>
      </c>
      <c r="L90" s="155" t="str">
        <f>IF(AND('Summary Sheet'!$E$23="No",$H$33&gt;0,H90&gt;=1),"",IF(AND('Summary Sheet'!$E$23="Yes",H90&lt;&gt;""),H90*'Summary Sheet'!$G$23,""))</f>
        <v/>
      </c>
      <c r="M90" s="154"/>
      <c r="N90" s="155">
        <f>SUM('Pay App 1:Pay App 20'!L90)+SUM('Pay App 1:Pay App 20'!M90)</f>
        <v>0</v>
      </c>
    </row>
    <row r="91" spans="1:14" ht="11.25" customHeight="1" x14ac:dyDescent="0.25">
      <c r="A91" s="152">
        <v>35</v>
      </c>
      <c r="B91" s="174" t="str">
        <f>'Pay App 1'!B91</f>
        <v>07 80 00</v>
      </c>
      <c r="C91" s="179" t="str">
        <f>'Pay App 1'!C91</f>
        <v>Fireproofing</v>
      </c>
      <c r="D91" s="155">
        <f>'Pay App 1'!D91</f>
        <v>0</v>
      </c>
      <c r="E91" s="155">
        <f>VLOOKUP(B91,'Graph Data'!$O$2:$BX$88,22,FALSE)</f>
        <v>0</v>
      </c>
      <c r="F91" s="155">
        <f>IFERROR(E91+'Pay App 19'!F91,"")</f>
        <v>0</v>
      </c>
      <c r="G91" s="155">
        <f>SUM('Pay App 1:Pay App 19'!H91)</f>
        <v>0</v>
      </c>
      <c r="H91" s="154"/>
      <c r="I91" s="155">
        <f t="shared" si="0"/>
        <v>0</v>
      </c>
      <c r="J91" s="156">
        <f t="shared" si="1"/>
        <v>0</v>
      </c>
      <c r="K91" s="155">
        <f t="shared" si="2"/>
        <v>0</v>
      </c>
      <c r="L91" s="155" t="str">
        <f>IF(AND('Summary Sheet'!$E$23="No",$H$33&gt;0,H91&gt;=1),"",IF(AND('Summary Sheet'!$E$23="Yes",H91&lt;&gt;""),H91*'Summary Sheet'!$G$23,""))</f>
        <v/>
      </c>
      <c r="M91" s="154"/>
      <c r="N91" s="155">
        <f>SUM('Pay App 1:Pay App 20'!L91)+SUM('Pay App 1:Pay App 20'!M91)</f>
        <v>0</v>
      </c>
    </row>
    <row r="92" spans="1:14" ht="11.25" customHeight="1" x14ac:dyDescent="0.25">
      <c r="A92" s="152">
        <v>36</v>
      </c>
      <c r="B92" s="174" t="str">
        <f>'Pay App 1'!B92</f>
        <v>07 90 00</v>
      </c>
      <c r="C92" s="179" t="str">
        <f>'Pay App 1'!C92</f>
        <v>Joint Sealants</v>
      </c>
      <c r="D92" s="155">
        <f>'Pay App 1'!D92</f>
        <v>0</v>
      </c>
      <c r="E92" s="155">
        <f>VLOOKUP(B92,'Graph Data'!$O$2:$BX$88,22,FALSE)</f>
        <v>0</v>
      </c>
      <c r="F92" s="155">
        <f>IFERROR(E92+'Pay App 19'!F92,"")</f>
        <v>0</v>
      </c>
      <c r="G92" s="155">
        <f>SUM('Pay App 1:Pay App 19'!H92)</f>
        <v>0</v>
      </c>
      <c r="H92" s="154"/>
      <c r="I92" s="155">
        <f t="shared" si="0"/>
        <v>0</v>
      </c>
      <c r="J92" s="156">
        <f t="shared" si="1"/>
        <v>0</v>
      </c>
      <c r="K92" s="155">
        <f t="shared" si="2"/>
        <v>0</v>
      </c>
      <c r="L92" s="155" t="str">
        <f>IF(AND('Summary Sheet'!$E$23="No",$H$33&gt;0,H92&gt;=1),"",IF(AND('Summary Sheet'!$E$23="Yes",H92&lt;&gt;""),H92*'Summary Sheet'!$G$23,""))</f>
        <v/>
      </c>
      <c r="M92" s="154"/>
      <c r="N92" s="155">
        <f>SUM('Pay App 1:Pay App 20'!L92)+SUM('Pay App 1:Pay App 20'!M92)</f>
        <v>0</v>
      </c>
    </row>
    <row r="93" spans="1:14" ht="11.25" customHeight="1" x14ac:dyDescent="0.25">
      <c r="A93" s="152">
        <v>37</v>
      </c>
      <c r="B93" s="174" t="str">
        <f>'Pay App 1'!B93</f>
        <v>07 95 00</v>
      </c>
      <c r="C93" s="179" t="str">
        <f>'Pay App 1'!C93</f>
        <v>Expansion Joints</v>
      </c>
      <c r="D93" s="155">
        <f>'Pay App 1'!D93</f>
        <v>0</v>
      </c>
      <c r="E93" s="155">
        <f>VLOOKUP(B93,'Graph Data'!$O$2:$BX$88,22,FALSE)</f>
        <v>0</v>
      </c>
      <c r="F93" s="155">
        <f>IFERROR(E93+'Pay App 19'!F93,"")</f>
        <v>0</v>
      </c>
      <c r="G93" s="155">
        <f>SUM('Pay App 1:Pay App 19'!H93)</f>
        <v>0</v>
      </c>
      <c r="H93" s="154"/>
      <c r="I93" s="155">
        <f t="shared" si="0"/>
        <v>0</v>
      </c>
      <c r="J93" s="156">
        <f t="shared" si="1"/>
        <v>0</v>
      </c>
      <c r="K93" s="155">
        <f t="shared" si="2"/>
        <v>0</v>
      </c>
      <c r="L93" s="155" t="str">
        <f>IF(AND('Summary Sheet'!$E$23="No",$H$33&gt;0,H93&gt;=1),"",IF(AND('Summary Sheet'!$E$23="Yes",H93&lt;&gt;""),H93*'Summary Sheet'!$G$23,""))</f>
        <v/>
      </c>
      <c r="M93" s="154"/>
      <c r="N93" s="155">
        <f>SUM('Pay App 1:Pay App 20'!L93)+SUM('Pay App 1:Pay App 20'!M93)</f>
        <v>0</v>
      </c>
    </row>
    <row r="94" spans="1:14" ht="11.25" customHeight="1" x14ac:dyDescent="0.25">
      <c r="A94" s="152">
        <v>38</v>
      </c>
      <c r="B94" s="175" t="str">
        <f>'Pay App 1'!B94</f>
        <v>08 10 00</v>
      </c>
      <c r="C94" s="180" t="str">
        <f>'Pay App 1'!C94</f>
        <v>Doors, Frames &amp; Hardware</v>
      </c>
      <c r="D94" s="155">
        <f>'Pay App 1'!D94</f>
        <v>0</v>
      </c>
      <c r="E94" s="155">
        <f>VLOOKUP(B94,'Graph Data'!$O$2:$BX$88,22,FALSE)</f>
        <v>0</v>
      </c>
      <c r="F94" s="155">
        <f>IFERROR(E94+'Pay App 19'!F94,"")</f>
        <v>0</v>
      </c>
      <c r="G94" s="155">
        <f>SUM('Pay App 1:Pay App 19'!H94)</f>
        <v>0</v>
      </c>
      <c r="H94" s="154"/>
      <c r="I94" s="155">
        <f t="shared" si="0"/>
        <v>0</v>
      </c>
      <c r="J94" s="156">
        <f t="shared" si="1"/>
        <v>0</v>
      </c>
      <c r="K94" s="155">
        <f t="shared" si="2"/>
        <v>0</v>
      </c>
      <c r="L94" s="155" t="str">
        <f>IF(AND('Summary Sheet'!$E$23="No",$H$33&gt;0,H94&gt;=1),"",IF(AND('Summary Sheet'!$E$23="Yes",H94&lt;&gt;""),H94*'Summary Sheet'!$G$23,""))</f>
        <v/>
      </c>
      <c r="M94" s="154"/>
      <c r="N94" s="155">
        <f>SUM('Pay App 1:Pay App 20'!L94)+SUM('Pay App 1:Pay App 20'!M94)</f>
        <v>0</v>
      </c>
    </row>
    <row r="95" spans="1:14" ht="11.25" customHeight="1" x14ac:dyDescent="0.25">
      <c r="A95" s="152">
        <v>39</v>
      </c>
      <c r="B95" s="175" t="str">
        <f>'Pay App 1'!B95</f>
        <v>08 30 00</v>
      </c>
      <c r="C95" s="180" t="str">
        <f>'Pay App 1'!C95</f>
        <v>Specialty Doors</v>
      </c>
      <c r="D95" s="155">
        <f>'Pay App 1'!D95</f>
        <v>0</v>
      </c>
      <c r="E95" s="155">
        <f>VLOOKUP(B95,'Graph Data'!$O$2:$BX$88,22,FALSE)</f>
        <v>0</v>
      </c>
      <c r="F95" s="155">
        <f>IFERROR(E95+'Pay App 19'!F95,"")</f>
        <v>0</v>
      </c>
      <c r="G95" s="155">
        <f>SUM('Pay App 1:Pay App 19'!H95)</f>
        <v>0</v>
      </c>
      <c r="H95" s="154"/>
      <c r="I95" s="155">
        <f t="shared" si="0"/>
        <v>0</v>
      </c>
      <c r="J95" s="156">
        <f t="shared" si="1"/>
        <v>0</v>
      </c>
      <c r="K95" s="155">
        <f t="shared" si="2"/>
        <v>0</v>
      </c>
      <c r="L95" s="155" t="str">
        <f>IF(AND('Summary Sheet'!$E$23="No",$H$33&gt;0,H95&gt;=1),"",IF(AND('Summary Sheet'!$E$23="Yes",H95&lt;&gt;""),H95*'Summary Sheet'!$G$23,""))</f>
        <v/>
      </c>
      <c r="M95" s="154"/>
      <c r="N95" s="155">
        <f>SUM('Pay App 1:Pay App 20'!L95)+SUM('Pay App 1:Pay App 20'!M95)</f>
        <v>0</v>
      </c>
    </row>
    <row r="96" spans="1:14" ht="11.25" customHeight="1" x14ac:dyDescent="0.25">
      <c r="A96" s="152">
        <v>40</v>
      </c>
      <c r="B96" s="175" t="str">
        <f>'Pay App 1'!B96</f>
        <v>08 33 00</v>
      </c>
      <c r="C96" s="180" t="str">
        <f>'Pay App 1'!C96</f>
        <v>Overhead Doors/Coiling Doors</v>
      </c>
      <c r="D96" s="155">
        <f>'Pay App 1'!D96</f>
        <v>0</v>
      </c>
      <c r="E96" s="155">
        <f>VLOOKUP(B96,'Graph Data'!$O$2:$BX$88,22,FALSE)</f>
        <v>0</v>
      </c>
      <c r="F96" s="155">
        <f>IFERROR(E96+'Pay App 19'!F96,"")</f>
        <v>0</v>
      </c>
      <c r="G96" s="155">
        <f>SUM('Pay App 1:Pay App 19'!H96)</f>
        <v>0</v>
      </c>
      <c r="H96" s="154"/>
      <c r="I96" s="155">
        <f t="shared" si="0"/>
        <v>0</v>
      </c>
      <c r="J96" s="156">
        <f t="shared" si="1"/>
        <v>0</v>
      </c>
      <c r="K96" s="155">
        <f t="shared" si="2"/>
        <v>0</v>
      </c>
      <c r="L96" s="155" t="str">
        <f>IF(AND('Summary Sheet'!$E$23="No",$H$33&gt;0,H96&gt;=1),"",IF(AND('Summary Sheet'!$E$23="Yes",H96&lt;&gt;""),H96*'Summary Sheet'!$G$23,""))</f>
        <v/>
      </c>
      <c r="M96" s="154"/>
      <c r="N96" s="155">
        <f>SUM('Pay App 1:Pay App 20'!L96)+SUM('Pay App 1:Pay App 20'!M96)</f>
        <v>0</v>
      </c>
    </row>
    <row r="97" spans="1:15" ht="11.25" customHeight="1" x14ac:dyDescent="0.25">
      <c r="A97" s="152">
        <v>41</v>
      </c>
      <c r="B97" s="175" t="str">
        <f>'Pay App 1'!B97</f>
        <v>08 40 00</v>
      </c>
      <c r="C97" s="180" t="str">
        <f>'Pay App 1'!C97</f>
        <v>Curtain Wall, Glass &amp; Glazing</v>
      </c>
      <c r="D97" s="155">
        <f>'Pay App 1'!D97</f>
        <v>0</v>
      </c>
      <c r="E97" s="155">
        <f>VLOOKUP(B97,'Graph Data'!$O$2:$BX$88,22,FALSE)</f>
        <v>0</v>
      </c>
      <c r="F97" s="155">
        <f>IFERROR(E97+'Pay App 19'!F97,"")</f>
        <v>0</v>
      </c>
      <c r="G97" s="155">
        <f>SUM('Pay App 1:Pay App 19'!H97)</f>
        <v>0</v>
      </c>
      <c r="H97" s="154"/>
      <c r="I97" s="155">
        <f t="shared" si="0"/>
        <v>0</v>
      </c>
      <c r="J97" s="156">
        <f t="shared" si="1"/>
        <v>0</v>
      </c>
      <c r="K97" s="155">
        <f t="shared" si="2"/>
        <v>0</v>
      </c>
      <c r="L97" s="155" t="str">
        <f>IF(AND('Summary Sheet'!$E$23="No",$H$33&gt;0,H97&gt;=1),"",IF(AND('Summary Sheet'!$E$23="Yes",H97&lt;&gt;""),H97*'Summary Sheet'!$G$23,""))</f>
        <v/>
      </c>
      <c r="M97" s="154"/>
      <c r="N97" s="155">
        <f>SUM('Pay App 1:Pay App 20'!L97)+SUM('Pay App 1:Pay App 20'!M97)</f>
        <v>0</v>
      </c>
    </row>
    <row r="98" spans="1:15" ht="10.9" customHeight="1" x14ac:dyDescent="0.25">
      <c r="A98" s="152">
        <v>42</v>
      </c>
      <c r="B98" s="175" t="str">
        <f>'Pay App 1'!B98</f>
        <v>08 60 00</v>
      </c>
      <c r="C98" s="180" t="str">
        <f>'Pay App 1'!C98</f>
        <v>Skylights</v>
      </c>
      <c r="D98" s="155">
        <f>'Pay App 1'!D98</f>
        <v>0</v>
      </c>
      <c r="E98" s="155">
        <f>VLOOKUP(B98,'Graph Data'!$O$2:$BX$88,22,FALSE)</f>
        <v>0</v>
      </c>
      <c r="F98" s="155">
        <f>IFERROR(E98+'Pay App 19'!F98,"")</f>
        <v>0</v>
      </c>
      <c r="G98" s="155">
        <f>SUM('Pay App 1:Pay App 19'!H98)</f>
        <v>0</v>
      </c>
      <c r="H98" s="154"/>
      <c r="I98" s="155">
        <f t="shared" si="0"/>
        <v>0</v>
      </c>
      <c r="J98" s="156">
        <f t="shared" si="1"/>
        <v>0</v>
      </c>
      <c r="K98" s="155">
        <f t="shared" si="2"/>
        <v>0</v>
      </c>
      <c r="L98" s="155" t="str">
        <f>IF(AND('Summary Sheet'!$E$23="No",$H$33&gt;0,H98&gt;=1),"",IF(AND('Summary Sheet'!$E$23="Yes",H98&lt;&gt;""),H98*'Summary Sheet'!$G$23,""))</f>
        <v/>
      </c>
      <c r="M98" s="154"/>
      <c r="N98" s="155">
        <f>SUM('Pay App 1:Pay App 20'!L98)+SUM('Pay App 1:Pay App 20'!M98)</f>
        <v>0</v>
      </c>
    </row>
    <row r="99" spans="1:15" ht="10.9" customHeight="1" x14ac:dyDescent="0.25">
      <c r="A99" s="152">
        <v>43</v>
      </c>
      <c r="B99" s="175" t="str">
        <f>'Pay App 1'!B99</f>
        <v>08 90 00</v>
      </c>
      <c r="C99" s="180" t="str">
        <f>'Pay App 1'!C99</f>
        <v>Louvers &amp; Vents</v>
      </c>
      <c r="D99" s="155">
        <f>'Pay App 1'!D99</f>
        <v>0</v>
      </c>
      <c r="E99" s="155">
        <f>VLOOKUP(B99,'Graph Data'!$O$2:$BX$88,22,FALSE)</f>
        <v>0</v>
      </c>
      <c r="F99" s="155">
        <f>IFERROR(E99+'Pay App 19'!F99,"")</f>
        <v>0</v>
      </c>
      <c r="G99" s="155">
        <f>SUM('Pay App 1:Pay App 19'!H99)</f>
        <v>0</v>
      </c>
      <c r="H99" s="154"/>
      <c r="I99" s="155">
        <f t="shared" si="0"/>
        <v>0</v>
      </c>
      <c r="J99" s="156">
        <f t="shared" si="1"/>
        <v>0</v>
      </c>
      <c r="K99" s="155">
        <f t="shared" si="2"/>
        <v>0</v>
      </c>
      <c r="L99" s="155" t="str">
        <f>IF(AND('Summary Sheet'!$E$23="No",$H$33&gt;0,H99&gt;=1),"",IF(AND('Summary Sheet'!$E$23="Yes",H99&lt;&gt;""),H99*'Summary Sheet'!$G$23,""))</f>
        <v/>
      </c>
      <c r="M99" s="154"/>
      <c r="N99" s="155">
        <f>SUM('Pay App 1:Pay App 20'!L99)+SUM('Pay App 1:Pay App 20'!M99)</f>
        <v>0</v>
      </c>
    </row>
    <row r="100" spans="1:15" ht="11.25" customHeight="1" x14ac:dyDescent="0.25">
      <c r="A100" s="153">
        <v>44</v>
      </c>
      <c r="B100" s="176" t="str">
        <f>'Pay App 1'!B100</f>
        <v>09 20 00</v>
      </c>
      <c r="C100" s="181" t="str">
        <f>'Pay App 1'!C100</f>
        <v>Gypsum Board Systems</v>
      </c>
      <c r="D100" s="155">
        <f>'Pay App 1'!D100</f>
        <v>0</v>
      </c>
      <c r="E100" s="155">
        <f>VLOOKUP(B100,'Graph Data'!$O$2:$BX$88,22,FALSE)</f>
        <v>0</v>
      </c>
      <c r="F100" s="155">
        <f>IFERROR(E100+'Pay App 19'!F100,"")</f>
        <v>0</v>
      </c>
      <c r="G100" s="155">
        <f>SUM('Pay App 1:Pay App 19'!H100)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20'!L100)+SUM('Pay App 1:Pay App 20'!M100)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20.2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Data'!$O$2:$BX$88,22,FALSE)</f>
        <v>0</v>
      </c>
      <c r="F106" s="155">
        <f>IFERROR(E106+'Pay App 19'!F106,"")</f>
        <v>0</v>
      </c>
      <c r="G106" s="155">
        <f>SUM('Pay App 1:Pay App 19'!H106)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20'!L106)+SUM('Pay App 1:Pay App 20'!M106)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Data'!$O$2:$BX$88,22,FALSE)</f>
        <v>0</v>
      </c>
      <c r="F107" s="155">
        <f>IFERROR(E107+'Pay App 19'!F107,"")</f>
        <v>0</v>
      </c>
      <c r="G107" s="155">
        <f>SUM('Pay App 1:Pay App 19'!H107)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20'!L107)+SUM('Pay App 1:Pay App 20'!M107)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Data'!$O$2:$BX$88,22,FALSE)</f>
        <v>0</v>
      </c>
      <c r="F108" s="155">
        <f>IFERROR(E108+'Pay App 19'!F108,"")</f>
        <v>0</v>
      </c>
      <c r="G108" s="155">
        <f>SUM('Pay App 1:Pay App 19'!H108)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20'!L108)+SUM('Pay App 1:Pay App 20'!M108)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Data'!$O$2:$BX$88,22,FALSE)</f>
        <v>0</v>
      </c>
      <c r="F109" s="155">
        <f>IFERROR(E109+'Pay App 19'!F109,"")</f>
        <v>0</v>
      </c>
      <c r="G109" s="155">
        <f>SUM('Pay App 1:Pay App 19'!H109)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20'!L109)+SUM('Pay App 1:Pay App 20'!M109)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Data'!$O$2:$BX$88,22,FALSE)</f>
        <v>0</v>
      </c>
      <c r="F110" s="155">
        <f>IFERROR(E110+'Pay App 19'!F110,"")</f>
        <v>0</v>
      </c>
      <c r="G110" s="155">
        <f>SUM('Pay App 1:Pay App 19'!H110)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20'!L110)+SUM('Pay App 1:Pay App 20'!M110)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Data'!$O$2:$BX$88,22,FALSE)</f>
        <v>0</v>
      </c>
      <c r="F111" s="155">
        <f>IFERROR(E111+'Pay App 19'!F111,"")</f>
        <v>0</v>
      </c>
      <c r="G111" s="155">
        <f>SUM('Pay App 1:Pay App 19'!H111)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20'!L111)+SUM('Pay App 1:Pay App 20'!M111)</f>
        <v>0</v>
      </c>
    </row>
    <row r="112" spans="1:15" ht="11.25" customHeight="1" x14ac:dyDescent="0.25">
      <c r="A112" s="152">
        <f t="shared" si="3"/>
        <v>51</v>
      </c>
      <c r="B112" s="148" t="str">
        <f>'Pay App 1'!B112</f>
        <v>09 90 00</v>
      </c>
      <c r="C112" s="143" t="str">
        <f>'Pay App 1'!C112</f>
        <v>Painting</v>
      </c>
      <c r="D112" s="155">
        <f>'Pay App 1'!D112</f>
        <v>0</v>
      </c>
      <c r="E112" s="155">
        <f>VLOOKUP(B112,'Graph Data'!$O$2:$BX$88,22,FALSE)</f>
        <v>0</v>
      </c>
      <c r="F112" s="155">
        <f>IFERROR(E112+'Pay App 19'!F112,"")</f>
        <v>0</v>
      </c>
      <c r="G112" s="155">
        <f>SUM('Pay App 1:Pay App 19'!H112)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20'!L112)+SUM('Pay App 1:Pay App 20'!M112)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Data'!$O$2:$BX$88,22,FALSE)</f>
        <v>0</v>
      </c>
      <c r="F113" s="155">
        <f>IFERROR(E113+'Pay App 19'!F113,"")</f>
        <v>0</v>
      </c>
      <c r="G113" s="155">
        <f>SUM('Pay App 1:Pay App 19'!H113)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20'!L113)+SUM('Pay App 1:Pay App 20'!M113)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Data'!$O$2:$BX$88,22,FALSE)</f>
        <v>0</v>
      </c>
      <c r="F114" s="155">
        <f>IFERROR(E114+'Pay App 19'!F114,"")</f>
        <v>0</v>
      </c>
      <c r="G114" s="155">
        <f>SUM('Pay App 1:Pay App 19'!H114)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20'!L114)+SUM('Pay App 1:Pay App 20'!M114)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Data'!$O$2:$BX$88,22,FALSE)</f>
        <v>0</v>
      </c>
      <c r="F115" s="155">
        <f>IFERROR(E115+'Pay App 19'!F115,"")</f>
        <v>0</v>
      </c>
      <c r="G115" s="155">
        <f>SUM('Pay App 1:Pay App 19'!H115)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20'!L115)+SUM('Pay App 1:Pay App 20'!M115)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Data'!$O$2:$BX$88,22,FALSE)</f>
        <v>0</v>
      </c>
      <c r="F116" s="155">
        <f>IFERROR(E116+'Pay App 19'!F116,"")</f>
        <v>0</v>
      </c>
      <c r="G116" s="155">
        <f>SUM('Pay App 1:Pay App 19'!H116)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20'!L116)+SUM('Pay App 1:Pay App 20'!M116)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Data'!$O$2:$BX$88,22,FALSE)</f>
        <v>0</v>
      </c>
      <c r="F117" s="155">
        <f>IFERROR(E117+'Pay App 19'!F117,"")</f>
        <v>0</v>
      </c>
      <c r="G117" s="155">
        <f>SUM('Pay App 1:Pay App 19'!H117)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20'!L117)+SUM('Pay App 1:Pay App 20'!M117)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Data'!$O$2:$BX$88,22,FALSE)</f>
        <v>0</v>
      </c>
      <c r="F118" s="155">
        <f>IFERROR(E118+'Pay App 19'!F118,"")</f>
        <v>0</v>
      </c>
      <c r="G118" s="155">
        <f>SUM('Pay App 1:Pay App 19'!H118)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20'!L118)+SUM('Pay App 1:Pay App 20'!M118)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Data'!$O$2:$BX$88,22,FALSE)</f>
        <v>0</v>
      </c>
      <c r="F119" s="155">
        <f>IFERROR(E119+'Pay App 19'!F119,"")</f>
        <v>0</v>
      </c>
      <c r="G119" s="155">
        <f>SUM('Pay App 1:Pay App 19'!H119)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20'!L119)+SUM('Pay App 1:Pay App 20'!M119)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Data'!$O$2:$BX$88,22,FALSE)</f>
        <v>0</v>
      </c>
      <c r="F120" s="155">
        <f>IFERROR(E120+'Pay App 19'!F120,"")</f>
        <v>0</v>
      </c>
      <c r="G120" s="155">
        <f>SUM('Pay App 1:Pay App 19'!H120)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20'!L120)+SUM('Pay App 1:Pay App 20'!M120)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Data'!$O$2:$BX$88,22,FALSE)</f>
        <v>0</v>
      </c>
      <c r="F121" s="155">
        <f>IFERROR(E121+'Pay App 19'!F121,"")</f>
        <v>0</v>
      </c>
      <c r="G121" s="155">
        <f>SUM('Pay App 1:Pay App 19'!H121)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20'!L121)+SUM('Pay App 1:Pay App 20'!M121)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Data'!$O$2:$BX$88,22,FALSE)</f>
        <v>0</v>
      </c>
      <c r="F122" s="155">
        <f>IFERROR(E122+'Pay App 19'!F122,"")</f>
        <v>0</v>
      </c>
      <c r="G122" s="155">
        <f>SUM('Pay App 1:Pay App 19'!H122)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20'!L122)+SUM('Pay App 1:Pay App 20'!M122)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Data'!$O$2:$BX$88,22,FALSE)</f>
        <v>0</v>
      </c>
      <c r="F123" s="155">
        <f>IFERROR(E123+'Pay App 19'!F123,"")</f>
        <v>0</v>
      </c>
      <c r="G123" s="155">
        <f>SUM('Pay App 1:Pay App 19'!H123)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20'!L123)+SUM('Pay App 1:Pay App 20'!M123)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Data'!$O$2:$BX$88,22,FALSE)</f>
        <v>0</v>
      </c>
      <c r="F124" s="155">
        <f>IFERROR(E124+'Pay App 19'!F124,"")</f>
        <v>0</v>
      </c>
      <c r="G124" s="155">
        <f>SUM('Pay App 1:Pay App 19'!H124)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20'!L124)+SUM('Pay App 1:Pay App 20'!M124)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Data'!$O$2:$BX$88,22,FALSE)</f>
        <v>0</v>
      </c>
      <c r="F125" s="155">
        <f>IFERROR(E125+'Pay App 19'!F125,"")</f>
        <v>0</v>
      </c>
      <c r="G125" s="155">
        <f>SUM('Pay App 1:Pay App 19'!H125)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20'!L125)+SUM('Pay App 1:Pay App 20'!M125)</f>
        <v>0</v>
      </c>
    </row>
    <row r="126" spans="1:14" ht="11.25" customHeight="1" x14ac:dyDescent="0.25">
      <c r="A126" s="152">
        <f t="shared" si="3"/>
        <v>65</v>
      </c>
      <c r="B126" s="188" t="str">
        <f>'Pay App 1'!B126</f>
        <v>14 20 00</v>
      </c>
      <c r="C126" s="194" t="str">
        <f>'Pay App 1'!C126</f>
        <v>Elevator</v>
      </c>
      <c r="D126" s="155">
        <f>'Pay App 1'!D126</f>
        <v>0</v>
      </c>
      <c r="E126" s="155">
        <f>VLOOKUP(B126,'Graph Data'!$O$2:$BX$88,22,FALSE)</f>
        <v>0</v>
      </c>
      <c r="F126" s="155">
        <f>IFERROR(E126+'Pay App 19'!F126,"")</f>
        <v>0</v>
      </c>
      <c r="G126" s="155">
        <f>SUM('Pay App 1:Pay App 19'!H126)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20'!L126)+SUM('Pay App 1:Pay App 20'!M126)</f>
        <v>0</v>
      </c>
    </row>
    <row r="127" spans="1:14" ht="11.25" customHeight="1" x14ac:dyDescent="0.25">
      <c r="A127" s="152">
        <f t="shared" si="3"/>
        <v>66</v>
      </c>
      <c r="B127" s="188" t="str">
        <f>'Pay App 1'!B127</f>
        <v>14 40 00</v>
      </c>
      <c r="C127" s="194" t="str">
        <f>'Pay App 1'!C127</f>
        <v>Lifts</v>
      </c>
      <c r="D127" s="155">
        <f>'Pay App 1'!D127</f>
        <v>0</v>
      </c>
      <c r="E127" s="155">
        <f>VLOOKUP(B127,'Graph Data'!$O$2:$BX$88,22,FALSE)</f>
        <v>0</v>
      </c>
      <c r="F127" s="155">
        <f>IFERROR(E127+'Pay App 19'!F127,"")</f>
        <v>0</v>
      </c>
      <c r="G127" s="155">
        <f>SUM('Pay App 1:Pay App 19'!H127)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20'!L127)+SUM('Pay App 1:Pay App 20'!M127)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Data'!$O$2:$BX$88,22,FALSE)</f>
        <v>0</v>
      </c>
      <c r="F128" s="155">
        <f>IFERROR(E128+'Pay App 19'!F128,"")</f>
        <v>0</v>
      </c>
      <c r="G128" s="155">
        <f>SUM('Pay App 1:Pay App 19'!H128)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20'!L128)+SUM('Pay App 1:Pay App 20'!M128)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Data'!$O$2:$BX$88,22,FALSE)</f>
        <v>0</v>
      </c>
      <c r="F129" s="155">
        <f>IFERROR(E129+'Pay App 19'!F129,"")</f>
        <v>0</v>
      </c>
      <c r="G129" s="155">
        <f>SUM('Pay App 1:Pay App 19'!H129)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20'!L129)+SUM('Pay App 1:Pay App 20'!M129)</f>
        <v>0</v>
      </c>
    </row>
    <row r="130" spans="1:14" ht="11.25" customHeight="1" x14ac:dyDescent="0.25">
      <c r="A130" s="152">
        <f t="shared" si="3"/>
        <v>69</v>
      </c>
      <c r="B130" s="185" t="str">
        <f>'Pay App 1'!B130</f>
        <v>22 00 00</v>
      </c>
      <c r="C130" s="191" t="str">
        <f>'Pay App 1'!C130</f>
        <v>Plumbing</v>
      </c>
      <c r="D130" s="155">
        <f>'Pay App 1'!D130</f>
        <v>0</v>
      </c>
      <c r="E130" s="155">
        <f>VLOOKUP(B130,'Graph Data'!$O$2:$BX$88,22,FALSE)</f>
        <v>0</v>
      </c>
      <c r="F130" s="155">
        <f>IFERROR(E130+'Pay App 19'!F130,"")</f>
        <v>0</v>
      </c>
      <c r="G130" s="155">
        <f>SUM('Pay App 1:Pay App 19'!H130)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20'!L130)+SUM('Pay App 1:Pay App 20'!M130)</f>
        <v>0</v>
      </c>
    </row>
    <row r="131" spans="1:14" ht="11.25" customHeight="1" x14ac:dyDescent="0.25">
      <c r="A131" s="152">
        <f t="shared" si="3"/>
        <v>70</v>
      </c>
      <c r="B131" s="186" t="str">
        <f>'Pay App 1'!B131</f>
        <v>23 00 00</v>
      </c>
      <c r="C131" s="192" t="str">
        <f>'Pay App 1'!C131</f>
        <v>HVAC</v>
      </c>
      <c r="D131" s="155">
        <f>'Pay App 1'!D131</f>
        <v>0</v>
      </c>
      <c r="E131" s="155">
        <f>VLOOKUP(B131,'Graph Data'!$O$2:$BX$88,22,FALSE)</f>
        <v>0</v>
      </c>
      <c r="F131" s="155">
        <f>IFERROR(E131+'Pay App 19'!F131,"")</f>
        <v>0</v>
      </c>
      <c r="G131" s="155">
        <f>SUM('Pay App 1:Pay App 19'!H131)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20'!L131)+SUM('Pay App 1:Pay App 20'!M131)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Data'!$O$2:$BX$88,22,FALSE)</f>
        <v>0</v>
      </c>
      <c r="F132" s="155">
        <f>IFERROR(E132+'Pay App 19'!F132,"")</f>
        <v>0</v>
      </c>
      <c r="G132" s="155">
        <f>SUM('Pay App 1:Pay App 19'!H132)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20'!L132)+SUM('Pay App 1:Pay App 20'!M132)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Data'!$O$2:$BX$88,22,FALSE)</f>
        <v>0</v>
      </c>
      <c r="F133" s="155">
        <f>IFERROR(E133+'Pay App 19'!F133,"")</f>
        <v>0</v>
      </c>
      <c r="G133" s="155">
        <f>SUM('Pay App 1:Pay App 19'!H133)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20'!L133)+SUM('Pay App 1:Pay App 20'!M133)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Data'!$O$2:$BX$88,22,FALSE)</f>
        <v>0</v>
      </c>
      <c r="F134" s="155">
        <f>IFERROR(E134+'Pay App 19'!F134,"")</f>
        <v>0</v>
      </c>
      <c r="G134" s="155">
        <f>SUM('Pay App 1:Pay App 19'!H134)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20'!L134)+SUM('Pay App 1:Pay App 20'!M134)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Data'!$O$2:$BX$88,22,FALSE)</f>
        <v>0</v>
      </c>
      <c r="F135" s="155">
        <f>IFERROR(E135+'Pay App 19'!F135,"")</f>
        <v>0</v>
      </c>
      <c r="G135" s="155">
        <f>SUM('Pay App 1:Pay App 19'!H135)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20'!L135)+SUM('Pay App 1:Pay App 20'!M135)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Data'!$O$2:$BX$88,22,FALSE)</f>
        <v>0</v>
      </c>
      <c r="F136" s="155">
        <f>IFERROR(E136+'Pay App 19'!F136,"")</f>
        <v>0</v>
      </c>
      <c r="G136" s="155">
        <f>SUM('Pay App 1:Pay App 19'!H136)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20'!L136)+SUM('Pay App 1:Pay App 20'!M136)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Data'!$O$2:$BX$88,22,FALSE)</f>
        <v>0</v>
      </c>
      <c r="F137" s="155">
        <f>IFERROR(E137+'Pay App 19'!F137,"")</f>
        <v>0</v>
      </c>
      <c r="G137" s="155">
        <f>SUM('Pay App 1:Pay App 19'!H137)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20'!L137)+SUM('Pay App 1:Pay App 20'!M137)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Data'!$O$2:$BX$88,22,FALSE)</f>
        <v>0</v>
      </c>
      <c r="F138" s="155">
        <f>IFERROR(E138+'Pay App 19'!F138,"")</f>
        <v>0</v>
      </c>
      <c r="G138" s="155">
        <f>SUM('Pay App 1:Pay App 19'!H138)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20'!L138)+SUM('Pay App 1:Pay App 20'!M138)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Data'!$O$2:$BX$88,22,FALSE)</f>
        <v>0</v>
      </c>
      <c r="F139" s="155">
        <f>IFERROR(E139+'Pay App 19'!F139,"")</f>
        <v>0</v>
      </c>
      <c r="G139" s="155">
        <f>SUM('Pay App 1:Pay App 19'!H139)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20'!L139)+SUM('Pay App 1:Pay App 20'!M139)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Data'!$O$2:$BX$88,22,FALSE)</f>
        <v>0</v>
      </c>
      <c r="F140" s="155">
        <f>IFERROR(E140+'Pay App 19'!F140,"")</f>
        <v>0</v>
      </c>
      <c r="G140" s="155">
        <f>SUM('Pay App 1:Pay App 19'!H140)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20'!L140)+SUM('Pay App 1:Pay App 20'!M140)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Data'!$O$2:$BX$88,22,FALSE)</f>
        <v>0</v>
      </c>
      <c r="F141" s="155">
        <f>IFERROR(E141+'Pay App 19'!F141,"")</f>
        <v>0</v>
      </c>
      <c r="G141" s="155">
        <f>SUM('Pay App 1:Pay App 19'!H141)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20'!L141)+SUM('Pay App 1:Pay App 20'!M141)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Data'!$O$2:$BX$88,22,FALSE)</f>
        <v>0</v>
      </c>
      <c r="F142" s="155">
        <f>IFERROR(E142+'Pay App 19'!F142,"")</f>
        <v>0</v>
      </c>
      <c r="G142" s="155">
        <f>SUM('Pay App 1:Pay App 19'!H142)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20'!L142)+SUM('Pay App 1:Pay App 20'!M142)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Data'!$O$2:$BX$88,22,FALSE)</f>
        <v>0</v>
      </c>
      <c r="F143" s="155">
        <f>IFERROR(E143+'Pay App 19'!F143,"")</f>
        <v>0</v>
      </c>
      <c r="G143" s="155">
        <f>SUM('Pay App 1:Pay App 19'!H143)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20'!L143)+SUM('Pay App 1:Pay App 20'!M143)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Data'!$O$2:$BX$88,22,FALSE)</f>
        <v>0</v>
      </c>
      <c r="F144" s="155">
        <f>IFERROR(E144+'Pay App 19'!F144,"")</f>
        <v>0</v>
      </c>
      <c r="G144" s="155">
        <f>SUM('Pay App 1:Pay App 19'!H144)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20'!L144)+SUM('Pay App 1:Pay App 20'!M144)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Data'!$O$2:$BX$88,22,FALSE)</f>
        <v>0</v>
      </c>
      <c r="F145" s="155">
        <f>IFERROR(E145+'Pay App 19'!F145,"")</f>
        <v>0</v>
      </c>
      <c r="G145" s="155">
        <f>SUM('Pay App 1:Pay App 19'!H145)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20'!L145)+SUM('Pay App 1:Pay App 20'!M145)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Data'!$O$2:$BX$88,22,FALSE)</f>
        <v>0</v>
      </c>
      <c r="F146" s="155">
        <f>IFERROR(E146+'Pay App 19'!F146,"")</f>
        <v>0</v>
      </c>
      <c r="G146" s="155">
        <f>SUM('Pay App 1:Pay App 19'!H146)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20'!L146)+SUM('Pay App 1:Pay App 20'!M146)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Data'!$O$2:$BX$88,22,FALSE)</f>
        <v>0</v>
      </c>
      <c r="F147" s="155">
        <f>IFERROR(E147+'Pay App 19'!F147,"")</f>
        <v>0</v>
      </c>
      <c r="G147" s="155">
        <f>SUM('Pay App 1:Pay App 19'!H147)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20'!L147)+SUM('Pay App 1:Pay App 20'!M147)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Data'!$O$2:$BX$88,22,FALSE)</f>
        <v>0</v>
      </c>
      <c r="F148" s="155">
        <f>IFERROR(E148+'Pay App 19'!F148,"")</f>
        <v>0</v>
      </c>
      <c r="G148" s="155">
        <f>SUM('Pay App 1:Pay App 19'!H148)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20'!L148)+SUM('Pay App 1:Pay App 20'!M148)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lA4DwJ090IWJb9YZ1C/gkzuQA9RggWVVC5fzlf1a1uWGATjlcwR5YQzPzbt7hKb3f2/H1ijMVIqWlbz+pjvvdQ==" saltValue="j2X7w7N+WurBcKVmKKZtm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50" priority="2" operator="equal">
      <formula>0</formula>
    </cfRule>
  </conditionalFormatting>
  <conditionalFormatting sqref="D106:G148">
    <cfRule type="cellIs" dxfId="449" priority="1" operator="equal">
      <formula>0</formula>
    </cfRule>
  </conditionalFormatting>
  <conditionalFormatting sqref="D10:H10 D12:H14 D19:H21">
    <cfRule type="cellIs" dxfId="448" priority="6" operator="equal">
      <formula>0</formula>
    </cfRule>
  </conditionalFormatting>
  <conditionalFormatting sqref="H51">
    <cfRule type="cellIs" dxfId="447" priority="9" operator="lessThan">
      <formula>0</formula>
    </cfRule>
  </conditionalFormatting>
  <conditionalFormatting sqref="I57:I100 K57:K100 I106:I148 K106:K148 N106:N148">
    <cfRule type="cellIs" dxfId="446" priority="14" operator="equal">
      <formula>0</formula>
    </cfRule>
  </conditionalFormatting>
  <conditionalFormatting sqref="J57:J100 J106:J149">
    <cfRule type="cellIs" dxfId="445" priority="11" operator="greaterThan">
      <formula>1</formula>
    </cfRule>
    <cfRule type="cellIs" dxfId="444" priority="12" operator="equal">
      <formula>0</formula>
    </cfRule>
  </conditionalFormatting>
  <conditionalFormatting sqref="K57:K100 K106:K148">
    <cfRule type="cellIs" dxfId="443" priority="10" operator="lessThan">
      <formula>0</formula>
    </cfRule>
  </conditionalFormatting>
  <conditionalFormatting sqref="M57:M100">
    <cfRule type="cellIs" dxfId="442" priority="13" operator="lessThan">
      <formula>0</formula>
    </cfRule>
  </conditionalFormatting>
  <conditionalFormatting sqref="M106:M148">
    <cfRule type="cellIs" dxfId="441" priority="8" operator="lessThan">
      <formula>0</formula>
    </cfRule>
  </conditionalFormatting>
  <conditionalFormatting sqref="N57:N100">
    <cfRule type="cellIs" dxfId="44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1F5021A9-2D8B-4227-9C27-2EC590435C46}">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F8D23-65C9-4272-8367-30D386681B1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21</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21'!E149)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21'!G41)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20'!H49)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21.1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Data'!$O$2:$BX$88,23,FALSE)</f>
        <v>0</v>
      </c>
      <c r="F57" s="155">
        <f>IFERROR(E57+'Pay App 20'!F57,"")</f>
        <v>0</v>
      </c>
      <c r="G57" s="155">
        <f>SUM('Pay App 1:Pay App 20'!H57)</f>
        <v>0</v>
      </c>
      <c r="H57" s="154"/>
      <c r="I57" s="155">
        <f>G57+H57</f>
        <v>0</v>
      </c>
      <c r="J57" s="156">
        <f>IFERROR(I57/F57,0)</f>
        <v>0</v>
      </c>
      <c r="K57" s="155">
        <f>IFERROR(F57-I57,"")</f>
        <v>0</v>
      </c>
      <c r="L57" s="155" t="str">
        <f>IF(AND('Summary Sheet'!$E$23="No",$H$33&gt;0,H57&gt;=1),"",IF(AND('Summary Sheet'!$E$23="Yes",H57&lt;&gt;""),H57*'Summary Sheet'!$G$23,""))</f>
        <v/>
      </c>
      <c r="M57" s="154"/>
      <c r="N57" s="155">
        <f>SUM('Pay App 1:Pay App 21'!L57)+SUM('Pay App 1:Pay App 21'!M57)</f>
        <v>0</v>
      </c>
    </row>
    <row r="58" spans="1:16" ht="11.25" customHeight="1" x14ac:dyDescent="0.25">
      <c r="A58" s="152">
        <v>2</v>
      </c>
      <c r="B58" s="145" t="str">
        <f>'Pay App 1'!B58</f>
        <v>00 02 00</v>
      </c>
      <c r="C58" s="134" t="str">
        <f>'Pay App 1'!C58</f>
        <v>Preconstruction Services</v>
      </c>
      <c r="D58" s="155">
        <f>'Pay App 1'!D58</f>
        <v>0</v>
      </c>
      <c r="E58" s="155">
        <f>VLOOKUP(B58,'Graph Data'!$O$2:$BX$88,23,FALSE)</f>
        <v>0</v>
      </c>
      <c r="F58" s="155">
        <f>IFERROR(E58+'Pay App 20'!F58,"")</f>
        <v>0</v>
      </c>
      <c r="G58" s="155">
        <f>SUM('Pay App 1:Pay App 20'!H58)</f>
        <v>0</v>
      </c>
      <c r="H58" s="154"/>
      <c r="I58" s="155">
        <f>G58+H58</f>
        <v>0</v>
      </c>
      <c r="J58" s="156">
        <f>IFERROR(I58/F58,0)</f>
        <v>0</v>
      </c>
      <c r="K58" s="155">
        <f>IFERROR(F58-I58,"")</f>
        <v>0</v>
      </c>
      <c r="L58" s="155" t="str">
        <f>IF(AND('Summary Sheet'!$E$23="No",$H$33&gt;0,H58&gt;=1),"",IF(AND('Summary Sheet'!$E$23="Yes",H58&lt;&gt;""),H58*'Summary Sheet'!$G$23,""))</f>
        <v/>
      </c>
      <c r="M58" s="154"/>
      <c r="N58" s="155">
        <f>SUM('Pay App 1:Pay App 21'!L58)+SUM('Pay App 1:Pay App 21'!M58)</f>
        <v>0</v>
      </c>
    </row>
    <row r="59" spans="1:16" ht="11.25" customHeight="1" x14ac:dyDescent="0.25">
      <c r="A59" s="152">
        <v>3</v>
      </c>
      <c r="B59" s="174" t="str">
        <f>'Pay App 1'!B59</f>
        <v>01 00 00</v>
      </c>
      <c r="C59" s="179" t="str">
        <f>'Pay App 1'!C59</f>
        <v>General Conditions/Requirements</v>
      </c>
      <c r="D59" s="155">
        <f>'Pay App 1'!D59</f>
        <v>0</v>
      </c>
      <c r="E59" s="155">
        <f>VLOOKUP(B59,'Graph Data'!$O$2:$BX$88,23,FALSE)</f>
        <v>0</v>
      </c>
      <c r="F59" s="155">
        <f>IFERROR(E59+'Pay App 20'!F59,"")</f>
        <v>0</v>
      </c>
      <c r="G59" s="155">
        <f>SUM('Pay App 1:Pay App 20'!H59)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21'!L59)+SUM('Pay App 1:Pay App 21'!M59)</f>
        <v>0</v>
      </c>
    </row>
    <row r="60" spans="1:16" ht="11.25" customHeight="1" x14ac:dyDescent="0.25">
      <c r="A60" s="152">
        <v>4</v>
      </c>
      <c r="B60" s="174" t="str">
        <f>'Pay App 1'!B60</f>
        <v>01 13 41</v>
      </c>
      <c r="C60" s="179" t="str">
        <f>'Pay App 1'!C60</f>
        <v>Temp. Scaffolding and Platforms</v>
      </c>
      <c r="D60" s="155">
        <f>'Pay App 1'!D60</f>
        <v>0</v>
      </c>
      <c r="E60" s="155">
        <f>VLOOKUP(B60,'Graph Data'!$O$2:$BX$88,23,FALSE)</f>
        <v>0</v>
      </c>
      <c r="F60" s="155">
        <f>IFERROR(E60+'Pay App 20'!F60,"")</f>
        <v>0</v>
      </c>
      <c r="G60" s="155">
        <f>SUM('Pay App 1:Pay App 20'!H60)</f>
        <v>0</v>
      </c>
      <c r="H60" s="154"/>
      <c r="I60" s="155">
        <f t="shared" si="0"/>
        <v>0</v>
      </c>
      <c r="J60" s="156">
        <f t="shared" si="1"/>
        <v>0</v>
      </c>
      <c r="K60" s="155">
        <f t="shared" si="2"/>
        <v>0</v>
      </c>
      <c r="L60" s="155" t="str">
        <f>IF(AND('Summary Sheet'!$E$23="No",$H$33&gt;0,H60&gt;=1),"",IF(AND('Summary Sheet'!$E$23="Yes",H60&lt;&gt;""),H60*'Summary Sheet'!$G$23,""))</f>
        <v/>
      </c>
      <c r="M60" s="154"/>
      <c r="N60" s="155">
        <f>SUM('Pay App 1:Pay App 21'!L60)+SUM('Pay App 1:Pay App 21'!M60)</f>
        <v>0</v>
      </c>
    </row>
    <row r="61" spans="1:16" ht="11.25" customHeight="1" x14ac:dyDescent="0.25">
      <c r="A61" s="152">
        <v>5</v>
      </c>
      <c r="B61" s="174" t="str">
        <f>'Pay App 1'!B61</f>
        <v>01 13 60</v>
      </c>
      <c r="C61" s="179" t="str">
        <f>'Pay App 1'!C61</f>
        <v>SWPPP</v>
      </c>
      <c r="D61" s="155">
        <f>'Pay App 1'!D61</f>
        <v>0</v>
      </c>
      <c r="E61" s="155">
        <f>VLOOKUP(B61,'Graph Data'!$O$2:$BX$88,23,FALSE)</f>
        <v>0</v>
      </c>
      <c r="F61" s="155">
        <f>IFERROR(E61+'Pay App 20'!F61,"")</f>
        <v>0</v>
      </c>
      <c r="G61" s="155">
        <f>SUM('Pay App 1:Pay App 20'!H61)</f>
        <v>0</v>
      </c>
      <c r="H61" s="154"/>
      <c r="I61" s="155">
        <f t="shared" si="0"/>
        <v>0</v>
      </c>
      <c r="J61" s="156">
        <f t="shared" si="1"/>
        <v>0</v>
      </c>
      <c r="K61" s="155">
        <f t="shared" si="2"/>
        <v>0</v>
      </c>
      <c r="L61" s="155" t="str">
        <f>IF(AND('Summary Sheet'!$E$23="No",$H$33&gt;0,H61&gt;=1),"",IF(AND('Summary Sheet'!$E$23="Yes",H61&lt;&gt;""),H61*'Summary Sheet'!$G$23,""))</f>
        <v/>
      </c>
      <c r="M61" s="154"/>
      <c r="N61" s="155">
        <f>SUM('Pay App 1:Pay App 21'!L61)+SUM('Pay App 1:Pay App 21'!M61)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Data'!$O$2:$BX$88,23,FALSE)</f>
        <v>0</v>
      </c>
      <c r="F62" s="155">
        <f>IFERROR(E62+'Pay App 20'!F62,"")</f>
        <v>0</v>
      </c>
      <c r="G62" s="155">
        <f>SUM('Pay App 1:Pay App 20'!H62)</f>
        <v>0</v>
      </c>
      <c r="H62" s="154"/>
      <c r="I62" s="155">
        <f t="shared" si="0"/>
        <v>0</v>
      </c>
      <c r="J62" s="156">
        <f t="shared" si="1"/>
        <v>0</v>
      </c>
      <c r="K62" s="155">
        <f t="shared" si="2"/>
        <v>0</v>
      </c>
      <c r="L62" s="155" t="str">
        <f>IF(AND('Summary Sheet'!$E$23="No",$H$33&gt;0,H62&gt;=1),"",IF(AND('Summary Sheet'!$E$23="Yes",H62&lt;&gt;""),H62*'Summary Sheet'!$G$23,""))</f>
        <v/>
      </c>
      <c r="M62" s="154"/>
      <c r="N62" s="155">
        <f>SUM('Pay App 1:Pay App 21'!L62)+SUM('Pay App 1:Pay App 21'!M62)</f>
        <v>0</v>
      </c>
    </row>
    <row r="63" spans="1:16" ht="11.25" customHeight="1" x14ac:dyDescent="0.25">
      <c r="A63" s="152">
        <v>7</v>
      </c>
      <c r="B63" s="174" t="str">
        <f>'Pay App 1'!B63</f>
        <v>01 31 00</v>
      </c>
      <c r="C63" s="179" t="str">
        <f>'Pay App 1'!C63</f>
        <v>Contractor's Supervision</v>
      </c>
      <c r="D63" s="155">
        <f>'Pay App 1'!D63</f>
        <v>0</v>
      </c>
      <c r="E63" s="155">
        <f>VLOOKUP(B63,'Graph Data'!$O$2:$BX$88,23,FALSE)</f>
        <v>0</v>
      </c>
      <c r="F63" s="155">
        <f>IFERROR(E63+'Pay App 20'!F63,"")</f>
        <v>0</v>
      </c>
      <c r="G63" s="155">
        <f>SUM('Pay App 1:Pay App 20'!H63)</f>
        <v>0</v>
      </c>
      <c r="H63" s="154"/>
      <c r="I63" s="155">
        <f t="shared" si="0"/>
        <v>0</v>
      </c>
      <c r="J63" s="156">
        <f t="shared" si="1"/>
        <v>0</v>
      </c>
      <c r="K63" s="155">
        <f t="shared" si="2"/>
        <v>0</v>
      </c>
      <c r="L63" s="155" t="str">
        <f>IF(AND('Summary Sheet'!$E$23="No",$H$33&gt;0,H63&gt;=1),"",IF(AND('Summary Sheet'!$E$23="Yes",H63&lt;&gt;""),H63*'Summary Sheet'!$G$23,""))</f>
        <v/>
      </c>
      <c r="M63" s="154"/>
      <c r="N63" s="155">
        <f>SUM('Pay App 1:Pay App 21'!L63)+SUM('Pay App 1:Pay App 21'!M63)</f>
        <v>0</v>
      </c>
    </row>
    <row r="64" spans="1:16" ht="11.25" customHeight="1" x14ac:dyDescent="0.25">
      <c r="A64" s="152">
        <v>8</v>
      </c>
      <c r="B64" s="174" t="str">
        <f>'Pay App 1'!B64</f>
        <v>01 32 00</v>
      </c>
      <c r="C64" s="179" t="str">
        <f>'Pay App 1'!C64</f>
        <v>General Liability Insurance</v>
      </c>
      <c r="D64" s="155">
        <f>'Pay App 1'!D64</f>
        <v>0</v>
      </c>
      <c r="E64" s="155">
        <f>VLOOKUP(B64,'Graph Data'!$O$2:$BX$88,23,FALSE)</f>
        <v>0</v>
      </c>
      <c r="F64" s="155">
        <f>IFERROR(E64+'Pay App 20'!F64,"")</f>
        <v>0</v>
      </c>
      <c r="G64" s="155">
        <f>SUM('Pay App 1:Pay App 20'!H64)</f>
        <v>0</v>
      </c>
      <c r="H64" s="154"/>
      <c r="I64" s="155">
        <f t="shared" si="0"/>
        <v>0</v>
      </c>
      <c r="J64" s="156">
        <f t="shared" si="1"/>
        <v>0</v>
      </c>
      <c r="K64" s="155">
        <f t="shared" si="2"/>
        <v>0</v>
      </c>
      <c r="L64" s="155" t="str">
        <f>IF(AND('Summary Sheet'!$E$23="No",$H$33&gt;0,H64&gt;=1),"",IF(AND('Summary Sheet'!$E$23="Yes",H64&lt;&gt;""),H64*'Summary Sheet'!$G$23,""))</f>
        <v/>
      </c>
      <c r="M64" s="154"/>
      <c r="N64" s="155">
        <f>SUM('Pay App 1:Pay App 21'!L64)+SUM('Pay App 1:Pay App 21'!M64)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Data'!$O$2:$BX$88,23,FALSE)</f>
        <v>0</v>
      </c>
      <c r="F65" s="155">
        <f>IFERROR(E65+'Pay App 20'!F65,"")</f>
        <v>0</v>
      </c>
      <c r="G65" s="155">
        <f>SUM('Pay App 1:Pay App 20'!H65)</f>
        <v>0</v>
      </c>
      <c r="H65" s="154"/>
      <c r="I65" s="155">
        <f t="shared" si="0"/>
        <v>0</v>
      </c>
      <c r="J65" s="156">
        <f t="shared" si="1"/>
        <v>0</v>
      </c>
      <c r="K65" s="155">
        <f t="shared" si="2"/>
        <v>0</v>
      </c>
      <c r="L65" s="155" t="str">
        <f>IF(AND('Summary Sheet'!$E$23="No",$H$33&gt;0,H65&gt;=1),"",IF(AND('Summary Sheet'!$E$23="Yes",H65&lt;&gt;""),H65*'Summary Sheet'!$G$23,""))</f>
        <v/>
      </c>
      <c r="M65" s="154"/>
      <c r="N65" s="155">
        <f>SUM('Pay App 1:Pay App 21'!L65)+SUM('Pay App 1:Pay App 21'!M65)</f>
        <v>0</v>
      </c>
    </row>
    <row r="66" spans="1:17" ht="11.25" customHeight="1" x14ac:dyDescent="0.25">
      <c r="A66" s="152">
        <v>10</v>
      </c>
      <c r="B66" s="174" t="str">
        <f>'Pay App 1'!B66</f>
        <v>01 34 00</v>
      </c>
      <c r="C66" s="179" t="str">
        <f>'Pay App 1'!C66</f>
        <v>Subcontractor Default Insurance</v>
      </c>
      <c r="D66" s="155">
        <f>'Pay App 1'!D66</f>
        <v>0</v>
      </c>
      <c r="E66" s="155">
        <f>VLOOKUP(B66,'Graph Data'!$O$2:$BX$88,23,FALSE)</f>
        <v>0</v>
      </c>
      <c r="F66" s="155">
        <f>IFERROR(E66+'Pay App 20'!F66,"")</f>
        <v>0</v>
      </c>
      <c r="G66" s="155">
        <f>SUM('Pay App 1:Pay App 20'!H66)</f>
        <v>0</v>
      </c>
      <c r="H66" s="154"/>
      <c r="I66" s="155">
        <f t="shared" si="0"/>
        <v>0</v>
      </c>
      <c r="J66" s="156">
        <f t="shared" si="1"/>
        <v>0</v>
      </c>
      <c r="K66" s="155">
        <f t="shared" si="2"/>
        <v>0</v>
      </c>
      <c r="L66" s="155" t="str">
        <f>IF(AND('Summary Sheet'!$E$23="No",$H$33&gt;0,H66&gt;=1),"",IF(AND('Summary Sheet'!$E$23="Yes",H66&lt;&gt;""),H66*'Summary Sheet'!$G$23,""))</f>
        <v/>
      </c>
      <c r="M66" s="154"/>
      <c r="N66" s="155">
        <f>SUM('Pay App 1:Pay App 21'!L66)+SUM('Pay App 1:Pay App 21'!M66)</f>
        <v>0</v>
      </c>
    </row>
    <row r="67" spans="1:17" ht="11.25" customHeight="1" x14ac:dyDescent="0.25">
      <c r="A67" s="152">
        <v>11</v>
      </c>
      <c r="B67" s="174" t="str">
        <f>'Pay App 1'!B67</f>
        <v>01 35 00</v>
      </c>
      <c r="C67" s="179" t="str">
        <f>'Pay App 1'!C67</f>
        <v>Construction Management Fee</v>
      </c>
      <c r="D67" s="155">
        <f>'Pay App 1'!D67</f>
        <v>0</v>
      </c>
      <c r="E67" s="155">
        <f>VLOOKUP(B67,'Graph Data'!$O$2:$BX$88,23,FALSE)</f>
        <v>0</v>
      </c>
      <c r="F67" s="155">
        <f>IFERROR(E67+'Pay App 20'!F67,"")</f>
        <v>0</v>
      </c>
      <c r="G67" s="155">
        <f>SUM('Pay App 1:Pay App 20'!H67)</f>
        <v>0</v>
      </c>
      <c r="H67" s="154"/>
      <c r="I67" s="155">
        <f t="shared" si="0"/>
        <v>0</v>
      </c>
      <c r="J67" s="156">
        <f t="shared" si="1"/>
        <v>0</v>
      </c>
      <c r="K67" s="155">
        <f t="shared" si="2"/>
        <v>0</v>
      </c>
      <c r="L67" s="155" t="str">
        <f>IF(AND('Summary Sheet'!$E$23="No",$H$33&gt;0,H67&gt;=1),"",IF(AND('Summary Sheet'!$E$23="Yes",H67&lt;&gt;""),H67*'Summary Sheet'!$G$23,""))</f>
        <v/>
      </c>
      <c r="M67" s="154"/>
      <c r="N67" s="155">
        <f>SUM('Pay App 1:Pay App 21'!L67)+SUM('Pay App 1:Pay App 21'!M67)</f>
        <v>0</v>
      </c>
    </row>
    <row r="68" spans="1:17" ht="11.25" customHeight="1" x14ac:dyDescent="0.25">
      <c r="A68" s="152">
        <v>12</v>
      </c>
      <c r="B68" s="174" t="str">
        <f>'Pay App 1'!B68</f>
        <v>01 36 00</v>
      </c>
      <c r="C68" s="179" t="str">
        <f>'Pay App 1'!C68</f>
        <v>Contingency</v>
      </c>
      <c r="D68" s="155">
        <f>'Pay App 1'!D68</f>
        <v>0</v>
      </c>
      <c r="E68" s="155">
        <f>VLOOKUP(B68,'Graph Data'!$O$2:$BX$88,23,FALSE)</f>
        <v>0</v>
      </c>
      <c r="F68" s="155">
        <f>IFERROR(E68+'Pay App 20'!F68,"")</f>
        <v>0</v>
      </c>
      <c r="G68" s="155">
        <f>SUM('Pay App 1:Pay App 20'!H68)</f>
        <v>0</v>
      </c>
      <c r="H68" s="154"/>
      <c r="I68" s="155">
        <f t="shared" si="0"/>
        <v>0</v>
      </c>
      <c r="J68" s="156">
        <f t="shared" si="1"/>
        <v>0</v>
      </c>
      <c r="K68" s="155">
        <f t="shared" si="2"/>
        <v>0</v>
      </c>
      <c r="L68" s="155" t="str">
        <f>IF(AND('Summary Sheet'!$E$23="No",$H$33&gt;0,H68&gt;=1),"",IF(AND('Summary Sheet'!$E$23="Yes",H68&lt;&gt;""),H68*'Summary Sheet'!$G$23,""))</f>
        <v/>
      </c>
      <c r="M68" s="154"/>
      <c r="N68" s="155">
        <f>SUM('Pay App 1:Pay App 21'!L68)+SUM('Pay App 1:Pay App 21'!M68)</f>
        <v>0</v>
      </c>
    </row>
    <row r="69" spans="1:17" ht="11.25" customHeight="1" x14ac:dyDescent="0.25">
      <c r="A69" s="152">
        <v>13</v>
      </c>
      <c r="B69" s="174" t="str">
        <f>'Pay App 1'!B69</f>
        <v>01 37 00</v>
      </c>
      <c r="C69" s="179" t="str">
        <f>'Pay App 1'!C69</f>
        <v>Weather Allowance (All Trades)</v>
      </c>
      <c r="D69" s="155">
        <f>'Pay App 1'!D69</f>
        <v>0</v>
      </c>
      <c r="E69" s="155">
        <f>VLOOKUP(B69,'Graph Data'!$O$2:$BX$88,23,FALSE)</f>
        <v>0</v>
      </c>
      <c r="F69" s="155">
        <f>IFERROR(E69+'Pay App 20'!F69,"")</f>
        <v>0</v>
      </c>
      <c r="G69" s="155">
        <f>SUM('Pay App 1:Pay App 20'!H69)</f>
        <v>0</v>
      </c>
      <c r="H69" s="154"/>
      <c r="I69" s="155">
        <f t="shared" si="0"/>
        <v>0</v>
      </c>
      <c r="J69" s="156">
        <f t="shared" si="1"/>
        <v>0</v>
      </c>
      <c r="K69" s="155">
        <f t="shared" si="2"/>
        <v>0</v>
      </c>
      <c r="L69" s="155" t="str">
        <f>IF(AND('Summary Sheet'!$E$23="No",$H$33&gt;0,H69&gt;=1),"",IF(AND('Summary Sheet'!$E$23="Yes",H69&lt;&gt;""),H69*'Summary Sheet'!$G$23,""))</f>
        <v/>
      </c>
      <c r="M69" s="154"/>
      <c r="N69" s="155">
        <f>SUM('Pay App 1:Pay App 21'!L69)+SUM('Pay App 1:Pay App 21'!M69)</f>
        <v>0</v>
      </c>
    </row>
    <row r="70" spans="1:17" ht="11.25" customHeight="1" x14ac:dyDescent="0.25">
      <c r="A70" s="152">
        <v>14</v>
      </c>
      <c r="B70" s="174" t="str">
        <f>'Pay App 1'!B70</f>
        <v>01 74 23</v>
      </c>
      <c r="C70" s="179" t="str">
        <f>'Pay App 1'!C70</f>
        <v>Cleaning (Final)</v>
      </c>
      <c r="D70" s="155">
        <f>'Pay App 1'!D70</f>
        <v>0</v>
      </c>
      <c r="E70" s="155">
        <f>VLOOKUP(B70,'Graph Data'!$O$2:$BX$88,23,FALSE)</f>
        <v>0</v>
      </c>
      <c r="F70" s="155">
        <f>IFERROR(E70+'Pay App 20'!F70,"")</f>
        <v>0</v>
      </c>
      <c r="G70" s="155">
        <f>SUM('Pay App 1:Pay App 20'!H70)</f>
        <v>0</v>
      </c>
      <c r="H70" s="154"/>
      <c r="I70" s="155">
        <f t="shared" si="0"/>
        <v>0</v>
      </c>
      <c r="J70" s="156">
        <f t="shared" si="1"/>
        <v>0</v>
      </c>
      <c r="K70" s="155">
        <f t="shared" si="2"/>
        <v>0</v>
      </c>
      <c r="L70" s="155" t="str">
        <f>IF(AND('Summary Sheet'!$E$23="No",$H$33&gt;0,H70&gt;=1),"",IF(AND('Summary Sheet'!$E$23="Yes",H70&lt;&gt;""),H70*'Summary Sheet'!$G$23,""))</f>
        <v/>
      </c>
      <c r="M70" s="154"/>
      <c r="N70" s="155">
        <f>SUM('Pay App 1:Pay App 21'!L70)+SUM('Pay App 1:Pay App 21'!M70)</f>
        <v>0</v>
      </c>
    </row>
    <row r="71" spans="1:17" ht="11.25" customHeight="1" x14ac:dyDescent="0.25">
      <c r="A71" s="152">
        <v>15</v>
      </c>
      <c r="B71" s="175" t="str">
        <f>'Pay App 1'!B71</f>
        <v>02 21 00</v>
      </c>
      <c r="C71" s="180" t="str">
        <f>'Pay App 1'!C71</f>
        <v>Survey/Engineering</v>
      </c>
      <c r="D71" s="155">
        <f>'Pay App 1'!D71</f>
        <v>0</v>
      </c>
      <c r="E71" s="155">
        <f>VLOOKUP(B71,'Graph Data'!$O$2:$BX$88,23,FALSE)</f>
        <v>0</v>
      </c>
      <c r="F71" s="155">
        <f>IFERROR(E71+'Pay App 20'!F71,"")</f>
        <v>0</v>
      </c>
      <c r="G71" s="155">
        <f>SUM('Pay App 1:Pay App 20'!H71)</f>
        <v>0</v>
      </c>
      <c r="H71" s="154"/>
      <c r="I71" s="155">
        <f t="shared" si="0"/>
        <v>0</v>
      </c>
      <c r="J71" s="156">
        <f t="shared" si="1"/>
        <v>0</v>
      </c>
      <c r="K71" s="155">
        <f t="shared" si="2"/>
        <v>0</v>
      </c>
      <c r="L71" s="155" t="str">
        <f>IF(AND('Summary Sheet'!$E$23="No",$H$33&gt;0,H71&gt;=1),"",IF(AND('Summary Sheet'!$E$23="Yes",H71&lt;&gt;""),H71*'Summary Sheet'!$G$23,""))</f>
        <v/>
      </c>
      <c r="M71" s="154"/>
      <c r="N71" s="155">
        <f>SUM('Pay App 1:Pay App 21'!L71)+SUM('Pay App 1:Pay App 21'!M71)</f>
        <v>0</v>
      </c>
      <c r="Q71" s="28"/>
    </row>
    <row r="72" spans="1:17" ht="11.25" customHeight="1" x14ac:dyDescent="0.25">
      <c r="A72" s="152">
        <v>16</v>
      </c>
      <c r="B72" s="175" t="str">
        <f>'Pay App 1'!B72</f>
        <v>02 41 00</v>
      </c>
      <c r="C72" s="180" t="str">
        <f>'Pay App 1'!C72</f>
        <v>Demolition</v>
      </c>
      <c r="D72" s="155">
        <f>'Pay App 1'!D72</f>
        <v>0</v>
      </c>
      <c r="E72" s="155">
        <f>VLOOKUP(B72,'Graph Data'!$O$2:$BX$88,23,FALSE)</f>
        <v>0</v>
      </c>
      <c r="F72" s="155">
        <f>IFERROR(E72+'Pay App 20'!F72,"")</f>
        <v>0</v>
      </c>
      <c r="G72" s="155">
        <f>SUM('Pay App 1:Pay App 20'!H72)</f>
        <v>0</v>
      </c>
      <c r="H72" s="154"/>
      <c r="I72" s="155">
        <f t="shared" si="0"/>
        <v>0</v>
      </c>
      <c r="J72" s="156">
        <f t="shared" si="1"/>
        <v>0</v>
      </c>
      <c r="K72" s="155">
        <f t="shared" si="2"/>
        <v>0</v>
      </c>
      <c r="L72" s="155" t="str">
        <f>IF(AND('Summary Sheet'!$E$23="No",$H$33&gt;0,H72&gt;=1),"",IF(AND('Summary Sheet'!$E$23="Yes",H72&lt;&gt;""),H72*'Summary Sheet'!$G$23,""))</f>
        <v/>
      </c>
      <c r="M72" s="154"/>
      <c r="N72" s="155">
        <f>SUM('Pay App 1:Pay App 21'!L72)+SUM('Pay App 1:Pay App 21'!M72)</f>
        <v>0</v>
      </c>
      <c r="Q72" s="28"/>
    </row>
    <row r="73" spans="1:17" ht="11.25" customHeight="1" x14ac:dyDescent="0.25">
      <c r="A73" s="152">
        <v>17</v>
      </c>
      <c r="B73" s="175" t="str">
        <f>'Pay App 1'!B73</f>
        <v>02 82 00</v>
      </c>
      <c r="C73" s="180" t="str">
        <f>'Pay App 1'!C73</f>
        <v>Asbestos Abatement</v>
      </c>
      <c r="D73" s="155">
        <f>'Pay App 1'!D73</f>
        <v>0</v>
      </c>
      <c r="E73" s="155">
        <f>VLOOKUP(B73,'Graph Data'!$O$2:$BX$88,23,FALSE)</f>
        <v>0</v>
      </c>
      <c r="F73" s="155">
        <f>IFERROR(E73+'Pay App 20'!F73,"")</f>
        <v>0</v>
      </c>
      <c r="G73" s="155">
        <f>SUM('Pay App 1:Pay App 20'!H73)</f>
        <v>0</v>
      </c>
      <c r="H73" s="154"/>
      <c r="I73" s="155">
        <f t="shared" si="0"/>
        <v>0</v>
      </c>
      <c r="J73" s="156">
        <f t="shared" si="1"/>
        <v>0</v>
      </c>
      <c r="K73" s="155">
        <f t="shared" si="2"/>
        <v>0</v>
      </c>
      <c r="L73" s="155" t="str">
        <f>IF(AND('Summary Sheet'!$E$23="No",$H$33&gt;0,H73&gt;=1),"",IF(AND('Summary Sheet'!$E$23="Yes",H73&lt;&gt;""),H73*'Summary Sheet'!$G$23,""))</f>
        <v/>
      </c>
      <c r="M73" s="154"/>
      <c r="N73" s="155">
        <f>SUM('Pay App 1:Pay App 21'!L73)+SUM('Pay App 1:Pay App 21'!M73)</f>
        <v>0</v>
      </c>
    </row>
    <row r="74" spans="1:17" ht="11.25" customHeight="1" x14ac:dyDescent="0.25">
      <c r="A74" s="152">
        <v>18</v>
      </c>
      <c r="B74" s="176" t="str">
        <f>'Pay App 1'!B74</f>
        <v>03 00 00</v>
      </c>
      <c r="C74" s="181" t="str">
        <f>'Pay App 1'!C74</f>
        <v>Building Concrete</v>
      </c>
      <c r="D74" s="155">
        <f>'Pay App 1'!D74</f>
        <v>0</v>
      </c>
      <c r="E74" s="155">
        <f>VLOOKUP(B74,'Graph Data'!$O$2:$BX$88,23,FALSE)</f>
        <v>0</v>
      </c>
      <c r="F74" s="155">
        <f>IFERROR(E74+'Pay App 20'!F74,"")</f>
        <v>0</v>
      </c>
      <c r="G74" s="155">
        <f>SUM('Pay App 1:Pay App 20'!H74)</f>
        <v>0</v>
      </c>
      <c r="H74" s="154"/>
      <c r="I74" s="155">
        <f t="shared" si="0"/>
        <v>0</v>
      </c>
      <c r="J74" s="156">
        <f t="shared" si="1"/>
        <v>0</v>
      </c>
      <c r="K74" s="155">
        <f t="shared" si="2"/>
        <v>0</v>
      </c>
      <c r="L74" s="155" t="str">
        <f>IF(AND('Summary Sheet'!$E$23="No",$H$33&gt;0,H74&gt;=1),"",IF(AND('Summary Sheet'!$E$23="Yes",H74&lt;&gt;""),H74*'Summary Sheet'!$G$23,""))</f>
        <v/>
      </c>
      <c r="M74" s="154"/>
      <c r="N74" s="155">
        <f>SUM('Pay App 1:Pay App 21'!L74)+SUM('Pay App 1:Pay App 21'!M74)</f>
        <v>0</v>
      </c>
    </row>
    <row r="75" spans="1:17" ht="11.25" customHeight="1" x14ac:dyDescent="0.25">
      <c r="A75" s="152">
        <v>19</v>
      </c>
      <c r="B75" s="176" t="str">
        <f>'Pay App 1'!B75</f>
        <v>03 20 00</v>
      </c>
      <c r="C75" s="181" t="str">
        <f>'Pay App 1'!C75</f>
        <v>Building Concrete Reinforcing</v>
      </c>
      <c r="D75" s="155">
        <f>'Pay App 1'!D75</f>
        <v>0</v>
      </c>
      <c r="E75" s="155">
        <f>VLOOKUP(B75,'Graph Data'!$O$2:$BX$88,23,FALSE)</f>
        <v>0</v>
      </c>
      <c r="F75" s="155">
        <f>IFERROR(E75+'Pay App 20'!F75,"")</f>
        <v>0</v>
      </c>
      <c r="G75" s="155">
        <f>SUM('Pay App 1:Pay App 20'!H75)</f>
        <v>0</v>
      </c>
      <c r="H75" s="154"/>
      <c r="I75" s="155">
        <f t="shared" si="0"/>
        <v>0</v>
      </c>
      <c r="J75" s="156">
        <f t="shared" si="1"/>
        <v>0</v>
      </c>
      <c r="K75" s="155">
        <f t="shared" si="2"/>
        <v>0</v>
      </c>
      <c r="L75" s="155" t="str">
        <f>IF(AND('Summary Sheet'!$E$23="No",$H$33&gt;0,H75&gt;=1),"",IF(AND('Summary Sheet'!$E$23="Yes",H75&lt;&gt;""),H75*'Summary Sheet'!$G$23,""))</f>
        <v/>
      </c>
      <c r="M75" s="154"/>
      <c r="N75" s="155">
        <f>SUM('Pay App 1:Pay App 21'!L75)+SUM('Pay App 1:Pay App 21'!M75)</f>
        <v>0</v>
      </c>
    </row>
    <row r="76" spans="1:17" ht="11.25" customHeight="1" x14ac:dyDescent="0.25">
      <c r="A76" s="152">
        <v>20</v>
      </c>
      <c r="B76" s="176" t="str">
        <f>'Pay App 1'!B76</f>
        <v>03 40 00</v>
      </c>
      <c r="C76" s="181" t="str">
        <f>'Pay App 1'!C76</f>
        <v>Precast</v>
      </c>
      <c r="D76" s="155">
        <f>'Pay App 1'!D76</f>
        <v>0</v>
      </c>
      <c r="E76" s="155">
        <f>VLOOKUP(B76,'Graph Data'!$O$2:$BX$88,23,FALSE)</f>
        <v>0</v>
      </c>
      <c r="F76" s="155">
        <f>IFERROR(E76+'Pay App 20'!F76,"")</f>
        <v>0</v>
      </c>
      <c r="G76" s="155">
        <f>SUM('Pay App 1:Pay App 20'!H76)</f>
        <v>0</v>
      </c>
      <c r="H76" s="154"/>
      <c r="I76" s="155">
        <f t="shared" si="0"/>
        <v>0</v>
      </c>
      <c r="J76" s="156">
        <f t="shared" si="1"/>
        <v>0</v>
      </c>
      <c r="K76" s="155">
        <f t="shared" si="2"/>
        <v>0</v>
      </c>
      <c r="L76" s="155" t="str">
        <f>IF(AND('Summary Sheet'!$E$23="No",$H$33&gt;0,H76&gt;=1),"",IF(AND('Summary Sheet'!$E$23="Yes",H76&lt;&gt;""),H76*'Summary Sheet'!$G$23,""))</f>
        <v/>
      </c>
      <c r="M76" s="154"/>
      <c r="N76" s="155">
        <f>SUM('Pay App 1:Pay App 21'!L76)+SUM('Pay App 1:Pay App 21'!M76)</f>
        <v>0</v>
      </c>
    </row>
    <row r="77" spans="1:17" ht="11.25" customHeight="1" x14ac:dyDescent="0.25">
      <c r="A77" s="152">
        <v>21</v>
      </c>
      <c r="B77" s="177" t="str">
        <f>'Pay App 1'!B77</f>
        <v>04 00 00</v>
      </c>
      <c r="C77" s="182" t="str">
        <f>'Pay App 1'!C77</f>
        <v>Masonry</v>
      </c>
      <c r="D77" s="155">
        <f>'Pay App 1'!D77</f>
        <v>0</v>
      </c>
      <c r="E77" s="155">
        <f>VLOOKUP(B77,'Graph Data'!$O$2:$BX$88,23,FALSE)</f>
        <v>0</v>
      </c>
      <c r="F77" s="155">
        <f>IFERROR(E77+'Pay App 20'!F77,"")</f>
        <v>0</v>
      </c>
      <c r="G77" s="155">
        <f>SUM('Pay App 1:Pay App 20'!H77)</f>
        <v>0</v>
      </c>
      <c r="H77" s="154"/>
      <c r="I77" s="155">
        <f t="shared" si="0"/>
        <v>0</v>
      </c>
      <c r="J77" s="156">
        <f t="shared" si="1"/>
        <v>0</v>
      </c>
      <c r="K77" s="155">
        <f t="shared" si="2"/>
        <v>0</v>
      </c>
      <c r="L77" s="155" t="str">
        <f>IF(AND('Summary Sheet'!$E$23="No",$H$33&gt;0,H77&gt;=1),"",IF(AND('Summary Sheet'!$E$23="Yes",H77&lt;&gt;""),H77*'Summary Sheet'!$G$23,""))</f>
        <v/>
      </c>
      <c r="M77" s="154"/>
      <c r="N77" s="155">
        <f>SUM('Pay App 1:Pay App 21'!L77)+SUM('Pay App 1:Pay App 21'!M77)</f>
        <v>0</v>
      </c>
    </row>
    <row r="78" spans="1:17" ht="11.25" customHeight="1" x14ac:dyDescent="0.25">
      <c r="A78" s="152">
        <v>22</v>
      </c>
      <c r="B78" s="177" t="str">
        <f>'Pay App 1'!B78</f>
        <v>04 05 19</v>
      </c>
      <c r="C78" s="182" t="str">
        <f>'Pay App 1'!C78</f>
        <v>Masonry Reinforcing</v>
      </c>
      <c r="D78" s="155">
        <f>'Pay App 1'!D78</f>
        <v>0</v>
      </c>
      <c r="E78" s="155">
        <f>VLOOKUP(B78,'Graph Data'!$O$2:$BX$88,23,FALSE)</f>
        <v>0</v>
      </c>
      <c r="F78" s="155">
        <f>IFERROR(E78+'Pay App 20'!F78,"")</f>
        <v>0</v>
      </c>
      <c r="G78" s="155">
        <f>SUM('Pay App 1:Pay App 20'!H78)</f>
        <v>0</v>
      </c>
      <c r="H78" s="154"/>
      <c r="I78" s="155">
        <f t="shared" si="0"/>
        <v>0</v>
      </c>
      <c r="J78" s="156">
        <f t="shared" si="1"/>
        <v>0</v>
      </c>
      <c r="K78" s="155">
        <f t="shared" si="2"/>
        <v>0</v>
      </c>
      <c r="L78" s="155" t="str">
        <f>IF(AND('Summary Sheet'!$E$23="No",$H$33&gt;0,H78&gt;=1),"",IF(AND('Summary Sheet'!$E$23="Yes",H78&lt;&gt;""),H78*'Summary Sheet'!$G$23,""))</f>
        <v/>
      </c>
      <c r="M78" s="154"/>
      <c r="N78" s="155">
        <f>SUM('Pay App 1:Pay App 21'!L78)+SUM('Pay App 1:Pay App 21'!M78)</f>
        <v>0</v>
      </c>
    </row>
    <row r="79" spans="1:17" ht="11.25" customHeight="1" x14ac:dyDescent="0.25">
      <c r="A79" s="152">
        <v>23</v>
      </c>
      <c r="B79" s="178" t="str">
        <f>'Pay App 1'!B79</f>
        <v>05 10 00</v>
      </c>
      <c r="C79" s="183" t="str">
        <f>'Pay App 1'!C79</f>
        <v>Structural Steel/Misc. Steel Fab</v>
      </c>
      <c r="D79" s="155">
        <f>'Pay App 1'!D79</f>
        <v>0</v>
      </c>
      <c r="E79" s="155">
        <f>VLOOKUP(B79,'Graph Data'!$O$2:$BX$88,23,FALSE)</f>
        <v>0</v>
      </c>
      <c r="F79" s="155">
        <f>IFERROR(E79+'Pay App 20'!F79,"")</f>
        <v>0</v>
      </c>
      <c r="G79" s="155">
        <f>SUM('Pay App 1:Pay App 20'!H79)</f>
        <v>0</v>
      </c>
      <c r="H79" s="154"/>
      <c r="I79" s="155">
        <f t="shared" si="0"/>
        <v>0</v>
      </c>
      <c r="J79" s="156">
        <f t="shared" si="1"/>
        <v>0</v>
      </c>
      <c r="K79" s="155">
        <f t="shared" si="2"/>
        <v>0</v>
      </c>
      <c r="L79" s="155" t="str">
        <f>IF(AND('Summary Sheet'!$E$23="No",$H$33&gt;0,H79&gt;=1),"",IF(AND('Summary Sheet'!$E$23="Yes",H79&lt;&gt;""),H79*'Summary Sheet'!$G$23,""))</f>
        <v/>
      </c>
      <c r="M79" s="154"/>
      <c r="N79" s="155">
        <f>SUM('Pay App 1:Pay App 21'!L79)+SUM('Pay App 1:Pay App 21'!M79)</f>
        <v>0</v>
      </c>
    </row>
    <row r="80" spans="1:17" ht="11.25" customHeight="1" x14ac:dyDescent="0.25">
      <c r="A80" s="152">
        <v>24</v>
      </c>
      <c r="B80" s="178" t="str">
        <f>'Pay App 1'!B80</f>
        <v>05 20 00</v>
      </c>
      <c r="C80" s="183" t="str">
        <f>'Pay App 1'!C80</f>
        <v>Joists &amp; Deck</v>
      </c>
      <c r="D80" s="155">
        <f>'Pay App 1'!D80</f>
        <v>0</v>
      </c>
      <c r="E80" s="155">
        <f>VLOOKUP(B80,'Graph Data'!$O$2:$BX$88,23,FALSE)</f>
        <v>0</v>
      </c>
      <c r="F80" s="155">
        <f>IFERROR(E80+'Pay App 20'!F80,"")</f>
        <v>0</v>
      </c>
      <c r="G80" s="155">
        <f>SUM('Pay App 1:Pay App 20'!H80)</f>
        <v>0</v>
      </c>
      <c r="H80" s="154"/>
      <c r="I80" s="155">
        <f t="shared" si="0"/>
        <v>0</v>
      </c>
      <c r="J80" s="156">
        <f t="shared" si="1"/>
        <v>0</v>
      </c>
      <c r="K80" s="155">
        <f t="shared" si="2"/>
        <v>0</v>
      </c>
      <c r="L80" s="155" t="str">
        <f>IF(AND('Summary Sheet'!$E$23="No",$H$33&gt;0,H80&gt;=1),"",IF(AND('Summary Sheet'!$E$23="Yes",H80&lt;&gt;""),H80*'Summary Sheet'!$G$23,""))</f>
        <v/>
      </c>
      <c r="M80" s="154"/>
      <c r="N80" s="155">
        <f>SUM('Pay App 1:Pay App 21'!L80)+SUM('Pay App 1:Pay App 21'!M80)</f>
        <v>0</v>
      </c>
    </row>
    <row r="81" spans="1:14" ht="11.25" customHeight="1" x14ac:dyDescent="0.25">
      <c r="A81" s="152">
        <v>25</v>
      </c>
      <c r="B81" s="178" t="str">
        <f>'Pay App 1'!B81</f>
        <v>05 70 00</v>
      </c>
      <c r="C81" s="183" t="str">
        <f>'Pay App 1'!C81</f>
        <v>Ornamental Metal</v>
      </c>
      <c r="D81" s="155">
        <f>'Pay App 1'!D81</f>
        <v>0</v>
      </c>
      <c r="E81" s="155">
        <f>VLOOKUP(B81,'Graph Data'!$O$2:$BX$88,23,FALSE)</f>
        <v>0</v>
      </c>
      <c r="F81" s="155">
        <f>IFERROR(E81+'Pay App 20'!F81,"")</f>
        <v>0</v>
      </c>
      <c r="G81" s="155">
        <f>SUM('Pay App 1:Pay App 20'!H81)</f>
        <v>0</v>
      </c>
      <c r="H81" s="154"/>
      <c r="I81" s="155">
        <f t="shared" si="0"/>
        <v>0</v>
      </c>
      <c r="J81" s="156">
        <f t="shared" si="1"/>
        <v>0</v>
      </c>
      <c r="K81" s="155">
        <f t="shared" si="2"/>
        <v>0</v>
      </c>
      <c r="L81" s="155" t="str">
        <f>IF(AND('Summary Sheet'!$E$23="No",$H$33&gt;0,H81&gt;=1),"",IF(AND('Summary Sheet'!$E$23="Yes",H81&lt;&gt;""),H81*'Summary Sheet'!$G$23,""))</f>
        <v/>
      </c>
      <c r="M81" s="154"/>
      <c r="N81" s="155">
        <f>SUM('Pay App 1:Pay App 21'!L81)+SUM('Pay App 1:Pay App 21'!M81)</f>
        <v>0</v>
      </c>
    </row>
    <row r="82" spans="1:14" ht="11.25" customHeight="1" x14ac:dyDescent="0.25">
      <c r="A82" s="152">
        <v>26</v>
      </c>
      <c r="B82" s="145" t="str">
        <f>'Pay App 1'!B82</f>
        <v>06 10 00</v>
      </c>
      <c r="C82" s="134" t="str">
        <f>'Pay App 1'!C82</f>
        <v>Rough Carpentry</v>
      </c>
      <c r="D82" s="155">
        <f>'Pay App 1'!D82</f>
        <v>0</v>
      </c>
      <c r="E82" s="155">
        <f>VLOOKUP(B82,'Graph Data'!$O$2:$BX$88,23,FALSE)</f>
        <v>0</v>
      </c>
      <c r="F82" s="155">
        <f>IFERROR(E82+'Pay App 20'!F82,"")</f>
        <v>0</v>
      </c>
      <c r="G82" s="155">
        <f>SUM('Pay App 1:Pay App 20'!H82)</f>
        <v>0</v>
      </c>
      <c r="H82" s="154"/>
      <c r="I82" s="155">
        <f t="shared" si="0"/>
        <v>0</v>
      </c>
      <c r="J82" s="156">
        <f t="shared" si="1"/>
        <v>0</v>
      </c>
      <c r="K82" s="155">
        <f t="shared" si="2"/>
        <v>0</v>
      </c>
      <c r="L82" s="155" t="str">
        <f>IF(AND('Summary Sheet'!$E$23="No",$H$33&gt;0,H82&gt;=1),"",IF(AND('Summary Sheet'!$E$23="Yes",H82&lt;&gt;""),H82*'Summary Sheet'!$G$23,""))</f>
        <v/>
      </c>
      <c r="M82" s="154"/>
      <c r="N82" s="155">
        <f>SUM('Pay App 1:Pay App 21'!L82)+SUM('Pay App 1:Pay App 21'!M82)</f>
        <v>0</v>
      </c>
    </row>
    <row r="83" spans="1:14" ht="11.25" customHeight="1" x14ac:dyDescent="0.25">
      <c r="A83" s="152">
        <v>27</v>
      </c>
      <c r="B83" s="145" t="str">
        <f>'Pay App 1'!B83</f>
        <v>06 40 00</v>
      </c>
      <c r="C83" s="134" t="str">
        <f>'Pay App 1'!C83</f>
        <v>Arch. Woodwork &amp; Finish Carp.</v>
      </c>
      <c r="D83" s="155">
        <f>'Pay App 1'!D83</f>
        <v>0</v>
      </c>
      <c r="E83" s="155">
        <f>VLOOKUP(B83,'Graph Data'!$O$2:$BX$88,23,FALSE)</f>
        <v>0</v>
      </c>
      <c r="F83" s="155">
        <f>IFERROR(E83+'Pay App 20'!F83,"")</f>
        <v>0</v>
      </c>
      <c r="G83" s="155">
        <f>SUM('Pay App 1:Pay App 20'!H83)</f>
        <v>0</v>
      </c>
      <c r="H83" s="154"/>
      <c r="I83" s="155">
        <f t="shared" si="0"/>
        <v>0</v>
      </c>
      <c r="J83" s="156">
        <f t="shared" si="1"/>
        <v>0</v>
      </c>
      <c r="K83" s="155">
        <f t="shared" si="2"/>
        <v>0</v>
      </c>
      <c r="L83" s="155" t="str">
        <f>IF(AND('Summary Sheet'!$E$23="No",$H$33&gt;0,H83&gt;=1),"",IF(AND('Summary Sheet'!$E$23="Yes",H83&lt;&gt;""),H83*'Summary Sheet'!$G$23,""))</f>
        <v/>
      </c>
      <c r="M83" s="154"/>
      <c r="N83" s="155">
        <f>SUM('Pay App 1:Pay App 21'!L83)+SUM('Pay App 1:Pay App 21'!M83)</f>
        <v>0</v>
      </c>
    </row>
    <row r="84" spans="1:14" ht="11.25" customHeight="1" x14ac:dyDescent="0.25">
      <c r="A84" s="152">
        <v>28</v>
      </c>
      <c r="B84" s="174" t="str">
        <f>'Pay App 1'!B84</f>
        <v>07 10 00</v>
      </c>
      <c r="C84" s="179" t="str">
        <f>'Pay App 1'!C84</f>
        <v>Waterproofing/Water Repellents</v>
      </c>
      <c r="D84" s="155">
        <f>'Pay App 1'!D84</f>
        <v>0</v>
      </c>
      <c r="E84" s="155">
        <f>VLOOKUP(B84,'Graph Data'!$O$2:$BX$88,23,FALSE)</f>
        <v>0</v>
      </c>
      <c r="F84" s="155">
        <f>IFERROR(E84+'Pay App 20'!F84,"")</f>
        <v>0</v>
      </c>
      <c r="G84" s="155">
        <f>SUM('Pay App 1:Pay App 20'!H84)</f>
        <v>0</v>
      </c>
      <c r="H84" s="154"/>
      <c r="I84" s="155">
        <f t="shared" si="0"/>
        <v>0</v>
      </c>
      <c r="J84" s="156">
        <f t="shared" si="1"/>
        <v>0</v>
      </c>
      <c r="K84" s="155">
        <f t="shared" si="2"/>
        <v>0</v>
      </c>
      <c r="L84" s="155" t="str">
        <f>IF(AND('Summary Sheet'!$E$23="No",$H$33&gt;0,H84&gt;=1),"",IF(AND('Summary Sheet'!$E$23="Yes",H84&lt;&gt;""),H84*'Summary Sheet'!$G$23,""))</f>
        <v/>
      </c>
      <c r="M84" s="154"/>
      <c r="N84" s="155">
        <f>SUM('Pay App 1:Pay App 21'!L84)+SUM('Pay App 1:Pay App 21'!M84)</f>
        <v>0</v>
      </c>
    </row>
    <row r="85" spans="1:14" ht="11.25" customHeight="1" x14ac:dyDescent="0.25">
      <c r="A85" s="152">
        <v>29</v>
      </c>
      <c r="B85" s="174" t="str">
        <f>'Pay App 1'!B85</f>
        <v>07 20 00</v>
      </c>
      <c r="C85" s="179" t="str">
        <f>'Pay App 1'!C85</f>
        <v>Insulation</v>
      </c>
      <c r="D85" s="155">
        <f>'Pay App 1'!D85</f>
        <v>0</v>
      </c>
      <c r="E85" s="155">
        <f>VLOOKUP(B85,'Graph Data'!$O$2:$BX$88,23,FALSE)</f>
        <v>0</v>
      </c>
      <c r="F85" s="155">
        <f>IFERROR(E85+'Pay App 20'!F85,"")</f>
        <v>0</v>
      </c>
      <c r="G85" s="155">
        <f>SUM('Pay App 1:Pay App 20'!H85)</f>
        <v>0</v>
      </c>
      <c r="H85" s="154"/>
      <c r="I85" s="155">
        <f t="shared" si="0"/>
        <v>0</v>
      </c>
      <c r="J85" s="156">
        <f t="shared" si="1"/>
        <v>0</v>
      </c>
      <c r="K85" s="155">
        <f t="shared" si="2"/>
        <v>0</v>
      </c>
      <c r="L85" s="155" t="str">
        <f>IF(AND('Summary Sheet'!$E$23="No",$H$33&gt;0,H85&gt;=1),"",IF(AND('Summary Sheet'!$E$23="Yes",H85&lt;&gt;""),H85*'Summary Sheet'!$G$23,""))</f>
        <v/>
      </c>
      <c r="M85" s="154"/>
      <c r="N85" s="155">
        <f>SUM('Pay App 1:Pay App 21'!L85)+SUM('Pay App 1:Pay App 21'!M85)</f>
        <v>0</v>
      </c>
    </row>
    <row r="86" spans="1:14" ht="11.25" customHeight="1" x14ac:dyDescent="0.25">
      <c r="A86" s="152">
        <v>30</v>
      </c>
      <c r="B86" s="174" t="str">
        <f>'Pay App 1'!B86</f>
        <v>07 24 00</v>
      </c>
      <c r="C86" s="179" t="str">
        <f>'Pay App 1'!C86</f>
        <v>EIFS</v>
      </c>
      <c r="D86" s="155">
        <f>'Pay App 1'!D86</f>
        <v>0</v>
      </c>
      <c r="E86" s="155">
        <f>VLOOKUP(B86,'Graph Data'!$O$2:$BX$88,23,FALSE)</f>
        <v>0</v>
      </c>
      <c r="F86" s="155">
        <f>IFERROR(E86+'Pay App 20'!F86,"")</f>
        <v>0</v>
      </c>
      <c r="G86" s="155">
        <f>SUM('Pay App 1:Pay App 20'!H86)</f>
        <v>0</v>
      </c>
      <c r="H86" s="154"/>
      <c r="I86" s="155">
        <f t="shared" si="0"/>
        <v>0</v>
      </c>
      <c r="J86" s="156">
        <f t="shared" si="1"/>
        <v>0</v>
      </c>
      <c r="K86" s="155">
        <f t="shared" si="2"/>
        <v>0</v>
      </c>
      <c r="L86" s="155" t="str">
        <f>IF(AND('Summary Sheet'!$E$23="No",$H$33&gt;0,H86&gt;=1),"",IF(AND('Summary Sheet'!$E$23="Yes",H86&lt;&gt;""),H86*'Summary Sheet'!$G$23,""))</f>
        <v/>
      </c>
      <c r="M86" s="154"/>
      <c r="N86" s="155">
        <f>SUM('Pay App 1:Pay App 21'!L86)+SUM('Pay App 1:Pay App 21'!M86)</f>
        <v>0</v>
      </c>
    </row>
    <row r="87" spans="1:14" ht="11.25" customHeight="1" x14ac:dyDescent="0.25">
      <c r="A87" s="152">
        <v>31</v>
      </c>
      <c r="B87" s="174" t="str">
        <f>'Pay App 1'!B87</f>
        <v>07 26 00</v>
      </c>
      <c r="C87" s="179" t="str">
        <f>'Pay App 1'!C87</f>
        <v>Vapor Retarders</v>
      </c>
      <c r="D87" s="155">
        <f>'Pay App 1'!D87</f>
        <v>0</v>
      </c>
      <c r="E87" s="155">
        <f>VLOOKUP(B87,'Graph Data'!$O$2:$BX$88,23,FALSE)</f>
        <v>0</v>
      </c>
      <c r="F87" s="155">
        <f>IFERROR(E87+'Pay App 20'!F87,"")</f>
        <v>0</v>
      </c>
      <c r="G87" s="155">
        <f>SUM('Pay App 1:Pay App 20'!H87)</f>
        <v>0</v>
      </c>
      <c r="H87" s="154"/>
      <c r="I87" s="155">
        <f t="shared" si="0"/>
        <v>0</v>
      </c>
      <c r="J87" s="156">
        <f t="shared" si="1"/>
        <v>0</v>
      </c>
      <c r="K87" s="155">
        <f t="shared" si="2"/>
        <v>0</v>
      </c>
      <c r="L87" s="155" t="str">
        <f>IF(AND('Summary Sheet'!$E$23="No",$H$33&gt;0,H87&gt;=1),"",IF(AND('Summary Sheet'!$E$23="Yes",H87&lt;&gt;""),H87*'Summary Sheet'!$G$23,""))</f>
        <v/>
      </c>
      <c r="M87" s="154"/>
      <c r="N87" s="155">
        <f>SUM('Pay App 1:Pay App 21'!L87)+SUM('Pay App 1:Pay App 21'!M87)</f>
        <v>0</v>
      </c>
    </row>
    <row r="88" spans="1:14" ht="11.25" customHeight="1" x14ac:dyDescent="0.25">
      <c r="A88" s="152">
        <v>32</v>
      </c>
      <c r="B88" s="174" t="str">
        <f>'Pay App 1'!B88</f>
        <v>07 41 00</v>
      </c>
      <c r="C88" s="179" t="str">
        <f>'Pay App 1'!C88</f>
        <v>Roofing</v>
      </c>
      <c r="D88" s="155">
        <f>'Pay App 1'!D88</f>
        <v>0</v>
      </c>
      <c r="E88" s="155">
        <f>VLOOKUP(B88,'Graph Data'!$O$2:$BX$88,23,FALSE)</f>
        <v>0</v>
      </c>
      <c r="F88" s="155">
        <f>IFERROR(E88+'Pay App 20'!F88,"")</f>
        <v>0</v>
      </c>
      <c r="G88" s="155">
        <f>SUM('Pay App 1:Pay App 20'!H88)</f>
        <v>0</v>
      </c>
      <c r="H88" s="154"/>
      <c r="I88" s="155">
        <f t="shared" si="0"/>
        <v>0</v>
      </c>
      <c r="J88" s="156">
        <f t="shared" si="1"/>
        <v>0</v>
      </c>
      <c r="K88" s="155">
        <f t="shared" si="2"/>
        <v>0</v>
      </c>
      <c r="L88" s="155" t="str">
        <f>IF(AND('Summary Sheet'!$E$23="No",$H$33&gt;0,H88&gt;=1),"",IF(AND('Summary Sheet'!$E$23="Yes",H88&lt;&gt;""),H88*'Summary Sheet'!$G$23,""))</f>
        <v/>
      </c>
      <c r="M88" s="154"/>
      <c r="N88" s="155">
        <f>SUM('Pay App 1:Pay App 21'!L88)+SUM('Pay App 1:Pay App 21'!M88)</f>
        <v>0</v>
      </c>
    </row>
    <row r="89" spans="1:14" ht="11.25" customHeight="1" x14ac:dyDescent="0.25">
      <c r="A89" s="152">
        <v>33</v>
      </c>
      <c r="B89" s="174" t="str">
        <f>'Pay App 1'!B89</f>
        <v>07 42 00</v>
      </c>
      <c r="C89" s="179" t="str">
        <f>'Pay App 1'!C89</f>
        <v>Metal Panels</v>
      </c>
      <c r="D89" s="155">
        <f>'Pay App 1'!D89</f>
        <v>0</v>
      </c>
      <c r="E89" s="155">
        <f>VLOOKUP(B89,'Graph Data'!$O$2:$BX$88,23,FALSE)</f>
        <v>0</v>
      </c>
      <c r="F89" s="155">
        <f>IFERROR(E89+'Pay App 20'!F89,"")</f>
        <v>0</v>
      </c>
      <c r="G89" s="155">
        <f>SUM('Pay App 1:Pay App 20'!H89)</f>
        <v>0</v>
      </c>
      <c r="H89" s="154"/>
      <c r="I89" s="155">
        <f t="shared" si="0"/>
        <v>0</v>
      </c>
      <c r="J89" s="156">
        <f t="shared" si="1"/>
        <v>0</v>
      </c>
      <c r="K89" s="155">
        <f t="shared" si="2"/>
        <v>0</v>
      </c>
      <c r="L89" s="155" t="str">
        <f>IF(AND('Summary Sheet'!$E$23="No",$H$33&gt;0,H89&gt;=1),"",IF(AND('Summary Sheet'!$E$23="Yes",H89&lt;&gt;""),H89*'Summary Sheet'!$G$23,""))</f>
        <v/>
      </c>
      <c r="M89" s="154"/>
      <c r="N89" s="155">
        <f>SUM('Pay App 1:Pay App 21'!L89)+SUM('Pay App 1:Pay App 21'!M89)</f>
        <v>0</v>
      </c>
    </row>
    <row r="90" spans="1:14" ht="11.25" customHeight="1" x14ac:dyDescent="0.25">
      <c r="A90" s="152">
        <v>34</v>
      </c>
      <c r="B90" s="174" t="str">
        <f>'Pay App 1'!B90</f>
        <v>07 60 00</v>
      </c>
      <c r="C90" s="179" t="str">
        <f>'Pay App 1'!C90</f>
        <v>Sheet Metal Flashing &amp; Trim</v>
      </c>
      <c r="D90" s="155">
        <f>'Pay App 1'!D90</f>
        <v>0</v>
      </c>
      <c r="E90" s="155">
        <f>VLOOKUP(B90,'Graph Data'!$O$2:$BX$88,23,FALSE)</f>
        <v>0</v>
      </c>
      <c r="F90" s="155">
        <f>IFERROR(E90+'Pay App 20'!F90,"")</f>
        <v>0</v>
      </c>
      <c r="G90" s="155">
        <f>SUM('Pay App 1:Pay App 20'!H90)</f>
        <v>0</v>
      </c>
      <c r="H90" s="154"/>
      <c r="I90" s="155">
        <f t="shared" si="0"/>
        <v>0</v>
      </c>
      <c r="J90" s="156">
        <f t="shared" si="1"/>
        <v>0</v>
      </c>
      <c r="K90" s="155">
        <f t="shared" si="2"/>
        <v>0</v>
      </c>
      <c r="L90" s="155" t="str">
        <f>IF(AND('Summary Sheet'!$E$23="No",$H$33&gt;0,H90&gt;=1),"",IF(AND('Summary Sheet'!$E$23="Yes",H90&lt;&gt;""),H90*'Summary Sheet'!$G$23,""))</f>
        <v/>
      </c>
      <c r="M90" s="154"/>
      <c r="N90" s="155">
        <f>SUM('Pay App 1:Pay App 21'!L90)+SUM('Pay App 1:Pay App 21'!M90)</f>
        <v>0</v>
      </c>
    </row>
    <row r="91" spans="1:14" ht="11.25" customHeight="1" x14ac:dyDescent="0.25">
      <c r="A91" s="152">
        <v>35</v>
      </c>
      <c r="B91" s="174" t="str">
        <f>'Pay App 1'!B91</f>
        <v>07 80 00</v>
      </c>
      <c r="C91" s="179" t="str">
        <f>'Pay App 1'!C91</f>
        <v>Fireproofing</v>
      </c>
      <c r="D91" s="155">
        <f>'Pay App 1'!D91</f>
        <v>0</v>
      </c>
      <c r="E91" s="155">
        <f>VLOOKUP(B91,'Graph Data'!$O$2:$BX$88,23,FALSE)</f>
        <v>0</v>
      </c>
      <c r="F91" s="155">
        <f>IFERROR(E91+'Pay App 20'!F91,"")</f>
        <v>0</v>
      </c>
      <c r="G91" s="155">
        <f>SUM('Pay App 1:Pay App 20'!H91)</f>
        <v>0</v>
      </c>
      <c r="H91" s="154"/>
      <c r="I91" s="155">
        <f t="shared" si="0"/>
        <v>0</v>
      </c>
      <c r="J91" s="156">
        <f t="shared" si="1"/>
        <v>0</v>
      </c>
      <c r="K91" s="155">
        <f t="shared" si="2"/>
        <v>0</v>
      </c>
      <c r="L91" s="155" t="str">
        <f>IF(AND('Summary Sheet'!$E$23="No",$H$33&gt;0,H91&gt;=1),"",IF(AND('Summary Sheet'!$E$23="Yes",H91&lt;&gt;""),H91*'Summary Sheet'!$G$23,""))</f>
        <v/>
      </c>
      <c r="M91" s="154"/>
      <c r="N91" s="155">
        <f>SUM('Pay App 1:Pay App 21'!L91)+SUM('Pay App 1:Pay App 21'!M91)</f>
        <v>0</v>
      </c>
    </row>
    <row r="92" spans="1:14" ht="11.25" customHeight="1" x14ac:dyDescent="0.25">
      <c r="A92" s="152">
        <v>36</v>
      </c>
      <c r="B92" s="174" t="str">
        <f>'Pay App 1'!B92</f>
        <v>07 90 00</v>
      </c>
      <c r="C92" s="179" t="str">
        <f>'Pay App 1'!C92</f>
        <v>Joint Sealants</v>
      </c>
      <c r="D92" s="155">
        <f>'Pay App 1'!D92</f>
        <v>0</v>
      </c>
      <c r="E92" s="155">
        <f>VLOOKUP(B92,'Graph Data'!$O$2:$BX$88,23,FALSE)</f>
        <v>0</v>
      </c>
      <c r="F92" s="155">
        <f>IFERROR(E92+'Pay App 20'!F92,"")</f>
        <v>0</v>
      </c>
      <c r="G92" s="155">
        <f>SUM('Pay App 1:Pay App 20'!H92)</f>
        <v>0</v>
      </c>
      <c r="H92" s="154"/>
      <c r="I92" s="155">
        <f t="shared" si="0"/>
        <v>0</v>
      </c>
      <c r="J92" s="156">
        <f t="shared" si="1"/>
        <v>0</v>
      </c>
      <c r="K92" s="155">
        <f t="shared" si="2"/>
        <v>0</v>
      </c>
      <c r="L92" s="155" t="str">
        <f>IF(AND('Summary Sheet'!$E$23="No",$H$33&gt;0,H92&gt;=1),"",IF(AND('Summary Sheet'!$E$23="Yes",H92&lt;&gt;""),H92*'Summary Sheet'!$G$23,""))</f>
        <v/>
      </c>
      <c r="M92" s="154"/>
      <c r="N92" s="155">
        <f>SUM('Pay App 1:Pay App 21'!L92)+SUM('Pay App 1:Pay App 21'!M92)</f>
        <v>0</v>
      </c>
    </row>
    <row r="93" spans="1:14" ht="11.25" customHeight="1" x14ac:dyDescent="0.25">
      <c r="A93" s="152">
        <v>37</v>
      </c>
      <c r="B93" s="174" t="str">
        <f>'Pay App 1'!B93</f>
        <v>07 95 00</v>
      </c>
      <c r="C93" s="179" t="str">
        <f>'Pay App 1'!C93</f>
        <v>Expansion Joints</v>
      </c>
      <c r="D93" s="155">
        <f>'Pay App 1'!D93</f>
        <v>0</v>
      </c>
      <c r="E93" s="155">
        <f>VLOOKUP(B93,'Graph Data'!$O$2:$BX$88,23,FALSE)</f>
        <v>0</v>
      </c>
      <c r="F93" s="155">
        <f>IFERROR(E93+'Pay App 20'!F93,"")</f>
        <v>0</v>
      </c>
      <c r="G93" s="155">
        <f>SUM('Pay App 1:Pay App 20'!H93)</f>
        <v>0</v>
      </c>
      <c r="H93" s="154"/>
      <c r="I93" s="155">
        <f t="shared" si="0"/>
        <v>0</v>
      </c>
      <c r="J93" s="156">
        <f t="shared" si="1"/>
        <v>0</v>
      </c>
      <c r="K93" s="155">
        <f t="shared" si="2"/>
        <v>0</v>
      </c>
      <c r="L93" s="155" t="str">
        <f>IF(AND('Summary Sheet'!$E$23="No",$H$33&gt;0,H93&gt;=1),"",IF(AND('Summary Sheet'!$E$23="Yes",H93&lt;&gt;""),H93*'Summary Sheet'!$G$23,""))</f>
        <v/>
      </c>
      <c r="M93" s="154"/>
      <c r="N93" s="155">
        <f>SUM('Pay App 1:Pay App 21'!L93)+SUM('Pay App 1:Pay App 21'!M93)</f>
        <v>0</v>
      </c>
    </row>
    <row r="94" spans="1:14" ht="11.25" customHeight="1" x14ac:dyDescent="0.25">
      <c r="A94" s="152">
        <v>38</v>
      </c>
      <c r="B94" s="175" t="str">
        <f>'Pay App 1'!B94</f>
        <v>08 10 00</v>
      </c>
      <c r="C94" s="180" t="str">
        <f>'Pay App 1'!C94</f>
        <v>Doors, Frames &amp; Hardware</v>
      </c>
      <c r="D94" s="155">
        <f>'Pay App 1'!D94</f>
        <v>0</v>
      </c>
      <c r="E94" s="155">
        <f>VLOOKUP(B94,'Graph Data'!$O$2:$BX$88,23,FALSE)</f>
        <v>0</v>
      </c>
      <c r="F94" s="155">
        <f>IFERROR(E94+'Pay App 20'!F94,"")</f>
        <v>0</v>
      </c>
      <c r="G94" s="155">
        <f>SUM('Pay App 1:Pay App 20'!H94)</f>
        <v>0</v>
      </c>
      <c r="H94" s="154"/>
      <c r="I94" s="155">
        <f t="shared" si="0"/>
        <v>0</v>
      </c>
      <c r="J94" s="156">
        <f t="shared" si="1"/>
        <v>0</v>
      </c>
      <c r="K94" s="155">
        <f t="shared" si="2"/>
        <v>0</v>
      </c>
      <c r="L94" s="155" t="str">
        <f>IF(AND('Summary Sheet'!$E$23="No",$H$33&gt;0,H94&gt;=1),"",IF(AND('Summary Sheet'!$E$23="Yes",H94&lt;&gt;""),H94*'Summary Sheet'!$G$23,""))</f>
        <v/>
      </c>
      <c r="M94" s="154"/>
      <c r="N94" s="155">
        <f>SUM('Pay App 1:Pay App 21'!L94)+SUM('Pay App 1:Pay App 21'!M94)</f>
        <v>0</v>
      </c>
    </row>
    <row r="95" spans="1:14" ht="11.25" customHeight="1" x14ac:dyDescent="0.25">
      <c r="A95" s="152">
        <v>39</v>
      </c>
      <c r="B95" s="175" t="str">
        <f>'Pay App 1'!B95</f>
        <v>08 30 00</v>
      </c>
      <c r="C95" s="180" t="str">
        <f>'Pay App 1'!C95</f>
        <v>Specialty Doors</v>
      </c>
      <c r="D95" s="155">
        <f>'Pay App 1'!D95</f>
        <v>0</v>
      </c>
      <c r="E95" s="155">
        <f>VLOOKUP(B95,'Graph Data'!$O$2:$BX$88,23,FALSE)</f>
        <v>0</v>
      </c>
      <c r="F95" s="155">
        <f>IFERROR(E95+'Pay App 20'!F95,"")</f>
        <v>0</v>
      </c>
      <c r="G95" s="155">
        <f>SUM('Pay App 1:Pay App 20'!H95)</f>
        <v>0</v>
      </c>
      <c r="H95" s="154"/>
      <c r="I95" s="155">
        <f t="shared" si="0"/>
        <v>0</v>
      </c>
      <c r="J95" s="156">
        <f t="shared" si="1"/>
        <v>0</v>
      </c>
      <c r="K95" s="155">
        <f t="shared" si="2"/>
        <v>0</v>
      </c>
      <c r="L95" s="155" t="str">
        <f>IF(AND('Summary Sheet'!$E$23="No",$H$33&gt;0,H95&gt;=1),"",IF(AND('Summary Sheet'!$E$23="Yes",H95&lt;&gt;""),H95*'Summary Sheet'!$G$23,""))</f>
        <v/>
      </c>
      <c r="M95" s="154"/>
      <c r="N95" s="155">
        <f>SUM('Pay App 1:Pay App 21'!L95)+SUM('Pay App 1:Pay App 21'!M95)</f>
        <v>0</v>
      </c>
    </row>
    <row r="96" spans="1:14" ht="11.25" customHeight="1" x14ac:dyDescent="0.25">
      <c r="A96" s="152">
        <v>40</v>
      </c>
      <c r="B96" s="175" t="str">
        <f>'Pay App 1'!B96</f>
        <v>08 33 00</v>
      </c>
      <c r="C96" s="180" t="str">
        <f>'Pay App 1'!C96</f>
        <v>Overhead Doors/Coiling Doors</v>
      </c>
      <c r="D96" s="155">
        <f>'Pay App 1'!D96</f>
        <v>0</v>
      </c>
      <c r="E96" s="155">
        <f>VLOOKUP(B96,'Graph Data'!$O$2:$BX$88,23,FALSE)</f>
        <v>0</v>
      </c>
      <c r="F96" s="155">
        <f>IFERROR(E96+'Pay App 20'!F96,"")</f>
        <v>0</v>
      </c>
      <c r="G96" s="155">
        <f>SUM('Pay App 1:Pay App 20'!H96)</f>
        <v>0</v>
      </c>
      <c r="H96" s="154"/>
      <c r="I96" s="155">
        <f t="shared" si="0"/>
        <v>0</v>
      </c>
      <c r="J96" s="156">
        <f t="shared" si="1"/>
        <v>0</v>
      </c>
      <c r="K96" s="155">
        <f t="shared" si="2"/>
        <v>0</v>
      </c>
      <c r="L96" s="155" t="str">
        <f>IF(AND('Summary Sheet'!$E$23="No",$H$33&gt;0,H96&gt;=1),"",IF(AND('Summary Sheet'!$E$23="Yes",H96&lt;&gt;""),H96*'Summary Sheet'!$G$23,""))</f>
        <v/>
      </c>
      <c r="M96" s="154"/>
      <c r="N96" s="155">
        <f>SUM('Pay App 1:Pay App 21'!L96)+SUM('Pay App 1:Pay App 21'!M96)</f>
        <v>0</v>
      </c>
    </row>
    <row r="97" spans="1:15" ht="11.25" customHeight="1" x14ac:dyDescent="0.25">
      <c r="A97" s="152">
        <v>41</v>
      </c>
      <c r="B97" s="175" t="str">
        <f>'Pay App 1'!B97</f>
        <v>08 40 00</v>
      </c>
      <c r="C97" s="180" t="str">
        <f>'Pay App 1'!C97</f>
        <v>Curtain Wall, Glass &amp; Glazing</v>
      </c>
      <c r="D97" s="155">
        <f>'Pay App 1'!D97</f>
        <v>0</v>
      </c>
      <c r="E97" s="155">
        <f>VLOOKUP(B97,'Graph Data'!$O$2:$BX$88,23,FALSE)</f>
        <v>0</v>
      </c>
      <c r="F97" s="155">
        <f>IFERROR(E97+'Pay App 20'!F97,"")</f>
        <v>0</v>
      </c>
      <c r="G97" s="155">
        <f>SUM('Pay App 1:Pay App 20'!H97)</f>
        <v>0</v>
      </c>
      <c r="H97" s="154"/>
      <c r="I97" s="155">
        <f t="shared" si="0"/>
        <v>0</v>
      </c>
      <c r="J97" s="156">
        <f t="shared" si="1"/>
        <v>0</v>
      </c>
      <c r="K97" s="155">
        <f t="shared" si="2"/>
        <v>0</v>
      </c>
      <c r="L97" s="155" t="str">
        <f>IF(AND('Summary Sheet'!$E$23="No",$H$33&gt;0,H97&gt;=1),"",IF(AND('Summary Sheet'!$E$23="Yes",H97&lt;&gt;""),H97*'Summary Sheet'!$G$23,""))</f>
        <v/>
      </c>
      <c r="M97" s="154"/>
      <c r="N97" s="155">
        <f>SUM('Pay App 1:Pay App 21'!L97)+SUM('Pay App 1:Pay App 21'!M97)</f>
        <v>0</v>
      </c>
    </row>
    <row r="98" spans="1:15" ht="10.9" customHeight="1" x14ac:dyDescent="0.25">
      <c r="A98" s="152">
        <v>42</v>
      </c>
      <c r="B98" s="175" t="str">
        <f>'Pay App 1'!B98</f>
        <v>08 60 00</v>
      </c>
      <c r="C98" s="180" t="str">
        <f>'Pay App 1'!C98</f>
        <v>Skylights</v>
      </c>
      <c r="D98" s="155">
        <f>'Pay App 1'!D98</f>
        <v>0</v>
      </c>
      <c r="E98" s="155">
        <f>VLOOKUP(B98,'Graph Data'!$O$2:$BX$88,23,FALSE)</f>
        <v>0</v>
      </c>
      <c r="F98" s="155">
        <f>IFERROR(E98+'Pay App 20'!F98,"")</f>
        <v>0</v>
      </c>
      <c r="G98" s="155">
        <f>SUM('Pay App 1:Pay App 20'!H98)</f>
        <v>0</v>
      </c>
      <c r="H98" s="154"/>
      <c r="I98" s="155">
        <f t="shared" si="0"/>
        <v>0</v>
      </c>
      <c r="J98" s="156">
        <f t="shared" si="1"/>
        <v>0</v>
      </c>
      <c r="K98" s="155">
        <f t="shared" si="2"/>
        <v>0</v>
      </c>
      <c r="L98" s="155" t="str">
        <f>IF(AND('Summary Sheet'!$E$23="No",$H$33&gt;0,H98&gt;=1),"",IF(AND('Summary Sheet'!$E$23="Yes",H98&lt;&gt;""),H98*'Summary Sheet'!$G$23,""))</f>
        <v/>
      </c>
      <c r="M98" s="154"/>
      <c r="N98" s="155">
        <f>SUM('Pay App 1:Pay App 21'!L98)+SUM('Pay App 1:Pay App 21'!M98)</f>
        <v>0</v>
      </c>
    </row>
    <row r="99" spans="1:15" ht="10.9" customHeight="1" x14ac:dyDescent="0.25">
      <c r="A99" s="152">
        <v>43</v>
      </c>
      <c r="B99" s="175" t="str">
        <f>'Pay App 1'!B99</f>
        <v>08 90 00</v>
      </c>
      <c r="C99" s="180" t="str">
        <f>'Pay App 1'!C99</f>
        <v>Louvers &amp; Vents</v>
      </c>
      <c r="D99" s="155">
        <f>'Pay App 1'!D99</f>
        <v>0</v>
      </c>
      <c r="E99" s="155">
        <f>VLOOKUP(B99,'Graph Data'!$O$2:$BX$88,23,FALSE)</f>
        <v>0</v>
      </c>
      <c r="F99" s="155">
        <f>IFERROR(E99+'Pay App 20'!F99,"")</f>
        <v>0</v>
      </c>
      <c r="G99" s="155">
        <f>SUM('Pay App 1:Pay App 20'!H99)</f>
        <v>0</v>
      </c>
      <c r="H99" s="154"/>
      <c r="I99" s="155">
        <f t="shared" si="0"/>
        <v>0</v>
      </c>
      <c r="J99" s="156">
        <f t="shared" si="1"/>
        <v>0</v>
      </c>
      <c r="K99" s="155">
        <f t="shared" si="2"/>
        <v>0</v>
      </c>
      <c r="L99" s="155" t="str">
        <f>IF(AND('Summary Sheet'!$E$23="No",$H$33&gt;0,H99&gt;=1),"",IF(AND('Summary Sheet'!$E$23="Yes",H99&lt;&gt;""),H99*'Summary Sheet'!$G$23,""))</f>
        <v/>
      </c>
      <c r="M99" s="154"/>
      <c r="N99" s="155">
        <f>SUM('Pay App 1:Pay App 21'!L99)+SUM('Pay App 1:Pay App 21'!M99)</f>
        <v>0</v>
      </c>
    </row>
    <row r="100" spans="1:15" ht="11.25" customHeight="1" x14ac:dyDescent="0.25">
      <c r="A100" s="153">
        <v>44</v>
      </c>
      <c r="B100" s="176" t="str">
        <f>'Pay App 1'!B100</f>
        <v>09 20 00</v>
      </c>
      <c r="C100" s="181" t="str">
        <f>'Pay App 1'!C100</f>
        <v>Gypsum Board Systems</v>
      </c>
      <c r="D100" s="155">
        <f>'Pay App 1'!D100</f>
        <v>0</v>
      </c>
      <c r="E100" s="155">
        <f>VLOOKUP(B100,'Graph Data'!$O$2:$BX$88,23,FALSE)</f>
        <v>0</v>
      </c>
      <c r="F100" s="155">
        <f>IFERROR(E100+'Pay App 20'!F100,"")</f>
        <v>0</v>
      </c>
      <c r="G100" s="155">
        <f>SUM('Pay App 1:Pay App 20'!H100)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21'!L100)+SUM('Pay App 1:Pay App 21'!M100)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Data'!$O$2:$BX$88,23,FALSE)</f>
        <v>0</v>
      </c>
      <c r="F106" s="155">
        <f>IFERROR(E106+'Pay App 20'!F106,"")</f>
        <v>0</v>
      </c>
      <c r="G106" s="155">
        <f>SUM('Pay App 1:Pay App 20'!H106)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21'!L106)+SUM('Pay App 1:Pay App 21'!M106)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Data'!$O$2:$BX$88,23,FALSE)</f>
        <v>0</v>
      </c>
      <c r="F107" s="155">
        <f>IFERROR(E107+'Pay App 20'!F107,"")</f>
        <v>0</v>
      </c>
      <c r="G107" s="155">
        <f>SUM('Pay App 1:Pay App 20'!H107)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21'!L107)+SUM('Pay App 1:Pay App 21'!M107)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Data'!$O$2:$BX$88,23,FALSE)</f>
        <v>0</v>
      </c>
      <c r="F108" s="155">
        <f>IFERROR(E108+'Pay App 20'!F108,"")</f>
        <v>0</v>
      </c>
      <c r="G108" s="155">
        <f>SUM('Pay App 1:Pay App 20'!H108)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21'!L108)+SUM('Pay App 1:Pay App 21'!M108)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Data'!$O$2:$BX$88,23,FALSE)</f>
        <v>0</v>
      </c>
      <c r="F109" s="155">
        <f>IFERROR(E109+'Pay App 20'!F109,"")</f>
        <v>0</v>
      </c>
      <c r="G109" s="155">
        <f>SUM('Pay App 1:Pay App 20'!H109)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21'!L109)+SUM('Pay App 1:Pay App 21'!M109)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Data'!$O$2:$BX$88,23,FALSE)</f>
        <v>0</v>
      </c>
      <c r="F110" s="155">
        <f>IFERROR(E110+'Pay App 20'!F110,"")</f>
        <v>0</v>
      </c>
      <c r="G110" s="155">
        <f>SUM('Pay App 1:Pay App 20'!H110)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21'!L110)+SUM('Pay App 1:Pay App 21'!M110)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Data'!$O$2:$BX$88,23,FALSE)</f>
        <v>0</v>
      </c>
      <c r="F111" s="155">
        <f>IFERROR(E111+'Pay App 20'!F111,"")</f>
        <v>0</v>
      </c>
      <c r="G111" s="155">
        <f>SUM('Pay App 1:Pay App 20'!H111)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21'!L111)+SUM('Pay App 1:Pay App 21'!M111)</f>
        <v>0</v>
      </c>
    </row>
    <row r="112" spans="1:15" ht="11.25" customHeight="1" x14ac:dyDescent="0.25">
      <c r="A112" s="152">
        <f t="shared" si="3"/>
        <v>51</v>
      </c>
      <c r="B112" s="148" t="str">
        <f>'Pay App 1'!B112</f>
        <v>09 90 00</v>
      </c>
      <c r="C112" s="143" t="str">
        <f>'Pay App 1'!C112</f>
        <v>Painting</v>
      </c>
      <c r="D112" s="155">
        <f>'Pay App 1'!D112</f>
        <v>0</v>
      </c>
      <c r="E112" s="155">
        <f>VLOOKUP(B112,'Graph Data'!$O$2:$BX$88,23,FALSE)</f>
        <v>0</v>
      </c>
      <c r="F112" s="155">
        <f>IFERROR(E112+'Pay App 20'!F112,"")</f>
        <v>0</v>
      </c>
      <c r="G112" s="155">
        <f>SUM('Pay App 1:Pay App 20'!H112)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21'!L112)+SUM('Pay App 1:Pay App 21'!M112)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Data'!$O$2:$BX$88,23,FALSE)</f>
        <v>0</v>
      </c>
      <c r="F113" s="155">
        <f>IFERROR(E113+'Pay App 20'!F113,"")</f>
        <v>0</v>
      </c>
      <c r="G113" s="155">
        <f>SUM('Pay App 1:Pay App 20'!H113)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21'!L113)+SUM('Pay App 1:Pay App 21'!M113)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Data'!$O$2:$BX$88,23,FALSE)</f>
        <v>0</v>
      </c>
      <c r="F114" s="155">
        <f>IFERROR(E114+'Pay App 20'!F114,"")</f>
        <v>0</v>
      </c>
      <c r="G114" s="155">
        <f>SUM('Pay App 1:Pay App 20'!H114)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21'!L114)+SUM('Pay App 1:Pay App 21'!M114)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Data'!$O$2:$BX$88,23,FALSE)</f>
        <v>0</v>
      </c>
      <c r="F115" s="155">
        <f>IFERROR(E115+'Pay App 20'!F115,"")</f>
        <v>0</v>
      </c>
      <c r="G115" s="155">
        <f>SUM('Pay App 1:Pay App 20'!H115)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21'!L115)+SUM('Pay App 1:Pay App 21'!M115)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Data'!$O$2:$BX$88,23,FALSE)</f>
        <v>0</v>
      </c>
      <c r="F116" s="155">
        <f>IFERROR(E116+'Pay App 20'!F116,"")</f>
        <v>0</v>
      </c>
      <c r="G116" s="155">
        <f>SUM('Pay App 1:Pay App 20'!H116)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21'!L116)+SUM('Pay App 1:Pay App 21'!M116)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Data'!$O$2:$BX$88,23,FALSE)</f>
        <v>0</v>
      </c>
      <c r="F117" s="155">
        <f>IFERROR(E117+'Pay App 20'!F117,"")</f>
        <v>0</v>
      </c>
      <c r="G117" s="155">
        <f>SUM('Pay App 1:Pay App 20'!H117)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21'!L117)+SUM('Pay App 1:Pay App 21'!M117)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Data'!$O$2:$BX$88,23,FALSE)</f>
        <v>0</v>
      </c>
      <c r="F118" s="155">
        <f>IFERROR(E118+'Pay App 20'!F118,"")</f>
        <v>0</v>
      </c>
      <c r="G118" s="155">
        <f>SUM('Pay App 1:Pay App 20'!H118)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21'!L118)+SUM('Pay App 1:Pay App 21'!M118)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Data'!$O$2:$BX$88,23,FALSE)</f>
        <v>0</v>
      </c>
      <c r="F119" s="155">
        <f>IFERROR(E119+'Pay App 20'!F119,"")</f>
        <v>0</v>
      </c>
      <c r="G119" s="155">
        <f>SUM('Pay App 1:Pay App 20'!H119)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21'!L119)+SUM('Pay App 1:Pay App 21'!M119)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Data'!$O$2:$BX$88,23,FALSE)</f>
        <v>0</v>
      </c>
      <c r="F120" s="155">
        <f>IFERROR(E120+'Pay App 20'!F120,"")</f>
        <v>0</v>
      </c>
      <c r="G120" s="155">
        <f>SUM('Pay App 1:Pay App 20'!H120)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21'!L120)+SUM('Pay App 1:Pay App 21'!M120)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Data'!$O$2:$BX$88,23,FALSE)</f>
        <v>0</v>
      </c>
      <c r="F121" s="155">
        <f>IFERROR(E121+'Pay App 20'!F121,"")</f>
        <v>0</v>
      </c>
      <c r="G121" s="155">
        <f>SUM('Pay App 1:Pay App 20'!H121)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21'!L121)+SUM('Pay App 1:Pay App 21'!M121)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Data'!$O$2:$BX$88,23,FALSE)</f>
        <v>0</v>
      </c>
      <c r="F122" s="155">
        <f>IFERROR(E122+'Pay App 20'!F122,"")</f>
        <v>0</v>
      </c>
      <c r="G122" s="155">
        <f>SUM('Pay App 1:Pay App 20'!H122)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21'!L122)+SUM('Pay App 1:Pay App 21'!M122)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Data'!$O$2:$BX$88,23,FALSE)</f>
        <v>0</v>
      </c>
      <c r="F123" s="155">
        <f>IFERROR(E123+'Pay App 20'!F123,"")</f>
        <v>0</v>
      </c>
      <c r="G123" s="155">
        <f>SUM('Pay App 1:Pay App 20'!H123)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21'!L123)+SUM('Pay App 1:Pay App 21'!M123)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Data'!$O$2:$BX$88,23,FALSE)</f>
        <v>0</v>
      </c>
      <c r="F124" s="155">
        <f>IFERROR(E124+'Pay App 20'!F124,"")</f>
        <v>0</v>
      </c>
      <c r="G124" s="155">
        <f>SUM('Pay App 1:Pay App 20'!H124)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21'!L124)+SUM('Pay App 1:Pay App 21'!M124)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Data'!$O$2:$BX$88,23,FALSE)</f>
        <v>0</v>
      </c>
      <c r="F125" s="155">
        <f>IFERROR(E125+'Pay App 20'!F125,"")</f>
        <v>0</v>
      </c>
      <c r="G125" s="155">
        <f>SUM('Pay App 1:Pay App 20'!H125)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21'!L125)+SUM('Pay App 1:Pay App 21'!M125)</f>
        <v>0</v>
      </c>
    </row>
    <row r="126" spans="1:14" ht="11.25" customHeight="1" x14ac:dyDescent="0.25">
      <c r="A126" s="152">
        <f t="shared" si="3"/>
        <v>65</v>
      </c>
      <c r="B126" s="188" t="str">
        <f>'Pay App 1'!B126</f>
        <v>14 20 00</v>
      </c>
      <c r="C126" s="194" t="str">
        <f>'Pay App 1'!C126</f>
        <v>Elevator</v>
      </c>
      <c r="D126" s="155">
        <f>'Pay App 1'!D126</f>
        <v>0</v>
      </c>
      <c r="E126" s="155">
        <f>VLOOKUP(B126,'Graph Data'!$O$2:$BX$88,23,FALSE)</f>
        <v>0</v>
      </c>
      <c r="F126" s="155">
        <f>IFERROR(E126+'Pay App 20'!F126,"")</f>
        <v>0</v>
      </c>
      <c r="G126" s="155">
        <f>SUM('Pay App 1:Pay App 20'!H126)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21'!L126)+SUM('Pay App 1:Pay App 21'!M126)</f>
        <v>0</v>
      </c>
    </row>
    <row r="127" spans="1:14" ht="11.25" customHeight="1" x14ac:dyDescent="0.25">
      <c r="A127" s="152">
        <f t="shared" si="3"/>
        <v>66</v>
      </c>
      <c r="B127" s="188" t="str">
        <f>'Pay App 1'!B127</f>
        <v>14 40 00</v>
      </c>
      <c r="C127" s="194" t="str">
        <f>'Pay App 1'!C127</f>
        <v>Lifts</v>
      </c>
      <c r="D127" s="155">
        <f>'Pay App 1'!D127</f>
        <v>0</v>
      </c>
      <c r="E127" s="155">
        <f>VLOOKUP(B127,'Graph Data'!$O$2:$BX$88,23,FALSE)</f>
        <v>0</v>
      </c>
      <c r="F127" s="155">
        <f>IFERROR(E127+'Pay App 20'!F127,"")</f>
        <v>0</v>
      </c>
      <c r="G127" s="155">
        <f>SUM('Pay App 1:Pay App 20'!H127)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21'!L127)+SUM('Pay App 1:Pay App 21'!M127)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Data'!$O$2:$BX$88,23,FALSE)</f>
        <v>0</v>
      </c>
      <c r="F128" s="155">
        <f>IFERROR(E128+'Pay App 20'!F128,"")</f>
        <v>0</v>
      </c>
      <c r="G128" s="155">
        <f>SUM('Pay App 1:Pay App 20'!H128)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21'!L128)+SUM('Pay App 1:Pay App 21'!M128)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Data'!$O$2:$BX$88,23,FALSE)</f>
        <v>0</v>
      </c>
      <c r="F129" s="155">
        <f>IFERROR(E129+'Pay App 20'!F129,"")</f>
        <v>0</v>
      </c>
      <c r="G129" s="155">
        <f>SUM('Pay App 1:Pay App 20'!H129)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21'!L129)+SUM('Pay App 1:Pay App 21'!M129)</f>
        <v>0</v>
      </c>
    </row>
    <row r="130" spans="1:14" ht="11.25" customHeight="1" x14ac:dyDescent="0.25">
      <c r="A130" s="152">
        <f t="shared" si="3"/>
        <v>69</v>
      </c>
      <c r="B130" s="185" t="str">
        <f>'Pay App 1'!B130</f>
        <v>22 00 00</v>
      </c>
      <c r="C130" s="191" t="str">
        <f>'Pay App 1'!C130</f>
        <v>Plumbing</v>
      </c>
      <c r="D130" s="155">
        <f>'Pay App 1'!D130</f>
        <v>0</v>
      </c>
      <c r="E130" s="155">
        <f>VLOOKUP(B130,'Graph Data'!$O$2:$BX$88,23,FALSE)</f>
        <v>0</v>
      </c>
      <c r="F130" s="155">
        <f>IFERROR(E130+'Pay App 20'!F130,"")</f>
        <v>0</v>
      </c>
      <c r="G130" s="155">
        <f>SUM('Pay App 1:Pay App 20'!H130)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21'!L130)+SUM('Pay App 1:Pay App 21'!M130)</f>
        <v>0</v>
      </c>
    </row>
    <row r="131" spans="1:14" ht="11.25" customHeight="1" x14ac:dyDescent="0.25">
      <c r="A131" s="152">
        <f t="shared" si="3"/>
        <v>70</v>
      </c>
      <c r="B131" s="186" t="str">
        <f>'Pay App 1'!B131</f>
        <v>23 00 00</v>
      </c>
      <c r="C131" s="192" t="str">
        <f>'Pay App 1'!C131</f>
        <v>HVAC</v>
      </c>
      <c r="D131" s="155">
        <f>'Pay App 1'!D131</f>
        <v>0</v>
      </c>
      <c r="E131" s="155">
        <f>VLOOKUP(B131,'Graph Data'!$O$2:$BX$88,23,FALSE)</f>
        <v>0</v>
      </c>
      <c r="F131" s="155">
        <f>IFERROR(E131+'Pay App 20'!F131,"")</f>
        <v>0</v>
      </c>
      <c r="G131" s="155">
        <f>SUM('Pay App 1:Pay App 20'!H131)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21'!L131)+SUM('Pay App 1:Pay App 21'!M131)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Data'!$O$2:$BX$88,23,FALSE)</f>
        <v>0</v>
      </c>
      <c r="F132" s="155">
        <f>IFERROR(E132+'Pay App 20'!F132,"")</f>
        <v>0</v>
      </c>
      <c r="G132" s="155">
        <f>SUM('Pay App 1:Pay App 20'!H132)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21'!L132)+SUM('Pay App 1:Pay App 21'!M132)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Data'!$O$2:$BX$88,23,FALSE)</f>
        <v>0</v>
      </c>
      <c r="F133" s="155">
        <f>IFERROR(E133+'Pay App 20'!F133,"")</f>
        <v>0</v>
      </c>
      <c r="G133" s="155">
        <f>SUM('Pay App 1:Pay App 20'!H133)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21'!L133)+SUM('Pay App 1:Pay App 21'!M133)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Data'!$O$2:$BX$88,23,FALSE)</f>
        <v>0</v>
      </c>
      <c r="F134" s="155">
        <f>IFERROR(E134+'Pay App 20'!F134,"")</f>
        <v>0</v>
      </c>
      <c r="G134" s="155">
        <f>SUM('Pay App 1:Pay App 20'!H134)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21'!L134)+SUM('Pay App 1:Pay App 21'!M134)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Data'!$O$2:$BX$88,23,FALSE)</f>
        <v>0</v>
      </c>
      <c r="F135" s="155">
        <f>IFERROR(E135+'Pay App 20'!F135,"")</f>
        <v>0</v>
      </c>
      <c r="G135" s="155">
        <f>SUM('Pay App 1:Pay App 20'!H135)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21'!L135)+SUM('Pay App 1:Pay App 21'!M135)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Data'!$O$2:$BX$88,23,FALSE)</f>
        <v>0</v>
      </c>
      <c r="F136" s="155">
        <f>IFERROR(E136+'Pay App 20'!F136,"")</f>
        <v>0</v>
      </c>
      <c r="G136" s="155">
        <f>SUM('Pay App 1:Pay App 20'!H136)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21'!L136)+SUM('Pay App 1:Pay App 21'!M136)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Data'!$O$2:$BX$88,23,FALSE)</f>
        <v>0</v>
      </c>
      <c r="F137" s="155">
        <f>IFERROR(E137+'Pay App 20'!F137,"")</f>
        <v>0</v>
      </c>
      <c r="G137" s="155">
        <f>SUM('Pay App 1:Pay App 20'!H137)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21'!L137)+SUM('Pay App 1:Pay App 21'!M137)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Data'!$O$2:$BX$88,23,FALSE)</f>
        <v>0</v>
      </c>
      <c r="F138" s="155">
        <f>IFERROR(E138+'Pay App 20'!F138,"")</f>
        <v>0</v>
      </c>
      <c r="G138" s="155">
        <f>SUM('Pay App 1:Pay App 20'!H138)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21'!L138)+SUM('Pay App 1:Pay App 21'!M138)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Data'!$O$2:$BX$88,23,FALSE)</f>
        <v>0</v>
      </c>
      <c r="F139" s="155">
        <f>IFERROR(E139+'Pay App 20'!F139,"")</f>
        <v>0</v>
      </c>
      <c r="G139" s="155">
        <f>SUM('Pay App 1:Pay App 20'!H139)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21'!L139)+SUM('Pay App 1:Pay App 21'!M139)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Data'!$O$2:$BX$88,23,FALSE)</f>
        <v>0</v>
      </c>
      <c r="F140" s="155">
        <f>IFERROR(E140+'Pay App 20'!F140,"")</f>
        <v>0</v>
      </c>
      <c r="G140" s="155">
        <f>SUM('Pay App 1:Pay App 20'!H140)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21'!L140)+SUM('Pay App 1:Pay App 21'!M140)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Data'!$O$2:$BX$88,23,FALSE)</f>
        <v>0</v>
      </c>
      <c r="F141" s="155">
        <f>IFERROR(E141+'Pay App 20'!F141,"")</f>
        <v>0</v>
      </c>
      <c r="G141" s="155">
        <f>SUM('Pay App 1:Pay App 20'!H141)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21'!L141)+SUM('Pay App 1:Pay App 21'!M141)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Data'!$O$2:$BX$88,23,FALSE)</f>
        <v>0</v>
      </c>
      <c r="F142" s="155">
        <f>IFERROR(E142+'Pay App 20'!F142,"")</f>
        <v>0</v>
      </c>
      <c r="G142" s="155">
        <f>SUM('Pay App 1:Pay App 20'!H142)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21'!L142)+SUM('Pay App 1:Pay App 21'!M142)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Data'!$O$2:$BX$88,23,FALSE)</f>
        <v>0</v>
      </c>
      <c r="F143" s="155">
        <f>IFERROR(E143+'Pay App 20'!F143,"")</f>
        <v>0</v>
      </c>
      <c r="G143" s="155">
        <f>SUM('Pay App 1:Pay App 20'!H143)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21'!L143)+SUM('Pay App 1:Pay App 21'!M143)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Data'!$O$2:$BX$88,23,FALSE)</f>
        <v>0</v>
      </c>
      <c r="F144" s="155">
        <f>IFERROR(E144+'Pay App 20'!F144,"")</f>
        <v>0</v>
      </c>
      <c r="G144" s="155">
        <f>SUM('Pay App 1:Pay App 20'!H144)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21'!L144)+SUM('Pay App 1:Pay App 21'!M144)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Data'!$O$2:$BX$88,23,FALSE)</f>
        <v>0</v>
      </c>
      <c r="F145" s="155">
        <f>IFERROR(E145+'Pay App 20'!F145,"")</f>
        <v>0</v>
      </c>
      <c r="G145" s="155">
        <f>SUM('Pay App 1:Pay App 20'!H145)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21'!L145)+SUM('Pay App 1:Pay App 21'!M145)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Data'!$O$2:$BX$88,23,FALSE)</f>
        <v>0</v>
      </c>
      <c r="F146" s="155">
        <f>IFERROR(E146+'Pay App 20'!F146,"")</f>
        <v>0</v>
      </c>
      <c r="G146" s="155">
        <f>SUM('Pay App 1:Pay App 20'!H146)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21'!L146)+SUM('Pay App 1:Pay App 21'!M146)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Data'!$O$2:$BX$88,23,FALSE)</f>
        <v>0</v>
      </c>
      <c r="F147" s="155">
        <f>IFERROR(E147+'Pay App 20'!F147,"")</f>
        <v>0</v>
      </c>
      <c r="G147" s="155">
        <f>SUM('Pay App 1:Pay App 20'!H147)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21'!L147)+SUM('Pay App 1:Pay App 21'!M147)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Data'!$O$2:$BX$88,23,FALSE)</f>
        <v>0</v>
      </c>
      <c r="F148" s="155">
        <f>IFERROR(E148+'Pay App 20'!F148,"")</f>
        <v>0</v>
      </c>
      <c r="G148" s="155">
        <f>SUM('Pay App 1:Pay App 20'!H148)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21'!L148)+SUM('Pay App 1:Pay App 21'!M148)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XlZ+wNBAjAvqMqp+2VORT2N6h2aGzgDWYvhiHHKrSw5hngztZFF/bl543wmI6tSZ8PFxXiNnruU3hsbzzUjR3w==" saltValue="9mmVoMmWTGooTY1sybQHn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39" priority="2" operator="equal">
      <formula>0</formula>
    </cfRule>
  </conditionalFormatting>
  <conditionalFormatting sqref="D106:G148">
    <cfRule type="cellIs" dxfId="438" priority="1" operator="equal">
      <formula>0</formula>
    </cfRule>
  </conditionalFormatting>
  <conditionalFormatting sqref="D10:H10 D12:H14 D19:H21">
    <cfRule type="cellIs" dxfId="437" priority="6" operator="equal">
      <formula>0</formula>
    </cfRule>
  </conditionalFormatting>
  <conditionalFormatting sqref="H51">
    <cfRule type="cellIs" dxfId="436" priority="9" operator="lessThan">
      <formula>0</formula>
    </cfRule>
  </conditionalFormatting>
  <conditionalFormatting sqref="I57:I100 K57:K100 I106:I148 K106:K148 N106:N148">
    <cfRule type="cellIs" dxfId="435" priority="14" operator="equal">
      <formula>0</formula>
    </cfRule>
  </conditionalFormatting>
  <conditionalFormatting sqref="J57:J100 J106:J149">
    <cfRule type="cellIs" dxfId="434" priority="11" operator="greaterThan">
      <formula>1</formula>
    </cfRule>
    <cfRule type="cellIs" dxfId="433" priority="12" operator="equal">
      <formula>0</formula>
    </cfRule>
  </conditionalFormatting>
  <conditionalFormatting sqref="K57:K100 K106:K148">
    <cfRule type="cellIs" dxfId="432" priority="10" operator="lessThan">
      <formula>0</formula>
    </cfRule>
  </conditionalFormatting>
  <conditionalFormatting sqref="M57:M100">
    <cfRule type="cellIs" dxfId="431" priority="13" operator="lessThan">
      <formula>0</formula>
    </cfRule>
  </conditionalFormatting>
  <conditionalFormatting sqref="M106:M148">
    <cfRule type="cellIs" dxfId="430" priority="8" operator="lessThan">
      <formula>0</formula>
    </cfRule>
  </conditionalFormatting>
  <conditionalFormatting sqref="N57:N100">
    <cfRule type="cellIs" dxfId="429"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0B9A109B-F401-45D2-93A0-11DE18D1064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7A518-10DC-4108-B811-339E1057F735}">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Data'!$O$2:$BX$88,24,FALSE)</f>
        <v>0</v>
      </c>
      <c r="F57" s="155">
        <f>IFERROR(E57+'Pay App 21'!F57,"")</f>
        <v>0</v>
      </c>
      <c r="G57" s="155">
        <f>SUM('Pay App 1:Pay App 21'!H57)</f>
        <v>0</v>
      </c>
      <c r="H57" s="154"/>
      <c r="I57" s="155">
        <f>G57+H57</f>
        <v>0</v>
      </c>
      <c r="J57" s="156">
        <f>IFERROR(I57/F57,0)</f>
        <v>0</v>
      </c>
      <c r="K57" s="155">
        <f>IFERROR(F57-I57,"")</f>
        <v>0</v>
      </c>
      <c r="L57" s="155" t="str">
        <f>IF(AND('Summary Sheet'!$E$23="No",$H$33&gt;0,H57&gt;=1),"",IF(AND('Summary Sheet'!$E$23="Yes",H57&lt;&gt;""),H57*'Summary Sheet'!$G$23,""))</f>
        <v/>
      </c>
      <c r="M57" s="154"/>
      <c r="N57" s="155">
        <f>SUM('Pay App 1:Pay App 22'!L57)+SUM('Pay App 1:Pay App 22'!M57)</f>
        <v>0</v>
      </c>
    </row>
    <row r="58" spans="1:16" ht="11.25" customHeight="1" x14ac:dyDescent="0.25">
      <c r="A58" s="152">
        <v>2</v>
      </c>
      <c r="B58" s="145" t="str">
        <f>'Pay App 1'!B58</f>
        <v>00 02 00</v>
      </c>
      <c r="C58" s="134" t="str">
        <f>'Pay App 1'!C58</f>
        <v>Preconstruction Services</v>
      </c>
      <c r="D58" s="155">
        <f>'Pay App 1'!D58</f>
        <v>0</v>
      </c>
      <c r="E58" s="155">
        <f>VLOOKUP(B58,'Graph Data'!$O$2:$BX$88,24,FALSE)</f>
        <v>0</v>
      </c>
      <c r="F58" s="155">
        <f>IFERROR(E58+'Pay App 21'!F58,"")</f>
        <v>0</v>
      </c>
      <c r="G58" s="155">
        <f>SUM('Pay App 1:Pay App 21'!H58)</f>
        <v>0</v>
      </c>
      <c r="H58" s="154"/>
      <c r="I58" s="155">
        <f>G58+H58</f>
        <v>0</v>
      </c>
      <c r="J58" s="156">
        <f>IFERROR(I58/F58,0)</f>
        <v>0</v>
      </c>
      <c r="K58" s="155">
        <f>IFERROR(F58-I58,"")</f>
        <v>0</v>
      </c>
      <c r="L58" s="155" t="str">
        <f>IF(AND('Summary Sheet'!$E$23="No",$H$33&gt;0,H58&gt;=1),"",IF(AND('Summary Sheet'!$E$23="Yes",H58&lt;&gt;""),H58*'Summary Sheet'!$G$23,""))</f>
        <v/>
      </c>
      <c r="M58" s="154"/>
      <c r="N58" s="155">
        <f>SUM('Pay App 1:Pay App 22'!L58)+SUM('Pay App 1:Pay App 22'!M58)</f>
        <v>0</v>
      </c>
    </row>
    <row r="59" spans="1:16" ht="11.25" customHeight="1" x14ac:dyDescent="0.25">
      <c r="A59" s="152">
        <v>3</v>
      </c>
      <c r="B59" s="174" t="str">
        <f>'Pay App 1'!B59</f>
        <v>01 00 00</v>
      </c>
      <c r="C59" s="179" t="str">
        <f>'Pay App 1'!C59</f>
        <v>General Conditions/Requirements</v>
      </c>
      <c r="D59" s="155">
        <f>'Pay App 1'!D59</f>
        <v>0</v>
      </c>
      <c r="E59" s="155">
        <f>VLOOKUP(B59,'Graph Data'!$O$2:$BX$88,24,FALSE)</f>
        <v>0</v>
      </c>
      <c r="F59" s="155">
        <f>IFERROR(E59+'Pay App 21'!F59,"")</f>
        <v>0</v>
      </c>
      <c r="G59" s="155">
        <f>SUM('Pay App 1:Pay App 21'!H59)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22'!L59)+SUM('Pay App 1:Pay App 22'!M59)</f>
        <v>0</v>
      </c>
    </row>
    <row r="60" spans="1:16" ht="11.25" customHeight="1" x14ac:dyDescent="0.25">
      <c r="A60" s="152">
        <v>4</v>
      </c>
      <c r="B60" s="174" t="str">
        <f>'Pay App 1'!B60</f>
        <v>01 13 41</v>
      </c>
      <c r="C60" s="179" t="str">
        <f>'Pay App 1'!C60</f>
        <v>Temp. Scaffolding and Platforms</v>
      </c>
      <c r="D60" s="155">
        <f>'Pay App 1'!D60</f>
        <v>0</v>
      </c>
      <c r="E60" s="155">
        <f>VLOOKUP(B60,'Graph Data'!$O$2:$BX$88,24,FALSE)</f>
        <v>0</v>
      </c>
      <c r="F60" s="155">
        <f>IFERROR(E60+'Pay App 21'!F60,"")</f>
        <v>0</v>
      </c>
      <c r="G60" s="155">
        <f>SUM('Pay App 1:Pay App 21'!H60)</f>
        <v>0</v>
      </c>
      <c r="H60" s="154"/>
      <c r="I60" s="155">
        <f t="shared" si="0"/>
        <v>0</v>
      </c>
      <c r="J60" s="156">
        <f t="shared" si="1"/>
        <v>0</v>
      </c>
      <c r="K60" s="155">
        <f t="shared" si="2"/>
        <v>0</v>
      </c>
      <c r="L60" s="155" t="str">
        <f>IF(AND('Summary Sheet'!$E$23="No",$H$33&gt;0,H60&gt;=1),"",IF(AND('Summary Sheet'!$E$23="Yes",H60&lt;&gt;""),H60*'Summary Sheet'!$G$23,""))</f>
        <v/>
      </c>
      <c r="M60" s="154"/>
      <c r="N60" s="155">
        <f>SUM('Pay App 1:Pay App 22'!L60)+SUM('Pay App 1:Pay App 22'!M60)</f>
        <v>0</v>
      </c>
    </row>
    <row r="61" spans="1:16" ht="11.25" customHeight="1" x14ac:dyDescent="0.25">
      <c r="A61" s="152">
        <v>5</v>
      </c>
      <c r="B61" s="174" t="str">
        <f>'Pay App 1'!B61</f>
        <v>01 13 60</v>
      </c>
      <c r="C61" s="179" t="str">
        <f>'Pay App 1'!C61</f>
        <v>SWPPP</v>
      </c>
      <c r="D61" s="155">
        <f>'Pay App 1'!D61</f>
        <v>0</v>
      </c>
      <c r="E61" s="155">
        <f>VLOOKUP(B61,'Graph Data'!$O$2:$BX$88,24,FALSE)</f>
        <v>0</v>
      </c>
      <c r="F61" s="155">
        <f>IFERROR(E61+'Pay App 21'!F61,"")</f>
        <v>0</v>
      </c>
      <c r="G61" s="155">
        <f>SUM('Pay App 1:Pay App 21'!H61)</f>
        <v>0</v>
      </c>
      <c r="H61" s="154"/>
      <c r="I61" s="155">
        <f t="shared" si="0"/>
        <v>0</v>
      </c>
      <c r="J61" s="156">
        <f t="shared" si="1"/>
        <v>0</v>
      </c>
      <c r="K61" s="155">
        <f t="shared" si="2"/>
        <v>0</v>
      </c>
      <c r="L61" s="155" t="str">
        <f>IF(AND('Summary Sheet'!$E$23="No",$H$33&gt;0,H61&gt;=1),"",IF(AND('Summary Sheet'!$E$23="Yes",H61&lt;&gt;""),H61*'Summary Sheet'!$G$23,""))</f>
        <v/>
      </c>
      <c r="M61" s="154"/>
      <c r="N61" s="155">
        <f>SUM('Pay App 1:Pay App 22'!L61)+SUM('Pay App 1:Pay App 22'!M61)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Data'!$O$2:$BX$88,24,FALSE)</f>
        <v>0</v>
      </c>
      <c r="F62" s="155">
        <f>IFERROR(E62+'Pay App 21'!F62,"")</f>
        <v>0</v>
      </c>
      <c r="G62" s="155">
        <f>SUM('Pay App 1:Pay App 21'!H62)</f>
        <v>0</v>
      </c>
      <c r="H62" s="154"/>
      <c r="I62" s="155">
        <f t="shared" si="0"/>
        <v>0</v>
      </c>
      <c r="J62" s="156">
        <f t="shared" si="1"/>
        <v>0</v>
      </c>
      <c r="K62" s="155">
        <f t="shared" si="2"/>
        <v>0</v>
      </c>
      <c r="L62" s="155" t="str">
        <f>IF(AND('Summary Sheet'!$E$23="No",$H$33&gt;0,H62&gt;=1),"",IF(AND('Summary Sheet'!$E$23="Yes",H62&lt;&gt;""),H62*'Summary Sheet'!$G$23,""))</f>
        <v/>
      </c>
      <c r="M62" s="154"/>
      <c r="N62" s="155">
        <f>SUM('Pay App 1:Pay App 22'!L62)+SUM('Pay App 1:Pay App 22'!M62)</f>
        <v>0</v>
      </c>
    </row>
    <row r="63" spans="1:16" ht="11.25" customHeight="1" x14ac:dyDescent="0.25">
      <c r="A63" s="152">
        <v>7</v>
      </c>
      <c r="B63" s="174" t="str">
        <f>'Pay App 1'!B63</f>
        <v>01 31 00</v>
      </c>
      <c r="C63" s="179" t="str">
        <f>'Pay App 1'!C63</f>
        <v>Contractor's Supervision</v>
      </c>
      <c r="D63" s="155">
        <f>'Pay App 1'!D63</f>
        <v>0</v>
      </c>
      <c r="E63" s="155">
        <f>VLOOKUP(B63,'Graph Data'!$O$2:$BX$88,24,FALSE)</f>
        <v>0</v>
      </c>
      <c r="F63" s="155">
        <f>IFERROR(E63+'Pay App 21'!F63,"")</f>
        <v>0</v>
      </c>
      <c r="G63" s="155">
        <f>SUM('Pay App 1:Pay App 21'!H63)</f>
        <v>0</v>
      </c>
      <c r="H63" s="154"/>
      <c r="I63" s="155">
        <f t="shared" si="0"/>
        <v>0</v>
      </c>
      <c r="J63" s="156">
        <f t="shared" si="1"/>
        <v>0</v>
      </c>
      <c r="K63" s="155">
        <f t="shared" si="2"/>
        <v>0</v>
      </c>
      <c r="L63" s="155" t="str">
        <f>IF(AND('Summary Sheet'!$E$23="No",$H$33&gt;0,H63&gt;=1),"",IF(AND('Summary Sheet'!$E$23="Yes",H63&lt;&gt;""),H63*'Summary Sheet'!$G$23,""))</f>
        <v/>
      </c>
      <c r="M63" s="154"/>
      <c r="N63" s="155">
        <f>SUM('Pay App 1:Pay App 22'!L63)+SUM('Pay App 1:Pay App 22'!M63)</f>
        <v>0</v>
      </c>
    </row>
    <row r="64" spans="1:16" ht="11.25" customHeight="1" x14ac:dyDescent="0.25">
      <c r="A64" s="152">
        <v>8</v>
      </c>
      <c r="B64" s="174" t="str">
        <f>'Pay App 1'!B64</f>
        <v>01 32 00</v>
      </c>
      <c r="C64" s="179" t="str">
        <f>'Pay App 1'!C64</f>
        <v>General Liability Insurance</v>
      </c>
      <c r="D64" s="155">
        <f>'Pay App 1'!D64</f>
        <v>0</v>
      </c>
      <c r="E64" s="155">
        <f>VLOOKUP(B64,'Graph Data'!$O$2:$BX$88,24,FALSE)</f>
        <v>0</v>
      </c>
      <c r="F64" s="155">
        <f>IFERROR(E64+'Pay App 21'!F64,"")</f>
        <v>0</v>
      </c>
      <c r="G64" s="155">
        <f>SUM('Pay App 1:Pay App 21'!H64)</f>
        <v>0</v>
      </c>
      <c r="H64" s="154"/>
      <c r="I64" s="155">
        <f t="shared" si="0"/>
        <v>0</v>
      </c>
      <c r="J64" s="156">
        <f t="shared" si="1"/>
        <v>0</v>
      </c>
      <c r="K64" s="155">
        <f t="shared" si="2"/>
        <v>0</v>
      </c>
      <c r="L64" s="155" t="str">
        <f>IF(AND('Summary Sheet'!$E$23="No",$H$33&gt;0,H64&gt;=1),"",IF(AND('Summary Sheet'!$E$23="Yes",H64&lt;&gt;""),H64*'Summary Sheet'!$G$23,""))</f>
        <v/>
      </c>
      <c r="M64" s="154"/>
      <c r="N64" s="155">
        <f>SUM('Pay App 1:Pay App 22'!L64)+SUM('Pay App 1:Pay App 22'!M64)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Data'!$O$2:$BX$88,24,FALSE)</f>
        <v>0</v>
      </c>
      <c r="F65" s="155">
        <f>IFERROR(E65+'Pay App 21'!F65,"")</f>
        <v>0</v>
      </c>
      <c r="G65" s="155">
        <f>SUM('Pay App 1:Pay App 21'!H65)</f>
        <v>0</v>
      </c>
      <c r="H65" s="154"/>
      <c r="I65" s="155">
        <f t="shared" si="0"/>
        <v>0</v>
      </c>
      <c r="J65" s="156">
        <f t="shared" si="1"/>
        <v>0</v>
      </c>
      <c r="K65" s="155">
        <f t="shared" si="2"/>
        <v>0</v>
      </c>
      <c r="L65" s="155" t="str">
        <f>IF(AND('Summary Sheet'!$E$23="No",$H$33&gt;0,H65&gt;=1),"",IF(AND('Summary Sheet'!$E$23="Yes",H65&lt;&gt;""),H65*'Summary Sheet'!$G$23,""))</f>
        <v/>
      </c>
      <c r="M65" s="154"/>
      <c r="N65" s="155">
        <f>SUM('Pay App 1:Pay App 22'!L65)+SUM('Pay App 1:Pay App 22'!M65)</f>
        <v>0</v>
      </c>
    </row>
    <row r="66" spans="1:17" ht="11.25" customHeight="1" x14ac:dyDescent="0.25">
      <c r="A66" s="152">
        <v>10</v>
      </c>
      <c r="B66" s="174" t="str">
        <f>'Pay App 1'!B66</f>
        <v>01 34 00</v>
      </c>
      <c r="C66" s="179" t="str">
        <f>'Pay App 1'!C66</f>
        <v>Subcontractor Default Insurance</v>
      </c>
      <c r="D66" s="155">
        <f>'Pay App 1'!D66</f>
        <v>0</v>
      </c>
      <c r="E66" s="155">
        <f>VLOOKUP(B66,'Graph Data'!$O$2:$BX$88,24,FALSE)</f>
        <v>0</v>
      </c>
      <c r="F66" s="155">
        <f>IFERROR(E66+'Pay App 21'!F66,"")</f>
        <v>0</v>
      </c>
      <c r="G66" s="155">
        <f>SUM('Pay App 1:Pay App 21'!H66)</f>
        <v>0</v>
      </c>
      <c r="H66" s="154"/>
      <c r="I66" s="155">
        <f t="shared" si="0"/>
        <v>0</v>
      </c>
      <c r="J66" s="156">
        <f t="shared" si="1"/>
        <v>0</v>
      </c>
      <c r="K66" s="155">
        <f t="shared" si="2"/>
        <v>0</v>
      </c>
      <c r="L66" s="155" t="str">
        <f>IF(AND('Summary Sheet'!$E$23="No",$H$33&gt;0,H66&gt;=1),"",IF(AND('Summary Sheet'!$E$23="Yes",H66&lt;&gt;""),H66*'Summary Sheet'!$G$23,""))</f>
        <v/>
      </c>
      <c r="M66" s="154"/>
      <c r="N66" s="155">
        <f>SUM('Pay App 1:Pay App 22'!L66)+SUM('Pay App 1:Pay App 22'!M66)</f>
        <v>0</v>
      </c>
    </row>
    <row r="67" spans="1:17" ht="11.25" customHeight="1" x14ac:dyDescent="0.25">
      <c r="A67" s="152">
        <v>11</v>
      </c>
      <c r="B67" s="174" t="str">
        <f>'Pay App 1'!B67</f>
        <v>01 35 00</v>
      </c>
      <c r="C67" s="179" t="str">
        <f>'Pay App 1'!C67</f>
        <v>Construction Management Fee</v>
      </c>
      <c r="D67" s="155">
        <f>'Pay App 1'!D67</f>
        <v>0</v>
      </c>
      <c r="E67" s="155">
        <f>VLOOKUP(B67,'Graph Data'!$O$2:$BX$88,24,FALSE)</f>
        <v>0</v>
      </c>
      <c r="F67" s="155">
        <f>IFERROR(E67+'Pay App 21'!F67,"")</f>
        <v>0</v>
      </c>
      <c r="G67" s="155">
        <f>SUM('Pay App 1:Pay App 21'!H67)</f>
        <v>0</v>
      </c>
      <c r="H67" s="154"/>
      <c r="I67" s="155">
        <f t="shared" si="0"/>
        <v>0</v>
      </c>
      <c r="J67" s="156">
        <f t="shared" si="1"/>
        <v>0</v>
      </c>
      <c r="K67" s="155">
        <f t="shared" si="2"/>
        <v>0</v>
      </c>
      <c r="L67" s="155" t="str">
        <f>IF(AND('Summary Sheet'!$E$23="No",$H$33&gt;0,H67&gt;=1),"",IF(AND('Summary Sheet'!$E$23="Yes",H67&lt;&gt;""),H67*'Summary Sheet'!$G$23,""))</f>
        <v/>
      </c>
      <c r="M67" s="154"/>
      <c r="N67" s="155">
        <f>SUM('Pay App 1:Pay App 22'!L67)+SUM('Pay App 1:Pay App 22'!M67)</f>
        <v>0</v>
      </c>
    </row>
    <row r="68" spans="1:17" ht="11.25" customHeight="1" x14ac:dyDescent="0.25">
      <c r="A68" s="152">
        <v>12</v>
      </c>
      <c r="B68" s="174" t="str">
        <f>'Pay App 1'!B68</f>
        <v>01 36 00</v>
      </c>
      <c r="C68" s="179" t="str">
        <f>'Pay App 1'!C68</f>
        <v>Contingency</v>
      </c>
      <c r="D68" s="155">
        <f>'Pay App 1'!D68</f>
        <v>0</v>
      </c>
      <c r="E68" s="155">
        <f>VLOOKUP(B68,'Graph Data'!$O$2:$BX$88,24,FALSE)</f>
        <v>0</v>
      </c>
      <c r="F68" s="155">
        <f>IFERROR(E68+'Pay App 21'!F68,"")</f>
        <v>0</v>
      </c>
      <c r="G68" s="155">
        <f>SUM('Pay App 1:Pay App 21'!H68)</f>
        <v>0</v>
      </c>
      <c r="H68" s="154"/>
      <c r="I68" s="155">
        <f t="shared" si="0"/>
        <v>0</v>
      </c>
      <c r="J68" s="156">
        <f t="shared" si="1"/>
        <v>0</v>
      </c>
      <c r="K68" s="155">
        <f t="shared" si="2"/>
        <v>0</v>
      </c>
      <c r="L68" s="155" t="str">
        <f>IF(AND('Summary Sheet'!$E$23="No",$H$33&gt;0,H68&gt;=1),"",IF(AND('Summary Sheet'!$E$23="Yes",H68&lt;&gt;""),H68*'Summary Sheet'!$G$23,""))</f>
        <v/>
      </c>
      <c r="M68" s="154"/>
      <c r="N68" s="155">
        <f>SUM('Pay App 1:Pay App 22'!L68)+SUM('Pay App 1:Pay App 22'!M68)</f>
        <v>0</v>
      </c>
    </row>
    <row r="69" spans="1:17" ht="11.25" customHeight="1" x14ac:dyDescent="0.25">
      <c r="A69" s="152">
        <v>13</v>
      </c>
      <c r="B69" s="174" t="str">
        <f>'Pay App 1'!B69</f>
        <v>01 37 00</v>
      </c>
      <c r="C69" s="179" t="str">
        <f>'Pay App 1'!C69</f>
        <v>Weather Allowance (All Trades)</v>
      </c>
      <c r="D69" s="155">
        <f>'Pay App 1'!D69</f>
        <v>0</v>
      </c>
      <c r="E69" s="155">
        <f>VLOOKUP(B69,'Graph Data'!$O$2:$BX$88,24,FALSE)</f>
        <v>0</v>
      </c>
      <c r="F69" s="155">
        <f>IFERROR(E69+'Pay App 21'!F69,"")</f>
        <v>0</v>
      </c>
      <c r="G69" s="155">
        <f>SUM('Pay App 1:Pay App 21'!H69)</f>
        <v>0</v>
      </c>
      <c r="H69" s="154"/>
      <c r="I69" s="155">
        <f t="shared" si="0"/>
        <v>0</v>
      </c>
      <c r="J69" s="156">
        <f t="shared" si="1"/>
        <v>0</v>
      </c>
      <c r="K69" s="155">
        <f t="shared" si="2"/>
        <v>0</v>
      </c>
      <c r="L69" s="155" t="str">
        <f>IF(AND('Summary Sheet'!$E$23="No",$H$33&gt;0,H69&gt;=1),"",IF(AND('Summary Sheet'!$E$23="Yes",H69&lt;&gt;""),H69*'Summary Sheet'!$G$23,""))</f>
        <v/>
      </c>
      <c r="M69" s="154"/>
      <c r="N69" s="155">
        <f>SUM('Pay App 1:Pay App 22'!L69)+SUM('Pay App 1:Pay App 22'!M69)</f>
        <v>0</v>
      </c>
    </row>
    <row r="70" spans="1:17" ht="11.25" customHeight="1" x14ac:dyDescent="0.25">
      <c r="A70" s="152">
        <v>14</v>
      </c>
      <c r="B70" s="174" t="str">
        <f>'Pay App 1'!B70</f>
        <v>01 74 23</v>
      </c>
      <c r="C70" s="179" t="str">
        <f>'Pay App 1'!C70</f>
        <v>Cleaning (Final)</v>
      </c>
      <c r="D70" s="155">
        <f>'Pay App 1'!D70</f>
        <v>0</v>
      </c>
      <c r="E70" s="155">
        <f>VLOOKUP(B70,'Graph Data'!$O$2:$BX$88,24,FALSE)</f>
        <v>0</v>
      </c>
      <c r="F70" s="155">
        <f>IFERROR(E70+'Pay App 21'!F70,"")</f>
        <v>0</v>
      </c>
      <c r="G70" s="155">
        <f>SUM('Pay App 1:Pay App 21'!H70)</f>
        <v>0</v>
      </c>
      <c r="H70" s="154"/>
      <c r="I70" s="155">
        <f t="shared" si="0"/>
        <v>0</v>
      </c>
      <c r="J70" s="156">
        <f t="shared" si="1"/>
        <v>0</v>
      </c>
      <c r="K70" s="155">
        <f t="shared" si="2"/>
        <v>0</v>
      </c>
      <c r="L70" s="155" t="str">
        <f>IF(AND('Summary Sheet'!$E$23="No",$H$33&gt;0,H70&gt;=1),"",IF(AND('Summary Sheet'!$E$23="Yes",H70&lt;&gt;""),H70*'Summary Sheet'!$G$23,""))</f>
        <v/>
      </c>
      <c r="M70" s="154"/>
      <c r="N70" s="155">
        <f>SUM('Pay App 1:Pay App 22'!L70)+SUM('Pay App 1:Pay App 22'!M70)</f>
        <v>0</v>
      </c>
    </row>
    <row r="71" spans="1:17" ht="11.25" customHeight="1" x14ac:dyDescent="0.25">
      <c r="A71" s="152">
        <v>15</v>
      </c>
      <c r="B71" s="175" t="str">
        <f>'Pay App 1'!B71</f>
        <v>02 21 00</v>
      </c>
      <c r="C71" s="180" t="str">
        <f>'Pay App 1'!C71</f>
        <v>Survey/Engineering</v>
      </c>
      <c r="D71" s="155">
        <f>'Pay App 1'!D71</f>
        <v>0</v>
      </c>
      <c r="E71" s="155">
        <f>VLOOKUP(B71,'Graph Data'!$O$2:$BX$88,24,FALSE)</f>
        <v>0</v>
      </c>
      <c r="F71" s="155">
        <f>IFERROR(E71+'Pay App 21'!F71,"")</f>
        <v>0</v>
      </c>
      <c r="G71" s="155">
        <f>SUM('Pay App 1:Pay App 21'!H71)</f>
        <v>0</v>
      </c>
      <c r="H71" s="154"/>
      <c r="I71" s="155">
        <f t="shared" si="0"/>
        <v>0</v>
      </c>
      <c r="J71" s="156">
        <f t="shared" si="1"/>
        <v>0</v>
      </c>
      <c r="K71" s="155">
        <f t="shared" si="2"/>
        <v>0</v>
      </c>
      <c r="L71" s="155" t="str">
        <f>IF(AND('Summary Sheet'!$E$23="No",$H$33&gt;0,H71&gt;=1),"",IF(AND('Summary Sheet'!$E$23="Yes",H71&lt;&gt;""),H71*'Summary Sheet'!$G$23,""))</f>
        <v/>
      </c>
      <c r="M71" s="154"/>
      <c r="N71" s="155">
        <f>SUM('Pay App 1:Pay App 22'!L71)+SUM('Pay App 1:Pay App 22'!M71)</f>
        <v>0</v>
      </c>
      <c r="Q71" s="28"/>
    </row>
    <row r="72" spans="1:17" ht="11.25" customHeight="1" x14ac:dyDescent="0.25">
      <c r="A72" s="152">
        <v>16</v>
      </c>
      <c r="B72" s="175" t="str">
        <f>'Pay App 1'!B72</f>
        <v>02 41 00</v>
      </c>
      <c r="C72" s="180" t="str">
        <f>'Pay App 1'!C72</f>
        <v>Demolition</v>
      </c>
      <c r="D72" s="155">
        <f>'Pay App 1'!D72</f>
        <v>0</v>
      </c>
      <c r="E72" s="155">
        <f>VLOOKUP(B72,'Graph Data'!$O$2:$BX$88,24,FALSE)</f>
        <v>0</v>
      </c>
      <c r="F72" s="155">
        <f>IFERROR(E72+'Pay App 21'!F72,"")</f>
        <v>0</v>
      </c>
      <c r="G72" s="155">
        <f>SUM('Pay App 1:Pay App 21'!H72)</f>
        <v>0</v>
      </c>
      <c r="H72" s="154"/>
      <c r="I72" s="155">
        <f t="shared" si="0"/>
        <v>0</v>
      </c>
      <c r="J72" s="156">
        <f t="shared" si="1"/>
        <v>0</v>
      </c>
      <c r="K72" s="155">
        <f t="shared" si="2"/>
        <v>0</v>
      </c>
      <c r="L72" s="155" t="str">
        <f>IF(AND('Summary Sheet'!$E$23="No",$H$33&gt;0,H72&gt;=1),"",IF(AND('Summary Sheet'!$E$23="Yes",H72&lt;&gt;""),H72*'Summary Sheet'!$G$23,""))</f>
        <v/>
      </c>
      <c r="M72" s="154"/>
      <c r="N72" s="155">
        <f>SUM('Pay App 1:Pay App 22'!L72)+SUM('Pay App 1:Pay App 22'!M72)</f>
        <v>0</v>
      </c>
      <c r="Q72" s="28"/>
    </row>
    <row r="73" spans="1:17" ht="11.25" customHeight="1" x14ac:dyDescent="0.25">
      <c r="A73" s="152">
        <v>17</v>
      </c>
      <c r="B73" s="175" t="str">
        <f>'Pay App 1'!B73</f>
        <v>02 82 00</v>
      </c>
      <c r="C73" s="180" t="str">
        <f>'Pay App 1'!C73</f>
        <v>Asbestos Abatement</v>
      </c>
      <c r="D73" s="155">
        <f>'Pay App 1'!D73</f>
        <v>0</v>
      </c>
      <c r="E73" s="155">
        <f>VLOOKUP(B73,'Graph Data'!$O$2:$BX$88,24,FALSE)</f>
        <v>0</v>
      </c>
      <c r="F73" s="155">
        <f>IFERROR(E73+'Pay App 21'!F73,"")</f>
        <v>0</v>
      </c>
      <c r="G73" s="155">
        <f>SUM('Pay App 1:Pay App 21'!H73)</f>
        <v>0</v>
      </c>
      <c r="H73" s="154"/>
      <c r="I73" s="155">
        <f t="shared" si="0"/>
        <v>0</v>
      </c>
      <c r="J73" s="156">
        <f t="shared" si="1"/>
        <v>0</v>
      </c>
      <c r="K73" s="155">
        <f t="shared" si="2"/>
        <v>0</v>
      </c>
      <c r="L73" s="155" t="str">
        <f>IF(AND('Summary Sheet'!$E$23="No",$H$33&gt;0,H73&gt;=1),"",IF(AND('Summary Sheet'!$E$23="Yes",H73&lt;&gt;""),H73*'Summary Sheet'!$G$23,""))</f>
        <v/>
      </c>
      <c r="M73" s="154"/>
      <c r="N73" s="155">
        <f>SUM('Pay App 1:Pay App 22'!L73)+SUM('Pay App 1:Pay App 22'!M73)</f>
        <v>0</v>
      </c>
    </row>
    <row r="74" spans="1:17" ht="11.25" customHeight="1" x14ac:dyDescent="0.25">
      <c r="A74" s="152">
        <v>18</v>
      </c>
      <c r="B74" s="176" t="str">
        <f>'Pay App 1'!B74</f>
        <v>03 00 00</v>
      </c>
      <c r="C74" s="181" t="str">
        <f>'Pay App 1'!C74</f>
        <v>Building Concrete</v>
      </c>
      <c r="D74" s="155">
        <f>'Pay App 1'!D74</f>
        <v>0</v>
      </c>
      <c r="E74" s="155">
        <f>VLOOKUP(B74,'Graph Data'!$O$2:$BX$88,24,FALSE)</f>
        <v>0</v>
      </c>
      <c r="F74" s="155">
        <f>IFERROR(E74+'Pay App 21'!F74,"")</f>
        <v>0</v>
      </c>
      <c r="G74" s="155">
        <f>SUM('Pay App 1:Pay App 21'!H74)</f>
        <v>0</v>
      </c>
      <c r="H74" s="154"/>
      <c r="I74" s="155">
        <f t="shared" si="0"/>
        <v>0</v>
      </c>
      <c r="J74" s="156">
        <f t="shared" si="1"/>
        <v>0</v>
      </c>
      <c r="K74" s="155">
        <f t="shared" si="2"/>
        <v>0</v>
      </c>
      <c r="L74" s="155" t="str">
        <f>IF(AND('Summary Sheet'!$E$23="No",$H$33&gt;0,H74&gt;=1),"",IF(AND('Summary Sheet'!$E$23="Yes",H74&lt;&gt;""),H74*'Summary Sheet'!$G$23,""))</f>
        <v/>
      </c>
      <c r="M74" s="154"/>
      <c r="N74" s="155">
        <f>SUM('Pay App 1:Pay App 22'!L74)+SUM('Pay App 1:Pay App 22'!M74)</f>
        <v>0</v>
      </c>
    </row>
    <row r="75" spans="1:17" ht="11.25" customHeight="1" x14ac:dyDescent="0.25">
      <c r="A75" s="152">
        <v>19</v>
      </c>
      <c r="B75" s="176" t="str">
        <f>'Pay App 1'!B75</f>
        <v>03 20 00</v>
      </c>
      <c r="C75" s="181" t="str">
        <f>'Pay App 1'!C75</f>
        <v>Building Concrete Reinforcing</v>
      </c>
      <c r="D75" s="155">
        <f>'Pay App 1'!D75</f>
        <v>0</v>
      </c>
      <c r="E75" s="155">
        <f>VLOOKUP(B75,'Graph Data'!$O$2:$BX$88,24,FALSE)</f>
        <v>0</v>
      </c>
      <c r="F75" s="155">
        <f>IFERROR(E75+'Pay App 21'!F75,"")</f>
        <v>0</v>
      </c>
      <c r="G75" s="155">
        <f>SUM('Pay App 1:Pay App 21'!H75)</f>
        <v>0</v>
      </c>
      <c r="H75" s="154"/>
      <c r="I75" s="155">
        <f t="shared" si="0"/>
        <v>0</v>
      </c>
      <c r="J75" s="156">
        <f t="shared" si="1"/>
        <v>0</v>
      </c>
      <c r="K75" s="155">
        <f t="shared" si="2"/>
        <v>0</v>
      </c>
      <c r="L75" s="155" t="str">
        <f>IF(AND('Summary Sheet'!$E$23="No",$H$33&gt;0,H75&gt;=1),"",IF(AND('Summary Sheet'!$E$23="Yes",H75&lt;&gt;""),H75*'Summary Sheet'!$G$23,""))</f>
        <v/>
      </c>
      <c r="M75" s="154"/>
      <c r="N75" s="155">
        <f>SUM('Pay App 1:Pay App 22'!L75)+SUM('Pay App 1:Pay App 22'!M75)</f>
        <v>0</v>
      </c>
    </row>
    <row r="76" spans="1:17" ht="11.25" customHeight="1" x14ac:dyDescent="0.25">
      <c r="A76" s="152">
        <v>20</v>
      </c>
      <c r="B76" s="176" t="str">
        <f>'Pay App 1'!B76</f>
        <v>03 40 00</v>
      </c>
      <c r="C76" s="181" t="str">
        <f>'Pay App 1'!C76</f>
        <v>Precast</v>
      </c>
      <c r="D76" s="155">
        <f>'Pay App 1'!D76</f>
        <v>0</v>
      </c>
      <c r="E76" s="155">
        <f>VLOOKUP(B76,'Graph Data'!$O$2:$BX$88,24,FALSE)</f>
        <v>0</v>
      </c>
      <c r="F76" s="155">
        <f>IFERROR(E76+'Pay App 21'!F76,"")</f>
        <v>0</v>
      </c>
      <c r="G76" s="155">
        <f>SUM('Pay App 1:Pay App 21'!H76)</f>
        <v>0</v>
      </c>
      <c r="H76" s="154"/>
      <c r="I76" s="155">
        <f t="shared" si="0"/>
        <v>0</v>
      </c>
      <c r="J76" s="156">
        <f t="shared" si="1"/>
        <v>0</v>
      </c>
      <c r="K76" s="155">
        <f t="shared" si="2"/>
        <v>0</v>
      </c>
      <c r="L76" s="155" t="str">
        <f>IF(AND('Summary Sheet'!$E$23="No",$H$33&gt;0,H76&gt;=1),"",IF(AND('Summary Sheet'!$E$23="Yes",H76&lt;&gt;""),H76*'Summary Sheet'!$G$23,""))</f>
        <v/>
      </c>
      <c r="M76" s="154"/>
      <c r="N76" s="155">
        <f>SUM('Pay App 1:Pay App 22'!L76)+SUM('Pay App 1:Pay App 22'!M76)</f>
        <v>0</v>
      </c>
    </row>
    <row r="77" spans="1:17" ht="11.25" customHeight="1" x14ac:dyDescent="0.25">
      <c r="A77" s="152">
        <v>21</v>
      </c>
      <c r="B77" s="177" t="str">
        <f>'Pay App 1'!B77</f>
        <v>04 00 00</v>
      </c>
      <c r="C77" s="182" t="str">
        <f>'Pay App 1'!C77</f>
        <v>Masonry</v>
      </c>
      <c r="D77" s="155">
        <f>'Pay App 1'!D77</f>
        <v>0</v>
      </c>
      <c r="E77" s="155">
        <f>VLOOKUP(B77,'Graph Data'!$O$2:$BX$88,24,FALSE)</f>
        <v>0</v>
      </c>
      <c r="F77" s="155">
        <f>IFERROR(E77+'Pay App 21'!F77,"")</f>
        <v>0</v>
      </c>
      <c r="G77" s="155">
        <f>SUM('Pay App 1:Pay App 21'!H77)</f>
        <v>0</v>
      </c>
      <c r="H77" s="154"/>
      <c r="I77" s="155">
        <f t="shared" si="0"/>
        <v>0</v>
      </c>
      <c r="J77" s="156">
        <f t="shared" si="1"/>
        <v>0</v>
      </c>
      <c r="K77" s="155">
        <f t="shared" si="2"/>
        <v>0</v>
      </c>
      <c r="L77" s="155" t="str">
        <f>IF(AND('Summary Sheet'!$E$23="No",$H$33&gt;0,H77&gt;=1),"",IF(AND('Summary Sheet'!$E$23="Yes",H77&lt;&gt;""),H77*'Summary Sheet'!$G$23,""))</f>
        <v/>
      </c>
      <c r="M77" s="154"/>
      <c r="N77" s="155">
        <f>SUM('Pay App 1:Pay App 22'!L77)+SUM('Pay App 1:Pay App 22'!M77)</f>
        <v>0</v>
      </c>
    </row>
    <row r="78" spans="1:17" ht="11.25" customHeight="1" x14ac:dyDescent="0.25">
      <c r="A78" s="152">
        <v>22</v>
      </c>
      <c r="B78" s="177" t="str">
        <f>'Pay App 1'!B78</f>
        <v>04 05 19</v>
      </c>
      <c r="C78" s="182" t="str">
        <f>'Pay App 1'!C78</f>
        <v>Masonry Reinforcing</v>
      </c>
      <c r="D78" s="155">
        <f>'Pay App 1'!D78</f>
        <v>0</v>
      </c>
      <c r="E78" s="155">
        <f>VLOOKUP(B78,'Graph Data'!$O$2:$BX$88,24,FALSE)</f>
        <v>0</v>
      </c>
      <c r="F78" s="155">
        <f>IFERROR(E78+'Pay App 21'!F78,"")</f>
        <v>0</v>
      </c>
      <c r="G78" s="155">
        <f>SUM('Pay App 1:Pay App 21'!H78)</f>
        <v>0</v>
      </c>
      <c r="H78" s="154"/>
      <c r="I78" s="155">
        <f t="shared" si="0"/>
        <v>0</v>
      </c>
      <c r="J78" s="156">
        <f t="shared" si="1"/>
        <v>0</v>
      </c>
      <c r="K78" s="155">
        <f t="shared" si="2"/>
        <v>0</v>
      </c>
      <c r="L78" s="155" t="str">
        <f>IF(AND('Summary Sheet'!$E$23="No",$H$33&gt;0,H78&gt;=1),"",IF(AND('Summary Sheet'!$E$23="Yes",H78&lt;&gt;""),H78*'Summary Sheet'!$G$23,""))</f>
        <v/>
      </c>
      <c r="M78" s="154"/>
      <c r="N78" s="155">
        <f>SUM('Pay App 1:Pay App 22'!L78)+SUM('Pay App 1:Pay App 22'!M78)</f>
        <v>0</v>
      </c>
    </row>
    <row r="79" spans="1:17" ht="11.25" customHeight="1" x14ac:dyDescent="0.25">
      <c r="A79" s="152">
        <v>23</v>
      </c>
      <c r="B79" s="178" t="str">
        <f>'Pay App 1'!B79</f>
        <v>05 10 00</v>
      </c>
      <c r="C79" s="183" t="str">
        <f>'Pay App 1'!C79</f>
        <v>Structural Steel/Misc. Steel Fab</v>
      </c>
      <c r="D79" s="155">
        <f>'Pay App 1'!D79</f>
        <v>0</v>
      </c>
      <c r="E79" s="155">
        <f>VLOOKUP(B79,'Graph Data'!$O$2:$BX$88,24,FALSE)</f>
        <v>0</v>
      </c>
      <c r="F79" s="155">
        <f>IFERROR(E79+'Pay App 21'!F79,"")</f>
        <v>0</v>
      </c>
      <c r="G79" s="155">
        <f>SUM('Pay App 1:Pay App 21'!H79)</f>
        <v>0</v>
      </c>
      <c r="H79" s="154"/>
      <c r="I79" s="155">
        <f t="shared" si="0"/>
        <v>0</v>
      </c>
      <c r="J79" s="156">
        <f t="shared" si="1"/>
        <v>0</v>
      </c>
      <c r="K79" s="155">
        <f t="shared" si="2"/>
        <v>0</v>
      </c>
      <c r="L79" s="155" t="str">
        <f>IF(AND('Summary Sheet'!$E$23="No",$H$33&gt;0,H79&gt;=1),"",IF(AND('Summary Sheet'!$E$23="Yes",H79&lt;&gt;""),H79*'Summary Sheet'!$G$23,""))</f>
        <v/>
      </c>
      <c r="M79" s="154"/>
      <c r="N79" s="155">
        <f>SUM('Pay App 1:Pay App 22'!L79)+SUM('Pay App 1:Pay App 22'!M79)</f>
        <v>0</v>
      </c>
    </row>
    <row r="80" spans="1:17" ht="11.25" customHeight="1" x14ac:dyDescent="0.25">
      <c r="A80" s="152">
        <v>24</v>
      </c>
      <c r="B80" s="178" t="str">
        <f>'Pay App 1'!B80</f>
        <v>05 20 00</v>
      </c>
      <c r="C80" s="183" t="str">
        <f>'Pay App 1'!C80</f>
        <v>Joists &amp; Deck</v>
      </c>
      <c r="D80" s="155">
        <f>'Pay App 1'!D80</f>
        <v>0</v>
      </c>
      <c r="E80" s="155">
        <f>VLOOKUP(B80,'Graph Data'!$O$2:$BX$88,24,FALSE)</f>
        <v>0</v>
      </c>
      <c r="F80" s="155">
        <f>IFERROR(E80+'Pay App 21'!F80,"")</f>
        <v>0</v>
      </c>
      <c r="G80" s="155">
        <f>SUM('Pay App 1:Pay App 21'!H80)</f>
        <v>0</v>
      </c>
      <c r="H80" s="154"/>
      <c r="I80" s="155">
        <f t="shared" si="0"/>
        <v>0</v>
      </c>
      <c r="J80" s="156">
        <f t="shared" si="1"/>
        <v>0</v>
      </c>
      <c r="K80" s="155">
        <f t="shared" si="2"/>
        <v>0</v>
      </c>
      <c r="L80" s="155" t="str">
        <f>IF(AND('Summary Sheet'!$E$23="No",$H$33&gt;0,H80&gt;=1),"",IF(AND('Summary Sheet'!$E$23="Yes",H80&lt;&gt;""),H80*'Summary Sheet'!$G$23,""))</f>
        <v/>
      </c>
      <c r="M80" s="154"/>
      <c r="N80" s="155">
        <f>SUM('Pay App 1:Pay App 22'!L80)+SUM('Pay App 1:Pay App 22'!M80)</f>
        <v>0</v>
      </c>
    </row>
    <row r="81" spans="1:14" ht="11.25" customHeight="1" x14ac:dyDescent="0.25">
      <c r="A81" s="152">
        <v>25</v>
      </c>
      <c r="B81" s="178" t="str">
        <f>'Pay App 1'!B81</f>
        <v>05 70 00</v>
      </c>
      <c r="C81" s="183" t="str">
        <f>'Pay App 1'!C81</f>
        <v>Ornamental Metal</v>
      </c>
      <c r="D81" s="155">
        <f>'Pay App 1'!D81</f>
        <v>0</v>
      </c>
      <c r="E81" s="155">
        <f>VLOOKUP(B81,'Graph Data'!$O$2:$BX$88,24,FALSE)</f>
        <v>0</v>
      </c>
      <c r="F81" s="155">
        <f>IFERROR(E81+'Pay App 21'!F81,"")</f>
        <v>0</v>
      </c>
      <c r="G81" s="155">
        <f>SUM('Pay App 1:Pay App 21'!H81)</f>
        <v>0</v>
      </c>
      <c r="H81" s="154"/>
      <c r="I81" s="155">
        <f t="shared" si="0"/>
        <v>0</v>
      </c>
      <c r="J81" s="156">
        <f t="shared" si="1"/>
        <v>0</v>
      </c>
      <c r="K81" s="155">
        <f t="shared" si="2"/>
        <v>0</v>
      </c>
      <c r="L81" s="155" t="str">
        <f>IF(AND('Summary Sheet'!$E$23="No",$H$33&gt;0,H81&gt;=1),"",IF(AND('Summary Sheet'!$E$23="Yes",H81&lt;&gt;""),H81*'Summary Sheet'!$G$23,""))</f>
        <v/>
      </c>
      <c r="M81" s="154"/>
      <c r="N81" s="155">
        <f>SUM('Pay App 1:Pay App 22'!L81)+SUM('Pay App 1:Pay App 22'!M81)</f>
        <v>0</v>
      </c>
    </row>
    <row r="82" spans="1:14" ht="11.25" customHeight="1" x14ac:dyDescent="0.25">
      <c r="A82" s="152">
        <v>26</v>
      </c>
      <c r="B82" s="145" t="str">
        <f>'Pay App 1'!B82</f>
        <v>06 10 00</v>
      </c>
      <c r="C82" s="134" t="str">
        <f>'Pay App 1'!C82</f>
        <v>Rough Carpentry</v>
      </c>
      <c r="D82" s="155">
        <f>'Pay App 1'!D82</f>
        <v>0</v>
      </c>
      <c r="E82" s="155">
        <f>VLOOKUP(B82,'Graph Data'!$O$2:$BX$88,24,FALSE)</f>
        <v>0</v>
      </c>
      <c r="F82" s="155">
        <f>IFERROR(E82+'Pay App 21'!F82,"")</f>
        <v>0</v>
      </c>
      <c r="G82" s="155">
        <f>SUM('Pay App 1:Pay App 21'!H82)</f>
        <v>0</v>
      </c>
      <c r="H82" s="154"/>
      <c r="I82" s="155">
        <f t="shared" si="0"/>
        <v>0</v>
      </c>
      <c r="J82" s="156">
        <f t="shared" si="1"/>
        <v>0</v>
      </c>
      <c r="K82" s="155">
        <f t="shared" si="2"/>
        <v>0</v>
      </c>
      <c r="L82" s="155" t="str">
        <f>IF(AND('Summary Sheet'!$E$23="No",$H$33&gt;0,H82&gt;=1),"",IF(AND('Summary Sheet'!$E$23="Yes",H82&lt;&gt;""),H82*'Summary Sheet'!$G$23,""))</f>
        <v/>
      </c>
      <c r="M82" s="154"/>
      <c r="N82" s="155">
        <f>SUM('Pay App 1:Pay App 22'!L82)+SUM('Pay App 1:Pay App 22'!M82)</f>
        <v>0</v>
      </c>
    </row>
    <row r="83" spans="1:14" ht="11.25" customHeight="1" x14ac:dyDescent="0.25">
      <c r="A83" s="152">
        <v>27</v>
      </c>
      <c r="B83" s="145" t="str">
        <f>'Pay App 1'!B83</f>
        <v>06 40 00</v>
      </c>
      <c r="C83" s="134" t="str">
        <f>'Pay App 1'!C83</f>
        <v>Arch. Woodwork &amp; Finish Carp.</v>
      </c>
      <c r="D83" s="155">
        <f>'Pay App 1'!D83</f>
        <v>0</v>
      </c>
      <c r="E83" s="155">
        <f>VLOOKUP(B83,'Graph Data'!$O$2:$BX$88,24,FALSE)</f>
        <v>0</v>
      </c>
      <c r="F83" s="155">
        <f>IFERROR(E83+'Pay App 21'!F83,"")</f>
        <v>0</v>
      </c>
      <c r="G83" s="155">
        <f>SUM('Pay App 1:Pay App 21'!H83)</f>
        <v>0</v>
      </c>
      <c r="H83" s="154"/>
      <c r="I83" s="155">
        <f t="shared" si="0"/>
        <v>0</v>
      </c>
      <c r="J83" s="156">
        <f t="shared" si="1"/>
        <v>0</v>
      </c>
      <c r="K83" s="155">
        <f t="shared" si="2"/>
        <v>0</v>
      </c>
      <c r="L83" s="155" t="str">
        <f>IF(AND('Summary Sheet'!$E$23="No",$H$33&gt;0,H83&gt;=1),"",IF(AND('Summary Sheet'!$E$23="Yes",H83&lt;&gt;""),H83*'Summary Sheet'!$G$23,""))</f>
        <v/>
      </c>
      <c r="M83" s="154"/>
      <c r="N83" s="155">
        <f>SUM('Pay App 1:Pay App 22'!L83)+SUM('Pay App 1:Pay App 22'!M83)</f>
        <v>0</v>
      </c>
    </row>
    <row r="84" spans="1:14" ht="11.25" customHeight="1" x14ac:dyDescent="0.25">
      <c r="A84" s="152">
        <v>28</v>
      </c>
      <c r="B84" s="174" t="str">
        <f>'Pay App 1'!B84</f>
        <v>07 10 00</v>
      </c>
      <c r="C84" s="179" t="str">
        <f>'Pay App 1'!C84</f>
        <v>Waterproofing/Water Repellents</v>
      </c>
      <c r="D84" s="155">
        <f>'Pay App 1'!D84</f>
        <v>0</v>
      </c>
      <c r="E84" s="155">
        <f>VLOOKUP(B84,'Graph Data'!$O$2:$BX$88,24,FALSE)</f>
        <v>0</v>
      </c>
      <c r="F84" s="155">
        <f>IFERROR(E84+'Pay App 21'!F84,"")</f>
        <v>0</v>
      </c>
      <c r="G84" s="155">
        <f>SUM('Pay App 1:Pay App 21'!H84)</f>
        <v>0</v>
      </c>
      <c r="H84" s="154"/>
      <c r="I84" s="155">
        <f t="shared" si="0"/>
        <v>0</v>
      </c>
      <c r="J84" s="156">
        <f t="shared" si="1"/>
        <v>0</v>
      </c>
      <c r="K84" s="155">
        <f t="shared" si="2"/>
        <v>0</v>
      </c>
      <c r="L84" s="155" t="str">
        <f>IF(AND('Summary Sheet'!$E$23="No",$H$33&gt;0,H84&gt;=1),"",IF(AND('Summary Sheet'!$E$23="Yes",H84&lt;&gt;""),H84*'Summary Sheet'!$G$23,""))</f>
        <v/>
      </c>
      <c r="M84" s="154"/>
      <c r="N84" s="155">
        <f>SUM('Pay App 1:Pay App 22'!L84)+SUM('Pay App 1:Pay App 22'!M84)</f>
        <v>0</v>
      </c>
    </row>
    <row r="85" spans="1:14" ht="11.25" customHeight="1" x14ac:dyDescent="0.25">
      <c r="A85" s="152">
        <v>29</v>
      </c>
      <c r="B85" s="174" t="str">
        <f>'Pay App 1'!B85</f>
        <v>07 20 00</v>
      </c>
      <c r="C85" s="179" t="str">
        <f>'Pay App 1'!C85</f>
        <v>Insulation</v>
      </c>
      <c r="D85" s="155">
        <f>'Pay App 1'!D85</f>
        <v>0</v>
      </c>
      <c r="E85" s="155">
        <f>VLOOKUP(B85,'Graph Data'!$O$2:$BX$88,24,FALSE)</f>
        <v>0</v>
      </c>
      <c r="F85" s="155">
        <f>IFERROR(E85+'Pay App 21'!F85,"")</f>
        <v>0</v>
      </c>
      <c r="G85" s="155">
        <f>SUM('Pay App 1:Pay App 21'!H85)</f>
        <v>0</v>
      </c>
      <c r="H85" s="154"/>
      <c r="I85" s="155">
        <f t="shared" si="0"/>
        <v>0</v>
      </c>
      <c r="J85" s="156">
        <f t="shared" si="1"/>
        <v>0</v>
      </c>
      <c r="K85" s="155">
        <f t="shared" si="2"/>
        <v>0</v>
      </c>
      <c r="L85" s="155" t="str">
        <f>IF(AND('Summary Sheet'!$E$23="No",$H$33&gt;0,H85&gt;=1),"",IF(AND('Summary Sheet'!$E$23="Yes",H85&lt;&gt;""),H85*'Summary Sheet'!$G$23,""))</f>
        <v/>
      </c>
      <c r="M85" s="154"/>
      <c r="N85" s="155">
        <f>SUM('Pay App 1:Pay App 22'!L85)+SUM('Pay App 1:Pay App 22'!M85)</f>
        <v>0</v>
      </c>
    </row>
    <row r="86" spans="1:14" ht="11.25" customHeight="1" x14ac:dyDescent="0.25">
      <c r="A86" s="152">
        <v>30</v>
      </c>
      <c r="B86" s="174" t="str">
        <f>'Pay App 1'!B86</f>
        <v>07 24 00</v>
      </c>
      <c r="C86" s="179" t="str">
        <f>'Pay App 1'!C86</f>
        <v>EIFS</v>
      </c>
      <c r="D86" s="155">
        <f>'Pay App 1'!D86</f>
        <v>0</v>
      </c>
      <c r="E86" s="155">
        <f>VLOOKUP(B86,'Graph Data'!$O$2:$BX$88,24,FALSE)</f>
        <v>0</v>
      </c>
      <c r="F86" s="155">
        <f>IFERROR(E86+'Pay App 21'!F86,"")</f>
        <v>0</v>
      </c>
      <c r="G86" s="155">
        <f>SUM('Pay App 1:Pay App 21'!H86)</f>
        <v>0</v>
      </c>
      <c r="H86" s="154"/>
      <c r="I86" s="155">
        <f t="shared" si="0"/>
        <v>0</v>
      </c>
      <c r="J86" s="156">
        <f t="shared" si="1"/>
        <v>0</v>
      </c>
      <c r="K86" s="155">
        <f t="shared" si="2"/>
        <v>0</v>
      </c>
      <c r="L86" s="155" t="str">
        <f>IF(AND('Summary Sheet'!$E$23="No",$H$33&gt;0,H86&gt;=1),"",IF(AND('Summary Sheet'!$E$23="Yes",H86&lt;&gt;""),H86*'Summary Sheet'!$G$23,""))</f>
        <v/>
      </c>
      <c r="M86" s="154"/>
      <c r="N86" s="155">
        <f>SUM('Pay App 1:Pay App 22'!L86)+SUM('Pay App 1:Pay App 22'!M86)</f>
        <v>0</v>
      </c>
    </row>
    <row r="87" spans="1:14" ht="11.25" customHeight="1" x14ac:dyDescent="0.25">
      <c r="A87" s="152">
        <v>31</v>
      </c>
      <c r="B87" s="174" t="str">
        <f>'Pay App 1'!B87</f>
        <v>07 26 00</v>
      </c>
      <c r="C87" s="179" t="str">
        <f>'Pay App 1'!C87</f>
        <v>Vapor Retarders</v>
      </c>
      <c r="D87" s="155">
        <f>'Pay App 1'!D87</f>
        <v>0</v>
      </c>
      <c r="E87" s="155">
        <f>VLOOKUP(B87,'Graph Data'!$O$2:$BX$88,24,FALSE)</f>
        <v>0</v>
      </c>
      <c r="F87" s="155">
        <f>IFERROR(E87+'Pay App 21'!F87,"")</f>
        <v>0</v>
      </c>
      <c r="G87" s="155">
        <f>SUM('Pay App 1:Pay App 21'!H87)</f>
        <v>0</v>
      </c>
      <c r="H87" s="154"/>
      <c r="I87" s="155">
        <f t="shared" si="0"/>
        <v>0</v>
      </c>
      <c r="J87" s="156">
        <f t="shared" si="1"/>
        <v>0</v>
      </c>
      <c r="K87" s="155">
        <f t="shared" si="2"/>
        <v>0</v>
      </c>
      <c r="L87" s="155" t="str">
        <f>IF(AND('Summary Sheet'!$E$23="No",$H$33&gt;0,H87&gt;=1),"",IF(AND('Summary Sheet'!$E$23="Yes",H87&lt;&gt;""),H87*'Summary Sheet'!$G$23,""))</f>
        <v/>
      </c>
      <c r="M87" s="154"/>
      <c r="N87" s="155">
        <f>SUM('Pay App 1:Pay App 22'!L87)+SUM('Pay App 1:Pay App 22'!M87)</f>
        <v>0</v>
      </c>
    </row>
    <row r="88" spans="1:14" ht="11.25" customHeight="1" x14ac:dyDescent="0.25">
      <c r="A88" s="152">
        <v>32</v>
      </c>
      <c r="B88" s="174" t="str">
        <f>'Pay App 1'!B88</f>
        <v>07 41 00</v>
      </c>
      <c r="C88" s="179" t="str">
        <f>'Pay App 1'!C88</f>
        <v>Roofing</v>
      </c>
      <c r="D88" s="155">
        <f>'Pay App 1'!D88</f>
        <v>0</v>
      </c>
      <c r="E88" s="155">
        <f>VLOOKUP(B88,'Graph Data'!$O$2:$BX$88,24,FALSE)</f>
        <v>0</v>
      </c>
      <c r="F88" s="155">
        <f>IFERROR(E88+'Pay App 21'!F88,"")</f>
        <v>0</v>
      </c>
      <c r="G88" s="155">
        <f>SUM('Pay App 1:Pay App 21'!H88)</f>
        <v>0</v>
      </c>
      <c r="H88" s="154"/>
      <c r="I88" s="155">
        <f t="shared" si="0"/>
        <v>0</v>
      </c>
      <c r="J88" s="156">
        <f t="shared" si="1"/>
        <v>0</v>
      </c>
      <c r="K88" s="155">
        <f t="shared" si="2"/>
        <v>0</v>
      </c>
      <c r="L88" s="155" t="str">
        <f>IF(AND('Summary Sheet'!$E$23="No",$H$33&gt;0,H88&gt;=1),"",IF(AND('Summary Sheet'!$E$23="Yes",H88&lt;&gt;""),H88*'Summary Sheet'!$G$23,""))</f>
        <v/>
      </c>
      <c r="M88" s="154"/>
      <c r="N88" s="155">
        <f>SUM('Pay App 1:Pay App 22'!L88)+SUM('Pay App 1:Pay App 22'!M88)</f>
        <v>0</v>
      </c>
    </row>
    <row r="89" spans="1:14" ht="11.25" customHeight="1" x14ac:dyDescent="0.25">
      <c r="A89" s="152">
        <v>33</v>
      </c>
      <c r="B89" s="174" t="str">
        <f>'Pay App 1'!B89</f>
        <v>07 42 00</v>
      </c>
      <c r="C89" s="179" t="str">
        <f>'Pay App 1'!C89</f>
        <v>Metal Panels</v>
      </c>
      <c r="D89" s="155">
        <f>'Pay App 1'!D89</f>
        <v>0</v>
      </c>
      <c r="E89" s="155">
        <f>VLOOKUP(B89,'Graph Data'!$O$2:$BX$88,24,FALSE)</f>
        <v>0</v>
      </c>
      <c r="F89" s="155">
        <f>IFERROR(E89+'Pay App 21'!F89,"")</f>
        <v>0</v>
      </c>
      <c r="G89" s="155">
        <f>SUM('Pay App 1:Pay App 21'!H89)</f>
        <v>0</v>
      </c>
      <c r="H89" s="154"/>
      <c r="I89" s="155">
        <f t="shared" si="0"/>
        <v>0</v>
      </c>
      <c r="J89" s="156">
        <f t="shared" si="1"/>
        <v>0</v>
      </c>
      <c r="K89" s="155">
        <f t="shared" si="2"/>
        <v>0</v>
      </c>
      <c r="L89" s="155" t="str">
        <f>IF(AND('Summary Sheet'!$E$23="No",$H$33&gt;0,H89&gt;=1),"",IF(AND('Summary Sheet'!$E$23="Yes",H89&lt;&gt;""),H89*'Summary Sheet'!$G$23,""))</f>
        <v/>
      </c>
      <c r="M89" s="154"/>
      <c r="N89" s="155">
        <f>SUM('Pay App 1:Pay App 22'!L89)+SUM('Pay App 1:Pay App 22'!M89)</f>
        <v>0</v>
      </c>
    </row>
    <row r="90" spans="1:14" ht="11.25" customHeight="1" x14ac:dyDescent="0.25">
      <c r="A90" s="152">
        <v>34</v>
      </c>
      <c r="B90" s="174" t="str">
        <f>'Pay App 1'!B90</f>
        <v>07 60 00</v>
      </c>
      <c r="C90" s="179" t="str">
        <f>'Pay App 1'!C90</f>
        <v>Sheet Metal Flashing &amp; Trim</v>
      </c>
      <c r="D90" s="155">
        <f>'Pay App 1'!D90</f>
        <v>0</v>
      </c>
      <c r="E90" s="155">
        <f>VLOOKUP(B90,'Graph Data'!$O$2:$BX$88,24,FALSE)</f>
        <v>0</v>
      </c>
      <c r="F90" s="155">
        <f>IFERROR(E90+'Pay App 21'!F90,"")</f>
        <v>0</v>
      </c>
      <c r="G90" s="155">
        <f>SUM('Pay App 1:Pay App 21'!H90)</f>
        <v>0</v>
      </c>
      <c r="H90" s="154"/>
      <c r="I90" s="155">
        <f t="shared" si="0"/>
        <v>0</v>
      </c>
      <c r="J90" s="156">
        <f t="shared" si="1"/>
        <v>0</v>
      </c>
      <c r="K90" s="155">
        <f t="shared" si="2"/>
        <v>0</v>
      </c>
      <c r="L90" s="155" t="str">
        <f>IF(AND('Summary Sheet'!$E$23="No",$H$33&gt;0,H90&gt;=1),"",IF(AND('Summary Sheet'!$E$23="Yes",H90&lt;&gt;""),H90*'Summary Sheet'!$G$23,""))</f>
        <v/>
      </c>
      <c r="M90" s="154"/>
      <c r="N90" s="155">
        <f>SUM('Pay App 1:Pay App 22'!L90)+SUM('Pay App 1:Pay App 22'!M90)</f>
        <v>0</v>
      </c>
    </row>
    <row r="91" spans="1:14" ht="11.25" customHeight="1" x14ac:dyDescent="0.25">
      <c r="A91" s="152">
        <v>35</v>
      </c>
      <c r="B91" s="174" t="str">
        <f>'Pay App 1'!B91</f>
        <v>07 80 00</v>
      </c>
      <c r="C91" s="179" t="str">
        <f>'Pay App 1'!C91</f>
        <v>Fireproofing</v>
      </c>
      <c r="D91" s="155">
        <f>'Pay App 1'!D91</f>
        <v>0</v>
      </c>
      <c r="E91" s="155">
        <f>VLOOKUP(B91,'Graph Data'!$O$2:$BX$88,24,FALSE)</f>
        <v>0</v>
      </c>
      <c r="F91" s="155">
        <f>IFERROR(E91+'Pay App 21'!F91,"")</f>
        <v>0</v>
      </c>
      <c r="G91" s="155">
        <f>SUM('Pay App 1:Pay App 21'!H91)</f>
        <v>0</v>
      </c>
      <c r="H91" s="154"/>
      <c r="I91" s="155">
        <f t="shared" si="0"/>
        <v>0</v>
      </c>
      <c r="J91" s="156">
        <f t="shared" si="1"/>
        <v>0</v>
      </c>
      <c r="K91" s="155">
        <f t="shared" si="2"/>
        <v>0</v>
      </c>
      <c r="L91" s="155" t="str">
        <f>IF(AND('Summary Sheet'!$E$23="No",$H$33&gt;0,H91&gt;=1),"",IF(AND('Summary Sheet'!$E$23="Yes",H91&lt;&gt;""),H91*'Summary Sheet'!$G$23,""))</f>
        <v/>
      </c>
      <c r="M91" s="154"/>
      <c r="N91" s="155">
        <f>SUM('Pay App 1:Pay App 22'!L91)+SUM('Pay App 1:Pay App 22'!M91)</f>
        <v>0</v>
      </c>
    </row>
    <row r="92" spans="1:14" ht="11.25" customHeight="1" x14ac:dyDescent="0.25">
      <c r="A92" s="152">
        <v>36</v>
      </c>
      <c r="B92" s="174" t="str">
        <f>'Pay App 1'!B92</f>
        <v>07 90 00</v>
      </c>
      <c r="C92" s="179" t="str">
        <f>'Pay App 1'!C92</f>
        <v>Joint Sealants</v>
      </c>
      <c r="D92" s="155">
        <f>'Pay App 1'!D92</f>
        <v>0</v>
      </c>
      <c r="E92" s="155">
        <f>VLOOKUP(B92,'Graph Data'!$O$2:$BX$88,24,FALSE)</f>
        <v>0</v>
      </c>
      <c r="F92" s="155">
        <f>IFERROR(E92+'Pay App 21'!F92,"")</f>
        <v>0</v>
      </c>
      <c r="G92" s="155">
        <f>SUM('Pay App 1:Pay App 21'!H92)</f>
        <v>0</v>
      </c>
      <c r="H92" s="154"/>
      <c r="I92" s="155">
        <f t="shared" si="0"/>
        <v>0</v>
      </c>
      <c r="J92" s="156">
        <f t="shared" si="1"/>
        <v>0</v>
      </c>
      <c r="K92" s="155">
        <f t="shared" si="2"/>
        <v>0</v>
      </c>
      <c r="L92" s="155" t="str">
        <f>IF(AND('Summary Sheet'!$E$23="No",$H$33&gt;0,H92&gt;=1),"",IF(AND('Summary Sheet'!$E$23="Yes",H92&lt;&gt;""),H92*'Summary Sheet'!$G$23,""))</f>
        <v/>
      </c>
      <c r="M92" s="154"/>
      <c r="N92" s="155">
        <f>SUM('Pay App 1:Pay App 22'!L92)+SUM('Pay App 1:Pay App 22'!M92)</f>
        <v>0</v>
      </c>
    </row>
    <row r="93" spans="1:14" ht="11.25" customHeight="1" x14ac:dyDescent="0.25">
      <c r="A93" s="152">
        <v>37</v>
      </c>
      <c r="B93" s="174" t="str">
        <f>'Pay App 1'!B93</f>
        <v>07 95 00</v>
      </c>
      <c r="C93" s="179" t="str">
        <f>'Pay App 1'!C93</f>
        <v>Expansion Joints</v>
      </c>
      <c r="D93" s="155">
        <f>'Pay App 1'!D93</f>
        <v>0</v>
      </c>
      <c r="E93" s="155">
        <f>VLOOKUP(B93,'Graph Data'!$O$2:$BX$88,24,FALSE)</f>
        <v>0</v>
      </c>
      <c r="F93" s="155">
        <f>IFERROR(E93+'Pay App 21'!F93,"")</f>
        <v>0</v>
      </c>
      <c r="G93" s="155">
        <f>SUM('Pay App 1:Pay App 21'!H93)</f>
        <v>0</v>
      </c>
      <c r="H93" s="154"/>
      <c r="I93" s="155">
        <f t="shared" si="0"/>
        <v>0</v>
      </c>
      <c r="J93" s="156">
        <f t="shared" si="1"/>
        <v>0</v>
      </c>
      <c r="K93" s="155">
        <f t="shared" si="2"/>
        <v>0</v>
      </c>
      <c r="L93" s="155" t="str">
        <f>IF(AND('Summary Sheet'!$E$23="No",$H$33&gt;0,H93&gt;=1),"",IF(AND('Summary Sheet'!$E$23="Yes",H93&lt;&gt;""),H93*'Summary Sheet'!$G$23,""))</f>
        <v/>
      </c>
      <c r="M93" s="154"/>
      <c r="N93" s="155">
        <f>SUM('Pay App 1:Pay App 22'!L93)+SUM('Pay App 1:Pay App 22'!M93)</f>
        <v>0</v>
      </c>
    </row>
    <row r="94" spans="1:14" ht="11.25" customHeight="1" x14ac:dyDescent="0.25">
      <c r="A94" s="152">
        <v>38</v>
      </c>
      <c r="B94" s="175" t="str">
        <f>'Pay App 1'!B94</f>
        <v>08 10 00</v>
      </c>
      <c r="C94" s="180" t="str">
        <f>'Pay App 1'!C94</f>
        <v>Doors, Frames &amp; Hardware</v>
      </c>
      <c r="D94" s="155">
        <f>'Pay App 1'!D94</f>
        <v>0</v>
      </c>
      <c r="E94" s="155">
        <f>VLOOKUP(B94,'Graph Data'!$O$2:$BX$88,24,FALSE)</f>
        <v>0</v>
      </c>
      <c r="F94" s="155">
        <f>IFERROR(E94+'Pay App 21'!F94,"")</f>
        <v>0</v>
      </c>
      <c r="G94" s="155">
        <f>SUM('Pay App 1:Pay App 21'!H94)</f>
        <v>0</v>
      </c>
      <c r="H94" s="154"/>
      <c r="I94" s="155">
        <f t="shared" si="0"/>
        <v>0</v>
      </c>
      <c r="J94" s="156">
        <f t="shared" si="1"/>
        <v>0</v>
      </c>
      <c r="K94" s="155">
        <f t="shared" si="2"/>
        <v>0</v>
      </c>
      <c r="L94" s="155" t="str">
        <f>IF(AND('Summary Sheet'!$E$23="No",$H$33&gt;0,H94&gt;=1),"",IF(AND('Summary Sheet'!$E$23="Yes",H94&lt;&gt;""),H94*'Summary Sheet'!$G$23,""))</f>
        <v/>
      </c>
      <c r="M94" s="154"/>
      <c r="N94" s="155">
        <f>SUM('Pay App 1:Pay App 22'!L94)+SUM('Pay App 1:Pay App 22'!M94)</f>
        <v>0</v>
      </c>
    </row>
    <row r="95" spans="1:14" ht="11.25" customHeight="1" x14ac:dyDescent="0.25">
      <c r="A95" s="152">
        <v>39</v>
      </c>
      <c r="B95" s="175" t="str">
        <f>'Pay App 1'!B95</f>
        <v>08 30 00</v>
      </c>
      <c r="C95" s="180" t="str">
        <f>'Pay App 1'!C95</f>
        <v>Specialty Doors</v>
      </c>
      <c r="D95" s="155">
        <f>'Pay App 1'!D95</f>
        <v>0</v>
      </c>
      <c r="E95" s="155">
        <f>VLOOKUP(B95,'Graph Data'!$O$2:$BX$88,24,FALSE)</f>
        <v>0</v>
      </c>
      <c r="F95" s="155">
        <f>IFERROR(E95+'Pay App 21'!F95,"")</f>
        <v>0</v>
      </c>
      <c r="G95" s="155">
        <f>SUM('Pay App 1:Pay App 21'!H95)</f>
        <v>0</v>
      </c>
      <c r="H95" s="154"/>
      <c r="I95" s="155">
        <f t="shared" si="0"/>
        <v>0</v>
      </c>
      <c r="J95" s="156">
        <f t="shared" si="1"/>
        <v>0</v>
      </c>
      <c r="K95" s="155">
        <f t="shared" si="2"/>
        <v>0</v>
      </c>
      <c r="L95" s="155" t="str">
        <f>IF(AND('Summary Sheet'!$E$23="No",$H$33&gt;0,H95&gt;=1),"",IF(AND('Summary Sheet'!$E$23="Yes",H95&lt;&gt;""),H95*'Summary Sheet'!$G$23,""))</f>
        <v/>
      </c>
      <c r="M95" s="154"/>
      <c r="N95" s="155">
        <f>SUM('Pay App 1:Pay App 22'!L95)+SUM('Pay App 1:Pay App 22'!M95)</f>
        <v>0</v>
      </c>
    </row>
    <row r="96" spans="1:14" ht="11.25" customHeight="1" x14ac:dyDescent="0.25">
      <c r="A96" s="152">
        <v>40</v>
      </c>
      <c r="B96" s="175" t="str">
        <f>'Pay App 1'!B96</f>
        <v>08 33 00</v>
      </c>
      <c r="C96" s="180" t="str">
        <f>'Pay App 1'!C96</f>
        <v>Overhead Doors/Coiling Doors</v>
      </c>
      <c r="D96" s="155">
        <f>'Pay App 1'!D96</f>
        <v>0</v>
      </c>
      <c r="E96" s="155">
        <f>VLOOKUP(B96,'Graph Data'!$O$2:$BX$88,24,FALSE)</f>
        <v>0</v>
      </c>
      <c r="F96" s="155">
        <f>IFERROR(E96+'Pay App 21'!F96,"")</f>
        <v>0</v>
      </c>
      <c r="G96" s="155">
        <f>SUM('Pay App 1:Pay App 21'!H96)</f>
        <v>0</v>
      </c>
      <c r="H96" s="154"/>
      <c r="I96" s="155">
        <f t="shared" si="0"/>
        <v>0</v>
      </c>
      <c r="J96" s="156">
        <f t="shared" si="1"/>
        <v>0</v>
      </c>
      <c r="K96" s="155">
        <f t="shared" si="2"/>
        <v>0</v>
      </c>
      <c r="L96" s="155" t="str">
        <f>IF(AND('Summary Sheet'!$E$23="No",$H$33&gt;0,H96&gt;=1),"",IF(AND('Summary Sheet'!$E$23="Yes",H96&lt;&gt;""),H96*'Summary Sheet'!$G$23,""))</f>
        <v/>
      </c>
      <c r="M96" s="154"/>
      <c r="N96" s="155">
        <f>SUM('Pay App 1:Pay App 22'!L96)+SUM('Pay App 1:Pay App 22'!M96)</f>
        <v>0</v>
      </c>
    </row>
    <row r="97" spans="1:15" ht="11.25" customHeight="1" x14ac:dyDescent="0.25">
      <c r="A97" s="152">
        <v>41</v>
      </c>
      <c r="B97" s="175" t="str">
        <f>'Pay App 1'!B97</f>
        <v>08 40 00</v>
      </c>
      <c r="C97" s="180" t="str">
        <f>'Pay App 1'!C97</f>
        <v>Curtain Wall, Glass &amp; Glazing</v>
      </c>
      <c r="D97" s="155">
        <f>'Pay App 1'!D97</f>
        <v>0</v>
      </c>
      <c r="E97" s="155">
        <f>VLOOKUP(B97,'Graph Data'!$O$2:$BX$88,24,FALSE)</f>
        <v>0</v>
      </c>
      <c r="F97" s="155">
        <f>IFERROR(E97+'Pay App 21'!F97,"")</f>
        <v>0</v>
      </c>
      <c r="G97" s="155">
        <f>SUM('Pay App 1:Pay App 21'!H97)</f>
        <v>0</v>
      </c>
      <c r="H97" s="154"/>
      <c r="I97" s="155">
        <f t="shared" si="0"/>
        <v>0</v>
      </c>
      <c r="J97" s="156">
        <f t="shared" si="1"/>
        <v>0</v>
      </c>
      <c r="K97" s="155">
        <f t="shared" si="2"/>
        <v>0</v>
      </c>
      <c r="L97" s="155" t="str">
        <f>IF(AND('Summary Sheet'!$E$23="No",$H$33&gt;0,H97&gt;=1),"",IF(AND('Summary Sheet'!$E$23="Yes",H97&lt;&gt;""),H97*'Summary Sheet'!$G$23,""))</f>
        <v/>
      </c>
      <c r="M97" s="154"/>
      <c r="N97" s="155">
        <f>SUM('Pay App 1:Pay App 22'!L97)+SUM('Pay App 1:Pay App 22'!M97)</f>
        <v>0</v>
      </c>
    </row>
    <row r="98" spans="1:15" ht="10.9" customHeight="1" x14ac:dyDescent="0.25">
      <c r="A98" s="152">
        <v>42</v>
      </c>
      <c r="B98" s="175" t="str">
        <f>'Pay App 1'!B98</f>
        <v>08 60 00</v>
      </c>
      <c r="C98" s="180" t="str">
        <f>'Pay App 1'!C98</f>
        <v>Skylights</v>
      </c>
      <c r="D98" s="155">
        <f>'Pay App 1'!D98</f>
        <v>0</v>
      </c>
      <c r="E98" s="155">
        <f>VLOOKUP(B98,'Graph Data'!$O$2:$BX$88,24,FALSE)</f>
        <v>0</v>
      </c>
      <c r="F98" s="155">
        <f>IFERROR(E98+'Pay App 21'!F98,"")</f>
        <v>0</v>
      </c>
      <c r="G98" s="155">
        <f>SUM('Pay App 1:Pay App 21'!H98)</f>
        <v>0</v>
      </c>
      <c r="H98" s="154"/>
      <c r="I98" s="155">
        <f t="shared" si="0"/>
        <v>0</v>
      </c>
      <c r="J98" s="156">
        <f t="shared" si="1"/>
        <v>0</v>
      </c>
      <c r="K98" s="155">
        <f t="shared" si="2"/>
        <v>0</v>
      </c>
      <c r="L98" s="155" t="str">
        <f>IF(AND('Summary Sheet'!$E$23="No",$H$33&gt;0,H98&gt;=1),"",IF(AND('Summary Sheet'!$E$23="Yes",H98&lt;&gt;""),H98*'Summary Sheet'!$G$23,""))</f>
        <v/>
      </c>
      <c r="M98" s="154"/>
      <c r="N98" s="155">
        <f>SUM('Pay App 1:Pay App 22'!L98)+SUM('Pay App 1:Pay App 22'!M98)</f>
        <v>0</v>
      </c>
    </row>
    <row r="99" spans="1:15" ht="10.9" customHeight="1" x14ac:dyDescent="0.25">
      <c r="A99" s="152">
        <v>43</v>
      </c>
      <c r="B99" s="175" t="str">
        <f>'Pay App 1'!B99</f>
        <v>08 90 00</v>
      </c>
      <c r="C99" s="180" t="str">
        <f>'Pay App 1'!C99</f>
        <v>Louvers &amp; Vents</v>
      </c>
      <c r="D99" s="155">
        <f>'Pay App 1'!D99</f>
        <v>0</v>
      </c>
      <c r="E99" s="155">
        <f>VLOOKUP(B99,'Graph Data'!$O$2:$BX$88,24,FALSE)</f>
        <v>0</v>
      </c>
      <c r="F99" s="155">
        <f>IFERROR(E99+'Pay App 21'!F99,"")</f>
        <v>0</v>
      </c>
      <c r="G99" s="155">
        <f>SUM('Pay App 1:Pay App 21'!H99)</f>
        <v>0</v>
      </c>
      <c r="H99" s="154"/>
      <c r="I99" s="155">
        <f t="shared" si="0"/>
        <v>0</v>
      </c>
      <c r="J99" s="156">
        <f t="shared" si="1"/>
        <v>0</v>
      </c>
      <c r="K99" s="155">
        <f t="shared" si="2"/>
        <v>0</v>
      </c>
      <c r="L99" s="155" t="str">
        <f>IF(AND('Summary Sheet'!$E$23="No",$H$33&gt;0,H99&gt;=1),"",IF(AND('Summary Sheet'!$E$23="Yes",H99&lt;&gt;""),H99*'Summary Sheet'!$G$23,""))</f>
        <v/>
      </c>
      <c r="M99" s="154"/>
      <c r="N99" s="155">
        <f>SUM('Pay App 1:Pay App 22'!L99)+SUM('Pay App 1:Pay App 22'!M99)</f>
        <v>0</v>
      </c>
    </row>
    <row r="100" spans="1:15" ht="11.25" customHeight="1" x14ac:dyDescent="0.25">
      <c r="A100" s="153">
        <v>44</v>
      </c>
      <c r="B100" s="176" t="str">
        <f>'Pay App 1'!B100</f>
        <v>09 20 00</v>
      </c>
      <c r="C100" s="181" t="str">
        <f>'Pay App 1'!C100</f>
        <v>Gypsum Board Systems</v>
      </c>
      <c r="D100" s="155">
        <f>'Pay App 1'!D100</f>
        <v>0</v>
      </c>
      <c r="E100" s="155">
        <f>VLOOKUP(B100,'Graph Data'!$O$2:$BX$88,24,FALSE)</f>
        <v>0</v>
      </c>
      <c r="F100" s="155">
        <f>IFERROR(E100+'Pay App 21'!F100,"")</f>
        <v>0</v>
      </c>
      <c r="G100" s="155">
        <f>SUM('Pay App 1:Pay App 21'!H100)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22'!L100)+SUM('Pay App 1:Pay App 22'!M100)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22.2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Data'!$O$2:$BX$88,24,FALSE)</f>
        <v>0</v>
      </c>
      <c r="F106" s="155">
        <f>IFERROR(E106+'Pay App 21'!F106,"")</f>
        <v>0</v>
      </c>
      <c r="G106" s="155">
        <f>SUM('Pay App 1:Pay App 21'!H106)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22'!L106)+SUM('Pay App 1:Pay App 22'!M106)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Data'!$O$2:$BX$88,24,FALSE)</f>
        <v>0</v>
      </c>
      <c r="F107" s="155">
        <f>IFERROR(E107+'Pay App 21'!F107,"")</f>
        <v>0</v>
      </c>
      <c r="G107" s="155">
        <f>SUM('Pay App 1:Pay App 21'!H107)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22'!L107)+SUM('Pay App 1:Pay App 22'!M107)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Data'!$O$2:$BX$88,24,FALSE)</f>
        <v>0</v>
      </c>
      <c r="F108" s="155">
        <f>IFERROR(E108+'Pay App 21'!F108,"")</f>
        <v>0</v>
      </c>
      <c r="G108" s="155">
        <f>SUM('Pay App 1:Pay App 21'!H108)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22'!L108)+SUM('Pay App 1:Pay App 22'!M108)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Data'!$O$2:$BX$88,24,FALSE)</f>
        <v>0</v>
      </c>
      <c r="F109" s="155">
        <f>IFERROR(E109+'Pay App 21'!F109,"")</f>
        <v>0</v>
      </c>
      <c r="G109" s="155">
        <f>SUM('Pay App 1:Pay App 21'!H109)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22'!L109)+SUM('Pay App 1:Pay App 22'!M109)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Data'!$O$2:$BX$88,24,FALSE)</f>
        <v>0</v>
      </c>
      <c r="F110" s="155">
        <f>IFERROR(E110+'Pay App 21'!F110,"")</f>
        <v>0</v>
      </c>
      <c r="G110" s="155">
        <f>SUM('Pay App 1:Pay App 21'!H110)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22'!L110)+SUM('Pay App 1:Pay App 22'!M110)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Data'!$O$2:$BX$88,24,FALSE)</f>
        <v>0</v>
      </c>
      <c r="F111" s="155">
        <f>IFERROR(E111+'Pay App 21'!F111,"")</f>
        <v>0</v>
      </c>
      <c r="G111" s="155">
        <f>SUM('Pay App 1:Pay App 21'!H111)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22'!L111)+SUM('Pay App 1:Pay App 22'!M111)</f>
        <v>0</v>
      </c>
    </row>
    <row r="112" spans="1:15" ht="11.25" customHeight="1" x14ac:dyDescent="0.25">
      <c r="A112" s="152">
        <f t="shared" si="3"/>
        <v>51</v>
      </c>
      <c r="B112" s="148" t="str">
        <f>'Pay App 1'!B112</f>
        <v>09 90 00</v>
      </c>
      <c r="C112" s="143" t="str">
        <f>'Pay App 1'!C112</f>
        <v>Painting</v>
      </c>
      <c r="D112" s="155">
        <f>'Pay App 1'!D112</f>
        <v>0</v>
      </c>
      <c r="E112" s="155">
        <f>VLOOKUP(B112,'Graph Data'!$O$2:$BX$88,24,FALSE)</f>
        <v>0</v>
      </c>
      <c r="F112" s="155">
        <f>IFERROR(E112+'Pay App 21'!F112,"")</f>
        <v>0</v>
      </c>
      <c r="G112" s="155">
        <f>SUM('Pay App 1:Pay App 21'!H112)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22'!L112)+SUM('Pay App 1:Pay App 22'!M112)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Data'!$O$2:$BX$88,24,FALSE)</f>
        <v>0</v>
      </c>
      <c r="F113" s="155">
        <f>IFERROR(E113+'Pay App 21'!F113,"")</f>
        <v>0</v>
      </c>
      <c r="G113" s="155">
        <f>SUM('Pay App 1:Pay App 21'!H113)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22'!L113)+SUM('Pay App 1:Pay App 22'!M113)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Data'!$O$2:$BX$88,24,FALSE)</f>
        <v>0</v>
      </c>
      <c r="F114" s="155">
        <f>IFERROR(E114+'Pay App 21'!F114,"")</f>
        <v>0</v>
      </c>
      <c r="G114" s="155">
        <f>SUM('Pay App 1:Pay App 21'!H114)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22'!L114)+SUM('Pay App 1:Pay App 22'!M114)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Data'!$O$2:$BX$88,24,FALSE)</f>
        <v>0</v>
      </c>
      <c r="F115" s="155">
        <f>IFERROR(E115+'Pay App 21'!F115,"")</f>
        <v>0</v>
      </c>
      <c r="G115" s="155">
        <f>SUM('Pay App 1:Pay App 21'!H115)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22'!L115)+SUM('Pay App 1:Pay App 22'!M115)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Data'!$O$2:$BX$88,24,FALSE)</f>
        <v>0</v>
      </c>
      <c r="F116" s="155">
        <f>IFERROR(E116+'Pay App 21'!F116,"")</f>
        <v>0</v>
      </c>
      <c r="G116" s="155">
        <f>SUM('Pay App 1:Pay App 21'!H116)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22'!L116)+SUM('Pay App 1:Pay App 22'!M116)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Data'!$O$2:$BX$88,24,FALSE)</f>
        <v>0</v>
      </c>
      <c r="F117" s="155">
        <f>IFERROR(E117+'Pay App 21'!F117,"")</f>
        <v>0</v>
      </c>
      <c r="G117" s="155">
        <f>SUM('Pay App 1:Pay App 21'!H117)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22'!L117)+SUM('Pay App 1:Pay App 22'!M117)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Data'!$O$2:$BX$88,24,FALSE)</f>
        <v>0</v>
      </c>
      <c r="F118" s="155">
        <f>IFERROR(E118+'Pay App 21'!F118,"")</f>
        <v>0</v>
      </c>
      <c r="G118" s="155">
        <f>SUM('Pay App 1:Pay App 21'!H118)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22'!L118)+SUM('Pay App 1:Pay App 22'!M118)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Data'!$O$2:$BX$88,24,FALSE)</f>
        <v>0</v>
      </c>
      <c r="F119" s="155">
        <f>IFERROR(E119+'Pay App 21'!F119,"")</f>
        <v>0</v>
      </c>
      <c r="G119" s="155">
        <f>SUM('Pay App 1:Pay App 21'!H119)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22'!L119)+SUM('Pay App 1:Pay App 22'!M119)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Data'!$O$2:$BX$88,24,FALSE)</f>
        <v>0</v>
      </c>
      <c r="F120" s="155">
        <f>IFERROR(E120+'Pay App 21'!F120,"")</f>
        <v>0</v>
      </c>
      <c r="G120" s="155">
        <f>SUM('Pay App 1:Pay App 21'!H120)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22'!L120)+SUM('Pay App 1:Pay App 22'!M120)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Data'!$O$2:$BX$88,24,FALSE)</f>
        <v>0</v>
      </c>
      <c r="F121" s="155">
        <f>IFERROR(E121+'Pay App 21'!F121,"")</f>
        <v>0</v>
      </c>
      <c r="G121" s="155">
        <f>SUM('Pay App 1:Pay App 21'!H121)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22'!L121)+SUM('Pay App 1:Pay App 22'!M121)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Data'!$O$2:$BX$88,24,FALSE)</f>
        <v>0</v>
      </c>
      <c r="F122" s="155">
        <f>IFERROR(E122+'Pay App 21'!F122,"")</f>
        <v>0</v>
      </c>
      <c r="G122" s="155">
        <f>SUM('Pay App 1:Pay App 21'!H122)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22'!L122)+SUM('Pay App 1:Pay App 22'!M122)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Data'!$O$2:$BX$88,24,FALSE)</f>
        <v>0</v>
      </c>
      <c r="F123" s="155">
        <f>IFERROR(E123+'Pay App 21'!F123,"")</f>
        <v>0</v>
      </c>
      <c r="G123" s="155">
        <f>SUM('Pay App 1:Pay App 21'!H123)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22'!L123)+SUM('Pay App 1:Pay App 22'!M123)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Data'!$O$2:$BX$88,24,FALSE)</f>
        <v>0</v>
      </c>
      <c r="F124" s="155">
        <f>IFERROR(E124+'Pay App 21'!F124,"")</f>
        <v>0</v>
      </c>
      <c r="G124" s="155">
        <f>SUM('Pay App 1:Pay App 21'!H124)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22'!L124)+SUM('Pay App 1:Pay App 22'!M124)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Data'!$O$2:$BX$88,24,FALSE)</f>
        <v>0</v>
      </c>
      <c r="F125" s="155">
        <f>IFERROR(E125+'Pay App 21'!F125,"")</f>
        <v>0</v>
      </c>
      <c r="G125" s="155">
        <f>SUM('Pay App 1:Pay App 21'!H125)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22'!L125)+SUM('Pay App 1:Pay App 22'!M125)</f>
        <v>0</v>
      </c>
    </row>
    <row r="126" spans="1:14" ht="11.25" customHeight="1" x14ac:dyDescent="0.25">
      <c r="A126" s="152">
        <f t="shared" si="3"/>
        <v>65</v>
      </c>
      <c r="B126" s="188" t="str">
        <f>'Pay App 1'!B126</f>
        <v>14 20 00</v>
      </c>
      <c r="C126" s="194" t="str">
        <f>'Pay App 1'!C126</f>
        <v>Elevator</v>
      </c>
      <c r="D126" s="155">
        <f>'Pay App 1'!D126</f>
        <v>0</v>
      </c>
      <c r="E126" s="155">
        <f>VLOOKUP(B126,'Graph Data'!$O$2:$BX$88,24,FALSE)</f>
        <v>0</v>
      </c>
      <c r="F126" s="155">
        <f>IFERROR(E126+'Pay App 21'!F126,"")</f>
        <v>0</v>
      </c>
      <c r="G126" s="155">
        <f>SUM('Pay App 1:Pay App 21'!H126)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22'!L126)+SUM('Pay App 1:Pay App 22'!M126)</f>
        <v>0</v>
      </c>
    </row>
    <row r="127" spans="1:14" ht="11.25" customHeight="1" x14ac:dyDescent="0.25">
      <c r="A127" s="152">
        <f t="shared" si="3"/>
        <v>66</v>
      </c>
      <c r="B127" s="188" t="str">
        <f>'Pay App 1'!B127</f>
        <v>14 40 00</v>
      </c>
      <c r="C127" s="194" t="str">
        <f>'Pay App 1'!C127</f>
        <v>Lifts</v>
      </c>
      <c r="D127" s="155">
        <f>'Pay App 1'!D127</f>
        <v>0</v>
      </c>
      <c r="E127" s="155">
        <f>VLOOKUP(B127,'Graph Data'!$O$2:$BX$88,24,FALSE)</f>
        <v>0</v>
      </c>
      <c r="F127" s="155">
        <f>IFERROR(E127+'Pay App 21'!F127,"")</f>
        <v>0</v>
      </c>
      <c r="G127" s="155">
        <f>SUM('Pay App 1:Pay App 21'!H127)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22'!L127)+SUM('Pay App 1:Pay App 22'!M127)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Data'!$O$2:$BX$88,24,FALSE)</f>
        <v>0</v>
      </c>
      <c r="F128" s="155">
        <f>IFERROR(E128+'Pay App 21'!F128,"")</f>
        <v>0</v>
      </c>
      <c r="G128" s="155">
        <f>SUM('Pay App 1:Pay App 21'!H128)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22'!L128)+SUM('Pay App 1:Pay App 22'!M128)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Data'!$O$2:$BX$88,24,FALSE)</f>
        <v>0</v>
      </c>
      <c r="F129" s="155">
        <f>IFERROR(E129+'Pay App 21'!F129,"")</f>
        <v>0</v>
      </c>
      <c r="G129" s="155">
        <f>SUM('Pay App 1:Pay App 21'!H129)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22'!L129)+SUM('Pay App 1:Pay App 22'!M129)</f>
        <v>0</v>
      </c>
    </row>
    <row r="130" spans="1:14" ht="11.25" customHeight="1" x14ac:dyDescent="0.25">
      <c r="A130" s="152">
        <f t="shared" si="3"/>
        <v>69</v>
      </c>
      <c r="B130" s="185" t="str">
        <f>'Pay App 1'!B130</f>
        <v>22 00 00</v>
      </c>
      <c r="C130" s="191" t="str">
        <f>'Pay App 1'!C130</f>
        <v>Plumbing</v>
      </c>
      <c r="D130" s="155">
        <f>'Pay App 1'!D130</f>
        <v>0</v>
      </c>
      <c r="E130" s="155">
        <f>VLOOKUP(B130,'Graph Data'!$O$2:$BX$88,24,FALSE)</f>
        <v>0</v>
      </c>
      <c r="F130" s="155">
        <f>IFERROR(E130+'Pay App 21'!F130,"")</f>
        <v>0</v>
      </c>
      <c r="G130" s="155">
        <f>SUM('Pay App 1:Pay App 21'!H130)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22'!L130)+SUM('Pay App 1:Pay App 22'!M130)</f>
        <v>0</v>
      </c>
    </row>
    <row r="131" spans="1:14" ht="11.25" customHeight="1" x14ac:dyDescent="0.25">
      <c r="A131" s="152">
        <f t="shared" si="3"/>
        <v>70</v>
      </c>
      <c r="B131" s="186" t="str">
        <f>'Pay App 1'!B131</f>
        <v>23 00 00</v>
      </c>
      <c r="C131" s="192" t="str">
        <f>'Pay App 1'!C131</f>
        <v>HVAC</v>
      </c>
      <c r="D131" s="155">
        <f>'Pay App 1'!D131</f>
        <v>0</v>
      </c>
      <c r="E131" s="155">
        <f>VLOOKUP(B131,'Graph Data'!$O$2:$BX$88,24,FALSE)</f>
        <v>0</v>
      </c>
      <c r="F131" s="155">
        <f>IFERROR(E131+'Pay App 21'!F131,"")</f>
        <v>0</v>
      </c>
      <c r="G131" s="155">
        <f>SUM('Pay App 1:Pay App 21'!H131)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22'!L131)+SUM('Pay App 1:Pay App 22'!M131)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Data'!$O$2:$BX$88,24,FALSE)</f>
        <v>0</v>
      </c>
      <c r="F132" s="155">
        <f>IFERROR(E132+'Pay App 21'!F132,"")</f>
        <v>0</v>
      </c>
      <c r="G132" s="155">
        <f>SUM('Pay App 1:Pay App 21'!H132)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22'!L132)+SUM('Pay App 1:Pay App 22'!M132)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Data'!$O$2:$BX$88,24,FALSE)</f>
        <v>0</v>
      </c>
      <c r="F133" s="155">
        <f>IFERROR(E133+'Pay App 21'!F133,"")</f>
        <v>0</v>
      </c>
      <c r="G133" s="155">
        <f>SUM('Pay App 1:Pay App 21'!H133)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22'!L133)+SUM('Pay App 1:Pay App 22'!M133)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Data'!$O$2:$BX$88,24,FALSE)</f>
        <v>0</v>
      </c>
      <c r="F134" s="155">
        <f>IFERROR(E134+'Pay App 21'!F134,"")</f>
        <v>0</v>
      </c>
      <c r="G134" s="155">
        <f>SUM('Pay App 1:Pay App 21'!H134)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22'!L134)+SUM('Pay App 1:Pay App 22'!M134)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Data'!$O$2:$BX$88,24,FALSE)</f>
        <v>0</v>
      </c>
      <c r="F135" s="155">
        <f>IFERROR(E135+'Pay App 21'!F135,"")</f>
        <v>0</v>
      </c>
      <c r="G135" s="155">
        <f>SUM('Pay App 1:Pay App 21'!H135)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22'!L135)+SUM('Pay App 1:Pay App 22'!M135)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Data'!$O$2:$BX$88,24,FALSE)</f>
        <v>0</v>
      </c>
      <c r="F136" s="155">
        <f>IFERROR(E136+'Pay App 21'!F136,"")</f>
        <v>0</v>
      </c>
      <c r="G136" s="155">
        <f>SUM('Pay App 1:Pay App 21'!H136)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22'!L136)+SUM('Pay App 1:Pay App 22'!M136)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Data'!$O$2:$BX$88,24,FALSE)</f>
        <v>0</v>
      </c>
      <c r="F137" s="155">
        <f>IFERROR(E137+'Pay App 21'!F137,"")</f>
        <v>0</v>
      </c>
      <c r="G137" s="155">
        <f>SUM('Pay App 1:Pay App 21'!H137)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22'!L137)+SUM('Pay App 1:Pay App 22'!M137)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Data'!$O$2:$BX$88,24,FALSE)</f>
        <v>0</v>
      </c>
      <c r="F138" s="155">
        <f>IFERROR(E138+'Pay App 21'!F138,"")</f>
        <v>0</v>
      </c>
      <c r="G138" s="155">
        <f>SUM('Pay App 1:Pay App 21'!H138)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22'!L138)+SUM('Pay App 1:Pay App 22'!M138)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Data'!$O$2:$BX$88,24,FALSE)</f>
        <v>0</v>
      </c>
      <c r="F139" s="155">
        <f>IFERROR(E139+'Pay App 21'!F139,"")</f>
        <v>0</v>
      </c>
      <c r="G139" s="155">
        <f>SUM('Pay App 1:Pay App 21'!H139)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22'!L139)+SUM('Pay App 1:Pay App 22'!M139)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Data'!$O$2:$BX$88,24,FALSE)</f>
        <v>0</v>
      </c>
      <c r="F140" s="155">
        <f>IFERROR(E140+'Pay App 21'!F140,"")</f>
        <v>0</v>
      </c>
      <c r="G140" s="155">
        <f>SUM('Pay App 1:Pay App 21'!H140)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22'!L140)+SUM('Pay App 1:Pay App 22'!M140)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Data'!$O$2:$BX$88,24,FALSE)</f>
        <v>0</v>
      </c>
      <c r="F141" s="155">
        <f>IFERROR(E141+'Pay App 21'!F141,"")</f>
        <v>0</v>
      </c>
      <c r="G141" s="155">
        <f>SUM('Pay App 1:Pay App 21'!H141)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22'!L141)+SUM('Pay App 1:Pay App 22'!M141)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Data'!$O$2:$BX$88,24,FALSE)</f>
        <v>0</v>
      </c>
      <c r="F142" s="155">
        <f>IFERROR(E142+'Pay App 21'!F142,"")</f>
        <v>0</v>
      </c>
      <c r="G142" s="155">
        <f>SUM('Pay App 1:Pay App 21'!H142)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22'!L142)+SUM('Pay App 1:Pay App 22'!M142)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Data'!$O$2:$BX$88,24,FALSE)</f>
        <v>0</v>
      </c>
      <c r="F143" s="155">
        <f>IFERROR(E143+'Pay App 21'!F143,"")</f>
        <v>0</v>
      </c>
      <c r="G143" s="155">
        <f>SUM('Pay App 1:Pay App 21'!H143)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22'!L143)+SUM('Pay App 1:Pay App 22'!M143)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Data'!$O$2:$BX$88,24,FALSE)</f>
        <v>0</v>
      </c>
      <c r="F144" s="155">
        <f>IFERROR(E144+'Pay App 21'!F144,"")</f>
        <v>0</v>
      </c>
      <c r="G144" s="155">
        <f>SUM('Pay App 1:Pay App 21'!H144)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22'!L144)+SUM('Pay App 1:Pay App 22'!M144)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Data'!$O$2:$BX$88,24,FALSE)</f>
        <v>0</v>
      </c>
      <c r="F145" s="155">
        <f>IFERROR(E145+'Pay App 21'!F145,"")</f>
        <v>0</v>
      </c>
      <c r="G145" s="155">
        <f>SUM('Pay App 1:Pay App 21'!H145)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22'!L145)+SUM('Pay App 1:Pay App 22'!M145)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Data'!$O$2:$BX$88,24,FALSE)</f>
        <v>0</v>
      </c>
      <c r="F146" s="155">
        <f>IFERROR(E146+'Pay App 21'!F146,"")</f>
        <v>0</v>
      </c>
      <c r="G146" s="155">
        <f>SUM('Pay App 1:Pay App 21'!H146)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22'!L146)+SUM('Pay App 1:Pay App 22'!M146)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Data'!$O$2:$BX$88,24,FALSE)</f>
        <v>0</v>
      </c>
      <c r="F147" s="155">
        <f>IFERROR(E147+'Pay App 21'!F147,"")</f>
        <v>0</v>
      </c>
      <c r="G147" s="155">
        <f>SUM('Pay App 1:Pay App 21'!H147)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22'!L147)+SUM('Pay App 1:Pay App 22'!M147)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Data'!$O$2:$BX$88,24,FALSE)</f>
        <v>0</v>
      </c>
      <c r="F148" s="155">
        <f>IFERROR(E148+'Pay App 21'!F148,"")</f>
        <v>0</v>
      </c>
      <c r="G148" s="155">
        <f>SUM('Pay App 1:Pay App 21'!H148)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22'!L148)+SUM('Pay App 1:Pay App 22'!M148)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e5REexzQkUdyULbZ+noFR9rO9u4VXKWBs6/NJxsu3Phu6pBE7o8enCZlqbldSlv3+OR5b0g1kThe6koPZIX2fw==" saltValue="2ZHCOw8/Yej1jefl2ZOgi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28" priority="2" operator="equal">
      <formula>0</formula>
    </cfRule>
  </conditionalFormatting>
  <conditionalFormatting sqref="D106:G148">
    <cfRule type="cellIs" dxfId="427" priority="1" operator="equal">
      <formula>0</formula>
    </cfRule>
  </conditionalFormatting>
  <conditionalFormatting sqref="D10:H10 D12:H14 D19:H21">
    <cfRule type="cellIs" dxfId="426" priority="6" operator="equal">
      <formula>0</formula>
    </cfRule>
  </conditionalFormatting>
  <conditionalFormatting sqref="H51">
    <cfRule type="cellIs" dxfId="425" priority="9" operator="lessThan">
      <formula>0</formula>
    </cfRule>
  </conditionalFormatting>
  <conditionalFormatting sqref="I57:I100 K57:K100 I106:I148 K106:K148 N106:N148">
    <cfRule type="cellIs" dxfId="424" priority="14" operator="equal">
      <formula>0</formula>
    </cfRule>
  </conditionalFormatting>
  <conditionalFormatting sqref="J57:J100 J106:J149">
    <cfRule type="cellIs" dxfId="423" priority="11" operator="greaterThan">
      <formula>1</formula>
    </cfRule>
    <cfRule type="cellIs" dxfId="422" priority="12" operator="equal">
      <formula>0</formula>
    </cfRule>
  </conditionalFormatting>
  <conditionalFormatting sqref="K57:K100 K106:K148">
    <cfRule type="cellIs" dxfId="421" priority="10" operator="lessThan">
      <formula>0</formula>
    </cfRule>
  </conditionalFormatting>
  <conditionalFormatting sqref="M57:M100">
    <cfRule type="cellIs" dxfId="420" priority="13" operator="lessThan">
      <formula>0</formula>
    </cfRule>
  </conditionalFormatting>
  <conditionalFormatting sqref="M106:M148">
    <cfRule type="cellIs" dxfId="419" priority="8" operator="lessThan">
      <formula>0</formula>
    </cfRule>
  </conditionalFormatting>
  <conditionalFormatting sqref="N57:N100">
    <cfRule type="cellIs" dxfId="418"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13DFF6D1-F747-48D7-8C34-BC9AA42F074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00A9B-E7F2-414F-B555-FED0530C106D}">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Data'!$O$2:$BX$88,25,FALSE)</f>
        <v>0</v>
      </c>
      <c r="F57" s="155">
        <f>IFERROR(E57+'Pay App 22'!F57,"")</f>
        <v>0</v>
      </c>
      <c r="G57" s="155">
        <f>SUM('Pay App 1:Pay App 22'!H57)</f>
        <v>0</v>
      </c>
      <c r="H57" s="154"/>
      <c r="I57" s="155">
        <f>G57+H57</f>
        <v>0</v>
      </c>
      <c r="J57" s="156">
        <f>IFERROR(I57/F57,0)</f>
        <v>0</v>
      </c>
      <c r="K57" s="155">
        <f>IFERROR(F57-I57,"")</f>
        <v>0</v>
      </c>
      <c r="L57" s="155" t="str">
        <f>IF(AND('Summary Sheet'!$E$23="No",$H$33&gt;0,H57&gt;=1),"",IF(AND('Summary Sheet'!$E$23="Yes",H57&lt;&gt;""),H57*'Summary Sheet'!$G$23,""))</f>
        <v/>
      </c>
      <c r="M57" s="154"/>
      <c r="N57" s="155">
        <f>SUM('Pay App 1:Pay App 23'!L57)+SUM('Pay App 1:Pay App 23'!M57)</f>
        <v>0</v>
      </c>
    </row>
    <row r="58" spans="1:16" ht="11.25" customHeight="1" x14ac:dyDescent="0.25">
      <c r="A58" s="152">
        <v>2</v>
      </c>
      <c r="B58" s="145" t="str">
        <f>'Pay App 1'!B58</f>
        <v>00 02 00</v>
      </c>
      <c r="C58" s="134" t="str">
        <f>'Pay App 1'!C58</f>
        <v>Preconstruction Services</v>
      </c>
      <c r="D58" s="155">
        <f>'Pay App 1'!D58</f>
        <v>0</v>
      </c>
      <c r="E58" s="155">
        <f>VLOOKUP(B58,'Graph Data'!$O$2:$BX$88,25,FALSE)</f>
        <v>0</v>
      </c>
      <c r="F58" s="155">
        <f>IFERROR(E58+'Pay App 22'!F58,"")</f>
        <v>0</v>
      </c>
      <c r="G58" s="155">
        <f>SUM('Pay App 1:Pay App 22'!H58)</f>
        <v>0</v>
      </c>
      <c r="H58" s="154"/>
      <c r="I58" s="155">
        <f>G58+H58</f>
        <v>0</v>
      </c>
      <c r="J58" s="156">
        <f>IFERROR(I58/F58,0)</f>
        <v>0</v>
      </c>
      <c r="K58" s="155">
        <f>IFERROR(F58-I58,"")</f>
        <v>0</v>
      </c>
      <c r="L58" s="155" t="str">
        <f>IF(AND('Summary Sheet'!$E$23="No",$H$33&gt;0,H58&gt;=1),"",IF(AND('Summary Sheet'!$E$23="Yes",H58&lt;&gt;""),H58*'Summary Sheet'!$G$23,""))</f>
        <v/>
      </c>
      <c r="M58" s="154"/>
      <c r="N58" s="155">
        <f>SUM('Pay App 1:Pay App 23'!L58)+SUM('Pay App 1:Pay App 23'!M58)</f>
        <v>0</v>
      </c>
    </row>
    <row r="59" spans="1:16" ht="11.25" customHeight="1" x14ac:dyDescent="0.25">
      <c r="A59" s="152">
        <v>3</v>
      </c>
      <c r="B59" s="174" t="str">
        <f>'Pay App 1'!B59</f>
        <v>01 00 00</v>
      </c>
      <c r="C59" s="179" t="str">
        <f>'Pay App 1'!C59</f>
        <v>General Conditions/Requirements</v>
      </c>
      <c r="D59" s="155">
        <f>'Pay App 1'!D59</f>
        <v>0</v>
      </c>
      <c r="E59" s="155">
        <f>VLOOKUP(B59,'Graph Data'!$O$2:$BX$88,25,FALSE)</f>
        <v>0</v>
      </c>
      <c r="F59" s="155">
        <f>IFERROR(E59+'Pay App 22'!F59,"")</f>
        <v>0</v>
      </c>
      <c r="G59" s="155">
        <f>SUM('Pay App 1:Pay App 22'!H59)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23'!L59)+SUM('Pay App 1:Pay App 23'!M59)</f>
        <v>0</v>
      </c>
    </row>
    <row r="60" spans="1:16" ht="11.25" customHeight="1" x14ac:dyDescent="0.25">
      <c r="A60" s="152">
        <v>4</v>
      </c>
      <c r="B60" s="174" t="str">
        <f>'Pay App 1'!B60</f>
        <v>01 13 41</v>
      </c>
      <c r="C60" s="179" t="str">
        <f>'Pay App 1'!C60</f>
        <v>Temp. Scaffolding and Platforms</v>
      </c>
      <c r="D60" s="155">
        <f>'Pay App 1'!D60</f>
        <v>0</v>
      </c>
      <c r="E60" s="155">
        <f>VLOOKUP(B60,'Graph Data'!$O$2:$BX$88,25,FALSE)</f>
        <v>0</v>
      </c>
      <c r="F60" s="155">
        <f>IFERROR(E60+'Pay App 22'!F60,"")</f>
        <v>0</v>
      </c>
      <c r="G60" s="155">
        <f>SUM('Pay App 1:Pay App 22'!H60)</f>
        <v>0</v>
      </c>
      <c r="H60" s="154"/>
      <c r="I60" s="155">
        <f t="shared" si="0"/>
        <v>0</v>
      </c>
      <c r="J60" s="156">
        <f t="shared" si="1"/>
        <v>0</v>
      </c>
      <c r="K60" s="155">
        <f t="shared" si="2"/>
        <v>0</v>
      </c>
      <c r="L60" s="155" t="str">
        <f>IF(AND('Summary Sheet'!$E$23="No",$H$33&gt;0,H60&gt;=1),"",IF(AND('Summary Sheet'!$E$23="Yes",H60&lt;&gt;""),H60*'Summary Sheet'!$G$23,""))</f>
        <v/>
      </c>
      <c r="M60" s="154"/>
      <c r="N60" s="155">
        <f>SUM('Pay App 1:Pay App 23'!L60)+SUM('Pay App 1:Pay App 23'!M60)</f>
        <v>0</v>
      </c>
    </row>
    <row r="61" spans="1:16" ht="11.25" customHeight="1" x14ac:dyDescent="0.25">
      <c r="A61" s="152">
        <v>5</v>
      </c>
      <c r="B61" s="174" t="str">
        <f>'Pay App 1'!B61</f>
        <v>01 13 60</v>
      </c>
      <c r="C61" s="179" t="str">
        <f>'Pay App 1'!C61</f>
        <v>SWPPP</v>
      </c>
      <c r="D61" s="155">
        <f>'Pay App 1'!D61</f>
        <v>0</v>
      </c>
      <c r="E61" s="155">
        <f>VLOOKUP(B61,'Graph Data'!$O$2:$BX$88,25,FALSE)</f>
        <v>0</v>
      </c>
      <c r="F61" s="155">
        <f>IFERROR(E61+'Pay App 22'!F61,"")</f>
        <v>0</v>
      </c>
      <c r="G61" s="155">
        <f>SUM('Pay App 1:Pay App 22'!H61)</f>
        <v>0</v>
      </c>
      <c r="H61" s="154"/>
      <c r="I61" s="155">
        <f t="shared" si="0"/>
        <v>0</v>
      </c>
      <c r="J61" s="156">
        <f t="shared" si="1"/>
        <v>0</v>
      </c>
      <c r="K61" s="155">
        <f t="shared" si="2"/>
        <v>0</v>
      </c>
      <c r="L61" s="155" t="str">
        <f>IF(AND('Summary Sheet'!$E$23="No",$H$33&gt;0,H61&gt;=1),"",IF(AND('Summary Sheet'!$E$23="Yes",H61&lt;&gt;""),H61*'Summary Sheet'!$G$23,""))</f>
        <v/>
      </c>
      <c r="M61" s="154"/>
      <c r="N61" s="155">
        <f>SUM('Pay App 1:Pay App 23'!L61)+SUM('Pay App 1:Pay App 23'!M61)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Data'!$O$2:$BX$88,25,FALSE)</f>
        <v>0</v>
      </c>
      <c r="F62" s="155">
        <f>IFERROR(E62+'Pay App 22'!F62,"")</f>
        <v>0</v>
      </c>
      <c r="G62" s="155">
        <f>SUM('Pay App 1:Pay App 22'!H62)</f>
        <v>0</v>
      </c>
      <c r="H62" s="154"/>
      <c r="I62" s="155">
        <f t="shared" si="0"/>
        <v>0</v>
      </c>
      <c r="J62" s="156">
        <f t="shared" si="1"/>
        <v>0</v>
      </c>
      <c r="K62" s="155">
        <f t="shared" si="2"/>
        <v>0</v>
      </c>
      <c r="L62" s="155" t="str">
        <f>IF(AND('Summary Sheet'!$E$23="No",$H$33&gt;0,H62&gt;=1),"",IF(AND('Summary Sheet'!$E$23="Yes",H62&lt;&gt;""),H62*'Summary Sheet'!$G$23,""))</f>
        <v/>
      </c>
      <c r="M62" s="154"/>
      <c r="N62" s="155">
        <f>SUM('Pay App 1:Pay App 23'!L62)+SUM('Pay App 1:Pay App 23'!M62)</f>
        <v>0</v>
      </c>
    </row>
    <row r="63" spans="1:16" ht="11.25" customHeight="1" x14ac:dyDescent="0.25">
      <c r="A63" s="152">
        <v>7</v>
      </c>
      <c r="B63" s="174" t="str">
        <f>'Pay App 1'!B63</f>
        <v>01 31 00</v>
      </c>
      <c r="C63" s="179" t="str">
        <f>'Pay App 1'!C63</f>
        <v>Contractor's Supervision</v>
      </c>
      <c r="D63" s="155">
        <f>'Pay App 1'!D63</f>
        <v>0</v>
      </c>
      <c r="E63" s="155">
        <f>VLOOKUP(B63,'Graph Data'!$O$2:$BX$88,25,FALSE)</f>
        <v>0</v>
      </c>
      <c r="F63" s="155">
        <f>IFERROR(E63+'Pay App 22'!F63,"")</f>
        <v>0</v>
      </c>
      <c r="G63" s="155">
        <f>SUM('Pay App 1:Pay App 22'!H63)</f>
        <v>0</v>
      </c>
      <c r="H63" s="154"/>
      <c r="I63" s="155">
        <f t="shared" si="0"/>
        <v>0</v>
      </c>
      <c r="J63" s="156">
        <f t="shared" si="1"/>
        <v>0</v>
      </c>
      <c r="K63" s="155">
        <f t="shared" si="2"/>
        <v>0</v>
      </c>
      <c r="L63" s="155" t="str">
        <f>IF(AND('Summary Sheet'!$E$23="No",$H$33&gt;0,H63&gt;=1),"",IF(AND('Summary Sheet'!$E$23="Yes",H63&lt;&gt;""),H63*'Summary Sheet'!$G$23,""))</f>
        <v/>
      </c>
      <c r="M63" s="154"/>
      <c r="N63" s="155">
        <f>SUM('Pay App 1:Pay App 23'!L63)+SUM('Pay App 1:Pay App 23'!M63)</f>
        <v>0</v>
      </c>
    </row>
    <row r="64" spans="1:16" ht="11.25" customHeight="1" x14ac:dyDescent="0.25">
      <c r="A64" s="152">
        <v>8</v>
      </c>
      <c r="B64" s="174" t="str">
        <f>'Pay App 1'!B64</f>
        <v>01 32 00</v>
      </c>
      <c r="C64" s="179" t="str">
        <f>'Pay App 1'!C64</f>
        <v>General Liability Insurance</v>
      </c>
      <c r="D64" s="155">
        <f>'Pay App 1'!D64</f>
        <v>0</v>
      </c>
      <c r="E64" s="155">
        <f>VLOOKUP(B64,'Graph Data'!$O$2:$BX$88,25,FALSE)</f>
        <v>0</v>
      </c>
      <c r="F64" s="155">
        <f>IFERROR(E64+'Pay App 22'!F64,"")</f>
        <v>0</v>
      </c>
      <c r="G64" s="155">
        <f>SUM('Pay App 1:Pay App 22'!H64)</f>
        <v>0</v>
      </c>
      <c r="H64" s="154"/>
      <c r="I64" s="155">
        <f t="shared" si="0"/>
        <v>0</v>
      </c>
      <c r="J64" s="156">
        <f t="shared" si="1"/>
        <v>0</v>
      </c>
      <c r="K64" s="155">
        <f t="shared" si="2"/>
        <v>0</v>
      </c>
      <c r="L64" s="155" t="str">
        <f>IF(AND('Summary Sheet'!$E$23="No",$H$33&gt;0,H64&gt;=1),"",IF(AND('Summary Sheet'!$E$23="Yes",H64&lt;&gt;""),H64*'Summary Sheet'!$G$23,""))</f>
        <v/>
      </c>
      <c r="M64" s="154"/>
      <c r="N64" s="155">
        <f>SUM('Pay App 1:Pay App 23'!L64)+SUM('Pay App 1:Pay App 23'!M64)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Data'!$O$2:$BX$88,25,FALSE)</f>
        <v>0</v>
      </c>
      <c r="F65" s="155">
        <f>IFERROR(E65+'Pay App 22'!F65,"")</f>
        <v>0</v>
      </c>
      <c r="G65" s="155">
        <f>SUM('Pay App 1:Pay App 22'!H65)</f>
        <v>0</v>
      </c>
      <c r="H65" s="154"/>
      <c r="I65" s="155">
        <f t="shared" si="0"/>
        <v>0</v>
      </c>
      <c r="J65" s="156">
        <f t="shared" si="1"/>
        <v>0</v>
      </c>
      <c r="K65" s="155">
        <f t="shared" si="2"/>
        <v>0</v>
      </c>
      <c r="L65" s="155" t="str">
        <f>IF(AND('Summary Sheet'!$E$23="No",$H$33&gt;0,H65&gt;=1),"",IF(AND('Summary Sheet'!$E$23="Yes",H65&lt;&gt;""),H65*'Summary Sheet'!$G$23,""))</f>
        <v/>
      </c>
      <c r="M65" s="154"/>
      <c r="N65" s="155">
        <f>SUM('Pay App 1:Pay App 23'!L65)+SUM('Pay App 1:Pay App 23'!M65)</f>
        <v>0</v>
      </c>
    </row>
    <row r="66" spans="1:17" ht="11.25" customHeight="1" x14ac:dyDescent="0.25">
      <c r="A66" s="152">
        <v>10</v>
      </c>
      <c r="B66" s="174" t="str">
        <f>'Pay App 1'!B66</f>
        <v>01 34 00</v>
      </c>
      <c r="C66" s="179" t="str">
        <f>'Pay App 1'!C66</f>
        <v>Subcontractor Default Insurance</v>
      </c>
      <c r="D66" s="155">
        <f>'Pay App 1'!D66</f>
        <v>0</v>
      </c>
      <c r="E66" s="155">
        <f>VLOOKUP(B66,'Graph Data'!$O$2:$BX$88,25,FALSE)</f>
        <v>0</v>
      </c>
      <c r="F66" s="155">
        <f>IFERROR(E66+'Pay App 22'!F66,"")</f>
        <v>0</v>
      </c>
      <c r="G66" s="155">
        <f>SUM('Pay App 1:Pay App 22'!H66)</f>
        <v>0</v>
      </c>
      <c r="H66" s="154"/>
      <c r="I66" s="155">
        <f t="shared" si="0"/>
        <v>0</v>
      </c>
      <c r="J66" s="156">
        <f t="shared" si="1"/>
        <v>0</v>
      </c>
      <c r="K66" s="155">
        <f t="shared" si="2"/>
        <v>0</v>
      </c>
      <c r="L66" s="155" t="str">
        <f>IF(AND('Summary Sheet'!$E$23="No",$H$33&gt;0,H66&gt;=1),"",IF(AND('Summary Sheet'!$E$23="Yes",H66&lt;&gt;""),H66*'Summary Sheet'!$G$23,""))</f>
        <v/>
      </c>
      <c r="M66" s="154"/>
      <c r="N66" s="155">
        <f>SUM('Pay App 1:Pay App 23'!L66)+SUM('Pay App 1:Pay App 23'!M66)</f>
        <v>0</v>
      </c>
    </row>
    <row r="67" spans="1:17" ht="11.25" customHeight="1" x14ac:dyDescent="0.25">
      <c r="A67" s="152">
        <v>11</v>
      </c>
      <c r="B67" s="174" t="str">
        <f>'Pay App 1'!B67</f>
        <v>01 35 00</v>
      </c>
      <c r="C67" s="179" t="str">
        <f>'Pay App 1'!C67</f>
        <v>Construction Management Fee</v>
      </c>
      <c r="D67" s="155">
        <f>'Pay App 1'!D67</f>
        <v>0</v>
      </c>
      <c r="E67" s="155">
        <f>VLOOKUP(B67,'Graph Data'!$O$2:$BX$88,25,FALSE)</f>
        <v>0</v>
      </c>
      <c r="F67" s="155">
        <f>IFERROR(E67+'Pay App 22'!F67,"")</f>
        <v>0</v>
      </c>
      <c r="G67" s="155">
        <f>SUM('Pay App 1:Pay App 22'!H67)</f>
        <v>0</v>
      </c>
      <c r="H67" s="154"/>
      <c r="I67" s="155">
        <f t="shared" si="0"/>
        <v>0</v>
      </c>
      <c r="J67" s="156">
        <f t="shared" si="1"/>
        <v>0</v>
      </c>
      <c r="K67" s="155">
        <f t="shared" si="2"/>
        <v>0</v>
      </c>
      <c r="L67" s="155" t="str">
        <f>IF(AND('Summary Sheet'!$E$23="No",$H$33&gt;0,H67&gt;=1),"",IF(AND('Summary Sheet'!$E$23="Yes",H67&lt;&gt;""),H67*'Summary Sheet'!$G$23,""))</f>
        <v/>
      </c>
      <c r="M67" s="154"/>
      <c r="N67" s="155">
        <f>SUM('Pay App 1:Pay App 23'!L67)+SUM('Pay App 1:Pay App 23'!M67)</f>
        <v>0</v>
      </c>
    </row>
    <row r="68" spans="1:17" ht="11.25" customHeight="1" x14ac:dyDescent="0.25">
      <c r="A68" s="152">
        <v>12</v>
      </c>
      <c r="B68" s="174" t="str">
        <f>'Pay App 1'!B68</f>
        <v>01 36 00</v>
      </c>
      <c r="C68" s="179" t="str">
        <f>'Pay App 1'!C68</f>
        <v>Contingency</v>
      </c>
      <c r="D68" s="155">
        <f>'Pay App 1'!D68</f>
        <v>0</v>
      </c>
      <c r="E68" s="155">
        <f>VLOOKUP(B68,'Graph Data'!$O$2:$BX$88,25,FALSE)</f>
        <v>0</v>
      </c>
      <c r="F68" s="155">
        <f>IFERROR(E68+'Pay App 22'!F68,"")</f>
        <v>0</v>
      </c>
      <c r="G68" s="155">
        <f>SUM('Pay App 1:Pay App 22'!H68)</f>
        <v>0</v>
      </c>
      <c r="H68" s="154"/>
      <c r="I68" s="155">
        <f t="shared" si="0"/>
        <v>0</v>
      </c>
      <c r="J68" s="156">
        <f t="shared" si="1"/>
        <v>0</v>
      </c>
      <c r="K68" s="155">
        <f t="shared" si="2"/>
        <v>0</v>
      </c>
      <c r="L68" s="155" t="str">
        <f>IF(AND('Summary Sheet'!$E$23="No",$H$33&gt;0,H68&gt;=1),"",IF(AND('Summary Sheet'!$E$23="Yes",H68&lt;&gt;""),H68*'Summary Sheet'!$G$23,""))</f>
        <v/>
      </c>
      <c r="M68" s="154"/>
      <c r="N68" s="155">
        <f>SUM('Pay App 1:Pay App 23'!L68)+SUM('Pay App 1:Pay App 23'!M68)</f>
        <v>0</v>
      </c>
    </row>
    <row r="69" spans="1:17" ht="11.25" customHeight="1" x14ac:dyDescent="0.25">
      <c r="A69" s="152">
        <v>13</v>
      </c>
      <c r="B69" s="174" t="str">
        <f>'Pay App 1'!B69</f>
        <v>01 37 00</v>
      </c>
      <c r="C69" s="179" t="str">
        <f>'Pay App 1'!C69</f>
        <v>Weather Allowance (All Trades)</v>
      </c>
      <c r="D69" s="155">
        <f>'Pay App 1'!D69</f>
        <v>0</v>
      </c>
      <c r="E69" s="155">
        <f>VLOOKUP(B69,'Graph Data'!$O$2:$BX$88,25,FALSE)</f>
        <v>0</v>
      </c>
      <c r="F69" s="155">
        <f>IFERROR(E69+'Pay App 22'!F69,"")</f>
        <v>0</v>
      </c>
      <c r="G69" s="155">
        <f>SUM('Pay App 1:Pay App 22'!H69)</f>
        <v>0</v>
      </c>
      <c r="H69" s="154"/>
      <c r="I69" s="155">
        <f t="shared" si="0"/>
        <v>0</v>
      </c>
      <c r="J69" s="156">
        <f t="shared" si="1"/>
        <v>0</v>
      </c>
      <c r="K69" s="155">
        <f t="shared" si="2"/>
        <v>0</v>
      </c>
      <c r="L69" s="155" t="str">
        <f>IF(AND('Summary Sheet'!$E$23="No",$H$33&gt;0,H69&gt;=1),"",IF(AND('Summary Sheet'!$E$23="Yes",H69&lt;&gt;""),H69*'Summary Sheet'!$G$23,""))</f>
        <v/>
      </c>
      <c r="M69" s="154"/>
      <c r="N69" s="155">
        <f>SUM('Pay App 1:Pay App 23'!L69)+SUM('Pay App 1:Pay App 23'!M69)</f>
        <v>0</v>
      </c>
    </row>
    <row r="70" spans="1:17" ht="11.25" customHeight="1" x14ac:dyDescent="0.25">
      <c r="A70" s="152">
        <v>14</v>
      </c>
      <c r="B70" s="174" t="str">
        <f>'Pay App 1'!B70</f>
        <v>01 74 23</v>
      </c>
      <c r="C70" s="179" t="str">
        <f>'Pay App 1'!C70</f>
        <v>Cleaning (Final)</v>
      </c>
      <c r="D70" s="155">
        <f>'Pay App 1'!D70</f>
        <v>0</v>
      </c>
      <c r="E70" s="155">
        <f>VLOOKUP(B70,'Graph Data'!$O$2:$BX$88,25,FALSE)</f>
        <v>0</v>
      </c>
      <c r="F70" s="155">
        <f>IFERROR(E70+'Pay App 22'!F70,"")</f>
        <v>0</v>
      </c>
      <c r="G70" s="155">
        <f>SUM('Pay App 1:Pay App 22'!H70)</f>
        <v>0</v>
      </c>
      <c r="H70" s="154"/>
      <c r="I70" s="155">
        <f t="shared" si="0"/>
        <v>0</v>
      </c>
      <c r="J70" s="156">
        <f t="shared" si="1"/>
        <v>0</v>
      </c>
      <c r="K70" s="155">
        <f t="shared" si="2"/>
        <v>0</v>
      </c>
      <c r="L70" s="155" t="str">
        <f>IF(AND('Summary Sheet'!$E$23="No",$H$33&gt;0,H70&gt;=1),"",IF(AND('Summary Sheet'!$E$23="Yes",H70&lt;&gt;""),H70*'Summary Sheet'!$G$23,""))</f>
        <v/>
      </c>
      <c r="M70" s="154"/>
      <c r="N70" s="155">
        <f>SUM('Pay App 1:Pay App 23'!L70)+SUM('Pay App 1:Pay App 23'!M70)</f>
        <v>0</v>
      </c>
    </row>
    <row r="71" spans="1:17" ht="11.25" customHeight="1" x14ac:dyDescent="0.25">
      <c r="A71" s="152">
        <v>15</v>
      </c>
      <c r="B71" s="175" t="str">
        <f>'Pay App 1'!B71</f>
        <v>02 21 00</v>
      </c>
      <c r="C71" s="180" t="str">
        <f>'Pay App 1'!C71</f>
        <v>Survey/Engineering</v>
      </c>
      <c r="D71" s="155">
        <f>'Pay App 1'!D71</f>
        <v>0</v>
      </c>
      <c r="E71" s="155">
        <f>VLOOKUP(B71,'Graph Data'!$O$2:$BX$88,25,FALSE)</f>
        <v>0</v>
      </c>
      <c r="F71" s="155">
        <f>IFERROR(E71+'Pay App 22'!F71,"")</f>
        <v>0</v>
      </c>
      <c r="G71" s="155">
        <f>SUM('Pay App 1:Pay App 22'!H71)</f>
        <v>0</v>
      </c>
      <c r="H71" s="154"/>
      <c r="I71" s="155">
        <f t="shared" si="0"/>
        <v>0</v>
      </c>
      <c r="J71" s="156">
        <f t="shared" si="1"/>
        <v>0</v>
      </c>
      <c r="K71" s="155">
        <f t="shared" si="2"/>
        <v>0</v>
      </c>
      <c r="L71" s="155" t="str">
        <f>IF(AND('Summary Sheet'!$E$23="No",$H$33&gt;0,H71&gt;=1),"",IF(AND('Summary Sheet'!$E$23="Yes",H71&lt;&gt;""),H71*'Summary Sheet'!$G$23,""))</f>
        <v/>
      </c>
      <c r="M71" s="154"/>
      <c r="N71" s="155">
        <f>SUM('Pay App 1:Pay App 23'!L71)+SUM('Pay App 1:Pay App 23'!M71)</f>
        <v>0</v>
      </c>
      <c r="Q71" s="28"/>
    </row>
    <row r="72" spans="1:17" ht="11.25" customHeight="1" x14ac:dyDescent="0.25">
      <c r="A72" s="152">
        <v>16</v>
      </c>
      <c r="B72" s="175" t="str">
        <f>'Pay App 1'!B72</f>
        <v>02 41 00</v>
      </c>
      <c r="C72" s="180" t="str">
        <f>'Pay App 1'!C72</f>
        <v>Demolition</v>
      </c>
      <c r="D72" s="155">
        <f>'Pay App 1'!D72</f>
        <v>0</v>
      </c>
      <c r="E72" s="155">
        <f>VLOOKUP(B72,'Graph Data'!$O$2:$BX$88,25,FALSE)</f>
        <v>0</v>
      </c>
      <c r="F72" s="155">
        <f>IFERROR(E72+'Pay App 22'!F72,"")</f>
        <v>0</v>
      </c>
      <c r="G72" s="155">
        <f>SUM('Pay App 1:Pay App 22'!H72)</f>
        <v>0</v>
      </c>
      <c r="H72" s="154"/>
      <c r="I72" s="155">
        <f t="shared" si="0"/>
        <v>0</v>
      </c>
      <c r="J72" s="156">
        <f t="shared" si="1"/>
        <v>0</v>
      </c>
      <c r="K72" s="155">
        <f t="shared" si="2"/>
        <v>0</v>
      </c>
      <c r="L72" s="155" t="str">
        <f>IF(AND('Summary Sheet'!$E$23="No",$H$33&gt;0,H72&gt;=1),"",IF(AND('Summary Sheet'!$E$23="Yes",H72&lt;&gt;""),H72*'Summary Sheet'!$G$23,""))</f>
        <v/>
      </c>
      <c r="M72" s="154"/>
      <c r="N72" s="155">
        <f>SUM('Pay App 1:Pay App 23'!L72)+SUM('Pay App 1:Pay App 23'!M72)</f>
        <v>0</v>
      </c>
      <c r="Q72" s="28"/>
    </row>
    <row r="73" spans="1:17" ht="11.25" customHeight="1" x14ac:dyDescent="0.25">
      <c r="A73" s="152">
        <v>17</v>
      </c>
      <c r="B73" s="175" t="str">
        <f>'Pay App 1'!B73</f>
        <v>02 82 00</v>
      </c>
      <c r="C73" s="180" t="str">
        <f>'Pay App 1'!C73</f>
        <v>Asbestos Abatement</v>
      </c>
      <c r="D73" s="155">
        <f>'Pay App 1'!D73</f>
        <v>0</v>
      </c>
      <c r="E73" s="155">
        <f>VLOOKUP(B73,'Graph Data'!$O$2:$BX$88,25,FALSE)</f>
        <v>0</v>
      </c>
      <c r="F73" s="155">
        <f>IFERROR(E73+'Pay App 22'!F73,"")</f>
        <v>0</v>
      </c>
      <c r="G73" s="155">
        <f>SUM('Pay App 1:Pay App 22'!H73)</f>
        <v>0</v>
      </c>
      <c r="H73" s="154"/>
      <c r="I73" s="155">
        <f t="shared" si="0"/>
        <v>0</v>
      </c>
      <c r="J73" s="156">
        <f t="shared" si="1"/>
        <v>0</v>
      </c>
      <c r="K73" s="155">
        <f t="shared" si="2"/>
        <v>0</v>
      </c>
      <c r="L73" s="155" t="str">
        <f>IF(AND('Summary Sheet'!$E$23="No",$H$33&gt;0,H73&gt;=1),"",IF(AND('Summary Sheet'!$E$23="Yes",H73&lt;&gt;""),H73*'Summary Sheet'!$G$23,""))</f>
        <v/>
      </c>
      <c r="M73" s="154"/>
      <c r="N73" s="155">
        <f>SUM('Pay App 1:Pay App 23'!L73)+SUM('Pay App 1:Pay App 23'!M73)</f>
        <v>0</v>
      </c>
    </row>
    <row r="74" spans="1:17" ht="11.25" customHeight="1" x14ac:dyDescent="0.25">
      <c r="A74" s="152">
        <v>18</v>
      </c>
      <c r="B74" s="176" t="str">
        <f>'Pay App 1'!B74</f>
        <v>03 00 00</v>
      </c>
      <c r="C74" s="181" t="str">
        <f>'Pay App 1'!C74</f>
        <v>Building Concrete</v>
      </c>
      <c r="D74" s="155">
        <f>'Pay App 1'!D74</f>
        <v>0</v>
      </c>
      <c r="E74" s="155">
        <f>VLOOKUP(B74,'Graph Data'!$O$2:$BX$88,25,FALSE)</f>
        <v>0</v>
      </c>
      <c r="F74" s="155">
        <f>IFERROR(E74+'Pay App 22'!F74,"")</f>
        <v>0</v>
      </c>
      <c r="G74" s="155">
        <f>SUM('Pay App 1:Pay App 22'!H74)</f>
        <v>0</v>
      </c>
      <c r="H74" s="154"/>
      <c r="I74" s="155">
        <f t="shared" si="0"/>
        <v>0</v>
      </c>
      <c r="J74" s="156">
        <f t="shared" si="1"/>
        <v>0</v>
      </c>
      <c r="K74" s="155">
        <f t="shared" si="2"/>
        <v>0</v>
      </c>
      <c r="L74" s="155" t="str">
        <f>IF(AND('Summary Sheet'!$E$23="No",$H$33&gt;0,H74&gt;=1),"",IF(AND('Summary Sheet'!$E$23="Yes",H74&lt;&gt;""),H74*'Summary Sheet'!$G$23,""))</f>
        <v/>
      </c>
      <c r="M74" s="154"/>
      <c r="N74" s="155">
        <f>SUM('Pay App 1:Pay App 23'!L74)+SUM('Pay App 1:Pay App 23'!M74)</f>
        <v>0</v>
      </c>
    </row>
    <row r="75" spans="1:17" ht="11.25" customHeight="1" x14ac:dyDescent="0.25">
      <c r="A75" s="152">
        <v>19</v>
      </c>
      <c r="B75" s="176" t="str">
        <f>'Pay App 1'!B75</f>
        <v>03 20 00</v>
      </c>
      <c r="C75" s="181" t="str">
        <f>'Pay App 1'!C75</f>
        <v>Building Concrete Reinforcing</v>
      </c>
      <c r="D75" s="155">
        <f>'Pay App 1'!D75</f>
        <v>0</v>
      </c>
      <c r="E75" s="155">
        <f>VLOOKUP(B75,'Graph Data'!$O$2:$BX$88,25,FALSE)</f>
        <v>0</v>
      </c>
      <c r="F75" s="155">
        <f>IFERROR(E75+'Pay App 22'!F75,"")</f>
        <v>0</v>
      </c>
      <c r="G75" s="155">
        <f>SUM('Pay App 1:Pay App 22'!H75)</f>
        <v>0</v>
      </c>
      <c r="H75" s="154"/>
      <c r="I75" s="155">
        <f t="shared" si="0"/>
        <v>0</v>
      </c>
      <c r="J75" s="156">
        <f t="shared" si="1"/>
        <v>0</v>
      </c>
      <c r="K75" s="155">
        <f t="shared" si="2"/>
        <v>0</v>
      </c>
      <c r="L75" s="155" t="str">
        <f>IF(AND('Summary Sheet'!$E$23="No",$H$33&gt;0,H75&gt;=1),"",IF(AND('Summary Sheet'!$E$23="Yes",H75&lt;&gt;""),H75*'Summary Sheet'!$G$23,""))</f>
        <v/>
      </c>
      <c r="M75" s="154"/>
      <c r="N75" s="155">
        <f>SUM('Pay App 1:Pay App 23'!L75)+SUM('Pay App 1:Pay App 23'!M75)</f>
        <v>0</v>
      </c>
    </row>
    <row r="76" spans="1:17" ht="11.25" customHeight="1" x14ac:dyDescent="0.25">
      <c r="A76" s="152">
        <v>20</v>
      </c>
      <c r="B76" s="176" t="str">
        <f>'Pay App 1'!B76</f>
        <v>03 40 00</v>
      </c>
      <c r="C76" s="181" t="str">
        <f>'Pay App 1'!C76</f>
        <v>Precast</v>
      </c>
      <c r="D76" s="155">
        <f>'Pay App 1'!D76</f>
        <v>0</v>
      </c>
      <c r="E76" s="155">
        <f>VLOOKUP(B76,'Graph Data'!$O$2:$BX$88,25,FALSE)</f>
        <v>0</v>
      </c>
      <c r="F76" s="155">
        <f>IFERROR(E76+'Pay App 22'!F76,"")</f>
        <v>0</v>
      </c>
      <c r="G76" s="155">
        <f>SUM('Pay App 1:Pay App 22'!H76)</f>
        <v>0</v>
      </c>
      <c r="H76" s="154"/>
      <c r="I76" s="155">
        <f t="shared" si="0"/>
        <v>0</v>
      </c>
      <c r="J76" s="156">
        <f t="shared" si="1"/>
        <v>0</v>
      </c>
      <c r="K76" s="155">
        <f t="shared" si="2"/>
        <v>0</v>
      </c>
      <c r="L76" s="155" t="str">
        <f>IF(AND('Summary Sheet'!$E$23="No",$H$33&gt;0,H76&gt;=1),"",IF(AND('Summary Sheet'!$E$23="Yes",H76&lt;&gt;""),H76*'Summary Sheet'!$G$23,""))</f>
        <v/>
      </c>
      <c r="M76" s="154"/>
      <c r="N76" s="155">
        <f>SUM('Pay App 1:Pay App 23'!L76)+SUM('Pay App 1:Pay App 23'!M76)</f>
        <v>0</v>
      </c>
    </row>
    <row r="77" spans="1:17" ht="11.25" customHeight="1" x14ac:dyDescent="0.25">
      <c r="A77" s="152">
        <v>21</v>
      </c>
      <c r="B77" s="177" t="str">
        <f>'Pay App 1'!B77</f>
        <v>04 00 00</v>
      </c>
      <c r="C77" s="182" t="str">
        <f>'Pay App 1'!C77</f>
        <v>Masonry</v>
      </c>
      <c r="D77" s="155">
        <f>'Pay App 1'!D77</f>
        <v>0</v>
      </c>
      <c r="E77" s="155">
        <f>VLOOKUP(B77,'Graph Data'!$O$2:$BX$88,25,FALSE)</f>
        <v>0</v>
      </c>
      <c r="F77" s="155">
        <f>IFERROR(E77+'Pay App 22'!F77,"")</f>
        <v>0</v>
      </c>
      <c r="G77" s="155">
        <f>SUM('Pay App 1:Pay App 22'!H77)</f>
        <v>0</v>
      </c>
      <c r="H77" s="154"/>
      <c r="I77" s="155">
        <f t="shared" si="0"/>
        <v>0</v>
      </c>
      <c r="J77" s="156">
        <f t="shared" si="1"/>
        <v>0</v>
      </c>
      <c r="K77" s="155">
        <f t="shared" si="2"/>
        <v>0</v>
      </c>
      <c r="L77" s="155" t="str">
        <f>IF(AND('Summary Sheet'!$E$23="No",$H$33&gt;0,H77&gt;=1),"",IF(AND('Summary Sheet'!$E$23="Yes",H77&lt;&gt;""),H77*'Summary Sheet'!$G$23,""))</f>
        <v/>
      </c>
      <c r="M77" s="154"/>
      <c r="N77" s="155">
        <f>SUM('Pay App 1:Pay App 23'!L77)+SUM('Pay App 1:Pay App 23'!M77)</f>
        <v>0</v>
      </c>
    </row>
    <row r="78" spans="1:17" ht="11.25" customHeight="1" x14ac:dyDescent="0.25">
      <c r="A78" s="152">
        <v>22</v>
      </c>
      <c r="B78" s="177" t="str">
        <f>'Pay App 1'!B78</f>
        <v>04 05 19</v>
      </c>
      <c r="C78" s="182" t="str">
        <f>'Pay App 1'!C78</f>
        <v>Masonry Reinforcing</v>
      </c>
      <c r="D78" s="155">
        <f>'Pay App 1'!D78</f>
        <v>0</v>
      </c>
      <c r="E78" s="155">
        <f>VLOOKUP(B78,'Graph Data'!$O$2:$BX$88,25,FALSE)</f>
        <v>0</v>
      </c>
      <c r="F78" s="155">
        <f>IFERROR(E78+'Pay App 22'!F78,"")</f>
        <v>0</v>
      </c>
      <c r="G78" s="155">
        <f>SUM('Pay App 1:Pay App 22'!H78)</f>
        <v>0</v>
      </c>
      <c r="H78" s="154"/>
      <c r="I78" s="155">
        <f t="shared" si="0"/>
        <v>0</v>
      </c>
      <c r="J78" s="156">
        <f t="shared" si="1"/>
        <v>0</v>
      </c>
      <c r="K78" s="155">
        <f t="shared" si="2"/>
        <v>0</v>
      </c>
      <c r="L78" s="155" t="str">
        <f>IF(AND('Summary Sheet'!$E$23="No",$H$33&gt;0,H78&gt;=1),"",IF(AND('Summary Sheet'!$E$23="Yes",H78&lt;&gt;""),H78*'Summary Sheet'!$G$23,""))</f>
        <v/>
      </c>
      <c r="M78" s="154"/>
      <c r="N78" s="155">
        <f>SUM('Pay App 1:Pay App 23'!L78)+SUM('Pay App 1:Pay App 23'!M78)</f>
        <v>0</v>
      </c>
    </row>
    <row r="79" spans="1:17" ht="11.25" customHeight="1" x14ac:dyDescent="0.25">
      <c r="A79" s="152">
        <v>23</v>
      </c>
      <c r="B79" s="178" t="str">
        <f>'Pay App 1'!B79</f>
        <v>05 10 00</v>
      </c>
      <c r="C79" s="183" t="str">
        <f>'Pay App 1'!C79</f>
        <v>Structural Steel/Misc. Steel Fab</v>
      </c>
      <c r="D79" s="155">
        <f>'Pay App 1'!D79</f>
        <v>0</v>
      </c>
      <c r="E79" s="155">
        <f>VLOOKUP(B79,'Graph Data'!$O$2:$BX$88,25,FALSE)</f>
        <v>0</v>
      </c>
      <c r="F79" s="155">
        <f>IFERROR(E79+'Pay App 22'!F79,"")</f>
        <v>0</v>
      </c>
      <c r="G79" s="155">
        <f>SUM('Pay App 1:Pay App 22'!H79)</f>
        <v>0</v>
      </c>
      <c r="H79" s="154"/>
      <c r="I79" s="155">
        <f t="shared" si="0"/>
        <v>0</v>
      </c>
      <c r="J79" s="156">
        <f t="shared" si="1"/>
        <v>0</v>
      </c>
      <c r="K79" s="155">
        <f t="shared" si="2"/>
        <v>0</v>
      </c>
      <c r="L79" s="155" t="str">
        <f>IF(AND('Summary Sheet'!$E$23="No",$H$33&gt;0,H79&gt;=1),"",IF(AND('Summary Sheet'!$E$23="Yes",H79&lt;&gt;""),H79*'Summary Sheet'!$G$23,""))</f>
        <v/>
      </c>
      <c r="M79" s="154"/>
      <c r="N79" s="155">
        <f>SUM('Pay App 1:Pay App 23'!L79)+SUM('Pay App 1:Pay App 23'!M79)</f>
        <v>0</v>
      </c>
    </row>
    <row r="80" spans="1:17" ht="11.25" customHeight="1" x14ac:dyDescent="0.25">
      <c r="A80" s="152">
        <v>24</v>
      </c>
      <c r="B80" s="178" t="str">
        <f>'Pay App 1'!B80</f>
        <v>05 20 00</v>
      </c>
      <c r="C80" s="183" t="str">
        <f>'Pay App 1'!C80</f>
        <v>Joists &amp; Deck</v>
      </c>
      <c r="D80" s="155">
        <f>'Pay App 1'!D80</f>
        <v>0</v>
      </c>
      <c r="E80" s="155">
        <f>VLOOKUP(B80,'Graph Data'!$O$2:$BX$88,25,FALSE)</f>
        <v>0</v>
      </c>
      <c r="F80" s="155">
        <f>IFERROR(E80+'Pay App 22'!F80,"")</f>
        <v>0</v>
      </c>
      <c r="G80" s="155">
        <f>SUM('Pay App 1:Pay App 22'!H80)</f>
        <v>0</v>
      </c>
      <c r="H80" s="154"/>
      <c r="I80" s="155">
        <f t="shared" si="0"/>
        <v>0</v>
      </c>
      <c r="J80" s="156">
        <f t="shared" si="1"/>
        <v>0</v>
      </c>
      <c r="K80" s="155">
        <f t="shared" si="2"/>
        <v>0</v>
      </c>
      <c r="L80" s="155" t="str">
        <f>IF(AND('Summary Sheet'!$E$23="No",$H$33&gt;0,H80&gt;=1),"",IF(AND('Summary Sheet'!$E$23="Yes",H80&lt;&gt;""),H80*'Summary Sheet'!$G$23,""))</f>
        <v/>
      </c>
      <c r="M80" s="154"/>
      <c r="N80" s="155">
        <f>SUM('Pay App 1:Pay App 23'!L80)+SUM('Pay App 1:Pay App 23'!M80)</f>
        <v>0</v>
      </c>
    </row>
    <row r="81" spans="1:14" ht="11.25" customHeight="1" x14ac:dyDescent="0.25">
      <c r="A81" s="152">
        <v>25</v>
      </c>
      <c r="B81" s="178" t="str">
        <f>'Pay App 1'!B81</f>
        <v>05 70 00</v>
      </c>
      <c r="C81" s="183" t="str">
        <f>'Pay App 1'!C81</f>
        <v>Ornamental Metal</v>
      </c>
      <c r="D81" s="155">
        <f>'Pay App 1'!D81</f>
        <v>0</v>
      </c>
      <c r="E81" s="155">
        <f>VLOOKUP(B81,'Graph Data'!$O$2:$BX$88,25,FALSE)</f>
        <v>0</v>
      </c>
      <c r="F81" s="155">
        <f>IFERROR(E81+'Pay App 22'!F81,"")</f>
        <v>0</v>
      </c>
      <c r="G81" s="155">
        <f>SUM('Pay App 1:Pay App 22'!H81)</f>
        <v>0</v>
      </c>
      <c r="H81" s="154"/>
      <c r="I81" s="155">
        <f t="shared" si="0"/>
        <v>0</v>
      </c>
      <c r="J81" s="156">
        <f t="shared" si="1"/>
        <v>0</v>
      </c>
      <c r="K81" s="155">
        <f t="shared" si="2"/>
        <v>0</v>
      </c>
      <c r="L81" s="155" t="str">
        <f>IF(AND('Summary Sheet'!$E$23="No",$H$33&gt;0,H81&gt;=1),"",IF(AND('Summary Sheet'!$E$23="Yes",H81&lt;&gt;""),H81*'Summary Sheet'!$G$23,""))</f>
        <v/>
      </c>
      <c r="M81" s="154"/>
      <c r="N81" s="155">
        <f>SUM('Pay App 1:Pay App 23'!L81)+SUM('Pay App 1:Pay App 23'!M81)</f>
        <v>0</v>
      </c>
    </row>
    <row r="82" spans="1:14" ht="11.25" customHeight="1" x14ac:dyDescent="0.25">
      <c r="A82" s="152">
        <v>26</v>
      </c>
      <c r="B82" s="145" t="str">
        <f>'Pay App 1'!B82</f>
        <v>06 10 00</v>
      </c>
      <c r="C82" s="134" t="str">
        <f>'Pay App 1'!C82</f>
        <v>Rough Carpentry</v>
      </c>
      <c r="D82" s="155">
        <f>'Pay App 1'!D82</f>
        <v>0</v>
      </c>
      <c r="E82" s="155">
        <f>VLOOKUP(B82,'Graph Data'!$O$2:$BX$88,25,FALSE)</f>
        <v>0</v>
      </c>
      <c r="F82" s="155">
        <f>IFERROR(E82+'Pay App 22'!F82,"")</f>
        <v>0</v>
      </c>
      <c r="G82" s="155">
        <f>SUM('Pay App 1:Pay App 22'!H82)</f>
        <v>0</v>
      </c>
      <c r="H82" s="154"/>
      <c r="I82" s="155">
        <f t="shared" si="0"/>
        <v>0</v>
      </c>
      <c r="J82" s="156">
        <f t="shared" si="1"/>
        <v>0</v>
      </c>
      <c r="K82" s="155">
        <f t="shared" si="2"/>
        <v>0</v>
      </c>
      <c r="L82" s="155" t="str">
        <f>IF(AND('Summary Sheet'!$E$23="No",$H$33&gt;0,H82&gt;=1),"",IF(AND('Summary Sheet'!$E$23="Yes",H82&lt;&gt;""),H82*'Summary Sheet'!$G$23,""))</f>
        <v/>
      </c>
      <c r="M82" s="154"/>
      <c r="N82" s="155">
        <f>SUM('Pay App 1:Pay App 23'!L82)+SUM('Pay App 1:Pay App 23'!M82)</f>
        <v>0</v>
      </c>
    </row>
    <row r="83" spans="1:14" ht="11.25" customHeight="1" x14ac:dyDescent="0.25">
      <c r="A83" s="152">
        <v>27</v>
      </c>
      <c r="B83" s="145" t="str">
        <f>'Pay App 1'!B83</f>
        <v>06 40 00</v>
      </c>
      <c r="C83" s="134" t="str">
        <f>'Pay App 1'!C83</f>
        <v>Arch. Woodwork &amp; Finish Carp.</v>
      </c>
      <c r="D83" s="155">
        <f>'Pay App 1'!D83</f>
        <v>0</v>
      </c>
      <c r="E83" s="155">
        <f>VLOOKUP(B83,'Graph Data'!$O$2:$BX$88,25,FALSE)</f>
        <v>0</v>
      </c>
      <c r="F83" s="155">
        <f>IFERROR(E83+'Pay App 22'!F83,"")</f>
        <v>0</v>
      </c>
      <c r="G83" s="155">
        <f>SUM('Pay App 1:Pay App 22'!H83)</f>
        <v>0</v>
      </c>
      <c r="H83" s="154"/>
      <c r="I83" s="155">
        <f t="shared" si="0"/>
        <v>0</v>
      </c>
      <c r="J83" s="156">
        <f t="shared" si="1"/>
        <v>0</v>
      </c>
      <c r="K83" s="155">
        <f t="shared" si="2"/>
        <v>0</v>
      </c>
      <c r="L83" s="155" t="str">
        <f>IF(AND('Summary Sheet'!$E$23="No",$H$33&gt;0,H83&gt;=1),"",IF(AND('Summary Sheet'!$E$23="Yes",H83&lt;&gt;""),H83*'Summary Sheet'!$G$23,""))</f>
        <v/>
      </c>
      <c r="M83" s="154"/>
      <c r="N83" s="155">
        <f>SUM('Pay App 1:Pay App 23'!L83)+SUM('Pay App 1:Pay App 23'!M83)</f>
        <v>0</v>
      </c>
    </row>
    <row r="84" spans="1:14" ht="11.25" customHeight="1" x14ac:dyDescent="0.25">
      <c r="A84" s="152">
        <v>28</v>
      </c>
      <c r="B84" s="174" t="str">
        <f>'Pay App 1'!B84</f>
        <v>07 10 00</v>
      </c>
      <c r="C84" s="179" t="str">
        <f>'Pay App 1'!C84</f>
        <v>Waterproofing/Water Repellents</v>
      </c>
      <c r="D84" s="155">
        <f>'Pay App 1'!D84</f>
        <v>0</v>
      </c>
      <c r="E84" s="155">
        <f>VLOOKUP(B84,'Graph Data'!$O$2:$BX$88,25,FALSE)</f>
        <v>0</v>
      </c>
      <c r="F84" s="155">
        <f>IFERROR(E84+'Pay App 22'!F84,"")</f>
        <v>0</v>
      </c>
      <c r="G84" s="155">
        <f>SUM('Pay App 1:Pay App 22'!H84)</f>
        <v>0</v>
      </c>
      <c r="H84" s="154"/>
      <c r="I84" s="155">
        <f t="shared" si="0"/>
        <v>0</v>
      </c>
      <c r="J84" s="156">
        <f t="shared" si="1"/>
        <v>0</v>
      </c>
      <c r="K84" s="155">
        <f t="shared" si="2"/>
        <v>0</v>
      </c>
      <c r="L84" s="155" t="str">
        <f>IF(AND('Summary Sheet'!$E$23="No",$H$33&gt;0,H84&gt;=1),"",IF(AND('Summary Sheet'!$E$23="Yes",H84&lt;&gt;""),H84*'Summary Sheet'!$G$23,""))</f>
        <v/>
      </c>
      <c r="M84" s="154"/>
      <c r="N84" s="155">
        <f>SUM('Pay App 1:Pay App 23'!L84)+SUM('Pay App 1:Pay App 23'!M84)</f>
        <v>0</v>
      </c>
    </row>
    <row r="85" spans="1:14" ht="11.25" customHeight="1" x14ac:dyDescent="0.25">
      <c r="A85" s="152">
        <v>29</v>
      </c>
      <c r="B85" s="174" t="str">
        <f>'Pay App 1'!B85</f>
        <v>07 20 00</v>
      </c>
      <c r="C85" s="179" t="str">
        <f>'Pay App 1'!C85</f>
        <v>Insulation</v>
      </c>
      <c r="D85" s="155">
        <f>'Pay App 1'!D85</f>
        <v>0</v>
      </c>
      <c r="E85" s="155">
        <f>VLOOKUP(B85,'Graph Data'!$O$2:$BX$88,25,FALSE)</f>
        <v>0</v>
      </c>
      <c r="F85" s="155">
        <f>IFERROR(E85+'Pay App 22'!F85,"")</f>
        <v>0</v>
      </c>
      <c r="G85" s="155">
        <f>SUM('Pay App 1:Pay App 22'!H85)</f>
        <v>0</v>
      </c>
      <c r="H85" s="154"/>
      <c r="I85" s="155">
        <f t="shared" si="0"/>
        <v>0</v>
      </c>
      <c r="J85" s="156">
        <f t="shared" si="1"/>
        <v>0</v>
      </c>
      <c r="K85" s="155">
        <f t="shared" si="2"/>
        <v>0</v>
      </c>
      <c r="L85" s="155" t="str">
        <f>IF(AND('Summary Sheet'!$E$23="No",$H$33&gt;0,H85&gt;=1),"",IF(AND('Summary Sheet'!$E$23="Yes",H85&lt;&gt;""),H85*'Summary Sheet'!$G$23,""))</f>
        <v/>
      </c>
      <c r="M85" s="154"/>
      <c r="N85" s="155">
        <f>SUM('Pay App 1:Pay App 23'!L85)+SUM('Pay App 1:Pay App 23'!M85)</f>
        <v>0</v>
      </c>
    </row>
    <row r="86" spans="1:14" ht="11.25" customHeight="1" x14ac:dyDescent="0.25">
      <c r="A86" s="152">
        <v>30</v>
      </c>
      <c r="B86" s="174" t="str">
        <f>'Pay App 1'!B86</f>
        <v>07 24 00</v>
      </c>
      <c r="C86" s="179" t="str">
        <f>'Pay App 1'!C86</f>
        <v>EIFS</v>
      </c>
      <c r="D86" s="155">
        <f>'Pay App 1'!D86</f>
        <v>0</v>
      </c>
      <c r="E86" s="155">
        <f>VLOOKUP(B86,'Graph Data'!$O$2:$BX$88,25,FALSE)</f>
        <v>0</v>
      </c>
      <c r="F86" s="155">
        <f>IFERROR(E86+'Pay App 22'!F86,"")</f>
        <v>0</v>
      </c>
      <c r="G86" s="155">
        <f>SUM('Pay App 1:Pay App 22'!H86)</f>
        <v>0</v>
      </c>
      <c r="H86" s="154"/>
      <c r="I86" s="155">
        <f t="shared" si="0"/>
        <v>0</v>
      </c>
      <c r="J86" s="156">
        <f t="shared" si="1"/>
        <v>0</v>
      </c>
      <c r="K86" s="155">
        <f t="shared" si="2"/>
        <v>0</v>
      </c>
      <c r="L86" s="155" t="str">
        <f>IF(AND('Summary Sheet'!$E$23="No",$H$33&gt;0,H86&gt;=1),"",IF(AND('Summary Sheet'!$E$23="Yes",H86&lt;&gt;""),H86*'Summary Sheet'!$G$23,""))</f>
        <v/>
      </c>
      <c r="M86" s="154"/>
      <c r="N86" s="155">
        <f>SUM('Pay App 1:Pay App 23'!L86)+SUM('Pay App 1:Pay App 23'!M86)</f>
        <v>0</v>
      </c>
    </row>
    <row r="87" spans="1:14" ht="11.25" customHeight="1" x14ac:dyDescent="0.25">
      <c r="A87" s="152">
        <v>31</v>
      </c>
      <c r="B87" s="174" t="str">
        <f>'Pay App 1'!B87</f>
        <v>07 26 00</v>
      </c>
      <c r="C87" s="179" t="str">
        <f>'Pay App 1'!C87</f>
        <v>Vapor Retarders</v>
      </c>
      <c r="D87" s="155">
        <f>'Pay App 1'!D87</f>
        <v>0</v>
      </c>
      <c r="E87" s="155">
        <f>VLOOKUP(B87,'Graph Data'!$O$2:$BX$88,25,FALSE)</f>
        <v>0</v>
      </c>
      <c r="F87" s="155">
        <f>IFERROR(E87+'Pay App 22'!F87,"")</f>
        <v>0</v>
      </c>
      <c r="G87" s="155">
        <f>SUM('Pay App 1:Pay App 22'!H87)</f>
        <v>0</v>
      </c>
      <c r="H87" s="154"/>
      <c r="I87" s="155">
        <f t="shared" si="0"/>
        <v>0</v>
      </c>
      <c r="J87" s="156">
        <f t="shared" si="1"/>
        <v>0</v>
      </c>
      <c r="K87" s="155">
        <f t="shared" si="2"/>
        <v>0</v>
      </c>
      <c r="L87" s="155" t="str">
        <f>IF(AND('Summary Sheet'!$E$23="No",$H$33&gt;0,H87&gt;=1),"",IF(AND('Summary Sheet'!$E$23="Yes",H87&lt;&gt;""),H87*'Summary Sheet'!$G$23,""))</f>
        <v/>
      </c>
      <c r="M87" s="154"/>
      <c r="N87" s="155">
        <f>SUM('Pay App 1:Pay App 23'!L87)+SUM('Pay App 1:Pay App 23'!M87)</f>
        <v>0</v>
      </c>
    </row>
    <row r="88" spans="1:14" ht="11.25" customHeight="1" x14ac:dyDescent="0.25">
      <c r="A88" s="152">
        <v>32</v>
      </c>
      <c r="B88" s="174" t="str">
        <f>'Pay App 1'!B88</f>
        <v>07 41 00</v>
      </c>
      <c r="C88" s="179" t="str">
        <f>'Pay App 1'!C88</f>
        <v>Roofing</v>
      </c>
      <c r="D88" s="155">
        <f>'Pay App 1'!D88</f>
        <v>0</v>
      </c>
      <c r="E88" s="155">
        <f>VLOOKUP(B88,'Graph Data'!$O$2:$BX$88,25,FALSE)</f>
        <v>0</v>
      </c>
      <c r="F88" s="155">
        <f>IFERROR(E88+'Pay App 22'!F88,"")</f>
        <v>0</v>
      </c>
      <c r="G88" s="155">
        <f>SUM('Pay App 1:Pay App 22'!H88)</f>
        <v>0</v>
      </c>
      <c r="H88" s="154"/>
      <c r="I88" s="155">
        <f t="shared" si="0"/>
        <v>0</v>
      </c>
      <c r="J88" s="156">
        <f t="shared" si="1"/>
        <v>0</v>
      </c>
      <c r="K88" s="155">
        <f t="shared" si="2"/>
        <v>0</v>
      </c>
      <c r="L88" s="155" t="str">
        <f>IF(AND('Summary Sheet'!$E$23="No",$H$33&gt;0,H88&gt;=1),"",IF(AND('Summary Sheet'!$E$23="Yes",H88&lt;&gt;""),H88*'Summary Sheet'!$G$23,""))</f>
        <v/>
      </c>
      <c r="M88" s="154"/>
      <c r="N88" s="155">
        <f>SUM('Pay App 1:Pay App 23'!L88)+SUM('Pay App 1:Pay App 23'!M88)</f>
        <v>0</v>
      </c>
    </row>
    <row r="89" spans="1:14" ht="11.25" customHeight="1" x14ac:dyDescent="0.25">
      <c r="A89" s="152">
        <v>33</v>
      </c>
      <c r="B89" s="174" t="str">
        <f>'Pay App 1'!B89</f>
        <v>07 42 00</v>
      </c>
      <c r="C89" s="179" t="str">
        <f>'Pay App 1'!C89</f>
        <v>Metal Panels</v>
      </c>
      <c r="D89" s="155">
        <f>'Pay App 1'!D89</f>
        <v>0</v>
      </c>
      <c r="E89" s="155">
        <f>VLOOKUP(B89,'Graph Data'!$O$2:$BX$88,25,FALSE)</f>
        <v>0</v>
      </c>
      <c r="F89" s="155">
        <f>IFERROR(E89+'Pay App 22'!F89,"")</f>
        <v>0</v>
      </c>
      <c r="G89" s="155">
        <f>SUM('Pay App 1:Pay App 22'!H89)</f>
        <v>0</v>
      </c>
      <c r="H89" s="154"/>
      <c r="I89" s="155">
        <f t="shared" si="0"/>
        <v>0</v>
      </c>
      <c r="J89" s="156">
        <f t="shared" si="1"/>
        <v>0</v>
      </c>
      <c r="K89" s="155">
        <f t="shared" si="2"/>
        <v>0</v>
      </c>
      <c r="L89" s="155" t="str">
        <f>IF(AND('Summary Sheet'!$E$23="No",$H$33&gt;0,H89&gt;=1),"",IF(AND('Summary Sheet'!$E$23="Yes",H89&lt;&gt;""),H89*'Summary Sheet'!$G$23,""))</f>
        <v/>
      </c>
      <c r="M89" s="154"/>
      <c r="N89" s="155">
        <f>SUM('Pay App 1:Pay App 23'!L89)+SUM('Pay App 1:Pay App 23'!M89)</f>
        <v>0</v>
      </c>
    </row>
    <row r="90" spans="1:14" ht="11.25" customHeight="1" x14ac:dyDescent="0.25">
      <c r="A90" s="152">
        <v>34</v>
      </c>
      <c r="B90" s="174" t="str">
        <f>'Pay App 1'!B90</f>
        <v>07 60 00</v>
      </c>
      <c r="C90" s="179" t="str">
        <f>'Pay App 1'!C90</f>
        <v>Sheet Metal Flashing &amp; Trim</v>
      </c>
      <c r="D90" s="155">
        <f>'Pay App 1'!D90</f>
        <v>0</v>
      </c>
      <c r="E90" s="155">
        <f>VLOOKUP(B90,'Graph Data'!$O$2:$BX$88,25,FALSE)</f>
        <v>0</v>
      </c>
      <c r="F90" s="155">
        <f>IFERROR(E90+'Pay App 22'!F90,"")</f>
        <v>0</v>
      </c>
      <c r="G90" s="155">
        <f>SUM('Pay App 1:Pay App 22'!H90)</f>
        <v>0</v>
      </c>
      <c r="H90" s="154"/>
      <c r="I90" s="155">
        <f t="shared" si="0"/>
        <v>0</v>
      </c>
      <c r="J90" s="156">
        <f t="shared" si="1"/>
        <v>0</v>
      </c>
      <c r="K90" s="155">
        <f t="shared" si="2"/>
        <v>0</v>
      </c>
      <c r="L90" s="155" t="str">
        <f>IF(AND('Summary Sheet'!$E$23="No",$H$33&gt;0,H90&gt;=1),"",IF(AND('Summary Sheet'!$E$23="Yes",H90&lt;&gt;""),H90*'Summary Sheet'!$G$23,""))</f>
        <v/>
      </c>
      <c r="M90" s="154"/>
      <c r="N90" s="155">
        <f>SUM('Pay App 1:Pay App 23'!L90)+SUM('Pay App 1:Pay App 23'!M90)</f>
        <v>0</v>
      </c>
    </row>
    <row r="91" spans="1:14" ht="11.25" customHeight="1" x14ac:dyDescent="0.25">
      <c r="A91" s="152">
        <v>35</v>
      </c>
      <c r="B91" s="174" t="str">
        <f>'Pay App 1'!B91</f>
        <v>07 80 00</v>
      </c>
      <c r="C91" s="179" t="str">
        <f>'Pay App 1'!C91</f>
        <v>Fireproofing</v>
      </c>
      <c r="D91" s="155">
        <f>'Pay App 1'!D91</f>
        <v>0</v>
      </c>
      <c r="E91" s="155">
        <f>VLOOKUP(B91,'Graph Data'!$O$2:$BX$88,25,FALSE)</f>
        <v>0</v>
      </c>
      <c r="F91" s="155">
        <f>IFERROR(E91+'Pay App 22'!F91,"")</f>
        <v>0</v>
      </c>
      <c r="G91" s="155">
        <f>SUM('Pay App 1:Pay App 22'!H91)</f>
        <v>0</v>
      </c>
      <c r="H91" s="154"/>
      <c r="I91" s="155">
        <f t="shared" si="0"/>
        <v>0</v>
      </c>
      <c r="J91" s="156">
        <f t="shared" si="1"/>
        <v>0</v>
      </c>
      <c r="K91" s="155">
        <f t="shared" si="2"/>
        <v>0</v>
      </c>
      <c r="L91" s="155" t="str">
        <f>IF(AND('Summary Sheet'!$E$23="No",$H$33&gt;0,H91&gt;=1),"",IF(AND('Summary Sheet'!$E$23="Yes",H91&lt;&gt;""),H91*'Summary Sheet'!$G$23,""))</f>
        <v/>
      </c>
      <c r="M91" s="154"/>
      <c r="N91" s="155">
        <f>SUM('Pay App 1:Pay App 23'!L91)+SUM('Pay App 1:Pay App 23'!M91)</f>
        <v>0</v>
      </c>
    </row>
    <row r="92" spans="1:14" ht="11.25" customHeight="1" x14ac:dyDescent="0.25">
      <c r="A92" s="152">
        <v>36</v>
      </c>
      <c r="B92" s="174" t="str">
        <f>'Pay App 1'!B92</f>
        <v>07 90 00</v>
      </c>
      <c r="C92" s="179" t="str">
        <f>'Pay App 1'!C92</f>
        <v>Joint Sealants</v>
      </c>
      <c r="D92" s="155">
        <f>'Pay App 1'!D92</f>
        <v>0</v>
      </c>
      <c r="E92" s="155">
        <f>VLOOKUP(B92,'Graph Data'!$O$2:$BX$88,25,FALSE)</f>
        <v>0</v>
      </c>
      <c r="F92" s="155">
        <f>IFERROR(E92+'Pay App 22'!F92,"")</f>
        <v>0</v>
      </c>
      <c r="G92" s="155">
        <f>SUM('Pay App 1:Pay App 22'!H92)</f>
        <v>0</v>
      </c>
      <c r="H92" s="154"/>
      <c r="I92" s="155">
        <f t="shared" si="0"/>
        <v>0</v>
      </c>
      <c r="J92" s="156">
        <f t="shared" si="1"/>
        <v>0</v>
      </c>
      <c r="K92" s="155">
        <f t="shared" si="2"/>
        <v>0</v>
      </c>
      <c r="L92" s="155" t="str">
        <f>IF(AND('Summary Sheet'!$E$23="No",$H$33&gt;0,H92&gt;=1),"",IF(AND('Summary Sheet'!$E$23="Yes",H92&lt;&gt;""),H92*'Summary Sheet'!$G$23,""))</f>
        <v/>
      </c>
      <c r="M92" s="154"/>
      <c r="N92" s="155">
        <f>SUM('Pay App 1:Pay App 23'!L92)+SUM('Pay App 1:Pay App 23'!M92)</f>
        <v>0</v>
      </c>
    </row>
    <row r="93" spans="1:14" ht="11.25" customHeight="1" x14ac:dyDescent="0.25">
      <c r="A93" s="152">
        <v>37</v>
      </c>
      <c r="B93" s="174" t="str">
        <f>'Pay App 1'!B93</f>
        <v>07 95 00</v>
      </c>
      <c r="C93" s="179" t="str">
        <f>'Pay App 1'!C93</f>
        <v>Expansion Joints</v>
      </c>
      <c r="D93" s="155">
        <f>'Pay App 1'!D93</f>
        <v>0</v>
      </c>
      <c r="E93" s="155">
        <f>VLOOKUP(B93,'Graph Data'!$O$2:$BX$88,25,FALSE)</f>
        <v>0</v>
      </c>
      <c r="F93" s="155">
        <f>IFERROR(E93+'Pay App 22'!F93,"")</f>
        <v>0</v>
      </c>
      <c r="G93" s="155">
        <f>SUM('Pay App 1:Pay App 22'!H93)</f>
        <v>0</v>
      </c>
      <c r="H93" s="154"/>
      <c r="I93" s="155">
        <f t="shared" si="0"/>
        <v>0</v>
      </c>
      <c r="J93" s="156">
        <f t="shared" si="1"/>
        <v>0</v>
      </c>
      <c r="K93" s="155">
        <f t="shared" si="2"/>
        <v>0</v>
      </c>
      <c r="L93" s="155" t="str">
        <f>IF(AND('Summary Sheet'!$E$23="No",$H$33&gt;0,H93&gt;=1),"",IF(AND('Summary Sheet'!$E$23="Yes",H93&lt;&gt;""),H93*'Summary Sheet'!$G$23,""))</f>
        <v/>
      </c>
      <c r="M93" s="154"/>
      <c r="N93" s="155">
        <f>SUM('Pay App 1:Pay App 23'!L93)+SUM('Pay App 1:Pay App 23'!M93)</f>
        <v>0</v>
      </c>
    </row>
    <row r="94" spans="1:14" ht="11.25" customHeight="1" x14ac:dyDescent="0.25">
      <c r="A94" s="152">
        <v>38</v>
      </c>
      <c r="B94" s="175" t="str">
        <f>'Pay App 1'!B94</f>
        <v>08 10 00</v>
      </c>
      <c r="C94" s="180" t="str">
        <f>'Pay App 1'!C94</f>
        <v>Doors, Frames &amp; Hardware</v>
      </c>
      <c r="D94" s="155">
        <f>'Pay App 1'!D94</f>
        <v>0</v>
      </c>
      <c r="E94" s="155">
        <f>VLOOKUP(B94,'Graph Data'!$O$2:$BX$88,25,FALSE)</f>
        <v>0</v>
      </c>
      <c r="F94" s="155">
        <f>IFERROR(E94+'Pay App 22'!F94,"")</f>
        <v>0</v>
      </c>
      <c r="G94" s="155">
        <f>SUM('Pay App 1:Pay App 22'!H94)</f>
        <v>0</v>
      </c>
      <c r="H94" s="154"/>
      <c r="I94" s="155">
        <f t="shared" si="0"/>
        <v>0</v>
      </c>
      <c r="J94" s="156">
        <f t="shared" si="1"/>
        <v>0</v>
      </c>
      <c r="K94" s="155">
        <f t="shared" si="2"/>
        <v>0</v>
      </c>
      <c r="L94" s="155" t="str">
        <f>IF(AND('Summary Sheet'!$E$23="No",$H$33&gt;0,H94&gt;=1),"",IF(AND('Summary Sheet'!$E$23="Yes",H94&lt;&gt;""),H94*'Summary Sheet'!$G$23,""))</f>
        <v/>
      </c>
      <c r="M94" s="154"/>
      <c r="N94" s="155">
        <f>SUM('Pay App 1:Pay App 23'!L94)+SUM('Pay App 1:Pay App 23'!M94)</f>
        <v>0</v>
      </c>
    </row>
    <row r="95" spans="1:14" ht="11.25" customHeight="1" x14ac:dyDescent="0.25">
      <c r="A95" s="152">
        <v>39</v>
      </c>
      <c r="B95" s="175" t="str">
        <f>'Pay App 1'!B95</f>
        <v>08 30 00</v>
      </c>
      <c r="C95" s="180" t="str">
        <f>'Pay App 1'!C95</f>
        <v>Specialty Doors</v>
      </c>
      <c r="D95" s="155">
        <f>'Pay App 1'!D95</f>
        <v>0</v>
      </c>
      <c r="E95" s="155">
        <f>VLOOKUP(B95,'Graph Data'!$O$2:$BX$88,25,FALSE)</f>
        <v>0</v>
      </c>
      <c r="F95" s="155">
        <f>IFERROR(E95+'Pay App 22'!F95,"")</f>
        <v>0</v>
      </c>
      <c r="G95" s="155">
        <f>SUM('Pay App 1:Pay App 22'!H95)</f>
        <v>0</v>
      </c>
      <c r="H95" s="154"/>
      <c r="I95" s="155">
        <f t="shared" si="0"/>
        <v>0</v>
      </c>
      <c r="J95" s="156">
        <f t="shared" si="1"/>
        <v>0</v>
      </c>
      <c r="K95" s="155">
        <f t="shared" si="2"/>
        <v>0</v>
      </c>
      <c r="L95" s="155" t="str">
        <f>IF(AND('Summary Sheet'!$E$23="No",$H$33&gt;0,H95&gt;=1),"",IF(AND('Summary Sheet'!$E$23="Yes",H95&lt;&gt;""),H95*'Summary Sheet'!$G$23,""))</f>
        <v/>
      </c>
      <c r="M95" s="154"/>
      <c r="N95" s="155">
        <f>SUM('Pay App 1:Pay App 23'!L95)+SUM('Pay App 1:Pay App 23'!M95)</f>
        <v>0</v>
      </c>
    </row>
    <row r="96" spans="1:14" ht="11.25" customHeight="1" x14ac:dyDescent="0.25">
      <c r="A96" s="152">
        <v>40</v>
      </c>
      <c r="B96" s="175" t="str">
        <f>'Pay App 1'!B96</f>
        <v>08 33 00</v>
      </c>
      <c r="C96" s="180" t="str">
        <f>'Pay App 1'!C96</f>
        <v>Overhead Doors/Coiling Doors</v>
      </c>
      <c r="D96" s="155">
        <f>'Pay App 1'!D96</f>
        <v>0</v>
      </c>
      <c r="E96" s="155">
        <f>VLOOKUP(B96,'Graph Data'!$O$2:$BX$88,25,FALSE)</f>
        <v>0</v>
      </c>
      <c r="F96" s="155">
        <f>IFERROR(E96+'Pay App 22'!F96,"")</f>
        <v>0</v>
      </c>
      <c r="G96" s="155">
        <f>SUM('Pay App 1:Pay App 22'!H96)</f>
        <v>0</v>
      </c>
      <c r="H96" s="154"/>
      <c r="I96" s="155">
        <f t="shared" si="0"/>
        <v>0</v>
      </c>
      <c r="J96" s="156">
        <f t="shared" si="1"/>
        <v>0</v>
      </c>
      <c r="K96" s="155">
        <f t="shared" si="2"/>
        <v>0</v>
      </c>
      <c r="L96" s="155" t="str">
        <f>IF(AND('Summary Sheet'!$E$23="No",$H$33&gt;0,H96&gt;=1),"",IF(AND('Summary Sheet'!$E$23="Yes",H96&lt;&gt;""),H96*'Summary Sheet'!$G$23,""))</f>
        <v/>
      </c>
      <c r="M96" s="154"/>
      <c r="N96" s="155">
        <f>SUM('Pay App 1:Pay App 23'!L96)+SUM('Pay App 1:Pay App 23'!M96)</f>
        <v>0</v>
      </c>
    </row>
    <row r="97" spans="1:15" ht="11.25" customHeight="1" x14ac:dyDescent="0.25">
      <c r="A97" s="152">
        <v>41</v>
      </c>
      <c r="B97" s="175" t="str">
        <f>'Pay App 1'!B97</f>
        <v>08 40 00</v>
      </c>
      <c r="C97" s="180" t="str">
        <f>'Pay App 1'!C97</f>
        <v>Curtain Wall, Glass &amp; Glazing</v>
      </c>
      <c r="D97" s="155">
        <f>'Pay App 1'!D97</f>
        <v>0</v>
      </c>
      <c r="E97" s="155">
        <f>VLOOKUP(B97,'Graph Data'!$O$2:$BX$88,25,FALSE)</f>
        <v>0</v>
      </c>
      <c r="F97" s="155">
        <f>IFERROR(E97+'Pay App 22'!F97,"")</f>
        <v>0</v>
      </c>
      <c r="G97" s="155">
        <f>SUM('Pay App 1:Pay App 22'!H97)</f>
        <v>0</v>
      </c>
      <c r="H97" s="154"/>
      <c r="I97" s="155">
        <f t="shared" si="0"/>
        <v>0</v>
      </c>
      <c r="J97" s="156">
        <f t="shared" si="1"/>
        <v>0</v>
      </c>
      <c r="K97" s="155">
        <f t="shared" si="2"/>
        <v>0</v>
      </c>
      <c r="L97" s="155" t="str">
        <f>IF(AND('Summary Sheet'!$E$23="No",$H$33&gt;0,H97&gt;=1),"",IF(AND('Summary Sheet'!$E$23="Yes",H97&lt;&gt;""),H97*'Summary Sheet'!$G$23,""))</f>
        <v/>
      </c>
      <c r="M97" s="154"/>
      <c r="N97" s="155">
        <f>SUM('Pay App 1:Pay App 23'!L97)+SUM('Pay App 1:Pay App 23'!M97)</f>
        <v>0</v>
      </c>
    </row>
    <row r="98" spans="1:15" ht="10.9" customHeight="1" x14ac:dyDescent="0.25">
      <c r="A98" s="152">
        <v>42</v>
      </c>
      <c r="B98" s="175" t="str">
        <f>'Pay App 1'!B98</f>
        <v>08 60 00</v>
      </c>
      <c r="C98" s="180" t="str">
        <f>'Pay App 1'!C98</f>
        <v>Skylights</v>
      </c>
      <c r="D98" s="155">
        <f>'Pay App 1'!D98</f>
        <v>0</v>
      </c>
      <c r="E98" s="155">
        <f>VLOOKUP(B98,'Graph Data'!$O$2:$BX$88,25,FALSE)</f>
        <v>0</v>
      </c>
      <c r="F98" s="155">
        <f>IFERROR(E98+'Pay App 22'!F98,"")</f>
        <v>0</v>
      </c>
      <c r="G98" s="155">
        <f>SUM('Pay App 1:Pay App 22'!H98)</f>
        <v>0</v>
      </c>
      <c r="H98" s="154"/>
      <c r="I98" s="155">
        <f t="shared" si="0"/>
        <v>0</v>
      </c>
      <c r="J98" s="156">
        <f t="shared" si="1"/>
        <v>0</v>
      </c>
      <c r="K98" s="155">
        <f t="shared" si="2"/>
        <v>0</v>
      </c>
      <c r="L98" s="155" t="str">
        <f>IF(AND('Summary Sheet'!$E$23="No",$H$33&gt;0,H98&gt;=1),"",IF(AND('Summary Sheet'!$E$23="Yes",H98&lt;&gt;""),H98*'Summary Sheet'!$G$23,""))</f>
        <v/>
      </c>
      <c r="M98" s="154"/>
      <c r="N98" s="155">
        <f>SUM('Pay App 1:Pay App 23'!L98)+SUM('Pay App 1:Pay App 23'!M98)</f>
        <v>0</v>
      </c>
    </row>
    <row r="99" spans="1:15" ht="10.9" customHeight="1" x14ac:dyDescent="0.25">
      <c r="A99" s="152">
        <v>43</v>
      </c>
      <c r="B99" s="175" t="str">
        <f>'Pay App 1'!B99</f>
        <v>08 90 00</v>
      </c>
      <c r="C99" s="180" t="str">
        <f>'Pay App 1'!C99</f>
        <v>Louvers &amp; Vents</v>
      </c>
      <c r="D99" s="155">
        <f>'Pay App 1'!D99</f>
        <v>0</v>
      </c>
      <c r="E99" s="155">
        <f>VLOOKUP(B99,'Graph Data'!$O$2:$BX$88,25,FALSE)</f>
        <v>0</v>
      </c>
      <c r="F99" s="155">
        <f>IFERROR(E99+'Pay App 22'!F99,"")</f>
        <v>0</v>
      </c>
      <c r="G99" s="155">
        <f>SUM('Pay App 1:Pay App 22'!H99)</f>
        <v>0</v>
      </c>
      <c r="H99" s="154"/>
      <c r="I99" s="155">
        <f t="shared" si="0"/>
        <v>0</v>
      </c>
      <c r="J99" s="156">
        <f t="shared" si="1"/>
        <v>0</v>
      </c>
      <c r="K99" s="155">
        <f t="shared" si="2"/>
        <v>0</v>
      </c>
      <c r="L99" s="155" t="str">
        <f>IF(AND('Summary Sheet'!$E$23="No",$H$33&gt;0,H99&gt;=1),"",IF(AND('Summary Sheet'!$E$23="Yes",H99&lt;&gt;""),H99*'Summary Sheet'!$G$23,""))</f>
        <v/>
      </c>
      <c r="M99" s="154"/>
      <c r="N99" s="155">
        <f>SUM('Pay App 1:Pay App 23'!L99)+SUM('Pay App 1:Pay App 23'!M99)</f>
        <v>0</v>
      </c>
    </row>
    <row r="100" spans="1:15" ht="11.25" customHeight="1" x14ac:dyDescent="0.25">
      <c r="A100" s="153">
        <v>44</v>
      </c>
      <c r="B100" s="176" t="str">
        <f>'Pay App 1'!B100</f>
        <v>09 20 00</v>
      </c>
      <c r="C100" s="181" t="str">
        <f>'Pay App 1'!C100</f>
        <v>Gypsum Board Systems</v>
      </c>
      <c r="D100" s="155">
        <f>'Pay App 1'!D100</f>
        <v>0</v>
      </c>
      <c r="E100" s="155">
        <f>VLOOKUP(B100,'Graph Data'!$O$2:$BX$88,25,FALSE)</f>
        <v>0</v>
      </c>
      <c r="F100" s="155">
        <f>IFERROR(E100+'Pay App 22'!F100,"")</f>
        <v>0</v>
      </c>
      <c r="G100" s="155">
        <f>SUM('Pay App 1:Pay App 22'!H100)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23'!L100)+SUM('Pay App 1:Pay App 23'!M100)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23.2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Data'!$O$2:$BX$88,25,FALSE)</f>
        <v>0</v>
      </c>
      <c r="F106" s="155">
        <f>IFERROR(E106+'Pay App 22'!F106,"")</f>
        <v>0</v>
      </c>
      <c r="G106" s="155">
        <f>SUM('Pay App 1:Pay App 22'!H106)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23'!L106)+SUM('Pay App 1:Pay App 23'!M106)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Data'!$O$2:$BX$88,25,FALSE)</f>
        <v>0</v>
      </c>
      <c r="F107" s="155">
        <f>IFERROR(E107+'Pay App 22'!F107,"")</f>
        <v>0</v>
      </c>
      <c r="G107" s="155">
        <f>SUM('Pay App 1:Pay App 22'!H107)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23'!L107)+SUM('Pay App 1:Pay App 23'!M107)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Data'!$O$2:$BX$88,25,FALSE)</f>
        <v>0</v>
      </c>
      <c r="F108" s="155">
        <f>IFERROR(E108+'Pay App 22'!F108,"")</f>
        <v>0</v>
      </c>
      <c r="G108" s="155">
        <f>SUM('Pay App 1:Pay App 22'!H108)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23'!L108)+SUM('Pay App 1:Pay App 23'!M108)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Data'!$O$2:$BX$88,25,FALSE)</f>
        <v>0</v>
      </c>
      <c r="F109" s="155">
        <f>IFERROR(E109+'Pay App 22'!F109,"")</f>
        <v>0</v>
      </c>
      <c r="G109" s="155">
        <f>SUM('Pay App 1:Pay App 22'!H109)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23'!L109)+SUM('Pay App 1:Pay App 23'!M109)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Data'!$O$2:$BX$88,25,FALSE)</f>
        <v>0</v>
      </c>
      <c r="F110" s="155">
        <f>IFERROR(E110+'Pay App 22'!F110,"")</f>
        <v>0</v>
      </c>
      <c r="G110" s="155">
        <f>SUM('Pay App 1:Pay App 22'!H110)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23'!L110)+SUM('Pay App 1:Pay App 23'!M110)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Data'!$O$2:$BX$88,25,FALSE)</f>
        <v>0</v>
      </c>
      <c r="F111" s="155">
        <f>IFERROR(E111+'Pay App 22'!F111,"")</f>
        <v>0</v>
      </c>
      <c r="G111" s="155">
        <f>SUM('Pay App 1:Pay App 22'!H111)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23'!L111)+SUM('Pay App 1:Pay App 23'!M111)</f>
        <v>0</v>
      </c>
    </row>
    <row r="112" spans="1:15" ht="11.25" customHeight="1" x14ac:dyDescent="0.25">
      <c r="A112" s="152">
        <f t="shared" si="3"/>
        <v>51</v>
      </c>
      <c r="B112" s="148" t="str">
        <f>'Pay App 1'!B112</f>
        <v>09 90 00</v>
      </c>
      <c r="C112" s="143" t="str">
        <f>'Pay App 1'!C112</f>
        <v>Painting</v>
      </c>
      <c r="D112" s="155">
        <f>'Pay App 1'!D112</f>
        <v>0</v>
      </c>
      <c r="E112" s="155">
        <f>VLOOKUP(B112,'Graph Data'!$O$2:$BX$88,25,FALSE)</f>
        <v>0</v>
      </c>
      <c r="F112" s="155">
        <f>IFERROR(E112+'Pay App 22'!F112,"")</f>
        <v>0</v>
      </c>
      <c r="G112" s="155">
        <f>SUM('Pay App 1:Pay App 22'!H112)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23'!L112)+SUM('Pay App 1:Pay App 23'!M112)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Data'!$O$2:$BX$88,25,FALSE)</f>
        <v>0</v>
      </c>
      <c r="F113" s="155">
        <f>IFERROR(E113+'Pay App 22'!F113,"")</f>
        <v>0</v>
      </c>
      <c r="G113" s="155">
        <f>SUM('Pay App 1:Pay App 22'!H113)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23'!L113)+SUM('Pay App 1:Pay App 23'!M113)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Data'!$O$2:$BX$88,25,FALSE)</f>
        <v>0</v>
      </c>
      <c r="F114" s="155">
        <f>IFERROR(E114+'Pay App 22'!F114,"")</f>
        <v>0</v>
      </c>
      <c r="G114" s="155">
        <f>SUM('Pay App 1:Pay App 22'!H114)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23'!L114)+SUM('Pay App 1:Pay App 23'!M114)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Data'!$O$2:$BX$88,25,FALSE)</f>
        <v>0</v>
      </c>
      <c r="F115" s="155">
        <f>IFERROR(E115+'Pay App 22'!F115,"")</f>
        <v>0</v>
      </c>
      <c r="G115" s="155">
        <f>SUM('Pay App 1:Pay App 22'!H115)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23'!L115)+SUM('Pay App 1:Pay App 23'!M115)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Data'!$O$2:$BX$88,25,FALSE)</f>
        <v>0</v>
      </c>
      <c r="F116" s="155">
        <f>IFERROR(E116+'Pay App 22'!F116,"")</f>
        <v>0</v>
      </c>
      <c r="G116" s="155">
        <f>SUM('Pay App 1:Pay App 22'!H116)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23'!L116)+SUM('Pay App 1:Pay App 23'!M116)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Data'!$O$2:$BX$88,25,FALSE)</f>
        <v>0</v>
      </c>
      <c r="F117" s="155">
        <f>IFERROR(E117+'Pay App 22'!F117,"")</f>
        <v>0</v>
      </c>
      <c r="G117" s="155">
        <f>SUM('Pay App 1:Pay App 22'!H117)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23'!L117)+SUM('Pay App 1:Pay App 23'!M117)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Data'!$O$2:$BX$88,25,FALSE)</f>
        <v>0</v>
      </c>
      <c r="F118" s="155">
        <f>IFERROR(E118+'Pay App 22'!F118,"")</f>
        <v>0</v>
      </c>
      <c r="G118" s="155">
        <f>SUM('Pay App 1:Pay App 22'!H118)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23'!L118)+SUM('Pay App 1:Pay App 23'!M118)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Data'!$O$2:$BX$88,25,FALSE)</f>
        <v>0</v>
      </c>
      <c r="F119" s="155">
        <f>IFERROR(E119+'Pay App 22'!F119,"")</f>
        <v>0</v>
      </c>
      <c r="G119" s="155">
        <f>SUM('Pay App 1:Pay App 22'!H119)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23'!L119)+SUM('Pay App 1:Pay App 23'!M119)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Data'!$O$2:$BX$88,25,FALSE)</f>
        <v>0</v>
      </c>
      <c r="F120" s="155">
        <f>IFERROR(E120+'Pay App 22'!F120,"")</f>
        <v>0</v>
      </c>
      <c r="G120" s="155">
        <f>SUM('Pay App 1:Pay App 22'!H120)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23'!L120)+SUM('Pay App 1:Pay App 23'!M120)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Data'!$O$2:$BX$88,25,FALSE)</f>
        <v>0</v>
      </c>
      <c r="F121" s="155">
        <f>IFERROR(E121+'Pay App 22'!F121,"")</f>
        <v>0</v>
      </c>
      <c r="G121" s="155">
        <f>SUM('Pay App 1:Pay App 22'!H121)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23'!L121)+SUM('Pay App 1:Pay App 23'!M121)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Data'!$O$2:$BX$88,25,FALSE)</f>
        <v>0</v>
      </c>
      <c r="F122" s="155">
        <f>IFERROR(E122+'Pay App 22'!F122,"")</f>
        <v>0</v>
      </c>
      <c r="G122" s="155">
        <f>SUM('Pay App 1:Pay App 22'!H122)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23'!L122)+SUM('Pay App 1:Pay App 23'!M122)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Data'!$O$2:$BX$88,25,FALSE)</f>
        <v>0</v>
      </c>
      <c r="F123" s="155">
        <f>IFERROR(E123+'Pay App 22'!F123,"")</f>
        <v>0</v>
      </c>
      <c r="G123" s="155">
        <f>SUM('Pay App 1:Pay App 22'!H123)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23'!L123)+SUM('Pay App 1:Pay App 23'!M123)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Data'!$O$2:$BX$88,25,FALSE)</f>
        <v>0</v>
      </c>
      <c r="F124" s="155">
        <f>IFERROR(E124+'Pay App 22'!F124,"")</f>
        <v>0</v>
      </c>
      <c r="G124" s="155">
        <f>SUM('Pay App 1:Pay App 22'!H124)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23'!L124)+SUM('Pay App 1:Pay App 23'!M124)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Data'!$O$2:$BX$88,25,FALSE)</f>
        <v>0</v>
      </c>
      <c r="F125" s="155">
        <f>IFERROR(E125+'Pay App 22'!F125,"")</f>
        <v>0</v>
      </c>
      <c r="G125" s="155">
        <f>SUM('Pay App 1:Pay App 22'!H125)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23'!L125)+SUM('Pay App 1:Pay App 23'!M125)</f>
        <v>0</v>
      </c>
    </row>
    <row r="126" spans="1:14" ht="11.25" customHeight="1" x14ac:dyDescent="0.25">
      <c r="A126" s="152">
        <f t="shared" si="3"/>
        <v>65</v>
      </c>
      <c r="B126" s="188" t="str">
        <f>'Pay App 1'!B126</f>
        <v>14 20 00</v>
      </c>
      <c r="C126" s="194" t="str">
        <f>'Pay App 1'!C126</f>
        <v>Elevator</v>
      </c>
      <c r="D126" s="155">
        <f>'Pay App 1'!D126</f>
        <v>0</v>
      </c>
      <c r="E126" s="155">
        <f>VLOOKUP(B126,'Graph Data'!$O$2:$BX$88,25,FALSE)</f>
        <v>0</v>
      </c>
      <c r="F126" s="155">
        <f>IFERROR(E126+'Pay App 22'!F126,"")</f>
        <v>0</v>
      </c>
      <c r="G126" s="155">
        <f>SUM('Pay App 1:Pay App 22'!H126)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23'!L126)+SUM('Pay App 1:Pay App 23'!M126)</f>
        <v>0</v>
      </c>
    </row>
    <row r="127" spans="1:14" ht="11.25" customHeight="1" x14ac:dyDescent="0.25">
      <c r="A127" s="152">
        <f t="shared" si="3"/>
        <v>66</v>
      </c>
      <c r="B127" s="188" t="str">
        <f>'Pay App 1'!B127</f>
        <v>14 40 00</v>
      </c>
      <c r="C127" s="194" t="str">
        <f>'Pay App 1'!C127</f>
        <v>Lifts</v>
      </c>
      <c r="D127" s="155">
        <f>'Pay App 1'!D127</f>
        <v>0</v>
      </c>
      <c r="E127" s="155">
        <f>VLOOKUP(B127,'Graph Data'!$O$2:$BX$88,25,FALSE)</f>
        <v>0</v>
      </c>
      <c r="F127" s="155">
        <f>IFERROR(E127+'Pay App 22'!F127,"")</f>
        <v>0</v>
      </c>
      <c r="G127" s="155">
        <f>SUM('Pay App 1:Pay App 22'!H127)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23'!L127)+SUM('Pay App 1:Pay App 23'!M127)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Data'!$O$2:$BX$88,25,FALSE)</f>
        <v>0</v>
      </c>
      <c r="F128" s="155">
        <f>IFERROR(E128+'Pay App 22'!F128,"")</f>
        <v>0</v>
      </c>
      <c r="G128" s="155">
        <f>SUM('Pay App 1:Pay App 22'!H128)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23'!L128)+SUM('Pay App 1:Pay App 23'!M128)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Data'!$O$2:$BX$88,25,FALSE)</f>
        <v>0</v>
      </c>
      <c r="F129" s="155">
        <f>IFERROR(E129+'Pay App 22'!F129,"")</f>
        <v>0</v>
      </c>
      <c r="G129" s="155">
        <f>SUM('Pay App 1:Pay App 22'!H129)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23'!L129)+SUM('Pay App 1:Pay App 23'!M129)</f>
        <v>0</v>
      </c>
    </row>
    <row r="130" spans="1:14" ht="11.25" customHeight="1" x14ac:dyDescent="0.25">
      <c r="A130" s="152">
        <f t="shared" si="3"/>
        <v>69</v>
      </c>
      <c r="B130" s="185" t="str">
        <f>'Pay App 1'!B130</f>
        <v>22 00 00</v>
      </c>
      <c r="C130" s="191" t="str">
        <f>'Pay App 1'!C130</f>
        <v>Plumbing</v>
      </c>
      <c r="D130" s="155">
        <f>'Pay App 1'!D130</f>
        <v>0</v>
      </c>
      <c r="E130" s="155">
        <f>VLOOKUP(B130,'Graph Data'!$O$2:$BX$88,25,FALSE)</f>
        <v>0</v>
      </c>
      <c r="F130" s="155">
        <f>IFERROR(E130+'Pay App 22'!F130,"")</f>
        <v>0</v>
      </c>
      <c r="G130" s="155">
        <f>SUM('Pay App 1:Pay App 22'!H130)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23'!L130)+SUM('Pay App 1:Pay App 23'!M130)</f>
        <v>0</v>
      </c>
    </row>
    <row r="131" spans="1:14" ht="11.25" customHeight="1" x14ac:dyDescent="0.25">
      <c r="A131" s="152">
        <f t="shared" si="3"/>
        <v>70</v>
      </c>
      <c r="B131" s="186" t="str">
        <f>'Pay App 1'!B131</f>
        <v>23 00 00</v>
      </c>
      <c r="C131" s="192" t="str">
        <f>'Pay App 1'!C131</f>
        <v>HVAC</v>
      </c>
      <c r="D131" s="155">
        <f>'Pay App 1'!D131</f>
        <v>0</v>
      </c>
      <c r="E131" s="155">
        <f>VLOOKUP(B131,'Graph Data'!$O$2:$BX$88,25,FALSE)</f>
        <v>0</v>
      </c>
      <c r="F131" s="155">
        <f>IFERROR(E131+'Pay App 22'!F131,"")</f>
        <v>0</v>
      </c>
      <c r="G131" s="155">
        <f>SUM('Pay App 1:Pay App 22'!H131)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23'!L131)+SUM('Pay App 1:Pay App 23'!M131)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Data'!$O$2:$BX$88,25,FALSE)</f>
        <v>0</v>
      </c>
      <c r="F132" s="155">
        <f>IFERROR(E132+'Pay App 22'!F132,"")</f>
        <v>0</v>
      </c>
      <c r="G132" s="155">
        <f>SUM('Pay App 1:Pay App 22'!H132)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23'!L132)+SUM('Pay App 1:Pay App 23'!M132)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Data'!$O$2:$BX$88,25,FALSE)</f>
        <v>0</v>
      </c>
      <c r="F133" s="155">
        <f>IFERROR(E133+'Pay App 22'!F133,"")</f>
        <v>0</v>
      </c>
      <c r="G133" s="155">
        <f>SUM('Pay App 1:Pay App 22'!H133)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23'!L133)+SUM('Pay App 1:Pay App 23'!M133)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Data'!$O$2:$BX$88,25,FALSE)</f>
        <v>0</v>
      </c>
      <c r="F134" s="155">
        <f>IFERROR(E134+'Pay App 22'!F134,"")</f>
        <v>0</v>
      </c>
      <c r="G134" s="155">
        <f>SUM('Pay App 1:Pay App 22'!H134)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23'!L134)+SUM('Pay App 1:Pay App 23'!M134)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Data'!$O$2:$BX$88,25,FALSE)</f>
        <v>0</v>
      </c>
      <c r="F135" s="155">
        <f>IFERROR(E135+'Pay App 22'!F135,"")</f>
        <v>0</v>
      </c>
      <c r="G135" s="155">
        <f>SUM('Pay App 1:Pay App 22'!H135)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23'!L135)+SUM('Pay App 1:Pay App 23'!M135)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Data'!$O$2:$BX$88,25,FALSE)</f>
        <v>0</v>
      </c>
      <c r="F136" s="155">
        <f>IFERROR(E136+'Pay App 22'!F136,"")</f>
        <v>0</v>
      </c>
      <c r="G136" s="155">
        <f>SUM('Pay App 1:Pay App 22'!H136)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23'!L136)+SUM('Pay App 1:Pay App 23'!M136)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Data'!$O$2:$BX$88,25,FALSE)</f>
        <v>0</v>
      </c>
      <c r="F137" s="155">
        <f>IFERROR(E137+'Pay App 22'!F137,"")</f>
        <v>0</v>
      </c>
      <c r="G137" s="155">
        <f>SUM('Pay App 1:Pay App 22'!H137)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23'!L137)+SUM('Pay App 1:Pay App 23'!M137)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Data'!$O$2:$BX$88,25,FALSE)</f>
        <v>0</v>
      </c>
      <c r="F138" s="155">
        <f>IFERROR(E138+'Pay App 22'!F138,"")</f>
        <v>0</v>
      </c>
      <c r="G138" s="155">
        <f>SUM('Pay App 1:Pay App 22'!H138)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23'!L138)+SUM('Pay App 1:Pay App 23'!M138)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Data'!$O$2:$BX$88,25,FALSE)</f>
        <v>0</v>
      </c>
      <c r="F139" s="155">
        <f>IFERROR(E139+'Pay App 22'!F139,"")</f>
        <v>0</v>
      </c>
      <c r="G139" s="155">
        <f>SUM('Pay App 1:Pay App 22'!H139)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23'!L139)+SUM('Pay App 1:Pay App 23'!M139)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Data'!$O$2:$BX$88,25,FALSE)</f>
        <v>0</v>
      </c>
      <c r="F140" s="155">
        <f>IFERROR(E140+'Pay App 22'!F140,"")</f>
        <v>0</v>
      </c>
      <c r="G140" s="155">
        <f>SUM('Pay App 1:Pay App 22'!H140)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23'!L140)+SUM('Pay App 1:Pay App 23'!M140)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Data'!$O$2:$BX$88,25,FALSE)</f>
        <v>0</v>
      </c>
      <c r="F141" s="155">
        <f>IFERROR(E141+'Pay App 22'!F141,"")</f>
        <v>0</v>
      </c>
      <c r="G141" s="155">
        <f>SUM('Pay App 1:Pay App 22'!H141)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23'!L141)+SUM('Pay App 1:Pay App 23'!M141)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Data'!$O$2:$BX$88,25,FALSE)</f>
        <v>0</v>
      </c>
      <c r="F142" s="155">
        <f>IFERROR(E142+'Pay App 22'!F142,"")</f>
        <v>0</v>
      </c>
      <c r="G142" s="155">
        <f>SUM('Pay App 1:Pay App 22'!H142)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23'!L142)+SUM('Pay App 1:Pay App 23'!M142)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Data'!$O$2:$BX$88,25,FALSE)</f>
        <v>0</v>
      </c>
      <c r="F143" s="155">
        <f>IFERROR(E143+'Pay App 22'!F143,"")</f>
        <v>0</v>
      </c>
      <c r="G143" s="155">
        <f>SUM('Pay App 1:Pay App 22'!H143)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23'!L143)+SUM('Pay App 1:Pay App 23'!M143)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Data'!$O$2:$BX$88,25,FALSE)</f>
        <v>0</v>
      </c>
      <c r="F144" s="155">
        <f>IFERROR(E144+'Pay App 22'!F144,"")</f>
        <v>0</v>
      </c>
      <c r="G144" s="155">
        <f>SUM('Pay App 1:Pay App 22'!H144)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23'!L144)+SUM('Pay App 1:Pay App 23'!M144)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Data'!$O$2:$BX$88,25,FALSE)</f>
        <v>0</v>
      </c>
      <c r="F145" s="155">
        <f>IFERROR(E145+'Pay App 22'!F145,"")</f>
        <v>0</v>
      </c>
      <c r="G145" s="155">
        <f>SUM('Pay App 1:Pay App 22'!H145)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23'!L145)+SUM('Pay App 1:Pay App 23'!M145)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Data'!$O$2:$BX$88,25,FALSE)</f>
        <v>0</v>
      </c>
      <c r="F146" s="155">
        <f>IFERROR(E146+'Pay App 22'!F146,"")</f>
        <v>0</v>
      </c>
      <c r="G146" s="155">
        <f>SUM('Pay App 1:Pay App 22'!H146)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23'!L146)+SUM('Pay App 1:Pay App 23'!M146)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Data'!$O$2:$BX$88,25,FALSE)</f>
        <v>0</v>
      </c>
      <c r="F147" s="155">
        <f>IFERROR(E147+'Pay App 22'!F147,"")</f>
        <v>0</v>
      </c>
      <c r="G147" s="155">
        <f>SUM('Pay App 1:Pay App 22'!H147)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23'!L147)+SUM('Pay App 1:Pay App 23'!M147)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Data'!$O$2:$BX$88,25,FALSE)</f>
        <v>0</v>
      </c>
      <c r="F148" s="155">
        <f>IFERROR(E148+'Pay App 22'!F148,"")</f>
        <v>0</v>
      </c>
      <c r="G148" s="155">
        <f>SUM('Pay App 1:Pay App 22'!H148)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23'!L148)+SUM('Pay App 1:Pay App 23'!M148)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EfyWonGSVWneqV+VO1v4dy1niQMF1hTLwEcO/e6mELyTPU+/2NM8Bl0ZNutm3Grag5l7UT2BwoQl7b7oV/kOHw==" saltValue="UmRsIAxtbjKg6TyOeUgpq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17" priority="2" operator="equal">
      <formula>0</formula>
    </cfRule>
  </conditionalFormatting>
  <conditionalFormatting sqref="D106:G148">
    <cfRule type="cellIs" dxfId="416" priority="1" operator="equal">
      <formula>0</formula>
    </cfRule>
  </conditionalFormatting>
  <conditionalFormatting sqref="D10:H10 D12:H14 D19:H21">
    <cfRule type="cellIs" dxfId="415" priority="6" operator="equal">
      <formula>0</formula>
    </cfRule>
  </conditionalFormatting>
  <conditionalFormatting sqref="H51">
    <cfRule type="cellIs" dxfId="414" priority="9" operator="lessThan">
      <formula>0</formula>
    </cfRule>
  </conditionalFormatting>
  <conditionalFormatting sqref="I57:I100 K57:K100 I106:I148 K106:K148 N106:N148">
    <cfRule type="cellIs" dxfId="413" priority="14" operator="equal">
      <formula>0</formula>
    </cfRule>
  </conditionalFormatting>
  <conditionalFormatting sqref="J57:J100 J106:J149">
    <cfRule type="cellIs" dxfId="412" priority="11" operator="greaterThan">
      <formula>1</formula>
    </cfRule>
    <cfRule type="cellIs" dxfId="411" priority="12" operator="equal">
      <formula>0</formula>
    </cfRule>
  </conditionalFormatting>
  <conditionalFormatting sqref="K57:K100 K106:K148">
    <cfRule type="cellIs" dxfId="410" priority="10" operator="lessThan">
      <formula>0</formula>
    </cfRule>
  </conditionalFormatting>
  <conditionalFormatting sqref="M57:M100">
    <cfRule type="cellIs" dxfId="409" priority="13" operator="lessThan">
      <formula>0</formula>
    </cfRule>
  </conditionalFormatting>
  <conditionalFormatting sqref="M106:M148">
    <cfRule type="cellIs" dxfId="408" priority="8" operator="lessThan">
      <formula>0</formula>
    </cfRule>
  </conditionalFormatting>
  <conditionalFormatting sqref="N57:N100">
    <cfRule type="cellIs" dxfId="40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ADB0859F-B1FB-4AB6-8E9F-B9304F6B833D}">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E9EBE-9CFC-4379-86D0-32CEAF121529}">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24.1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Data'!$O$2:$BX$88,26,FALSE)</f>
        <v>0</v>
      </c>
      <c r="F57" s="155">
        <f>IFERROR(E57+'Pay App 23'!F57,"")</f>
        <v>0</v>
      </c>
      <c r="G57" s="155">
        <f>SUM('Pay App 1:Pay App 23'!H57)</f>
        <v>0</v>
      </c>
      <c r="H57" s="154"/>
      <c r="I57" s="155">
        <f>G57+H57</f>
        <v>0</v>
      </c>
      <c r="J57" s="156">
        <f>IFERROR(I57/F57,0)</f>
        <v>0</v>
      </c>
      <c r="K57" s="155">
        <f>IFERROR(F57-I57,"")</f>
        <v>0</v>
      </c>
      <c r="L57" s="155" t="str">
        <f>IF(AND('Summary Sheet'!$E$23="No",$H$33&gt;0,H57&gt;=1),"",IF(AND('Summary Sheet'!$E$23="Yes",H57&lt;&gt;""),H57*'Summary Sheet'!$G$23,""))</f>
        <v/>
      </c>
      <c r="M57" s="154"/>
      <c r="N57" s="155">
        <f>SUM('Pay App 1:Pay App 24'!L57)+SUM('Pay App 1:Pay App 24'!M57)</f>
        <v>0</v>
      </c>
    </row>
    <row r="58" spans="1:16" ht="11.25" customHeight="1" x14ac:dyDescent="0.25">
      <c r="A58" s="152">
        <v>2</v>
      </c>
      <c r="B58" s="145" t="str">
        <f>'Pay App 1'!B58</f>
        <v>00 02 00</v>
      </c>
      <c r="C58" s="134" t="str">
        <f>'Pay App 1'!C58</f>
        <v>Preconstruction Services</v>
      </c>
      <c r="D58" s="155">
        <f>'Pay App 1'!D58</f>
        <v>0</v>
      </c>
      <c r="E58" s="155">
        <f>VLOOKUP(B58,'Graph Data'!$O$2:$BX$88,26,FALSE)</f>
        <v>0</v>
      </c>
      <c r="F58" s="155">
        <f>IFERROR(E58+'Pay App 23'!F58,"")</f>
        <v>0</v>
      </c>
      <c r="G58" s="155">
        <f>SUM('Pay App 1:Pay App 23'!H58)</f>
        <v>0</v>
      </c>
      <c r="H58" s="154"/>
      <c r="I58" s="155">
        <f>G58+H58</f>
        <v>0</v>
      </c>
      <c r="J58" s="156">
        <f>IFERROR(I58/F58,0)</f>
        <v>0</v>
      </c>
      <c r="K58" s="155">
        <f>IFERROR(F58-I58,"")</f>
        <v>0</v>
      </c>
      <c r="L58" s="155" t="str">
        <f>IF(AND('Summary Sheet'!$E$23="No",$H$33&gt;0,H58&gt;=1),"",IF(AND('Summary Sheet'!$E$23="Yes",H58&lt;&gt;""),H58*'Summary Sheet'!$G$23,""))</f>
        <v/>
      </c>
      <c r="M58" s="154"/>
      <c r="N58" s="155">
        <f>SUM('Pay App 1:Pay App 24'!L58)+SUM('Pay App 1:Pay App 24'!M58)</f>
        <v>0</v>
      </c>
    </row>
    <row r="59" spans="1:16" ht="11.25" customHeight="1" x14ac:dyDescent="0.25">
      <c r="A59" s="152">
        <v>3</v>
      </c>
      <c r="B59" s="174" t="str">
        <f>'Pay App 1'!B59</f>
        <v>01 00 00</v>
      </c>
      <c r="C59" s="179" t="str">
        <f>'Pay App 1'!C59</f>
        <v>General Conditions/Requirements</v>
      </c>
      <c r="D59" s="155">
        <f>'Pay App 1'!D59</f>
        <v>0</v>
      </c>
      <c r="E59" s="155">
        <f>VLOOKUP(B59,'Graph Data'!$O$2:$BX$88,26,FALSE)</f>
        <v>0</v>
      </c>
      <c r="F59" s="155">
        <f>IFERROR(E59+'Pay App 23'!F59,"")</f>
        <v>0</v>
      </c>
      <c r="G59" s="155">
        <f>SUM('Pay App 1:Pay App 23'!H59)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24'!L59)+SUM('Pay App 1:Pay App 24'!M59)</f>
        <v>0</v>
      </c>
    </row>
    <row r="60" spans="1:16" ht="11.25" customHeight="1" x14ac:dyDescent="0.25">
      <c r="A60" s="152">
        <v>4</v>
      </c>
      <c r="B60" s="174" t="str">
        <f>'Pay App 1'!B60</f>
        <v>01 13 41</v>
      </c>
      <c r="C60" s="179" t="str">
        <f>'Pay App 1'!C60</f>
        <v>Temp. Scaffolding and Platforms</v>
      </c>
      <c r="D60" s="155">
        <f>'Pay App 1'!D60</f>
        <v>0</v>
      </c>
      <c r="E60" s="155">
        <f>VLOOKUP(B60,'Graph Data'!$O$2:$BX$88,26,FALSE)</f>
        <v>0</v>
      </c>
      <c r="F60" s="155">
        <f>IFERROR(E60+'Pay App 23'!F60,"")</f>
        <v>0</v>
      </c>
      <c r="G60" s="155">
        <f>SUM('Pay App 1:Pay App 23'!H60)</f>
        <v>0</v>
      </c>
      <c r="H60" s="154"/>
      <c r="I60" s="155">
        <f t="shared" si="0"/>
        <v>0</v>
      </c>
      <c r="J60" s="156">
        <f t="shared" si="1"/>
        <v>0</v>
      </c>
      <c r="K60" s="155">
        <f t="shared" si="2"/>
        <v>0</v>
      </c>
      <c r="L60" s="155" t="str">
        <f>IF(AND('Summary Sheet'!$E$23="No",$H$33&gt;0,H60&gt;=1),"",IF(AND('Summary Sheet'!$E$23="Yes",H60&lt;&gt;""),H60*'Summary Sheet'!$G$23,""))</f>
        <v/>
      </c>
      <c r="M60" s="154"/>
      <c r="N60" s="155">
        <f>SUM('Pay App 1:Pay App 24'!L60)+SUM('Pay App 1:Pay App 24'!M60)</f>
        <v>0</v>
      </c>
    </row>
    <row r="61" spans="1:16" ht="11.25" customHeight="1" x14ac:dyDescent="0.25">
      <c r="A61" s="152">
        <v>5</v>
      </c>
      <c r="B61" s="174" t="str">
        <f>'Pay App 1'!B61</f>
        <v>01 13 60</v>
      </c>
      <c r="C61" s="179" t="str">
        <f>'Pay App 1'!C61</f>
        <v>SWPPP</v>
      </c>
      <c r="D61" s="155">
        <f>'Pay App 1'!D61</f>
        <v>0</v>
      </c>
      <c r="E61" s="155">
        <f>VLOOKUP(B61,'Graph Data'!$O$2:$BX$88,26,FALSE)</f>
        <v>0</v>
      </c>
      <c r="F61" s="155">
        <f>IFERROR(E61+'Pay App 23'!F61,"")</f>
        <v>0</v>
      </c>
      <c r="G61" s="155">
        <f>SUM('Pay App 1:Pay App 23'!H61)</f>
        <v>0</v>
      </c>
      <c r="H61" s="154"/>
      <c r="I61" s="155">
        <f t="shared" si="0"/>
        <v>0</v>
      </c>
      <c r="J61" s="156">
        <f t="shared" si="1"/>
        <v>0</v>
      </c>
      <c r="K61" s="155">
        <f t="shared" si="2"/>
        <v>0</v>
      </c>
      <c r="L61" s="155" t="str">
        <f>IF(AND('Summary Sheet'!$E$23="No",$H$33&gt;0,H61&gt;=1),"",IF(AND('Summary Sheet'!$E$23="Yes",H61&lt;&gt;""),H61*'Summary Sheet'!$G$23,""))</f>
        <v/>
      </c>
      <c r="M61" s="154"/>
      <c r="N61" s="155">
        <f>SUM('Pay App 1:Pay App 24'!L61)+SUM('Pay App 1:Pay App 24'!M61)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Data'!$O$2:$BX$88,26,FALSE)</f>
        <v>0</v>
      </c>
      <c r="F62" s="155">
        <f>IFERROR(E62+'Pay App 23'!F62,"")</f>
        <v>0</v>
      </c>
      <c r="G62" s="155">
        <f>SUM('Pay App 1:Pay App 23'!H62)</f>
        <v>0</v>
      </c>
      <c r="H62" s="154"/>
      <c r="I62" s="155">
        <f t="shared" si="0"/>
        <v>0</v>
      </c>
      <c r="J62" s="156">
        <f t="shared" si="1"/>
        <v>0</v>
      </c>
      <c r="K62" s="155">
        <f t="shared" si="2"/>
        <v>0</v>
      </c>
      <c r="L62" s="155" t="str">
        <f>IF(AND('Summary Sheet'!$E$23="No",$H$33&gt;0,H62&gt;=1),"",IF(AND('Summary Sheet'!$E$23="Yes",H62&lt;&gt;""),H62*'Summary Sheet'!$G$23,""))</f>
        <v/>
      </c>
      <c r="M62" s="154"/>
      <c r="N62" s="155">
        <f>SUM('Pay App 1:Pay App 24'!L62)+SUM('Pay App 1:Pay App 24'!M62)</f>
        <v>0</v>
      </c>
    </row>
    <row r="63" spans="1:16" ht="11.25" customHeight="1" x14ac:dyDescent="0.25">
      <c r="A63" s="152">
        <v>7</v>
      </c>
      <c r="B63" s="174" t="str">
        <f>'Pay App 1'!B63</f>
        <v>01 31 00</v>
      </c>
      <c r="C63" s="179" t="str">
        <f>'Pay App 1'!C63</f>
        <v>Contractor's Supervision</v>
      </c>
      <c r="D63" s="155">
        <f>'Pay App 1'!D63</f>
        <v>0</v>
      </c>
      <c r="E63" s="155">
        <f>VLOOKUP(B63,'Graph Data'!$O$2:$BX$88,26,FALSE)</f>
        <v>0</v>
      </c>
      <c r="F63" s="155">
        <f>IFERROR(E63+'Pay App 23'!F63,"")</f>
        <v>0</v>
      </c>
      <c r="G63" s="155">
        <f>SUM('Pay App 1:Pay App 23'!H63)</f>
        <v>0</v>
      </c>
      <c r="H63" s="154"/>
      <c r="I63" s="155">
        <f t="shared" si="0"/>
        <v>0</v>
      </c>
      <c r="J63" s="156">
        <f t="shared" si="1"/>
        <v>0</v>
      </c>
      <c r="K63" s="155">
        <f t="shared" si="2"/>
        <v>0</v>
      </c>
      <c r="L63" s="155" t="str">
        <f>IF(AND('Summary Sheet'!$E$23="No",$H$33&gt;0,H63&gt;=1),"",IF(AND('Summary Sheet'!$E$23="Yes",H63&lt;&gt;""),H63*'Summary Sheet'!$G$23,""))</f>
        <v/>
      </c>
      <c r="M63" s="154"/>
      <c r="N63" s="155">
        <f>SUM('Pay App 1:Pay App 24'!L63)+SUM('Pay App 1:Pay App 24'!M63)</f>
        <v>0</v>
      </c>
    </row>
    <row r="64" spans="1:16" ht="11.25" customHeight="1" x14ac:dyDescent="0.25">
      <c r="A64" s="152">
        <v>8</v>
      </c>
      <c r="B64" s="174" t="str">
        <f>'Pay App 1'!B64</f>
        <v>01 32 00</v>
      </c>
      <c r="C64" s="179" t="str">
        <f>'Pay App 1'!C64</f>
        <v>General Liability Insurance</v>
      </c>
      <c r="D64" s="155">
        <f>'Pay App 1'!D64</f>
        <v>0</v>
      </c>
      <c r="E64" s="155">
        <f>VLOOKUP(B64,'Graph Data'!$O$2:$BX$88,26,FALSE)</f>
        <v>0</v>
      </c>
      <c r="F64" s="155">
        <f>IFERROR(E64+'Pay App 23'!F64,"")</f>
        <v>0</v>
      </c>
      <c r="G64" s="155">
        <f>SUM('Pay App 1:Pay App 23'!H64)</f>
        <v>0</v>
      </c>
      <c r="H64" s="154"/>
      <c r="I64" s="155">
        <f t="shared" si="0"/>
        <v>0</v>
      </c>
      <c r="J64" s="156">
        <f t="shared" si="1"/>
        <v>0</v>
      </c>
      <c r="K64" s="155">
        <f t="shared" si="2"/>
        <v>0</v>
      </c>
      <c r="L64" s="155" t="str">
        <f>IF(AND('Summary Sheet'!$E$23="No",$H$33&gt;0,H64&gt;=1),"",IF(AND('Summary Sheet'!$E$23="Yes",H64&lt;&gt;""),H64*'Summary Sheet'!$G$23,""))</f>
        <v/>
      </c>
      <c r="M64" s="154"/>
      <c r="N64" s="155">
        <f>SUM('Pay App 1:Pay App 24'!L64)+SUM('Pay App 1:Pay App 24'!M64)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Data'!$O$2:$BX$88,26,FALSE)</f>
        <v>0</v>
      </c>
      <c r="F65" s="155">
        <f>IFERROR(E65+'Pay App 23'!F65,"")</f>
        <v>0</v>
      </c>
      <c r="G65" s="155">
        <f>SUM('Pay App 1:Pay App 23'!H65)</f>
        <v>0</v>
      </c>
      <c r="H65" s="154"/>
      <c r="I65" s="155">
        <f t="shared" si="0"/>
        <v>0</v>
      </c>
      <c r="J65" s="156">
        <f t="shared" si="1"/>
        <v>0</v>
      </c>
      <c r="K65" s="155">
        <f t="shared" si="2"/>
        <v>0</v>
      </c>
      <c r="L65" s="155" t="str">
        <f>IF(AND('Summary Sheet'!$E$23="No",$H$33&gt;0,H65&gt;=1),"",IF(AND('Summary Sheet'!$E$23="Yes",H65&lt;&gt;""),H65*'Summary Sheet'!$G$23,""))</f>
        <v/>
      </c>
      <c r="M65" s="154"/>
      <c r="N65" s="155">
        <f>SUM('Pay App 1:Pay App 24'!L65)+SUM('Pay App 1:Pay App 24'!M65)</f>
        <v>0</v>
      </c>
    </row>
    <row r="66" spans="1:17" ht="11.25" customHeight="1" x14ac:dyDescent="0.25">
      <c r="A66" s="152">
        <v>10</v>
      </c>
      <c r="B66" s="174" t="str">
        <f>'Pay App 1'!B66</f>
        <v>01 34 00</v>
      </c>
      <c r="C66" s="179" t="str">
        <f>'Pay App 1'!C66</f>
        <v>Subcontractor Default Insurance</v>
      </c>
      <c r="D66" s="155">
        <f>'Pay App 1'!D66</f>
        <v>0</v>
      </c>
      <c r="E66" s="155">
        <f>VLOOKUP(B66,'Graph Data'!$O$2:$BX$88,26,FALSE)</f>
        <v>0</v>
      </c>
      <c r="F66" s="155">
        <f>IFERROR(E66+'Pay App 23'!F66,"")</f>
        <v>0</v>
      </c>
      <c r="G66" s="155">
        <f>SUM('Pay App 1:Pay App 23'!H66)</f>
        <v>0</v>
      </c>
      <c r="H66" s="154"/>
      <c r="I66" s="155">
        <f t="shared" si="0"/>
        <v>0</v>
      </c>
      <c r="J66" s="156">
        <f t="shared" si="1"/>
        <v>0</v>
      </c>
      <c r="K66" s="155">
        <f t="shared" si="2"/>
        <v>0</v>
      </c>
      <c r="L66" s="155" t="str">
        <f>IF(AND('Summary Sheet'!$E$23="No",$H$33&gt;0,H66&gt;=1),"",IF(AND('Summary Sheet'!$E$23="Yes",H66&lt;&gt;""),H66*'Summary Sheet'!$G$23,""))</f>
        <v/>
      </c>
      <c r="M66" s="154"/>
      <c r="N66" s="155">
        <f>SUM('Pay App 1:Pay App 24'!L66)+SUM('Pay App 1:Pay App 24'!M66)</f>
        <v>0</v>
      </c>
    </row>
    <row r="67" spans="1:17" ht="11.25" customHeight="1" x14ac:dyDescent="0.25">
      <c r="A67" s="152">
        <v>11</v>
      </c>
      <c r="B67" s="174" t="str">
        <f>'Pay App 1'!B67</f>
        <v>01 35 00</v>
      </c>
      <c r="C67" s="179" t="str">
        <f>'Pay App 1'!C67</f>
        <v>Construction Management Fee</v>
      </c>
      <c r="D67" s="155">
        <f>'Pay App 1'!D67</f>
        <v>0</v>
      </c>
      <c r="E67" s="155">
        <f>VLOOKUP(B67,'Graph Data'!$O$2:$BX$88,26,FALSE)</f>
        <v>0</v>
      </c>
      <c r="F67" s="155">
        <f>IFERROR(E67+'Pay App 23'!F67,"")</f>
        <v>0</v>
      </c>
      <c r="G67" s="155">
        <f>SUM('Pay App 1:Pay App 23'!H67)</f>
        <v>0</v>
      </c>
      <c r="H67" s="154"/>
      <c r="I67" s="155">
        <f t="shared" si="0"/>
        <v>0</v>
      </c>
      <c r="J67" s="156">
        <f t="shared" si="1"/>
        <v>0</v>
      </c>
      <c r="K67" s="155">
        <f t="shared" si="2"/>
        <v>0</v>
      </c>
      <c r="L67" s="155" t="str">
        <f>IF(AND('Summary Sheet'!$E$23="No",$H$33&gt;0,H67&gt;=1),"",IF(AND('Summary Sheet'!$E$23="Yes",H67&lt;&gt;""),H67*'Summary Sheet'!$G$23,""))</f>
        <v/>
      </c>
      <c r="M67" s="154"/>
      <c r="N67" s="155">
        <f>SUM('Pay App 1:Pay App 24'!L67)+SUM('Pay App 1:Pay App 24'!M67)</f>
        <v>0</v>
      </c>
    </row>
    <row r="68" spans="1:17" ht="11.25" customHeight="1" x14ac:dyDescent="0.25">
      <c r="A68" s="152">
        <v>12</v>
      </c>
      <c r="B68" s="174" t="str">
        <f>'Pay App 1'!B68</f>
        <v>01 36 00</v>
      </c>
      <c r="C68" s="179" t="str">
        <f>'Pay App 1'!C68</f>
        <v>Contingency</v>
      </c>
      <c r="D68" s="155">
        <f>'Pay App 1'!D68</f>
        <v>0</v>
      </c>
      <c r="E68" s="155">
        <f>VLOOKUP(B68,'Graph Data'!$O$2:$BX$88,26,FALSE)</f>
        <v>0</v>
      </c>
      <c r="F68" s="155">
        <f>IFERROR(E68+'Pay App 23'!F68,"")</f>
        <v>0</v>
      </c>
      <c r="G68" s="155">
        <f>SUM('Pay App 1:Pay App 23'!H68)</f>
        <v>0</v>
      </c>
      <c r="H68" s="154"/>
      <c r="I68" s="155">
        <f t="shared" si="0"/>
        <v>0</v>
      </c>
      <c r="J68" s="156">
        <f t="shared" si="1"/>
        <v>0</v>
      </c>
      <c r="K68" s="155">
        <f t="shared" si="2"/>
        <v>0</v>
      </c>
      <c r="L68" s="155" t="str">
        <f>IF(AND('Summary Sheet'!$E$23="No",$H$33&gt;0,H68&gt;=1),"",IF(AND('Summary Sheet'!$E$23="Yes",H68&lt;&gt;""),H68*'Summary Sheet'!$G$23,""))</f>
        <v/>
      </c>
      <c r="M68" s="154"/>
      <c r="N68" s="155">
        <f>SUM('Pay App 1:Pay App 24'!L68)+SUM('Pay App 1:Pay App 24'!M68)</f>
        <v>0</v>
      </c>
    </row>
    <row r="69" spans="1:17" ht="11.25" customHeight="1" x14ac:dyDescent="0.25">
      <c r="A69" s="152">
        <v>13</v>
      </c>
      <c r="B69" s="174" t="str">
        <f>'Pay App 1'!B69</f>
        <v>01 37 00</v>
      </c>
      <c r="C69" s="179" t="str">
        <f>'Pay App 1'!C69</f>
        <v>Weather Allowance (All Trades)</v>
      </c>
      <c r="D69" s="155">
        <f>'Pay App 1'!D69</f>
        <v>0</v>
      </c>
      <c r="E69" s="155">
        <f>VLOOKUP(B69,'Graph Data'!$O$2:$BX$88,26,FALSE)</f>
        <v>0</v>
      </c>
      <c r="F69" s="155">
        <f>IFERROR(E69+'Pay App 23'!F69,"")</f>
        <v>0</v>
      </c>
      <c r="G69" s="155">
        <f>SUM('Pay App 1:Pay App 23'!H69)</f>
        <v>0</v>
      </c>
      <c r="H69" s="154"/>
      <c r="I69" s="155">
        <f t="shared" si="0"/>
        <v>0</v>
      </c>
      <c r="J69" s="156">
        <f t="shared" si="1"/>
        <v>0</v>
      </c>
      <c r="K69" s="155">
        <f t="shared" si="2"/>
        <v>0</v>
      </c>
      <c r="L69" s="155" t="str">
        <f>IF(AND('Summary Sheet'!$E$23="No",$H$33&gt;0,H69&gt;=1),"",IF(AND('Summary Sheet'!$E$23="Yes",H69&lt;&gt;""),H69*'Summary Sheet'!$G$23,""))</f>
        <v/>
      </c>
      <c r="M69" s="154"/>
      <c r="N69" s="155">
        <f>SUM('Pay App 1:Pay App 24'!L69)+SUM('Pay App 1:Pay App 24'!M69)</f>
        <v>0</v>
      </c>
    </row>
    <row r="70" spans="1:17" ht="11.25" customHeight="1" x14ac:dyDescent="0.25">
      <c r="A70" s="152">
        <v>14</v>
      </c>
      <c r="B70" s="174" t="str">
        <f>'Pay App 1'!B70</f>
        <v>01 74 23</v>
      </c>
      <c r="C70" s="179" t="str">
        <f>'Pay App 1'!C70</f>
        <v>Cleaning (Final)</v>
      </c>
      <c r="D70" s="155">
        <f>'Pay App 1'!D70</f>
        <v>0</v>
      </c>
      <c r="E70" s="155">
        <f>VLOOKUP(B70,'Graph Data'!$O$2:$BX$88,26,FALSE)</f>
        <v>0</v>
      </c>
      <c r="F70" s="155">
        <f>IFERROR(E70+'Pay App 23'!F70,"")</f>
        <v>0</v>
      </c>
      <c r="G70" s="155">
        <f>SUM('Pay App 1:Pay App 23'!H70)</f>
        <v>0</v>
      </c>
      <c r="H70" s="154"/>
      <c r="I70" s="155">
        <f t="shared" si="0"/>
        <v>0</v>
      </c>
      <c r="J70" s="156">
        <f t="shared" si="1"/>
        <v>0</v>
      </c>
      <c r="K70" s="155">
        <f t="shared" si="2"/>
        <v>0</v>
      </c>
      <c r="L70" s="155" t="str">
        <f>IF(AND('Summary Sheet'!$E$23="No",$H$33&gt;0,H70&gt;=1),"",IF(AND('Summary Sheet'!$E$23="Yes",H70&lt;&gt;""),H70*'Summary Sheet'!$G$23,""))</f>
        <v/>
      </c>
      <c r="M70" s="154"/>
      <c r="N70" s="155">
        <f>SUM('Pay App 1:Pay App 24'!L70)+SUM('Pay App 1:Pay App 24'!M70)</f>
        <v>0</v>
      </c>
    </row>
    <row r="71" spans="1:17" ht="11.25" customHeight="1" x14ac:dyDescent="0.25">
      <c r="A71" s="152">
        <v>15</v>
      </c>
      <c r="B71" s="175" t="str">
        <f>'Pay App 1'!B71</f>
        <v>02 21 00</v>
      </c>
      <c r="C71" s="180" t="str">
        <f>'Pay App 1'!C71</f>
        <v>Survey/Engineering</v>
      </c>
      <c r="D71" s="155">
        <f>'Pay App 1'!D71</f>
        <v>0</v>
      </c>
      <c r="E71" s="155">
        <f>VLOOKUP(B71,'Graph Data'!$O$2:$BX$88,26,FALSE)</f>
        <v>0</v>
      </c>
      <c r="F71" s="155">
        <f>IFERROR(E71+'Pay App 23'!F71,"")</f>
        <v>0</v>
      </c>
      <c r="G71" s="155">
        <f>SUM('Pay App 1:Pay App 23'!H71)</f>
        <v>0</v>
      </c>
      <c r="H71" s="154"/>
      <c r="I71" s="155">
        <f t="shared" si="0"/>
        <v>0</v>
      </c>
      <c r="J71" s="156">
        <f t="shared" si="1"/>
        <v>0</v>
      </c>
      <c r="K71" s="155">
        <f t="shared" si="2"/>
        <v>0</v>
      </c>
      <c r="L71" s="155" t="str">
        <f>IF(AND('Summary Sheet'!$E$23="No",$H$33&gt;0,H71&gt;=1),"",IF(AND('Summary Sheet'!$E$23="Yes",H71&lt;&gt;""),H71*'Summary Sheet'!$G$23,""))</f>
        <v/>
      </c>
      <c r="M71" s="154"/>
      <c r="N71" s="155">
        <f>SUM('Pay App 1:Pay App 24'!L71)+SUM('Pay App 1:Pay App 24'!M71)</f>
        <v>0</v>
      </c>
      <c r="Q71" s="28"/>
    </row>
    <row r="72" spans="1:17" ht="11.25" customHeight="1" x14ac:dyDescent="0.25">
      <c r="A72" s="152">
        <v>16</v>
      </c>
      <c r="B72" s="175" t="str">
        <f>'Pay App 1'!B72</f>
        <v>02 41 00</v>
      </c>
      <c r="C72" s="180" t="str">
        <f>'Pay App 1'!C72</f>
        <v>Demolition</v>
      </c>
      <c r="D72" s="155">
        <f>'Pay App 1'!D72</f>
        <v>0</v>
      </c>
      <c r="E72" s="155">
        <f>VLOOKUP(B72,'Graph Data'!$O$2:$BX$88,26,FALSE)</f>
        <v>0</v>
      </c>
      <c r="F72" s="155">
        <f>IFERROR(E72+'Pay App 23'!F72,"")</f>
        <v>0</v>
      </c>
      <c r="G72" s="155">
        <f>SUM('Pay App 1:Pay App 23'!H72)</f>
        <v>0</v>
      </c>
      <c r="H72" s="154"/>
      <c r="I72" s="155">
        <f t="shared" si="0"/>
        <v>0</v>
      </c>
      <c r="J72" s="156">
        <f t="shared" si="1"/>
        <v>0</v>
      </c>
      <c r="K72" s="155">
        <f t="shared" si="2"/>
        <v>0</v>
      </c>
      <c r="L72" s="155" t="str">
        <f>IF(AND('Summary Sheet'!$E$23="No",$H$33&gt;0,H72&gt;=1),"",IF(AND('Summary Sheet'!$E$23="Yes",H72&lt;&gt;""),H72*'Summary Sheet'!$G$23,""))</f>
        <v/>
      </c>
      <c r="M72" s="154"/>
      <c r="N72" s="155">
        <f>SUM('Pay App 1:Pay App 24'!L72)+SUM('Pay App 1:Pay App 24'!M72)</f>
        <v>0</v>
      </c>
      <c r="Q72" s="28"/>
    </row>
    <row r="73" spans="1:17" ht="11.25" customHeight="1" x14ac:dyDescent="0.25">
      <c r="A73" s="152">
        <v>17</v>
      </c>
      <c r="B73" s="175" t="str">
        <f>'Pay App 1'!B73</f>
        <v>02 82 00</v>
      </c>
      <c r="C73" s="180" t="str">
        <f>'Pay App 1'!C73</f>
        <v>Asbestos Abatement</v>
      </c>
      <c r="D73" s="155">
        <f>'Pay App 1'!D73</f>
        <v>0</v>
      </c>
      <c r="E73" s="155">
        <f>VLOOKUP(B73,'Graph Data'!$O$2:$BX$88,26,FALSE)</f>
        <v>0</v>
      </c>
      <c r="F73" s="155">
        <f>IFERROR(E73+'Pay App 23'!F73,"")</f>
        <v>0</v>
      </c>
      <c r="G73" s="155">
        <f>SUM('Pay App 1:Pay App 23'!H73)</f>
        <v>0</v>
      </c>
      <c r="H73" s="154"/>
      <c r="I73" s="155">
        <f t="shared" si="0"/>
        <v>0</v>
      </c>
      <c r="J73" s="156">
        <f t="shared" si="1"/>
        <v>0</v>
      </c>
      <c r="K73" s="155">
        <f t="shared" si="2"/>
        <v>0</v>
      </c>
      <c r="L73" s="155" t="str">
        <f>IF(AND('Summary Sheet'!$E$23="No",$H$33&gt;0,H73&gt;=1),"",IF(AND('Summary Sheet'!$E$23="Yes",H73&lt;&gt;""),H73*'Summary Sheet'!$G$23,""))</f>
        <v/>
      </c>
      <c r="M73" s="154"/>
      <c r="N73" s="155">
        <f>SUM('Pay App 1:Pay App 24'!L73)+SUM('Pay App 1:Pay App 24'!M73)</f>
        <v>0</v>
      </c>
    </row>
    <row r="74" spans="1:17" ht="11.25" customHeight="1" x14ac:dyDescent="0.25">
      <c r="A74" s="152">
        <v>18</v>
      </c>
      <c r="B74" s="176" t="str">
        <f>'Pay App 1'!B74</f>
        <v>03 00 00</v>
      </c>
      <c r="C74" s="181" t="str">
        <f>'Pay App 1'!C74</f>
        <v>Building Concrete</v>
      </c>
      <c r="D74" s="155">
        <f>'Pay App 1'!D74</f>
        <v>0</v>
      </c>
      <c r="E74" s="155">
        <f>VLOOKUP(B74,'Graph Data'!$O$2:$BX$88,26,FALSE)</f>
        <v>0</v>
      </c>
      <c r="F74" s="155">
        <f>IFERROR(E74+'Pay App 23'!F74,"")</f>
        <v>0</v>
      </c>
      <c r="G74" s="155">
        <f>SUM('Pay App 1:Pay App 23'!H74)</f>
        <v>0</v>
      </c>
      <c r="H74" s="154"/>
      <c r="I74" s="155">
        <f t="shared" si="0"/>
        <v>0</v>
      </c>
      <c r="J74" s="156">
        <f t="shared" si="1"/>
        <v>0</v>
      </c>
      <c r="K74" s="155">
        <f t="shared" si="2"/>
        <v>0</v>
      </c>
      <c r="L74" s="155" t="str">
        <f>IF(AND('Summary Sheet'!$E$23="No",$H$33&gt;0,H74&gt;=1),"",IF(AND('Summary Sheet'!$E$23="Yes",H74&lt;&gt;""),H74*'Summary Sheet'!$G$23,""))</f>
        <v/>
      </c>
      <c r="M74" s="154"/>
      <c r="N74" s="155">
        <f>SUM('Pay App 1:Pay App 24'!L74)+SUM('Pay App 1:Pay App 24'!M74)</f>
        <v>0</v>
      </c>
    </row>
    <row r="75" spans="1:17" ht="11.25" customHeight="1" x14ac:dyDescent="0.25">
      <c r="A75" s="152">
        <v>19</v>
      </c>
      <c r="B75" s="176" t="str">
        <f>'Pay App 1'!B75</f>
        <v>03 20 00</v>
      </c>
      <c r="C75" s="181" t="str">
        <f>'Pay App 1'!C75</f>
        <v>Building Concrete Reinforcing</v>
      </c>
      <c r="D75" s="155">
        <f>'Pay App 1'!D75</f>
        <v>0</v>
      </c>
      <c r="E75" s="155">
        <f>VLOOKUP(B75,'Graph Data'!$O$2:$BX$88,26,FALSE)</f>
        <v>0</v>
      </c>
      <c r="F75" s="155">
        <f>IFERROR(E75+'Pay App 23'!F75,"")</f>
        <v>0</v>
      </c>
      <c r="G75" s="155">
        <f>SUM('Pay App 1:Pay App 23'!H75)</f>
        <v>0</v>
      </c>
      <c r="H75" s="154"/>
      <c r="I75" s="155">
        <f t="shared" si="0"/>
        <v>0</v>
      </c>
      <c r="J75" s="156">
        <f t="shared" si="1"/>
        <v>0</v>
      </c>
      <c r="K75" s="155">
        <f t="shared" si="2"/>
        <v>0</v>
      </c>
      <c r="L75" s="155" t="str">
        <f>IF(AND('Summary Sheet'!$E$23="No",$H$33&gt;0,H75&gt;=1),"",IF(AND('Summary Sheet'!$E$23="Yes",H75&lt;&gt;""),H75*'Summary Sheet'!$G$23,""))</f>
        <v/>
      </c>
      <c r="M75" s="154"/>
      <c r="N75" s="155">
        <f>SUM('Pay App 1:Pay App 24'!L75)+SUM('Pay App 1:Pay App 24'!M75)</f>
        <v>0</v>
      </c>
    </row>
    <row r="76" spans="1:17" ht="11.25" customHeight="1" x14ac:dyDescent="0.25">
      <c r="A76" s="152">
        <v>20</v>
      </c>
      <c r="B76" s="176" t="str">
        <f>'Pay App 1'!B76</f>
        <v>03 40 00</v>
      </c>
      <c r="C76" s="181" t="str">
        <f>'Pay App 1'!C76</f>
        <v>Precast</v>
      </c>
      <c r="D76" s="155">
        <f>'Pay App 1'!D76</f>
        <v>0</v>
      </c>
      <c r="E76" s="155">
        <f>VLOOKUP(B76,'Graph Data'!$O$2:$BX$88,26,FALSE)</f>
        <v>0</v>
      </c>
      <c r="F76" s="155">
        <f>IFERROR(E76+'Pay App 23'!F76,"")</f>
        <v>0</v>
      </c>
      <c r="G76" s="155">
        <f>SUM('Pay App 1:Pay App 23'!H76)</f>
        <v>0</v>
      </c>
      <c r="H76" s="154"/>
      <c r="I76" s="155">
        <f t="shared" si="0"/>
        <v>0</v>
      </c>
      <c r="J76" s="156">
        <f t="shared" si="1"/>
        <v>0</v>
      </c>
      <c r="K76" s="155">
        <f t="shared" si="2"/>
        <v>0</v>
      </c>
      <c r="L76" s="155" t="str">
        <f>IF(AND('Summary Sheet'!$E$23="No",$H$33&gt;0,H76&gt;=1),"",IF(AND('Summary Sheet'!$E$23="Yes",H76&lt;&gt;""),H76*'Summary Sheet'!$G$23,""))</f>
        <v/>
      </c>
      <c r="M76" s="154"/>
      <c r="N76" s="155">
        <f>SUM('Pay App 1:Pay App 24'!L76)+SUM('Pay App 1:Pay App 24'!M76)</f>
        <v>0</v>
      </c>
    </row>
    <row r="77" spans="1:17" ht="11.25" customHeight="1" x14ac:dyDescent="0.25">
      <c r="A77" s="152">
        <v>21</v>
      </c>
      <c r="B77" s="177" t="str">
        <f>'Pay App 1'!B77</f>
        <v>04 00 00</v>
      </c>
      <c r="C77" s="182" t="str">
        <f>'Pay App 1'!C77</f>
        <v>Masonry</v>
      </c>
      <c r="D77" s="155">
        <f>'Pay App 1'!D77</f>
        <v>0</v>
      </c>
      <c r="E77" s="155">
        <f>VLOOKUP(B77,'Graph Data'!$O$2:$BX$88,26,FALSE)</f>
        <v>0</v>
      </c>
      <c r="F77" s="155">
        <f>IFERROR(E77+'Pay App 23'!F77,"")</f>
        <v>0</v>
      </c>
      <c r="G77" s="155">
        <f>SUM('Pay App 1:Pay App 23'!H77)</f>
        <v>0</v>
      </c>
      <c r="H77" s="154"/>
      <c r="I77" s="155">
        <f t="shared" si="0"/>
        <v>0</v>
      </c>
      <c r="J77" s="156">
        <f t="shared" si="1"/>
        <v>0</v>
      </c>
      <c r="K77" s="155">
        <f t="shared" si="2"/>
        <v>0</v>
      </c>
      <c r="L77" s="155" t="str">
        <f>IF(AND('Summary Sheet'!$E$23="No",$H$33&gt;0,H77&gt;=1),"",IF(AND('Summary Sheet'!$E$23="Yes",H77&lt;&gt;""),H77*'Summary Sheet'!$G$23,""))</f>
        <v/>
      </c>
      <c r="M77" s="154"/>
      <c r="N77" s="155">
        <f>SUM('Pay App 1:Pay App 24'!L77)+SUM('Pay App 1:Pay App 24'!M77)</f>
        <v>0</v>
      </c>
    </row>
    <row r="78" spans="1:17" ht="11.25" customHeight="1" x14ac:dyDescent="0.25">
      <c r="A78" s="152">
        <v>22</v>
      </c>
      <c r="B78" s="177" t="str">
        <f>'Pay App 1'!B78</f>
        <v>04 05 19</v>
      </c>
      <c r="C78" s="182" t="str">
        <f>'Pay App 1'!C78</f>
        <v>Masonry Reinforcing</v>
      </c>
      <c r="D78" s="155">
        <f>'Pay App 1'!D78</f>
        <v>0</v>
      </c>
      <c r="E78" s="155">
        <f>VLOOKUP(B78,'Graph Data'!$O$2:$BX$88,26,FALSE)</f>
        <v>0</v>
      </c>
      <c r="F78" s="155">
        <f>IFERROR(E78+'Pay App 23'!F78,"")</f>
        <v>0</v>
      </c>
      <c r="G78" s="155">
        <f>SUM('Pay App 1:Pay App 23'!H78)</f>
        <v>0</v>
      </c>
      <c r="H78" s="154"/>
      <c r="I78" s="155">
        <f t="shared" si="0"/>
        <v>0</v>
      </c>
      <c r="J78" s="156">
        <f t="shared" si="1"/>
        <v>0</v>
      </c>
      <c r="K78" s="155">
        <f t="shared" si="2"/>
        <v>0</v>
      </c>
      <c r="L78" s="155" t="str">
        <f>IF(AND('Summary Sheet'!$E$23="No",$H$33&gt;0,H78&gt;=1),"",IF(AND('Summary Sheet'!$E$23="Yes",H78&lt;&gt;""),H78*'Summary Sheet'!$G$23,""))</f>
        <v/>
      </c>
      <c r="M78" s="154"/>
      <c r="N78" s="155">
        <f>SUM('Pay App 1:Pay App 24'!L78)+SUM('Pay App 1:Pay App 24'!M78)</f>
        <v>0</v>
      </c>
    </row>
    <row r="79" spans="1:17" ht="11.25" customHeight="1" x14ac:dyDescent="0.25">
      <c r="A79" s="152">
        <v>23</v>
      </c>
      <c r="B79" s="178" t="str">
        <f>'Pay App 1'!B79</f>
        <v>05 10 00</v>
      </c>
      <c r="C79" s="183" t="str">
        <f>'Pay App 1'!C79</f>
        <v>Structural Steel/Misc. Steel Fab</v>
      </c>
      <c r="D79" s="155">
        <f>'Pay App 1'!D79</f>
        <v>0</v>
      </c>
      <c r="E79" s="155">
        <f>VLOOKUP(B79,'Graph Data'!$O$2:$BX$88,26,FALSE)</f>
        <v>0</v>
      </c>
      <c r="F79" s="155">
        <f>IFERROR(E79+'Pay App 23'!F79,"")</f>
        <v>0</v>
      </c>
      <c r="G79" s="155">
        <f>SUM('Pay App 1:Pay App 23'!H79)</f>
        <v>0</v>
      </c>
      <c r="H79" s="154"/>
      <c r="I79" s="155">
        <f t="shared" si="0"/>
        <v>0</v>
      </c>
      <c r="J79" s="156">
        <f t="shared" si="1"/>
        <v>0</v>
      </c>
      <c r="K79" s="155">
        <f t="shared" si="2"/>
        <v>0</v>
      </c>
      <c r="L79" s="155" t="str">
        <f>IF(AND('Summary Sheet'!$E$23="No",$H$33&gt;0,H79&gt;=1),"",IF(AND('Summary Sheet'!$E$23="Yes",H79&lt;&gt;""),H79*'Summary Sheet'!$G$23,""))</f>
        <v/>
      </c>
      <c r="M79" s="154"/>
      <c r="N79" s="155">
        <f>SUM('Pay App 1:Pay App 24'!L79)+SUM('Pay App 1:Pay App 24'!M79)</f>
        <v>0</v>
      </c>
    </row>
    <row r="80" spans="1:17" ht="11.25" customHeight="1" x14ac:dyDescent="0.25">
      <c r="A80" s="152">
        <v>24</v>
      </c>
      <c r="B80" s="178" t="str">
        <f>'Pay App 1'!B80</f>
        <v>05 20 00</v>
      </c>
      <c r="C80" s="183" t="str">
        <f>'Pay App 1'!C80</f>
        <v>Joists &amp; Deck</v>
      </c>
      <c r="D80" s="155">
        <f>'Pay App 1'!D80</f>
        <v>0</v>
      </c>
      <c r="E80" s="155">
        <f>VLOOKUP(B80,'Graph Data'!$O$2:$BX$88,26,FALSE)</f>
        <v>0</v>
      </c>
      <c r="F80" s="155">
        <f>IFERROR(E80+'Pay App 23'!F80,"")</f>
        <v>0</v>
      </c>
      <c r="G80" s="155">
        <f>SUM('Pay App 1:Pay App 23'!H80)</f>
        <v>0</v>
      </c>
      <c r="H80" s="154"/>
      <c r="I80" s="155">
        <f t="shared" si="0"/>
        <v>0</v>
      </c>
      <c r="J80" s="156">
        <f t="shared" si="1"/>
        <v>0</v>
      </c>
      <c r="K80" s="155">
        <f t="shared" si="2"/>
        <v>0</v>
      </c>
      <c r="L80" s="155" t="str">
        <f>IF(AND('Summary Sheet'!$E$23="No",$H$33&gt;0,H80&gt;=1),"",IF(AND('Summary Sheet'!$E$23="Yes",H80&lt;&gt;""),H80*'Summary Sheet'!$G$23,""))</f>
        <v/>
      </c>
      <c r="M80" s="154"/>
      <c r="N80" s="155">
        <f>SUM('Pay App 1:Pay App 24'!L80)+SUM('Pay App 1:Pay App 24'!M80)</f>
        <v>0</v>
      </c>
    </row>
    <row r="81" spans="1:14" ht="11.25" customHeight="1" x14ac:dyDescent="0.25">
      <c r="A81" s="152">
        <v>25</v>
      </c>
      <c r="B81" s="178" t="str">
        <f>'Pay App 1'!B81</f>
        <v>05 70 00</v>
      </c>
      <c r="C81" s="183" t="str">
        <f>'Pay App 1'!C81</f>
        <v>Ornamental Metal</v>
      </c>
      <c r="D81" s="155">
        <f>'Pay App 1'!D81</f>
        <v>0</v>
      </c>
      <c r="E81" s="155">
        <f>VLOOKUP(B81,'Graph Data'!$O$2:$BX$88,26,FALSE)</f>
        <v>0</v>
      </c>
      <c r="F81" s="155">
        <f>IFERROR(E81+'Pay App 23'!F81,"")</f>
        <v>0</v>
      </c>
      <c r="G81" s="155">
        <f>SUM('Pay App 1:Pay App 23'!H81)</f>
        <v>0</v>
      </c>
      <c r="H81" s="154"/>
      <c r="I81" s="155">
        <f t="shared" si="0"/>
        <v>0</v>
      </c>
      <c r="J81" s="156">
        <f t="shared" si="1"/>
        <v>0</v>
      </c>
      <c r="K81" s="155">
        <f t="shared" si="2"/>
        <v>0</v>
      </c>
      <c r="L81" s="155" t="str">
        <f>IF(AND('Summary Sheet'!$E$23="No",$H$33&gt;0,H81&gt;=1),"",IF(AND('Summary Sheet'!$E$23="Yes",H81&lt;&gt;""),H81*'Summary Sheet'!$G$23,""))</f>
        <v/>
      </c>
      <c r="M81" s="154"/>
      <c r="N81" s="155">
        <f>SUM('Pay App 1:Pay App 24'!L81)+SUM('Pay App 1:Pay App 24'!M81)</f>
        <v>0</v>
      </c>
    </row>
    <row r="82" spans="1:14" ht="11.25" customHeight="1" x14ac:dyDescent="0.25">
      <c r="A82" s="152">
        <v>26</v>
      </c>
      <c r="B82" s="145" t="str">
        <f>'Pay App 1'!B82</f>
        <v>06 10 00</v>
      </c>
      <c r="C82" s="134" t="str">
        <f>'Pay App 1'!C82</f>
        <v>Rough Carpentry</v>
      </c>
      <c r="D82" s="155">
        <f>'Pay App 1'!D82</f>
        <v>0</v>
      </c>
      <c r="E82" s="155">
        <f>VLOOKUP(B82,'Graph Data'!$O$2:$BX$88,26,FALSE)</f>
        <v>0</v>
      </c>
      <c r="F82" s="155">
        <f>IFERROR(E82+'Pay App 23'!F82,"")</f>
        <v>0</v>
      </c>
      <c r="G82" s="155">
        <f>SUM('Pay App 1:Pay App 23'!H82)</f>
        <v>0</v>
      </c>
      <c r="H82" s="154"/>
      <c r="I82" s="155">
        <f t="shared" si="0"/>
        <v>0</v>
      </c>
      <c r="J82" s="156">
        <f t="shared" si="1"/>
        <v>0</v>
      </c>
      <c r="K82" s="155">
        <f t="shared" si="2"/>
        <v>0</v>
      </c>
      <c r="L82" s="155" t="str">
        <f>IF(AND('Summary Sheet'!$E$23="No",$H$33&gt;0,H82&gt;=1),"",IF(AND('Summary Sheet'!$E$23="Yes",H82&lt;&gt;""),H82*'Summary Sheet'!$G$23,""))</f>
        <v/>
      </c>
      <c r="M82" s="154"/>
      <c r="N82" s="155">
        <f>SUM('Pay App 1:Pay App 24'!L82)+SUM('Pay App 1:Pay App 24'!M82)</f>
        <v>0</v>
      </c>
    </row>
    <row r="83" spans="1:14" ht="11.25" customHeight="1" x14ac:dyDescent="0.25">
      <c r="A83" s="152">
        <v>27</v>
      </c>
      <c r="B83" s="145" t="str">
        <f>'Pay App 1'!B83</f>
        <v>06 40 00</v>
      </c>
      <c r="C83" s="134" t="str">
        <f>'Pay App 1'!C83</f>
        <v>Arch. Woodwork &amp; Finish Carp.</v>
      </c>
      <c r="D83" s="155">
        <f>'Pay App 1'!D83</f>
        <v>0</v>
      </c>
      <c r="E83" s="155">
        <f>VLOOKUP(B83,'Graph Data'!$O$2:$BX$88,26,FALSE)</f>
        <v>0</v>
      </c>
      <c r="F83" s="155">
        <f>IFERROR(E83+'Pay App 23'!F83,"")</f>
        <v>0</v>
      </c>
      <c r="G83" s="155">
        <f>SUM('Pay App 1:Pay App 23'!H83)</f>
        <v>0</v>
      </c>
      <c r="H83" s="154"/>
      <c r="I83" s="155">
        <f t="shared" si="0"/>
        <v>0</v>
      </c>
      <c r="J83" s="156">
        <f t="shared" si="1"/>
        <v>0</v>
      </c>
      <c r="K83" s="155">
        <f t="shared" si="2"/>
        <v>0</v>
      </c>
      <c r="L83" s="155" t="str">
        <f>IF(AND('Summary Sheet'!$E$23="No",$H$33&gt;0,H83&gt;=1),"",IF(AND('Summary Sheet'!$E$23="Yes",H83&lt;&gt;""),H83*'Summary Sheet'!$G$23,""))</f>
        <v/>
      </c>
      <c r="M83" s="154"/>
      <c r="N83" s="155">
        <f>SUM('Pay App 1:Pay App 24'!L83)+SUM('Pay App 1:Pay App 24'!M83)</f>
        <v>0</v>
      </c>
    </row>
    <row r="84" spans="1:14" ht="11.25" customHeight="1" x14ac:dyDescent="0.25">
      <c r="A84" s="152">
        <v>28</v>
      </c>
      <c r="B84" s="174" t="str">
        <f>'Pay App 1'!B84</f>
        <v>07 10 00</v>
      </c>
      <c r="C84" s="179" t="str">
        <f>'Pay App 1'!C84</f>
        <v>Waterproofing/Water Repellents</v>
      </c>
      <c r="D84" s="155">
        <f>'Pay App 1'!D84</f>
        <v>0</v>
      </c>
      <c r="E84" s="155">
        <f>VLOOKUP(B84,'Graph Data'!$O$2:$BX$88,26,FALSE)</f>
        <v>0</v>
      </c>
      <c r="F84" s="155">
        <f>IFERROR(E84+'Pay App 23'!F84,"")</f>
        <v>0</v>
      </c>
      <c r="G84" s="155">
        <f>SUM('Pay App 1:Pay App 23'!H84)</f>
        <v>0</v>
      </c>
      <c r="H84" s="154"/>
      <c r="I84" s="155">
        <f t="shared" si="0"/>
        <v>0</v>
      </c>
      <c r="J84" s="156">
        <f t="shared" si="1"/>
        <v>0</v>
      </c>
      <c r="K84" s="155">
        <f t="shared" si="2"/>
        <v>0</v>
      </c>
      <c r="L84" s="155" t="str">
        <f>IF(AND('Summary Sheet'!$E$23="No",$H$33&gt;0,H84&gt;=1),"",IF(AND('Summary Sheet'!$E$23="Yes",H84&lt;&gt;""),H84*'Summary Sheet'!$G$23,""))</f>
        <v/>
      </c>
      <c r="M84" s="154"/>
      <c r="N84" s="155">
        <f>SUM('Pay App 1:Pay App 24'!L84)+SUM('Pay App 1:Pay App 24'!M84)</f>
        <v>0</v>
      </c>
    </row>
    <row r="85" spans="1:14" ht="11.25" customHeight="1" x14ac:dyDescent="0.25">
      <c r="A85" s="152">
        <v>29</v>
      </c>
      <c r="B85" s="174" t="str">
        <f>'Pay App 1'!B85</f>
        <v>07 20 00</v>
      </c>
      <c r="C85" s="179" t="str">
        <f>'Pay App 1'!C85</f>
        <v>Insulation</v>
      </c>
      <c r="D85" s="155">
        <f>'Pay App 1'!D85</f>
        <v>0</v>
      </c>
      <c r="E85" s="155">
        <f>VLOOKUP(B85,'Graph Data'!$O$2:$BX$88,26,FALSE)</f>
        <v>0</v>
      </c>
      <c r="F85" s="155">
        <f>IFERROR(E85+'Pay App 23'!F85,"")</f>
        <v>0</v>
      </c>
      <c r="G85" s="155">
        <f>SUM('Pay App 1:Pay App 23'!H85)</f>
        <v>0</v>
      </c>
      <c r="H85" s="154"/>
      <c r="I85" s="155">
        <f t="shared" si="0"/>
        <v>0</v>
      </c>
      <c r="J85" s="156">
        <f t="shared" si="1"/>
        <v>0</v>
      </c>
      <c r="K85" s="155">
        <f t="shared" si="2"/>
        <v>0</v>
      </c>
      <c r="L85" s="155" t="str">
        <f>IF(AND('Summary Sheet'!$E$23="No",$H$33&gt;0,H85&gt;=1),"",IF(AND('Summary Sheet'!$E$23="Yes",H85&lt;&gt;""),H85*'Summary Sheet'!$G$23,""))</f>
        <v/>
      </c>
      <c r="M85" s="154"/>
      <c r="N85" s="155">
        <f>SUM('Pay App 1:Pay App 24'!L85)+SUM('Pay App 1:Pay App 24'!M85)</f>
        <v>0</v>
      </c>
    </row>
    <row r="86" spans="1:14" ht="11.25" customHeight="1" x14ac:dyDescent="0.25">
      <c r="A86" s="152">
        <v>30</v>
      </c>
      <c r="B86" s="174" t="str">
        <f>'Pay App 1'!B86</f>
        <v>07 24 00</v>
      </c>
      <c r="C86" s="179" t="str">
        <f>'Pay App 1'!C86</f>
        <v>EIFS</v>
      </c>
      <c r="D86" s="155">
        <f>'Pay App 1'!D86</f>
        <v>0</v>
      </c>
      <c r="E86" s="155">
        <f>VLOOKUP(B86,'Graph Data'!$O$2:$BX$88,26,FALSE)</f>
        <v>0</v>
      </c>
      <c r="F86" s="155">
        <f>IFERROR(E86+'Pay App 23'!F86,"")</f>
        <v>0</v>
      </c>
      <c r="G86" s="155">
        <f>SUM('Pay App 1:Pay App 23'!H86)</f>
        <v>0</v>
      </c>
      <c r="H86" s="154"/>
      <c r="I86" s="155">
        <f t="shared" si="0"/>
        <v>0</v>
      </c>
      <c r="J86" s="156">
        <f t="shared" si="1"/>
        <v>0</v>
      </c>
      <c r="K86" s="155">
        <f t="shared" si="2"/>
        <v>0</v>
      </c>
      <c r="L86" s="155" t="str">
        <f>IF(AND('Summary Sheet'!$E$23="No",$H$33&gt;0,H86&gt;=1),"",IF(AND('Summary Sheet'!$E$23="Yes",H86&lt;&gt;""),H86*'Summary Sheet'!$G$23,""))</f>
        <v/>
      </c>
      <c r="M86" s="154"/>
      <c r="N86" s="155">
        <f>SUM('Pay App 1:Pay App 24'!L86)+SUM('Pay App 1:Pay App 24'!M86)</f>
        <v>0</v>
      </c>
    </row>
    <row r="87" spans="1:14" ht="11.25" customHeight="1" x14ac:dyDescent="0.25">
      <c r="A87" s="152">
        <v>31</v>
      </c>
      <c r="B87" s="174" t="str">
        <f>'Pay App 1'!B87</f>
        <v>07 26 00</v>
      </c>
      <c r="C87" s="179" t="str">
        <f>'Pay App 1'!C87</f>
        <v>Vapor Retarders</v>
      </c>
      <c r="D87" s="155">
        <f>'Pay App 1'!D87</f>
        <v>0</v>
      </c>
      <c r="E87" s="155">
        <f>VLOOKUP(B87,'Graph Data'!$O$2:$BX$88,26,FALSE)</f>
        <v>0</v>
      </c>
      <c r="F87" s="155">
        <f>IFERROR(E87+'Pay App 23'!F87,"")</f>
        <v>0</v>
      </c>
      <c r="G87" s="155">
        <f>SUM('Pay App 1:Pay App 23'!H87)</f>
        <v>0</v>
      </c>
      <c r="H87" s="154"/>
      <c r="I87" s="155">
        <f t="shared" si="0"/>
        <v>0</v>
      </c>
      <c r="J87" s="156">
        <f t="shared" si="1"/>
        <v>0</v>
      </c>
      <c r="K87" s="155">
        <f t="shared" si="2"/>
        <v>0</v>
      </c>
      <c r="L87" s="155" t="str">
        <f>IF(AND('Summary Sheet'!$E$23="No",$H$33&gt;0,H87&gt;=1),"",IF(AND('Summary Sheet'!$E$23="Yes",H87&lt;&gt;""),H87*'Summary Sheet'!$G$23,""))</f>
        <v/>
      </c>
      <c r="M87" s="154"/>
      <c r="N87" s="155">
        <f>SUM('Pay App 1:Pay App 24'!L87)+SUM('Pay App 1:Pay App 24'!M87)</f>
        <v>0</v>
      </c>
    </row>
    <row r="88" spans="1:14" ht="11.25" customHeight="1" x14ac:dyDescent="0.25">
      <c r="A88" s="152">
        <v>32</v>
      </c>
      <c r="B88" s="174" t="str">
        <f>'Pay App 1'!B88</f>
        <v>07 41 00</v>
      </c>
      <c r="C88" s="179" t="str">
        <f>'Pay App 1'!C88</f>
        <v>Roofing</v>
      </c>
      <c r="D88" s="155">
        <f>'Pay App 1'!D88</f>
        <v>0</v>
      </c>
      <c r="E88" s="155">
        <f>VLOOKUP(B88,'Graph Data'!$O$2:$BX$88,26,FALSE)</f>
        <v>0</v>
      </c>
      <c r="F88" s="155">
        <f>IFERROR(E88+'Pay App 23'!F88,"")</f>
        <v>0</v>
      </c>
      <c r="G88" s="155">
        <f>SUM('Pay App 1:Pay App 23'!H88)</f>
        <v>0</v>
      </c>
      <c r="H88" s="154"/>
      <c r="I88" s="155">
        <f t="shared" si="0"/>
        <v>0</v>
      </c>
      <c r="J88" s="156">
        <f t="shared" si="1"/>
        <v>0</v>
      </c>
      <c r="K88" s="155">
        <f t="shared" si="2"/>
        <v>0</v>
      </c>
      <c r="L88" s="155" t="str">
        <f>IF(AND('Summary Sheet'!$E$23="No",$H$33&gt;0,H88&gt;=1),"",IF(AND('Summary Sheet'!$E$23="Yes",H88&lt;&gt;""),H88*'Summary Sheet'!$G$23,""))</f>
        <v/>
      </c>
      <c r="M88" s="154"/>
      <c r="N88" s="155">
        <f>SUM('Pay App 1:Pay App 24'!L88)+SUM('Pay App 1:Pay App 24'!M88)</f>
        <v>0</v>
      </c>
    </row>
    <row r="89" spans="1:14" ht="11.25" customHeight="1" x14ac:dyDescent="0.25">
      <c r="A89" s="152">
        <v>33</v>
      </c>
      <c r="B89" s="174" t="str">
        <f>'Pay App 1'!B89</f>
        <v>07 42 00</v>
      </c>
      <c r="C89" s="179" t="str">
        <f>'Pay App 1'!C89</f>
        <v>Metal Panels</v>
      </c>
      <c r="D89" s="155">
        <f>'Pay App 1'!D89</f>
        <v>0</v>
      </c>
      <c r="E89" s="155">
        <f>VLOOKUP(B89,'Graph Data'!$O$2:$BX$88,26,FALSE)</f>
        <v>0</v>
      </c>
      <c r="F89" s="155">
        <f>IFERROR(E89+'Pay App 23'!F89,"")</f>
        <v>0</v>
      </c>
      <c r="G89" s="155">
        <f>SUM('Pay App 1:Pay App 23'!H89)</f>
        <v>0</v>
      </c>
      <c r="H89" s="154"/>
      <c r="I89" s="155">
        <f t="shared" si="0"/>
        <v>0</v>
      </c>
      <c r="J89" s="156">
        <f t="shared" si="1"/>
        <v>0</v>
      </c>
      <c r="K89" s="155">
        <f t="shared" si="2"/>
        <v>0</v>
      </c>
      <c r="L89" s="155" t="str">
        <f>IF(AND('Summary Sheet'!$E$23="No",$H$33&gt;0,H89&gt;=1),"",IF(AND('Summary Sheet'!$E$23="Yes",H89&lt;&gt;""),H89*'Summary Sheet'!$G$23,""))</f>
        <v/>
      </c>
      <c r="M89" s="154"/>
      <c r="N89" s="155">
        <f>SUM('Pay App 1:Pay App 24'!L89)+SUM('Pay App 1:Pay App 24'!M89)</f>
        <v>0</v>
      </c>
    </row>
    <row r="90" spans="1:14" ht="11.25" customHeight="1" x14ac:dyDescent="0.25">
      <c r="A90" s="152">
        <v>34</v>
      </c>
      <c r="B90" s="174" t="str">
        <f>'Pay App 1'!B90</f>
        <v>07 60 00</v>
      </c>
      <c r="C90" s="179" t="str">
        <f>'Pay App 1'!C90</f>
        <v>Sheet Metal Flashing &amp; Trim</v>
      </c>
      <c r="D90" s="155">
        <f>'Pay App 1'!D90</f>
        <v>0</v>
      </c>
      <c r="E90" s="155">
        <f>VLOOKUP(B90,'Graph Data'!$O$2:$BX$88,26,FALSE)</f>
        <v>0</v>
      </c>
      <c r="F90" s="155">
        <f>IFERROR(E90+'Pay App 23'!F90,"")</f>
        <v>0</v>
      </c>
      <c r="G90" s="155">
        <f>SUM('Pay App 1:Pay App 23'!H90)</f>
        <v>0</v>
      </c>
      <c r="H90" s="154"/>
      <c r="I90" s="155">
        <f t="shared" si="0"/>
        <v>0</v>
      </c>
      <c r="J90" s="156">
        <f t="shared" si="1"/>
        <v>0</v>
      </c>
      <c r="K90" s="155">
        <f t="shared" si="2"/>
        <v>0</v>
      </c>
      <c r="L90" s="155" t="str">
        <f>IF(AND('Summary Sheet'!$E$23="No",$H$33&gt;0,H90&gt;=1),"",IF(AND('Summary Sheet'!$E$23="Yes",H90&lt;&gt;""),H90*'Summary Sheet'!$G$23,""))</f>
        <v/>
      </c>
      <c r="M90" s="154"/>
      <c r="N90" s="155">
        <f>SUM('Pay App 1:Pay App 24'!L90)+SUM('Pay App 1:Pay App 24'!M90)</f>
        <v>0</v>
      </c>
    </row>
    <row r="91" spans="1:14" ht="11.25" customHeight="1" x14ac:dyDescent="0.25">
      <c r="A91" s="152">
        <v>35</v>
      </c>
      <c r="B91" s="174" t="str">
        <f>'Pay App 1'!B91</f>
        <v>07 80 00</v>
      </c>
      <c r="C91" s="179" t="str">
        <f>'Pay App 1'!C91</f>
        <v>Fireproofing</v>
      </c>
      <c r="D91" s="155">
        <f>'Pay App 1'!D91</f>
        <v>0</v>
      </c>
      <c r="E91" s="155">
        <f>VLOOKUP(B91,'Graph Data'!$O$2:$BX$88,26,FALSE)</f>
        <v>0</v>
      </c>
      <c r="F91" s="155">
        <f>IFERROR(E91+'Pay App 23'!F91,"")</f>
        <v>0</v>
      </c>
      <c r="G91" s="155">
        <f>SUM('Pay App 1:Pay App 23'!H91)</f>
        <v>0</v>
      </c>
      <c r="H91" s="154"/>
      <c r="I91" s="155">
        <f t="shared" si="0"/>
        <v>0</v>
      </c>
      <c r="J91" s="156">
        <f t="shared" si="1"/>
        <v>0</v>
      </c>
      <c r="K91" s="155">
        <f t="shared" si="2"/>
        <v>0</v>
      </c>
      <c r="L91" s="155" t="str">
        <f>IF(AND('Summary Sheet'!$E$23="No",$H$33&gt;0,H91&gt;=1),"",IF(AND('Summary Sheet'!$E$23="Yes",H91&lt;&gt;""),H91*'Summary Sheet'!$G$23,""))</f>
        <v/>
      </c>
      <c r="M91" s="154"/>
      <c r="N91" s="155">
        <f>SUM('Pay App 1:Pay App 24'!L91)+SUM('Pay App 1:Pay App 24'!M91)</f>
        <v>0</v>
      </c>
    </row>
    <row r="92" spans="1:14" ht="11.25" customHeight="1" x14ac:dyDescent="0.25">
      <c r="A92" s="152">
        <v>36</v>
      </c>
      <c r="B92" s="174" t="str">
        <f>'Pay App 1'!B92</f>
        <v>07 90 00</v>
      </c>
      <c r="C92" s="179" t="str">
        <f>'Pay App 1'!C92</f>
        <v>Joint Sealants</v>
      </c>
      <c r="D92" s="155">
        <f>'Pay App 1'!D92</f>
        <v>0</v>
      </c>
      <c r="E92" s="155">
        <f>VLOOKUP(B92,'Graph Data'!$O$2:$BX$88,26,FALSE)</f>
        <v>0</v>
      </c>
      <c r="F92" s="155">
        <f>IFERROR(E92+'Pay App 23'!F92,"")</f>
        <v>0</v>
      </c>
      <c r="G92" s="155">
        <f>SUM('Pay App 1:Pay App 23'!H92)</f>
        <v>0</v>
      </c>
      <c r="H92" s="154"/>
      <c r="I92" s="155">
        <f t="shared" si="0"/>
        <v>0</v>
      </c>
      <c r="J92" s="156">
        <f t="shared" si="1"/>
        <v>0</v>
      </c>
      <c r="K92" s="155">
        <f t="shared" si="2"/>
        <v>0</v>
      </c>
      <c r="L92" s="155" t="str">
        <f>IF(AND('Summary Sheet'!$E$23="No",$H$33&gt;0,H92&gt;=1),"",IF(AND('Summary Sheet'!$E$23="Yes",H92&lt;&gt;""),H92*'Summary Sheet'!$G$23,""))</f>
        <v/>
      </c>
      <c r="M92" s="154"/>
      <c r="N92" s="155">
        <f>SUM('Pay App 1:Pay App 24'!L92)+SUM('Pay App 1:Pay App 24'!M92)</f>
        <v>0</v>
      </c>
    </row>
    <row r="93" spans="1:14" ht="11.25" customHeight="1" x14ac:dyDescent="0.25">
      <c r="A93" s="152">
        <v>37</v>
      </c>
      <c r="B93" s="174" t="str">
        <f>'Pay App 1'!B93</f>
        <v>07 95 00</v>
      </c>
      <c r="C93" s="179" t="str">
        <f>'Pay App 1'!C93</f>
        <v>Expansion Joints</v>
      </c>
      <c r="D93" s="155">
        <f>'Pay App 1'!D93</f>
        <v>0</v>
      </c>
      <c r="E93" s="155">
        <f>VLOOKUP(B93,'Graph Data'!$O$2:$BX$88,26,FALSE)</f>
        <v>0</v>
      </c>
      <c r="F93" s="155">
        <f>IFERROR(E93+'Pay App 23'!F93,"")</f>
        <v>0</v>
      </c>
      <c r="G93" s="155">
        <f>SUM('Pay App 1:Pay App 23'!H93)</f>
        <v>0</v>
      </c>
      <c r="H93" s="154"/>
      <c r="I93" s="155">
        <f t="shared" si="0"/>
        <v>0</v>
      </c>
      <c r="J93" s="156">
        <f t="shared" si="1"/>
        <v>0</v>
      </c>
      <c r="K93" s="155">
        <f t="shared" si="2"/>
        <v>0</v>
      </c>
      <c r="L93" s="155" t="str">
        <f>IF(AND('Summary Sheet'!$E$23="No",$H$33&gt;0,H93&gt;=1),"",IF(AND('Summary Sheet'!$E$23="Yes",H93&lt;&gt;""),H93*'Summary Sheet'!$G$23,""))</f>
        <v/>
      </c>
      <c r="M93" s="154"/>
      <c r="N93" s="155">
        <f>SUM('Pay App 1:Pay App 24'!L93)+SUM('Pay App 1:Pay App 24'!M93)</f>
        <v>0</v>
      </c>
    </row>
    <row r="94" spans="1:14" ht="11.25" customHeight="1" x14ac:dyDescent="0.25">
      <c r="A94" s="152">
        <v>38</v>
      </c>
      <c r="B94" s="175" t="str">
        <f>'Pay App 1'!B94</f>
        <v>08 10 00</v>
      </c>
      <c r="C94" s="180" t="str">
        <f>'Pay App 1'!C94</f>
        <v>Doors, Frames &amp; Hardware</v>
      </c>
      <c r="D94" s="155">
        <f>'Pay App 1'!D94</f>
        <v>0</v>
      </c>
      <c r="E94" s="155">
        <f>VLOOKUP(B94,'Graph Data'!$O$2:$BX$88,26,FALSE)</f>
        <v>0</v>
      </c>
      <c r="F94" s="155">
        <f>IFERROR(E94+'Pay App 23'!F94,"")</f>
        <v>0</v>
      </c>
      <c r="G94" s="155">
        <f>SUM('Pay App 1:Pay App 23'!H94)</f>
        <v>0</v>
      </c>
      <c r="H94" s="154"/>
      <c r="I94" s="155">
        <f t="shared" si="0"/>
        <v>0</v>
      </c>
      <c r="J94" s="156">
        <f t="shared" si="1"/>
        <v>0</v>
      </c>
      <c r="K94" s="155">
        <f t="shared" si="2"/>
        <v>0</v>
      </c>
      <c r="L94" s="155" t="str">
        <f>IF(AND('Summary Sheet'!$E$23="No",$H$33&gt;0,H94&gt;=1),"",IF(AND('Summary Sheet'!$E$23="Yes",H94&lt;&gt;""),H94*'Summary Sheet'!$G$23,""))</f>
        <v/>
      </c>
      <c r="M94" s="154"/>
      <c r="N94" s="155">
        <f>SUM('Pay App 1:Pay App 24'!L94)+SUM('Pay App 1:Pay App 24'!M94)</f>
        <v>0</v>
      </c>
    </row>
    <row r="95" spans="1:14" ht="11.25" customHeight="1" x14ac:dyDescent="0.25">
      <c r="A95" s="152">
        <v>39</v>
      </c>
      <c r="B95" s="175" t="str">
        <f>'Pay App 1'!B95</f>
        <v>08 30 00</v>
      </c>
      <c r="C95" s="180" t="str">
        <f>'Pay App 1'!C95</f>
        <v>Specialty Doors</v>
      </c>
      <c r="D95" s="155">
        <f>'Pay App 1'!D95</f>
        <v>0</v>
      </c>
      <c r="E95" s="155">
        <f>VLOOKUP(B95,'Graph Data'!$O$2:$BX$88,26,FALSE)</f>
        <v>0</v>
      </c>
      <c r="F95" s="155">
        <f>IFERROR(E95+'Pay App 23'!F95,"")</f>
        <v>0</v>
      </c>
      <c r="G95" s="155">
        <f>SUM('Pay App 1:Pay App 23'!H95)</f>
        <v>0</v>
      </c>
      <c r="H95" s="154"/>
      <c r="I95" s="155">
        <f t="shared" si="0"/>
        <v>0</v>
      </c>
      <c r="J95" s="156">
        <f t="shared" si="1"/>
        <v>0</v>
      </c>
      <c r="K95" s="155">
        <f t="shared" si="2"/>
        <v>0</v>
      </c>
      <c r="L95" s="155" t="str">
        <f>IF(AND('Summary Sheet'!$E$23="No",$H$33&gt;0,H95&gt;=1),"",IF(AND('Summary Sheet'!$E$23="Yes",H95&lt;&gt;""),H95*'Summary Sheet'!$G$23,""))</f>
        <v/>
      </c>
      <c r="M95" s="154"/>
      <c r="N95" s="155">
        <f>SUM('Pay App 1:Pay App 24'!L95)+SUM('Pay App 1:Pay App 24'!M95)</f>
        <v>0</v>
      </c>
    </row>
    <row r="96" spans="1:14" ht="11.25" customHeight="1" x14ac:dyDescent="0.25">
      <c r="A96" s="152">
        <v>40</v>
      </c>
      <c r="B96" s="175" t="str">
        <f>'Pay App 1'!B96</f>
        <v>08 33 00</v>
      </c>
      <c r="C96" s="180" t="str">
        <f>'Pay App 1'!C96</f>
        <v>Overhead Doors/Coiling Doors</v>
      </c>
      <c r="D96" s="155">
        <f>'Pay App 1'!D96</f>
        <v>0</v>
      </c>
      <c r="E96" s="155">
        <f>VLOOKUP(B96,'Graph Data'!$O$2:$BX$88,26,FALSE)</f>
        <v>0</v>
      </c>
      <c r="F96" s="155">
        <f>IFERROR(E96+'Pay App 23'!F96,"")</f>
        <v>0</v>
      </c>
      <c r="G96" s="155">
        <f>SUM('Pay App 1:Pay App 23'!H96)</f>
        <v>0</v>
      </c>
      <c r="H96" s="154"/>
      <c r="I96" s="155">
        <f t="shared" si="0"/>
        <v>0</v>
      </c>
      <c r="J96" s="156">
        <f t="shared" si="1"/>
        <v>0</v>
      </c>
      <c r="K96" s="155">
        <f t="shared" si="2"/>
        <v>0</v>
      </c>
      <c r="L96" s="155" t="str">
        <f>IF(AND('Summary Sheet'!$E$23="No",$H$33&gt;0,H96&gt;=1),"",IF(AND('Summary Sheet'!$E$23="Yes",H96&lt;&gt;""),H96*'Summary Sheet'!$G$23,""))</f>
        <v/>
      </c>
      <c r="M96" s="154"/>
      <c r="N96" s="155">
        <f>SUM('Pay App 1:Pay App 24'!L96)+SUM('Pay App 1:Pay App 24'!M96)</f>
        <v>0</v>
      </c>
    </row>
    <row r="97" spans="1:15" ht="11.25" customHeight="1" x14ac:dyDescent="0.25">
      <c r="A97" s="152">
        <v>41</v>
      </c>
      <c r="B97" s="175" t="str">
        <f>'Pay App 1'!B97</f>
        <v>08 40 00</v>
      </c>
      <c r="C97" s="180" t="str">
        <f>'Pay App 1'!C97</f>
        <v>Curtain Wall, Glass &amp; Glazing</v>
      </c>
      <c r="D97" s="155">
        <f>'Pay App 1'!D97</f>
        <v>0</v>
      </c>
      <c r="E97" s="155">
        <f>VLOOKUP(B97,'Graph Data'!$O$2:$BX$88,26,FALSE)</f>
        <v>0</v>
      </c>
      <c r="F97" s="155">
        <f>IFERROR(E97+'Pay App 23'!F97,"")</f>
        <v>0</v>
      </c>
      <c r="G97" s="155">
        <f>SUM('Pay App 1:Pay App 23'!H97)</f>
        <v>0</v>
      </c>
      <c r="H97" s="154"/>
      <c r="I97" s="155">
        <f t="shared" si="0"/>
        <v>0</v>
      </c>
      <c r="J97" s="156">
        <f t="shared" si="1"/>
        <v>0</v>
      </c>
      <c r="K97" s="155">
        <f t="shared" si="2"/>
        <v>0</v>
      </c>
      <c r="L97" s="155" t="str">
        <f>IF(AND('Summary Sheet'!$E$23="No",$H$33&gt;0,H97&gt;=1),"",IF(AND('Summary Sheet'!$E$23="Yes",H97&lt;&gt;""),H97*'Summary Sheet'!$G$23,""))</f>
        <v/>
      </c>
      <c r="M97" s="154"/>
      <c r="N97" s="155">
        <f>SUM('Pay App 1:Pay App 24'!L97)+SUM('Pay App 1:Pay App 24'!M97)</f>
        <v>0</v>
      </c>
    </row>
    <row r="98" spans="1:15" ht="10.9" customHeight="1" x14ac:dyDescent="0.25">
      <c r="A98" s="152">
        <v>42</v>
      </c>
      <c r="B98" s="175" t="str">
        <f>'Pay App 1'!B98</f>
        <v>08 60 00</v>
      </c>
      <c r="C98" s="180" t="str">
        <f>'Pay App 1'!C98</f>
        <v>Skylights</v>
      </c>
      <c r="D98" s="155">
        <f>'Pay App 1'!D98</f>
        <v>0</v>
      </c>
      <c r="E98" s="155">
        <f>VLOOKUP(B98,'Graph Data'!$O$2:$BX$88,26,FALSE)</f>
        <v>0</v>
      </c>
      <c r="F98" s="155">
        <f>IFERROR(E98+'Pay App 23'!F98,"")</f>
        <v>0</v>
      </c>
      <c r="G98" s="155">
        <f>SUM('Pay App 1:Pay App 23'!H98)</f>
        <v>0</v>
      </c>
      <c r="H98" s="154"/>
      <c r="I98" s="155">
        <f t="shared" si="0"/>
        <v>0</v>
      </c>
      <c r="J98" s="156">
        <f t="shared" si="1"/>
        <v>0</v>
      </c>
      <c r="K98" s="155">
        <f t="shared" si="2"/>
        <v>0</v>
      </c>
      <c r="L98" s="155" t="str">
        <f>IF(AND('Summary Sheet'!$E$23="No",$H$33&gt;0,H98&gt;=1),"",IF(AND('Summary Sheet'!$E$23="Yes",H98&lt;&gt;""),H98*'Summary Sheet'!$G$23,""))</f>
        <v/>
      </c>
      <c r="M98" s="154"/>
      <c r="N98" s="155">
        <f>SUM('Pay App 1:Pay App 24'!L98)+SUM('Pay App 1:Pay App 24'!M98)</f>
        <v>0</v>
      </c>
    </row>
    <row r="99" spans="1:15" ht="10.9" customHeight="1" x14ac:dyDescent="0.25">
      <c r="A99" s="152">
        <v>43</v>
      </c>
      <c r="B99" s="175" t="str">
        <f>'Pay App 1'!B99</f>
        <v>08 90 00</v>
      </c>
      <c r="C99" s="180" t="str">
        <f>'Pay App 1'!C99</f>
        <v>Louvers &amp; Vents</v>
      </c>
      <c r="D99" s="155">
        <f>'Pay App 1'!D99</f>
        <v>0</v>
      </c>
      <c r="E99" s="155">
        <f>VLOOKUP(B99,'Graph Data'!$O$2:$BX$88,26,FALSE)</f>
        <v>0</v>
      </c>
      <c r="F99" s="155">
        <f>IFERROR(E99+'Pay App 23'!F99,"")</f>
        <v>0</v>
      </c>
      <c r="G99" s="155">
        <f>SUM('Pay App 1:Pay App 23'!H99)</f>
        <v>0</v>
      </c>
      <c r="H99" s="154"/>
      <c r="I99" s="155">
        <f t="shared" si="0"/>
        <v>0</v>
      </c>
      <c r="J99" s="156">
        <f t="shared" si="1"/>
        <v>0</v>
      </c>
      <c r="K99" s="155">
        <f t="shared" si="2"/>
        <v>0</v>
      </c>
      <c r="L99" s="155" t="str">
        <f>IF(AND('Summary Sheet'!$E$23="No",$H$33&gt;0,H99&gt;=1),"",IF(AND('Summary Sheet'!$E$23="Yes",H99&lt;&gt;""),H99*'Summary Sheet'!$G$23,""))</f>
        <v/>
      </c>
      <c r="M99" s="154"/>
      <c r="N99" s="155">
        <f>SUM('Pay App 1:Pay App 24'!L99)+SUM('Pay App 1:Pay App 24'!M99)</f>
        <v>0</v>
      </c>
    </row>
    <row r="100" spans="1:15" ht="11.25" customHeight="1" x14ac:dyDescent="0.25">
      <c r="A100" s="153">
        <v>44</v>
      </c>
      <c r="B100" s="176" t="str">
        <f>'Pay App 1'!B100</f>
        <v>09 20 00</v>
      </c>
      <c r="C100" s="181" t="str">
        <f>'Pay App 1'!C100</f>
        <v>Gypsum Board Systems</v>
      </c>
      <c r="D100" s="155">
        <f>'Pay App 1'!D100</f>
        <v>0</v>
      </c>
      <c r="E100" s="155">
        <f>VLOOKUP(B100,'Graph Data'!$O$2:$BX$88,26,FALSE)</f>
        <v>0</v>
      </c>
      <c r="F100" s="155">
        <f>IFERROR(E100+'Pay App 23'!F100,"")</f>
        <v>0</v>
      </c>
      <c r="G100" s="155">
        <f>SUM('Pay App 1:Pay App 23'!H100)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24'!L100)+SUM('Pay App 1:Pay App 24'!M100)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24.2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Data'!$O$2:$BX$88,26,FALSE)</f>
        <v>0</v>
      </c>
      <c r="F106" s="155">
        <f>IFERROR(E106+'Pay App 23'!F106,"")</f>
        <v>0</v>
      </c>
      <c r="G106" s="155">
        <f>SUM('Pay App 1:Pay App 23'!H106)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24'!L106)+SUM('Pay App 1:Pay App 24'!M106)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Data'!$O$2:$BX$88,26,FALSE)</f>
        <v>0</v>
      </c>
      <c r="F107" s="155">
        <f>IFERROR(E107+'Pay App 23'!F107,"")</f>
        <v>0</v>
      </c>
      <c r="G107" s="155">
        <f>SUM('Pay App 1:Pay App 23'!H107)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24'!L107)+SUM('Pay App 1:Pay App 24'!M107)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Data'!$O$2:$BX$88,26,FALSE)</f>
        <v>0</v>
      </c>
      <c r="F108" s="155">
        <f>IFERROR(E108+'Pay App 23'!F108,"")</f>
        <v>0</v>
      </c>
      <c r="G108" s="155">
        <f>SUM('Pay App 1:Pay App 23'!H108)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24'!L108)+SUM('Pay App 1:Pay App 24'!M108)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Data'!$O$2:$BX$88,26,FALSE)</f>
        <v>0</v>
      </c>
      <c r="F109" s="155">
        <f>IFERROR(E109+'Pay App 23'!F109,"")</f>
        <v>0</v>
      </c>
      <c r="G109" s="155">
        <f>SUM('Pay App 1:Pay App 23'!H109)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24'!L109)+SUM('Pay App 1:Pay App 24'!M109)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Data'!$O$2:$BX$88,26,FALSE)</f>
        <v>0</v>
      </c>
      <c r="F110" s="155">
        <f>IFERROR(E110+'Pay App 23'!F110,"")</f>
        <v>0</v>
      </c>
      <c r="G110" s="155">
        <f>SUM('Pay App 1:Pay App 23'!H110)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24'!L110)+SUM('Pay App 1:Pay App 24'!M110)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Data'!$O$2:$BX$88,26,FALSE)</f>
        <v>0</v>
      </c>
      <c r="F111" s="155">
        <f>IFERROR(E111+'Pay App 23'!F111,"")</f>
        <v>0</v>
      </c>
      <c r="G111" s="155">
        <f>SUM('Pay App 1:Pay App 23'!H111)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24'!L111)+SUM('Pay App 1:Pay App 24'!M111)</f>
        <v>0</v>
      </c>
    </row>
    <row r="112" spans="1:15" ht="11.25" customHeight="1" x14ac:dyDescent="0.25">
      <c r="A112" s="152">
        <f t="shared" si="3"/>
        <v>51</v>
      </c>
      <c r="B112" s="148" t="str">
        <f>'Pay App 1'!B112</f>
        <v>09 90 00</v>
      </c>
      <c r="C112" s="143" t="str">
        <f>'Pay App 1'!C112</f>
        <v>Painting</v>
      </c>
      <c r="D112" s="155">
        <f>'Pay App 1'!D112</f>
        <v>0</v>
      </c>
      <c r="E112" s="155">
        <f>VLOOKUP(B112,'Graph Data'!$O$2:$BX$88,26,FALSE)</f>
        <v>0</v>
      </c>
      <c r="F112" s="155">
        <f>IFERROR(E112+'Pay App 23'!F112,"")</f>
        <v>0</v>
      </c>
      <c r="G112" s="155">
        <f>SUM('Pay App 1:Pay App 23'!H112)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24'!L112)+SUM('Pay App 1:Pay App 24'!M112)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Data'!$O$2:$BX$88,26,FALSE)</f>
        <v>0</v>
      </c>
      <c r="F113" s="155">
        <f>IFERROR(E113+'Pay App 23'!F113,"")</f>
        <v>0</v>
      </c>
      <c r="G113" s="155">
        <f>SUM('Pay App 1:Pay App 23'!H113)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24'!L113)+SUM('Pay App 1:Pay App 24'!M113)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Data'!$O$2:$BX$88,26,FALSE)</f>
        <v>0</v>
      </c>
      <c r="F114" s="155">
        <f>IFERROR(E114+'Pay App 23'!F114,"")</f>
        <v>0</v>
      </c>
      <c r="G114" s="155">
        <f>SUM('Pay App 1:Pay App 23'!H114)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24'!L114)+SUM('Pay App 1:Pay App 24'!M114)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Data'!$O$2:$BX$88,26,FALSE)</f>
        <v>0</v>
      </c>
      <c r="F115" s="155">
        <f>IFERROR(E115+'Pay App 23'!F115,"")</f>
        <v>0</v>
      </c>
      <c r="G115" s="155">
        <f>SUM('Pay App 1:Pay App 23'!H115)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24'!L115)+SUM('Pay App 1:Pay App 24'!M115)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Data'!$O$2:$BX$88,26,FALSE)</f>
        <v>0</v>
      </c>
      <c r="F116" s="155">
        <f>IFERROR(E116+'Pay App 23'!F116,"")</f>
        <v>0</v>
      </c>
      <c r="G116" s="155">
        <f>SUM('Pay App 1:Pay App 23'!H116)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24'!L116)+SUM('Pay App 1:Pay App 24'!M116)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Data'!$O$2:$BX$88,26,FALSE)</f>
        <v>0</v>
      </c>
      <c r="F117" s="155">
        <f>IFERROR(E117+'Pay App 23'!F117,"")</f>
        <v>0</v>
      </c>
      <c r="G117" s="155">
        <f>SUM('Pay App 1:Pay App 23'!H117)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24'!L117)+SUM('Pay App 1:Pay App 24'!M117)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Data'!$O$2:$BX$88,26,FALSE)</f>
        <v>0</v>
      </c>
      <c r="F118" s="155">
        <f>IFERROR(E118+'Pay App 23'!F118,"")</f>
        <v>0</v>
      </c>
      <c r="G118" s="155">
        <f>SUM('Pay App 1:Pay App 23'!H118)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24'!L118)+SUM('Pay App 1:Pay App 24'!M118)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Data'!$O$2:$BX$88,26,FALSE)</f>
        <v>0</v>
      </c>
      <c r="F119" s="155">
        <f>IFERROR(E119+'Pay App 23'!F119,"")</f>
        <v>0</v>
      </c>
      <c r="G119" s="155">
        <f>SUM('Pay App 1:Pay App 23'!H119)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24'!L119)+SUM('Pay App 1:Pay App 24'!M119)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Data'!$O$2:$BX$88,26,FALSE)</f>
        <v>0</v>
      </c>
      <c r="F120" s="155">
        <f>IFERROR(E120+'Pay App 23'!F120,"")</f>
        <v>0</v>
      </c>
      <c r="G120" s="155">
        <f>SUM('Pay App 1:Pay App 23'!H120)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24'!L120)+SUM('Pay App 1:Pay App 24'!M120)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Data'!$O$2:$BX$88,26,FALSE)</f>
        <v>0</v>
      </c>
      <c r="F121" s="155">
        <f>IFERROR(E121+'Pay App 23'!F121,"")</f>
        <v>0</v>
      </c>
      <c r="G121" s="155">
        <f>SUM('Pay App 1:Pay App 23'!H121)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24'!L121)+SUM('Pay App 1:Pay App 24'!M121)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Data'!$O$2:$BX$88,26,FALSE)</f>
        <v>0</v>
      </c>
      <c r="F122" s="155">
        <f>IFERROR(E122+'Pay App 23'!F122,"")</f>
        <v>0</v>
      </c>
      <c r="G122" s="155">
        <f>SUM('Pay App 1:Pay App 23'!H122)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24'!L122)+SUM('Pay App 1:Pay App 24'!M122)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Data'!$O$2:$BX$88,26,FALSE)</f>
        <v>0</v>
      </c>
      <c r="F123" s="155">
        <f>IFERROR(E123+'Pay App 23'!F123,"")</f>
        <v>0</v>
      </c>
      <c r="G123" s="155">
        <f>SUM('Pay App 1:Pay App 23'!H123)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24'!L123)+SUM('Pay App 1:Pay App 24'!M123)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Data'!$O$2:$BX$88,26,FALSE)</f>
        <v>0</v>
      </c>
      <c r="F124" s="155">
        <f>IFERROR(E124+'Pay App 23'!F124,"")</f>
        <v>0</v>
      </c>
      <c r="G124" s="155">
        <f>SUM('Pay App 1:Pay App 23'!H124)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24'!L124)+SUM('Pay App 1:Pay App 24'!M124)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Data'!$O$2:$BX$88,26,FALSE)</f>
        <v>0</v>
      </c>
      <c r="F125" s="155">
        <f>IFERROR(E125+'Pay App 23'!F125,"")</f>
        <v>0</v>
      </c>
      <c r="G125" s="155">
        <f>SUM('Pay App 1:Pay App 23'!H125)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24'!L125)+SUM('Pay App 1:Pay App 24'!M125)</f>
        <v>0</v>
      </c>
    </row>
    <row r="126" spans="1:14" ht="11.25" customHeight="1" x14ac:dyDescent="0.25">
      <c r="A126" s="152">
        <f t="shared" si="3"/>
        <v>65</v>
      </c>
      <c r="B126" s="188" t="str">
        <f>'Pay App 1'!B126</f>
        <v>14 20 00</v>
      </c>
      <c r="C126" s="194" t="str">
        <f>'Pay App 1'!C126</f>
        <v>Elevator</v>
      </c>
      <c r="D126" s="155">
        <f>'Pay App 1'!D126</f>
        <v>0</v>
      </c>
      <c r="E126" s="155">
        <f>VLOOKUP(B126,'Graph Data'!$O$2:$BX$88,26,FALSE)</f>
        <v>0</v>
      </c>
      <c r="F126" s="155">
        <f>IFERROR(E126+'Pay App 23'!F126,"")</f>
        <v>0</v>
      </c>
      <c r="G126" s="155">
        <f>SUM('Pay App 1:Pay App 23'!H126)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24'!L126)+SUM('Pay App 1:Pay App 24'!M126)</f>
        <v>0</v>
      </c>
    </row>
    <row r="127" spans="1:14" ht="11.25" customHeight="1" x14ac:dyDescent="0.25">
      <c r="A127" s="152">
        <f t="shared" si="3"/>
        <v>66</v>
      </c>
      <c r="B127" s="188" t="str">
        <f>'Pay App 1'!B127</f>
        <v>14 40 00</v>
      </c>
      <c r="C127" s="194" t="str">
        <f>'Pay App 1'!C127</f>
        <v>Lifts</v>
      </c>
      <c r="D127" s="155">
        <f>'Pay App 1'!D127</f>
        <v>0</v>
      </c>
      <c r="E127" s="155">
        <f>VLOOKUP(B127,'Graph Data'!$O$2:$BX$88,26,FALSE)</f>
        <v>0</v>
      </c>
      <c r="F127" s="155">
        <f>IFERROR(E127+'Pay App 23'!F127,"")</f>
        <v>0</v>
      </c>
      <c r="G127" s="155">
        <f>SUM('Pay App 1:Pay App 23'!H127)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24'!L127)+SUM('Pay App 1:Pay App 24'!M127)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Data'!$O$2:$BX$88,26,FALSE)</f>
        <v>0</v>
      </c>
      <c r="F128" s="155">
        <f>IFERROR(E128+'Pay App 23'!F128,"")</f>
        <v>0</v>
      </c>
      <c r="G128" s="155">
        <f>SUM('Pay App 1:Pay App 23'!H128)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24'!L128)+SUM('Pay App 1:Pay App 24'!M128)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Data'!$O$2:$BX$88,26,FALSE)</f>
        <v>0</v>
      </c>
      <c r="F129" s="155">
        <f>IFERROR(E129+'Pay App 23'!F129,"")</f>
        <v>0</v>
      </c>
      <c r="G129" s="155">
        <f>SUM('Pay App 1:Pay App 23'!H129)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24'!L129)+SUM('Pay App 1:Pay App 24'!M129)</f>
        <v>0</v>
      </c>
    </row>
    <row r="130" spans="1:14" ht="11.25" customHeight="1" x14ac:dyDescent="0.25">
      <c r="A130" s="152">
        <f t="shared" si="3"/>
        <v>69</v>
      </c>
      <c r="B130" s="185" t="str">
        <f>'Pay App 1'!B130</f>
        <v>22 00 00</v>
      </c>
      <c r="C130" s="191" t="str">
        <f>'Pay App 1'!C130</f>
        <v>Plumbing</v>
      </c>
      <c r="D130" s="155">
        <f>'Pay App 1'!D130</f>
        <v>0</v>
      </c>
      <c r="E130" s="155">
        <f>VLOOKUP(B130,'Graph Data'!$O$2:$BX$88,26,FALSE)</f>
        <v>0</v>
      </c>
      <c r="F130" s="155">
        <f>IFERROR(E130+'Pay App 23'!F130,"")</f>
        <v>0</v>
      </c>
      <c r="G130" s="155">
        <f>SUM('Pay App 1:Pay App 23'!H130)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24'!L130)+SUM('Pay App 1:Pay App 24'!M130)</f>
        <v>0</v>
      </c>
    </row>
    <row r="131" spans="1:14" ht="11.25" customHeight="1" x14ac:dyDescent="0.25">
      <c r="A131" s="152">
        <f t="shared" si="3"/>
        <v>70</v>
      </c>
      <c r="B131" s="186" t="str">
        <f>'Pay App 1'!B131</f>
        <v>23 00 00</v>
      </c>
      <c r="C131" s="192" t="str">
        <f>'Pay App 1'!C131</f>
        <v>HVAC</v>
      </c>
      <c r="D131" s="155">
        <f>'Pay App 1'!D131</f>
        <v>0</v>
      </c>
      <c r="E131" s="155">
        <f>VLOOKUP(B131,'Graph Data'!$O$2:$BX$88,26,FALSE)</f>
        <v>0</v>
      </c>
      <c r="F131" s="155">
        <f>IFERROR(E131+'Pay App 23'!F131,"")</f>
        <v>0</v>
      </c>
      <c r="G131" s="155">
        <f>SUM('Pay App 1:Pay App 23'!H131)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24'!L131)+SUM('Pay App 1:Pay App 24'!M131)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Data'!$O$2:$BX$88,26,FALSE)</f>
        <v>0</v>
      </c>
      <c r="F132" s="155">
        <f>IFERROR(E132+'Pay App 23'!F132,"")</f>
        <v>0</v>
      </c>
      <c r="G132" s="155">
        <f>SUM('Pay App 1:Pay App 23'!H132)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24'!L132)+SUM('Pay App 1:Pay App 24'!M132)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Data'!$O$2:$BX$88,26,FALSE)</f>
        <v>0</v>
      </c>
      <c r="F133" s="155">
        <f>IFERROR(E133+'Pay App 23'!F133,"")</f>
        <v>0</v>
      </c>
      <c r="G133" s="155">
        <f>SUM('Pay App 1:Pay App 23'!H133)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24'!L133)+SUM('Pay App 1:Pay App 24'!M133)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Data'!$O$2:$BX$88,26,FALSE)</f>
        <v>0</v>
      </c>
      <c r="F134" s="155">
        <f>IFERROR(E134+'Pay App 23'!F134,"")</f>
        <v>0</v>
      </c>
      <c r="G134" s="155">
        <f>SUM('Pay App 1:Pay App 23'!H134)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24'!L134)+SUM('Pay App 1:Pay App 24'!M134)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Data'!$O$2:$BX$88,26,FALSE)</f>
        <v>0</v>
      </c>
      <c r="F135" s="155">
        <f>IFERROR(E135+'Pay App 23'!F135,"")</f>
        <v>0</v>
      </c>
      <c r="G135" s="155">
        <f>SUM('Pay App 1:Pay App 23'!H135)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24'!L135)+SUM('Pay App 1:Pay App 24'!M135)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Data'!$O$2:$BX$88,26,FALSE)</f>
        <v>0</v>
      </c>
      <c r="F136" s="155">
        <f>IFERROR(E136+'Pay App 23'!F136,"")</f>
        <v>0</v>
      </c>
      <c r="G136" s="155">
        <f>SUM('Pay App 1:Pay App 23'!H136)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24'!L136)+SUM('Pay App 1:Pay App 24'!M136)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Data'!$O$2:$BX$88,26,FALSE)</f>
        <v>0</v>
      </c>
      <c r="F137" s="155">
        <f>IFERROR(E137+'Pay App 23'!F137,"")</f>
        <v>0</v>
      </c>
      <c r="G137" s="155">
        <f>SUM('Pay App 1:Pay App 23'!H137)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24'!L137)+SUM('Pay App 1:Pay App 24'!M137)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Data'!$O$2:$BX$88,26,FALSE)</f>
        <v>0</v>
      </c>
      <c r="F138" s="155">
        <f>IFERROR(E138+'Pay App 23'!F138,"")</f>
        <v>0</v>
      </c>
      <c r="G138" s="155">
        <f>SUM('Pay App 1:Pay App 23'!H138)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24'!L138)+SUM('Pay App 1:Pay App 24'!M138)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Data'!$O$2:$BX$88,26,FALSE)</f>
        <v>0</v>
      </c>
      <c r="F139" s="155">
        <f>IFERROR(E139+'Pay App 23'!F139,"")</f>
        <v>0</v>
      </c>
      <c r="G139" s="155">
        <f>SUM('Pay App 1:Pay App 23'!H139)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24'!L139)+SUM('Pay App 1:Pay App 24'!M139)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Data'!$O$2:$BX$88,26,FALSE)</f>
        <v>0</v>
      </c>
      <c r="F140" s="155">
        <f>IFERROR(E140+'Pay App 23'!F140,"")</f>
        <v>0</v>
      </c>
      <c r="G140" s="155">
        <f>SUM('Pay App 1:Pay App 23'!H140)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24'!L140)+SUM('Pay App 1:Pay App 24'!M140)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Data'!$O$2:$BX$88,26,FALSE)</f>
        <v>0</v>
      </c>
      <c r="F141" s="155">
        <f>IFERROR(E141+'Pay App 23'!F141,"")</f>
        <v>0</v>
      </c>
      <c r="G141" s="155">
        <f>SUM('Pay App 1:Pay App 23'!H141)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24'!L141)+SUM('Pay App 1:Pay App 24'!M141)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Data'!$O$2:$BX$88,26,FALSE)</f>
        <v>0</v>
      </c>
      <c r="F142" s="155">
        <f>IFERROR(E142+'Pay App 23'!F142,"")</f>
        <v>0</v>
      </c>
      <c r="G142" s="155">
        <f>SUM('Pay App 1:Pay App 23'!H142)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24'!L142)+SUM('Pay App 1:Pay App 24'!M142)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Data'!$O$2:$BX$88,26,FALSE)</f>
        <v>0</v>
      </c>
      <c r="F143" s="155">
        <f>IFERROR(E143+'Pay App 23'!F143,"")</f>
        <v>0</v>
      </c>
      <c r="G143" s="155">
        <f>SUM('Pay App 1:Pay App 23'!H143)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24'!L143)+SUM('Pay App 1:Pay App 24'!M143)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Data'!$O$2:$BX$88,26,FALSE)</f>
        <v>0</v>
      </c>
      <c r="F144" s="155">
        <f>IFERROR(E144+'Pay App 23'!F144,"")</f>
        <v>0</v>
      </c>
      <c r="G144" s="155">
        <f>SUM('Pay App 1:Pay App 23'!H144)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24'!L144)+SUM('Pay App 1:Pay App 24'!M144)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Data'!$O$2:$BX$88,26,FALSE)</f>
        <v>0</v>
      </c>
      <c r="F145" s="155">
        <f>IFERROR(E145+'Pay App 23'!F145,"")</f>
        <v>0</v>
      </c>
      <c r="G145" s="155">
        <f>SUM('Pay App 1:Pay App 23'!H145)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24'!L145)+SUM('Pay App 1:Pay App 24'!M145)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Data'!$O$2:$BX$88,26,FALSE)</f>
        <v>0</v>
      </c>
      <c r="F146" s="155">
        <f>IFERROR(E146+'Pay App 23'!F146,"")</f>
        <v>0</v>
      </c>
      <c r="G146" s="155">
        <f>SUM('Pay App 1:Pay App 23'!H146)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24'!L146)+SUM('Pay App 1:Pay App 24'!M146)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Data'!$O$2:$BX$88,26,FALSE)</f>
        <v>0</v>
      </c>
      <c r="F147" s="155">
        <f>IFERROR(E147+'Pay App 23'!F147,"")</f>
        <v>0</v>
      </c>
      <c r="G147" s="155">
        <f>SUM('Pay App 1:Pay App 23'!H147)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24'!L147)+SUM('Pay App 1:Pay App 24'!M147)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Data'!$O$2:$BX$88,26,FALSE)</f>
        <v>0</v>
      </c>
      <c r="F148" s="155">
        <f>IFERROR(E148+'Pay App 23'!F148,"")</f>
        <v>0</v>
      </c>
      <c r="G148" s="155">
        <f>SUM('Pay App 1:Pay App 23'!H148)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24'!L148)+SUM('Pay App 1:Pay App 24'!M148)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EAc1D9FKFOCvISVYJr5Aw7c4S6knQC5TnpLZboByl8BVlZKQXHFRBvse9LhiA5vMxALXHuOuyQGR0R962iylQ==" saltValue="Dtvcj7Z9QhWmmbndoW6+L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06" priority="2" operator="equal">
      <formula>0</formula>
    </cfRule>
  </conditionalFormatting>
  <conditionalFormatting sqref="D106:G148">
    <cfRule type="cellIs" dxfId="405" priority="1" operator="equal">
      <formula>0</formula>
    </cfRule>
  </conditionalFormatting>
  <conditionalFormatting sqref="D10:H10 D12:H14 D19:H21">
    <cfRule type="cellIs" dxfId="404" priority="6" operator="equal">
      <formula>0</formula>
    </cfRule>
  </conditionalFormatting>
  <conditionalFormatting sqref="H51">
    <cfRule type="cellIs" dxfId="403" priority="9" operator="lessThan">
      <formula>0</formula>
    </cfRule>
  </conditionalFormatting>
  <conditionalFormatting sqref="I57:I100 K57:K100 I106:I148 K106:K148 N106:N148">
    <cfRule type="cellIs" dxfId="402" priority="14" operator="equal">
      <formula>0</formula>
    </cfRule>
  </conditionalFormatting>
  <conditionalFormatting sqref="J57:J100 J106:J149">
    <cfRule type="cellIs" dxfId="401" priority="11" operator="greaterThan">
      <formula>1</formula>
    </cfRule>
    <cfRule type="cellIs" dxfId="400" priority="12" operator="equal">
      <formula>0</formula>
    </cfRule>
  </conditionalFormatting>
  <conditionalFormatting sqref="K57:K100 K106:K148">
    <cfRule type="cellIs" dxfId="399" priority="10" operator="lessThan">
      <formula>0</formula>
    </cfRule>
  </conditionalFormatting>
  <conditionalFormatting sqref="M57:M100">
    <cfRule type="cellIs" dxfId="398" priority="13" operator="lessThan">
      <formula>0</formula>
    </cfRule>
  </conditionalFormatting>
  <conditionalFormatting sqref="M106:M148">
    <cfRule type="cellIs" dxfId="397" priority="8" operator="lessThan">
      <formula>0</formula>
    </cfRule>
  </conditionalFormatting>
  <conditionalFormatting sqref="N57:N100">
    <cfRule type="cellIs" dxfId="39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57B8A60-2888-45E9-B48D-73DDA69D2BA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7BB1DF-D714-476E-BEB4-93D40C6409A4}">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25.1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Data'!$O$2:$BX$88,27,FALSE)</f>
        <v>0</v>
      </c>
      <c r="F57" s="155">
        <f>IFERROR(E57+'Pay App 24'!F57,"")</f>
        <v>0</v>
      </c>
      <c r="G57" s="155">
        <f>SUM('Pay App 1:Pay App 24'!H57)</f>
        <v>0</v>
      </c>
      <c r="H57" s="154"/>
      <c r="I57" s="155">
        <f>G57+H57</f>
        <v>0</v>
      </c>
      <c r="J57" s="156">
        <f>IFERROR(I57/F57,0)</f>
        <v>0</v>
      </c>
      <c r="K57" s="155">
        <f>IFERROR(F57-I57,"")</f>
        <v>0</v>
      </c>
      <c r="L57" s="155" t="str">
        <f>IF(AND('Summary Sheet'!$E$23="No",$H$33&gt;0,H57&gt;=1),"",IF(AND('Summary Sheet'!$E$23="Yes",H57&lt;&gt;""),H57*'Summary Sheet'!$G$23,""))</f>
        <v/>
      </c>
      <c r="M57" s="154"/>
      <c r="N57" s="155">
        <f>SUM('Pay App 1:Pay App 25'!L57)+SUM('Pay App 1:Pay App 25'!M57)</f>
        <v>0</v>
      </c>
    </row>
    <row r="58" spans="1:16" ht="11.25" customHeight="1" x14ac:dyDescent="0.25">
      <c r="A58" s="152">
        <v>2</v>
      </c>
      <c r="B58" s="145" t="str">
        <f>'Pay App 1'!B58</f>
        <v>00 02 00</v>
      </c>
      <c r="C58" s="134" t="str">
        <f>'Pay App 1'!C58</f>
        <v>Preconstruction Services</v>
      </c>
      <c r="D58" s="155">
        <f>'Pay App 1'!D58</f>
        <v>0</v>
      </c>
      <c r="E58" s="155">
        <f>VLOOKUP(B58,'Graph Data'!$O$2:$BX$88,27,FALSE)</f>
        <v>0</v>
      </c>
      <c r="F58" s="155">
        <f>IFERROR(E58+'Pay App 24'!F58,"")</f>
        <v>0</v>
      </c>
      <c r="G58" s="155">
        <f>SUM('Pay App 1:Pay App 24'!H58)</f>
        <v>0</v>
      </c>
      <c r="H58" s="154"/>
      <c r="I58" s="155">
        <f>G58+H58</f>
        <v>0</v>
      </c>
      <c r="J58" s="156">
        <f>IFERROR(I58/F58,0)</f>
        <v>0</v>
      </c>
      <c r="K58" s="155">
        <f>IFERROR(F58-I58,"")</f>
        <v>0</v>
      </c>
      <c r="L58" s="155" t="str">
        <f>IF(AND('Summary Sheet'!$E$23="No",$H$33&gt;0,H58&gt;=1),"",IF(AND('Summary Sheet'!$E$23="Yes",H58&lt;&gt;""),H58*'Summary Sheet'!$G$23,""))</f>
        <v/>
      </c>
      <c r="M58" s="154"/>
      <c r="N58" s="155">
        <f>SUM('Pay App 1:Pay App 25'!L58)+SUM('Pay App 1:Pay App 25'!M58)</f>
        <v>0</v>
      </c>
    </row>
    <row r="59" spans="1:16" ht="11.25" customHeight="1" x14ac:dyDescent="0.25">
      <c r="A59" s="152">
        <v>3</v>
      </c>
      <c r="B59" s="174" t="str">
        <f>'Pay App 1'!B59</f>
        <v>01 00 00</v>
      </c>
      <c r="C59" s="179" t="str">
        <f>'Pay App 1'!C59</f>
        <v>General Conditions/Requirements</v>
      </c>
      <c r="D59" s="155">
        <f>'Pay App 1'!D59</f>
        <v>0</v>
      </c>
      <c r="E59" s="155">
        <f>VLOOKUP(B59,'Graph Data'!$O$2:$BX$88,27,FALSE)</f>
        <v>0</v>
      </c>
      <c r="F59" s="155">
        <f>IFERROR(E59+'Pay App 24'!F59,"")</f>
        <v>0</v>
      </c>
      <c r="G59" s="155">
        <f>SUM('Pay App 1:Pay App 24'!H59)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25'!L59)+SUM('Pay App 1:Pay App 25'!M59)</f>
        <v>0</v>
      </c>
    </row>
    <row r="60" spans="1:16" ht="11.25" customHeight="1" x14ac:dyDescent="0.25">
      <c r="A60" s="152">
        <v>4</v>
      </c>
      <c r="B60" s="174" t="str">
        <f>'Pay App 1'!B60</f>
        <v>01 13 41</v>
      </c>
      <c r="C60" s="179" t="str">
        <f>'Pay App 1'!C60</f>
        <v>Temp. Scaffolding and Platforms</v>
      </c>
      <c r="D60" s="155">
        <f>'Pay App 1'!D60</f>
        <v>0</v>
      </c>
      <c r="E60" s="155">
        <f>VLOOKUP(B60,'Graph Data'!$O$2:$BX$88,27,FALSE)</f>
        <v>0</v>
      </c>
      <c r="F60" s="155">
        <f>IFERROR(E60+'Pay App 24'!F60,"")</f>
        <v>0</v>
      </c>
      <c r="G60" s="155">
        <f>SUM('Pay App 1:Pay App 24'!H60)</f>
        <v>0</v>
      </c>
      <c r="H60" s="154"/>
      <c r="I60" s="155">
        <f t="shared" si="0"/>
        <v>0</v>
      </c>
      <c r="J60" s="156">
        <f t="shared" si="1"/>
        <v>0</v>
      </c>
      <c r="K60" s="155">
        <f t="shared" si="2"/>
        <v>0</v>
      </c>
      <c r="L60" s="155" t="str">
        <f>IF(AND('Summary Sheet'!$E$23="No",$H$33&gt;0,H60&gt;=1),"",IF(AND('Summary Sheet'!$E$23="Yes",H60&lt;&gt;""),H60*'Summary Sheet'!$G$23,""))</f>
        <v/>
      </c>
      <c r="M60" s="154"/>
      <c r="N60" s="155">
        <f>SUM('Pay App 1:Pay App 25'!L60)+SUM('Pay App 1:Pay App 25'!M60)</f>
        <v>0</v>
      </c>
    </row>
    <row r="61" spans="1:16" ht="11.25" customHeight="1" x14ac:dyDescent="0.25">
      <c r="A61" s="152">
        <v>5</v>
      </c>
      <c r="B61" s="174" t="str">
        <f>'Pay App 1'!B61</f>
        <v>01 13 60</v>
      </c>
      <c r="C61" s="179" t="str">
        <f>'Pay App 1'!C61</f>
        <v>SWPPP</v>
      </c>
      <c r="D61" s="155">
        <f>'Pay App 1'!D61</f>
        <v>0</v>
      </c>
      <c r="E61" s="155">
        <f>VLOOKUP(B61,'Graph Data'!$O$2:$BX$88,27,FALSE)</f>
        <v>0</v>
      </c>
      <c r="F61" s="155">
        <f>IFERROR(E61+'Pay App 24'!F61,"")</f>
        <v>0</v>
      </c>
      <c r="G61" s="155">
        <f>SUM('Pay App 1:Pay App 24'!H61)</f>
        <v>0</v>
      </c>
      <c r="H61" s="154"/>
      <c r="I61" s="155">
        <f t="shared" si="0"/>
        <v>0</v>
      </c>
      <c r="J61" s="156">
        <f t="shared" si="1"/>
        <v>0</v>
      </c>
      <c r="K61" s="155">
        <f t="shared" si="2"/>
        <v>0</v>
      </c>
      <c r="L61" s="155" t="str">
        <f>IF(AND('Summary Sheet'!$E$23="No",$H$33&gt;0,H61&gt;=1),"",IF(AND('Summary Sheet'!$E$23="Yes",H61&lt;&gt;""),H61*'Summary Sheet'!$G$23,""))</f>
        <v/>
      </c>
      <c r="M61" s="154"/>
      <c r="N61" s="155">
        <f>SUM('Pay App 1:Pay App 25'!L61)+SUM('Pay App 1:Pay App 25'!M61)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Data'!$O$2:$BX$88,27,FALSE)</f>
        <v>0</v>
      </c>
      <c r="F62" s="155">
        <f>IFERROR(E62+'Pay App 24'!F62,"")</f>
        <v>0</v>
      </c>
      <c r="G62" s="155">
        <f>SUM('Pay App 1:Pay App 24'!H62)</f>
        <v>0</v>
      </c>
      <c r="H62" s="154"/>
      <c r="I62" s="155">
        <f t="shared" si="0"/>
        <v>0</v>
      </c>
      <c r="J62" s="156">
        <f t="shared" si="1"/>
        <v>0</v>
      </c>
      <c r="K62" s="155">
        <f t="shared" si="2"/>
        <v>0</v>
      </c>
      <c r="L62" s="155" t="str">
        <f>IF(AND('Summary Sheet'!$E$23="No",$H$33&gt;0,H62&gt;=1),"",IF(AND('Summary Sheet'!$E$23="Yes",H62&lt;&gt;""),H62*'Summary Sheet'!$G$23,""))</f>
        <v/>
      </c>
      <c r="M62" s="154"/>
      <c r="N62" s="155">
        <f>SUM('Pay App 1:Pay App 25'!L62)+SUM('Pay App 1:Pay App 25'!M62)</f>
        <v>0</v>
      </c>
    </row>
    <row r="63" spans="1:16" ht="11.25" customHeight="1" x14ac:dyDescent="0.25">
      <c r="A63" s="152">
        <v>7</v>
      </c>
      <c r="B63" s="174" t="str">
        <f>'Pay App 1'!B63</f>
        <v>01 31 00</v>
      </c>
      <c r="C63" s="179" t="str">
        <f>'Pay App 1'!C63</f>
        <v>Contractor's Supervision</v>
      </c>
      <c r="D63" s="155">
        <f>'Pay App 1'!D63</f>
        <v>0</v>
      </c>
      <c r="E63" s="155">
        <f>VLOOKUP(B63,'Graph Data'!$O$2:$BX$88,27,FALSE)</f>
        <v>0</v>
      </c>
      <c r="F63" s="155">
        <f>IFERROR(E63+'Pay App 24'!F63,"")</f>
        <v>0</v>
      </c>
      <c r="G63" s="155">
        <f>SUM('Pay App 1:Pay App 24'!H63)</f>
        <v>0</v>
      </c>
      <c r="H63" s="154"/>
      <c r="I63" s="155">
        <f t="shared" si="0"/>
        <v>0</v>
      </c>
      <c r="J63" s="156">
        <f t="shared" si="1"/>
        <v>0</v>
      </c>
      <c r="K63" s="155">
        <f t="shared" si="2"/>
        <v>0</v>
      </c>
      <c r="L63" s="155" t="str">
        <f>IF(AND('Summary Sheet'!$E$23="No",$H$33&gt;0,H63&gt;=1),"",IF(AND('Summary Sheet'!$E$23="Yes",H63&lt;&gt;""),H63*'Summary Sheet'!$G$23,""))</f>
        <v/>
      </c>
      <c r="M63" s="154"/>
      <c r="N63" s="155">
        <f>SUM('Pay App 1:Pay App 25'!L63)+SUM('Pay App 1:Pay App 25'!M63)</f>
        <v>0</v>
      </c>
    </row>
    <row r="64" spans="1:16" ht="11.25" customHeight="1" x14ac:dyDescent="0.25">
      <c r="A64" s="152">
        <v>8</v>
      </c>
      <c r="B64" s="174" t="str">
        <f>'Pay App 1'!B64</f>
        <v>01 32 00</v>
      </c>
      <c r="C64" s="179" t="str">
        <f>'Pay App 1'!C64</f>
        <v>General Liability Insurance</v>
      </c>
      <c r="D64" s="155">
        <f>'Pay App 1'!D64</f>
        <v>0</v>
      </c>
      <c r="E64" s="155">
        <f>VLOOKUP(B64,'Graph Data'!$O$2:$BX$88,27,FALSE)</f>
        <v>0</v>
      </c>
      <c r="F64" s="155">
        <f>IFERROR(E64+'Pay App 24'!F64,"")</f>
        <v>0</v>
      </c>
      <c r="G64" s="155">
        <f>SUM('Pay App 1:Pay App 24'!H64)</f>
        <v>0</v>
      </c>
      <c r="H64" s="154"/>
      <c r="I64" s="155">
        <f t="shared" si="0"/>
        <v>0</v>
      </c>
      <c r="J64" s="156">
        <f t="shared" si="1"/>
        <v>0</v>
      </c>
      <c r="K64" s="155">
        <f t="shared" si="2"/>
        <v>0</v>
      </c>
      <c r="L64" s="155" t="str">
        <f>IF(AND('Summary Sheet'!$E$23="No",$H$33&gt;0,H64&gt;=1),"",IF(AND('Summary Sheet'!$E$23="Yes",H64&lt;&gt;""),H64*'Summary Sheet'!$G$23,""))</f>
        <v/>
      </c>
      <c r="M64" s="154"/>
      <c r="N64" s="155">
        <f>SUM('Pay App 1:Pay App 25'!L64)+SUM('Pay App 1:Pay App 25'!M64)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Data'!$O$2:$BX$88,27,FALSE)</f>
        <v>0</v>
      </c>
      <c r="F65" s="155">
        <f>IFERROR(E65+'Pay App 24'!F65,"")</f>
        <v>0</v>
      </c>
      <c r="G65" s="155">
        <f>SUM('Pay App 1:Pay App 24'!H65)</f>
        <v>0</v>
      </c>
      <c r="H65" s="154"/>
      <c r="I65" s="155">
        <f t="shared" si="0"/>
        <v>0</v>
      </c>
      <c r="J65" s="156">
        <f t="shared" si="1"/>
        <v>0</v>
      </c>
      <c r="K65" s="155">
        <f t="shared" si="2"/>
        <v>0</v>
      </c>
      <c r="L65" s="155" t="str">
        <f>IF(AND('Summary Sheet'!$E$23="No",$H$33&gt;0,H65&gt;=1),"",IF(AND('Summary Sheet'!$E$23="Yes",H65&lt;&gt;""),H65*'Summary Sheet'!$G$23,""))</f>
        <v/>
      </c>
      <c r="M65" s="154"/>
      <c r="N65" s="155">
        <f>SUM('Pay App 1:Pay App 25'!L65)+SUM('Pay App 1:Pay App 25'!M65)</f>
        <v>0</v>
      </c>
    </row>
    <row r="66" spans="1:17" ht="11.25" customHeight="1" x14ac:dyDescent="0.25">
      <c r="A66" s="152">
        <v>10</v>
      </c>
      <c r="B66" s="174" t="str">
        <f>'Pay App 1'!B66</f>
        <v>01 34 00</v>
      </c>
      <c r="C66" s="179" t="str">
        <f>'Pay App 1'!C66</f>
        <v>Subcontractor Default Insurance</v>
      </c>
      <c r="D66" s="155">
        <f>'Pay App 1'!D66</f>
        <v>0</v>
      </c>
      <c r="E66" s="155">
        <f>VLOOKUP(B66,'Graph Data'!$O$2:$BX$88,27,FALSE)</f>
        <v>0</v>
      </c>
      <c r="F66" s="155">
        <f>IFERROR(E66+'Pay App 24'!F66,"")</f>
        <v>0</v>
      </c>
      <c r="G66" s="155">
        <f>SUM('Pay App 1:Pay App 24'!H66)</f>
        <v>0</v>
      </c>
      <c r="H66" s="154"/>
      <c r="I66" s="155">
        <f t="shared" si="0"/>
        <v>0</v>
      </c>
      <c r="J66" s="156">
        <f t="shared" si="1"/>
        <v>0</v>
      </c>
      <c r="K66" s="155">
        <f t="shared" si="2"/>
        <v>0</v>
      </c>
      <c r="L66" s="155" t="str">
        <f>IF(AND('Summary Sheet'!$E$23="No",$H$33&gt;0,H66&gt;=1),"",IF(AND('Summary Sheet'!$E$23="Yes",H66&lt;&gt;""),H66*'Summary Sheet'!$G$23,""))</f>
        <v/>
      </c>
      <c r="M66" s="154"/>
      <c r="N66" s="155">
        <f>SUM('Pay App 1:Pay App 25'!L66)+SUM('Pay App 1:Pay App 25'!M66)</f>
        <v>0</v>
      </c>
    </row>
    <row r="67" spans="1:17" ht="11.25" customHeight="1" x14ac:dyDescent="0.25">
      <c r="A67" s="152">
        <v>11</v>
      </c>
      <c r="B67" s="174" t="str">
        <f>'Pay App 1'!B67</f>
        <v>01 35 00</v>
      </c>
      <c r="C67" s="179" t="str">
        <f>'Pay App 1'!C67</f>
        <v>Construction Management Fee</v>
      </c>
      <c r="D67" s="155">
        <f>'Pay App 1'!D67</f>
        <v>0</v>
      </c>
      <c r="E67" s="155">
        <f>VLOOKUP(B67,'Graph Data'!$O$2:$BX$88,27,FALSE)</f>
        <v>0</v>
      </c>
      <c r="F67" s="155">
        <f>IFERROR(E67+'Pay App 24'!F67,"")</f>
        <v>0</v>
      </c>
      <c r="G67" s="155">
        <f>SUM('Pay App 1:Pay App 24'!H67)</f>
        <v>0</v>
      </c>
      <c r="H67" s="154"/>
      <c r="I67" s="155">
        <f t="shared" si="0"/>
        <v>0</v>
      </c>
      <c r="J67" s="156">
        <f t="shared" si="1"/>
        <v>0</v>
      </c>
      <c r="K67" s="155">
        <f t="shared" si="2"/>
        <v>0</v>
      </c>
      <c r="L67" s="155" t="str">
        <f>IF(AND('Summary Sheet'!$E$23="No",$H$33&gt;0,H67&gt;=1),"",IF(AND('Summary Sheet'!$E$23="Yes",H67&lt;&gt;""),H67*'Summary Sheet'!$G$23,""))</f>
        <v/>
      </c>
      <c r="M67" s="154"/>
      <c r="N67" s="155">
        <f>SUM('Pay App 1:Pay App 25'!L67)+SUM('Pay App 1:Pay App 25'!M67)</f>
        <v>0</v>
      </c>
    </row>
    <row r="68" spans="1:17" ht="11.25" customHeight="1" x14ac:dyDescent="0.25">
      <c r="A68" s="152">
        <v>12</v>
      </c>
      <c r="B68" s="174" t="str">
        <f>'Pay App 1'!B68</f>
        <v>01 36 00</v>
      </c>
      <c r="C68" s="179" t="str">
        <f>'Pay App 1'!C68</f>
        <v>Contingency</v>
      </c>
      <c r="D68" s="155">
        <f>'Pay App 1'!D68</f>
        <v>0</v>
      </c>
      <c r="E68" s="155">
        <f>VLOOKUP(B68,'Graph Data'!$O$2:$BX$88,27,FALSE)</f>
        <v>0</v>
      </c>
      <c r="F68" s="155">
        <f>IFERROR(E68+'Pay App 24'!F68,"")</f>
        <v>0</v>
      </c>
      <c r="G68" s="155">
        <f>SUM('Pay App 1:Pay App 24'!H68)</f>
        <v>0</v>
      </c>
      <c r="H68" s="154"/>
      <c r="I68" s="155">
        <f t="shared" si="0"/>
        <v>0</v>
      </c>
      <c r="J68" s="156">
        <f t="shared" si="1"/>
        <v>0</v>
      </c>
      <c r="K68" s="155">
        <f t="shared" si="2"/>
        <v>0</v>
      </c>
      <c r="L68" s="155" t="str">
        <f>IF(AND('Summary Sheet'!$E$23="No",$H$33&gt;0,H68&gt;=1),"",IF(AND('Summary Sheet'!$E$23="Yes",H68&lt;&gt;""),H68*'Summary Sheet'!$G$23,""))</f>
        <v/>
      </c>
      <c r="M68" s="154"/>
      <c r="N68" s="155">
        <f>SUM('Pay App 1:Pay App 25'!L68)+SUM('Pay App 1:Pay App 25'!M68)</f>
        <v>0</v>
      </c>
    </row>
    <row r="69" spans="1:17" ht="11.25" customHeight="1" x14ac:dyDescent="0.25">
      <c r="A69" s="152">
        <v>13</v>
      </c>
      <c r="B69" s="174" t="str">
        <f>'Pay App 1'!B69</f>
        <v>01 37 00</v>
      </c>
      <c r="C69" s="179" t="str">
        <f>'Pay App 1'!C69</f>
        <v>Weather Allowance (All Trades)</v>
      </c>
      <c r="D69" s="155">
        <f>'Pay App 1'!D69</f>
        <v>0</v>
      </c>
      <c r="E69" s="155">
        <f>VLOOKUP(B69,'Graph Data'!$O$2:$BX$88,27,FALSE)</f>
        <v>0</v>
      </c>
      <c r="F69" s="155">
        <f>IFERROR(E69+'Pay App 24'!F69,"")</f>
        <v>0</v>
      </c>
      <c r="G69" s="155">
        <f>SUM('Pay App 1:Pay App 24'!H69)</f>
        <v>0</v>
      </c>
      <c r="H69" s="154"/>
      <c r="I69" s="155">
        <f t="shared" si="0"/>
        <v>0</v>
      </c>
      <c r="J69" s="156">
        <f t="shared" si="1"/>
        <v>0</v>
      </c>
      <c r="K69" s="155">
        <f t="shared" si="2"/>
        <v>0</v>
      </c>
      <c r="L69" s="155" t="str">
        <f>IF(AND('Summary Sheet'!$E$23="No",$H$33&gt;0,H69&gt;=1),"",IF(AND('Summary Sheet'!$E$23="Yes",H69&lt;&gt;""),H69*'Summary Sheet'!$G$23,""))</f>
        <v/>
      </c>
      <c r="M69" s="154"/>
      <c r="N69" s="155">
        <f>SUM('Pay App 1:Pay App 25'!L69)+SUM('Pay App 1:Pay App 25'!M69)</f>
        <v>0</v>
      </c>
    </row>
    <row r="70" spans="1:17" ht="11.25" customHeight="1" x14ac:dyDescent="0.25">
      <c r="A70" s="152">
        <v>14</v>
      </c>
      <c r="B70" s="174" t="str">
        <f>'Pay App 1'!B70</f>
        <v>01 74 23</v>
      </c>
      <c r="C70" s="179" t="str">
        <f>'Pay App 1'!C70</f>
        <v>Cleaning (Final)</v>
      </c>
      <c r="D70" s="155">
        <f>'Pay App 1'!D70</f>
        <v>0</v>
      </c>
      <c r="E70" s="155">
        <f>VLOOKUP(B70,'Graph Data'!$O$2:$BX$88,27,FALSE)</f>
        <v>0</v>
      </c>
      <c r="F70" s="155">
        <f>IFERROR(E70+'Pay App 24'!F70,"")</f>
        <v>0</v>
      </c>
      <c r="G70" s="155">
        <f>SUM('Pay App 1:Pay App 24'!H70)</f>
        <v>0</v>
      </c>
      <c r="H70" s="154"/>
      <c r="I70" s="155">
        <f t="shared" si="0"/>
        <v>0</v>
      </c>
      <c r="J70" s="156">
        <f t="shared" si="1"/>
        <v>0</v>
      </c>
      <c r="K70" s="155">
        <f t="shared" si="2"/>
        <v>0</v>
      </c>
      <c r="L70" s="155" t="str">
        <f>IF(AND('Summary Sheet'!$E$23="No",$H$33&gt;0,H70&gt;=1),"",IF(AND('Summary Sheet'!$E$23="Yes",H70&lt;&gt;""),H70*'Summary Sheet'!$G$23,""))</f>
        <v/>
      </c>
      <c r="M70" s="154"/>
      <c r="N70" s="155">
        <f>SUM('Pay App 1:Pay App 25'!L70)+SUM('Pay App 1:Pay App 25'!M70)</f>
        <v>0</v>
      </c>
    </row>
    <row r="71" spans="1:17" ht="11.25" customHeight="1" x14ac:dyDescent="0.25">
      <c r="A71" s="152">
        <v>15</v>
      </c>
      <c r="B71" s="175" t="str">
        <f>'Pay App 1'!B71</f>
        <v>02 21 00</v>
      </c>
      <c r="C71" s="180" t="str">
        <f>'Pay App 1'!C71</f>
        <v>Survey/Engineering</v>
      </c>
      <c r="D71" s="155">
        <f>'Pay App 1'!D71</f>
        <v>0</v>
      </c>
      <c r="E71" s="155">
        <f>VLOOKUP(B71,'Graph Data'!$O$2:$BX$88,27,FALSE)</f>
        <v>0</v>
      </c>
      <c r="F71" s="155">
        <f>IFERROR(E71+'Pay App 24'!F71,"")</f>
        <v>0</v>
      </c>
      <c r="G71" s="155">
        <f>SUM('Pay App 1:Pay App 24'!H71)</f>
        <v>0</v>
      </c>
      <c r="H71" s="154"/>
      <c r="I71" s="155">
        <f t="shared" si="0"/>
        <v>0</v>
      </c>
      <c r="J71" s="156">
        <f t="shared" si="1"/>
        <v>0</v>
      </c>
      <c r="K71" s="155">
        <f t="shared" si="2"/>
        <v>0</v>
      </c>
      <c r="L71" s="155" t="str">
        <f>IF(AND('Summary Sheet'!$E$23="No",$H$33&gt;0,H71&gt;=1),"",IF(AND('Summary Sheet'!$E$23="Yes",H71&lt;&gt;""),H71*'Summary Sheet'!$G$23,""))</f>
        <v/>
      </c>
      <c r="M71" s="154"/>
      <c r="N71" s="155">
        <f>SUM('Pay App 1:Pay App 25'!L71)+SUM('Pay App 1:Pay App 25'!M71)</f>
        <v>0</v>
      </c>
      <c r="Q71" s="28"/>
    </row>
    <row r="72" spans="1:17" ht="11.25" customHeight="1" x14ac:dyDescent="0.25">
      <c r="A72" s="152">
        <v>16</v>
      </c>
      <c r="B72" s="175" t="str">
        <f>'Pay App 1'!B72</f>
        <v>02 41 00</v>
      </c>
      <c r="C72" s="180" t="str">
        <f>'Pay App 1'!C72</f>
        <v>Demolition</v>
      </c>
      <c r="D72" s="155">
        <f>'Pay App 1'!D72</f>
        <v>0</v>
      </c>
      <c r="E72" s="155">
        <f>VLOOKUP(B72,'Graph Data'!$O$2:$BX$88,27,FALSE)</f>
        <v>0</v>
      </c>
      <c r="F72" s="155">
        <f>IFERROR(E72+'Pay App 24'!F72,"")</f>
        <v>0</v>
      </c>
      <c r="G72" s="155">
        <f>SUM('Pay App 1:Pay App 24'!H72)</f>
        <v>0</v>
      </c>
      <c r="H72" s="154"/>
      <c r="I72" s="155">
        <f t="shared" si="0"/>
        <v>0</v>
      </c>
      <c r="J72" s="156">
        <f t="shared" si="1"/>
        <v>0</v>
      </c>
      <c r="K72" s="155">
        <f t="shared" si="2"/>
        <v>0</v>
      </c>
      <c r="L72" s="155" t="str">
        <f>IF(AND('Summary Sheet'!$E$23="No",$H$33&gt;0,H72&gt;=1),"",IF(AND('Summary Sheet'!$E$23="Yes",H72&lt;&gt;""),H72*'Summary Sheet'!$G$23,""))</f>
        <v/>
      </c>
      <c r="M72" s="154"/>
      <c r="N72" s="155">
        <f>SUM('Pay App 1:Pay App 25'!L72)+SUM('Pay App 1:Pay App 25'!M72)</f>
        <v>0</v>
      </c>
      <c r="Q72" s="28"/>
    </row>
    <row r="73" spans="1:17" ht="11.25" customHeight="1" x14ac:dyDescent="0.25">
      <c r="A73" s="152">
        <v>17</v>
      </c>
      <c r="B73" s="175" t="str">
        <f>'Pay App 1'!B73</f>
        <v>02 82 00</v>
      </c>
      <c r="C73" s="180" t="str">
        <f>'Pay App 1'!C73</f>
        <v>Asbestos Abatement</v>
      </c>
      <c r="D73" s="155">
        <f>'Pay App 1'!D73</f>
        <v>0</v>
      </c>
      <c r="E73" s="155">
        <f>VLOOKUP(B73,'Graph Data'!$O$2:$BX$88,27,FALSE)</f>
        <v>0</v>
      </c>
      <c r="F73" s="155">
        <f>IFERROR(E73+'Pay App 24'!F73,"")</f>
        <v>0</v>
      </c>
      <c r="G73" s="155">
        <f>SUM('Pay App 1:Pay App 24'!H73)</f>
        <v>0</v>
      </c>
      <c r="H73" s="154"/>
      <c r="I73" s="155">
        <f t="shared" si="0"/>
        <v>0</v>
      </c>
      <c r="J73" s="156">
        <f t="shared" si="1"/>
        <v>0</v>
      </c>
      <c r="K73" s="155">
        <f t="shared" si="2"/>
        <v>0</v>
      </c>
      <c r="L73" s="155" t="str">
        <f>IF(AND('Summary Sheet'!$E$23="No",$H$33&gt;0,H73&gt;=1),"",IF(AND('Summary Sheet'!$E$23="Yes",H73&lt;&gt;""),H73*'Summary Sheet'!$G$23,""))</f>
        <v/>
      </c>
      <c r="M73" s="154"/>
      <c r="N73" s="155">
        <f>SUM('Pay App 1:Pay App 25'!L73)+SUM('Pay App 1:Pay App 25'!M73)</f>
        <v>0</v>
      </c>
    </row>
    <row r="74" spans="1:17" ht="11.25" customHeight="1" x14ac:dyDescent="0.25">
      <c r="A74" s="152">
        <v>18</v>
      </c>
      <c r="B74" s="176" t="str">
        <f>'Pay App 1'!B74</f>
        <v>03 00 00</v>
      </c>
      <c r="C74" s="181" t="str">
        <f>'Pay App 1'!C74</f>
        <v>Building Concrete</v>
      </c>
      <c r="D74" s="155">
        <f>'Pay App 1'!D74</f>
        <v>0</v>
      </c>
      <c r="E74" s="155">
        <f>VLOOKUP(B74,'Graph Data'!$O$2:$BX$88,27,FALSE)</f>
        <v>0</v>
      </c>
      <c r="F74" s="155">
        <f>IFERROR(E74+'Pay App 24'!F74,"")</f>
        <v>0</v>
      </c>
      <c r="G74" s="155">
        <f>SUM('Pay App 1:Pay App 24'!H74)</f>
        <v>0</v>
      </c>
      <c r="H74" s="154"/>
      <c r="I74" s="155">
        <f t="shared" si="0"/>
        <v>0</v>
      </c>
      <c r="J74" s="156">
        <f t="shared" si="1"/>
        <v>0</v>
      </c>
      <c r="K74" s="155">
        <f t="shared" si="2"/>
        <v>0</v>
      </c>
      <c r="L74" s="155" t="str">
        <f>IF(AND('Summary Sheet'!$E$23="No",$H$33&gt;0,H74&gt;=1),"",IF(AND('Summary Sheet'!$E$23="Yes",H74&lt;&gt;""),H74*'Summary Sheet'!$G$23,""))</f>
        <v/>
      </c>
      <c r="M74" s="154"/>
      <c r="N74" s="155">
        <f>SUM('Pay App 1:Pay App 25'!L74)+SUM('Pay App 1:Pay App 25'!M74)</f>
        <v>0</v>
      </c>
    </row>
    <row r="75" spans="1:17" ht="11.25" customHeight="1" x14ac:dyDescent="0.25">
      <c r="A75" s="152">
        <v>19</v>
      </c>
      <c r="B75" s="176" t="str">
        <f>'Pay App 1'!B75</f>
        <v>03 20 00</v>
      </c>
      <c r="C75" s="181" t="str">
        <f>'Pay App 1'!C75</f>
        <v>Building Concrete Reinforcing</v>
      </c>
      <c r="D75" s="155">
        <f>'Pay App 1'!D75</f>
        <v>0</v>
      </c>
      <c r="E75" s="155">
        <f>VLOOKUP(B75,'Graph Data'!$O$2:$BX$88,27,FALSE)</f>
        <v>0</v>
      </c>
      <c r="F75" s="155">
        <f>IFERROR(E75+'Pay App 24'!F75,"")</f>
        <v>0</v>
      </c>
      <c r="G75" s="155">
        <f>SUM('Pay App 1:Pay App 24'!H75)</f>
        <v>0</v>
      </c>
      <c r="H75" s="154"/>
      <c r="I75" s="155">
        <f t="shared" si="0"/>
        <v>0</v>
      </c>
      <c r="J75" s="156">
        <f t="shared" si="1"/>
        <v>0</v>
      </c>
      <c r="K75" s="155">
        <f t="shared" si="2"/>
        <v>0</v>
      </c>
      <c r="L75" s="155" t="str">
        <f>IF(AND('Summary Sheet'!$E$23="No",$H$33&gt;0,H75&gt;=1),"",IF(AND('Summary Sheet'!$E$23="Yes",H75&lt;&gt;""),H75*'Summary Sheet'!$G$23,""))</f>
        <v/>
      </c>
      <c r="M75" s="154"/>
      <c r="N75" s="155">
        <f>SUM('Pay App 1:Pay App 25'!L75)+SUM('Pay App 1:Pay App 25'!M75)</f>
        <v>0</v>
      </c>
    </row>
    <row r="76" spans="1:17" ht="11.25" customHeight="1" x14ac:dyDescent="0.25">
      <c r="A76" s="152">
        <v>20</v>
      </c>
      <c r="B76" s="176" t="str">
        <f>'Pay App 1'!B76</f>
        <v>03 40 00</v>
      </c>
      <c r="C76" s="181" t="str">
        <f>'Pay App 1'!C76</f>
        <v>Precast</v>
      </c>
      <c r="D76" s="155">
        <f>'Pay App 1'!D76</f>
        <v>0</v>
      </c>
      <c r="E76" s="155">
        <f>VLOOKUP(B76,'Graph Data'!$O$2:$BX$88,27,FALSE)</f>
        <v>0</v>
      </c>
      <c r="F76" s="155">
        <f>IFERROR(E76+'Pay App 24'!F76,"")</f>
        <v>0</v>
      </c>
      <c r="G76" s="155">
        <f>SUM('Pay App 1:Pay App 24'!H76)</f>
        <v>0</v>
      </c>
      <c r="H76" s="154"/>
      <c r="I76" s="155">
        <f t="shared" si="0"/>
        <v>0</v>
      </c>
      <c r="J76" s="156">
        <f t="shared" si="1"/>
        <v>0</v>
      </c>
      <c r="K76" s="155">
        <f t="shared" si="2"/>
        <v>0</v>
      </c>
      <c r="L76" s="155" t="str">
        <f>IF(AND('Summary Sheet'!$E$23="No",$H$33&gt;0,H76&gt;=1),"",IF(AND('Summary Sheet'!$E$23="Yes",H76&lt;&gt;""),H76*'Summary Sheet'!$G$23,""))</f>
        <v/>
      </c>
      <c r="M76" s="154"/>
      <c r="N76" s="155">
        <f>SUM('Pay App 1:Pay App 25'!L76)+SUM('Pay App 1:Pay App 25'!M76)</f>
        <v>0</v>
      </c>
    </row>
    <row r="77" spans="1:17" ht="11.25" customHeight="1" x14ac:dyDescent="0.25">
      <c r="A77" s="152">
        <v>21</v>
      </c>
      <c r="B77" s="177" t="str">
        <f>'Pay App 1'!B77</f>
        <v>04 00 00</v>
      </c>
      <c r="C77" s="182" t="str">
        <f>'Pay App 1'!C77</f>
        <v>Masonry</v>
      </c>
      <c r="D77" s="155">
        <f>'Pay App 1'!D77</f>
        <v>0</v>
      </c>
      <c r="E77" s="155">
        <f>VLOOKUP(B77,'Graph Data'!$O$2:$BX$88,27,FALSE)</f>
        <v>0</v>
      </c>
      <c r="F77" s="155">
        <f>IFERROR(E77+'Pay App 24'!F77,"")</f>
        <v>0</v>
      </c>
      <c r="G77" s="155">
        <f>SUM('Pay App 1:Pay App 24'!H77)</f>
        <v>0</v>
      </c>
      <c r="H77" s="154"/>
      <c r="I77" s="155">
        <f t="shared" si="0"/>
        <v>0</v>
      </c>
      <c r="J77" s="156">
        <f t="shared" si="1"/>
        <v>0</v>
      </c>
      <c r="K77" s="155">
        <f t="shared" si="2"/>
        <v>0</v>
      </c>
      <c r="L77" s="155" t="str">
        <f>IF(AND('Summary Sheet'!$E$23="No",$H$33&gt;0,H77&gt;=1),"",IF(AND('Summary Sheet'!$E$23="Yes",H77&lt;&gt;""),H77*'Summary Sheet'!$G$23,""))</f>
        <v/>
      </c>
      <c r="M77" s="154"/>
      <c r="N77" s="155">
        <f>SUM('Pay App 1:Pay App 25'!L77)+SUM('Pay App 1:Pay App 25'!M77)</f>
        <v>0</v>
      </c>
    </row>
    <row r="78" spans="1:17" ht="11.25" customHeight="1" x14ac:dyDescent="0.25">
      <c r="A78" s="152">
        <v>22</v>
      </c>
      <c r="B78" s="177" t="str">
        <f>'Pay App 1'!B78</f>
        <v>04 05 19</v>
      </c>
      <c r="C78" s="182" t="str">
        <f>'Pay App 1'!C78</f>
        <v>Masonry Reinforcing</v>
      </c>
      <c r="D78" s="155">
        <f>'Pay App 1'!D78</f>
        <v>0</v>
      </c>
      <c r="E78" s="155">
        <f>VLOOKUP(B78,'Graph Data'!$O$2:$BX$88,27,FALSE)</f>
        <v>0</v>
      </c>
      <c r="F78" s="155">
        <f>IFERROR(E78+'Pay App 24'!F78,"")</f>
        <v>0</v>
      </c>
      <c r="G78" s="155">
        <f>SUM('Pay App 1:Pay App 24'!H78)</f>
        <v>0</v>
      </c>
      <c r="H78" s="154"/>
      <c r="I78" s="155">
        <f t="shared" si="0"/>
        <v>0</v>
      </c>
      <c r="J78" s="156">
        <f t="shared" si="1"/>
        <v>0</v>
      </c>
      <c r="K78" s="155">
        <f t="shared" si="2"/>
        <v>0</v>
      </c>
      <c r="L78" s="155" t="str">
        <f>IF(AND('Summary Sheet'!$E$23="No",$H$33&gt;0,H78&gt;=1),"",IF(AND('Summary Sheet'!$E$23="Yes",H78&lt;&gt;""),H78*'Summary Sheet'!$G$23,""))</f>
        <v/>
      </c>
      <c r="M78" s="154"/>
      <c r="N78" s="155">
        <f>SUM('Pay App 1:Pay App 25'!L78)+SUM('Pay App 1:Pay App 25'!M78)</f>
        <v>0</v>
      </c>
    </row>
    <row r="79" spans="1:17" ht="11.25" customHeight="1" x14ac:dyDescent="0.25">
      <c r="A79" s="152">
        <v>23</v>
      </c>
      <c r="B79" s="178" t="str">
        <f>'Pay App 1'!B79</f>
        <v>05 10 00</v>
      </c>
      <c r="C79" s="183" t="str">
        <f>'Pay App 1'!C79</f>
        <v>Structural Steel/Misc. Steel Fab</v>
      </c>
      <c r="D79" s="155">
        <f>'Pay App 1'!D79</f>
        <v>0</v>
      </c>
      <c r="E79" s="155">
        <f>VLOOKUP(B79,'Graph Data'!$O$2:$BX$88,27,FALSE)</f>
        <v>0</v>
      </c>
      <c r="F79" s="155">
        <f>IFERROR(E79+'Pay App 24'!F79,"")</f>
        <v>0</v>
      </c>
      <c r="G79" s="155">
        <f>SUM('Pay App 1:Pay App 24'!H79)</f>
        <v>0</v>
      </c>
      <c r="H79" s="154"/>
      <c r="I79" s="155">
        <f t="shared" si="0"/>
        <v>0</v>
      </c>
      <c r="J79" s="156">
        <f t="shared" si="1"/>
        <v>0</v>
      </c>
      <c r="K79" s="155">
        <f t="shared" si="2"/>
        <v>0</v>
      </c>
      <c r="L79" s="155" t="str">
        <f>IF(AND('Summary Sheet'!$E$23="No",$H$33&gt;0,H79&gt;=1),"",IF(AND('Summary Sheet'!$E$23="Yes",H79&lt;&gt;""),H79*'Summary Sheet'!$G$23,""))</f>
        <v/>
      </c>
      <c r="M79" s="154"/>
      <c r="N79" s="155">
        <f>SUM('Pay App 1:Pay App 25'!L79)+SUM('Pay App 1:Pay App 25'!M79)</f>
        <v>0</v>
      </c>
    </row>
    <row r="80" spans="1:17" ht="11.25" customHeight="1" x14ac:dyDescent="0.25">
      <c r="A80" s="152">
        <v>24</v>
      </c>
      <c r="B80" s="178" t="str">
        <f>'Pay App 1'!B80</f>
        <v>05 20 00</v>
      </c>
      <c r="C80" s="183" t="str">
        <f>'Pay App 1'!C80</f>
        <v>Joists &amp; Deck</v>
      </c>
      <c r="D80" s="155">
        <f>'Pay App 1'!D80</f>
        <v>0</v>
      </c>
      <c r="E80" s="155">
        <f>VLOOKUP(B80,'Graph Data'!$O$2:$BX$88,27,FALSE)</f>
        <v>0</v>
      </c>
      <c r="F80" s="155">
        <f>IFERROR(E80+'Pay App 24'!F80,"")</f>
        <v>0</v>
      </c>
      <c r="G80" s="155">
        <f>SUM('Pay App 1:Pay App 24'!H80)</f>
        <v>0</v>
      </c>
      <c r="H80" s="154"/>
      <c r="I80" s="155">
        <f t="shared" si="0"/>
        <v>0</v>
      </c>
      <c r="J80" s="156">
        <f t="shared" si="1"/>
        <v>0</v>
      </c>
      <c r="K80" s="155">
        <f t="shared" si="2"/>
        <v>0</v>
      </c>
      <c r="L80" s="155" t="str">
        <f>IF(AND('Summary Sheet'!$E$23="No",$H$33&gt;0,H80&gt;=1),"",IF(AND('Summary Sheet'!$E$23="Yes",H80&lt;&gt;""),H80*'Summary Sheet'!$G$23,""))</f>
        <v/>
      </c>
      <c r="M80" s="154"/>
      <c r="N80" s="155">
        <f>SUM('Pay App 1:Pay App 25'!L80)+SUM('Pay App 1:Pay App 25'!M80)</f>
        <v>0</v>
      </c>
    </row>
    <row r="81" spans="1:14" ht="11.25" customHeight="1" x14ac:dyDescent="0.25">
      <c r="A81" s="152">
        <v>25</v>
      </c>
      <c r="B81" s="178" t="str">
        <f>'Pay App 1'!B81</f>
        <v>05 70 00</v>
      </c>
      <c r="C81" s="183" t="str">
        <f>'Pay App 1'!C81</f>
        <v>Ornamental Metal</v>
      </c>
      <c r="D81" s="155">
        <f>'Pay App 1'!D81</f>
        <v>0</v>
      </c>
      <c r="E81" s="155">
        <f>VLOOKUP(B81,'Graph Data'!$O$2:$BX$88,27,FALSE)</f>
        <v>0</v>
      </c>
      <c r="F81" s="155">
        <f>IFERROR(E81+'Pay App 24'!F81,"")</f>
        <v>0</v>
      </c>
      <c r="G81" s="155">
        <f>SUM('Pay App 1:Pay App 24'!H81)</f>
        <v>0</v>
      </c>
      <c r="H81" s="154"/>
      <c r="I81" s="155">
        <f t="shared" si="0"/>
        <v>0</v>
      </c>
      <c r="J81" s="156">
        <f t="shared" si="1"/>
        <v>0</v>
      </c>
      <c r="K81" s="155">
        <f t="shared" si="2"/>
        <v>0</v>
      </c>
      <c r="L81" s="155" t="str">
        <f>IF(AND('Summary Sheet'!$E$23="No",$H$33&gt;0,H81&gt;=1),"",IF(AND('Summary Sheet'!$E$23="Yes",H81&lt;&gt;""),H81*'Summary Sheet'!$G$23,""))</f>
        <v/>
      </c>
      <c r="M81" s="154"/>
      <c r="N81" s="155">
        <f>SUM('Pay App 1:Pay App 25'!L81)+SUM('Pay App 1:Pay App 25'!M81)</f>
        <v>0</v>
      </c>
    </row>
    <row r="82" spans="1:14" ht="11.25" customHeight="1" x14ac:dyDescent="0.25">
      <c r="A82" s="152">
        <v>26</v>
      </c>
      <c r="B82" s="145" t="str">
        <f>'Pay App 1'!B82</f>
        <v>06 10 00</v>
      </c>
      <c r="C82" s="134" t="str">
        <f>'Pay App 1'!C82</f>
        <v>Rough Carpentry</v>
      </c>
      <c r="D82" s="155">
        <f>'Pay App 1'!D82</f>
        <v>0</v>
      </c>
      <c r="E82" s="155">
        <f>VLOOKUP(B82,'Graph Data'!$O$2:$BX$88,27,FALSE)</f>
        <v>0</v>
      </c>
      <c r="F82" s="155">
        <f>IFERROR(E82+'Pay App 24'!F82,"")</f>
        <v>0</v>
      </c>
      <c r="G82" s="155">
        <f>SUM('Pay App 1:Pay App 24'!H82)</f>
        <v>0</v>
      </c>
      <c r="H82" s="154"/>
      <c r="I82" s="155">
        <f t="shared" si="0"/>
        <v>0</v>
      </c>
      <c r="J82" s="156">
        <f t="shared" si="1"/>
        <v>0</v>
      </c>
      <c r="K82" s="155">
        <f t="shared" si="2"/>
        <v>0</v>
      </c>
      <c r="L82" s="155" t="str">
        <f>IF(AND('Summary Sheet'!$E$23="No",$H$33&gt;0,H82&gt;=1),"",IF(AND('Summary Sheet'!$E$23="Yes",H82&lt;&gt;""),H82*'Summary Sheet'!$G$23,""))</f>
        <v/>
      </c>
      <c r="M82" s="154"/>
      <c r="N82" s="155">
        <f>SUM('Pay App 1:Pay App 25'!L82)+SUM('Pay App 1:Pay App 25'!M82)</f>
        <v>0</v>
      </c>
    </row>
    <row r="83" spans="1:14" ht="11.25" customHeight="1" x14ac:dyDescent="0.25">
      <c r="A83" s="152">
        <v>27</v>
      </c>
      <c r="B83" s="145" t="str">
        <f>'Pay App 1'!B83</f>
        <v>06 40 00</v>
      </c>
      <c r="C83" s="134" t="str">
        <f>'Pay App 1'!C83</f>
        <v>Arch. Woodwork &amp; Finish Carp.</v>
      </c>
      <c r="D83" s="155">
        <f>'Pay App 1'!D83</f>
        <v>0</v>
      </c>
      <c r="E83" s="155">
        <f>VLOOKUP(B83,'Graph Data'!$O$2:$BX$88,27,FALSE)</f>
        <v>0</v>
      </c>
      <c r="F83" s="155">
        <f>IFERROR(E83+'Pay App 24'!F83,"")</f>
        <v>0</v>
      </c>
      <c r="G83" s="155">
        <f>SUM('Pay App 1:Pay App 24'!H83)</f>
        <v>0</v>
      </c>
      <c r="H83" s="154"/>
      <c r="I83" s="155">
        <f t="shared" si="0"/>
        <v>0</v>
      </c>
      <c r="J83" s="156">
        <f t="shared" si="1"/>
        <v>0</v>
      </c>
      <c r="K83" s="155">
        <f t="shared" si="2"/>
        <v>0</v>
      </c>
      <c r="L83" s="155" t="str">
        <f>IF(AND('Summary Sheet'!$E$23="No",$H$33&gt;0,H83&gt;=1),"",IF(AND('Summary Sheet'!$E$23="Yes",H83&lt;&gt;""),H83*'Summary Sheet'!$G$23,""))</f>
        <v/>
      </c>
      <c r="M83" s="154"/>
      <c r="N83" s="155">
        <f>SUM('Pay App 1:Pay App 25'!L83)+SUM('Pay App 1:Pay App 25'!M83)</f>
        <v>0</v>
      </c>
    </row>
    <row r="84" spans="1:14" ht="11.25" customHeight="1" x14ac:dyDescent="0.25">
      <c r="A84" s="152">
        <v>28</v>
      </c>
      <c r="B84" s="174" t="str">
        <f>'Pay App 1'!B84</f>
        <v>07 10 00</v>
      </c>
      <c r="C84" s="179" t="str">
        <f>'Pay App 1'!C84</f>
        <v>Waterproofing/Water Repellents</v>
      </c>
      <c r="D84" s="155">
        <f>'Pay App 1'!D84</f>
        <v>0</v>
      </c>
      <c r="E84" s="155">
        <f>VLOOKUP(B84,'Graph Data'!$O$2:$BX$88,27,FALSE)</f>
        <v>0</v>
      </c>
      <c r="F84" s="155">
        <f>IFERROR(E84+'Pay App 24'!F84,"")</f>
        <v>0</v>
      </c>
      <c r="G84" s="155">
        <f>SUM('Pay App 1:Pay App 24'!H84)</f>
        <v>0</v>
      </c>
      <c r="H84" s="154"/>
      <c r="I84" s="155">
        <f t="shared" si="0"/>
        <v>0</v>
      </c>
      <c r="J84" s="156">
        <f t="shared" si="1"/>
        <v>0</v>
      </c>
      <c r="K84" s="155">
        <f t="shared" si="2"/>
        <v>0</v>
      </c>
      <c r="L84" s="155" t="str">
        <f>IF(AND('Summary Sheet'!$E$23="No",$H$33&gt;0,H84&gt;=1),"",IF(AND('Summary Sheet'!$E$23="Yes",H84&lt;&gt;""),H84*'Summary Sheet'!$G$23,""))</f>
        <v/>
      </c>
      <c r="M84" s="154"/>
      <c r="N84" s="155">
        <f>SUM('Pay App 1:Pay App 25'!L84)+SUM('Pay App 1:Pay App 25'!M84)</f>
        <v>0</v>
      </c>
    </row>
    <row r="85" spans="1:14" ht="11.25" customHeight="1" x14ac:dyDescent="0.25">
      <c r="A85" s="152">
        <v>29</v>
      </c>
      <c r="B85" s="174" t="str">
        <f>'Pay App 1'!B85</f>
        <v>07 20 00</v>
      </c>
      <c r="C85" s="179" t="str">
        <f>'Pay App 1'!C85</f>
        <v>Insulation</v>
      </c>
      <c r="D85" s="155">
        <f>'Pay App 1'!D85</f>
        <v>0</v>
      </c>
      <c r="E85" s="155">
        <f>VLOOKUP(B85,'Graph Data'!$O$2:$BX$88,27,FALSE)</f>
        <v>0</v>
      </c>
      <c r="F85" s="155">
        <f>IFERROR(E85+'Pay App 24'!F85,"")</f>
        <v>0</v>
      </c>
      <c r="G85" s="155">
        <f>SUM('Pay App 1:Pay App 24'!H85)</f>
        <v>0</v>
      </c>
      <c r="H85" s="154"/>
      <c r="I85" s="155">
        <f t="shared" si="0"/>
        <v>0</v>
      </c>
      <c r="J85" s="156">
        <f t="shared" si="1"/>
        <v>0</v>
      </c>
      <c r="K85" s="155">
        <f t="shared" si="2"/>
        <v>0</v>
      </c>
      <c r="L85" s="155" t="str">
        <f>IF(AND('Summary Sheet'!$E$23="No",$H$33&gt;0,H85&gt;=1),"",IF(AND('Summary Sheet'!$E$23="Yes",H85&lt;&gt;""),H85*'Summary Sheet'!$G$23,""))</f>
        <v/>
      </c>
      <c r="M85" s="154"/>
      <c r="N85" s="155">
        <f>SUM('Pay App 1:Pay App 25'!L85)+SUM('Pay App 1:Pay App 25'!M85)</f>
        <v>0</v>
      </c>
    </row>
    <row r="86" spans="1:14" ht="11.25" customHeight="1" x14ac:dyDescent="0.25">
      <c r="A86" s="152">
        <v>30</v>
      </c>
      <c r="B86" s="174" t="str">
        <f>'Pay App 1'!B86</f>
        <v>07 24 00</v>
      </c>
      <c r="C86" s="179" t="str">
        <f>'Pay App 1'!C86</f>
        <v>EIFS</v>
      </c>
      <c r="D86" s="155">
        <f>'Pay App 1'!D86</f>
        <v>0</v>
      </c>
      <c r="E86" s="155">
        <f>VLOOKUP(B86,'Graph Data'!$O$2:$BX$88,27,FALSE)</f>
        <v>0</v>
      </c>
      <c r="F86" s="155">
        <f>IFERROR(E86+'Pay App 24'!F86,"")</f>
        <v>0</v>
      </c>
      <c r="G86" s="155">
        <f>SUM('Pay App 1:Pay App 24'!H86)</f>
        <v>0</v>
      </c>
      <c r="H86" s="154"/>
      <c r="I86" s="155">
        <f t="shared" si="0"/>
        <v>0</v>
      </c>
      <c r="J86" s="156">
        <f t="shared" si="1"/>
        <v>0</v>
      </c>
      <c r="K86" s="155">
        <f t="shared" si="2"/>
        <v>0</v>
      </c>
      <c r="L86" s="155" t="str">
        <f>IF(AND('Summary Sheet'!$E$23="No",$H$33&gt;0,H86&gt;=1),"",IF(AND('Summary Sheet'!$E$23="Yes",H86&lt;&gt;""),H86*'Summary Sheet'!$G$23,""))</f>
        <v/>
      </c>
      <c r="M86" s="154"/>
      <c r="N86" s="155">
        <f>SUM('Pay App 1:Pay App 25'!L86)+SUM('Pay App 1:Pay App 25'!M86)</f>
        <v>0</v>
      </c>
    </row>
    <row r="87" spans="1:14" ht="11.25" customHeight="1" x14ac:dyDescent="0.25">
      <c r="A87" s="152">
        <v>31</v>
      </c>
      <c r="B87" s="174" t="str">
        <f>'Pay App 1'!B87</f>
        <v>07 26 00</v>
      </c>
      <c r="C87" s="179" t="str">
        <f>'Pay App 1'!C87</f>
        <v>Vapor Retarders</v>
      </c>
      <c r="D87" s="155">
        <f>'Pay App 1'!D87</f>
        <v>0</v>
      </c>
      <c r="E87" s="155">
        <f>VLOOKUP(B87,'Graph Data'!$O$2:$BX$88,27,FALSE)</f>
        <v>0</v>
      </c>
      <c r="F87" s="155">
        <f>IFERROR(E87+'Pay App 24'!F87,"")</f>
        <v>0</v>
      </c>
      <c r="G87" s="155">
        <f>SUM('Pay App 1:Pay App 24'!H87)</f>
        <v>0</v>
      </c>
      <c r="H87" s="154"/>
      <c r="I87" s="155">
        <f t="shared" si="0"/>
        <v>0</v>
      </c>
      <c r="J87" s="156">
        <f t="shared" si="1"/>
        <v>0</v>
      </c>
      <c r="K87" s="155">
        <f t="shared" si="2"/>
        <v>0</v>
      </c>
      <c r="L87" s="155" t="str">
        <f>IF(AND('Summary Sheet'!$E$23="No",$H$33&gt;0,H87&gt;=1),"",IF(AND('Summary Sheet'!$E$23="Yes",H87&lt;&gt;""),H87*'Summary Sheet'!$G$23,""))</f>
        <v/>
      </c>
      <c r="M87" s="154"/>
      <c r="N87" s="155">
        <f>SUM('Pay App 1:Pay App 25'!L87)+SUM('Pay App 1:Pay App 25'!M87)</f>
        <v>0</v>
      </c>
    </row>
    <row r="88" spans="1:14" ht="11.25" customHeight="1" x14ac:dyDescent="0.25">
      <c r="A88" s="152">
        <v>32</v>
      </c>
      <c r="B88" s="174" t="str">
        <f>'Pay App 1'!B88</f>
        <v>07 41 00</v>
      </c>
      <c r="C88" s="179" t="str">
        <f>'Pay App 1'!C88</f>
        <v>Roofing</v>
      </c>
      <c r="D88" s="155">
        <f>'Pay App 1'!D88</f>
        <v>0</v>
      </c>
      <c r="E88" s="155">
        <f>VLOOKUP(B88,'Graph Data'!$O$2:$BX$88,27,FALSE)</f>
        <v>0</v>
      </c>
      <c r="F88" s="155">
        <f>IFERROR(E88+'Pay App 24'!F88,"")</f>
        <v>0</v>
      </c>
      <c r="G88" s="155">
        <f>SUM('Pay App 1:Pay App 24'!H88)</f>
        <v>0</v>
      </c>
      <c r="H88" s="154"/>
      <c r="I88" s="155">
        <f t="shared" si="0"/>
        <v>0</v>
      </c>
      <c r="J88" s="156">
        <f t="shared" si="1"/>
        <v>0</v>
      </c>
      <c r="K88" s="155">
        <f t="shared" si="2"/>
        <v>0</v>
      </c>
      <c r="L88" s="155" t="str">
        <f>IF(AND('Summary Sheet'!$E$23="No",$H$33&gt;0,H88&gt;=1),"",IF(AND('Summary Sheet'!$E$23="Yes",H88&lt;&gt;""),H88*'Summary Sheet'!$G$23,""))</f>
        <v/>
      </c>
      <c r="M88" s="154"/>
      <c r="N88" s="155">
        <f>SUM('Pay App 1:Pay App 25'!L88)+SUM('Pay App 1:Pay App 25'!M88)</f>
        <v>0</v>
      </c>
    </row>
    <row r="89" spans="1:14" ht="11.25" customHeight="1" x14ac:dyDescent="0.25">
      <c r="A89" s="152">
        <v>33</v>
      </c>
      <c r="B89" s="174" t="str">
        <f>'Pay App 1'!B89</f>
        <v>07 42 00</v>
      </c>
      <c r="C89" s="179" t="str">
        <f>'Pay App 1'!C89</f>
        <v>Metal Panels</v>
      </c>
      <c r="D89" s="155">
        <f>'Pay App 1'!D89</f>
        <v>0</v>
      </c>
      <c r="E89" s="155">
        <f>VLOOKUP(B89,'Graph Data'!$O$2:$BX$88,27,FALSE)</f>
        <v>0</v>
      </c>
      <c r="F89" s="155">
        <f>IFERROR(E89+'Pay App 24'!F89,"")</f>
        <v>0</v>
      </c>
      <c r="G89" s="155">
        <f>SUM('Pay App 1:Pay App 24'!H89)</f>
        <v>0</v>
      </c>
      <c r="H89" s="154"/>
      <c r="I89" s="155">
        <f t="shared" si="0"/>
        <v>0</v>
      </c>
      <c r="J89" s="156">
        <f t="shared" si="1"/>
        <v>0</v>
      </c>
      <c r="K89" s="155">
        <f t="shared" si="2"/>
        <v>0</v>
      </c>
      <c r="L89" s="155" t="str">
        <f>IF(AND('Summary Sheet'!$E$23="No",$H$33&gt;0,H89&gt;=1),"",IF(AND('Summary Sheet'!$E$23="Yes",H89&lt;&gt;""),H89*'Summary Sheet'!$G$23,""))</f>
        <v/>
      </c>
      <c r="M89" s="154"/>
      <c r="N89" s="155">
        <f>SUM('Pay App 1:Pay App 25'!L89)+SUM('Pay App 1:Pay App 25'!M89)</f>
        <v>0</v>
      </c>
    </row>
    <row r="90" spans="1:14" ht="11.25" customHeight="1" x14ac:dyDescent="0.25">
      <c r="A90" s="152">
        <v>34</v>
      </c>
      <c r="B90" s="174" t="str">
        <f>'Pay App 1'!B90</f>
        <v>07 60 00</v>
      </c>
      <c r="C90" s="179" t="str">
        <f>'Pay App 1'!C90</f>
        <v>Sheet Metal Flashing &amp; Trim</v>
      </c>
      <c r="D90" s="155">
        <f>'Pay App 1'!D90</f>
        <v>0</v>
      </c>
      <c r="E90" s="155">
        <f>VLOOKUP(B90,'Graph Data'!$O$2:$BX$88,27,FALSE)</f>
        <v>0</v>
      </c>
      <c r="F90" s="155">
        <f>IFERROR(E90+'Pay App 24'!F90,"")</f>
        <v>0</v>
      </c>
      <c r="G90" s="155">
        <f>SUM('Pay App 1:Pay App 24'!H90)</f>
        <v>0</v>
      </c>
      <c r="H90" s="154"/>
      <c r="I90" s="155">
        <f t="shared" si="0"/>
        <v>0</v>
      </c>
      <c r="J90" s="156">
        <f t="shared" si="1"/>
        <v>0</v>
      </c>
      <c r="K90" s="155">
        <f t="shared" si="2"/>
        <v>0</v>
      </c>
      <c r="L90" s="155" t="str">
        <f>IF(AND('Summary Sheet'!$E$23="No",$H$33&gt;0,H90&gt;=1),"",IF(AND('Summary Sheet'!$E$23="Yes",H90&lt;&gt;""),H90*'Summary Sheet'!$G$23,""))</f>
        <v/>
      </c>
      <c r="M90" s="154"/>
      <c r="N90" s="155">
        <f>SUM('Pay App 1:Pay App 25'!L90)+SUM('Pay App 1:Pay App 25'!M90)</f>
        <v>0</v>
      </c>
    </row>
    <row r="91" spans="1:14" ht="11.25" customHeight="1" x14ac:dyDescent="0.25">
      <c r="A91" s="152">
        <v>35</v>
      </c>
      <c r="B91" s="174" t="str">
        <f>'Pay App 1'!B91</f>
        <v>07 80 00</v>
      </c>
      <c r="C91" s="179" t="str">
        <f>'Pay App 1'!C91</f>
        <v>Fireproofing</v>
      </c>
      <c r="D91" s="155">
        <f>'Pay App 1'!D91</f>
        <v>0</v>
      </c>
      <c r="E91" s="155">
        <f>VLOOKUP(B91,'Graph Data'!$O$2:$BX$88,27,FALSE)</f>
        <v>0</v>
      </c>
      <c r="F91" s="155">
        <f>IFERROR(E91+'Pay App 24'!F91,"")</f>
        <v>0</v>
      </c>
      <c r="G91" s="155">
        <f>SUM('Pay App 1:Pay App 24'!H91)</f>
        <v>0</v>
      </c>
      <c r="H91" s="154"/>
      <c r="I91" s="155">
        <f t="shared" si="0"/>
        <v>0</v>
      </c>
      <c r="J91" s="156">
        <f t="shared" si="1"/>
        <v>0</v>
      </c>
      <c r="K91" s="155">
        <f t="shared" si="2"/>
        <v>0</v>
      </c>
      <c r="L91" s="155" t="str">
        <f>IF(AND('Summary Sheet'!$E$23="No",$H$33&gt;0,H91&gt;=1),"",IF(AND('Summary Sheet'!$E$23="Yes",H91&lt;&gt;""),H91*'Summary Sheet'!$G$23,""))</f>
        <v/>
      </c>
      <c r="M91" s="154"/>
      <c r="N91" s="155">
        <f>SUM('Pay App 1:Pay App 25'!L91)+SUM('Pay App 1:Pay App 25'!M91)</f>
        <v>0</v>
      </c>
    </row>
    <row r="92" spans="1:14" ht="11.25" customHeight="1" x14ac:dyDescent="0.25">
      <c r="A92" s="152">
        <v>36</v>
      </c>
      <c r="B92" s="174" t="str">
        <f>'Pay App 1'!B92</f>
        <v>07 90 00</v>
      </c>
      <c r="C92" s="179" t="str">
        <f>'Pay App 1'!C92</f>
        <v>Joint Sealants</v>
      </c>
      <c r="D92" s="155">
        <f>'Pay App 1'!D92</f>
        <v>0</v>
      </c>
      <c r="E92" s="155">
        <f>VLOOKUP(B92,'Graph Data'!$O$2:$BX$88,27,FALSE)</f>
        <v>0</v>
      </c>
      <c r="F92" s="155">
        <f>IFERROR(E92+'Pay App 24'!F92,"")</f>
        <v>0</v>
      </c>
      <c r="G92" s="155">
        <f>SUM('Pay App 1:Pay App 24'!H92)</f>
        <v>0</v>
      </c>
      <c r="H92" s="154"/>
      <c r="I92" s="155">
        <f t="shared" si="0"/>
        <v>0</v>
      </c>
      <c r="J92" s="156">
        <f t="shared" si="1"/>
        <v>0</v>
      </c>
      <c r="K92" s="155">
        <f t="shared" si="2"/>
        <v>0</v>
      </c>
      <c r="L92" s="155" t="str">
        <f>IF(AND('Summary Sheet'!$E$23="No",$H$33&gt;0,H92&gt;=1),"",IF(AND('Summary Sheet'!$E$23="Yes",H92&lt;&gt;""),H92*'Summary Sheet'!$G$23,""))</f>
        <v/>
      </c>
      <c r="M92" s="154"/>
      <c r="N92" s="155">
        <f>SUM('Pay App 1:Pay App 25'!L92)+SUM('Pay App 1:Pay App 25'!M92)</f>
        <v>0</v>
      </c>
    </row>
    <row r="93" spans="1:14" ht="11.25" customHeight="1" x14ac:dyDescent="0.25">
      <c r="A93" s="152">
        <v>37</v>
      </c>
      <c r="B93" s="174" t="str">
        <f>'Pay App 1'!B93</f>
        <v>07 95 00</v>
      </c>
      <c r="C93" s="179" t="str">
        <f>'Pay App 1'!C93</f>
        <v>Expansion Joints</v>
      </c>
      <c r="D93" s="155">
        <f>'Pay App 1'!D93</f>
        <v>0</v>
      </c>
      <c r="E93" s="155">
        <f>VLOOKUP(B93,'Graph Data'!$O$2:$BX$88,27,FALSE)</f>
        <v>0</v>
      </c>
      <c r="F93" s="155">
        <f>IFERROR(E93+'Pay App 24'!F93,"")</f>
        <v>0</v>
      </c>
      <c r="G93" s="155">
        <f>SUM('Pay App 1:Pay App 24'!H93)</f>
        <v>0</v>
      </c>
      <c r="H93" s="154"/>
      <c r="I93" s="155">
        <f t="shared" si="0"/>
        <v>0</v>
      </c>
      <c r="J93" s="156">
        <f t="shared" si="1"/>
        <v>0</v>
      </c>
      <c r="K93" s="155">
        <f t="shared" si="2"/>
        <v>0</v>
      </c>
      <c r="L93" s="155" t="str">
        <f>IF(AND('Summary Sheet'!$E$23="No",$H$33&gt;0,H93&gt;=1),"",IF(AND('Summary Sheet'!$E$23="Yes",H93&lt;&gt;""),H93*'Summary Sheet'!$G$23,""))</f>
        <v/>
      </c>
      <c r="M93" s="154"/>
      <c r="N93" s="155">
        <f>SUM('Pay App 1:Pay App 25'!L93)+SUM('Pay App 1:Pay App 25'!M93)</f>
        <v>0</v>
      </c>
    </row>
    <row r="94" spans="1:14" ht="11.25" customHeight="1" x14ac:dyDescent="0.25">
      <c r="A94" s="152">
        <v>38</v>
      </c>
      <c r="B94" s="175" t="str">
        <f>'Pay App 1'!B94</f>
        <v>08 10 00</v>
      </c>
      <c r="C94" s="180" t="str">
        <f>'Pay App 1'!C94</f>
        <v>Doors, Frames &amp; Hardware</v>
      </c>
      <c r="D94" s="155">
        <f>'Pay App 1'!D94</f>
        <v>0</v>
      </c>
      <c r="E94" s="155">
        <f>VLOOKUP(B94,'Graph Data'!$O$2:$BX$88,27,FALSE)</f>
        <v>0</v>
      </c>
      <c r="F94" s="155">
        <f>IFERROR(E94+'Pay App 24'!F94,"")</f>
        <v>0</v>
      </c>
      <c r="G94" s="155">
        <f>SUM('Pay App 1:Pay App 24'!H94)</f>
        <v>0</v>
      </c>
      <c r="H94" s="154"/>
      <c r="I94" s="155">
        <f t="shared" si="0"/>
        <v>0</v>
      </c>
      <c r="J94" s="156">
        <f t="shared" si="1"/>
        <v>0</v>
      </c>
      <c r="K94" s="155">
        <f t="shared" si="2"/>
        <v>0</v>
      </c>
      <c r="L94" s="155" t="str">
        <f>IF(AND('Summary Sheet'!$E$23="No",$H$33&gt;0,H94&gt;=1),"",IF(AND('Summary Sheet'!$E$23="Yes",H94&lt;&gt;""),H94*'Summary Sheet'!$G$23,""))</f>
        <v/>
      </c>
      <c r="M94" s="154"/>
      <c r="N94" s="155">
        <f>SUM('Pay App 1:Pay App 25'!L94)+SUM('Pay App 1:Pay App 25'!M94)</f>
        <v>0</v>
      </c>
    </row>
    <row r="95" spans="1:14" ht="11.25" customHeight="1" x14ac:dyDescent="0.25">
      <c r="A95" s="152">
        <v>39</v>
      </c>
      <c r="B95" s="175" t="str">
        <f>'Pay App 1'!B95</f>
        <v>08 30 00</v>
      </c>
      <c r="C95" s="180" t="str">
        <f>'Pay App 1'!C95</f>
        <v>Specialty Doors</v>
      </c>
      <c r="D95" s="155">
        <f>'Pay App 1'!D95</f>
        <v>0</v>
      </c>
      <c r="E95" s="155">
        <f>VLOOKUP(B95,'Graph Data'!$O$2:$BX$88,27,FALSE)</f>
        <v>0</v>
      </c>
      <c r="F95" s="155">
        <f>IFERROR(E95+'Pay App 24'!F95,"")</f>
        <v>0</v>
      </c>
      <c r="G95" s="155">
        <f>SUM('Pay App 1:Pay App 24'!H95)</f>
        <v>0</v>
      </c>
      <c r="H95" s="154"/>
      <c r="I95" s="155">
        <f t="shared" si="0"/>
        <v>0</v>
      </c>
      <c r="J95" s="156">
        <f t="shared" si="1"/>
        <v>0</v>
      </c>
      <c r="K95" s="155">
        <f t="shared" si="2"/>
        <v>0</v>
      </c>
      <c r="L95" s="155" t="str">
        <f>IF(AND('Summary Sheet'!$E$23="No",$H$33&gt;0,H95&gt;=1),"",IF(AND('Summary Sheet'!$E$23="Yes",H95&lt;&gt;""),H95*'Summary Sheet'!$G$23,""))</f>
        <v/>
      </c>
      <c r="M95" s="154"/>
      <c r="N95" s="155">
        <f>SUM('Pay App 1:Pay App 25'!L95)+SUM('Pay App 1:Pay App 25'!M95)</f>
        <v>0</v>
      </c>
    </row>
    <row r="96" spans="1:14" ht="11.25" customHeight="1" x14ac:dyDescent="0.25">
      <c r="A96" s="152">
        <v>40</v>
      </c>
      <c r="B96" s="175" t="str">
        <f>'Pay App 1'!B96</f>
        <v>08 33 00</v>
      </c>
      <c r="C96" s="180" t="str">
        <f>'Pay App 1'!C96</f>
        <v>Overhead Doors/Coiling Doors</v>
      </c>
      <c r="D96" s="155">
        <f>'Pay App 1'!D96</f>
        <v>0</v>
      </c>
      <c r="E96" s="155">
        <f>VLOOKUP(B96,'Graph Data'!$O$2:$BX$88,27,FALSE)</f>
        <v>0</v>
      </c>
      <c r="F96" s="155">
        <f>IFERROR(E96+'Pay App 24'!F96,"")</f>
        <v>0</v>
      </c>
      <c r="G96" s="155">
        <f>SUM('Pay App 1:Pay App 24'!H96)</f>
        <v>0</v>
      </c>
      <c r="H96" s="154"/>
      <c r="I96" s="155">
        <f t="shared" si="0"/>
        <v>0</v>
      </c>
      <c r="J96" s="156">
        <f t="shared" si="1"/>
        <v>0</v>
      </c>
      <c r="K96" s="155">
        <f t="shared" si="2"/>
        <v>0</v>
      </c>
      <c r="L96" s="155" t="str">
        <f>IF(AND('Summary Sheet'!$E$23="No",$H$33&gt;0,H96&gt;=1),"",IF(AND('Summary Sheet'!$E$23="Yes",H96&lt;&gt;""),H96*'Summary Sheet'!$G$23,""))</f>
        <v/>
      </c>
      <c r="M96" s="154"/>
      <c r="N96" s="155">
        <f>SUM('Pay App 1:Pay App 25'!L96)+SUM('Pay App 1:Pay App 25'!M96)</f>
        <v>0</v>
      </c>
    </row>
    <row r="97" spans="1:15" ht="11.25" customHeight="1" x14ac:dyDescent="0.25">
      <c r="A97" s="152">
        <v>41</v>
      </c>
      <c r="B97" s="175" t="str">
        <f>'Pay App 1'!B97</f>
        <v>08 40 00</v>
      </c>
      <c r="C97" s="180" t="str">
        <f>'Pay App 1'!C97</f>
        <v>Curtain Wall, Glass &amp; Glazing</v>
      </c>
      <c r="D97" s="155">
        <f>'Pay App 1'!D97</f>
        <v>0</v>
      </c>
      <c r="E97" s="155">
        <f>VLOOKUP(B97,'Graph Data'!$O$2:$BX$88,27,FALSE)</f>
        <v>0</v>
      </c>
      <c r="F97" s="155">
        <f>IFERROR(E97+'Pay App 24'!F97,"")</f>
        <v>0</v>
      </c>
      <c r="G97" s="155">
        <f>SUM('Pay App 1:Pay App 24'!H97)</f>
        <v>0</v>
      </c>
      <c r="H97" s="154"/>
      <c r="I97" s="155">
        <f t="shared" si="0"/>
        <v>0</v>
      </c>
      <c r="J97" s="156">
        <f t="shared" si="1"/>
        <v>0</v>
      </c>
      <c r="K97" s="155">
        <f t="shared" si="2"/>
        <v>0</v>
      </c>
      <c r="L97" s="155" t="str">
        <f>IF(AND('Summary Sheet'!$E$23="No",$H$33&gt;0,H97&gt;=1),"",IF(AND('Summary Sheet'!$E$23="Yes",H97&lt;&gt;""),H97*'Summary Sheet'!$G$23,""))</f>
        <v/>
      </c>
      <c r="M97" s="154"/>
      <c r="N97" s="155">
        <f>SUM('Pay App 1:Pay App 25'!L97)+SUM('Pay App 1:Pay App 25'!M97)</f>
        <v>0</v>
      </c>
    </row>
    <row r="98" spans="1:15" ht="10.9" customHeight="1" x14ac:dyDescent="0.25">
      <c r="A98" s="152">
        <v>42</v>
      </c>
      <c r="B98" s="175" t="str">
        <f>'Pay App 1'!B98</f>
        <v>08 60 00</v>
      </c>
      <c r="C98" s="180" t="str">
        <f>'Pay App 1'!C98</f>
        <v>Skylights</v>
      </c>
      <c r="D98" s="155">
        <f>'Pay App 1'!D98</f>
        <v>0</v>
      </c>
      <c r="E98" s="155">
        <f>VLOOKUP(B98,'Graph Data'!$O$2:$BX$88,27,FALSE)</f>
        <v>0</v>
      </c>
      <c r="F98" s="155">
        <f>IFERROR(E98+'Pay App 24'!F98,"")</f>
        <v>0</v>
      </c>
      <c r="G98" s="155">
        <f>SUM('Pay App 1:Pay App 24'!H98)</f>
        <v>0</v>
      </c>
      <c r="H98" s="154"/>
      <c r="I98" s="155">
        <f t="shared" si="0"/>
        <v>0</v>
      </c>
      <c r="J98" s="156">
        <f t="shared" si="1"/>
        <v>0</v>
      </c>
      <c r="K98" s="155">
        <f t="shared" si="2"/>
        <v>0</v>
      </c>
      <c r="L98" s="155" t="str">
        <f>IF(AND('Summary Sheet'!$E$23="No",$H$33&gt;0,H98&gt;=1),"",IF(AND('Summary Sheet'!$E$23="Yes",H98&lt;&gt;""),H98*'Summary Sheet'!$G$23,""))</f>
        <v/>
      </c>
      <c r="M98" s="154"/>
      <c r="N98" s="155">
        <f>SUM('Pay App 1:Pay App 25'!L98)+SUM('Pay App 1:Pay App 25'!M98)</f>
        <v>0</v>
      </c>
    </row>
    <row r="99" spans="1:15" ht="10.9" customHeight="1" x14ac:dyDescent="0.25">
      <c r="A99" s="152">
        <v>43</v>
      </c>
      <c r="B99" s="175" t="str">
        <f>'Pay App 1'!B99</f>
        <v>08 90 00</v>
      </c>
      <c r="C99" s="180" t="str">
        <f>'Pay App 1'!C99</f>
        <v>Louvers &amp; Vents</v>
      </c>
      <c r="D99" s="155">
        <f>'Pay App 1'!D99</f>
        <v>0</v>
      </c>
      <c r="E99" s="155">
        <f>VLOOKUP(B99,'Graph Data'!$O$2:$BX$88,27,FALSE)</f>
        <v>0</v>
      </c>
      <c r="F99" s="155">
        <f>IFERROR(E99+'Pay App 24'!F99,"")</f>
        <v>0</v>
      </c>
      <c r="G99" s="155">
        <f>SUM('Pay App 1:Pay App 24'!H99)</f>
        <v>0</v>
      </c>
      <c r="H99" s="154"/>
      <c r="I99" s="155">
        <f t="shared" si="0"/>
        <v>0</v>
      </c>
      <c r="J99" s="156">
        <f t="shared" si="1"/>
        <v>0</v>
      </c>
      <c r="K99" s="155">
        <f t="shared" si="2"/>
        <v>0</v>
      </c>
      <c r="L99" s="155" t="str">
        <f>IF(AND('Summary Sheet'!$E$23="No",$H$33&gt;0,H99&gt;=1),"",IF(AND('Summary Sheet'!$E$23="Yes",H99&lt;&gt;""),H99*'Summary Sheet'!$G$23,""))</f>
        <v/>
      </c>
      <c r="M99" s="154"/>
      <c r="N99" s="155">
        <f>SUM('Pay App 1:Pay App 25'!L99)+SUM('Pay App 1:Pay App 25'!M99)</f>
        <v>0</v>
      </c>
    </row>
    <row r="100" spans="1:15" ht="11.25" customHeight="1" x14ac:dyDescent="0.25">
      <c r="A100" s="153">
        <v>44</v>
      </c>
      <c r="B100" s="176" t="str">
        <f>'Pay App 1'!B100</f>
        <v>09 20 00</v>
      </c>
      <c r="C100" s="181" t="str">
        <f>'Pay App 1'!C100</f>
        <v>Gypsum Board Systems</v>
      </c>
      <c r="D100" s="155">
        <f>'Pay App 1'!D100</f>
        <v>0</v>
      </c>
      <c r="E100" s="155">
        <f>VLOOKUP(B100,'Graph Data'!$O$2:$BX$88,27,FALSE)</f>
        <v>0</v>
      </c>
      <c r="F100" s="155">
        <f>IFERROR(E100+'Pay App 24'!F100,"")</f>
        <v>0</v>
      </c>
      <c r="G100" s="155">
        <f>SUM('Pay App 1:Pay App 24'!H100)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25'!L100)+SUM('Pay App 1:Pay App 25'!M100)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25.2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Data'!$O$2:$BX$88,27,FALSE)</f>
        <v>0</v>
      </c>
      <c r="F106" s="155">
        <f>IFERROR(E106+'Pay App 24'!F106,"")</f>
        <v>0</v>
      </c>
      <c r="G106" s="155">
        <f>SUM('Pay App 1:Pay App 24'!H106)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25'!L106)+SUM('Pay App 1:Pay App 25'!M106)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Data'!$O$2:$BX$88,27,FALSE)</f>
        <v>0</v>
      </c>
      <c r="F107" s="155">
        <f>IFERROR(E107+'Pay App 24'!F107,"")</f>
        <v>0</v>
      </c>
      <c r="G107" s="155">
        <f>SUM('Pay App 1:Pay App 24'!H107)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25'!L107)+SUM('Pay App 1:Pay App 25'!M107)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Data'!$O$2:$BX$88,27,FALSE)</f>
        <v>0</v>
      </c>
      <c r="F108" s="155">
        <f>IFERROR(E108+'Pay App 24'!F108,"")</f>
        <v>0</v>
      </c>
      <c r="G108" s="155">
        <f>SUM('Pay App 1:Pay App 24'!H108)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25'!L108)+SUM('Pay App 1:Pay App 25'!M108)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Data'!$O$2:$BX$88,27,FALSE)</f>
        <v>0</v>
      </c>
      <c r="F109" s="155">
        <f>IFERROR(E109+'Pay App 24'!F109,"")</f>
        <v>0</v>
      </c>
      <c r="G109" s="155">
        <f>SUM('Pay App 1:Pay App 24'!H109)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25'!L109)+SUM('Pay App 1:Pay App 25'!M109)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Data'!$O$2:$BX$88,27,FALSE)</f>
        <v>0</v>
      </c>
      <c r="F110" s="155">
        <f>IFERROR(E110+'Pay App 24'!F110,"")</f>
        <v>0</v>
      </c>
      <c r="G110" s="155">
        <f>SUM('Pay App 1:Pay App 24'!H110)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25'!L110)+SUM('Pay App 1:Pay App 25'!M110)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Data'!$O$2:$BX$88,27,FALSE)</f>
        <v>0</v>
      </c>
      <c r="F111" s="155">
        <f>IFERROR(E111+'Pay App 24'!F111,"")</f>
        <v>0</v>
      </c>
      <c r="G111" s="155">
        <f>SUM('Pay App 1:Pay App 24'!H111)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25'!L111)+SUM('Pay App 1:Pay App 25'!M111)</f>
        <v>0</v>
      </c>
    </row>
    <row r="112" spans="1:15" ht="11.25" customHeight="1" x14ac:dyDescent="0.25">
      <c r="A112" s="152">
        <f t="shared" si="3"/>
        <v>51</v>
      </c>
      <c r="B112" s="148" t="str">
        <f>'Pay App 1'!B112</f>
        <v>09 90 00</v>
      </c>
      <c r="C112" s="143" t="str">
        <f>'Pay App 1'!C112</f>
        <v>Painting</v>
      </c>
      <c r="D112" s="155">
        <f>'Pay App 1'!D112</f>
        <v>0</v>
      </c>
      <c r="E112" s="155">
        <f>VLOOKUP(B112,'Graph Data'!$O$2:$BX$88,27,FALSE)</f>
        <v>0</v>
      </c>
      <c r="F112" s="155">
        <f>IFERROR(E112+'Pay App 24'!F112,"")</f>
        <v>0</v>
      </c>
      <c r="G112" s="155">
        <f>SUM('Pay App 1:Pay App 24'!H112)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25'!L112)+SUM('Pay App 1:Pay App 25'!M112)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Data'!$O$2:$BX$88,27,FALSE)</f>
        <v>0</v>
      </c>
      <c r="F113" s="155">
        <f>IFERROR(E113+'Pay App 24'!F113,"")</f>
        <v>0</v>
      </c>
      <c r="G113" s="155">
        <f>SUM('Pay App 1:Pay App 24'!H113)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25'!L113)+SUM('Pay App 1:Pay App 25'!M113)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Data'!$O$2:$BX$88,27,FALSE)</f>
        <v>0</v>
      </c>
      <c r="F114" s="155">
        <f>IFERROR(E114+'Pay App 24'!F114,"")</f>
        <v>0</v>
      </c>
      <c r="G114" s="155">
        <f>SUM('Pay App 1:Pay App 24'!H114)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25'!L114)+SUM('Pay App 1:Pay App 25'!M114)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Data'!$O$2:$BX$88,27,FALSE)</f>
        <v>0</v>
      </c>
      <c r="F115" s="155">
        <f>IFERROR(E115+'Pay App 24'!F115,"")</f>
        <v>0</v>
      </c>
      <c r="G115" s="155">
        <f>SUM('Pay App 1:Pay App 24'!H115)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25'!L115)+SUM('Pay App 1:Pay App 25'!M115)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Data'!$O$2:$BX$88,27,FALSE)</f>
        <v>0</v>
      </c>
      <c r="F116" s="155">
        <f>IFERROR(E116+'Pay App 24'!F116,"")</f>
        <v>0</v>
      </c>
      <c r="G116" s="155">
        <f>SUM('Pay App 1:Pay App 24'!H116)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25'!L116)+SUM('Pay App 1:Pay App 25'!M116)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Data'!$O$2:$BX$88,27,FALSE)</f>
        <v>0</v>
      </c>
      <c r="F117" s="155">
        <f>IFERROR(E117+'Pay App 24'!F117,"")</f>
        <v>0</v>
      </c>
      <c r="G117" s="155">
        <f>SUM('Pay App 1:Pay App 24'!H117)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25'!L117)+SUM('Pay App 1:Pay App 25'!M117)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Data'!$O$2:$BX$88,27,FALSE)</f>
        <v>0</v>
      </c>
      <c r="F118" s="155">
        <f>IFERROR(E118+'Pay App 24'!F118,"")</f>
        <v>0</v>
      </c>
      <c r="G118" s="155">
        <f>SUM('Pay App 1:Pay App 24'!H118)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25'!L118)+SUM('Pay App 1:Pay App 25'!M118)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Data'!$O$2:$BX$88,27,FALSE)</f>
        <v>0</v>
      </c>
      <c r="F119" s="155">
        <f>IFERROR(E119+'Pay App 24'!F119,"")</f>
        <v>0</v>
      </c>
      <c r="G119" s="155">
        <f>SUM('Pay App 1:Pay App 24'!H119)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25'!L119)+SUM('Pay App 1:Pay App 25'!M119)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Data'!$O$2:$BX$88,27,FALSE)</f>
        <v>0</v>
      </c>
      <c r="F120" s="155">
        <f>IFERROR(E120+'Pay App 24'!F120,"")</f>
        <v>0</v>
      </c>
      <c r="G120" s="155">
        <f>SUM('Pay App 1:Pay App 24'!H120)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25'!L120)+SUM('Pay App 1:Pay App 25'!M120)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Data'!$O$2:$BX$88,27,FALSE)</f>
        <v>0</v>
      </c>
      <c r="F121" s="155">
        <f>IFERROR(E121+'Pay App 24'!F121,"")</f>
        <v>0</v>
      </c>
      <c r="G121" s="155">
        <f>SUM('Pay App 1:Pay App 24'!H121)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25'!L121)+SUM('Pay App 1:Pay App 25'!M121)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Data'!$O$2:$BX$88,27,FALSE)</f>
        <v>0</v>
      </c>
      <c r="F122" s="155">
        <f>IFERROR(E122+'Pay App 24'!F122,"")</f>
        <v>0</v>
      </c>
      <c r="G122" s="155">
        <f>SUM('Pay App 1:Pay App 24'!H122)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25'!L122)+SUM('Pay App 1:Pay App 25'!M122)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Data'!$O$2:$BX$88,27,FALSE)</f>
        <v>0</v>
      </c>
      <c r="F123" s="155">
        <f>IFERROR(E123+'Pay App 24'!F123,"")</f>
        <v>0</v>
      </c>
      <c r="G123" s="155">
        <f>SUM('Pay App 1:Pay App 24'!H123)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25'!L123)+SUM('Pay App 1:Pay App 25'!M123)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Data'!$O$2:$BX$88,27,FALSE)</f>
        <v>0</v>
      </c>
      <c r="F124" s="155">
        <f>IFERROR(E124+'Pay App 24'!F124,"")</f>
        <v>0</v>
      </c>
      <c r="G124" s="155">
        <f>SUM('Pay App 1:Pay App 24'!H124)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25'!L124)+SUM('Pay App 1:Pay App 25'!M124)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Data'!$O$2:$BX$88,27,FALSE)</f>
        <v>0</v>
      </c>
      <c r="F125" s="155">
        <f>IFERROR(E125+'Pay App 24'!F125,"")</f>
        <v>0</v>
      </c>
      <c r="G125" s="155">
        <f>SUM('Pay App 1:Pay App 24'!H125)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25'!L125)+SUM('Pay App 1:Pay App 25'!M125)</f>
        <v>0</v>
      </c>
    </row>
    <row r="126" spans="1:14" ht="11.25" customHeight="1" x14ac:dyDescent="0.25">
      <c r="A126" s="152">
        <f t="shared" si="3"/>
        <v>65</v>
      </c>
      <c r="B126" s="188" t="str">
        <f>'Pay App 1'!B126</f>
        <v>14 20 00</v>
      </c>
      <c r="C126" s="194" t="str">
        <f>'Pay App 1'!C126</f>
        <v>Elevator</v>
      </c>
      <c r="D126" s="155">
        <f>'Pay App 1'!D126</f>
        <v>0</v>
      </c>
      <c r="E126" s="155">
        <f>VLOOKUP(B126,'Graph Data'!$O$2:$BX$88,27,FALSE)</f>
        <v>0</v>
      </c>
      <c r="F126" s="155">
        <f>IFERROR(E126+'Pay App 24'!F126,"")</f>
        <v>0</v>
      </c>
      <c r="G126" s="155">
        <f>SUM('Pay App 1:Pay App 24'!H126)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25'!L126)+SUM('Pay App 1:Pay App 25'!M126)</f>
        <v>0</v>
      </c>
    </row>
    <row r="127" spans="1:14" ht="11.25" customHeight="1" x14ac:dyDescent="0.25">
      <c r="A127" s="152">
        <f t="shared" si="3"/>
        <v>66</v>
      </c>
      <c r="B127" s="188" t="str">
        <f>'Pay App 1'!B127</f>
        <v>14 40 00</v>
      </c>
      <c r="C127" s="194" t="str">
        <f>'Pay App 1'!C127</f>
        <v>Lifts</v>
      </c>
      <c r="D127" s="155">
        <f>'Pay App 1'!D127</f>
        <v>0</v>
      </c>
      <c r="E127" s="155">
        <f>VLOOKUP(B127,'Graph Data'!$O$2:$BX$88,27,FALSE)</f>
        <v>0</v>
      </c>
      <c r="F127" s="155">
        <f>IFERROR(E127+'Pay App 24'!F127,"")</f>
        <v>0</v>
      </c>
      <c r="G127" s="155">
        <f>SUM('Pay App 1:Pay App 24'!H127)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25'!L127)+SUM('Pay App 1:Pay App 25'!M127)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Data'!$O$2:$BX$88,27,FALSE)</f>
        <v>0</v>
      </c>
      <c r="F128" s="155">
        <f>IFERROR(E128+'Pay App 24'!F128,"")</f>
        <v>0</v>
      </c>
      <c r="G128" s="155">
        <f>SUM('Pay App 1:Pay App 24'!H128)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25'!L128)+SUM('Pay App 1:Pay App 25'!M128)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Data'!$O$2:$BX$88,27,FALSE)</f>
        <v>0</v>
      </c>
      <c r="F129" s="155">
        <f>IFERROR(E129+'Pay App 24'!F129,"")</f>
        <v>0</v>
      </c>
      <c r="G129" s="155">
        <f>SUM('Pay App 1:Pay App 24'!H129)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25'!L129)+SUM('Pay App 1:Pay App 25'!M129)</f>
        <v>0</v>
      </c>
    </row>
    <row r="130" spans="1:14" ht="11.25" customHeight="1" x14ac:dyDescent="0.25">
      <c r="A130" s="152">
        <f t="shared" si="3"/>
        <v>69</v>
      </c>
      <c r="B130" s="185" t="str">
        <f>'Pay App 1'!B130</f>
        <v>22 00 00</v>
      </c>
      <c r="C130" s="191" t="str">
        <f>'Pay App 1'!C130</f>
        <v>Plumbing</v>
      </c>
      <c r="D130" s="155">
        <f>'Pay App 1'!D130</f>
        <v>0</v>
      </c>
      <c r="E130" s="155">
        <f>VLOOKUP(B130,'Graph Data'!$O$2:$BX$88,27,FALSE)</f>
        <v>0</v>
      </c>
      <c r="F130" s="155">
        <f>IFERROR(E130+'Pay App 24'!F130,"")</f>
        <v>0</v>
      </c>
      <c r="G130" s="155">
        <f>SUM('Pay App 1:Pay App 24'!H130)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25'!L130)+SUM('Pay App 1:Pay App 25'!M130)</f>
        <v>0</v>
      </c>
    </row>
    <row r="131" spans="1:14" ht="11.25" customHeight="1" x14ac:dyDescent="0.25">
      <c r="A131" s="152">
        <f t="shared" si="3"/>
        <v>70</v>
      </c>
      <c r="B131" s="186" t="str">
        <f>'Pay App 1'!B131</f>
        <v>23 00 00</v>
      </c>
      <c r="C131" s="192" t="str">
        <f>'Pay App 1'!C131</f>
        <v>HVAC</v>
      </c>
      <c r="D131" s="155">
        <f>'Pay App 1'!D131</f>
        <v>0</v>
      </c>
      <c r="E131" s="155">
        <f>VLOOKUP(B131,'Graph Data'!$O$2:$BX$88,27,FALSE)</f>
        <v>0</v>
      </c>
      <c r="F131" s="155">
        <f>IFERROR(E131+'Pay App 24'!F131,"")</f>
        <v>0</v>
      </c>
      <c r="G131" s="155">
        <f>SUM('Pay App 1:Pay App 24'!H131)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25'!L131)+SUM('Pay App 1:Pay App 25'!M131)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Data'!$O$2:$BX$88,27,FALSE)</f>
        <v>0</v>
      </c>
      <c r="F132" s="155">
        <f>IFERROR(E132+'Pay App 24'!F132,"")</f>
        <v>0</v>
      </c>
      <c r="G132" s="155">
        <f>SUM('Pay App 1:Pay App 24'!H132)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25'!L132)+SUM('Pay App 1:Pay App 25'!M132)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Data'!$O$2:$BX$88,27,FALSE)</f>
        <v>0</v>
      </c>
      <c r="F133" s="155">
        <f>IFERROR(E133+'Pay App 24'!F133,"")</f>
        <v>0</v>
      </c>
      <c r="G133" s="155">
        <f>SUM('Pay App 1:Pay App 24'!H133)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25'!L133)+SUM('Pay App 1:Pay App 25'!M133)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Data'!$O$2:$BX$88,27,FALSE)</f>
        <v>0</v>
      </c>
      <c r="F134" s="155">
        <f>IFERROR(E134+'Pay App 24'!F134,"")</f>
        <v>0</v>
      </c>
      <c r="G134" s="155">
        <f>SUM('Pay App 1:Pay App 24'!H134)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25'!L134)+SUM('Pay App 1:Pay App 25'!M134)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Data'!$O$2:$BX$88,27,FALSE)</f>
        <v>0</v>
      </c>
      <c r="F135" s="155">
        <f>IFERROR(E135+'Pay App 24'!F135,"")</f>
        <v>0</v>
      </c>
      <c r="G135" s="155">
        <f>SUM('Pay App 1:Pay App 24'!H135)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25'!L135)+SUM('Pay App 1:Pay App 25'!M135)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Data'!$O$2:$BX$88,27,FALSE)</f>
        <v>0</v>
      </c>
      <c r="F136" s="155">
        <f>IFERROR(E136+'Pay App 24'!F136,"")</f>
        <v>0</v>
      </c>
      <c r="G136" s="155">
        <f>SUM('Pay App 1:Pay App 24'!H136)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25'!L136)+SUM('Pay App 1:Pay App 25'!M136)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Data'!$O$2:$BX$88,27,FALSE)</f>
        <v>0</v>
      </c>
      <c r="F137" s="155">
        <f>IFERROR(E137+'Pay App 24'!F137,"")</f>
        <v>0</v>
      </c>
      <c r="G137" s="155">
        <f>SUM('Pay App 1:Pay App 24'!H137)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25'!L137)+SUM('Pay App 1:Pay App 25'!M137)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Data'!$O$2:$BX$88,27,FALSE)</f>
        <v>0</v>
      </c>
      <c r="F138" s="155">
        <f>IFERROR(E138+'Pay App 24'!F138,"")</f>
        <v>0</v>
      </c>
      <c r="G138" s="155">
        <f>SUM('Pay App 1:Pay App 24'!H138)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25'!L138)+SUM('Pay App 1:Pay App 25'!M138)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Data'!$O$2:$BX$88,27,FALSE)</f>
        <v>0</v>
      </c>
      <c r="F139" s="155">
        <f>IFERROR(E139+'Pay App 24'!F139,"")</f>
        <v>0</v>
      </c>
      <c r="G139" s="155">
        <f>SUM('Pay App 1:Pay App 24'!H139)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25'!L139)+SUM('Pay App 1:Pay App 25'!M139)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Data'!$O$2:$BX$88,27,FALSE)</f>
        <v>0</v>
      </c>
      <c r="F140" s="155">
        <f>IFERROR(E140+'Pay App 24'!F140,"")</f>
        <v>0</v>
      </c>
      <c r="G140" s="155">
        <f>SUM('Pay App 1:Pay App 24'!H140)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25'!L140)+SUM('Pay App 1:Pay App 25'!M140)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Data'!$O$2:$BX$88,27,FALSE)</f>
        <v>0</v>
      </c>
      <c r="F141" s="155">
        <f>IFERROR(E141+'Pay App 24'!F141,"")</f>
        <v>0</v>
      </c>
      <c r="G141" s="155">
        <f>SUM('Pay App 1:Pay App 24'!H141)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25'!L141)+SUM('Pay App 1:Pay App 25'!M141)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Data'!$O$2:$BX$88,27,FALSE)</f>
        <v>0</v>
      </c>
      <c r="F142" s="155">
        <f>IFERROR(E142+'Pay App 24'!F142,"")</f>
        <v>0</v>
      </c>
      <c r="G142" s="155">
        <f>SUM('Pay App 1:Pay App 24'!H142)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25'!L142)+SUM('Pay App 1:Pay App 25'!M142)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Data'!$O$2:$BX$88,27,FALSE)</f>
        <v>0</v>
      </c>
      <c r="F143" s="155">
        <f>IFERROR(E143+'Pay App 24'!F143,"")</f>
        <v>0</v>
      </c>
      <c r="G143" s="155">
        <f>SUM('Pay App 1:Pay App 24'!H143)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25'!L143)+SUM('Pay App 1:Pay App 25'!M143)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Data'!$O$2:$BX$88,27,FALSE)</f>
        <v>0</v>
      </c>
      <c r="F144" s="155">
        <f>IFERROR(E144+'Pay App 24'!F144,"")</f>
        <v>0</v>
      </c>
      <c r="G144" s="155">
        <f>SUM('Pay App 1:Pay App 24'!H144)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25'!L144)+SUM('Pay App 1:Pay App 25'!M144)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Data'!$O$2:$BX$88,27,FALSE)</f>
        <v>0</v>
      </c>
      <c r="F145" s="155">
        <f>IFERROR(E145+'Pay App 24'!F145,"")</f>
        <v>0</v>
      </c>
      <c r="G145" s="155">
        <f>SUM('Pay App 1:Pay App 24'!H145)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25'!L145)+SUM('Pay App 1:Pay App 25'!M145)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Data'!$O$2:$BX$88,27,FALSE)</f>
        <v>0</v>
      </c>
      <c r="F146" s="155">
        <f>IFERROR(E146+'Pay App 24'!F146,"")</f>
        <v>0</v>
      </c>
      <c r="G146" s="155">
        <f>SUM('Pay App 1:Pay App 24'!H146)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25'!L146)+SUM('Pay App 1:Pay App 25'!M146)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Data'!$O$2:$BX$88,27,FALSE)</f>
        <v>0</v>
      </c>
      <c r="F147" s="155">
        <f>IFERROR(E147+'Pay App 24'!F147,"")</f>
        <v>0</v>
      </c>
      <c r="G147" s="155">
        <f>SUM('Pay App 1:Pay App 24'!H147)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25'!L147)+SUM('Pay App 1:Pay App 25'!M147)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Data'!$O$2:$BX$88,27,FALSE)</f>
        <v>0</v>
      </c>
      <c r="F148" s="155">
        <f>IFERROR(E148+'Pay App 24'!F148,"")</f>
        <v>0</v>
      </c>
      <c r="G148" s="155">
        <f>SUM('Pay App 1:Pay App 24'!H148)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25'!L148)+SUM('Pay App 1:Pay App 25'!M148)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kaI0ajVS80eN5voSE2YneprewKvtctQS88J81+v4H5YXZosVPlqww1vQnhesgYL36q7x/fRGFNEiybVd+ZyqNw==" saltValue="PF/fTzfK2nI61Dh5+suQ0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95" priority="2" operator="equal">
      <formula>0</formula>
    </cfRule>
  </conditionalFormatting>
  <conditionalFormatting sqref="D106:G148">
    <cfRule type="cellIs" dxfId="394" priority="1" operator="equal">
      <formula>0</formula>
    </cfRule>
  </conditionalFormatting>
  <conditionalFormatting sqref="D10:H10 D12:H14 D19:H21">
    <cfRule type="cellIs" dxfId="393" priority="6" operator="equal">
      <formula>0</formula>
    </cfRule>
  </conditionalFormatting>
  <conditionalFormatting sqref="H51">
    <cfRule type="cellIs" dxfId="392" priority="9" operator="lessThan">
      <formula>0</formula>
    </cfRule>
  </conditionalFormatting>
  <conditionalFormatting sqref="I57:I100 K57:K100 I106:I148 K106:K148 N106:N148">
    <cfRule type="cellIs" dxfId="391" priority="14" operator="equal">
      <formula>0</formula>
    </cfRule>
  </conditionalFormatting>
  <conditionalFormatting sqref="J57:J100 J106:J149">
    <cfRule type="cellIs" dxfId="390" priority="11" operator="greaterThan">
      <formula>1</formula>
    </cfRule>
    <cfRule type="cellIs" dxfId="389" priority="12" operator="equal">
      <formula>0</formula>
    </cfRule>
  </conditionalFormatting>
  <conditionalFormatting sqref="K57:K100 K106:K148">
    <cfRule type="cellIs" dxfId="388" priority="10" operator="lessThan">
      <formula>0</formula>
    </cfRule>
  </conditionalFormatting>
  <conditionalFormatting sqref="M57:M100">
    <cfRule type="cellIs" dxfId="387" priority="13" operator="lessThan">
      <formula>0</formula>
    </cfRule>
  </conditionalFormatting>
  <conditionalFormatting sqref="M106:M148">
    <cfRule type="cellIs" dxfId="386" priority="8" operator="lessThan">
      <formula>0</formula>
    </cfRule>
  </conditionalFormatting>
  <conditionalFormatting sqref="N57:N100">
    <cfRule type="cellIs" dxfId="38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842FD3D0-6A87-4460-B582-156FB56FC2BC}">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F4D15-88C7-422B-9373-E05CF694CB07}">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26.1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Data'!$O$2:$BX$88,28,FALSE)</f>
        <v>0</v>
      </c>
      <c r="F57" s="155">
        <f>IFERROR(E57+'Pay App 25'!F57,"")</f>
        <v>0</v>
      </c>
      <c r="G57" s="155">
        <f>SUM('Pay App 1:Pay App 25'!H57)</f>
        <v>0</v>
      </c>
      <c r="H57" s="154"/>
      <c r="I57" s="155">
        <f>G57+H57</f>
        <v>0</v>
      </c>
      <c r="J57" s="156">
        <f>IFERROR(I57/F57,0)</f>
        <v>0</v>
      </c>
      <c r="K57" s="155">
        <f>IFERROR(F57-I57,"")</f>
        <v>0</v>
      </c>
      <c r="L57" s="155" t="str">
        <f>IF(AND('Summary Sheet'!$E$23="No",$H$33&gt;0,H57&gt;=1),"",IF(AND('Summary Sheet'!$E$23="Yes",H57&lt;&gt;""),H57*'Summary Sheet'!$G$23,""))</f>
        <v/>
      </c>
      <c r="M57" s="154"/>
      <c r="N57" s="155">
        <f>SUM('Pay App 1:Pay App 26'!L57)+SUM('Pay App 1:Pay App 26'!M57)</f>
        <v>0</v>
      </c>
    </row>
    <row r="58" spans="1:16" ht="11.25" customHeight="1" x14ac:dyDescent="0.25">
      <c r="A58" s="152">
        <v>2</v>
      </c>
      <c r="B58" s="145" t="str">
        <f>'Pay App 1'!B58</f>
        <v>00 02 00</v>
      </c>
      <c r="C58" s="134" t="str">
        <f>'Pay App 1'!C58</f>
        <v>Preconstruction Services</v>
      </c>
      <c r="D58" s="155">
        <f>'Pay App 1'!D58</f>
        <v>0</v>
      </c>
      <c r="E58" s="155">
        <f>VLOOKUP(B58,'Graph Data'!$O$2:$BX$88,28,FALSE)</f>
        <v>0</v>
      </c>
      <c r="F58" s="155">
        <f>IFERROR(E58+'Pay App 25'!F58,"")</f>
        <v>0</v>
      </c>
      <c r="G58" s="155">
        <f>SUM('Pay App 1:Pay App 25'!H58)</f>
        <v>0</v>
      </c>
      <c r="H58" s="154"/>
      <c r="I58" s="155">
        <f>G58+H58</f>
        <v>0</v>
      </c>
      <c r="J58" s="156">
        <f>IFERROR(I58/F58,0)</f>
        <v>0</v>
      </c>
      <c r="K58" s="155">
        <f>IFERROR(F58-I58,"")</f>
        <v>0</v>
      </c>
      <c r="L58" s="155" t="str">
        <f>IF(AND('Summary Sheet'!$E$23="No",$H$33&gt;0,H58&gt;=1),"",IF(AND('Summary Sheet'!$E$23="Yes",H58&lt;&gt;""),H58*'Summary Sheet'!$G$23,""))</f>
        <v/>
      </c>
      <c r="M58" s="154"/>
      <c r="N58" s="155">
        <f>SUM('Pay App 1:Pay App 26'!L58)+SUM('Pay App 1:Pay App 26'!M58)</f>
        <v>0</v>
      </c>
    </row>
    <row r="59" spans="1:16" ht="11.25" customHeight="1" x14ac:dyDescent="0.25">
      <c r="A59" s="152">
        <v>3</v>
      </c>
      <c r="B59" s="174" t="str">
        <f>'Pay App 1'!B59</f>
        <v>01 00 00</v>
      </c>
      <c r="C59" s="179" t="str">
        <f>'Pay App 1'!C59</f>
        <v>General Conditions/Requirements</v>
      </c>
      <c r="D59" s="155">
        <f>'Pay App 1'!D59</f>
        <v>0</v>
      </c>
      <c r="E59" s="155">
        <f>VLOOKUP(B59,'Graph Data'!$O$2:$BX$88,28,FALSE)</f>
        <v>0</v>
      </c>
      <c r="F59" s="155">
        <f>IFERROR(E59+'Pay App 25'!F59,"")</f>
        <v>0</v>
      </c>
      <c r="G59" s="155">
        <f>SUM('Pay App 1:Pay App 25'!H59)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26'!L59)+SUM('Pay App 1:Pay App 26'!M59)</f>
        <v>0</v>
      </c>
    </row>
    <row r="60" spans="1:16" ht="11.25" customHeight="1" x14ac:dyDescent="0.25">
      <c r="A60" s="152">
        <v>4</v>
      </c>
      <c r="B60" s="174" t="str">
        <f>'Pay App 1'!B60</f>
        <v>01 13 41</v>
      </c>
      <c r="C60" s="179" t="str">
        <f>'Pay App 1'!C60</f>
        <v>Temp. Scaffolding and Platforms</v>
      </c>
      <c r="D60" s="155">
        <f>'Pay App 1'!D60</f>
        <v>0</v>
      </c>
      <c r="E60" s="155">
        <f>VLOOKUP(B60,'Graph Data'!$O$2:$BX$88,28,FALSE)</f>
        <v>0</v>
      </c>
      <c r="F60" s="155">
        <f>IFERROR(E60+'Pay App 25'!F60,"")</f>
        <v>0</v>
      </c>
      <c r="G60" s="155">
        <f>SUM('Pay App 1:Pay App 25'!H60)</f>
        <v>0</v>
      </c>
      <c r="H60" s="154"/>
      <c r="I60" s="155">
        <f t="shared" si="0"/>
        <v>0</v>
      </c>
      <c r="J60" s="156">
        <f t="shared" si="1"/>
        <v>0</v>
      </c>
      <c r="K60" s="155">
        <f t="shared" si="2"/>
        <v>0</v>
      </c>
      <c r="L60" s="155" t="str">
        <f>IF(AND('Summary Sheet'!$E$23="No",$H$33&gt;0,H60&gt;=1),"",IF(AND('Summary Sheet'!$E$23="Yes",H60&lt;&gt;""),H60*'Summary Sheet'!$G$23,""))</f>
        <v/>
      </c>
      <c r="M60" s="154"/>
      <c r="N60" s="155">
        <f>SUM('Pay App 1:Pay App 26'!L60)+SUM('Pay App 1:Pay App 26'!M60)</f>
        <v>0</v>
      </c>
    </row>
    <row r="61" spans="1:16" ht="11.25" customHeight="1" x14ac:dyDescent="0.25">
      <c r="A61" s="152">
        <v>5</v>
      </c>
      <c r="B61" s="174" t="str">
        <f>'Pay App 1'!B61</f>
        <v>01 13 60</v>
      </c>
      <c r="C61" s="179" t="str">
        <f>'Pay App 1'!C61</f>
        <v>SWPPP</v>
      </c>
      <c r="D61" s="155">
        <f>'Pay App 1'!D61</f>
        <v>0</v>
      </c>
      <c r="E61" s="155">
        <f>VLOOKUP(B61,'Graph Data'!$O$2:$BX$88,28,FALSE)</f>
        <v>0</v>
      </c>
      <c r="F61" s="155">
        <f>IFERROR(E61+'Pay App 25'!F61,"")</f>
        <v>0</v>
      </c>
      <c r="G61" s="155">
        <f>SUM('Pay App 1:Pay App 25'!H61)</f>
        <v>0</v>
      </c>
      <c r="H61" s="154"/>
      <c r="I61" s="155">
        <f t="shared" si="0"/>
        <v>0</v>
      </c>
      <c r="J61" s="156">
        <f t="shared" si="1"/>
        <v>0</v>
      </c>
      <c r="K61" s="155">
        <f t="shared" si="2"/>
        <v>0</v>
      </c>
      <c r="L61" s="155" t="str">
        <f>IF(AND('Summary Sheet'!$E$23="No",$H$33&gt;0,H61&gt;=1),"",IF(AND('Summary Sheet'!$E$23="Yes",H61&lt;&gt;""),H61*'Summary Sheet'!$G$23,""))</f>
        <v/>
      </c>
      <c r="M61" s="154"/>
      <c r="N61" s="155">
        <f>SUM('Pay App 1:Pay App 26'!L61)+SUM('Pay App 1:Pay App 26'!M61)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Data'!$O$2:$BX$88,28,FALSE)</f>
        <v>0</v>
      </c>
      <c r="F62" s="155">
        <f>IFERROR(E62+'Pay App 25'!F62,"")</f>
        <v>0</v>
      </c>
      <c r="G62" s="155">
        <f>SUM('Pay App 1:Pay App 25'!H62)</f>
        <v>0</v>
      </c>
      <c r="H62" s="154"/>
      <c r="I62" s="155">
        <f t="shared" si="0"/>
        <v>0</v>
      </c>
      <c r="J62" s="156">
        <f t="shared" si="1"/>
        <v>0</v>
      </c>
      <c r="K62" s="155">
        <f t="shared" si="2"/>
        <v>0</v>
      </c>
      <c r="L62" s="155" t="str">
        <f>IF(AND('Summary Sheet'!$E$23="No",$H$33&gt;0,H62&gt;=1),"",IF(AND('Summary Sheet'!$E$23="Yes",H62&lt;&gt;""),H62*'Summary Sheet'!$G$23,""))</f>
        <v/>
      </c>
      <c r="M62" s="154"/>
      <c r="N62" s="155">
        <f>SUM('Pay App 1:Pay App 26'!L62)+SUM('Pay App 1:Pay App 26'!M62)</f>
        <v>0</v>
      </c>
    </row>
    <row r="63" spans="1:16" ht="11.25" customHeight="1" x14ac:dyDescent="0.25">
      <c r="A63" s="152">
        <v>7</v>
      </c>
      <c r="B63" s="174" t="str">
        <f>'Pay App 1'!B63</f>
        <v>01 31 00</v>
      </c>
      <c r="C63" s="179" t="str">
        <f>'Pay App 1'!C63</f>
        <v>Contractor's Supervision</v>
      </c>
      <c r="D63" s="155">
        <f>'Pay App 1'!D63</f>
        <v>0</v>
      </c>
      <c r="E63" s="155">
        <f>VLOOKUP(B63,'Graph Data'!$O$2:$BX$88,28,FALSE)</f>
        <v>0</v>
      </c>
      <c r="F63" s="155">
        <f>IFERROR(E63+'Pay App 25'!F63,"")</f>
        <v>0</v>
      </c>
      <c r="G63" s="155">
        <f>SUM('Pay App 1:Pay App 25'!H63)</f>
        <v>0</v>
      </c>
      <c r="H63" s="154"/>
      <c r="I63" s="155">
        <f t="shared" si="0"/>
        <v>0</v>
      </c>
      <c r="J63" s="156">
        <f t="shared" si="1"/>
        <v>0</v>
      </c>
      <c r="K63" s="155">
        <f t="shared" si="2"/>
        <v>0</v>
      </c>
      <c r="L63" s="155" t="str">
        <f>IF(AND('Summary Sheet'!$E$23="No",$H$33&gt;0,H63&gt;=1),"",IF(AND('Summary Sheet'!$E$23="Yes",H63&lt;&gt;""),H63*'Summary Sheet'!$G$23,""))</f>
        <v/>
      </c>
      <c r="M63" s="154"/>
      <c r="N63" s="155">
        <f>SUM('Pay App 1:Pay App 26'!L63)+SUM('Pay App 1:Pay App 26'!M63)</f>
        <v>0</v>
      </c>
    </row>
    <row r="64" spans="1:16" ht="11.25" customHeight="1" x14ac:dyDescent="0.25">
      <c r="A64" s="152">
        <v>8</v>
      </c>
      <c r="B64" s="174" t="str">
        <f>'Pay App 1'!B64</f>
        <v>01 32 00</v>
      </c>
      <c r="C64" s="179" t="str">
        <f>'Pay App 1'!C64</f>
        <v>General Liability Insurance</v>
      </c>
      <c r="D64" s="155">
        <f>'Pay App 1'!D64</f>
        <v>0</v>
      </c>
      <c r="E64" s="155">
        <f>VLOOKUP(B64,'Graph Data'!$O$2:$BX$88,28,FALSE)</f>
        <v>0</v>
      </c>
      <c r="F64" s="155">
        <f>IFERROR(E64+'Pay App 25'!F64,"")</f>
        <v>0</v>
      </c>
      <c r="G64" s="155">
        <f>SUM('Pay App 1:Pay App 25'!H64)</f>
        <v>0</v>
      </c>
      <c r="H64" s="154"/>
      <c r="I64" s="155">
        <f t="shared" si="0"/>
        <v>0</v>
      </c>
      <c r="J64" s="156">
        <f t="shared" si="1"/>
        <v>0</v>
      </c>
      <c r="K64" s="155">
        <f t="shared" si="2"/>
        <v>0</v>
      </c>
      <c r="L64" s="155" t="str">
        <f>IF(AND('Summary Sheet'!$E$23="No",$H$33&gt;0,H64&gt;=1),"",IF(AND('Summary Sheet'!$E$23="Yes",H64&lt;&gt;""),H64*'Summary Sheet'!$G$23,""))</f>
        <v/>
      </c>
      <c r="M64" s="154"/>
      <c r="N64" s="155">
        <f>SUM('Pay App 1:Pay App 26'!L64)+SUM('Pay App 1:Pay App 26'!M64)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Data'!$O$2:$BX$88,28,FALSE)</f>
        <v>0</v>
      </c>
      <c r="F65" s="155">
        <f>IFERROR(E65+'Pay App 25'!F65,"")</f>
        <v>0</v>
      </c>
      <c r="G65" s="155">
        <f>SUM('Pay App 1:Pay App 25'!H65)</f>
        <v>0</v>
      </c>
      <c r="H65" s="154"/>
      <c r="I65" s="155">
        <f t="shared" si="0"/>
        <v>0</v>
      </c>
      <c r="J65" s="156">
        <f t="shared" si="1"/>
        <v>0</v>
      </c>
      <c r="K65" s="155">
        <f t="shared" si="2"/>
        <v>0</v>
      </c>
      <c r="L65" s="155" t="str">
        <f>IF(AND('Summary Sheet'!$E$23="No",$H$33&gt;0,H65&gt;=1),"",IF(AND('Summary Sheet'!$E$23="Yes",H65&lt;&gt;""),H65*'Summary Sheet'!$G$23,""))</f>
        <v/>
      </c>
      <c r="M65" s="154"/>
      <c r="N65" s="155">
        <f>SUM('Pay App 1:Pay App 26'!L65)+SUM('Pay App 1:Pay App 26'!M65)</f>
        <v>0</v>
      </c>
    </row>
    <row r="66" spans="1:17" ht="11.25" customHeight="1" x14ac:dyDescent="0.25">
      <c r="A66" s="152">
        <v>10</v>
      </c>
      <c r="B66" s="174" t="str">
        <f>'Pay App 1'!B66</f>
        <v>01 34 00</v>
      </c>
      <c r="C66" s="179" t="str">
        <f>'Pay App 1'!C66</f>
        <v>Subcontractor Default Insurance</v>
      </c>
      <c r="D66" s="155">
        <f>'Pay App 1'!D66</f>
        <v>0</v>
      </c>
      <c r="E66" s="155">
        <f>VLOOKUP(B66,'Graph Data'!$O$2:$BX$88,28,FALSE)</f>
        <v>0</v>
      </c>
      <c r="F66" s="155">
        <f>IFERROR(E66+'Pay App 25'!F66,"")</f>
        <v>0</v>
      </c>
      <c r="G66" s="155">
        <f>SUM('Pay App 1:Pay App 25'!H66)</f>
        <v>0</v>
      </c>
      <c r="H66" s="154"/>
      <c r="I66" s="155">
        <f t="shared" si="0"/>
        <v>0</v>
      </c>
      <c r="J66" s="156">
        <f t="shared" si="1"/>
        <v>0</v>
      </c>
      <c r="K66" s="155">
        <f t="shared" si="2"/>
        <v>0</v>
      </c>
      <c r="L66" s="155" t="str">
        <f>IF(AND('Summary Sheet'!$E$23="No",$H$33&gt;0,H66&gt;=1),"",IF(AND('Summary Sheet'!$E$23="Yes",H66&lt;&gt;""),H66*'Summary Sheet'!$G$23,""))</f>
        <v/>
      </c>
      <c r="M66" s="154"/>
      <c r="N66" s="155">
        <f>SUM('Pay App 1:Pay App 26'!L66)+SUM('Pay App 1:Pay App 26'!M66)</f>
        <v>0</v>
      </c>
    </row>
    <row r="67" spans="1:17" ht="11.25" customHeight="1" x14ac:dyDescent="0.25">
      <c r="A67" s="152">
        <v>11</v>
      </c>
      <c r="B67" s="174" t="str">
        <f>'Pay App 1'!B67</f>
        <v>01 35 00</v>
      </c>
      <c r="C67" s="179" t="str">
        <f>'Pay App 1'!C67</f>
        <v>Construction Management Fee</v>
      </c>
      <c r="D67" s="155">
        <f>'Pay App 1'!D67</f>
        <v>0</v>
      </c>
      <c r="E67" s="155">
        <f>VLOOKUP(B67,'Graph Data'!$O$2:$BX$88,28,FALSE)</f>
        <v>0</v>
      </c>
      <c r="F67" s="155">
        <f>IFERROR(E67+'Pay App 25'!F67,"")</f>
        <v>0</v>
      </c>
      <c r="G67" s="155">
        <f>SUM('Pay App 1:Pay App 25'!H67)</f>
        <v>0</v>
      </c>
      <c r="H67" s="154"/>
      <c r="I67" s="155">
        <f t="shared" si="0"/>
        <v>0</v>
      </c>
      <c r="J67" s="156">
        <f t="shared" si="1"/>
        <v>0</v>
      </c>
      <c r="K67" s="155">
        <f t="shared" si="2"/>
        <v>0</v>
      </c>
      <c r="L67" s="155" t="str">
        <f>IF(AND('Summary Sheet'!$E$23="No",$H$33&gt;0,H67&gt;=1),"",IF(AND('Summary Sheet'!$E$23="Yes",H67&lt;&gt;""),H67*'Summary Sheet'!$G$23,""))</f>
        <v/>
      </c>
      <c r="M67" s="154"/>
      <c r="N67" s="155">
        <f>SUM('Pay App 1:Pay App 26'!L67)+SUM('Pay App 1:Pay App 26'!M67)</f>
        <v>0</v>
      </c>
    </row>
    <row r="68" spans="1:17" ht="11.25" customHeight="1" x14ac:dyDescent="0.25">
      <c r="A68" s="152">
        <v>12</v>
      </c>
      <c r="B68" s="174" t="str">
        <f>'Pay App 1'!B68</f>
        <v>01 36 00</v>
      </c>
      <c r="C68" s="179" t="str">
        <f>'Pay App 1'!C68</f>
        <v>Contingency</v>
      </c>
      <c r="D68" s="155">
        <f>'Pay App 1'!D68</f>
        <v>0</v>
      </c>
      <c r="E68" s="155">
        <f>VLOOKUP(B68,'Graph Data'!$O$2:$BX$88,28,FALSE)</f>
        <v>0</v>
      </c>
      <c r="F68" s="155">
        <f>IFERROR(E68+'Pay App 25'!F68,"")</f>
        <v>0</v>
      </c>
      <c r="G68" s="155">
        <f>SUM('Pay App 1:Pay App 25'!H68)</f>
        <v>0</v>
      </c>
      <c r="H68" s="154"/>
      <c r="I68" s="155">
        <f t="shared" si="0"/>
        <v>0</v>
      </c>
      <c r="J68" s="156">
        <f t="shared" si="1"/>
        <v>0</v>
      </c>
      <c r="K68" s="155">
        <f t="shared" si="2"/>
        <v>0</v>
      </c>
      <c r="L68" s="155" t="str">
        <f>IF(AND('Summary Sheet'!$E$23="No",$H$33&gt;0,H68&gt;=1),"",IF(AND('Summary Sheet'!$E$23="Yes",H68&lt;&gt;""),H68*'Summary Sheet'!$G$23,""))</f>
        <v/>
      </c>
      <c r="M68" s="154"/>
      <c r="N68" s="155">
        <f>SUM('Pay App 1:Pay App 26'!L68)+SUM('Pay App 1:Pay App 26'!M68)</f>
        <v>0</v>
      </c>
    </row>
    <row r="69" spans="1:17" ht="11.25" customHeight="1" x14ac:dyDescent="0.25">
      <c r="A69" s="152">
        <v>13</v>
      </c>
      <c r="B69" s="174" t="str">
        <f>'Pay App 1'!B69</f>
        <v>01 37 00</v>
      </c>
      <c r="C69" s="179" t="str">
        <f>'Pay App 1'!C69</f>
        <v>Weather Allowance (All Trades)</v>
      </c>
      <c r="D69" s="155">
        <f>'Pay App 1'!D69</f>
        <v>0</v>
      </c>
      <c r="E69" s="155">
        <f>VLOOKUP(B69,'Graph Data'!$O$2:$BX$88,28,FALSE)</f>
        <v>0</v>
      </c>
      <c r="F69" s="155">
        <f>IFERROR(E69+'Pay App 25'!F69,"")</f>
        <v>0</v>
      </c>
      <c r="G69" s="155">
        <f>SUM('Pay App 1:Pay App 25'!H69)</f>
        <v>0</v>
      </c>
      <c r="H69" s="154"/>
      <c r="I69" s="155">
        <f t="shared" si="0"/>
        <v>0</v>
      </c>
      <c r="J69" s="156">
        <f t="shared" si="1"/>
        <v>0</v>
      </c>
      <c r="K69" s="155">
        <f t="shared" si="2"/>
        <v>0</v>
      </c>
      <c r="L69" s="155" t="str">
        <f>IF(AND('Summary Sheet'!$E$23="No",$H$33&gt;0,H69&gt;=1),"",IF(AND('Summary Sheet'!$E$23="Yes",H69&lt;&gt;""),H69*'Summary Sheet'!$G$23,""))</f>
        <v/>
      </c>
      <c r="M69" s="154"/>
      <c r="N69" s="155">
        <f>SUM('Pay App 1:Pay App 26'!L69)+SUM('Pay App 1:Pay App 26'!M69)</f>
        <v>0</v>
      </c>
    </row>
    <row r="70" spans="1:17" ht="11.25" customHeight="1" x14ac:dyDescent="0.25">
      <c r="A70" s="152">
        <v>14</v>
      </c>
      <c r="B70" s="174" t="str">
        <f>'Pay App 1'!B70</f>
        <v>01 74 23</v>
      </c>
      <c r="C70" s="179" t="str">
        <f>'Pay App 1'!C70</f>
        <v>Cleaning (Final)</v>
      </c>
      <c r="D70" s="155">
        <f>'Pay App 1'!D70</f>
        <v>0</v>
      </c>
      <c r="E70" s="155">
        <f>VLOOKUP(B70,'Graph Data'!$O$2:$BX$88,28,FALSE)</f>
        <v>0</v>
      </c>
      <c r="F70" s="155">
        <f>IFERROR(E70+'Pay App 25'!F70,"")</f>
        <v>0</v>
      </c>
      <c r="G70" s="155">
        <f>SUM('Pay App 1:Pay App 25'!H70)</f>
        <v>0</v>
      </c>
      <c r="H70" s="154"/>
      <c r="I70" s="155">
        <f t="shared" si="0"/>
        <v>0</v>
      </c>
      <c r="J70" s="156">
        <f t="shared" si="1"/>
        <v>0</v>
      </c>
      <c r="K70" s="155">
        <f t="shared" si="2"/>
        <v>0</v>
      </c>
      <c r="L70" s="155" t="str">
        <f>IF(AND('Summary Sheet'!$E$23="No",$H$33&gt;0,H70&gt;=1),"",IF(AND('Summary Sheet'!$E$23="Yes",H70&lt;&gt;""),H70*'Summary Sheet'!$G$23,""))</f>
        <v/>
      </c>
      <c r="M70" s="154"/>
      <c r="N70" s="155">
        <f>SUM('Pay App 1:Pay App 26'!L70)+SUM('Pay App 1:Pay App 26'!M70)</f>
        <v>0</v>
      </c>
    </row>
    <row r="71" spans="1:17" ht="11.25" customHeight="1" x14ac:dyDescent="0.25">
      <c r="A71" s="152">
        <v>15</v>
      </c>
      <c r="B71" s="175" t="str">
        <f>'Pay App 1'!B71</f>
        <v>02 21 00</v>
      </c>
      <c r="C71" s="180" t="str">
        <f>'Pay App 1'!C71</f>
        <v>Survey/Engineering</v>
      </c>
      <c r="D71" s="155">
        <f>'Pay App 1'!D71</f>
        <v>0</v>
      </c>
      <c r="E71" s="155">
        <f>VLOOKUP(B71,'Graph Data'!$O$2:$BX$88,28,FALSE)</f>
        <v>0</v>
      </c>
      <c r="F71" s="155">
        <f>IFERROR(E71+'Pay App 25'!F71,"")</f>
        <v>0</v>
      </c>
      <c r="G71" s="155">
        <f>SUM('Pay App 1:Pay App 25'!H71)</f>
        <v>0</v>
      </c>
      <c r="H71" s="154"/>
      <c r="I71" s="155">
        <f t="shared" si="0"/>
        <v>0</v>
      </c>
      <c r="J71" s="156">
        <f t="shared" si="1"/>
        <v>0</v>
      </c>
      <c r="K71" s="155">
        <f t="shared" si="2"/>
        <v>0</v>
      </c>
      <c r="L71" s="155" t="str">
        <f>IF(AND('Summary Sheet'!$E$23="No",$H$33&gt;0,H71&gt;=1),"",IF(AND('Summary Sheet'!$E$23="Yes",H71&lt;&gt;""),H71*'Summary Sheet'!$G$23,""))</f>
        <v/>
      </c>
      <c r="M71" s="154"/>
      <c r="N71" s="155">
        <f>SUM('Pay App 1:Pay App 26'!L71)+SUM('Pay App 1:Pay App 26'!M71)</f>
        <v>0</v>
      </c>
      <c r="Q71" s="28"/>
    </row>
    <row r="72" spans="1:17" ht="11.25" customHeight="1" x14ac:dyDescent="0.25">
      <c r="A72" s="152">
        <v>16</v>
      </c>
      <c r="B72" s="175" t="str">
        <f>'Pay App 1'!B72</f>
        <v>02 41 00</v>
      </c>
      <c r="C72" s="180" t="str">
        <f>'Pay App 1'!C72</f>
        <v>Demolition</v>
      </c>
      <c r="D72" s="155">
        <f>'Pay App 1'!D72</f>
        <v>0</v>
      </c>
      <c r="E72" s="155">
        <f>VLOOKUP(B72,'Graph Data'!$O$2:$BX$88,28,FALSE)</f>
        <v>0</v>
      </c>
      <c r="F72" s="155">
        <f>IFERROR(E72+'Pay App 25'!F72,"")</f>
        <v>0</v>
      </c>
      <c r="G72" s="155">
        <f>SUM('Pay App 1:Pay App 25'!H72)</f>
        <v>0</v>
      </c>
      <c r="H72" s="154"/>
      <c r="I72" s="155">
        <f t="shared" si="0"/>
        <v>0</v>
      </c>
      <c r="J72" s="156">
        <f t="shared" si="1"/>
        <v>0</v>
      </c>
      <c r="K72" s="155">
        <f t="shared" si="2"/>
        <v>0</v>
      </c>
      <c r="L72" s="155" t="str">
        <f>IF(AND('Summary Sheet'!$E$23="No",$H$33&gt;0,H72&gt;=1),"",IF(AND('Summary Sheet'!$E$23="Yes",H72&lt;&gt;""),H72*'Summary Sheet'!$G$23,""))</f>
        <v/>
      </c>
      <c r="M72" s="154"/>
      <c r="N72" s="155">
        <f>SUM('Pay App 1:Pay App 26'!L72)+SUM('Pay App 1:Pay App 26'!M72)</f>
        <v>0</v>
      </c>
      <c r="Q72" s="28"/>
    </row>
    <row r="73" spans="1:17" ht="11.25" customHeight="1" x14ac:dyDescent="0.25">
      <c r="A73" s="152">
        <v>17</v>
      </c>
      <c r="B73" s="175" t="str">
        <f>'Pay App 1'!B73</f>
        <v>02 82 00</v>
      </c>
      <c r="C73" s="180" t="str">
        <f>'Pay App 1'!C73</f>
        <v>Asbestos Abatement</v>
      </c>
      <c r="D73" s="155">
        <f>'Pay App 1'!D73</f>
        <v>0</v>
      </c>
      <c r="E73" s="155">
        <f>VLOOKUP(B73,'Graph Data'!$O$2:$BX$88,28,FALSE)</f>
        <v>0</v>
      </c>
      <c r="F73" s="155">
        <f>IFERROR(E73+'Pay App 25'!F73,"")</f>
        <v>0</v>
      </c>
      <c r="G73" s="155">
        <f>SUM('Pay App 1:Pay App 25'!H73)</f>
        <v>0</v>
      </c>
      <c r="H73" s="154"/>
      <c r="I73" s="155">
        <f t="shared" si="0"/>
        <v>0</v>
      </c>
      <c r="J73" s="156">
        <f t="shared" si="1"/>
        <v>0</v>
      </c>
      <c r="K73" s="155">
        <f t="shared" si="2"/>
        <v>0</v>
      </c>
      <c r="L73" s="155" t="str">
        <f>IF(AND('Summary Sheet'!$E$23="No",$H$33&gt;0,H73&gt;=1),"",IF(AND('Summary Sheet'!$E$23="Yes",H73&lt;&gt;""),H73*'Summary Sheet'!$G$23,""))</f>
        <v/>
      </c>
      <c r="M73" s="154"/>
      <c r="N73" s="155">
        <f>SUM('Pay App 1:Pay App 26'!L73)+SUM('Pay App 1:Pay App 26'!M73)</f>
        <v>0</v>
      </c>
    </row>
    <row r="74" spans="1:17" ht="11.25" customHeight="1" x14ac:dyDescent="0.25">
      <c r="A74" s="152">
        <v>18</v>
      </c>
      <c r="B74" s="176" t="str">
        <f>'Pay App 1'!B74</f>
        <v>03 00 00</v>
      </c>
      <c r="C74" s="181" t="str">
        <f>'Pay App 1'!C74</f>
        <v>Building Concrete</v>
      </c>
      <c r="D74" s="155">
        <f>'Pay App 1'!D74</f>
        <v>0</v>
      </c>
      <c r="E74" s="155">
        <f>VLOOKUP(B74,'Graph Data'!$O$2:$BX$88,28,FALSE)</f>
        <v>0</v>
      </c>
      <c r="F74" s="155">
        <f>IFERROR(E74+'Pay App 25'!F74,"")</f>
        <v>0</v>
      </c>
      <c r="G74" s="155">
        <f>SUM('Pay App 1:Pay App 25'!H74)</f>
        <v>0</v>
      </c>
      <c r="H74" s="154"/>
      <c r="I74" s="155">
        <f t="shared" si="0"/>
        <v>0</v>
      </c>
      <c r="J74" s="156">
        <f t="shared" si="1"/>
        <v>0</v>
      </c>
      <c r="K74" s="155">
        <f t="shared" si="2"/>
        <v>0</v>
      </c>
      <c r="L74" s="155" t="str">
        <f>IF(AND('Summary Sheet'!$E$23="No",$H$33&gt;0,H74&gt;=1),"",IF(AND('Summary Sheet'!$E$23="Yes",H74&lt;&gt;""),H74*'Summary Sheet'!$G$23,""))</f>
        <v/>
      </c>
      <c r="M74" s="154"/>
      <c r="N74" s="155">
        <f>SUM('Pay App 1:Pay App 26'!L74)+SUM('Pay App 1:Pay App 26'!M74)</f>
        <v>0</v>
      </c>
    </row>
    <row r="75" spans="1:17" ht="11.25" customHeight="1" x14ac:dyDescent="0.25">
      <c r="A75" s="152">
        <v>19</v>
      </c>
      <c r="B75" s="176" t="str">
        <f>'Pay App 1'!B75</f>
        <v>03 20 00</v>
      </c>
      <c r="C75" s="181" t="str">
        <f>'Pay App 1'!C75</f>
        <v>Building Concrete Reinforcing</v>
      </c>
      <c r="D75" s="155">
        <f>'Pay App 1'!D75</f>
        <v>0</v>
      </c>
      <c r="E75" s="155">
        <f>VLOOKUP(B75,'Graph Data'!$O$2:$BX$88,28,FALSE)</f>
        <v>0</v>
      </c>
      <c r="F75" s="155">
        <f>IFERROR(E75+'Pay App 25'!F75,"")</f>
        <v>0</v>
      </c>
      <c r="G75" s="155">
        <f>SUM('Pay App 1:Pay App 25'!H75)</f>
        <v>0</v>
      </c>
      <c r="H75" s="154"/>
      <c r="I75" s="155">
        <f t="shared" si="0"/>
        <v>0</v>
      </c>
      <c r="J75" s="156">
        <f t="shared" si="1"/>
        <v>0</v>
      </c>
      <c r="K75" s="155">
        <f t="shared" si="2"/>
        <v>0</v>
      </c>
      <c r="L75" s="155" t="str">
        <f>IF(AND('Summary Sheet'!$E$23="No",$H$33&gt;0,H75&gt;=1),"",IF(AND('Summary Sheet'!$E$23="Yes",H75&lt;&gt;""),H75*'Summary Sheet'!$G$23,""))</f>
        <v/>
      </c>
      <c r="M75" s="154"/>
      <c r="N75" s="155">
        <f>SUM('Pay App 1:Pay App 26'!L75)+SUM('Pay App 1:Pay App 26'!M75)</f>
        <v>0</v>
      </c>
    </row>
    <row r="76" spans="1:17" ht="11.25" customHeight="1" x14ac:dyDescent="0.25">
      <c r="A76" s="152">
        <v>20</v>
      </c>
      <c r="B76" s="176" t="str">
        <f>'Pay App 1'!B76</f>
        <v>03 40 00</v>
      </c>
      <c r="C76" s="181" t="str">
        <f>'Pay App 1'!C76</f>
        <v>Precast</v>
      </c>
      <c r="D76" s="155">
        <f>'Pay App 1'!D76</f>
        <v>0</v>
      </c>
      <c r="E76" s="155">
        <f>VLOOKUP(B76,'Graph Data'!$O$2:$BX$88,28,FALSE)</f>
        <v>0</v>
      </c>
      <c r="F76" s="155">
        <f>IFERROR(E76+'Pay App 25'!F76,"")</f>
        <v>0</v>
      </c>
      <c r="G76" s="155">
        <f>SUM('Pay App 1:Pay App 25'!H76)</f>
        <v>0</v>
      </c>
      <c r="H76" s="154"/>
      <c r="I76" s="155">
        <f t="shared" si="0"/>
        <v>0</v>
      </c>
      <c r="J76" s="156">
        <f t="shared" si="1"/>
        <v>0</v>
      </c>
      <c r="K76" s="155">
        <f t="shared" si="2"/>
        <v>0</v>
      </c>
      <c r="L76" s="155" t="str">
        <f>IF(AND('Summary Sheet'!$E$23="No",$H$33&gt;0,H76&gt;=1),"",IF(AND('Summary Sheet'!$E$23="Yes",H76&lt;&gt;""),H76*'Summary Sheet'!$G$23,""))</f>
        <v/>
      </c>
      <c r="M76" s="154"/>
      <c r="N76" s="155">
        <f>SUM('Pay App 1:Pay App 26'!L76)+SUM('Pay App 1:Pay App 26'!M76)</f>
        <v>0</v>
      </c>
    </row>
    <row r="77" spans="1:17" ht="11.25" customHeight="1" x14ac:dyDescent="0.25">
      <c r="A77" s="152">
        <v>21</v>
      </c>
      <c r="B77" s="177" t="str">
        <f>'Pay App 1'!B77</f>
        <v>04 00 00</v>
      </c>
      <c r="C77" s="182" t="str">
        <f>'Pay App 1'!C77</f>
        <v>Masonry</v>
      </c>
      <c r="D77" s="155">
        <f>'Pay App 1'!D77</f>
        <v>0</v>
      </c>
      <c r="E77" s="155">
        <f>VLOOKUP(B77,'Graph Data'!$O$2:$BX$88,28,FALSE)</f>
        <v>0</v>
      </c>
      <c r="F77" s="155">
        <f>IFERROR(E77+'Pay App 25'!F77,"")</f>
        <v>0</v>
      </c>
      <c r="G77" s="155">
        <f>SUM('Pay App 1:Pay App 25'!H77)</f>
        <v>0</v>
      </c>
      <c r="H77" s="154"/>
      <c r="I77" s="155">
        <f t="shared" si="0"/>
        <v>0</v>
      </c>
      <c r="J77" s="156">
        <f t="shared" si="1"/>
        <v>0</v>
      </c>
      <c r="K77" s="155">
        <f t="shared" si="2"/>
        <v>0</v>
      </c>
      <c r="L77" s="155" t="str">
        <f>IF(AND('Summary Sheet'!$E$23="No",$H$33&gt;0,H77&gt;=1),"",IF(AND('Summary Sheet'!$E$23="Yes",H77&lt;&gt;""),H77*'Summary Sheet'!$G$23,""))</f>
        <v/>
      </c>
      <c r="M77" s="154"/>
      <c r="N77" s="155">
        <f>SUM('Pay App 1:Pay App 26'!L77)+SUM('Pay App 1:Pay App 26'!M77)</f>
        <v>0</v>
      </c>
    </row>
    <row r="78" spans="1:17" ht="11.25" customHeight="1" x14ac:dyDescent="0.25">
      <c r="A78" s="152">
        <v>22</v>
      </c>
      <c r="B78" s="177" t="str">
        <f>'Pay App 1'!B78</f>
        <v>04 05 19</v>
      </c>
      <c r="C78" s="182" t="str">
        <f>'Pay App 1'!C78</f>
        <v>Masonry Reinforcing</v>
      </c>
      <c r="D78" s="155">
        <f>'Pay App 1'!D78</f>
        <v>0</v>
      </c>
      <c r="E78" s="155">
        <f>VLOOKUP(B78,'Graph Data'!$O$2:$BX$88,28,FALSE)</f>
        <v>0</v>
      </c>
      <c r="F78" s="155">
        <f>IFERROR(E78+'Pay App 25'!F78,"")</f>
        <v>0</v>
      </c>
      <c r="G78" s="155">
        <f>SUM('Pay App 1:Pay App 25'!H78)</f>
        <v>0</v>
      </c>
      <c r="H78" s="154"/>
      <c r="I78" s="155">
        <f t="shared" si="0"/>
        <v>0</v>
      </c>
      <c r="J78" s="156">
        <f t="shared" si="1"/>
        <v>0</v>
      </c>
      <c r="K78" s="155">
        <f t="shared" si="2"/>
        <v>0</v>
      </c>
      <c r="L78" s="155" t="str">
        <f>IF(AND('Summary Sheet'!$E$23="No",$H$33&gt;0,H78&gt;=1),"",IF(AND('Summary Sheet'!$E$23="Yes",H78&lt;&gt;""),H78*'Summary Sheet'!$G$23,""))</f>
        <v/>
      </c>
      <c r="M78" s="154"/>
      <c r="N78" s="155">
        <f>SUM('Pay App 1:Pay App 26'!L78)+SUM('Pay App 1:Pay App 26'!M78)</f>
        <v>0</v>
      </c>
    </row>
    <row r="79" spans="1:17" ht="11.25" customHeight="1" x14ac:dyDescent="0.25">
      <c r="A79" s="152">
        <v>23</v>
      </c>
      <c r="B79" s="178" t="str">
        <f>'Pay App 1'!B79</f>
        <v>05 10 00</v>
      </c>
      <c r="C79" s="183" t="str">
        <f>'Pay App 1'!C79</f>
        <v>Structural Steel/Misc. Steel Fab</v>
      </c>
      <c r="D79" s="155">
        <f>'Pay App 1'!D79</f>
        <v>0</v>
      </c>
      <c r="E79" s="155">
        <f>VLOOKUP(B79,'Graph Data'!$O$2:$BX$88,28,FALSE)</f>
        <v>0</v>
      </c>
      <c r="F79" s="155">
        <f>IFERROR(E79+'Pay App 25'!F79,"")</f>
        <v>0</v>
      </c>
      <c r="G79" s="155">
        <f>SUM('Pay App 1:Pay App 25'!H79)</f>
        <v>0</v>
      </c>
      <c r="H79" s="154"/>
      <c r="I79" s="155">
        <f t="shared" si="0"/>
        <v>0</v>
      </c>
      <c r="J79" s="156">
        <f t="shared" si="1"/>
        <v>0</v>
      </c>
      <c r="K79" s="155">
        <f t="shared" si="2"/>
        <v>0</v>
      </c>
      <c r="L79" s="155" t="str">
        <f>IF(AND('Summary Sheet'!$E$23="No",$H$33&gt;0,H79&gt;=1),"",IF(AND('Summary Sheet'!$E$23="Yes",H79&lt;&gt;""),H79*'Summary Sheet'!$G$23,""))</f>
        <v/>
      </c>
      <c r="M79" s="154"/>
      <c r="N79" s="155">
        <f>SUM('Pay App 1:Pay App 26'!L79)+SUM('Pay App 1:Pay App 26'!M79)</f>
        <v>0</v>
      </c>
    </row>
    <row r="80" spans="1:17" ht="11.25" customHeight="1" x14ac:dyDescent="0.25">
      <c r="A80" s="152">
        <v>24</v>
      </c>
      <c r="B80" s="178" t="str">
        <f>'Pay App 1'!B80</f>
        <v>05 20 00</v>
      </c>
      <c r="C80" s="183" t="str">
        <f>'Pay App 1'!C80</f>
        <v>Joists &amp; Deck</v>
      </c>
      <c r="D80" s="155">
        <f>'Pay App 1'!D80</f>
        <v>0</v>
      </c>
      <c r="E80" s="155">
        <f>VLOOKUP(B80,'Graph Data'!$O$2:$BX$88,28,FALSE)</f>
        <v>0</v>
      </c>
      <c r="F80" s="155">
        <f>IFERROR(E80+'Pay App 25'!F80,"")</f>
        <v>0</v>
      </c>
      <c r="G80" s="155">
        <f>SUM('Pay App 1:Pay App 25'!H80)</f>
        <v>0</v>
      </c>
      <c r="H80" s="154"/>
      <c r="I80" s="155">
        <f t="shared" si="0"/>
        <v>0</v>
      </c>
      <c r="J80" s="156">
        <f t="shared" si="1"/>
        <v>0</v>
      </c>
      <c r="K80" s="155">
        <f t="shared" si="2"/>
        <v>0</v>
      </c>
      <c r="L80" s="155" t="str">
        <f>IF(AND('Summary Sheet'!$E$23="No",$H$33&gt;0,H80&gt;=1),"",IF(AND('Summary Sheet'!$E$23="Yes",H80&lt;&gt;""),H80*'Summary Sheet'!$G$23,""))</f>
        <v/>
      </c>
      <c r="M80" s="154"/>
      <c r="N80" s="155">
        <f>SUM('Pay App 1:Pay App 26'!L80)+SUM('Pay App 1:Pay App 26'!M80)</f>
        <v>0</v>
      </c>
    </row>
    <row r="81" spans="1:14" ht="11.25" customHeight="1" x14ac:dyDescent="0.25">
      <c r="A81" s="152">
        <v>25</v>
      </c>
      <c r="B81" s="178" t="str">
        <f>'Pay App 1'!B81</f>
        <v>05 70 00</v>
      </c>
      <c r="C81" s="183" t="str">
        <f>'Pay App 1'!C81</f>
        <v>Ornamental Metal</v>
      </c>
      <c r="D81" s="155">
        <f>'Pay App 1'!D81</f>
        <v>0</v>
      </c>
      <c r="E81" s="155">
        <f>VLOOKUP(B81,'Graph Data'!$O$2:$BX$88,28,FALSE)</f>
        <v>0</v>
      </c>
      <c r="F81" s="155">
        <f>IFERROR(E81+'Pay App 25'!F81,"")</f>
        <v>0</v>
      </c>
      <c r="G81" s="155">
        <f>SUM('Pay App 1:Pay App 25'!H81)</f>
        <v>0</v>
      </c>
      <c r="H81" s="154"/>
      <c r="I81" s="155">
        <f t="shared" si="0"/>
        <v>0</v>
      </c>
      <c r="J81" s="156">
        <f t="shared" si="1"/>
        <v>0</v>
      </c>
      <c r="K81" s="155">
        <f t="shared" si="2"/>
        <v>0</v>
      </c>
      <c r="L81" s="155" t="str">
        <f>IF(AND('Summary Sheet'!$E$23="No",$H$33&gt;0,H81&gt;=1),"",IF(AND('Summary Sheet'!$E$23="Yes",H81&lt;&gt;""),H81*'Summary Sheet'!$G$23,""))</f>
        <v/>
      </c>
      <c r="M81" s="154"/>
      <c r="N81" s="155">
        <f>SUM('Pay App 1:Pay App 26'!L81)+SUM('Pay App 1:Pay App 26'!M81)</f>
        <v>0</v>
      </c>
    </row>
    <row r="82" spans="1:14" ht="11.25" customHeight="1" x14ac:dyDescent="0.25">
      <c r="A82" s="152">
        <v>26</v>
      </c>
      <c r="B82" s="145" t="str">
        <f>'Pay App 1'!B82</f>
        <v>06 10 00</v>
      </c>
      <c r="C82" s="134" t="str">
        <f>'Pay App 1'!C82</f>
        <v>Rough Carpentry</v>
      </c>
      <c r="D82" s="155">
        <f>'Pay App 1'!D82</f>
        <v>0</v>
      </c>
      <c r="E82" s="155">
        <f>VLOOKUP(B82,'Graph Data'!$O$2:$BX$88,28,FALSE)</f>
        <v>0</v>
      </c>
      <c r="F82" s="155">
        <f>IFERROR(E82+'Pay App 25'!F82,"")</f>
        <v>0</v>
      </c>
      <c r="G82" s="155">
        <f>SUM('Pay App 1:Pay App 25'!H82)</f>
        <v>0</v>
      </c>
      <c r="H82" s="154"/>
      <c r="I82" s="155">
        <f t="shared" si="0"/>
        <v>0</v>
      </c>
      <c r="J82" s="156">
        <f t="shared" si="1"/>
        <v>0</v>
      </c>
      <c r="K82" s="155">
        <f t="shared" si="2"/>
        <v>0</v>
      </c>
      <c r="L82" s="155" t="str">
        <f>IF(AND('Summary Sheet'!$E$23="No",$H$33&gt;0,H82&gt;=1),"",IF(AND('Summary Sheet'!$E$23="Yes",H82&lt;&gt;""),H82*'Summary Sheet'!$G$23,""))</f>
        <v/>
      </c>
      <c r="M82" s="154"/>
      <c r="N82" s="155">
        <f>SUM('Pay App 1:Pay App 26'!L82)+SUM('Pay App 1:Pay App 26'!M82)</f>
        <v>0</v>
      </c>
    </row>
    <row r="83" spans="1:14" ht="11.25" customHeight="1" x14ac:dyDescent="0.25">
      <c r="A83" s="152">
        <v>27</v>
      </c>
      <c r="B83" s="145" t="str">
        <f>'Pay App 1'!B83</f>
        <v>06 40 00</v>
      </c>
      <c r="C83" s="134" t="str">
        <f>'Pay App 1'!C83</f>
        <v>Arch. Woodwork &amp; Finish Carp.</v>
      </c>
      <c r="D83" s="155">
        <f>'Pay App 1'!D83</f>
        <v>0</v>
      </c>
      <c r="E83" s="155">
        <f>VLOOKUP(B83,'Graph Data'!$O$2:$BX$88,28,FALSE)</f>
        <v>0</v>
      </c>
      <c r="F83" s="155">
        <f>IFERROR(E83+'Pay App 25'!F83,"")</f>
        <v>0</v>
      </c>
      <c r="G83" s="155">
        <f>SUM('Pay App 1:Pay App 25'!H83)</f>
        <v>0</v>
      </c>
      <c r="H83" s="154"/>
      <c r="I83" s="155">
        <f t="shared" si="0"/>
        <v>0</v>
      </c>
      <c r="J83" s="156">
        <f t="shared" si="1"/>
        <v>0</v>
      </c>
      <c r="K83" s="155">
        <f t="shared" si="2"/>
        <v>0</v>
      </c>
      <c r="L83" s="155" t="str">
        <f>IF(AND('Summary Sheet'!$E$23="No",$H$33&gt;0,H83&gt;=1),"",IF(AND('Summary Sheet'!$E$23="Yes",H83&lt;&gt;""),H83*'Summary Sheet'!$G$23,""))</f>
        <v/>
      </c>
      <c r="M83" s="154"/>
      <c r="N83" s="155">
        <f>SUM('Pay App 1:Pay App 26'!L83)+SUM('Pay App 1:Pay App 26'!M83)</f>
        <v>0</v>
      </c>
    </row>
    <row r="84" spans="1:14" ht="11.25" customHeight="1" x14ac:dyDescent="0.25">
      <c r="A84" s="152">
        <v>28</v>
      </c>
      <c r="B84" s="174" t="str">
        <f>'Pay App 1'!B84</f>
        <v>07 10 00</v>
      </c>
      <c r="C84" s="179" t="str">
        <f>'Pay App 1'!C84</f>
        <v>Waterproofing/Water Repellents</v>
      </c>
      <c r="D84" s="155">
        <f>'Pay App 1'!D84</f>
        <v>0</v>
      </c>
      <c r="E84" s="155">
        <f>VLOOKUP(B84,'Graph Data'!$O$2:$BX$88,28,FALSE)</f>
        <v>0</v>
      </c>
      <c r="F84" s="155">
        <f>IFERROR(E84+'Pay App 25'!F84,"")</f>
        <v>0</v>
      </c>
      <c r="G84" s="155">
        <f>SUM('Pay App 1:Pay App 25'!H84)</f>
        <v>0</v>
      </c>
      <c r="H84" s="154"/>
      <c r="I84" s="155">
        <f t="shared" si="0"/>
        <v>0</v>
      </c>
      <c r="J84" s="156">
        <f t="shared" si="1"/>
        <v>0</v>
      </c>
      <c r="K84" s="155">
        <f t="shared" si="2"/>
        <v>0</v>
      </c>
      <c r="L84" s="155" t="str">
        <f>IF(AND('Summary Sheet'!$E$23="No",$H$33&gt;0,H84&gt;=1),"",IF(AND('Summary Sheet'!$E$23="Yes",H84&lt;&gt;""),H84*'Summary Sheet'!$G$23,""))</f>
        <v/>
      </c>
      <c r="M84" s="154"/>
      <c r="N84" s="155">
        <f>SUM('Pay App 1:Pay App 26'!L84)+SUM('Pay App 1:Pay App 26'!M84)</f>
        <v>0</v>
      </c>
    </row>
    <row r="85" spans="1:14" ht="11.25" customHeight="1" x14ac:dyDescent="0.25">
      <c r="A85" s="152">
        <v>29</v>
      </c>
      <c r="B85" s="174" t="str">
        <f>'Pay App 1'!B85</f>
        <v>07 20 00</v>
      </c>
      <c r="C85" s="179" t="str">
        <f>'Pay App 1'!C85</f>
        <v>Insulation</v>
      </c>
      <c r="D85" s="155">
        <f>'Pay App 1'!D85</f>
        <v>0</v>
      </c>
      <c r="E85" s="155">
        <f>VLOOKUP(B85,'Graph Data'!$O$2:$BX$88,28,FALSE)</f>
        <v>0</v>
      </c>
      <c r="F85" s="155">
        <f>IFERROR(E85+'Pay App 25'!F85,"")</f>
        <v>0</v>
      </c>
      <c r="G85" s="155">
        <f>SUM('Pay App 1:Pay App 25'!H85)</f>
        <v>0</v>
      </c>
      <c r="H85" s="154"/>
      <c r="I85" s="155">
        <f t="shared" si="0"/>
        <v>0</v>
      </c>
      <c r="J85" s="156">
        <f t="shared" si="1"/>
        <v>0</v>
      </c>
      <c r="K85" s="155">
        <f t="shared" si="2"/>
        <v>0</v>
      </c>
      <c r="L85" s="155" t="str">
        <f>IF(AND('Summary Sheet'!$E$23="No",$H$33&gt;0,H85&gt;=1),"",IF(AND('Summary Sheet'!$E$23="Yes",H85&lt;&gt;""),H85*'Summary Sheet'!$G$23,""))</f>
        <v/>
      </c>
      <c r="M85" s="154"/>
      <c r="N85" s="155">
        <f>SUM('Pay App 1:Pay App 26'!L85)+SUM('Pay App 1:Pay App 26'!M85)</f>
        <v>0</v>
      </c>
    </row>
    <row r="86" spans="1:14" ht="11.25" customHeight="1" x14ac:dyDescent="0.25">
      <c r="A86" s="152">
        <v>30</v>
      </c>
      <c r="B86" s="174" t="str">
        <f>'Pay App 1'!B86</f>
        <v>07 24 00</v>
      </c>
      <c r="C86" s="179" t="str">
        <f>'Pay App 1'!C86</f>
        <v>EIFS</v>
      </c>
      <c r="D86" s="155">
        <f>'Pay App 1'!D86</f>
        <v>0</v>
      </c>
      <c r="E86" s="155">
        <f>VLOOKUP(B86,'Graph Data'!$O$2:$BX$88,28,FALSE)</f>
        <v>0</v>
      </c>
      <c r="F86" s="155">
        <f>IFERROR(E86+'Pay App 25'!F86,"")</f>
        <v>0</v>
      </c>
      <c r="G86" s="155">
        <f>SUM('Pay App 1:Pay App 25'!H86)</f>
        <v>0</v>
      </c>
      <c r="H86" s="154"/>
      <c r="I86" s="155">
        <f t="shared" si="0"/>
        <v>0</v>
      </c>
      <c r="J86" s="156">
        <f t="shared" si="1"/>
        <v>0</v>
      </c>
      <c r="K86" s="155">
        <f t="shared" si="2"/>
        <v>0</v>
      </c>
      <c r="L86" s="155" t="str">
        <f>IF(AND('Summary Sheet'!$E$23="No",$H$33&gt;0,H86&gt;=1),"",IF(AND('Summary Sheet'!$E$23="Yes",H86&lt;&gt;""),H86*'Summary Sheet'!$G$23,""))</f>
        <v/>
      </c>
      <c r="M86" s="154"/>
      <c r="N86" s="155">
        <f>SUM('Pay App 1:Pay App 26'!L86)+SUM('Pay App 1:Pay App 26'!M86)</f>
        <v>0</v>
      </c>
    </row>
    <row r="87" spans="1:14" ht="11.25" customHeight="1" x14ac:dyDescent="0.25">
      <c r="A87" s="152">
        <v>31</v>
      </c>
      <c r="B87" s="174" t="str">
        <f>'Pay App 1'!B87</f>
        <v>07 26 00</v>
      </c>
      <c r="C87" s="179" t="str">
        <f>'Pay App 1'!C87</f>
        <v>Vapor Retarders</v>
      </c>
      <c r="D87" s="155">
        <f>'Pay App 1'!D87</f>
        <v>0</v>
      </c>
      <c r="E87" s="155">
        <f>VLOOKUP(B87,'Graph Data'!$O$2:$BX$88,28,FALSE)</f>
        <v>0</v>
      </c>
      <c r="F87" s="155">
        <f>IFERROR(E87+'Pay App 25'!F87,"")</f>
        <v>0</v>
      </c>
      <c r="G87" s="155">
        <f>SUM('Pay App 1:Pay App 25'!H87)</f>
        <v>0</v>
      </c>
      <c r="H87" s="154"/>
      <c r="I87" s="155">
        <f t="shared" si="0"/>
        <v>0</v>
      </c>
      <c r="J87" s="156">
        <f t="shared" si="1"/>
        <v>0</v>
      </c>
      <c r="K87" s="155">
        <f t="shared" si="2"/>
        <v>0</v>
      </c>
      <c r="L87" s="155" t="str">
        <f>IF(AND('Summary Sheet'!$E$23="No",$H$33&gt;0,H87&gt;=1),"",IF(AND('Summary Sheet'!$E$23="Yes",H87&lt;&gt;""),H87*'Summary Sheet'!$G$23,""))</f>
        <v/>
      </c>
      <c r="M87" s="154"/>
      <c r="N87" s="155">
        <f>SUM('Pay App 1:Pay App 26'!L87)+SUM('Pay App 1:Pay App 26'!M87)</f>
        <v>0</v>
      </c>
    </row>
    <row r="88" spans="1:14" ht="11.25" customHeight="1" x14ac:dyDescent="0.25">
      <c r="A88" s="152">
        <v>32</v>
      </c>
      <c r="B88" s="174" t="str">
        <f>'Pay App 1'!B88</f>
        <v>07 41 00</v>
      </c>
      <c r="C88" s="179" t="str">
        <f>'Pay App 1'!C88</f>
        <v>Roofing</v>
      </c>
      <c r="D88" s="155">
        <f>'Pay App 1'!D88</f>
        <v>0</v>
      </c>
      <c r="E88" s="155">
        <f>VLOOKUP(B88,'Graph Data'!$O$2:$BX$88,28,FALSE)</f>
        <v>0</v>
      </c>
      <c r="F88" s="155">
        <f>IFERROR(E88+'Pay App 25'!F88,"")</f>
        <v>0</v>
      </c>
      <c r="G88" s="155">
        <f>SUM('Pay App 1:Pay App 25'!H88)</f>
        <v>0</v>
      </c>
      <c r="H88" s="154"/>
      <c r="I88" s="155">
        <f t="shared" si="0"/>
        <v>0</v>
      </c>
      <c r="J88" s="156">
        <f t="shared" si="1"/>
        <v>0</v>
      </c>
      <c r="K88" s="155">
        <f t="shared" si="2"/>
        <v>0</v>
      </c>
      <c r="L88" s="155" t="str">
        <f>IF(AND('Summary Sheet'!$E$23="No",$H$33&gt;0,H88&gt;=1),"",IF(AND('Summary Sheet'!$E$23="Yes",H88&lt;&gt;""),H88*'Summary Sheet'!$G$23,""))</f>
        <v/>
      </c>
      <c r="M88" s="154"/>
      <c r="N88" s="155">
        <f>SUM('Pay App 1:Pay App 26'!L88)+SUM('Pay App 1:Pay App 26'!M88)</f>
        <v>0</v>
      </c>
    </row>
    <row r="89" spans="1:14" ht="11.25" customHeight="1" x14ac:dyDescent="0.25">
      <c r="A89" s="152">
        <v>33</v>
      </c>
      <c r="B89" s="174" t="str">
        <f>'Pay App 1'!B89</f>
        <v>07 42 00</v>
      </c>
      <c r="C89" s="179" t="str">
        <f>'Pay App 1'!C89</f>
        <v>Metal Panels</v>
      </c>
      <c r="D89" s="155">
        <f>'Pay App 1'!D89</f>
        <v>0</v>
      </c>
      <c r="E89" s="155">
        <f>VLOOKUP(B89,'Graph Data'!$O$2:$BX$88,28,FALSE)</f>
        <v>0</v>
      </c>
      <c r="F89" s="155">
        <f>IFERROR(E89+'Pay App 25'!F89,"")</f>
        <v>0</v>
      </c>
      <c r="G89" s="155">
        <f>SUM('Pay App 1:Pay App 25'!H89)</f>
        <v>0</v>
      </c>
      <c r="H89" s="154"/>
      <c r="I89" s="155">
        <f t="shared" si="0"/>
        <v>0</v>
      </c>
      <c r="J89" s="156">
        <f t="shared" si="1"/>
        <v>0</v>
      </c>
      <c r="K89" s="155">
        <f t="shared" si="2"/>
        <v>0</v>
      </c>
      <c r="L89" s="155" t="str">
        <f>IF(AND('Summary Sheet'!$E$23="No",$H$33&gt;0,H89&gt;=1),"",IF(AND('Summary Sheet'!$E$23="Yes",H89&lt;&gt;""),H89*'Summary Sheet'!$G$23,""))</f>
        <v/>
      </c>
      <c r="M89" s="154"/>
      <c r="N89" s="155">
        <f>SUM('Pay App 1:Pay App 26'!L89)+SUM('Pay App 1:Pay App 26'!M89)</f>
        <v>0</v>
      </c>
    </row>
    <row r="90" spans="1:14" ht="11.25" customHeight="1" x14ac:dyDescent="0.25">
      <c r="A90" s="152">
        <v>34</v>
      </c>
      <c r="B90" s="174" t="str">
        <f>'Pay App 1'!B90</f>
        <v>07 60 00</v>
      </c>
      <c r="C90" s="179" t="str">
        <f>'Pay App 1'!C90</f>
        <v>Sheet Metal Flashing &amp; Trim</v>
      </c>
      <c r="D90" s="155">
        <f>'Pay App 1'!D90</f>
        <v>0</v>
      </c>
      <c r="E90" s="155">
        <f>VLOOKUP(B90,'Graph Data'!$O$2:$BX$88,28,FALSE)</f>
        <v>0</v>
      </c>
      <c r="F90" s="155">
        <f>IFERROR(E90+'Pay App 25'!F90,"")</f>
        <v>0</v>
      </c>
      <c r="G90" s="155">
        <f>SUM('Pay App 1:Pay App 25'!H90)</f>
        <v>0</v>
      </c>
      <c r="H90" s="154"/>
      <c r="I90" s="155">
        <f t="shared" si="0"/>
        <v>0</v>
      </c>
      <c r="J90" s="156">
        <f t="shared" si="1"/>
        <v>0</v>
      </c>
      <c r="K90" s="155">
        <f t="shared" si="2"/>
        <v>0</v>
      </c>
      <c r="L90" s="155" t="str">
        <f>IF(AND('Summary Sheet'!$E$23="No",$H$33&gt;0,H90&gt;=1),"",IF(AND('Summary Sheet'!$E$23="Yes",H90&lt;&gt;""),H90*'Summary Sheet'!$G$23,""))</f>
        <v/>
      </c>
      <c r="M90" s="154"/>
      <c r="N90" s="155">
        <f>SUM('Pay App 1:Pay App 26'!L90)+SUM('Pay App 1:Pay App 26'!M90)</f>
        <v>0</v>
      </c>
    </row>
    <row r="91" spans="1:14" ht="11.25" customHeight="1" x14ac:dyDescent="0.25">
      <c r="A91" s="152">
        <v>35</v>
      </c>
      <c r="B91" s="174" t="str">
        <f>'Pay App 1'!B91</f>
        <v>07 80 00</v>
      </c>
      <c r="C91" s="179" t="str">
        <f>'Pay App 1'!C91</f>
        <v>Fireproofing</v>
      </c>
      <c r="D91" s="155">
        <f>'Pay App 1'!D91</f>
        <v>0</v>
      </c>
      <c r="E91" s="155">
        <f>VLOOKUP(B91,'Graph Data'!$O$2:$BX$88,28,FALSE)</f>
        <v>0</v>
      </c>
      <c r="F91" s="155">
        <f>IFERROR(E91+'Pay App 25'!F91,"")</f>
        <v>0</v>
      </c>
      <c r="G91" s="155">
        <f>SUM('Pay App 1:Pay App 25'!H91)</f>
        <v>0</v>
      </c>
      <c r="H91" s="154"/>
      <c r="I91" s="155">
        <f t="shared" si="0"/>
        <v>0</v>
      </c>
      <c r="J91" s="156">
        <f t="shared" si="1"/>
        <v>0</v>
      </c>
      <c r="K91" s="155">
        <f t="shared" si="2"/>
        <v>0</v>
      </c>
      <c r="L91" s="155" t="str">
        <f>IF(AND('Summary Sheet'!$E$23="No",$H$33&gt;0,H91&gt;=1),"",IF(AND('Summary Sheet'!$E$23="Yes",H91&lt;&gt;""),H91*'Summary Sheet'!$G$23,""))</f>
        <v/>
      </c>
      <c r="M91" s="154"/>
      <c r="N91" s="155">
        <f>SUM('Pay App 1:Pay App 26'!L91)+SUM('Pay App 1:Pay App 26'!M91)</f>
        <v>0</v>
      </c>
    </row>
    <row r="92" spans="1:14" ht="11.25" customHeight="1" x14ac:dyDescent="0.25">
      <c r="A92" s="152">
        <v>36</v>
      </c>
      <c r="B92" s="174" t="str">
        <f>'Pay App 1'!B92</f>
        <v>07 90 00</v>
      </c>
      <c r="C92" s="179" t="str">
        <f>'Pay App 1'!C92</f>
        <v>Joint Sealants</v>
      </c>
      <c r="D92" s="155">
        <f>'Pay App 1'!D92</f>
        <v>0</v>
      </c>
      <c r="E92" s="155">
        <f>VLOOKUP(B92,'Graph Data'!$O$2:$BX$88,28,FALSE)</f>
        <v>0</v>
      </c>
      <c r="F92" s="155">
        <f>IFERROR(E92+'Pay App 25'!F92,"")</f>
        <v>0</v>
      </c>
      <c r="G92" s="155">
        <f>SUM('Pay App 1:Pay App 25'!H92)</f>
        <v>0</v>
      </c>
      <c r="H92" s="154"/>
      <c r="I92" s="155">
        <f t="shared" si="0"/>
        <v>0</v>
      </c>
      <c r="J92" s="156">
        <f t="shared" si="1"/>
        <v>0</v>
      </c>
      <c r="K92" s="155">
        <f t="shared" si="2"/>
        <v>0</v>
      </c>
      <c r="L92" s="155" t="str">
        <f>IF(AND('Summary Sheet'!$E$23="No",$H$33&gt;0,H92&gt;=1),"",IF(AND('Summary Sheet'!$E$23="Yes",H92&lt;&gt;""),H92*'Summary Sheet'!$G$23,""))</f>
        <v/>
      </c>
      <c r="M92" s="154"/>
      <c r="N92" s="155">
        <f>SUM('Pay App 1:Pay App 26'!L92)+SUM('Pay App 1:Pay App 26'!M92)</f>
        <v>0</v>
      </c>
    </row>
    <row r="93" spans="1:14" ht="11.25" customHeight="1" x14ac:dyDescent="0.25">
      <c r="A93" s="152">
        <v>37</v>
      </c>
      <c r="B93" s="174" t="str">
        <f>'Pay App 1'!B93</f>
        <v>07 95 00</v>
      </c>
      <c r="C93" s="179" t="str">
        <f>'Pay App 1'!C93</f>
        <v>Expansion Joints</v>
      </c>
      <c r="D93" s="155">
        <f>'Pay App 1'!D93</f>
        <v>0</v>
      </c>
      <c r="E93" s="155">
        <f>VLOOKUP(B93,'Graph Data'!$O$2:$BX$88,28,FALSE)</f>
        <v>0</v>
      </c>
      <c r="F93" s="155">
        <f>IFERROR(E93+'Pay App 25'!F93,"")</f>
        <v>0</v>
      </c>
      <c r="G93" s="155">
        <f>SUM('Pay App 1:Pay App 25'!H93)</f>
        <v>0</v>
      </c>
      <c r="H93" s="154"/>
      <c r="I93" s="155">
        <f t="shared" si="0"/>
        <v>0</v>
      </c>
      <c r="J93" s="156">
        <f t="shared" si="1"/>
        <v>0</v>
      </c>
      <c r="K93" s="155">
        <f t="shared" si="2"/>
        <v>0</v>
      </c>
      <c r="L93" s="155" t="str">
        <f>IF(AND('Summary Sheet'!$E$23="No",$H$33&gt;0,H93&gt;=1),"",IF(AND('Summary Sheet'!$E$23="Yes",H93&lt;&gt;""),H93*'Summary Sheet'!$G$23,""))</f>
        <v/>
      </c>
      <c r="M93" s="154"/>
      <c r="N93" s="155">
        <f>SUM('Pay App 1:Pay App 26'!L93)+SUM('Pay App 1:Pay App 26'!M93)</f>
        <v>0</v>
      </c>
    </row>
    <row r="94" spans="1:14" ht="11.25" customHeight="1" x14ac:dyDescent="0.25">
      <c r="A94" s="152">
        <v>38</v>
      </c>
      <c r="B94" s="175" t="str">
        <f>'Pay App 1'!B94</f>
        <v>08 10 00</v>
      </c>
      <c r="C94" s="180" t="str">
        <f>'Pay App 1'!C94</f>
        <v>Doors, Frames &amp; Hardware</v>
      </c>
      <c r="D94" s="155">
        <f>'Pay App 1'!D94</f>
        <v>0</v>
      </c>
      <c r="E94" s="155">
        <f>VLOOKUP(B94,'Graph Data'!$O$2:$BX$88,28,FALSE)</f>
        <v>0</v>
      </c>
      <c r="F94" s="155">
        <f>IFERROR(E94+'Pay App 25'!F94,"")</f>
        <v>0</v>
      </c>
      <c r="G94" s="155">
        <f>SUM('Pay App 1:Pay App 25'!H94)</f>
        <v>0</v>
      </c>
      <c r="H94" s="154"/>
      <c r="I94" s="155">
        <f t="shared" si="0"/>
        <v>0</v>
      </c>
      <c r="J94" s="156">
        <f t="shared" si="1"/>
        <v>0</v>
      </c>
      <c r="K94" s="155">
        <f t="shared" si="2"/>
        <v>0</v>
      </c>
      <c r="L94" s="155" t="str">
        <f>IF(AND('Summary Sheet'!$E$23="No",$H$33&gt;0,H94&gt;=1),"",IF(AND('Summary Sheet'!$E$23="Yes",H94&lt;&gt;""),H94*'Summary Sheet'!$G$23,""))</f>
        <v/>
      </c>
      <c r="M94" s="154"/>
      <c r="N94" s="155">
        <f>SUM('Pay App 1:Pay App 26'!L94)+SUM('Pay App 1:Pay App 26'!M94)</f>
        <v>0</v>
      </c>
    </row>
    <row r="95" spans="1:14" ht="11.25" customHeight="1" x14ac:dyDescent="0.25">
      <c r="A95" s="152">
        <v>39</v>
      </c>
      <c r="B95" s="175" t="str">
        <f>'Pay App 1'!B95</f>
        <v>08 30 00</v>
      </c>
      <c r="C95" s="180" t="str">
        <f>'Pay App 1'!C95</f>
        <v>Specialty Doors</v>
      </c>
      <c r="D95" s="155">
        <f>'Pay App 1'!D95</f>
        <v>0</v>
      </c>
      <c r="E95" s="155">
        <f>VLOOKUP(B95,'Graph Data'!$O$2:$BX$88,28,FALSE)</f>
        <v>0</v>
      </c>
      <c r="F95" s="155">
        <f>IFERROR(E95+'Pay App 25'!F95,"")</f>
        <v>0</v>
      </c>
      <c r="G95" s="155">
        <f>SUM('Pay App 1:Pay App 25'!H95)</f>
        <v>0</v>
      </c>
      <c r="H95" s="154"/>
      <c r="I95" s="155">
        <f t="shared" si="0"/>
        <v>0</v>
      </c>
      <c r="J95" s="156">
        <f t="shared" si="1"/>
        <v>0</v>
      </c>
      <c r="K95" s="155">
        <f t="shared" si="2"/>
        <v>0</v>
      </c>
      <c r="L95" s="155" t="str">
        <f>IF(AND('Summary Sheet'!$E$23="No",$H$33&gt;0,H95&gt;=1),"",IF(AND('Summary Sheet'!$E$23="Yes",H95&lt;&gt;""),H95*'Summary Sheet'!$G$23,""))</f>
        <v/>
      </c>
      <c r="M95" s="154"/>
      <c r="N95" s="155">
        <f>SUM('Pay App 1:Pay App 26'!L95)+SUM('Pay App 1:Pay App 26'!M95)</f>
        <v>0</v>
      </c>
    </row>
    <row r="96" spans="1:14" ht="11.25" customHeight="1" x14ac:dyDescent="0.25">
      <c r="A96" s="152">
        <v>40</v>
      </c>
      <c r="B96" s="175" t="str">
        <f>'Pay App 1'!B96</f>
        <v>08 33 00</v>
      </c>
      <c r="C96" s="180" t="str">
        <f>'Pay App 1'!C96</f>
        <v>Overhead Doors/Coiling Doors</v>
      </c>
      <c r="D96" s="155">
        <f>'Pay App 1'!D96</f>
        <v>0</v>
      </c>
      <c r="E96" s="155">
        <f>VLOOKUP(B96,'Graph Data'!$O$2:$BX$88,28,FALSE)</f>
        <v>0</v>
      </c>
      <c r="F96" s="155">
        <f>IFERROR(E96+'Pay App 25'!F96,"")</f>
        <v>0</v>
      </c>
      <c r="G96" s="155">
        <f>SUM('Pay App 1:Pay App 25'!H96)</f>
        <v>0</v>
      </c>
      <c r="H96" s="154"/>
      <c r="I96" s="155">
        <f t="shared" si="0"/>
        <v>0</v>
      </c>
      <c r="J96" s="156">
        <f t="shared" si="1"/>
        <v>0</v>
      </c>
      <c r="K96" s="155">
        <f t="shared" si="2"/>
        <v>0</v>
      </c>
      <c r="L96" s="155" t="str">
        <f>IF(AND('Summary Sheet'!$E$23="No",$H$33&gt;0,H96&gt;=1),"",IF(AND('Summary Sheet'!$E$23="Yes",H96&lt;&gt;""),H96*'Summary Sheet'!$G$23,""))</f>
        <v/>
      </c>
      <c r="M96" s="154"/>
      <c r="N96" s="155">
        <f>SUM('Pay App 1:Pay App 26'!L96)+SUM('Pay App 1:Pay App 26'!M96)</f>
        <v>0</v>
      </c>
    </row>
    <row r="97" spans="1:15" ht="11.25" customHeight="1" x14ac:dyDescent="0.25">
      <c r="A97" s="152">
        <v>41</v>
      </c>
      <c r="B97" s="175" t="str">
        <f>'Pay App 1'!B97</f>
        <v>08 40 00</v>
      </c>
      <c r="C97" s="180" t="str">
        <f>'Pay App 1'!C97</f>
        <v>Curtain Wall, Glass &amp; Glazing</v>
      </c>
      <c r="D97" s="155">
        <f>'Pay App 1'!D97</f>
        <v>0</v>
      </c>
      <c r="E97" s="155">
        <f>VLOOKUP(B97,'Graph Data'!$O$2:$BX$88,28,FALSE)</f>
        <v>0</v>
      </c>
      <c r="F97" s="155">
        <f>IFERROR(E97+'Pay App 25'!F97,"")</f>
        <v>0</v>
      </c>
      <c r="G97" s="155">
        <f>SUM('Pay App 1:Pay App 25'!H97)</f>
        <v>0</v>
      </c>
      <c r="H97" s="154"/>
      <c r="I97" s="155">
        <f t="shared" si="0"/>
        <v>0</v>
      </c>
      <c r="J97" s="156">
        <f t="shared" si="1"/>
        <v>0</v>
      </c>
      <c r="K97" s="155">
        <f t="shared" si="2"/>
        <v>0</v>
      </c>
      <c r="L97" s="155" t="str">
        <f>IF(AND('Summary Sheet'!$E$23="No",$H$33&gt;0,H97&gt;=1),"",IF(AND('Summary Sheet'!$E$23="Yes",H97&lt;&gt;""),H97*'Summary Sheet'!$G$23,""))</f>
        <v/>
      </c>
      <c r="M97" s="154"/>
      <c r="N97" s="155">
        <f>SUM('Pay App 1:Pay App 26'!L97)+SUM('Pay App 1:Pay App 26'!M97)</f>
        <v>0</v>
      </c>
    </row>
    <row r="98" spans="1:15" ht="10.9" customHeight="1" x14ac:dyDescent="0.25">
      <c r="A98" s="152">
        <v>42</v>
      </c>
      <c r="B98" s="175" t="str">
        <f>'Pay App 1'!B98</f>
        <v>08 60 00</v>
      </c>
      <c r="C98" s="180" t="str">
        <f>'Pay App 1'!C98</f>
        <v>Skylights</v>
      </c>
      <c r="D98" s="155">
        <f>'Pay App 1'!D98</f>
        <v>0</v>
      </c>
      <c r="E98" s="155">
        <f>VLOOKUP(B98,'Graph Data'!$O$2:$BX$88,28,FALSE)</f>
        <v>0</v>
      </c>
      <c r="F98" s="155">
        <f>IFERROR(E98+'Pay App 25'!F98,"")</f>
        <v>0</v>
      </c>
      <c r="G98" s="155">
        <f>SUM('Pay App 1:Pay App 25'!H98)</f>
        <v>0</v>
      </c>
      <c r="H98" s="154"/>
      <c r="I98" s="155">
        <f t="shared" si="0"/>
        <v>0</v>
      </c>
      <c r="J98" s="156">
        <f t="shared" si="1"/>
        <v>0</v>
      </c>
      <c r="K98" s="155">
        <f t="shared" si="2"/>
        <v>0</v>
      </c>
      <c r="L98" s="155" t="str">
        <f>IF(AND('Summary Sheet'!$E$23="No",$H$33&gt;0,H98&gt;=1),"",IF(AND('Summary Sheet'!$E$23="Yes",H98&lt;&gt;""),H98*'Summary Sheet'!$G$23,""))</f>
        <v/>
      </c>
      <c r="M98" s="154"/>
      <c r="N98" s="155">
        <f>SUM('Pay App 1:Pay App 26'!L98)+SUM('Pay App 1:Pay App 26'!M98)</f>
        <v>0</v>
      </c>
    </row>
    <row r="99" spans="1:15" ht="10.9" customHeight="1" x14ac:dyDescent="0.25">
      <c r="A99" s="152">
        <v>43</v>
      </c>
      <c r="B99" s="175" t="str">
        <f>'Pay App 1'!B99</f>
        <v>08 90 00</v>
      </c>
      <c r="C99" s="180" t="str">
        <f>'Pay App 1'!C99</f>
        <v>Louvers &amp; Vents</v>
      </c>
      <c r="D99" s="155">
        <f>'Pay App 1'!D99</f>
        <v>0</v>
      </c>
      <c r="E99" s="155">
        <f>VLOOKUP(B99,'Graph Data'!$O$2:$BX$88,28,FALSE)</f>
        <v>0</v>
      </c>
      <c r="F99" s="155">
        <f>IFERROR(E99+'Pay App 25'!F99,"")</f>
        <v>0</v>
      </c>
      <c r="G99" s="155">
        <f>SUM('Pay App 1:Pay App 25'!H99)</f>
        <v>0</v>
      </c>
      <c r="H99" s="154"/>
      <c r="I99" s="155">
        <f t="shared" si="0"/>
        <v>0</v>
      </c>
      <c r="J99" s="156">
        <f t="shared" si="1"/>
        <v>0</v>
      </c>
      <c r="K99" s="155">
        <f t="shared" si="2"/>
        <v>0</v>
      </c>
      <c r="L99" s="155" t="str">
        <f>IF(AND('Summary Sheet'!$E$23="No",$H$33&gt;0,H99&gt;=1),"",IF(AND('Summary Sheet'!$E$23="Yes",H99&lt;&gt;""),H99*'Summary Sheet'!$G$23,""))</f>
        <v/>
      </c>
      <c r="M99" s="154"/>
      <c r="N99" s="155">
        <f>SUM('Pay App 1:Pay App 26'!L99)+SUM('Pay App 1:Pay App 26'!M99)</f>
        <v>0</v>
      </c>
    </row>
    <row r="100" spans="1:15" ht="11.25" customHeight="1" x14ac:dyDescent="0.25">
      <c r="A100" s="153">
        <v>44</v>
      </c>
      <c r="B100" s="176" t="str">
        <f>'Pay App 1'!B100</f>
        <v>09 20 00</v>
      </c>
      <c r="C100" s="181" t="str">
        <f>'Pay App 1'!C100</f>
        <v>Gypsum Board Systems</v>
      </c>
      <c r="D100" s="155">
        <f>'Pay App 1'!D100</f>
        <v>0</v>
      </c>
      <c r="E100" s="155">
        <f>VLOOKUP(B100,'Graph Data'!$O$2:$BX$88,28,FALSE)</f>
        <v>0</v>
      </c>
      <c r="F100" s="155">
        <f>IFERROR(E100+'Pay App 25'!F100,"")</f>
        <v>0</v>
      </c>
      <c r="G100" s="155">
        <f>SUM('Pay App 1:Pay App 25'!H100)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26'!L100)+SUM('Pay App 1:Pay App 26'!M100)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26.2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Data'!$O$2:$BX$88,28,FALSE)</f>
        <v>0</v>
      </c>
      <c r="F106" s="155">
        <f>IFERROR(E106+'Pay App 25'!F106,"")</f>
        <v>0</v>
      </c>
      <c r="G106" s="155">
        <f>SUM('Pay App 1:Pay App 25'!H106)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26'!L106)+SUM('Pay App 1:Pay App 26'!M106)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Data'!$O$2:$BX$88,28,FALSE)</f>
        <v>0</v>
      </c>
      <c r="F107" s="155">
        <f>IFERROR(E107+'Pay App 25'!F107,"")</f>
        <v>0</v>
      </c>
      <c r="G107" s="155">
        <f>SUM('Pay App 1:Pay App 25'!H107)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26'!L107)+SUM('Pay App 1:Pay App 26'!M107)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Data'!$O$2:$BX$88,28,FALSE)</f>
        <v>0</v>
      </c>
      <c r="F108" s="155">
        <f>IFERROR(E108+'Pay App 25'!F108,"")</f>
        <v>0</v>
      </c>
      <c r="G108" s="155">
        <f>SUM('Pay App 1:Pay App 25'!H108)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26'!L108)+SUM('Pay App 1:Pay App 26'!M108)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Data'!$O$2:$BX$88,28,FALSE)</f>
        <v>0</v>
      </c>
      <c r="F109" s="155">
        <f>IFERROR(E109+'Pay App 25'!F109,"")</f>
        <v>0</v>
      </c>
      <c r="G109" s="155">
        <f>SUM('Pay App 1:Pay App 25'!H109)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26'!L109)+SUM('Pay App 1:Pay App 26'!M109)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Data'!$O$2:$BX$88,28,FALSE)</f>
        <v>0</v>
      </c>
      <c r="F110" s="155">
        <f>IFERROR(E110+'Pay App 25'!F110,"")</f>
        <v>0</v>
      </c>
      <c r="G110" s="155">
        <f>SUM('Pay App 1:Pay App 25'!H110)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26'!L110)+SUM('Pay App 1:Pay App 26'!M110)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Data'!$O$2:$BX$88,28,FALSE)</f>
        <v>0</v>
      </c>
      <c r="F111" s="155">
        <f>IFERROR(E111+'Pay App 25'!F111,"")</f>
        <v>0</v>
      </c>
      <c r="G111" s="155">
        <f>SUM('Pay App 1:Pay App 25'!H111)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26'!L111)+SUM('Pay App 1:Pay App 26'!M111)</f>
        <v>0</v>
      </c>
    </row>
    <row r="112" spans="1:15" ht="11.25" customHeight="1" x14ac:dyDescent="0.25">
      <c r="A112" s="152">
        <f t="shared" si="3"/>
        <v>51</v>
      </c>
      <c r="B112" s="148" t="str">
        <f>'Pay App 1'!B112</f>
        <v>09 90 00</v>
      </c>
      <c r="C112" s="143" t="str">
        <f>'Pay App 1'!C112</f>
        <v>Painting</v>
      </c>
      <c r="D112" s="155">
        <f>'Pay App 1'!D112</f>
        <v>0</v>
      </c>
      <c r="E112" s="155">
        <f>VLOOKUP(B112,'Graph Data'!$O$2:$BX$88,28,FALSE)</f>
        <v>0</v>
      </c>
      <c r="F112" s="155">
        <f>IFERROR(E112+'Pay App 25'!F112,"")</f>
        <v>0</v>
      </c>
      <c r="G112" s="155">
        <f>SUM('Pay App 1:Pay App 25'!H112)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26'!L112)+SUM('Pay App 1:Pay App 26'!M112)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Data'!$O$2:$BX$88,28,FALSE)</f>
        <v>0</v>
      </c>
      <c r="F113" s="155">
        <f>IFERROR(E113+'Pay App 25'!F113,"")</f>
        <v>0</v>
      </c>
      <c r="G113" s="155">
        <f>SUM('Pay App 1:Pay App 25'!H113)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26'!L113)+SUM('Pay App 1:Pay App 26'!M113)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Data'!$O$2:$BX$88,28,FALSE)</f>
        <v>0</v>
      </c>
      <c r="F114" s="155">
        <f>IFERROR(E114+'Pay App 25'!F114,"")</f>
        <v>0</v>
      </c>
      <c r="G114" s="155">
        <f>SUM('Pay App 1:Pay App 25'!H114)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26'!L114)+SUM('Pay App 1:Pay App 26'!M114)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Data'!$O$2:$BX$88,28,FALSE)</f>
        <v>0</v>
      </c>
      <c r="F115" s="155">
        <f>IFERROR(E115+'Pay App 25'!F115,"")</f>
        <v>0</v>
      </c>
      <c r="G115" s="155">
        <f>SUM('Pay App 1:Pay App 25'!H115)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26'!L115)+SUM('Pay App 1:Pay App 26'!M115)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Data'!$O$2:$BX$88,28,FALSE)</f>
        <v>0</v>
      </c>
      <c r="F116" s="155">
        <f>IFERROR(E116+'Pay App 25'!F116,"")</f>
        <v>0</v>
      </c>
      <c r="G116" s="155">
        <f>SUM('Pay App 1:Pay App 25'!H116)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26'!L116)+SUM('Pay App 1:Pay App 26'!M116)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Data'!$O$2:$BX$88,28,FALSE)</f>
        <v>0</v>
      </c>
      <c r="F117" s="155">
        <f>IFERROR(E117+'Pay App 25'!F117,"")</f>
        <v>0</v>
      </c>
      <c r="G117" s="155">
        <f>SUM('Pay App 1:Pay App 25'!H117)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26'!L117)+SUM('Pay App 1:Pay App 26'!M117)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Data'!$O$2:$BX$88,28,FALSE)</f>
        <v>0</v>
      </c>
      <c r="F118" s="155">
        <f>IFERROR(E118+'Pay App 25'!F118,"")</f>
        <v>0</v>
      </c>
      <c r="G118" s="155">
        <f>SUM('Pay App 1:Pay App 25'!H118)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26'!L118)+SUM('Pay App 1:Pay App 26'!M118)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Data'!$O$2:$BX$88,28,FALSE)</f>
        <v>0</v>
      </c>
      <c r="F119" s="155">
        <f>IFERROR(E119+'Pay App 25'!F119,"")</f>
        <v>0</v>
      </c>
      <c r="G119" s="155">
        <f>SUM('Pay App 1:Pay App 25'!H119)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26'!L119)+SUM('Pay App 1:Pay App 26'!M119)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Data'!$O$2:$BX$88,28,FALSE)</f>
        <v>0</v>
      </c>
      <c r="F120" s="155">
        <f>IFERROR(E120+'Pay App 25'!F120,"")</f>
        <v>0</v>
      </c>
      <c r="G120" s="155">
        <f>SUM('Pay App 1:Pay App 25'!H120)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26'!L120)+SUM('Pay App 1:Pay App 26'!M120)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Data'!$O$2:$BX$88,28,FALSE)</f>
        <v>0</v>
      </c>
      <c r="F121" s="155">
        <f>IFERROR(E121+'Pay App 25'!F121,"")</f>
        <v>0</v>
      </c>
      <c r="G121" s="155">
        <f>SUM('Pay App 1:Pay App 25'!H121)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26'!L121)+SUM('Pay App 1:Pay App 26'!M121)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Data'!$O$2:$BX$88,28,FALSE)</f>
        <v>0</v>
      </c>
      <c r="F122" s="155">
        <f>IFERROR(E122+'Pay App 25'!F122,"")</f>
        <v>0</v>
      </c>
      <c r="G122" s="155">
        <f>SUM('Pay App 1:Pay App 25'!H122)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26'!L122)+SUM('Pay App 1:Pay App 26'!M122)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Data'!$O$2:$BX$88,28,FALSE)</f>
        <v>0</v>
      </c>
      <c r="F123" s="155">
        <f>IFERROR(E123+'Pay App 25'!F123,"")</f>
        <v>0</v>
      </c>
      <c r="G123" s="155">
        <f>SUM('Pay App 1:Pay App 25'!H123)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26'!L123)+SUM('Pay App 1:Pay App 26'!M123)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Data'!$O$2:$BX$88,28,FALSE)</f>
        <v>0</v>
      </c>
      <c r="F124" s="155">
        <f>IFERROR(E124+'Pay App 25'!F124,"")</f>
        <v>0</v>
      </c>
      <c r="G124" s="155">
        <f>SUM('Pay App 1:Pay App 25'!H124)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26'!L124)+SUM('Pay App 1:Pay App 26'!M124)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Data'!$O$2:$BX$88,28,FALSE)</f>
        <v>0</v>
      </c>
      <c r="F125" s="155">
        <f>IFERROR(E125+'Pay App 25'!F125,"")</f>
        <v>0</v>
      </c>
      <c r="G125" s="155">
        <f>SUM('Pay App 1:Pay App 25'!H125)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26'!L125)+SUM('Pay App 1:Pay App 26'!M125)</f>
        <v>0</v>
      </c>
    </row>
    <row r="126" spans="1:14" ht="11.25" customHeight="1" x14ac:dyDescent="0.25">
      <c r="A126" s="152">
        <f t="shared" si="3"/>
        <v>65</v>
      </c>
      <c r="B126" s="188" t="str">
        <f>'Pay App 1'!B126</f>
        <v>14 20 00</v>
      </c>
      <c r="C126" s="194" t="str">
        <f>'Pay App 1'!C126</f>
        <v>Elevator</v>
      </c>
      <c r="D126" s="155">
        <f>'Pay App 1'!D126</f>
        <v>0</v>
      </c>
      <c r="E126" s="155">
        <f>VLOOKUP(B126,'Graph Data'!$O$2:$BX$88,28,FALSE)</f>
        <v>0</v>
      </c>
      <c r="F126" s="155">
        <f>IFERROR(E126+'Pay App 25'!F126,"")</f>
        <v>0</v>
      </c>
      <c r="G126" s="155">
        <f>SUM('Pay App 1:Pay App 25'!H126)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26'!L126)+SUM('Pay App 1:Pay App 26'!M126)</f>
        <v>0</v>
      </c>
    </row>
    <row r="127" spans="1:14" ht="11.25" customHeight="1" x14ac:dyDescent="0.25">
      <c r="A127" s="152">
        <f t="shared" si="3"/>
        <v>66</v>
      </c>
      <c r="B127" s="188" t="str">
        <f>'Pay App 1'!B127</f>
        <v>14 40 00</v>
      </c>
      <c r="C127" s="194" t="str">
        <f>'Pay App 1'!C127</f>
        <v>Lifts</v>
      </c>
      <c r="D127" s="155">
        <f>'Pay App 1'!D127</f>
        <v>0</v>
      </c>
      <c r="E127" s="155">
        <f>VLOOKUP(B127,'Graph Data'!$O$2:$BX$88,28,FALSE)</f>
        <v>0</v>
      </c>
      <c r="F127" s="155">
        <f>IFERROR(E127+'Pay App 25'!F127,"")</f>
        <v>0</v>
      </c>
      <c r="G127" s="155">
        <f>SUM('Pay App 1:Pay App 25'!H127)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26'!L127)+SUM('Pay App 1:Pay App 26'!M127)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Data'!$O$2:$BX$88,28,FALSE)</f>
        <v>0</v>
      </c>
      <c r="F128" s="155">
        <f>IFERROR(E128+'Pay App 25'!F128,"")</f>
        <v>0</v>
      </c>
      <c r="G128" s="155">
        <f>SUM('Pay App 1:Pay App 25'!H128)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26'!L128)+SUM('Pay App 1:Pay App 26'!M128)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Data'!$O$2:$BX$88,28,FALSE)</f>
        <v>0</v>
      </c>
      <c r="F129" s="155">
        <f>IFERROR(E129+'Pay App 25'!F129,"")</f>
        <v>0</v>
      </c>
      <c r="G129" s="155">
        <f>SUM('Pay App 1:Pay App 25'!H129)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26'!L129)+SUM('Pay App 1:Pay App 26'!M129)</f>
        <v>0</v>
      </c>
    </row>
    <row r="130" spans="1:14" ht="11.25" customHeight="1" x14ac:dyDescent="0.25">
      <c r="A130" s="152">
        <f t="shared" si="3"/>
        <v>69</v>
      </c>
      <c r="B130" s="185" t="str">
        <f>'Pay App 1'!B130</f>
        <v>22 00 00</v>
      </c>
      <c r="C130" s="191" t="str">
        <f>'Pay App 1'!C130</f>
        <v>Plumbing</v>
      </c>
      <c r="D130" s="155">
        <f>'Pay App 1'!D130</f>
        <v>0</v>
      </c>
      <c r="E130" s="155">
        <f>VLOOKUP(B130,'Graph Data'!$O$2:$BX$88,28,FALSE)</f>
        <v>0</v>
      </c>
      <c r="F130" s="155">
        <f>IFERROR(E130+'Pay App 25'!F130,"")</f>
        <v>0</v>
      </c>
      <c r="G130" s="155">
        <f>SUM('Pay App 1:Pay App 25'!H130)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26'!L130)+SUM('Pay App 1:Pay App 26'!M130)</f>
        <v>0</v>
      </c>
    </row>
    <row r="131" spans="1:14" ht="11.25" customHeight="1" x14ac:dyDescent="0.25">
      <c r="A131" s="152">
        <f t="shared" si="3"/>
        <v>70</v>
      </c>
      <c r="B131" s="186" t="str">
        <f>'Pay App 1'!B131</f>
        <v>23 00 00</v>
      </c>
      <c r="C131" s="192" t="str">
        <f>'Pay App 1'!C131</f>
        <v>HVAC</v>
      </c>
      <c r="D131" s="155">
        <f>'Pay App 1'!D131</f>
        <v>0</v>
      </c>
      <c r="E131" s="155">
        <f>VLOOKUP(B131,'Graph Data'!$O$2:$BX$88,28,FALSE)</f>
        <v>0</v>
      </c>
      <c r="F131" s="155">
        <f>IFERROR(E131+'Pay App 25'!F131,"")</f>
        <v>0</v>
      </c>
      <c r="G131" s="155">
        <f>SUM('Pay App 1:Pay App 25'!H131)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26'!L131)+SUM('Pay App 1:Pay App 26'!M131)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Data'!$O$2:$BX$88,28,FALSE)</f>
        <v>0</v>
      </c>
      <c r="F132" s="155">
        <f>IFERROR(E132+'Pay App 25'!F132,"")</f>
        <v>0</v>
      </c>
      <c r="G132" s="155">
        <f>SUM('Pay App 1:Pay App 25'!H132)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26'!L132)+SUM('Pay App 1:Pay App 26'!M132)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Data'!$O$2:$BX$88,28,FALSE)</f>
        <v>0</v>
      </c>
      <c r="F133" s="155">
        <f>IFERROR(E133+'Pay App 25'!F133,"")</f>
        <v>0</v>
      </c>
      <c r="G133" s="155">
        <f>SUM('Pay App 1:Pay App 25'!H133)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26'!L133)+SUM('Pay App 1:Pay App 26'!M133)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Data'!$O$2:$BX$88,28,FALSE)</f>
        <v>0</v>
      </c>
      <c r="F134" s="155">
        <f>IFERROR(E134+'Pay App 25'!F134,"")</f>
        <v>0</v>
      </c>
      <c r="G134" s="155">
        <f>SUM('Pay App 1:Pay App 25'!H134)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26'!L134)+SUM('Pay App 1:Pay App 26'!M134)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Data'!$O$2:$BX$88,28,FALSE)</f>
        <v>0</v>
      </c>
      <c r="F135" s="155">
        <f>IFERROR(E135+'Pay App 25'!F135,"")</f>
        <v>0</v>
      </c>
      <c r="G135" s="155">
        <f>SUM('Pay App 1:Pay App 25'!H135)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26'!L135)+SUM('Pay App 1:Pay App 26'!M135)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Data'!$O$2:$BX$88,28,FALSE)</f>
        <v>0</v>
      </c>
      <c r="F136" s="155">
        <f>IFERROR(E136+'Pay App 25'!F136,"")</f>
        <v>0</v>
      </c>
      <c r="G136" s="155">
        <f>SUM('Pay App 1:Pay App 25'!H136)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26'!L136)+SUM('Pay App 1:Pay App 26'!M136)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Data'!$O$2:$BX$88,28,FALSE)</f>
        <v>0</v>
      </c>
      <c r="F137" s="155">
        <f>IFERROR(E137+'Pay App 25'!F137,"")</f>
        <v>0</v>
      </c>
      <c r="G137" s="155">
        <f>SUM('Pay App 1:Pay App 25'!H137)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26'!L137)+SUM('Pay App 1:Pay App 26'!M137)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Data'!$O$2:$BX$88,28,FALSE)</f>
        <v>0</v>
      </c>
      <c r="F138" s="155">
        <f>IFERROR(E138+'Pay App 25'!F138,"")</f>
        <v>0</v>
      </c>
      <c r="G138" s="155">
        <f>SUM('Pay App 1:Pay App 25'!H138)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26'!L138)+SUM('Pay App 1:Pay App 26'!M138)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Data'!$O$2:$BX$88,28,FALSE)</f>
        <v>0</v>
      </c>
      <c r="F139" s="155">
        <f>IFERROR(E139+'Pay App 25'!F139,"")</f>
        <v>0</v>
      </c>
      <c r="G139" s="155">
        <f>SUM('Pay App 1:Pay App 25'!H139)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26'!L139)+SUM('Pay App 1:Pay App 26'!M139)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Data'!$O$2:$BX$88,28,FALSE)</f>
        <v>0</v>
      </c>
      <c r="F140" s="155">
        <f>IFERROR(E140+'Pay App 25'!F140,"")</f>
        <v>0</v>
      </c>
      <c r="G140" s="155">
        <f>SUM('Pay App 1:Pay App 25'!H140)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26'!L140)+SUM('Pay App 1:Pay App 26'!M140)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Data'!$O$2:$BX$88,28,FALSE)</f>
        <v>0</v>
      </c>
      <c r="F141" s="155">
        <f>IFERROR(E141+'Pay App 25'!F141,"")</f>
        <v>0</v>
      </c>
      <c r="G141" s="155">
        <f>SUM('Pay App 1:Pay App 25'!H141)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26'!L141)+SUM('Pay App 1:Pay App 26'!M141)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Data'!$O$2:$BX$88,28,FALSE)</f>
        <v>0</v>
      </c>
      <c r="F142" s="155">
        <f>IFERROR(E142+'Pay App 25'!F142,"")</f>
        <v>0</v>
      </c>
      <c r="G142" s="155">
        <f>SUM('Pay App 1:Pay App 25'!H142)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26'!L142)+SUM('Pay App 1:Pay App 26'!M142)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Data'!$O$2:$BX$88,28,FALSE)</f>
        <v>0</v>
      </c>
      <c r="F143" s="155">
        <f>IFERROR(E143+'Pay App 25'!F143,"")</f>
        <v>0</v>
      </c>
      <c r="G143" s="155">
        <f>SUM('Pay App 1:Pay App 25'!H143)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26'!L143)+SUM('Pay App 1:Pay App 26'!M143)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Data'!$O$2:$BX$88,28,FALSE)</f>
        <v>0</v>
      </c>
      <c r="F144" s="155">
        <f>IFERROR(E144+'Pay App 25'!F144,"")</f>
        <v>0</v>
      </c>
      <c r="G144" s="155">
        <f>SUM('Pay App 1:Pay App 25'!H144)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26'!L144)+SUM('Pay App 1:Pay App 26'!M144)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Data'!$O$2:$BX$88,28,FALSE)</f>
        <v>0</v>
      </c>
      <c r="F145" s="155">
        <f>IFERROR(E145+'Pay App 25'!F145,"")</f>
        <v>0</v>
      </c>
      <c r="G145" s="155">
        <f>SUM('Pay App 1:Pay App 25'!H145)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26'!L145)+SUM('Pay App 1:Pay App 26'!M145)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Data'!$O$2:$BX$88,28,FALSE)</f>
        <v>0</v>
      </c>
      <c r="F146" s="155">
        <f>IFERROR(E146+'Pay App 25'!F146,"")</f>
        <v>0</v>
      </c>
      <c r="G146" s="155">
        <f>SUM('Pay App 1:Pay App 25'!H146)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26'!L146)+SUM('Pay App 1:Pay App 26'!M146)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Data'!$O$2:$BX$88,28,FALSE)</f>
        <v>0</v>
      </c>
      <c r="F147" s="155">
        <f>IFERROR(E147+'Pay App 25'!F147,"")</f>
        <v>0</v>
      </c>
      <c r="G147" s="155">
        <f>SUM('Pay App 1:Pay App 25'!H147)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26'!L147)+SUM('Pay App 1:Pay App 26'!M147)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Data'!$O$2:$BX$88,28,FALSE)</f>
        <v>0</v>
      </c>
      <c r="F148" s="155">
        <f>IFERROR(E148+'Pay App 25'!F148,"")</f>
        <v>0</v>
      </c>
      <c r="G148" s="155">
        <f>SUM('Pay App 1:Pay App 25'!H148)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26'!L148)+SUM('Pay App 1:Pay App 26'!M148)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71oBQ9jK5JykjBK7c+PrAsRok0nZNvQXlL+3OeU8/sBQ6shnzMBmGojpnQBz+Hy0mwePbbM4wQSdCXXVeFk6qw==" saltValue="YLA21Taeocdga5ckRxez8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84" priority="2" operator="equal">
      <formula>0</formula>
    </cfRule>
  </conditionalFormatting>
  <conditionalFormatting sqref="D106:G148">
    <cfRule type="cellIs" dxfId="383" priority="1" operator="equal">
      <formula>0</formula>
    </cfRule>
  </conditionalFormatting>
  <conditionalFormatting sqref="D10:H10 D12:H14 D19:H21">
    <cfRule type="cellIs" dxfId="382" priority="6" operator="equal">
      <formula>0</formula>
    </cfRule>
  </conditionalFormatting>
  <conditionalFormatting sqref="H51">
    <cfRule type="cellIs" dxfId="381" priority="9" operator="lessThan">
      <formula>0</formula>
    </cfRule>
  </conditionalFormatting>
  <conditionalFormatting sqref="I57:I100 K57:K100 I106:I148 K106:K148 N106:N148">
    <cfRule type="cellIs" dxfId="380" priority="14" operator="equal">
      <formula>0</formula>
    </cfRule>
  </conditionalFormatting>
  <conditionalFormatting sqref="J57:J100 J106:J149">
    <cfRule type="cellIs" dxfId="379" priority="11" operator="greaterThan">
      <formula>1</formula>
    </cfRule>
    <cfRule type="cellIs" dxfId="378" priority="12" operator="equal">
      <formula>0</formula>
    </cfRule>
  </conditionalFormatting>
  <conditionalFormatting sqref="K57:K100 K106:K148">
    <cfRule type="cellIs" dxfId="377" priority="10" operator="lessThan">
      <formula>0</formula>
    </cfRule>
  </conditionalFormatting>
  <conditionalFormatting sqref="M57:M100">
    <cfRule type="cellIs" dxfId="376" priority="13" operator="lessThan">
      <formula>0</formula>
    </cfRule>
  </conditionalFormatting>
  <conditionalFormatting sqref="M106:M148">
    <cfRule type="cellIs" dxfId="375" priority="8" operator="lessThan">
      <formula>0</formula>
    </cfRule>
  </conditionalFormatting>
  <conditionalFormatting sqref="N57:N100">
    <cfRule type="cellIs" dxfId="37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AD86FF3-3160-447C-A1AE-A24C51B0D94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93185-BE89-4FF4-8DBE-CC07EACDBB4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75"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27.1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Data'!$O$2:$BX$88,29,FALSE)</f>
        <v>0</v>
      </c>
      <c r="F57" s="155">
        <f>IFERROR(E57+'Pay App 26'!F57,"")</f>
        <v>0</v>
      </c>
      <c r="G57" s="155">
        <f>SUM('Pay App 1:Pay App 26'!H57)</f>
        <v>0</v>
      </c>
      <c r="H57" s="154"/>
      <c r="I57" s="155">
        <f>G57+H57</f>
        <v>0</v>
      </c>
      <c r="J57" s="156">
        <f>IFERROR(I57/F57,0)</f>
        <v>0</v>
      </c>
      <c r="K57" s="155">
        <f>IFERROR(F57-I57,"")</f>
        <v>0</v>
      </c>
      <c r="L57" s="155" t="str">
        <f>IF(AND('Summary Sheet'!$E$23="No",$H$33&gt;0,H57&gt;=1),"",IF(AND('Summary Sheet'!$E$23="Yes",H57&lt;&gt;""),H57*'Summary Sheet'!$G$23,""))</f>
        <v/>
      </c>
      <c r="M57" s="154"/>
      <c r="N57" s="155">
        <f>SUM('Pay App 1:Pay App 27'!L57)+SUM('Pay App 1:Pay App 27'!M57)</f>
        <v>0</v>
      </c>
    </row>
    <row r="58" spans="1:16" ht="11.25" customHeight="1" x14ac:dyDescent="0.25">
      <c r="A58" s="152">
        <v>2</v>
      </c>
      <c r="B58" s="145" t="str">
        <f>'Pay App 1'!B58</f>
        <v>00 02 00</v>
      </c>
      <c r="C58" s="134" t="str">
        <f>'Pay App 1'!C58</f>
        <v>Preconstruction Services</v>
      </c>
      <c r="D58" s="155">
        <f>'Pay App 1'!D58</f>
        <v>0</v>
      </c>
      <c r="E58" s="155">
        <f>VLOOKUP(B58,'Graph Data'!$O$2:$BX$88,29,FALSE)</f>
        <v>0</v>
      </c>
      <c r="F58" s="155">
        <f>IFERROR(E58+'Pay App 26'!F58,"")</f>
        <v>0</v>
      </c>
      <c r="G58" s="155">
        <f>SUM('Pay App 1:Pay App 26'!H58)</f>
        <v>0</v>
      </c>
      <c r="H58" s="154"/>
      <c r="I58" s="155">
        <f>G58+H58</f>
        <v>0</v>
      </c>
      <c r="J58" s="156">
        <f>IFERROR(I58/F58,0)</f>
        <v>0</v>
      </c>
      <c r="K58" s="155">
        <f>IFERROR(F58-I58,"")</f>
        <v>0</v>
      </c>
      <c r="L58" s="155" t="str">
        <f>IF(AND('Summary Sheet'!$E$23="No",$H$33&gt;0,H58&gt;=1),"",IF(AND('Summary Sheet'!$E$23="Yes",H58&lt;&gt;""),H58*'Summary Sheet'!$G$23,""))</f>
        <v/>
      </c>
      <c r="M58" s="154"/>
      <c r="N58" s="155">
        <f>SUM('Pay App 1:Pay App 27'!L58)+SUM('Pay App 1:Pay App 27'!M58)</f>
        <v>0</v>
      </c>
    </row>
    <row r="59" spans="1:16" ht="11.25" customHeight="1" x14ac:dyDescent="0.25">
      <c r="A59" s="152">
        <v>3</v>
      </c>
      <c r="B59" s="174" t="str">
        <f>'Pay App 1'!B59</f>
        <v>01 00 00</v>
      </c>
      <c r="C59" s="179" t="str">
        <f>'Pay App 1'!C59</f>
        <v>General Conditions/Requirements</v>
      </c>
      <c r="D59" s="155">
        <f>'Pay App 1'!D59</f>
        <v>0</v>
      </c>
      <c r="E59" s="155">
        <f>VLOOKUP(B59,'Graph Data'!$O$2:$BX$88,29,FALSE)</f>
        <v>0</v>
      </c>
      <c r="F59" s="155">
        <f>IFERROR(E59+'Pay App 26'!F59,"")</f>
        <v>0</v>
      </c>
      <c r="G59" s="155">
        <f>SUM('Pay App 1:Pay App 26'!H59)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27'!L59)+SUM('Pay App 1:Pay App 27'!M59)</f>
        <v>0</v>
      </c>
    </row>
    <row r="60" spans="1:16" ht="11.25" customHeight="1" x14ac:dyDescent="0.25">
      <c r="A60" s="152">
        <v>4</v>
      </c>
      <c r="B60" s="174" t="str">
        <f>'Pay App 1'!B60</f>
        <v>01 13 41</v>
      </c>
      <c r="C60" s="179" t="str">
        <f>'Pay App 1'!C60</f>
        <v>Temp. Scaffolding and Platforms</v>
      </c>
      <c r="D60" s="155">
        <f>'Pay App 1'!D60</f>
        <v>0</v>
      </c>
      <c r="E60" s="155">
        <f>VLOOKUP(B60,'Graph Data'!$O$2:$BX$88,29,FALSE)</f>
        <v>0</v>
      </c>
      <c r="F60" s="155">
        <f>IFERROR(E60+'Pay App 26'!F60,"")</f>
        <v>0</v>
      </c>
      <c r="G60" s="155">
        <f>SUM('Pay App 1:Pay App 26'!H60)</f>
        <v>0</v>
      </c>
      <c r="H60" s="154"/>
      <c r="I60" s="155">
        <f t="shared" si="0"/>
        <v>0</v>
      </c>
      <c r="J60" s="156">
        <f t="shared" si="1"/>
        <v>0</v>
      </c>
      <c r="K60" s="155">
        <f t="shared" si="2"/>
        <v>0</v>
      </c>
      <c r="L60" s="155" t="str">
        <f>IF(AND('Summary Sheet'!$E$23="No",$H$33&gt;0,H60&gt;=1),"",IF(AND('Summary Sheet'!$E$23="Yes",H60&lt;&gt;""),H60*'Summary Sheet'!$G$23,""))</f>
        <v/>
      </c>
      <c r="M60" s="154"/>
      <c r="N60" s="155">
        <f>SUM('Pay App 1:Pay App 27'!L60)+SUM('Pay App 1:Pay App 27'!M60)</f>
        <v>0</v>
      </c>
    </row>
    <row r="61" spans="1:16" ht="11.25" customHeight="1" x14ac:dyDescent="0.25">
      <c r="A61" s="152">
        <v>5</v>
      </c>
      <c r="B61" s="174" t="str">
        <f>'Pay App 1'!B61</f>
        <v>01 13 60</v>
      </c>
      <c r="C61" s="179" t="str">
        <f>'Pay App 1'!C61</f>
        <v>SWPPP</v>
      </c>
      <c r="D61" s="155">
        <f>'Pay App 1'!D61</f>
        <v>0</v>
      </c>
      <c r="E61" s="155">
        <f>VLOOKUP(B61,'Graph Data'!$O$2:$BX$88,29,FALSE)</f>
        <v>0</v>
      </c>
      <c r="F61" s="155">
        <f>IFERROR(E61+'Pay App 26'!F61,"")</f>
        <v>0</v>
      </c>
      <c r="G61" s="155">
        <f>SUM('Pay App 1:Pay App 26'!H61)</f>
        <v>0</v>
      </c>
      <c r="H61" s="154"/>
      <c r="I61" s="155">
        <f t="shared" si="0"/>
        <v>0</v>
      </c>
      <c r="J61" s="156">
        <f t="shared" si="1"/>
        <v>0</v>
      </c>
      <c r="K61" s="155">
        <f t="shared" si="2"/>
        <v>0</v>
      </c>
      <c r="L61" s="155" t="str">
        <f>IF(AND('Summary Sheet'!$E$23="No",$H$33&gt;0,H61&gt;=1),"",IF(AND('Summary Sheet'!$E$23="Yes",H61&lt;&gt;""),H61*'Summary Sheet'!$G$23,""))</f>
        <v/>
      </c>
      <c r="M61" s="154"/>
      <c r="N61" s="155">
        <f>SUM('Pay App 1:Pay App 27'!L61)+SUM('Pay App 1:Pay App 27'!M61)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Data'!$O$2:$BX$88,29,FALSE)</f>
        <v>0</v>
      </c>
      <c r="F62" s="155">
        <f>IFERROR(E62+'Pay App 26'!F62,"")</f>
        <v>0</v>
      </c>
      <c r="G62" s="155">
        <f>SUM('Pay App 1:Pay App 26'!H62)</f>
        <v>0</v>
      </c>
      <c r="H62" s="154"/>
      <c r="I62" s="155">
        <f t="shared" si="0"/>
        <v>0</v>
      </c>
      <c r="J62" s="156">
        <f t="shared" si="1"/>
        <v>0</v>
      </c>
      <c r="K62" s="155">
        <f t="shared" si="2"/>
        <v>0</v>
      </c>
      <c r="L62" s="155" t="str">
        <f>IF(AND('Summary Sheet'!$E$23="No",$H$33&gt;0,H62&gt;=1),"",IF(AND('Summary Sheet'!$E$23="Yes",H62&lt;&gt;""),H62*'Summary Sheet'!$G$23,""))</f>
        <v/>
      </c>
      <c r="M62" s="154"/>
      <c r="N62" s="155">
        <f>SUM('Pay App 1:Pay App 27'!L62)+SUM('Pay App 1:Pay App 27'!M62)</f>
        <v>0</v>
      </c>
    </row>
    <row r="63" spans="1:16" ht="11.25" customHeight="1" x14ac:dyDescent="0.25">
      <c r="A63" s="152">
        <v>7</v>
      </c>
      <c r="B63" s="174" t="str">
        <f>'Pay App 1'!B63</f>
        <v>01 31 00</v>
      </c>
      <c r="C63" s="179" t="str">
        <f>'Pay App 1'!C63</f>
        <v>Contractor's Supervision</v>
      </c>
      <c r="D63" s="155">
        <f>'Pay App 1'!D63</f>
        <v>0</v>
      </c>
      <c r="E63" s="155">
        <f>VLOOKUP(B63,'Graph Data'!$O$2:$BX$88,29,FALSE)</f>
        <v>0</v>
      </c>
      <c r="F63" s="155">
        <f>IFERROR(E63+'Pay App 26'!F63,"")</f>
        <v>0</v>
      </c>
      <c r="G63" s="155">
        <f>SUM('Pay App 1:Pay App 26'!H63)</f>
        <v>0</v>
      </c>
      <c r="H63" s="154"/>
      <c r="I63" s="155">
        <f t="shared" si="0"/>
        <v>0</v>
      </c>
      <c r="J63" s="156">
        <f t="shared" si="1"/>
        <v>0</v>
      </c>
      <c r="K63" s="155">
        <f t="shared" si="2"/>
        <v>0</v>
      </c>
      <c r="L63" s="155" t="str">
        <f>IF(AND('Summary Sheet'!$E$23="No",$H$33&gt;0,H63&gt;=1),"",IF(AND('Summary Sheet'!$E$23="Yes",H63&lt;&gt;""),H63*'Summary Sheet'!$G$23,""))</f>
        <v/>
      </c>
      <c r="M63" s="154"/>
      <c r="N63" s="155">
        <f>SUM('Pay App 1:Pay App 27'!L63)+SUM('Pay App 1:Pay App 27'!M63)</f>
        <v>0</v>
      </c>
    </row>
    <row r="64" spans="1:16" ht="11.25" customHeight="1" x14ac:dyDescent="0.25">
      <c r="A64" s="152">
        <v>8</v>
      </c>
      <c r="B64" s="174" t="str">
        <f>'Pay App 1'!B64</f>
        <v>01 32 00</v>
      </c>
      <c r="C64" s="179" t="str">
        <f>'Pay App 1'!C64</f>
        <v>General Liability Insurance</v>
      </c>
      <c r="D64" s="155">
        <f>'Pay App 1'!D64</f>
        <v>0</v>
      </c>
      <c r="E64" s="155">
        <f>VLOOKUP(B64,'Graph Data'!$O$2:$BX$88,29,FALSE)</f>
        <v>0</v>
      </c>
      <c r="F64" s="155">
        <f>IFERROR(E64+'Pay App 26'!F64,"")</f>
        <v>0</v>
      </c>
      <c r="G64" s="155">
        <f>SUM('Pay App 1:Pay App 26'!H64)</f>
        <v>0</v>
      </c>
      <c r="H64" s="154"/>
      <c r="I64" s="155">
        <f t="shared" si="0"/>
        <v>0</v>
      </c>
      <c r="J64" s="156">
        <f t="shared" si="1"/>
        <v>0</v>
      </c>
      <c r="K64" s="155">
        <f t="shared" si="2"/>
        <v>0</v>
      </c>
      <c r="L64" s="155" t="str">
        <f>IF(AND('Summary Sheet'!$E$23="No",$H$33&gt;0,H64&gt;=1),"",IF(AND('Summary Sheet'!$E$23="Yes",H64&lt;&gt;""),H64*'Summary Sheet'!$G$23,""))</f>
        <v/>
      </c>
      <c r="M64" s="154"/>
      <c r="N64" s="155">
        <f>SUM('Pay App 1:Pay App 27'!L64)+SUM('Pay App 1:Pay App 27'!M64)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Data'!$O$2:$BX$88,29,FALSE)</f>
        <v>0</v>
      </c>
      <c r="F65" s="155">
        <f>IFERROR(E65+'Pay App 26'!F65,"")</f>
        <v>0</v>
      </c>
      <c r="G65" s="155">
        <f>SUM('Pay App 1:Pay App 26'!H65)</f>
        <v>0</v>
      </c>
      <c r="H65" s="154"/>
      <c r="I65" s="155">
        <f t="shared" si="0"/>
        <v>0</v>
      </c>
      <c r="J65" s="156">
        <f t="shared" si="1"/>
        <v>0</v>
      </c>
      <c r="K65" s="155">
        <f t="shared" si="2"/>
        <v>0</v>
      </c>
      <c r="L65" s="155" t="str">
        <f>IF(AND('Summary Sheet'!$E$23="No",$H$33&gt;0,H65&gt;=1),"",IF(AND('Summary Sheet'!$E$23="Yes",H65&lt;&gt;""),H65*'Summary Sheet'!$G$23,""))</f>
        <v/>
      </c>
      <c r="M65" s="154"/>
      <c r="N65" s="155">
        <f>SUM('Pay App 1:Pay App 27'!L65)+SUM('Pay App 1:Pay App 27'!M65)</f>
        <v>0</v>
      </c>
    </row>
    <row r="66" spans="1:17" ht="11.25" customHeight="1" x14ac:dyDescent="0.25">
      <c r="A66" s="152">
        <v>10</v>
      </c>
      <c r="B66" s="174" t="str">
        <f>'Pay App 1'!B66</f>
        <v>01 34 00</v>
      </c>
      <c r="C66" s="179" t="str">
        <f>'Pay App 1'!C66</f>
        <v>Subcontractor Default Insurance</v>
      </c>
      <c r="D66" s="155">
        <f>'Pay App 1'!D66</f>
        <v>0</v>
      </c>
      <c r="E66" s="155">
        <f>VLOOKUP(B66,'Graph Data'!$O$2:$BX$88,29,FALSE)</f>
        <v>0</v>
      </c>
      <c r="F66" s="155">
        <f>IFERROR(E66+'Pay App 26'!F66,"")</f>
        <v>0</v>
      </c>
      <c r="G66" s="155">
        <f>SUM('Pay App 1:Pay App 26'!H66)</f>
        <v>0</v>
      </c>
      <c r="H66" s="154"/>
      <c r="I66" s="155">
        <f t="shared" si="0"/>
        <v>0</v>
      </c>
      <c r="J66" s="156">
        <f t="shared" si="1"/>
        <v>0</v>
      </c>
      <c r="K66" s="155">
        <f t="shared" si="2"/>
        <v>0</v>
      </c>
      <c r="L66" s="155" t="str">
        <f>IF(AND('Summary Sheet'!$E$23="No",$H$33&gt;0,H66&gt;=1),"",IF(AND('Summary Sheet'!$E$23="Yes",H66&lt;&gt;""),H66*'Summary Sheet'!$G$23,""))</f>
        <v/>
      </c>
      <c r="M66" s="154"/>
      <c r="N66" s="155">
        <f>SUM('Pay App 1:Pay App 27'!L66)+SUM('Pay App 1:Pay App 27'!M66)</f>
        <v>0</v>
      </c>
    </row>
    <row r="67" spans="1:17" ht="11.25" customHeight="1" x14ac:dyDescent="0.25">
      <c r="A67" s="152">
        <v>11</v>
      </c>
      <c r="B67" s="174" t="str">
        <f>'Pay App 1'!B67</f>
        <v>01 35 00</v>
      </c>
      <c r="C67" s="179" t="str">
        <f>'Pay App 1'!C67</f>
        <v>Construction Management Fee</v>
      </c>
      <c r="D67" s="155">
        <f>'Pay App 1'!D67</f>
        <v>0</v>
      </c>
      <c r="E67" s="155">
        <f>VLOOKUP(B67,'Graph Data'!$O$2:$BX$88,29,FALSE)</f>
        <v>0</v>
      </c>
      <c r="F67" s="155">
        <f>IFERROR(E67+'Pay App 26'!F67,"")</f>
        <v>0</v>
      </c>
      <c r="G67" s="155">
        <f>SUM('Pay App 1:Pay App 26'!H67)</f>
        <v>0</v>
      </c>
      <c r="H67" s="154"/>
      <c r="I67" s="155">
        <f t="shared" si="0"/>
        <v>0</v>
      </c>
      <c r="J67" s="156">
        <f t="shared" si="1"/>
        <v>0</v>
      </c>
      <c r="K67" s="155">
        <f t="shared" si="2"/>
        <v>0</v>
      </c>
      <c r="L67" s="155" t="str">
        <f>IF(AND('Summary Sheet'!$E$23="No",$H$33&gt;0,H67&gt;=1),"",IF(AND('Summary Sheet'!$E$23="Yes",H67&lt;&gt;""),H67*'Summary Sheet'!$G$23,""))</f>
        <v/>
      </c>
      <c r="M67" s="154"/>
      <c r="N67" s="155">
        <f>SUM('Pay App 1:Pay App 27'!L67)+SUM('Pay App 1:Pay App 27'!M67)</f>
        <v>0</v>
      </c>
    </row>
    <row r="68" spans="1:17" ht="11.25" customHeight="1" x14ac:dyDescent="0.25">
      <c r="A68" s="152">
        <v>12</v>
      </c>
      <c r="B68" s="174" t="str">
        <f>'Pay App 1'!B68</f>
        <v>01 36 00</v>
      </c>
      <c r="C68" s="179" t="str">
        <f>'Pay App 1'!C68</f>
        <v>Contingency</v>
      </c>
      <c r="D68" s="155">
        <f>'Pay App 1'!D68</f>
        <v>0</v>
      </c>
      <c r="E68" s="155">
        <f>VLOOKUP(B68,'Graph Data'!$O$2:$BX$88,29,FALSE)</f>
        <v>0</v>
      </c>
      <c r="F68" s="155">
        <f>IFERROR(E68+'Pay App 26'!F68,"")</f>
        <v>0</v>
      </c>
      <c r="G68" s="155">
        <f>SUM('Pay App 1:Pay App 26'!H68)</f>
        <v>0</v>
      </c>
      <c r="H68" s="154"/>
      <c r="I68" s="155">
        <f t="shared" si="0"/>
        <v>0</v>
      </c>
      <c r="J68" s="156">
        <f t="shared" si="1"/>
        <v>0</v>
      </c>
      <c r="K68" s="155">
        <f t="shared" si="2"/>
        <v>0</v>
      </c>
      <c r="L68" s="155" t="str">
        <f>IF(AND('Summary Sheet'!$E$23="No",$H$33&gt;0,H68&gt;=1),"",IF(AND('Summary Sheet'!$E$23="Yes",H68&lt;&gt;""),H68*'Summary Sheet'!$G$23,""))</f>
        <v/>
      </c>
      <c r="M68" s="154"/>
      <c r="N68" s="155">
        <f>SUM('Pay App 1:Pay App 27'!L68)+SUM('Pay App 1:Pay App 27'!M68)</f>
        <v>0</v>
      </c>
    </row>
    <row r="69" spans="1:17" ht="11.25" customHeight="1" x14ac:dyDescent="0.25">
      <c r="A69" s="152">
        <v>13</v>
      </c>
      <c r="B69" s="174" t="str">
        <f>'Pay App 1'!B69</f>
        <v>01 37 00</v>
      </c>
      <c r="C69" s="179" t="str">
        <f>'Pay App 1'!C69</f>
        <v>Weather Allowance (All Trades)</v>
      </c>
      <c r="D69" s="155">
        <f>'Pay App 1'!D69</f>
        <v>0</v>
      </c>
      <c r="E69" s="155">
        <f>VLOOKUP(B69,'Graph Data'!$O$2:$BX$88,29,FALSE)</f>
        <v>0</v>
      </c>
      <c r="F69" s="155">
        <f>IFERROR(E69+'Pay App 26'!F69,"")</f>
        <v>0</v>
      </c>
      <c r="G69" s="155">
        <f>SUM('Pay App 1:Pay App 26'!H69)</f>
        <v>0</v>
      </c>
      <c r="H69" s="154"/>
      <c r="I69" s="155">
        <f t="shared" si="0"/>
        <v>0</v>
      </c>
      <c r="J69" s="156">
        <f t="shared" si="1"/>
        <v>0</v>
      </c>
      <c r="K69" s="155">
        <f t="shared" si="2"/>
        <v>0</v>
      </c>
      <c r="L69" s="155" t="str">
        <f>IF(AND('Summary Sheet'!$E$23="No",$H$33&gt;0,H69&gt;=1),"",IF(AND('Summary Sheet'!$E$23="Yes",H69&lt;&gt;""),H69*'Summary Sheet'!$G$23,""))</f>
        <v/>
      </c>
      <c r="M69" s="154"/>
      <c r="N69" s="155">
        <f>SUM('Pay App 1:Pay App 27'!L69)+SUM('Pay App 1:Pay App 27'!M69)</f>
        <v>0</v>
      </c>
    </row>
    <row r="70" spans="1:17" ht="11.25" customHeight="1" x14ac:dyDescent="0.25">
      <c r="A70" s="152">
        <v>14</v>
      </c>
      <c r="B70" s="174" t="str">
        <f>'Pay App 1'!B70</f>
        <v>01 74 23</v>
      </c>
      <c r="C70" s="179" t="str">
        <f>'Pay App 1'!C70</f>
        <v>Cleaning (Final)</v>
      </c>
      <c r="D70" s="155">
        <f>'Pay App 1'!D70</f>
        <v>0</v>
      </c>
      <c r="E70" s="155">
        <f>VLOOKUP(B70,'Graph Data'!$O$2:$BX$88,29,FALSE)</f>
        <v>0</v>
      </c>
      <c r="F70" s="155">
        <f>IFERROR(E70+'Pay App 26'!F70,"")</f>
        <v>0</v>
      </c>
      <c r="G70" s="155">
        <f>SUM('Pay App 1:Pay App 26'!H70)</f>
        <v>0</v>
      </c>
      <c r="H70" s="154"/>
      <c r="I70" s="155">
        <f t="shared" si="0"/>
        <v>0</v>
      </c>
      <c r="J70" s="156">
        <f t="shared" si="1"/>
        <v>0</v>
      </c>
      <c r="K70" s="155">
        <f t="shared" si="2"/>
        <v>0</v>
      </c>
      <c r="L70" s="155" t="str">
        <f>IF(AND('Summary Sheet'!$E$23="No",$H$33&gt;0,H70&gt;=1),"",IF(AND('Summary Sheet'!$E$23="Yes",H70&lt;&gt;""),H70*'Summary Sheet'!$G$23,""))</f>
        <v/>
      </c>
      <c r="M70" s="154"/>
      <c r="N70" s="155">
        <f>SUM('Pay App 1:Pay App 27'!L70)+SUM('Pay App 1:Pay App 27'!M70)</f>
        <v>0</v>
      </c>
    </row>
    <row r="71" spans="1:17" ht="11.25" customHeight="1" x14ac:dyDescent="0.25">
      <c r="A71" s="152">
        <v>15</v>
      </c>
      <c r="B71" s="175" t="str">
        <f>'Pay App 1'!B71</f>
        <v>02 21 00</v>
      </c>
      <c r="C71" s="180" t="str">
        <f>'Pay App 1'!C71</f>
        <v>Survey/Engineering</v>
      </c>
      <c r="D71" s="155">
        <f>'Pay App 1'!D71</f>
        <v>0</v>
      </c>
      <c r="E71" s="155">
        <f>VLOOKUP(B71,'Graph Data'!$O$2:$BX$88,29,FALSE)</f>
        <v>0</v>
      </c>
      <c r="F71" s="155">
        <f>IFERROR(E71+'Pay App 26'!F71,"")</f>
        <v>0</v>
      </c>
      <c r="G71" s="155">
        <f>SUM('Pay App 1:Pay App 26'!H71)</f>
        <v>0</v>
      </c>
      <c r="H71" s="154"/>
      <c r="I71" s="155">
        <f t="shared" si="0"/>
        <v>0</v>
      </c>
      <c r="J71" s="156">
        <f t="shared" si="1"/>
        <v>0</v>
      </c>
      <c r="K71" s="155">
        <f t="shared" si="2"/>
        <v>0</v>
      </c>
      <c r="L71" s="155" t="str">
        <f>IF(AND('Summary Sheet'!$E$23="No",$H$33&gt;0,H71&gt;=1),"",IF(AND('Summary Sheet'!$E$23="Yes",H71&lt;&gt;""),H71*'Summary Sheet'!$G$23,""))</f>
        <v/>
      </c>
      <c r="M71" s="154"/>
      <c r="N71" s="155">
        <f>SUM('Pay App 1:Pay App 27'!L71)+SUM('Pay App 1:Pay App 27'!M71)</f>
        <v>0</v>
      </c>
      <c r="Q71" s="28"/>
    </row>
    <row r="72" spans="1:17" ht="11.25" customHeight="1" x14ac:dyDescent="0.25">
      <c r="A72" s="152">
        <v>16</v>
      </c>
      <c r="B72" s="175" t="str">
        <f>'Pay App 1'!B72</f>
        <v>02 41 00</v>
      </c>
      <c r="C72" s="180" t="str">
        <f>'Pay App 1'!C72</f>
        <v>Demolition</v>
      </c>
      <c r="D72" s="155">
        <f>'Pay App 1'!D72</f>
        <v>0</v>
      </c>
      <c r="E72" s="155">
        <f>VLOOKUP(B72,'Graph Data'!$O$2:$BX$88,29,FALSE)</f>
        <v>0</v>
      </c>
      <c r="F72" s="155">
        <f>IFERROR(E72+'Pay App 26'!F72,"")</f>
        <v>0</v>
      </c>
      <c r="G72" s="155">
        <f>SUM('Pay App 1:Pay App 26'!H72)</f>
        <v>0</v>
      </c>
      <c r="H72" s="154"/>
      <c r="I72" s="155">
        <f t="shared" si="0"/>
        <v>0</v>
      </c>
      <c r="J72" s="156">
        <f t="shared" si="1"/>
        <v>0</v>
      </c>
      <c r="K72" s="155">
        <f t="shared" si="2"/>
        <v>0</v>
      </c>
      <c r="L72" s="155" t="str">
        <f>IF(AND('Summary Sheet'!$E$23="No",$H$33&gt;0,H72&gt;=1),"",IF(AND('Summary Sheet'!$E$23="Yes",H72&lt;&gt;""),H72*'Summary Sheet'!$G$23,""))</f>
        <v/>
      </c>
      <c r="M72" s="154"/>
      <c r="N72" s="155">
        <f>SUM('Pay App 1:Pay App 27'!L72)+SUM('Pay App 1:Pay App 27'!M72)</f>
        <v>0</v>
      </c>
      <c r="Q72" s="28"/>
    </row>
    <row r="73" spans="1:17" ht="11.25" customHeight="1" x14ac:dyDescent="0.25">
      <c r="A73" s="152">
        <v>17</v>
      </c>
      <c r="B73" s="175" t="str">
        <f>'Pay App 1'!B73</f>
        <v>02 82 00</v>
      </c>
      <c r="C73" s="180" t="str">
        <f>'Pay App 1'!C73</f>
        <v>Asbestos Abatement</v>
      </c>
      <c r="D73" s="155">
        <f>'Pay App 1'!D73</f>
        <v>0</v>
      </c>
      <c r="E73" s="155">
        <f>VLOOKUP(B73,'Graph Data'!$O$2:$BX$88,29,FALSE)</f>
        <v>0</v>
      </c>
      <c r="F73" s="155">
        <f>IFERROR(E73+'Pay App 26'!F73,"")</f>
        <v>0</v>
      </c>
      <c r="G73" s="155">
        <f>SUM('Pay App 1:Pay App 26'!H73)</f>
        <v>0</v>
      </c>
      <c r="H73" s="154"/>
      <c r="I73" s="155">
        <f t="shared" si="0"/>
        <v>0</v>
      </c>
      <c r="J73" s="156">
        <f t="shared" si="1"/>
        <v>0</v>
      </c>
      <c r="K73" s="155">
        <f t="shared" si="2"/>
        <v>0</v>
      </c>
      <c r="L73" s="155" t="str">
        <f>IF(AND('Summary Sheet'!$E$23="No",$H$33&gt;0,H73&gt;=1),"",IF(AND('Summary Sheet'!$E$23="Yes",H73&lt;&gt;""),H73*'Summary Sheet'!$G$23,""))</f>
        <v/>
      </c>
      <c r="M73" s="154"/>
      <c r="N73" s="155">
        <f>SUM('Pay App 1:Pay App 27'!L73)+SUM('Pay App 1:Pay App 27'!M73)</f>
        <v>0</v>
      </c>
    </row>
    <row r="74" spans="1:17" ht="11.25" customHeight="1" x14ac:dyDescent="0.25">
      <c r="A74" s="152">
        <v>18</v>
      </c>
      <c r="B74" s="176" t="str">
        <f>'Pay App 1'!B74</f>
        <v>03 00 00</v>
      </c>
      <c r="C74" s="181" t="str">
        <f>'Pay App 1'!C74</f>
        <v>Building Concrete</v>
      </c>
      <c r="D74" s="155">
        <f>'Pay App 1'!D74</f>
        <v>0</v>
      </c>
      <c r="E74" s="155">
        <f>VLOOKUP(B74,'Graph Data'!$O$2:$BX$88,29,FALSE)</f>
        <v>0</v>
      </c>
      <c r="F74" s="155">
        <f>IFERROR(E74+'Pay App 26'!F74,"")</f>
        <v>0</v>
      </c>
      <c r="G74" s="155">
        <f>SUM('Pay App 1:Pay App 26'!H74)</f>
        <v>0</v>
      </c>
      <c r="H74" s="154"/>
      <c r="I74" s="155">
        <f t="shared" si="0"/>
        <v>0</v>
      </c>
      <c r="J74" s="156">
        <f t="shared" si="1"/>
        <v>0</v>
      </c>
      <c r="K74" s="155">
        <f t="shared" si="2"/>
        <v>0</v>
      </c>
      <c r="L74" s="155" t="str">
        <f>IF(AND('Summary Sheet'!$E$23="No",$H$33&gt;0,H74&gt;=1),"",IF(AND('Summary Sheet'!$E$23="Yes",H74&lt;&gt;""),H74*'Summary Sheet'!$G$23,""))</f>
        <v/>
      </c>
      <c r="M74" s="154"/>
      <c r="N74" s="155">
        <f>SUM('Pay App 1:Pay App 27'!L74)+SUM('Pay App 1:Pay App 27'!M74)</f>
        <v>0</v>
      </c>
    </row>
    <row r="75" spans="1:17" ht="11.25" customHeight="1" x14ac:dyDescent="0.25">
      <c r="A75" s="152">
        <v>19</v>
      </c>
      <c r="B75" s="176" t="str">
        <f>'Pay App 1'!B75</f>
        <v>03 20 00</v>
      </c>
      <c r="C75" s="181" t="str">
        <f>'Pay App 1'!C75</f>
        <v>Building Concrete Reinforcing</v>
      </c>
      <c r="D75" s="155">
        <f>'Pay App 1'!D75</f>
        <v>0</v>
      </c>
      <c r="E75" s="155">
        <f>VLOOKUP(B75,'Graph Data'!$O$2:$BX$88,29,FALSE)</f>
        <v>0</v>
      </c>
      <c r="F75" s="155">
        <f>IFERROR(E75+'Pay App 26'!F75,"")</f>
        <v>0</v>
      </c>
      <c r="G75" s="155">
        <f>SUM('Pay App 1:Pay App 26'!H75)</f>
        <v>0</v>
      </c>
      <c r="H75" s="154"/>
      <c r="I75" s="155">
        <f t="shared" si="0"/>
        <v>0</v>
      </c>
      <c r="J75" s="156">
        <f t="shared" si="1"/>
        <v>0</v>
      </c>
      <c r="K75" s="155">
        <f t="shared" si="2"/>
        <v>0</v>
      </c>
      <c r="L75" s="155" t="str">
        <f>IF(AND('Summary Sheet'!$E$23="No",$H$33&gt;0,H75&gt;=1),"",IF(AND('Summary Sheet'!$E$23="Yes",H75&lt;&gt;""),H75*'Summary Sheet'!$G$23,""))</f>
        <v/>
      </c>
      <c r="M75" s="154"/>
      <c r="N75" s="155">
        <f>SUM('Pay App 1:Pay App 27'!L75)+SUM('Pay App 1:Pay App 27'!M75)</f>
        <v>0</v>
      </c>
    </row>
    <row r="76" spans="1:17" ht="11.25" customHeight="1" x14ac:dyDescent="0.25">
      <c r="A76" s="152">
        <v>20</v>
      </c>
      <c r="B76" s="176" t="str">
        <f>'Pay App 1'!B76</f>
        <v>03 40 00</v>
      </c>
      <c r="C76" s="181" t="str">
        <f>'Pay App 1'!C76</f>
        <v>Precast</v>
      </c>
      <c r="D76" s="155">
        <f>'Pay App 1'!D76</f>
        <v>0</v>
      </c>
      <c r="E76" s="155">
        <f>VLOOKUP(B76,'Graph Data'!$O$2:$BX$88,29,FALSE)</f>
        <v>0</v>
      </c>
      <c r="F76" s="155">
        <f>IFERROR(E76+'Pay App 26'!F76,"")</f>
        <v>0</v>
      </c>
      <c r="G76" s="155">
        <f>SUM('Pay App 1:Pay App 26'!H76)</f>
        <v>0</v>
      </c>
      <c r="H76" s="154"/>
      <c r="I76" s="155">
        <f t="shared" si="0"/>
        <v>0</v>
      </c>
      <c r="J76" s="156">
        <f t="shared" si="1"/>
        <v>0</v>
      </c>
      <c r="K76" s="155">
        <f t="shared" si="2"/>
        <v>0</v>
      </c>
      <c r="L76" s="155" t="str">
        <f>IF(AND('Summary Sheet'!$E$23="No",$H$33&gt;0,H76&gt;=1),"",IF(AND('Summary Sheet'!$E$23="Yes",H76&lt;&gt;""),H76*'Summary Sheet'!$G$23,""))</f>
        <v/>
      </c>
      <c r="M76" s="154"/>
      <c r="N76" s="155">
        <f>SUM('Pay App 1:Pay App 27'!L76)+SUM('Pay App 1:Pay App 27'!M76)</f>
        <v>0</v>
      </c>
    </row>
    <row r="77" spans="1:17" ht="11.25" customHeight="1" x14ac:dyDescent="0.25">
      <c r="A77" s="152">
        <v>21</v>
      </c>
      <c r="B77" s="177" t="str">
        <f>'Pay App 1'!B77</f>
        <v>04 00 00</v>
      </c>
      <c r="C77" s="182" t="str">
        <f>'Pay App 1'!C77</f>
        <v>Masonry</v>
      </c>
      <c r="D77" s="155">
        <f>'Pay App 1'!D77</f>
        <v>0</v>
      </c>
      <c r="E77" s="155">
        <f>VLOOKUP(B77,'Graph Data'!$O$2:$BX$88,29,FALSE)</f>
        <v>0</v>
      </c>
      <c r="F77" s="155">
        <f>IFERROR(E77+'Pay App 26'!F77,"")</f>
        <v>0</v>
      </c>
      <c r="G77" s="155">
        <f>SUM('Pay App 1:Pay App 26'!H77)</f>
        <v>0</v>
      </c>
      <c r="H77" s="154"/>
      <c r="I77" s="155">
        <f t="shared" si="0"/>
        <v>0</v>
      </c>
      <c r="J77" s="156">
        <f t="shared" si="1"/>
        <v>0</v>
      </c>
      <c r="K77" s="155">
        <f t="shared" si="2"/>
        <v>0</v>
      </c>
      <c r="L77" s="155" t="str">
        <f>IF(AND('Summary Sheet'!$E$23="No",$H$33&gt;0,H77&gt;=1),"",IF(AND('Summary Sheet'!$E$23="Yes",H77&lt;&gt;""),H77*'Summary Sheet'!$G$23,""))</f>
        <v/>
      </c>
      <c r="M77" s="154"/>
      <c r="N77" s="155">
        <f>SUM('Pay App 1:Pay App 27'!L77)+SUM('Pay App 1:Pay App 27'!M77)</f>
        <v>0</v>
      </c>
    </row>
    <row r="78" spans="1:17" ht="11.25" customHeight="1" x14ac:dyDescent="0.25">
      <c r="A78" s="152">
        <v>22</v>
      </c>
      <c r="B78" s="177" t="str">
        <f>'Pay App 1'!B78</f>
        <v>04 05 19</v>
      </c>
      <c r="C78" s="182" t="str">
        <f>'Pay App 1'!C78</f>
        <v>Masonry Reinforcing</v>
      </c>
      <c r="D78" s="155">
        <f>'Pay App 1'!D78</f>
        <v>0</v>
      </c>
      <c r="E78" s="155">
        <f>VLOOKUP(B78,'Graph Data'!$O$2:$BX$88,29,FALSE)</f>
        <v>0</v>
      </c>
      <c r="F78" s="155">
        <f>IFERROR(E78+'Pay App 26'!F78,"")</f>
        <v>0</v>
      </c>
      <c r="G78" s="155">
        <f>SUM('Pay App 1:Pay App 26'!H78)</f>
        <v>0</v>
      </c>
      <c r="H78" s="154"/>
      <c r="I78" s="155">
        <f t="shared" si="0"/>
        <v>0</v>
      </c>
      <c r="J78" s="156">
        <f t="shared" si="1"/>
        <v>0</v>
      </c>
      <c r="K78" s="155">
        <f t="shared" si="2"/>
        <v>0</v>
      </c>
      <c r="L78" s="155" t="str">
        <f>IF(AND('Summary Sheet'!$E$23="No",$H$33&gt;0,H78&gt;=1),"",IF(AND('Summary Sheet'!$E$23="Yes",H78&lt;&gt;""),H78*'Summary Sheet'!$G$23,""))</f>
        <v/>
      </c>
      <c r="M78" s="154"/>
      <c r="N78" s="155">
        <f>SUM('Pay App 1:Pay App 27'!L78)+SUM('Pay App 1:Pay App 27'!M78)</f>
        <v>0</v>
      </c>
    </row>
    <row r="79" spans="1:17" ht="11.25" customHeight="1" x14ac:dyDescent="0.25">
      <c r="A79" s="152">
        <v>23</v>
      </c>
      <c r="B79" s="178" t="str">
        <f>'Pay App 1'!B79</f>
        <v>05 10 00</v>
      </c>
      <c r="C79" s="183" t="str">
        <f>'Pay App 1'!C79</f>
        <v>Structural Steel/Misc. Steel Fab</v>
      </c>
      <c r="D79" s="155">
        <f>'Pay App 1'!D79</f>
        <v>0</v>
      </c>
      <c r="E79" s="155">
        <f>VLOOKUP(B79,'Graph Data'!$O$2:$BX$88,29,FALSE)</f>
        <v>0</v>
      </c>
      <c r="F79" s="155">
        <f>IFERROR(E79+'Pay App 26'!F79,"")</f>
        <v>0</v>
      </c>
      <c r="G79" s="155">
        <f>SUM('Pay App 1:Pay App 26'!H79)</f>
        <v>0</v>
      </c>
      <c r="H79" s="154"/>
      <c r="I79" s="155">
        <f t="shared" si="0"/>
        <v>0</v>
      </c>
      <c r="J79" s="156">
        <f t="shared" si="1"/>
        <v>0</v>
      </c>
      <c r="K79" s="155">
        <f t="shared" si="2"/>
        <v>0</v>
      </c>
      <c r="L79" s="155" t="str">
        <f>IF(AND('Summary Sheet'!$E$23="No",$H$33&gt;0,H79&gt;=1),"",IF(AND('Summary Sheet'!$E$23="Yes",H79&lt;&gt;""),H79*'Summary Sheet'!$G$23,""))</f>
        <v/>
      </c>
      <c r="M79" s="154"/>
      <c r="N79" s="155">
        <f>SUM('Pay App 1:Pay App 27'!L79)+SUM('Pay App 1:Pay App 27'!M79)</f>
        <v>0</v>
      </c>
    </row>
    <row r="80" spans="1:17" ht="11.25" customHeight="1" x14ac:dyDescent="0.25">
      <c r="A80" s="152">
        <v>24</v>
      </c>
      <c r="B80" s="178" t="str">
        <f>'Pay App 1'!B80</f>
        <v>05 20 00</v>
      </c>
      <c r="C80" s="183" t="str">
        <f>'Pay App 1'!C80</f>
        <v>Joists &amp; Deck</v>
      </c>
      <c r="D80" s="155">
        <f>'Pay App 1'!D80</f>
        <v>0</v>
      </c>
      <c r="E80" s="155">
        <f>VLOOKUP(B80,'Graph Data'!$O$2:$BX$88,29,FALSE)</f>
        <v>0</v>
      </c>
      <c r="F80" s="155">
        <f>IFERROR(E80+'Pay App 26'!F80,"")</f>
        <v>0</v>
      </c>
      <c r="G80" s="155">
        <f>SUM('Pay App 1:Pay App 26'!H80)</f>
        <v>0</v>
      </c>
      <c r="H80" s="154"/>
      <c r="I80" s="155">
        <f t="shared" si="0"/>
        <v>0</v>
      </c>
      <c r="J80" s="156">
        <f t="shared" si="1"/>
        <v>0</v>
      </c>
      <c r="K80" s="155">
        <f t="shared" si="2"/>
        <v>0</v>
      </c>
      <c r="L80" s="155" t="str">
        <f>IF(AND('Summary Sheet'!$E$23="No",$H$33&gt;0,H80&gt;=1),"",IF(AND('Summary Sheet'!$E$23="Yes",H80&lt;&gt;""),H80*'Summary Sheet'!$G$23,""))</f>
        <v/>
      </c>
      <c r="M80" s="154"/>
      <c r="N80" s="155">
        <f>SUM('Pay App 1:Pay App 27'!L80)+SUM('Pay App 1:Pay App 27'!M80)</f>
        <v>0</v>
      </c>
    </row>
    <row r="81" spans="1:14" ht="11.25" customHeight="1" x14ac:dyDescent="0.25">
      <c r="A81" s="152">
        <v>25</v>
      </c>
      <c r="B81" s="178" t="str">
        <f>'Pay App 1'!B81</f>
        <v>05 70 00</v>
      </c>
      <c r="C81" s="183" t="str">
        <f>'Pay App 1'!C81</f>
        <v>Ornamental Metal</v>
      </c>
      <c r="D81" s="155">
        <f>'Pay App 1'!D81</f>
        <v>0</v>
      </c>
      <c r="E81" s="155">
        <f>VLOOKUP(B81,'Graph Data'!$O$2:$BX$88,29,FALSE)</f>
        <v>0</v>
      </c>
      <c r="F81" s="155">
        <f>IFERROR(E81+'Pay App 26'!F81,"")</f>
        <v>0</v>
      </c>
      <c r="G81" s="155">
        <f>SUM('Pay App 1:Pay App 26'!H81)</f>
        <v>0</v>
      </c>
      <c r="H81" s="154"/>
      <c r="I81" s="155">
        <f t="shared" si="0"/>
        <v>0</v>
      </c>
      <c r="J81" s="156">
        <f t="shared" si="1"/>
        <v>0</v>
      </c>
      <c r="K81" s="155">
        <f t="shared" si="2"/>
        <v>0</v>
      </c>
      <c r="L81" s="155" t="str">
        <f>IF(AND('Summary Sheet'!$E$23="No",$H$33&gt;0,H81&gt;=1),"",IF(AND('Summary Sheet'!$E$23="Yes",H81&lt;&gt;""),H81*'Summary Sheet'!$G$23,""))</f>
        <v/>
      </c>
      <c r="M81" s="154"/>
      <c r="N81" s="155">
        <f>SUM('Pay App 1:Pay App 27'!L81)+SUM('Pay App 1:Pay App 27'!M81)</f>
        <v>0</v>
      </c>
    </row>
    <row r="82" spans="1:14" ht="11.25" customHeight="1" x14ac:dyDescent="0.25">
      <c r="A82" s="152">
        <v>26</v>
      </c>
      <c r="B82" s="145" t="str">
        <f>'Pay App 1'!B82</f>
        <v>06 10 00</v>
      </c>
      <c r="C82" s="134" t="str">
        <f>'Pay App 1'!C82</f>
        <v>Rough Carpentry</v>
      </c>
      <c r="D82" s="155">
        <f>'Pay App 1'!D82</f>
        <v>0</v>
      </c>
      <c r="E82" s="155">
        <f>VLOOKUP(B82,'Graph Data'!$O$2:$BX$88,29,FALSE)</f>
        <v>0</v>
      </c>
      <c r="F82" s="155">
        <f>IFERROR(E82+'Pay App 26'!F82,"")</f>
        <v>0</v>
      </c>
      <c r="G82" s="155">
        <f>SUM('Pay App 1:Pay App 26'!H82)</f>
        <v>0</v>
      </c>
      <c r="H82" s="154"/>
      <c r="I82" s="155">
        <f t="shared" si="0"/>
        <v>0</v>
      </c>
      <c r="J82" s="156">
        <f t="shared" si="1"/>
        <v>0</v>
      </c>
      <c r="K82" s="155">
        <f t="shared" si="2"/>
        <v>0</v>
      </c>
      <c r="L82" s="155" t="str">
        <f>IF(AND('Summary Sheet'!$E$23="No",$H$33&gt;0,H82&gt;=1),"",IF(AND('Summary Sheet'!$E$23="Yes",H82&lt;&gt;""),H82*'Summary Sheet'!$G$23,""))</f>
        <v/>
      </c>
      <c r="M82" s="154"/>
      <c r="N82" s="155">
        <f>SUM('Pay App 1:Pay App 27'!L82)+SUM('Pay App 1:Pay App 27'!M82)</f>
        <v>0</v>
      </c>
    </row>
    <row r="83" spans="1:14" ht="11.25" customHeight="1" x14ac:dyDescent="0.25">
      <c r="A83" s="152">
        <v>27</v>
      </c>
      <c r="B83" s="145" t="str">
        <f>'Pay App 1'!B83</f>
        <v>06 40 00</v>
      </c>
      <c r="C83" s="134" t="str">
        <f>'Pay App 1'!C83</f>
        <v>Arch. Woodwork &amp; Finish Carp.</v>
      </c>
      <c r="D83" s="155">
        <f>'Pay App 1'!D83</f>
        <v>0</v>
      </c>
      <c r="E83" s="155">
        <f>VLOOKUP(B83,'Graph Data'!$O$2:$BX$88,29,FALSE)</f>
        <v>0</v>
      </c>
      <c r="F83" s="155">
        <f>IFERROR(E83+'Pay App 26'!F83,"")</f>
        <v>0</v>
      </c>
      <c r="G83" s="155">
        <f>SUM('Pay App 1:Pay App 26'!H83)</f>
        <v>0</v>
      </c>
      <c r="H83" s="154"/>
      <c r="I83" s="155">
        <f t="shared" si="0"/>
        <v>0</v>
      </c>
      <c r="J83" s="156">
        <f t="shared" si="1"/>
        <v>0</v>
      </c>
      <c r="K83" s="155">
        <f t="shared" si="2"/>
        <v>0</v>
      </c>
      <c r="L83" s="155" t="str">
        <f>IF(AND('Summary Sheet'!$E$23="No",$H$33&gt;0,H83&gt;=1),"",IF(AND('Summary Sheet'!$E$23="Yes",H83&lt;&gt;""),H83*'Summary Sheet'!$G$23,""))</f>
        <v/>
      </c>
      <c r="M83" s="154"/>
      <c r="N83" s="155">
        <f>SUM('Pay App 1:Pay App 27'!L83)+SUM('Pay App 1:Pay App 27'!M83)</f>
        <v>0</v>
      </c>
    </row>
    <row r="84" spans="1:14" ht="11.25" customHeight="1" x14ac:dyDescent="0.25">
      <c r="A84" s="152">
        <v>28</v>
      </c>
      <c r="B84" s="174" t="str">
        <f>'Pay App 1'!B84</f>
        <v>07 10 00</v>
      </c>
      <c r="C84" s="179" t="str">
        <f>'Pay App 1'!C84</f>
        <v>Waterproofing/Water Repellents</v>
      </c>
      <c r="D84" s="155">
        <f>'Pay App 1'!D84</f>
        <v>0</v>
      </c>
      <c r="E84" s="155">
        <f>VLOOKUP(B84,'Graph Data'!$O$2:$BX$88,29,FALSE)</f>
        <v>0</v>
      </c>
      <c r="F84" s="155">
        <f>IFERROR(E84+'Pay App 26'!F84,"")</f>
        <v>0</v>
      </c>
      <c r="G84" s="155">
        <f>SUM('Pay App 1:Pay App 26'!H84)</f>
        <v>0</v>
      </c>
      <c r="H84" s="154"/>
      <c r="I84" s="155">
        <f t="shared" si="0"/>
        <v>0</v>
      </c>
      <c r="J84" s="156">
        <f t="shared" si="1"/>
        <v>0</v>
      </c>
      <c r="K84" s="155">
        <f t="shared" si="2"/>
        <v>0</v>
      </c>
      <c r="L84" s="155" t="str">
        <f>IF(AND('Summary Sheet'!$E$23="No",$H$33&gt;0,H84&gt;=1),"",IF(AND('Summary Sheet'!$E$23="Yes",H84&lt;&gt;""),H84*'Summary Sheet'!$G$23,""))</f>
        <v/>
      </c>
      <c r="M84" s="154"/>
      <c r="N84" s="155">
        <f>SUM('Pay App 1:Pay App 27'!L84)+SUM('Pay App 1:Pay App 27'!M84)</f>
        <v>0</v>
      </c>
    </row>
    <row r="85" spans="1:14" ht="11.25" customHeight="1" x14ac:dyDescent="0.25">
      <c r="A85" s="152">
        <v>29</v>
      </c>
      <c r="B85" s="174" t="str">
        <f>'Pay App 1'!B85</f>
        <v>07 20 00</v>
      </c>
      <c r="C85" s="179" t="str">
        <f>'Pay App 1'!C85</f>
        <v>Insulation</v>
      </c>
      <c r="D85" s="155">
        <f>'Pay App 1'!D85</f>
        <v>0</v>
      </c>
      <c r="E85" s="155">
        <f>VLOOKUP(B85,'Graph Data'!$O$2:$BX$88,29,FALSE)</f>
        <v>0</v>
      </c>
      <c r="F85" s="155">
        <f>IFERROR(E85+'Pay App 26'!F85,"")</f>
        <v>0</v>
      </c>
      <c r="G85" s="155">
        <f>SUM('Pay App 1:Pay App 26'!H85)</f>
        <v>0</v>
      </c>
      <c r="H85" s="154"/>
      <c r="I85" s="155">
        <f t="shared" si="0"/>
        <v>0</v>
      </c>
      <c r="J85" s="156">
        <f t="shared" si="1"/>
        <v>0</v>
      </c>
      <c r="K85" s="155">
        <f t="shared" si="2"/>
        <v>0</v>
      </c>
      <c r="L85" s="155" t="str">
        <f>IF(AND('Summary Sheet'!$E$23="No",$H$33&gt;0,H85&gt;=1),"",IF(AND('Summary Sheet'!$E$23="Yes",H85&lt;&gt;""),H85*'Summary Sheet'!$G$23,""))</f>
        <v/>
      </c>
      <c r="M85" s="154"/>
      <c r="N85" s="155">
        <f>SUM('Pay App 1:Pay App 27'!L85)+SUM('Pay App 1:Pay App 27'!M85)</f>
        <v>0</v>
      </c>
    </row>
    <row r="86" spans="1:14" ht="11.25" customHeight="1" x14ac:dyDescent="0.25">
      <c r="A86" s="152">
        <v>30</v>
      </c>
      <c r="B86" s="174" t="str">
        <f>'Pay App 1'!B86</f>
        <v>07 24 00</v>
      </c>
      <c r="C86" s="179" t="str">
        <f>'Pay App 1'!C86</f>
        <v>EIFS</v>
      </c>
      <c r="D86" s="155">
        <f>'Pay App 1'!D86</f>
        <v>0</v>
      </c>
      <c r="E86" s="155">
        <f>VLOOKUP(B86,'Graph Data'!$O$2:$BX$88,29,FALSE)</f>
        <v>0</v>
      </c>
      <c r="F86" s="155">
        <f>IFERROR(E86+'Pay App 26'!F86,"")</f>
        <v>0</v>
      </c>
      <c r="G86" s="155">
        <f>SUM('Pay App 1:Pay App 26'!H86)</f>
        <v>0</v>
      </c>
      <c r="H86" s="154"/>
      <c r="I86" s="155">
        <f t="shared" si="0"/>
        <v>0</v>
      </c>
      <c r="J86" s="156">
        <f t="shared" si="1"/>
        <v>0</v>
      </c>
      <c r="K86" s="155">
        <f t="shared" si="2"/>
        <v>0</v>
      </c>
      <c r="L86" s="155" t="str">
        <f>IF(AND('Summary Sheet'!$E$23="No",$H$33&gt;0,H86&gt;=1),"",IF(AND('Summary Sheet'!$E$23="Yes",H86&lt;&gt;""),H86*'Summary Sheet'!$G$23,""))</f>
        <v/>
      </c>
      <c r="M86" s="154"/>
      <c r="N86" s="155">
        <f>SUM('Pay App 1:Pay App 27'!L86)+SUM('Pay App 1:Pay App 27'!M86)</f>
        <v>0</v>
      </c>
    </row>
    <row r="87" spans="1:14" ht="11.25" customHeight="1" x14ac:dyDescent="0.25">
      <c r="A87" s="152">
        <v>31</v>
      </c>
      <c r="B87" s="174" t="str">
        <f>'Pay App 1'!B87</f>
        <v>07 26 00</v>
      </c>
      <c r="C87" s="179" t="str">
        <f>'Pay App 1'!C87</f>
        <v>Vapor Retarders</v>
      </c>
      <c r="D87" s="155">
        <f>'Pay App 1'!D87</f>
        <v>0</v>
      </c>
      <c r="E87" s="155">
        <f>VLOOKUP(B87,'Graph Data'!$O$2:$BX$88,29,FALSE)</f>
        <v>0</v>
      </c>
      <c r="F87" s="155">
        <f>IFERROR(E87+'Pay App 26'!F87,"")</f>
        <v>0</v>
      </c>
      <c r="G87" s="155">
        <f>SUM('Pay App 1:Pay App 26'!H87)</f>
        <v>0</v>
      </c>
      <c r="H87" s="154"/>
      <c r="I87" s="155">
        <f t="shared" si="0"/>
        <v>0</v>
      </c>
      <c r="J87" s="156">
        <f t="shared" si="1"/>
        <v>0</v>
      </c>
      <c r="K87" s="155">
        <f t="shared" si="2"/>
        <v>0</v>
      </c>
      <c r="L87" s="155" t="str">
        <f>IF(AND('Summary Sheet'!$E$23="No",$H$33&gt;0,H87&gt;=1),"",IF(AND('Summary Sheet'!$E$23="Yes",H87&lt;&gt;""),H87*'Summary Sheet'!$G$23,""))</f>
        <v/>
      </c>
      <c r="M87" s="154"/>
      <c r="N87" s="155">
        <f>SUM('Pay App 1:Pay App 27'!L87)+SUM('Pay App 1:Pay App 27'!M87)</f>
        <v>0</v>
      </c>
    </row>
    <row r="88" spans="1:14" ht="11.25" customHeight="1" x14ac:dyDescent="0.25">
      <c r="A88" s="152">
        <v>32</v>
      </c>
      <c r="B88" s="174" t="str">
        <f>'Pay App 1'!B88</f>
        <v>07 41 00</v>
      </c>
      <c r="C88" s="179" t="str">
        <f>'Pay App 1'!C88</f>
        <v>Roofing</v>
      </c>
      <c r="D88" s="155">
        <f>'Pay App 1'!D88</f>
        <v>0</v>
      </c>
      <c r="E88" s="155">
        <f>VLOOKUP(B88,'Graph Data'!$O$2:$BX$88,29,FALSE)</f>
        <v>0</v>
      </c>
      <c r="F88" s="155">
        <f>IFERROR(E88+'Pay App 26'!F88,"")</f>
        <v>0</v>
      </c>
      <c r="G88" s="155">
        <f>SUM('Pay App 1:Pay App 26'!H88)</f>
        <v>0</v>
      </c>
      <c r="H88" s="154"/>
      <c r="I88" s="155">
        <f t="shared" si="0"/>
        <v>0</v>
      </c>
      <c r="J88" s="156">
        <f t="shared" si="1"/>
        <v>0</v>
      </c>
      <c r="K88" s="155">
        <f t="shared" si="2"/>
        <v>0</v>
      </c>
      <c r="L88" s="155" t="str">
        <f>IF(AND('Summary Sheet'!$E$23="No",$H$33&gt;0,H88&gt;=1),"",IF(AND('Summary Sheet'!$E$23="Yes",H88&lt;&gt;""),H88*'Summary Sheet'!$G$23,""))</f>
        <v/>
      </c>
      <c r="M88" s="154"/>
      <c r="N88" s="155">
        <f>SUM('Pay App 1:Pay App 27'!L88)+SUM('Pay App 1:Pay App 27'!M88)</f>
        <v>0</v>
      </c>
    </row>
    <row r="89" spans="1:14" ht="11.25" customHeight="1" x14ac:dyDescent="0.25">
      <c r="A89" s="152">
        <v>33</v>
      </c>
      <c r="B89" s="174" t="str">
        <f>'Pay App 1'!B89</f>
        <v>07 42 00</v>
      </c>
      <c r="C89" s="179" t="str">
        <f>'Pay App 1'!C89</f>
        <v>Metal Panels</v>
      </c>
      <c r="D89" s="155">
        <f>'Pay App 1'!D89</f>
        <v>0</v>
      </c>
      <c r="E89" s="155">
        <f>VLOOKUP(B89,'Graph Data'!$O$2:$BX$88,29,FALSE)</f>
        <v>0</v>
      </c>
      <c r="F89" s="155">
        <f>IFERROR(E89+'Pay App 26'!F89,"")</f>
        <v>0</v>
      </c>
      <c r="G89" s="155">
        <f>SUM('Pay App 1:Pay App 26'!H89)</f>
        <v>0</v>
      </c>
      <c r="H89" s="154"/>
      <c r="I89" s="155">
        <f t="shared" si="0"/>
        <v>0</v>
      </c>
      <c r="J89" s="156">
        <f t="shared" si="1"/>
        <v>0</v>
      </c>
      <c r="K89" s="155">
        <f t="shared" si="2"/>
        <v>0</v>
      </c>
      <c r="L89" s="155" t="str">
        <f>IF(AND('Summary Sheet'!$E$23="No",$H$33&gt;0,H89&gt;=1),"",IF(AND('Summary Sheet'!$E$23="Yes",H89&lt;&gt;""),H89*'Summary Sheet'!$G$23,""))</f>
        <v/>
      </c>
      <c r="M89" s="154"/>
      <c r="N89" s="155">
        <f>SUM('Pay App 1:Pay App 27'!L89)+SUM('Pay App 1:Pay App 27'!M89)</f>
        <v>0</v>
      </c>
    </row>
    <row r="90" spans="1:14" ht="11.25" customHeight="1" x14ac:dyDescent="0.25">
      <c r="A90" s="152">
        <v>34</v>
      </c>
      <c r="B90" s="174" t="str">
        <f>'Pay App 1'!B90</f>
        <v>07 60 00</v>
      </c>
      <c r="C90" s="179" t="str">
        <f>'Pay App 1'!C90</f>
        <v>Sheet Metal Flashing &amp; Trim</v>
      </c>
      <c r="D90" s="155">
        <f>'Pay App 1'!D90</f>
        <v>0</v>
      </c>
      <c r="E90" s="155">
        <f>VLOOKUP(B90,'Graph Data'!$O$2:$BX$88,29,FALSE)</f>
        <v>0</v>
      </c>
      <c r="F90" s="155">
        <f>IFERROR(E90+'Pay App 26'!F90,"")</f>
        <v>0</v>
      </c>
      <c r="G90" s="155">
        <f>SUM('Pay App 1:Pay App 26'!H90)</f>
        <v>0</v>
      </c>
      <c r="H90" s="154"/>
      <c r="I90" s="155">
        <f t="shared" si="0"/>
        <v>0</v>
      </c>
      <c r="J90" s="156">
        <f t="shared" si="1"/>
        <v>0</v>
      </c>
      <c r="K90" s="155">
        <f t="shared" si="2"/>
        <v>0</v>
      </c>
      <c r="L90" s="155" t="str">
        <f>IF(AND('Summary Sheet'!$E$23="No",$H$33&gt;0,H90&gt;=1),"",IF(AND('Summary Sheet'!$E$23="Yes",H90&lt;&gt;""),H90*'Summary Sheet'!$G$23,""))</f>
        <v/>
      </c>
      <c r="M90" s="154"/>
      <c r="N90" s="155">
        <f>SUM('Pay App 1:Pay App 27'!L90)+SUM('Pay App 1:Pay App 27'!M90)</f>
        <v>0</v>
      </c>
    </row>
    <row r="91" spans="1:14" ht="11.25" customHeight="1" x14ac:dyDescent="0.25">
      <c r="A91" s="152">
        <v>35</v>
      </c>
      <c r="B91" s="174" t="str">
        <f>'Pay App 1'!B91</f>
        <v>07 80 00</v>
      </c>
      <c r="C91" s="179" t="str">
        <f>'Pay App 1'!C91</f>
        <v>Fireproofing</v>
      </c>
      <c r="D91" s="155">
        <f>'Pay App 1'!D91</f>
        <v>0</v>
      </c>
      <c r="E91" s="155">
        <f>VLOOKUP(B91,'Graph Data'!$O$2:$BX$88,29,FALSE)</f>
        <v>0</v>
      </c>
      <c r="F91" s="155">
        <f>IFERROR(E91+'Pay App 26'!F91,"")</f>
        <v>0</v>
      </c>
      <c r="G91" s="155">
        <f>SUM('Pay App 1:Pay App 26'!H91)</f>
        <v>0</v>
      </c>
      <c r="H91" s="154"/>
      <c r="I91" s="155">
        <f t="shared" si="0"/>
        <v>0</v>
      </c>
      <c r="J91" s="156">
        <f t="shared" si="1"/>
        <v>0</v>
      </c>
      <c r="K91" s="155">
        <f t="shared" si="2"/>
        <v>0</v>
      </c>
      <c r="L91" s="155" t="str">
        <f>IF(AND('Summary Sheet'!$E$23="No",$H$33&gt;0,H91&gt;=1),"",IF(AND('Summary Sheet'!$E$23="Yes",H91&lt;&gt;""),H91*'Summary Sheet'!$G$23,""))</f>
        <v/>
      </c>
      <c r="M91" s="154"/>
      <c r="N91" s="155">
        <f>SUM('Pay App 1:Pay App 27'!L91)+SUM('Pay App 1:Pay App 27'!M91)</f>
        <v>0</v>
      </c>
    </row>
    <row r="92" spans="1:14" ht="11.25" customHeight="1" x14ac:dyDescent="0.25">
      <c r="A92" s="152">
        <v>36</v>
      </c>
      <c r="B92" s="174" t="str">
        <f>'Pay App 1'!B92</f>
        <v>07 90 00</v>
      </c>
      <c r="C92" s="179" t="str">
        <f>'Pay App 1'!C92</f>
        <v>Joint Sealants</v>
      </c>
      <c r="D92" s="155">
        <f>'Pay App 1'!D92</f>
        <v>0</v>
      </c>
      <c r="E92" s="155">
        <f>VLOOKUP(B92,'Graph Data'!$O$2:$BX$88,29,FALSE)</f>
        <v>0</v>
      </c>
      <c r="F92" s="155">
        <f>IFERROR(E92+'Pay App 26'!F92,"")</f>
        <v>0</v>
      </c>
      <c r="G92" s="155">
        <f>SUM('Pay App 1:Pay App 26'!H92)</f>
        <v>0</v>
      </c>
      <c r="H92" s="154"/>
      <c r="I92" s="155">
        <f t="shared" si="0"/>
        <v>0</v>
      </c>
      <c r="J92" s="156">
        <f t="shared" si="1"/>
        <v>0</v>
      </c>
      <c r="K92" s="155">
        <f t="shared" si="2"/>
        <v>0</v>
      </c>
      <c r="L92" s="155" t="str">
        <f>IF(AND('Summary Sheet'!$E$23="No",$H$33&gt;0,H92&gt;=1),"",IF(AND('Summary Sheet'!$E$23="Yes",H92&lt;&gt;""),H92*'Summary Sheet'!$G$23,""))</f>
        <v/>
      </c>
      <c r="M92" s="154"/>
      <c r="N92" s="155">
        <f>SUM('Pay App 1:Pay App 27'!L92)+SUM('Pay App 1:Pay App 27'!M92)</f>
        <v>0</v>
      </c>
    </row>
    <row r="93" spans="1:14" ht="11.25" customHeight="1" x14ac:dyDescent="0.25">
      <c r="A93" s="152">
        <v>37</v>
      </c>
      <c r="B93" s="174" t="str">
        <f>'Pay App 1'!B93</f>
        <v>07 95 00</v>
      </c>
      <c r="C93" s="179" t="str">
        <f>'Pay App 1'!C93</f>
        <v>Expansion Joints</v>
      </c>
      <c r="D93" s="155">
        <f>'Pay App 1'!D93</f>
        <v>0</v>
      </c>
      <c r="E93" s="155">
        <f>VLOOKUP(B93,'Graph Data'!$O$2:$BX$88,29,FALSE)</f>
        <v>0</v>
      </c>
      <c r="F93" s="155">
        <f>IFERROR(E93+'Pay App 26'!F93,"")</f>
        <v>0</v>
      </c>
      <c r="G93" s="155">
        <f>SUM('Pay App 1:Pay App 26'!H93)</f>
        <v>0</v>
      </c>
      <c r="H93" s="154"/>
      <c r="I93" s="155">
        <f t="shared" si="0"/>
        <v>0</v>
      </c>
      <c r="J93" s="156">
        <f t="shared" si="1"/>
        <v>0</v>
      </c>
      <c r="K93" s="155">
        <f t="shared" si="2"/>
        <v>0</v>
      </c>
      <c r="L93" s="155" t="str">
        <f>IF(AND('Summary Sheet'!$E$23="No",$H$33&gt;0,H93&gt;=1),"",IF(AND('Summary Sheet'!$E$23="Yes",H93&lt;&gt;""),H93*'Summary Sheet'!$G$23,""))</f>
        <v/>
      </c>
      <c r="M93" s="154"/>
      <c r="N93" s="155">
        <f>SUM('Pay App 1:Pay App 27'!L93)+SUM('Pay App 1:Pay App 27'!M93)</f>
        <v>0</v>
      </c>
    </row>
    <row r="94" spans="1:14" ht="11.25" customHeight="1" x14ac:dyDescent="0.25">
      <c r="A94" s="152">
        <v>38</v>
      </c>
      <c r="B94" s="175" t="str">
        <f>'Pay App 1'!B94</f>
        <v>08 10 00</v>
      </c>
      <c r="C94" s="180" t="str">
        <f>'Pay App 1'!C94</f>
        <v>Doors, Frames &amp; Hardware</v>
      </c>
      <c r="D94" s="155">
        <f>'Pay App 1'!D94</f>
        <v>0</v>
      </c>
      <c r="E94" s="155">
        <f>VLOOKUP(B94,'Graph Data'!$O$2:$BX$88,29,FALSE)</f>
        <v>0</v>
      </c>
      <c r="F94" s="155">
        <f>IFERROR(E94+'Pay App 26'!F94,"")</f>
        <v>0</v>
      </c>
      <c r="G94" s="155">
        <f>SUM('Pay App 1:Pay App 26'!H94)</f>
        <v>0</v>
      </c>
      <c r="H94" s="154"/>
      <c r="I94" s="155">
        <f t="shared" si="0"/>
        <v>0</v>
      </c>
      <c r="J94" s="156">
        <f t="shared" si="1"/>
        <v>0</v>
      </c>
      <c r="K94" s="155">
        <f t="shared" si="2"/>
        <v>0</v>
      </c>
      <c r="L94" s="155" t="str">
        <f>IF(AND('Summary Sheet'!$E$23="No",$H$33&gt;0,H94&gt;=1),"",IF(AND('Summary Sheet'!$E$23="Yes",H94&lt;&gt;""),H94*'Summary Sheet'!$G$23,""))</f>
        <v/>
      </c>
      <c r="M94" s="154"/>
      <c r="N94" s="155">
        <f>SUM('Pay App 1:Pay App 27'!L94)+SUM('Pay App 1:Pay App 27'!M94)</f>
        <v>0</v>
      </c>
    </row>
    <row r="95" spans="1:14" ht="11.25" customHeight="1" x14ac:dyDescent="0.25">
      <c r="A95" s="152">
        <v>39</v>
      </c>
      <c r="B95" s="175" t="str">
        <f>'Pay App 1'!B95</f>
        <v>08 30 00</v>
      </c>
      <c r="C95" s="180" t="str">
        <f>'Pay App 1'!C95</f>
        <v>Specialty Doors</v>
      </c>
      <c r="D95" s="155">
        <f>'Pay App 1'!D95</f>
        <v>0</v>
      </c>
      <c r="E95" s="155">
        <f>VLOOKUP(B95,'Graph Data'!$O$2:$BX$88,29,FALSE)</f>
        <v>0</v>
      </c>
      <c r="F95" s="155">
        <f>IFERROR(E95+'Pay App 26'!F95,"")</f>
        <v>0</v>
      </c>
      <c r="G95" s="155">
        <f>SUM('Pay App 1:Pay App 26'!H95)</f>
        <v>0</v>
      </c>
      <c r="H95" s="154"/>
      <c r="I95" s="155">
        <f t="shared" si="0"/>
        <v>0</v>
      </c>
      <c r="J95" s="156">
        <f t="shared" si="1"/>
        <v>0</v>
      </c>
      <c r="K95" s="155">
        <f t="shared" si="2"/>
        <v>0</v>
      </c>
      <c r="L95" s="155" t="str">
        <f>IF(AND('Summary Sheet'!$E$23="No",$H$33&gt;0,H95&gt;=1),"",IF(AND('Summary Sheet'!$E$23="Yes",H95&lt;&gt;""),H95*'Summary Sheet'!$G$23,""))</f>
        <v/>
      </c>
      <c r="M95" s="154"/>
      <c r="N95" s="155">
        <f>SUM('Pay App 1:Pay App 27'!L95)+SUM('Pay App 1:Pay App 27'!M95)</f>
        <v>0</v>
      </c>
    </row>
    <row r="96" spans="1:14" ht="11.25" customHeight="1" x14ac:dyDescent="0.25">
      <c r="A96" s="152">
        <v>40</v>
      </c>
      <c r="B96" s="175" t="str">
        <f>'Pay App 1'!B96</f>
        <v>08 33 00</v>
      </c>
      <c r="C96" s="180" t="str">
        <f>'Pay App 1'!C96</f>
        <v>Overhead Doors/Coiling Doors</v>
      </c>
      <c r="D96" s="155">
        <f>'Pay App 1'!D96</f>
        <v>0</v>
      </c>
      <c r="E96" s="155">
        <f>VLOOKUP(B96,'Graph Data'!$O$2:$BX$88,29,FALSE)</f>
        <v>0</v>
      </c>
      <c r="F96" s="155">
        <f>IFERROR(E96+'Pay App 26'!F96,"")</f>
        <v>0</v>
      </c>
      <c r="G96" s="155">
        <f>SUM('Pay App 1:Pay App 26'!H96)</f>
        <v>0</v>
      </c>
      <c r="H96" s="154"/>
      <c r="I96" s="155">
        <f t="shared" si="0"/>
        <v>0</v>
      </c>
      <c r="J96" s="156">
        <f t="shared" si="1"/>
        <v>0</v>
      </c>
      <c r="K96" s="155">
        <f t="shared" si="2"/>
        <v>0</v>
      </c>
      <c r="L96" s="155" t="str">
        <f>IF(AND('Summary Sheet'!$E$23="No",$H$33&gt;0,H96&gt;=1),"",IF(AND('Summary Sheet'!$E$23="Yes",H96&lt;&gt;""),H96*'Summary Sheet'!$G$23,""))</f>
        <v/>
      </c>
      <c r="M96" s="154"/>
      <c r="N96" s="155">
        <f>SUM('Pay App 1:Pay App 27'!L96)+SUM('Pay App 1:Pay App 27'!M96)</f>
        <v>0</v>
      </c>
    </row>
    <row r="97" spans="1:15" ht="11.25" customHeight="1" x14ac:dyDescent="0.25">
      <c r="A97" s="152">
        <v>41</v>
      </c>
      <c r="B97" s="175" t="str">
        <f>'Pay App 1'!B97</f>
        <v>08 40 00</v>
      </c>
      <c r="C97" s="180" t="str">
        <f>'Pay App 1'!C97</f>
        <v>Curtain Wall, Glass &amp; Glazing</v>
      </c>
      <c r="D97" s="155">
        <f>'Pay App 1'!D97</f>
        <v>0</v>
      </c>
      <c r="E97" s="155">
        <f>VLOOKUP(B97,'Graph Data'!$O$2:$BX$88,29,FALSE)</f>
        <v>0</v>
      </c>
      <c r="F97" s="155">
        <f>IFERROR(E97+'Pay App 26'!F97,"")</f>
        <v>0</v>
      </c>
      <c r="G97" s="155">
        <f>SUM('Pay App 1:Pay App 26'!H97)</f>
        <v>0</v>
      </c>
      <c r="H97" s="154"/>
      <c r="I97" s="155">
        <f t="shared" si="0"/>
        <v>0</v>
      </c>
      <c r="J97" s="156">
        <f t="shared" si="1"/>
        <v>0</v>
      </c>
      <c r="K97" s="155">
        <f t="shared" si="2"/>
        <v>0</v>
      </c>
      <c r="L97" s="155" t="str">
        <f>IF(AND('Summary Sheet'!$E$23="No",$H$33&gt;0,H97&gt;=1),"",IF(AND('Summary Sheet'!$E$23="Yes",H97&lt;&gt;""),H97*'Summary Sheet'!$G$23,""))</f>
        <v/>
      </c>
      <c r="M97" s="154"/>
      <c r="N97" s="155">
        <f>SUM('Pay App 1:Pay App 27'!L97)+SUM('Pay App 1:Pay App 27'!M97)</f>
        <v>0</v>
      </c>
    </row>
    <row r="98" spans="1:15" ht="10.9" customHeight="1" x14ac:dyDescent="0.25">
      <c r="A98" s="152">
        <v>42</v>
      </c>
      <c r="B98" s="175" t="str">
        <f>'Pay App 1'!B98</f>
        <v>08 60 00</v>
      </c>
      <c r="C98" s="180" t="str">
        <f>'Pay App 1'!C98</f>
        <v>Skylights</v>
      </c>
      <c r="D98" s="155">
        <f>'Pay App 1'!D98</f>
        <v>0</v>
      </c>
      <c r="E98" s="155">
        <f>VLOOKUP(B98,'Graph Data'!$O$2:$BX$88,29,FALSE)</f>
        <v>0</v>
      </c>
      <c r="F98" s="155">
        <f>IFERROR(E98+'Pay App 26'!F98,"")</f>
        <v>0</v>
      </c>
      <c r="G98" s="155">
        <f>SUM('Pay App 1:Pay App 26'!H98)</f>
        <v>0</v>
      </c>
      <c r="H98" s="154"/>
      <c r="I98" s="155">
        <f t="shared" si="0"/>
        <v>0</v>
      </c>
      <c r="J98" s="156">
        <f t="shared" si="1"/>
        <v>0</v>
      </c>
      <c r="K98" s="155">
        <f t="shared" si="2"/>
        <v>0</v>
      </c>
      <c r="L98" s="155" t="str">
        <f>IF(AND('Summary Sheet'!$E$23="No",$H$33&gt;0,H98&gt;=1),"",IF(AND('Summary Sheet'!$E$23="Yes",H98&lt;&gt;""),H98*'Summary Sheet'!$G$23,""))</f>
        <v/>
      </c>
      <c r="M98" s="154"/>
      <c r="N98" s="155">
        <f>SUM('Pay App 1:Pay App 27'!L98)+SUM('Pay App 1:Pay App 27'!M98)</f>
        <v>0</v>
      </c>
    </row>
    <row r="99" spans="1:15" ht="10.9" customHeight="1" x14ac:dyDescent="0.25">
      <c r="A99" s="152">
        <v>43</v>
      </c>
      <c r="B99" s="175" t="str">
        <f>'Pay App 1'!B99</f>
        <v>08 90 00</v>
      </c>
      <c r="C99" s="180" t="str">
        <f>'Pay App 1'!C99</f>
        <v>Louvers &amp; Vents</v>
      </c>
      <c r="D99" s="155">
        <f>'Pay App 1'!D99</f>
        <v>0</v>
      </c>
      <c r="E99" s="155">
        <f>VLOOKUP(B99,'Graph Data'!$O$2:$BX$88,29,FALSE)</f>
        <v>0</v>
      </c>
      <c r="F99" s="155">
        <f>IFERROR(E99+'Pay App 26'!F99,"")</f>
        <v>0</v>
      </c>
      <c r="G99" s="155">
        <f>SUM('Pay App 1:Pay App 26'!H99)</f>
        <v>0</v>
      </c>
      <c r="H99" s="154"/>
      <c r="I99" s="155">
        <f t="shared" si="0"/>
        <v>0</v>
      </c>
      <c r="J99" s="156">
        <f t="shared" si="1"/>
        <v>0</v>
      </c>
      <c r="K99" s="155">
        <f t="shared" si="2"/>
        <v>0</v>
      </c>
      <c r="L99" s="155" t="str">
        <f>IF(AND('Summary Sheet'!$E$23="No",$H$33&gt;0,H99&gt;=1),"",IF(AND('Summary Sheet'!$E$23="Yes",H99&lt;&gt;""),H99*'Summary Sheet'!$G$23,""))</f>
        <v/>
      </c>
      <c r="M99" s="154"/>
      <c r="N99" s="155">
        <f>SUM('Pay App 1:Pay App 27'!L99)+SUM('Pay App 1:Pay App 27'!M99)</f>
        <v>0</v>
      </c>
    </row>
    <row r="100" spans="1:15" ht="11.25" customHeight="1" x14ac:dyDescent="0.25">
      <c r="A100" s="153">
        <v>44</v>
      </c>
      <c r="B100" s="176" t="str">
        <f>'Pay App 1'!B100</f>
        <v>09 20 00</v>
      </c>
      <c r="C100" s="181" t="str">
        <f>'Pay App 1'!C100</f>
        <v>Gypsum Board Systems</v>
      </c>
      <c r="D100" s="155">
        <f>'Pay App 1'!D100</f>
        <v>0</v>
      </c>
      <c r="E100" s="155">
        <f>VLOOKUP(B100,'Graph Data'!$O$2:$BX$88,29,FALSE)</f>
        <v>0</v>
      </c>
      <c r="F100" s="155">
        <f>IFERROR(E100+'Pay App 26'!F100,"")</f>
        <v>0</v>
      </c>
      <c r="G100" s="155">
        <f>SUM('Pay App 1:Pay App 26'!H100)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27'!L100)+SUM('Pay App 1:Pay App 27'!M100)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27.2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Data'!$O$2:$BX$88,29,FALSE)</f>
        <v>0</v>
      </c>
      <c r="F106" s="155">
        <f>IFERROR(E106+'Pay App 26'!F106,"")</f>
        <v>0</v>
      </c>
      <c r="G106" s="155">
        <f>SUM('Pay App 1:Pay App 26'!H106)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27'!L106)+SUM('Pay App 1:Pay App 27'!M106)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Data'!$O$2:$BX$88,29,FALSE)</f>
        <v>0</v>
      </c>
      <c r="F107" s="155">
        <f>IFERROR(E107+'Pay App 26'!F107,"")</f>
        <v>0</v>
      </c>
      <c r="G107" s="155">
        <f>SUM('Pay App 1:Pay App 26'!H107)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27'!L107)+SUM('Pay App 1:Pay App 27'!M107)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Data'!$O$2:$BX$88,29,FALSE)</f>
        <v>0</v>
      </c>
      <c r="F108" s="155">
        <f>IFERROR(E108+'Pay App 26'!F108,"")</f>
        <v>0</v>
      </c>
      <c r="G108" s="155">
        <f>SUM('Pay App 1:Pay App 26'!H108)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27'!L108)+SUM('Pay App 1:Pay App 27'!M108)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Data'!$O$2:$BX$88,29,FALSE)</f>
        <v>0</v>
      </c>
      <c r="F109" s="155">
        <f>IFERROR(E109+'Pay App 26'!F109,"")</f>
        <v>0</v>
      </c>
      <c r="G109" s="155">
        <f>SUM('Pay App 1:Pay App 26'!H109)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27'!L109)+SUM('Pay App 1:Pay App 27'!M109)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Data'!$O$2:$BX$88,29,FALSE)</f>
        <v>0</v>
      </c>
      <c r="F110" s="155">
        <f>IFERROR(E110+'Pay App 26'!F110,"")</f>
        <v>0</v>
      </c>
      <c r="G110" s="155">
        <f>SUM('Pay App 1:Pay App 26'!H110)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27'!L110)+SUM('Pay App 1:Pay App 27'!M110)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Data'!$O$2:$BX$88,29,FALSE)</f>
        <v>0</v>
      </c>
      <c r="F111" s="155">
        <f>IFERROR(E111+'Pay App 26'!F111,"")</f>
        <v>0</v>
      </c>
      <c r="G111" s="155">
        <f>SUM('Pay App 1:Pay App 26'!H111)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27'!L111)+SUM('Pay App 1:Pay App 27'!M111)</f>
        <v>0</v>
      </c>
    </row>
    <row r="112" spans="1:15" ht="11.25" customHeight="1" x14ac:dyDescent="0.25">
      <c r="A112" s="152">
        <f t="shared" si="3"/>
        <v>51</v>
      </c>
      <c r="B112" s="148" t="str">
        <f>'Pay App 1'!B112</f>
        <v>09 90 00</v>
      </c>
      <c r="C112" s="143" t="str">
        <f>'Pay App 1'!C112</f>
        <v>Painting</v>
      </c>
      <c r="D112" s="155">
        <f>'Pay App 1'!D112</f>
        <v>0</v>
      </c>
      <c r="E112" s="155">
        <f>VLOOKUP(B112,'Graph Data'!$O$2:$BX$88,29,FALSE)</f>
        <v>0</v>
      </c>
      <c r="F112" s="155">
        <f>IFERROR(E112+'Pay App 26'!F112,"")</f>
        <v>0</v>
      </c>
      <c r="G112" s="155">
        <f>SUM('Pay App 1:Pay App 26'!H112)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27'!L112)+SUM('Pay App 1:Pay App 27'!M112)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Data'!$O$2:$BX$88,29,FALSE)</f>
        <v>0</v>
      </c>
      <c r="F113" s="155">
        <f>IFERROR(E113+'Pay App 26'!F113,"")</f>
        <v>0</v>
      </c>
      <c r="G113" s="155">
        <f>SUM('Pay App 1:Pay App 26'!H113)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27'!L113)+SUM('Pay App 1:Pay App 27'!M113)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Data'!$O$2:$BX$88,29,FALSE)</f>
        <v>0</v>
      </c>
      <c r="F114" s="155">
        <f>IFERROR(E114+'Pay App 26'!F114,"")</f>
        <v>0</v>
      </c>
      <c r="G114" s="155">
        <f>SUM('Pay App 1:Pay App 26'!H114)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27'!L114)+SUM('Pay App 1:Pay App 27'!M114)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Data'!$O$2:$BX$88,29,FALSE)</f>
        <v>0</v>
      </c>
      <c r="F115" s="155">
        <f>IFERROR(E115+'Pay App 26'!F115,"")</f>
        <v>0</v>
      </c>
      <c r="G115" s="155">
        <f>SUM('Pay App 1:Pay App 26'!H115)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27'!L115)+SUM('Pay App 1:Pay App 27'!M115)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Data'!$O$2:$BX$88,29,FALSE)</f>
        <v>0</v>
      </c>
      <c r="F116" s="155">
        <f>IFERROR(E116+'Pay App 26'!F116,"")</f>
        <v>0</v>
      </c>
      <c r="G116" s="155">
        <f>SUM('Pay App 1:Pay App 26'!H116)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27'!L116)+SUM('Pay App 1:Pay App 27'!M116)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Data'!$O$2:$BX$88,29,FALSE)</f>
        <v>0</v>
      </c>
      <c r="F117" s="155">
        <f>IFERROR(E117+'Pay App 26'!F117,"")</f>
        <v>0</v>
      </c>
      <c r="G117" s="155">
        <f>SUM('Pay App 1:Pay App 26'!H117)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27'!L117)+SUM('Pay App 1:Pay App 27'!M117)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Data'!$O$2:$BX$88,29,FALSE)</f>
        <v>0</v>
      </c>
      <c r="F118" s="155">
        <f>IFERROR(E118+'Pay App 26'!F118,"")</f>
        <v>0</v>
      </c>
      <c r="G118" s="155">
        <f>SUM('Pay App 1:Pay App 26'!H118)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27'!L118)+SUM('Pay App 1:Pay App 27'!M118)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Data'!$O$2:$BX$88,29,FALSE)</f>
        <v>0</v>
      </c>
      <c r="F119" s="155">
        <f>IFERROR(E119+'Pay App 26'!F119,"")</f>
        <v>0</v>
      </c>
      <c r="G119" s="155">
        <f>SUM('Pay App 1:Pay App 26'!H119)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27'!L119)+SUM('Pay App 1:Pay App 27'!M119)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Data'!$O$2:$BX$88,29,FALSE)</f>
        <v>0</v>
      </c>
      <c r="F120" s="155">
        <f>IFERROR(E120+'Pay App 26'!F120,"")</f>
        <v>0</v>
      </c>
      <c r="G120" s="155">
        <f>SUM('Pay App 1:Pay App 26'!H120)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27'!L120)+SUM('Pay App 1:Pay App 27'!M120)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Data'!$O$2:$BX$88,29,FALSE)</f>
        <v>0</v>
      </c>
      <c r="F121" s="155">
        <f>IFERROR(E121+'Pay App 26'!F121,"")</f>
        <v>0</v>
      </c>
      <c r="G121" s="155">
        <f>SUM('Pay App 1:Pay App 26'!H121)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27'!L121)+SUM('Pay App 1:Pay App 27'!M121)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Data'!$O$2:$BX$88,29,FALSE)</f>
        <v>0</v>
      </c>
      <c r="F122" s="155">
        <f>IFERROR(E122+'Pay App 26'!F122,"")</f>
        <v>0</v>
      </c>
      <c r="G122" s="155">
        <f>SUM('Pay App 1:Pay App 26'!H122)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27'!L122)+SUM('Pay App 1:Pay App 27'!M122)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Data'!$O$2:$BX$88,29,FALSE)</f>
        <v>0</v>
      </c>
      <c r="F123" s="155">
        <f>IFERROR(E123+'Pay App 26'!F123,"")</f>
        <v>0</v>
      </c>
      <c r="G123" s="155">
        <f>SUM('Pay App 1:Pay App 26'!H123)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27'!L123)+SUM('Pay App 1:Pay App 27'!M123)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Data'!$O$2:$BX$88,29,FALSE)</f>
        <v>0</v>
      </c>
      <c r="F124" s="155">
        <f>IFERROR(E124+'Pay App 26'!F124,"")</f>
        <v>0</v>
      </c>
      <c r="G124" s="155">
        <f>SUM('Pay App 1:Pay App 26'!H124)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27'!L124)+SUM('Pay App 1:Pay App 27'!M124)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Data'!$O$2:$BX$88,29,FALSE)</f>
        <v>0</v>
      </c>
      <c r="F125" s="155">
        <f>IFERROR(E125+'Pay App 26'!F125,"")</f>
        <v>0</v>
      </c>
      <c r="G125" s="155">
        <f>SUM('Pay App 1:Pay App 26'!H125)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27'!L125)+SUM('Pay App 1:Pay App 27'!M125)</f>
        <v>0</v>
      </c>
    </row>
    <row r="126" spans="1:14" ht="11.25" customHeight="1" x14ac:dyDescent="0.25">
      <c r="A126" s="152">
        <f t="shared" si="3"/>
        <v>65</v>
      </c>
      <c r="B126" s="188" t="str">
        <f>'Pay App 1'!B126</f>
        <v>14 20 00</v>
      </c>
      <c r="C126" s="194" t="str">
        <f>'Pay App 1'!C126</f>
        <v>Elevator</v>
      </c>
      <c r="D126" s="155">
        <f>'Pay App 1'!D126</f>
        <v>0</v>
      </c>
      <c r="E126" s="155">
        <f>VLOOKUP(B126,'Graph Data'!$O$2:$BX$88,29,FALSE)</f>
        <v>0</v>
      </c>
      <c r="F126" s="155">
        <f>IFERROR(E126+'Pay App 26'!F126,"")</f>
        <v>0</v>
      </c>
      <c r="G126" s="155">
        <f>SUM('Pay App 1:Pay App 26'!H126)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27'!L126)+SUM('Pay App 1:Pay App 27'!M126)</f>
        <v>0</v>
      </c>
    </row>
    <row r="127" spans="1:14" ht="11.25" customHeight="1" x14ac:dyDescent="0.25">
      <c r="A127" s="152">
        <f t="shared" si="3"/>
        <v>66</v>
      </c>
      <c r="B127" s="188" t="str">
        <f>'Pay App 1'!B127</f>
        <v>14 40 00</v>
      </c>
      <c r="C127" s="194" t="str">
        <f>'Pay App 1'!C127</f>
        <v>Lifts</v>
      </c>
      <c r="D127" s="155">
        <f>'Pay App 1'!D127</f>
        <v>0</v>
      </c>
      <c r="E127" s="155">
        <f>VLOOKUP(B127,'Graph Data'!$O$2:$BX$88,29,FALSE)</f>
        <v>0</v>
      </c>
      <c r="F127" s="155">
        <f>IFERROR(E127+'Pay App 26'!F127,"")</f>
        <v>0</v>
      </c>
      <c r="G127" s="155">
        <f>SUM('Pay App 1:Pay App 26'!H127)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27'!L127)+SUM('Pay App 1:Pay App 27'!M127)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Data'!$O$2:$BX$88,29,FALSE)</f>
        <v>0</v>
      </c>
      <c r="F128" s="155">
        <f>IFERROR(E128+'Pay App 26'!F128,"")</f>
        <v>0</v>
      </c>
      <c r="G128" s="155">
        <f>SUM('Pay App 1:Pay App 26'!H128)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27'!L128)+SUM('Pay App 1:Pay App 27'!M128)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Data'!$O$2:$BX$88,29,FALSE)</f>
        <v>0</v>
      </c>
      <c r="F129" s="155">
        <f>IFERROR(E129+'Pay App 26'!F129,"")</f>
        <v>0</v>
      </c>
      <c r="G129" s="155">
        <f>SUM('Pay App 1:Pay App 26'!H129)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27'!L129)+SUM('Pay App 1:Pay App 27'!M129)</f>
        <v>0</v>
      </c>
    </row>
    <row r="130" spans="1:14" ht="11.25" customHeight="1" x14ac:dyDescent="0.25">
      <c r="A130" s="152">
        <f t="shared" si="3"/>
        <v>69</v>
      </c>
      <c r="B130" s="185" t="str">
        <f>'Pay App 1'!B130</f>
        <v>22 00 00</v>
      </c>
      <c r="C130" s="191" t="str">
        <f>'Pay App 1'!C130</f>
        <v>Plumbing</v>
      </c>
      <c r="D130" s="155">
        <f>'Pay App 1'!D130</f>
        <v>0</v>
      </c>
      <c r="E130" s="155">
        <f>VLOOKUP(B130,'Graph Data'!$O$2:$BX$88,29,FALSE)</f>
        <v>0</v>
      </c>
      <c r="F130" s="155">
        <f>IFERROR(E130+'Pay App 26'!F130,"")</f>
        <v>0</v>
      </c>
      <c r="G130" s="155">
        <f>SUM('Pay App 1:Pay App 26'!H130)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27'!L130)+SUM('Pay App 1:Pay App 27'!M130)</f>
        <v>0</v>
      </c>
    </row>
    <row r="131" spans="1:14" ht="11.25" customHeight="1" x14ac:dyDescent="0.25">
      <c r="A131" s="152">
        <f t="shared" si="3"/>
        <v>70</v>
      </c>
      <c r="B131" s="186" t="str">
        <f>'Pay App 1'!B131</f>
        <v>23 00 00</v>
      </c>
      <c r="C131" s="192" t="str">
        <f>'Pay App 1'!C131</f>
        <v>HVAC</v>
      </c>
      <c r="D131" s="155">
        <f>'Pay App 1'!D131</f>
        <v>0</v>
      </c>
      <c r="E131" s="155">
        <f>VLOOKUP(B131,'Graph Data'!$O$2:$BX$88,29,FALSE)</f>
        <v>0</v>
      </c>
      <c r="F131" s="155">
        <f>IFERROR(E131+'Pay App 26'!F131,"")</f>
        <v>0</v>
      </c>
      <c r="G131" s="155">
        <f>SUM('Pay App 1:Pay App 26'!H131)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27'!L131)+SUM('Pay App 1:Pay App 27'!M131)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Data'!$O$2:$BX$88,29,FALSE)</f>
        <v>0</v>
      </c>
      <c r="F132" s="155">
        <f>IFERROR(E132+'Pay App 26'!F132,"")</f>
        <v>0</v>
      </c>
      <c r="G132" s="155">
        <f>SUM('Pay App 1:Pay App 26'!H132)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27'!L132)+SUM('Pay App 1:Pay App 27'!M132)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Data'!$O$2:$BX$88,29,FALSE)</f>
        <v>0</v>
      </c>
      <c r="F133" s="155">
        <f>IFERROR(E133+'Pay App 26'!F133,"")</f>
        <v>0</v>
      </c>
      <c r="G133" s="155">
        <f>SUM('Pay App 1:Pay App 26'!H133)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27'!L133)+SUM('Pay App 1:Pay App 27'!M133)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Data'!$O$2:$BX$88,29,FALSE)</f>
        <v>0</v>
      </c>
      <c r="F134" s="155">
        <f>IFERROR(E134+'Pay App 26'!F134,"")</f>
        <v>0</v>
      </c>
      <c r="G134" s="155">
        <f>SUM('Pay App 1:Pay App 26'!H134)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27'!L134)+SUM('Pay App 1:Pay App 27'!M134)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Data'!$O$2:$BX$88,29,FALSE)</f>
        <v>0</v>
      </c>
      <c r="F135" s="155">
        <f>IFERROR(E135+'Pay App 26'!F135,"")</f>
        <v>0</v>
      </c>
      <c r="G135" s="155">
        <f>SUM('Pay App 1:Pay App 26'!H135)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27'!L135)+SUM('Pay App 1:Pay App 27'!M135)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Data'!$O$2:$BX$88,29,FALSE)</f>
        <v>0</v>
      </c>
      <c r="F136" s="155">
        <f>IFERROR(E136+'Pay App 26'!F136,"")</f>
        <v>0</v>
      </c>
      <c r="G136" s="155">
        <f>SUM('Pay App 1:Pay App 26'!H136)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27'!L136)+SUM('Pay App 1:Pay App 27'!M136)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Data'!$O$2:$BX$88,29,FALSE)</f>
        <v>0</v>
      </c>
      <c r="F137" s="155">
        <f>IFERROR(E137+'Pay App 26'!F137,"")</f>
        <v>0</v>
      </c>
      <c r="G137" s="155">
        <f>SUM('Pay App 1:Pay App 26'!H137)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27'!L137)+SUM('Pay App 1:Pay App 27'!M137)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Data'!$O$2:$BX$88,29,FALSE)</f>
        <v>0</v>
      </c>
      <c r="F138" s="155">
        <f>IFERROR(E138+'Pay App 26'!F138,"")</f>
        <v>0</v>
      </c>
      <c r="G138" s="155">
        <f>SUM('Pay App 1:Pay App 26'!H138)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27'!L138)+SUM('Pay App 1:Pay App 27'!M138)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Data'!$O$2:$BX$88,29,FALSE)</f>
        <v>0</v>
      </c>
      <c r="F139" s="155">
        <f>IFERROR(E139+'Pay App 26'!F139,"")</f>
        <v>0</v>
      </c>
      <c r="G139" s="155">
        <f>SUM('Pay App 1:Pay App 26'!H139)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27'!L139)+SUM('Pay App 1:Pay App 27'!M139)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Data'!$O$2:$BX$88,29,FALSE)</f>
        <v>0</v>
      </c>
      <c r="F140" s="155">
        <f>IFERROR(E140+'Pay App 26'!F140,"")</f>
        <v>0</v>
      </c>
      <c r="G140" s="155">
        <f>SUM('Pay App 1:Pay App 26'!H140)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27'!L140)+SUM('Pay App 1:Pay App 27'!M140)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Data'!$O$2:$BX$88,29,FALSE)</f>
        <v>0</v>
      </c>
      <c r="F141" s="155">
        <f>IFERROR(E141+'Pay App 26'!F141,"")</f>
        <v>0</v>
      </c>
      <c r="G141" s="155">
        <f>SUM('Pay App 1:Pay App 26'!H141)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27'!L141)+SUM('Pay App 1:Pay App 27'!M141)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Data'!$O$2:$BX$88,29,FALSE)</f>
        <v>0</v>
      </c>
      <c r="F142" s="155">
        <f>IFERROR(E142+'Pay App 26'!F142,"")</f>
        <v>0</v>
      </c>
      <c r="G142" s="155">
        <f>SUM('Pay App 1:Pay App 26'!H142)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27'!L142)+SUM('Pay App 1:Pay App 27'!M142)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Data'!$O$2:$BX$88,29,FALSE)</f>
        <v>0</v>
      </c>
      <c r="F143" s="155">
        <f>IFERROR(E143+'Pay App 26'!F143,"")</f>
        <v>0</v>
      </c>
      <c r="G143" s="155">
        <f>SUM('Pay App 1:Pay App 26'!H143)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27'!L143)+SUM('Pay App 1:Pay App 27'!M143)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Data'!$O$2:$BX$88,29,FALSE)</f>
        <v>0</v>
      </c>
      <c r="F144" s="155">
        <f>IFERROR(E144+'Pay App 26'!F144,"")</f>
        <v>0</v>
      </c>
      <c r="G144" s="155">
        <f>SUM('Pay App 1:Pay App 26'!H144)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27'!L144)+SUM('Pay App 1:Pay App 27'!M144)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Data'!$O$2:$BX$88,29,FALSE)</f>
        <v>0</v>
      </c>
      <c r="F145" s="155">
        <f>IFERROR(E145+'Pay App 26'!F145,"")</f>
        <v>0</v>
      </c>
      <c r="G145" s="155">
        <f>SUM('Pay App 1:Pay App 26'!H145)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27'!L145)+SUM('Pay App 1:Pay App 27'!M145)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Data'!$O$2:$BX$88,29,FALSE)</f>
        <v>0</v>
      </c>
      <c r="F146" s="155">
        <f>IFERROR(E146+'Pay App 26'!F146,"")</f>
        <v>0</v>
      </c>
      <c r="G146" s="155">
        <f>SUM('Pay App 1:Pay App 26'!H146)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27'!L146)+SUM('Pay App 1:Pay App 27'!M146)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Data'!$O$2:$BX$88,29,FALSE)</f>
        <v>0</v>
      </c>
      <c r="F147" s="155">
        <f>IFERROR(E147+'Pay App 26'!F147,"")</f>
        <v>0</v>
      </c>
      <c r="G147" s="155">
        <f>SUM('Pay App 1:Pay App 26'!H147)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27'!L147)+SUM('Pay App 1:Pay App 27'!M147)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Data'!$O$2:$BX$88,29,FALSE)</f>
        <v>0</v>
      </c>
      <c r="F148" s="155">
        <f>IFERROR(E148+'Pay App 26'!F148,"")</f>
        <v>0</v>
      </c>
      <c r="G148" s="155">
        <f>SUM('Pay App 1:Pay App 26'!H148)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27'!L148)+SUM('Pay App 1:Pay App 27'!M148)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9ev7lWE3lWPsFlA0uDZfYqa4jByQcMHcRH0gloGYisxG1uzdi57jJs088SiefDw5jea9CPnFdxpM94MIv22o5Q==" saltValue="yl3efU9Upejb0qwaYxZ0l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73" priority="2" operator="equal">
      <formula>0</formula>
    </cfRule>
  </conditionalFormatting>
  <conditionalFormatting sqref="D106:G148">
    <cfRule type="cellIs" dxfId="372" priority="1" operator="equal">
      <formula>0</formula>
    </cfRule>
  </conditionalFormatting>
  <conditionalFormatting sqref="D10:H10 D12:H14 D19:H21">
    <cfRule type="cellIs" dxfId="371" priority="6" operator="equal">
      <formula>0</formula>
    </cfRule>
  </conditionalFormatting>
  <conditionalFormatting sqref="H51">
    <cfRule type="cellIs" dxfId="370" priority="9" operator="lessThan">
      <formula>0</formula>
    </cfRule>
  </conditionalFormatting>
  <conditionalFormatting sqref="I57:I100 K57:K100 I106:I148 K106:K148 N106:N148">
    <cfRule type="cellIs" dxfId="369" priority="14" operator="equal">
      <formula>0</formula>
    </cfRule>
  </conditionalFormatting>
  <conditionalFormatting sqref="J57:J100 J106:J149">
    <cfRule type="cellIs" dxfId="368" priority="11" operator="greaterThan">
      <formula>1</formula>
    </cfRule>
    <cfRule type="cellIs" dxfId="367" priority="12" operator="equal">
      <formula>0</formula>
    </cfRule>
  </conditionalFormatting>
  <conditionalFormatting sqref="K57:K100 K106:K148">
    <cfRule type="cellIs" dxfId="366" priority="10" operator="lessThan">
      <formula>0</formula>
    </cfRule>
  </conditionalFormatting>
  <conditionalFormatting sqref="M57:M100">
    <cfRule type="cellIs" dxfId="365" priority="13" operator="lessThan">
      <formula>0</formula>
    </cfRule>
  </conditionalFormatting>
  <conditionalFormatting sqref="M106:M148">
    <cfRule type="cellIs" dxfId="364" priority="8" operator="lessThan">
      <formula>0</formula>
    </cfRule>
  </conditionalFormatting>
  <conditionalFormatting sqref="N57:N100">
    <cfRule type="cellIs" dxfId="36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04C8AA32-F363-47F0-8554-E24457B98396}">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B53C5-AEFF-4538-A352-0E9D2BA7220A}">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28.1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Data'!$O$2:$BX$88,30,FALSE)</f>
        <v>0</v>
      </c>
      <c r="F57" s="155">
        <f>IFERROR(E57+'Pay App 27'!F57,"")</f>
        <v>0</v>
      </c>
      <c r="G57" s="155">
        <f>SUM('Pay App 1:Pay App 27'!H57)</f>
        <v>0</v>
      </c>
      <c r="H57" s="154"/>
      <c r="I57" s="155">
        <f>G57+H57</f>
        <v>0</v>
      </c>
      <c r="J57" s="156">
        <f>IFERROR(I57/F57,0)</f>
        <v>0</v>
      </c>
      <c r="K57" s="155">
        <f>IFERROR(F57-I57,"")</f>
        <v>0</v>
      </c>
      <c r="L57" s="155" t="str">
        <f>IF(AND('Summary Sheet'!$E$23="No",$H$33&gt;0,H57&gt;=1),"",IF(AND('Summary Sheet'!$E$23="Yes",H57&lt;&gt;""),H57*'Summary Sheet'!$G$23,""))</f>
        <v/>
      </c>
      <c r="M57" s="154"/>
      <c r="N57" s="155">
        <f>SUM('Pay App 1:Pay App 28'!L57)+SUM('Pay App 1:Pay App 28'!M57)</f>
        <v>0</v>
      </c>
    </row>
    <row r="58" spans="1:16" ht="11.25" customHeight="1" x14ac:dyDescent="0.25">
      <c r="A58" s="152">
        <v>2</v>
      </c>
      <c r="B58" s="145" t="str">
        <f>'Pay App 1'!B58</f>
        <v>00 02 00</v>
      </c>
      <c r="C58" s="134" t="str">
        <f>'Pay App 1'!C58</f>
        <v>Preconstruction Services</v>
      </c>
      <c r="D58" s="155">
        <f>'Pay App 1'!D58</f>
        <v>0</v>
      </c>
      <c r="E58" s="155">
        <f>VLOOKUP(B58,'Graph Data'!$O$2:$BX$88,30,FALSE)</f>
        <v>0</v>
      </c>
      <c r="F58" s="155">
        <f>IFERROR(E58+'Pay App 27'!F58,"")</f>
        <v>0</v>
      </c>
      <c r="G58" s="155">
        <f>SUM('Pay App 1:Pay App 27'!H58)</f>
        <v>0</v>
      </c>
      <c r="H58" s="154"/>
      <c r="I58" s="155">
        <f>G58+H58</f>
        <v>0</v>
      </c>
      <c r="J58" s="156">
        <f>IFERROR(I58/F58,0)</f>
        <v>0</v>
      </c>
      <c r="K58" s="155">
        <f>IFERROR(F58-I58,"")</f>
        <v>0</v>
      </c>
      <c r="L58" s="155" t="str">
        <f>IF(AND('Summary Sheet'!$E$23="No",$H$33&gt;0,H58&gt;=1),"",IF(AND('Summary Sheet'!$E$23="Yes",H58&lt;&gt;""),H58*'Summary Sheet'!$G$23,""))</f>
        <v/>
      </c>
      <c r="M58" s="154"/>
      <c r="N58" s="155">
        <f>SUM('Pay App 1:Pay App 28'!L58)+SUM('Pay App 1:Pay App 28'!M58)</f>
        <v>0</v>
      </c>
    </row>
    <row r="59" spans="1:16" ht="11.25" customHeight="1" x14ac:dyDescent="0.25">
      <c r="A59" s="152">
        <v>3</v>
      </c>
      <c r="B59" s="174" t="str">
        <f>'Pay App 1'!B59</f>
        <v>01 00 00</v>
      </c>
      <c r="C59" s="179" t="str">
        <f>'Pay App 1'!C59</f>
        <v>General Conditions/Requirements</v>
      </c>
      <c r="D59" s="155">
        <f>'Pay App 1'!D59</f>
        <v>0</v>
      </c>
      <c r="E59" s="155">
        <f>VLOOKUP(B59,'Graph Data'!$O$2:$BX$88,30,FALSE)</f>
        <v>0</v>
      </c>
      <c r="F59" s="155">
        <f>IFERROR(E59+'Pay App 27'!F59,"")</f>
        <v>0</v>
      </c>
      <c r="G59" s="155">
        <f>SUM('Pay App 1:Pay App 27'!H59)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28'!L59)+SUM('Pay App 1:Pay App 28'!M59)</f>
        <v>0</v>
      </c>
    </row>
    <row r="60" spans="1:16" ht="11.25" customHeight="1" x14ac:dyDescent="0.25">
      <c r="A60" s="152">
        <v>4</v>
      </c>
      <c r="B60" s="174" t="str">
        <f>'Pay App 1'!B60</f>
        <v>01 13 41</v>
      </c>
      <c r="C60" s="179" t="str">
        <f>'Pay App 1'!C60</f>
        <v>Temp. Scaffolding and Platforms</v>
      </c>
      <c r="D60" s="155">
        <f>'Pay App 1'!D60</f>
        <v>0</v>
      </c>
      <c r="E60" s="155">
        <f>VLOOKUP(B60,'Graph Data'!$O$2:$BX$88,30,FALSE)</f>
        <v>0</v>
      </c>
      <c r="F60" s="155">
        <f>IFERROR(E60+'Pay App 27'!F60,"")</f>
        <v>0</v>
      </c>
      <c r="G60" s="155">
        <f>SUM('Pay App 1:Pay App 27'!H60)</f>
        <v>0</v>
      </c>
      <c r="H60" s="154"/>
      <c r="I60" s="155">
        <f t="shared" si="0"/>
        <v>0</v>
      </c>
      <c r="J60" s="156">
        <f t="shared" si="1"/>
        <v>0</v>
      </c>
      <c r="K60" s="155">
        <f t="shared" si="2"/>
        <v>0</v>
      </c>
      <c r="L60" s="155" t="str">
        <f>IF(AND('Summary Sheet'!$E$23="No",$H$33&gt;0,H60&gt;=1),"",IF(AND('Summary Sheet'!$E$23="Yes",H60&lt;&gt;""),H60*'Summary Sheet'!$G$23,""))</f>
        <v/>
      </c>
      <c r="M60" s="154"/>
      <c r="N60" s="155">
        <f>SUM('Pay App 1:Pay App 28'!L60)+SUM('Pay App 1:Pay App 28'!M60)</f>
        <v>0</v>
      </c>
    </row>
    <row r="61" spans="1:16" ht="11.25" customHeight="1" x14ac:dyDescent="0.25">
      <c r="A61" s="152">
        <v>5</v>
      </c>
      <c r="B61" s="174" t="str">
        <f>'Pay App 1'!B61</f>
        <v>01 13 60</v>
      </c>
      <c r="C61" s="179" t="str">
        <f>'Pay App 1'!C61</f>
        <v>SWPPP</v>
      </c>
      <c r="D61" s="155">
        <f>'Pay App 1'!D61</f>
        <v>0</v>
      </c>
      <c r="E61" s="155">
        <f>VLOOKUP(B61,'Graph Data'!$O$2:$BX$88,30,FALSE)</f>
        <v>0</v>
      </c>
      <c r="F61" s="155">
        <f>IFERROR(E61+'Pay App 27'!F61,"")</f>
        <v>0</v>
      </c>
      <c r="G61" s="155">
        <f>SUM('Pay App 1:Pay App 27'!H61)</f>
        <v>0</v>
      </c>
      <c r="H61" s="154"/>
      <c r="I61" s="155">
        <f t="shared" si="0"/>
        <v>0</v>
      </c>
      <c r="J61" s="156">
        <f t="shared" si="1"/>
        <v>0</v>
      </c>
      <c r="K61" s="155">
        <f t="shared" si="2"/>
        <v>0</v>
      </c>
      <c r="L61" s="155" t="str">
        <f>IF(AND('Summary Sheet'!$E$23="No",$H$33&gt;0,H61&gt;=1),"",IF(AND('Summary Sheet'!$E$23="Yes",H61&lt;&gt;""),H61*'Summary Sheet'!$G$23,""))</f>
        <v/>
      </c>
      <c r="M61" s="154"/>
      <c r="N61" s="155">
        <f>SUM('Pay App 1:Pay App 28'!L61)+SUM('Pay App 1:Pay App 28'!M61)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Data'!$O$2:$BX$88,30,FALSE)</f>
        <v>0</v>
      </c>
      <c r="F62" s="155">
        <f>IFERROR(E62+'Pay App 27'!F62,"")</f>
        <v>0</v>
      </c>
      <c r="G62" s="155">
        <f>SUM('Pay App 1:Pay App 27'!H62)</f>
        <v>0</v>
      </c>
      <c r="H62" s="154"/>
      <c r="I62" s="155">
        <f t="shared" si="0"/>
        <v>0</v>
      </c>
      <c r="J62" s="156">
        <f t="shared" si="1"/>
        <v>0</v>
      </c>
      <c r="K62" s="155">
        <f t="shared" si="2"/>
        <v>0</v>
      </c>
      <c r="L62" s="155" t="str">
        <f>IF(AND('Summary Sheet'!$E$23="No",$H$33&gt;0,H62&gt;=1),"",IF(AND('Summary Sheet'!$E$23="Yes",H62&lt;&gt;""),H62*'Summary Sheet'!$G$23,""))</f>
        <v/>
      </c>
      <c r="M62" s="154"/>
      <c r="N62" s="155">
        <f>SUM('Pay App 1:Pay App 28'!L62)+SUM('Pay App 1:Pay App 28'!M62)</f>
        <v>0</v>
      </c>
    </row>
    <row r="63" spans="1:16" ht="11.25" customHeight="1" x14ac:dyDescent="0.25">
      <c r="A63" s="152">
        <v>7</v>
      </c>
      <c r="B63" s="174" t="str">
        <f>'Pay App 1'!B63</f>
        <v>01 31 00</v>
      </c>
      <c r="C63" s="179" t="str">
        <f>'Pay App 1'!C63</f>
        <v>Contractor's Supervision</v>
      </c>
      <c r="D63" s="155">
        <f>'Pay App 1'!D63</f>
        <v>0</v>
      </c>
      <c r="E63" s="155">
        <f>VLOOKUP(B63,'Graph Data'!$O$2:$BX$88,30,FALSE)</f>
        <v>0</v>
      </c>
      <c r="F63" s="155">
        <f>IFERROR(E63+'Pay App 27'!F63,"")</f>
        <v>0</v>
      </c>
      <c r="G63" s="155">
        <f>SUM('Pay App 1:Pay App 27'!H63)</f>
        <v>0</v>
      </c>
      <c r="H63" s="154"/>
      <c r="I63" s="155">
        <f t="shared" si="0"/>
        <v>0</v>
      </c>
      <c r="J63" s="156">
        <f t="shared" si="1"/>
        <v>0</v>
      </c>
      <c r="K63" s="155">
        <f t="shared" si="2"/>
        <v>0</v>
      </c>
      <c r="L63" s="155" t="str">
        <f>IF(AND('Summary Sheet'!$E$23="No",$H$33&gt;0,H63&gt;=1),"",IF(AND('Summary Sheet'!$E$23="Yes",H63&lt;&gt;""),H63*'Summary Sheet'!$G$23,""))</f>
        <v/>
      </c>
      <c r="M63" s="154"/>
      <c r="N63" s="155">
        <f>SUM('Pay App 1:Pay App 28'!L63)+SUM('Pay App 1:Pay App 28'!M63)</f>
        <v>0</v>
      </c>
    </row>
    <row r="64" spans="1:16" ht="11.25" customHeight="1" x14ac:dyDescent="0.25">
      <c r="A64" s="152">
        <v>8</v>
      </c>
      <c r="B64" s="174" t="str">
        <f>'Pay App 1'!B64</f>
        <v>01 32 00</v>
      </c>
      <c r="C64" s="179" t="str">
        <f>'Pay App 1'!C64</f>
        <v>General Liability Insurance</v>
      </c>
      <c r="D64" s="155">
        <f>'Pay App 1'!D64</f>
        <v>0</v>
      </c>
      <c r="E64" s="155">
        <f>VLOOKUP(B64,'Graph Data'!$O$2:$BX$88,30,FALSE)</f>
        <v>0</v>
      </c>
      <c r="F64" s="155">
        <f>IFERROR(E64+'Pay App 27'!F64,"")</f>
        <v>0</v>
      </c>
      <c r="G64" s="155">
        <f>SUM('Pay App 1:Pay App 27'!H64)</f>
        <v>0</v>
      </c>
      <c r="H64" s="154"/>
      <c r="I64" s="155">
        <f t="shared" si="0"/>
        <v>0</v>
      </c>
      <c r="J64" s="156">
        <f t="shared" si="1"/>
        <v>0</v>
      </c>
      <c r="K64" s="155">
        <f t="shared" si="2"/>
        <v>0</v>
      </c>
      <c r="L64" s="155" t="str">
        <f>IF(AND('Summary Sheet'!$E$23="No",$H$33&gt;0,H64&gt;=1),"",IF(AND('Summary Sheet'!$E$23="Yes",H64&lt;&gt;""),H64*'Summary Sheet'!$G$23,""))</f>
        <v/>
      </c>
      <c r="M64" s="154"/>
      <c r="N64" s="155">
        <f>SUM('Pay App 1:Pay App 28'!L64)+SUM('Pay App 1:Pay App 28'!M64)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Data'!$O$2:$BX$88,30,FALSE)</f>
        <v>0</v>
      </c>
      <c r="F65" s="155">
        <f>IFERROR(E65+'Pay App 27'!F65,"")</f>
        <v>0</v>
      </c>
      <c r="G65" s="155">
        <f>SUM('Pay App 1:Pay App 27'!H65)</f>
        <v>0</v>
      </c>
      <c r="H65" s="154"/>
      <c r="I65" s="155">
        <f t="shared" si="0"/>
        <v>0</v>
      </c>
      <c r="J65" s="156">
        <f t="shared" si="1"/>
        <v>0</v>
      </c>
      <c r="K65" s="155">
        <f t="shared" si="2"/>
        <v>0</v>
      </c>
      <c r="L65" s="155" t="str">
        <f>IF(AND('Summary Sheet'!$E$23="No",$H$33&gt;0,H65&gt;=1),"",IF(AND('Summary Sheet'!$E$23="Yes",H65&lt;&gt;""),H65*'Summary Sheet'!$G$23,""))</f>
        <v/>
      </c>
      <c r="M65" s="154"/>
      <c r="N65" s="155">
        <f>SUM('Pay App 1:Pay App 28'!L65)+SUM('Pay App 1:Pay App 28'!M65)</f>
        <v>0</v>
      </c>
    </row>
    <row r="66" spans="1:17" ht="11.25" customHeight="1" x14ac:dyDescent="0.25">
      <c r="A66" s="152">
        <v>10</v>
      </c>
      <c r="B66" s="174" t="str">
        <f>'Pay App 1'!B66</f>
        <v>01 34 00</v>
      </c>
      <c r="C66" s="179" t="str">
        <f>'Pay App 1'!C66</f>
        <v>Subcontractor Default Insurance</v>
      </c>
      <c r="D66" s="155">
        <f>'Pay App 1'!D66</f>
        <v>0</v>
      </c>
      <c r="E66" s="155">
        <f>VLOOKUP(B66,'Graph Data'!$O$2:$BX$88,30,FALSE)</f>
        <v>0</v>
      </c>
      <c r="F66" s="155">
        <f>IFERROR(E66+'Pay App 27'!F66,"")</f>
        <v>0</v>
      </c>
      <c r="G66" s="155">
        <f>SUM('Pay App 1:Pay App 27'!H66)</f>
        <v>0</v>
      </c>
      <c r="H66" s="154"/>
      <c r="I66" s="155">
        <f t="shared" si="0"/>
        <v>0</v>
      </c>
      <c r="J66" s="156">
        <f t="shared" si="1"/>
        <v>0</v>
      </c>
      <c r="K66" s="155">
        <f t="shared" si="2"/>
        <v>0</v>
      </c>
      <c r="L66" s="155" t="str">
        <f>IF(AND('Summary Sheet'!$E$23="No",$H$33&gt;0,H66&gt;=1),"",IF(AND('Summary Sheet'!$E$23="Yes",H66&lt;&gt;""),H66*'Summary Sheet'!$G$23,""))</f>
        <v/>
      </c>
      <c r="M66" s="154"/>
      <c r="N66" s="155">
        <f>SUM('Pay App 1:Pay App 28'!L66)+SUM('Pay App 1:Pay App 28'!M66)</f>
        <v>0</v>
      </c>
    </row>
    <row r="67" spans="1:17" ht="11.25" customHeight="1" x14ac:dyDescent="0.25">
      <c r="A67" s="152">
        <v>11</v>
      </c>
      <c r="B67" s="174" t="str">
        <f>'Pay App 1'!B67</f>
        <v>01 35 00</v>
      </c>
      <c r="C67" s="179" t="str">
        <f>'Pay App 1'!C67</f>
        <v>Construction Management Fee</v>
      </c>
      <c r="D67" s="155">
        <f>'Pay App 1'!D67</f>
        <v>0</v>
      </c>
      <c r="E67" s="155">
        <f>VLOOKUP(B67,'Graph Data'!$O$2:$BX$88,30,FALSE)</f>
        <v>0</v>
      </c>
      <c r="F67" s="155">
        <f>IFERROR(E67+'Pay App 27'!F67,"")</f>
        <v>0</v>
      </c>
      <c r="G67" s="155">
        <f>SUM('Pay App 1:Pay App 27'!H67)</f>
        <v>0</v>
      </c>
      <c r="H67" s="154"/>
      <c r="I67" s="155">
        <f t="shared" si="0"/>
        <v>0</v>
      </c>
      <c r="J67" s="156">
        <f t="shared" si="1"/>
        <v>0</v>
      </c>
      <c r="K67" s="155">
        <f t="shared" si="2"/>
        <v>0</v>
      </c>
      <c r="L67" s="155" t="str">
        <f>IF(AND('Summary Sheet'!$E$23="No",$H$33&gt;0,H67&gt;=1),"",IF(AND('Summary Sheet'!$E$23="Yes",H67&lt;&gt;""),H67*'Summary Sheet'!$G$23,""))</f>
        <v/>
      </c>
      <c r="M67" s="154"/>
      <c r="N67" s="155">
        <f>SUM('Pay App 1:Pay App 28'!L67)+SUM('Pay App 1:Pay App 28'!M67)</f>
        <v>0</v>
      </c>
    </row>
    <row r="68" spans="1:17" ht="11.25" customHeight="1" x14ac:dyDescent="0.25">
      <c r="A68" s="152">
        <v>12</v>
      </c>
      <c r="B68" s="174" t="str">
        <f>'Pay App 1'!B68</f>
        <v>01 36 00</v>
      </c>
      <c r="C68" s="179" t="str">
        <f>'Pay App 1'!C68</f>
        <v>Contingency</v>
      </c>
      <c r="D68" s="155">
        <f>'Pay App 1'!D68</f>
        <v>0</v>
      </c>
      <c r="E68" s="155">
        <f>VLOOKUP(B68,'Graph Data'!$O$2:$BX$88,30,FALSE)</f>
        <v>0</v>
      </c>
      <c r="F68" s="155">
        <f>IFERROR(E68+'Pay App 27'!F68,"")</f>
        <v>0</v>
      </c>
      <c r="G68" s="155">
        <f>SUM('Pay App 1:Pay App 27'!H68)</f>
        <v>0</v>
      </c>
      <c r="H68" s="154"/>
      <c r="I68" s="155">
        <f t="shared" si="0"/>
        <v>0</v>
      </c>
      <c r="J68" s="156">
        <f t="shared" si="1"/>
        <v>0</v>
      </c>
      <c r="K68" s="155">
        <f t="shared" si="2"/>
        <v>0</v>
      </c>
      <c r="L68" s="155" t="str">
        <f>IF(AND('Summary Sheet'!$E$23="No",$H$33&gt;0,H68&gt;=1),"",IF(AND('Summary Sheet'!$E$23="Yes",H68&lt;&gt;""),H68*'Summary Sheet'!$G$23,""))</f>
        <v/>
      </c>
      <c r="M68" s="154"/>
      <c r="N68" s="155">
        <f>SUM('Pay App 1:Pay App 28'!L68)+SUM('Pay App 1:Pay App 28'!M68)</f>
        <v>0</v>
      </c>
    </row>
    <row r="69" spans="1:17" ht="11.25" customHeight="1" x14ac:dyDescent="0.25">
      <c r="A69" s="152">
        <v>13</v>
      </c>
      <c r="B69" s="174" t="str">
        <f>'Pay App 1'!B69</f>
        <v>01 37 00</v>
      </c>
      <c r="C69" s="179" t="str">
        <f>'Pay App 1'!C69</f>
        <v>Weather Allowance (All Trades)</v>
      </c>
      <c r="D69" s="155">
        <f>'Pay App 1'!D69</f>
        <v>0</v>
      </c>
      <c r="E69" s="155">
        <f>VLOOKUP(B69,'Graph Data'!$O$2:$BX$88,30,FALSE)</f>
        <v>0</v>
      </c>
      <c r="F69" s="155">
        <f>IFERROR(E69+'Pay App 27'!F69,"")</f>
        <v>0</v>
      </c>
      <c r="G69" s="155">
        <f>SUM('Pay App 1:Pay App 27'!H69)</f>
        <v>0</v>
      </c>
      <c r="H69" s="154"/>
      <c r="I69" s="155">
        <f t="shared" si="0"/>
        <v>0</v>
      </c>
      <c r="J69" s="156">
        <f t="shared" si="1"/>
        <v>0</v>
      </c>
      <c r="K69" s="155">
        <f t="shared" si="2"/>
        <v>0</v>
      </c>
      <c r="L69" s="155" t="str">
        <f>IF(AND('Summary Sheet'!$E$23="No",$H$33&gt;0,H69&gt;=1),"",IF(AND('Summary Sheet'!$E$23="Yes",H69&lt;&gt;""),H69*'Summary Sheet'!$G$23,""))</f>
        <v/>
      </c>
      <c r="M69" s="154"/>
      <c r="N69" s="155">
        <f>SUM('Pay App 1:Pay App 28'!L69)+SUM('Pay App 1:Pay App 28'!M69)</f>
        <v>0</v>
      </c>
    </row>
    <row r="70" spans="1:17" ht="11.25" customHeight="1" x14ac:dyDescent="0.25">
      <c r="A70" s="152">
        <v>14</v>
      </c>
      <c r="B70" s="174" t="str">
        <f>'Pay App 1'!B70</f>
        <v>01 74 23</v>
      </c>
      <c r="C70" s="179" t="str">
        <f>'Pay App 1'!C70</f>
        <v>Cleaning (Final)</v>
      </c>
      <c r="D70" s="155">
        <f>'Pay App 1'!D70</f>
        <v>0</v>
      </c>
      <c r="E70" s="155">
        <f>VLOOKUP(B70,'Graph Data'!$O$2:$BX$88,30,FALSE)</f>
        <v>0</v>
      </c>
      <c r="F70" s="155">
        <f>IFERROR(E70+'Pay App 27'!F70,"")</f>
        <v>0</v>
      </c>
      <c r="G70" s="155">
        <f>SUM('Pay App 1:Pay App 27'!H70)</f>
        <v>0</v>
      </c>
      <c r="H70" s="154"/>
      <c r="I70" s="155">
        <f t="shared" si="0"/>
        <v>0</v>
      </c>
      <c r="J70" s="156">
        <f t="shared" si="1"/>
        <v>0</v>
      </c>
      <c r="K70" s="155">
        <f t="shared" si="2"/>
        <v>0</v>
      </c>
      <c r="L70" s="155" t="str">
        <f>IF(AND('Summary Sheet'!$E$23="No",$H$33&gt;0,H70&gt;=1),"",IF(AND('Summary Sheet'!$E$23="Yes",H70&lt;&gt;""),H70*'Summary Sheet'!$G$23,""))</f>
        <v/>
      </c>
      <c r="M70" s="154"/>
      <c r="N70" s="155">
        <f>SUM('Pay App 1:Pay App 28'!L70)+SUM('Pay App 1:Pay App 28'!M70)</f>
        <v>0</v>
      </c>
    </row>
    <row r="71" spans="1:17" ht="11.25" customHeight="1" x14ac:dyDescent="0.25">
      <c r="A71" s="152">
        <v>15</v>
      </c>
      <c r="B71" s="175" t="str">
        <f>'Pay App 1'!B71</f>
        <v>02 21 00</v>
      </c>
      <c r="C71" s="180" t="str">
        <f>'Pay App 1'!C71</f>
        <v>Survey/Engineering</v>
      </c>
      <c r="D71" s="155">
        <f>'Pay App 1'!D71</f>
        <v>0</v>
      </c>
      <c r="E71" s="155">
        <f>VLOOKUP(B71,'Graph Data'!$O$2:$BX$88,30,FALSE)</f>
        <v>0</v>
      </c>
      <c r="F71" s="155">
        <f>IFERROR(E71+'Pay App 27'!F71,"")</f>
        <v>0</v>
      </c>
      <c r="G71" s="155">
        <f>SUM('Pay App 1:Pay App 27'!H71)</f>
        <v>0</v>
      </c>
      <c r="H71" s="154"/>
      <c r="I71" s="155">
        <f t="shared" si="0"/>
        <v>0</v>
      </c>
      <c r="J71" s="156">
        <f t="shared" si="1"/>
        <v>0</v>
      </c>
      <c r="K71" s="155">
        <f t="shared" si="2"/>
        <v>0</v>
      </c>
      <c r="L71" s="155" t="str">
        <f>IF(AND('Summary Sheet'!$E$23="No",$H$33&gt;0,H71&gt;=1),"",IF(AND('Summary Sheet'!$E$23="Yes",H71&lt;&gt;""),H71*'Summary Sheet'!$G$23,""))</f>
        <v/>
      </c>
      <c r="M71" s="154"/>
      <c r="N71" s="155">
        <f>SUM('Pay App 1:Pay App 28'!L71)+SUM('Pay App 1:Pay App 28'!M71)</f>
        <v>0</v>
      </c>
      <c r="Q71" s="28"/>
    </row>
    <row r="72" spans="1:17" ht="11.25" customHeight="1" x14ac:dyDescent="0.25">
      <c r="A72" s="152">
        <v>16</v>
      </c>
      <c r="B72" s="175" t="str">
        <f>'Pay App 1'!B72</f>
        <v>02 41 00</v>
      </c>
      <c r="C72" s="180" t="str">
        <f>'Pay App 1'!C72</f>
        <v>Demolition</v>
      </c>
      <c r="D72" s="155">
        <f>'Pay App 1'!D72</f>
        <v>0</v>
      </c>
      <c r="E72" s="155">
        <f>VLOOKUP(B72,'Graph Data'!$O$2:$BX$88,30,FALSE)</f>
        <v>0</v>
      </c>
      <c r="F72" s="155">
        <f>IFERROR(E72+'Pay App 27'!F72,"")</f>
        <v>0</v>
      </c>
      <c r="G72" s="155">
        <f>SUM('Pay App 1:Pay App 27'!H72)</f>
        <v>0</v>
      </c>
      <c r="H72" s="154"/>
      <c r="I72" s="155">
        <f t="shared" si="0"/>
        <v>0</v>
      </c>
      <c r="J72" s="156">
        <f t="shared" si="1"/>
        <v>0</v>
      </c>
      <c r="K72" s="155">
        <f t="shared" si="2"/>
        <v>0</v>
      </c>
      <c r="L72" s="155" t="str">
        <f>IF(AND('Summary Sheet'!$E$23="No",$H$33&gt;0,H72&gt;=1),"",IF(AND('Summary Sheet'!$E$23="Yes",H72&lt;&gt;""),H72*'Summary Sheet'!$G$23,""))</f>
        <v/>
      </c>
      <c r="M72" s="154"/>
      <c r="N72" s="155">
        <f>SUM('Pay App 1:Pay App 28'!L72)+SUM('Pay App 1:Pay App 28'!M72)</f>
        <v>0</v>
      </c>
      <c r="Q72" s="28"/>
    </row>
    <row r="73" spans="1:17" ht="11.25" customHeight="1" x14ac:dyDescent="0.25">
      <c r="A73" s="152">
        <v>17</v>
      </c>
      <c r="B73" s="175" t="str">
        <f>'Pay App 1'!B73</f>
        <v>02 82 00</v>
      </c>
      <c r="C73" s="180" t="str">
        <f>'Pay App 1'!C73</f>
        <v>Asbestos Abatement</v>
      </c>
      <c r="D73" s="155">
        <f>'Pay App 1'!D73</f>
        <v>0</v>
      </c>
      <c r="E73" s="155">
        <f>VLOOKUP(B73,'Graph Data'!$O$2:$BX$88,30,FALSE)</f>
        <v>0</v>
      </c>
      <c r="F73" s="155">
        <f>IFERROR(E73+'Pay App 27'!F73,"")</f>
        <v>0</v>
      </c>
      <c r="G73" s="155">
        <f>SUM('Pay App 1:Pay App 27'!H73)</f>
        <v>0</v>
      </c>
      <c r="H73" s="154"/>
      <c r="I73" s="155">
        <f t="shared" si="0"/>
        <v>0</v>
      </c>
      <c r="J73" s="156">
        <f t="shared" si="1"/>
        <v>0</v>
      </c>
      <c r="K73" s="155">
        <f t="shared" si="2"/>
        <v>0</v>
      </c>
      <c r="L73" s="155" t="str">
        <f>IF(AND('Summary Sheet'!$E$23="No",$H$33&gt;0,H73&gt;=1),"",IF(AND('Summary Sheet'!$E$23="Yes",H73&lt;&gt;""),H73*'Summary Sheet'!$G$23,""))</f>
        <v/>
      </c>
      <c r="M73" s="154"/>
      <c r="N73" s="155">
        <f>SUM('Pay App 1:Pay App 28'!L73)+SUM('Pay App 1:Pay App 28'!M73)</f>
        <v>0</v>
      </c>
    </row>
    <row r="74" spans="1:17" ht="11.25" customHeight="1" x14ac:dyDescent="0.25">
      <c r="A74" s="152">
        <v>18</v>
      </c>
      <c r="B74" s="176" t="str">
        <f>'Pay App 1'!B74</f>
        <v>03 00 00</v>
      </c>
      <c r="C74" s="181" t="str">
        <f>'Pay App 1'!C74</f>
        <v>Building Concrete</v>
      </c>
      <c r="D74" s="155">
        <f>'Pay App 1'!D74</f>
        <v>0</v>
      </c>
      <c r="E74" s="155">
        <f>VLOOKUP(B74,'Graph Data'!$O$2:$BX$88,30,FALSE)</f>
        <v>0</v>
      </c>
      <c r="F74" s="155">
        <f>IFERROR(E74+'Pay App 27'!F74,"")</f>
        <v>0</v>
      </c>
      <c r="G74" s="155">
        <f>SUM('Pay App 1:Pay App 27'!H74)</f>
        <v>0</v>
      </c>
      <c r="H74" s="154"/>
      <c r="I74" s="155">
        <f t="shared" si="0"/>
        <v>0</v>
      </c>
      <c r="J74" s="156">
        <f t="shared" si="1"/>
        <v>0</v>
      </c>
      <c r="K74" s="155">
        <f t="shared" si="2"/>
        <v>0</v>
      </c>
      <c r="L74" s="155" t="str">
        <f>IF(AND('Summary Sheet'!$E$23="No",$H$33&gt;0,H74&gt;=1),"",IF(AND('Summary Sheet'!$E$23="Yes",H74&lt;&gt;""),H74*'Summary Sheet'!$G$23,""))</f>
        <v/>
      </c>
      <c r="M74" s="154"/>
      <c r="N74" s="155">
        <f>SUM('Pay App 1:Pay App 28'!L74)+SUM('Pay App 1:Pay App 28'!M74)</f>
        <v>0</v>
      </c>
    </row>
    <row r="75" spans="1:17" ht="11.25" customHeight="1" x14ac:dyDescent="0.25">
      <c r="A75" s="152">
        <v>19</v>
      </c>
      <c r="B75" s="176" t="str">
        <f>'Pay App 1'!B75</f>
        <v>03 20 00</v>
      </c>
      <c r="C75" s="181" t="str">
        <f>'Pay App 1'!C75</f>
        <v>Building Concrete Reinforcing</v>
      </c>
      <c r="D75" s="155">
        <f>'Pay App 1'!D75</f>
        <v>0</v>
      </c>
      <c r="E75" s="155">
        <f>VLOOKUP(B75,'Graph Data'!$O$2:$BX$88,30,FALSE)</f>
        <v>0</v>
      </c>
      <c r="F75" s="155">
        <f>IFERROR(E75+'Pay App 27'!F75,"")</f>
        <v>0</v>
      </c>
      <c r="G75" s="155">
        <f>SUM('Pay App 1:Pay App 27'!H75)</f>
        <v>0</v>
      </c>
      <c r="H75" s="154"/>
      <c r="I75" s="155">
        <f t="shared" si="0"/>
        <v>0</v>
      </c>
      <c r="J75" s="156">
        <f t="shared" si="1"/>
        <v>0</v>
      </c>
      <c r="K75" s="155">
        <f t="shared" si="2"/>
        <v>0</v>
      </c>
      <c r="L75" s="155" t="str">
        <f>IF(AND('Summary Sheet'!$E$23="No",$H$33&gt;0,H75&gt;=1),"",IF(AND('Summary Sheet'!$E$23="Yes",H75&lt;&gt;""),H75*'Summary Sheet'!$G$23,""))</f>
        <v/>
      </c>
      <c r="M75" s="154"/>
      <c r="N75" s="155">
        <f>SUM('Pay App 1:Pay App 28'!L75)+SUM('Pay App 1:Pay App 28'!M75)</f>
        <v>0</v>
      </c>
    </row>
    <row r="76" spans="1:17" ht="11.25" customHeight="1" x14ac:dyDescent="0.25">
      <c r="A76" s="152">
        <v>20</v>
      </c>
      <c r="B76" s="176" t="str">
        <f>'Pay App 1'!B76</f>
        <v>03 40 00</v>
      </c>
      <c r="C76" s="181" t="str">
        <f>'Pay App 1'!C76</f>
        <v>Precast</v>
      </c>
      <c r="D76" s="155">
        <f>'Pay App 1'!D76</f>
        <v>0</v>
      </c>
      <c r="E76" s="155">
        <f>VLOOKUP(B76,'Graph Data'!$O$2:$BX$88,30,FALSE)</f>
        <v>0</v>
      </c>
      <c r="F76" s="155">
        <f>IFERROR(E76+'Pay App 27'!F76,"")</f>
        <v>0</v>
      </c>
      <c r="G76" s="155">
        <f>SUM('Pay App 1:Pay App 27'!H76)</f>
        <v>0</v>
      </c>
      <c r="H76" s="154"/>
      <c r="I76" s="155">
        <f t="shared" si="0"/>
        <v>0</v>
      </c>
      <c r="J76" s="156">
        <f t="shared" si="1"/>
        <v>0</v>
      </c>
      <c r="K76" s="155">
        <f t="shared" si="2"/>
        <v>0</v>
      </c>
      <c r="L76" s="155" t="str">
        <f>IF(AND('Summary Sheet'!$E$23="No",$H$33&gt;0,H76&gt;=1),"",IF(AND('Summary Sheet'!$E$23="Yes",H76&lt;&gt;""),H76*'Summary Sheet'!$G$23,""))</f>
        <v/>
      </c>
      <c r="M76" s="154"/>
      <c r="N76" s="155">
        <f>SUM('Pay App 1:Pay App 28'!L76)+SUM('Pay App 1:Pay App 28'!M76)</f>
        <v>0</v>
      </c>
    </row>
    <row r="77" spans="1:17" ht="11.25" customHeight="1" x14ac:dyDescent="0.25">
      <c r="A77" s="152">
        <v>21</v>
      </c>
      <c r="B77" s="177" t="str">
        <f>'Pay App 1'!B77</f>
        <v>04 00 00</v>
      </c>
      <c r="C77" s="182" t="str">
        <f>'Pay App 1'!C77</f>
        <v>Masonry</v>
      </c>
      <c r="D77" s="155">
        <f>'Pay App 1'!D77</f>
        <v>0</v>
      </c>
      <c r="E77" s="155">
        <f>VLOOKUP(B77,'Graph Data'!$O$2:$BX$88,30,FALSE)</f>
        <v>0</v>
      </c>
      <c r="F77" s="155">
        <f>IFERROR(E77+'Pay App 27'!F77,"")</f>
        <v>0</v>
      </c>
      <c r="G77" s="155">
        <f>SUM('Pay App 1:Pay App 27'!H77)</f>
        <v>0</v>
      </c>
      <c r="H77" s="154"/>
      <c r="I77" s="155">
        <f t="shared" si="0"/>
        <v>0</v>
      </c>
      <c r="J77" s="156">
        <f t="shared" si="1"/>
        <v>0</v>
      </c>
      <c r="K77" s="155">
        <f t="shared" si="2"/>
        <v>0</v>
      </c>
      <c r="L77" s="155" t="str">
        <f>IF(AND('Summary Sheet'!$E$23="No",$H$33&gt;0,H77&gt;=1),"",IF(AND('Summary Sheet'!$E$23="Yes",H77&lt;&gt;""),H77*'Summary Sheet'!$G$23,""))</f>
        <v/>
      </c>
      <c r="M77" s="154"/>
      <c r="N77" s="155">
        <f>SUM('Pay App 1:Pay App 28'!L77)+SUM('Pay App 1:Pay App 28'!M77)</f>
        <v>0</v>
      </c>
    </row>
    <row r="78" spans="1:17" ht="11.25" customHeight="1" x14ac:dyDescent="0.25">
      <c r="A78" s="152">
        <v>22</v>
      </c>
      <c r="B78" s="177" t="str">
        <f>'Pay App 1'!B78</f>
        <v>04 05 19</v>
      </c>
      <c r="C78" s="182" t="str">
        <f>'Pay App 1'!C78</f>
        <v>Masonry Reinforcing</v>
      </c>
      <c r="D78" s="155">
        <f>'Pay App 1'!D78</f>
        <v>0</v>
      </c>
      <c r="E78" s="155">
        <f>VLOOKUP(B78,'Graph Data'!$O$2:$BX$88,30,FALSE)</f>
        <v>0</v>
      </c>
      <c r="F78" s="155">
        <f>IFERROR(E78+'Pay App 27'!F78,"")</f>
        <v>0</v>
      </c>
      <c r="G78" s="155">
        <f>SUM('Pay App 1:Pay App 27'!H78)</f>
        <v>0</v>
      </c>
      <c r="H78" s="154"/>
      <c r="I78" s="155">
        <f t="shared" si="0"/>
        <v>0</v>
      </c>
      <c r="J78" s="156">
        <f t="shared" si="1"/>
        <v>0</v>
      </c>
      <c r="K78" s="155">
        <f t="shared" si="2"/>
        <v>0</v>
      </c>
      <c r="L78" s="155" t="str">
        <f>IF(AND('Summary Sheet'!$E$23="No",$H$33&gt;0,H78&gt;=1),"",IF(AND('Summary Sheet'!$E$23="Yes",H78&lt;&gt;""),H78*'Summary Sheet'!$G$23,""))</f>
        <v/>
      </c>
      <c r="M78" s="154"/>
      <c r="N78" s="155">
        <f>SUM('Pay App 1:Pay App 28'!L78)+SUM('Pay App 1:Pay App 28'!M78)</f>
        <v>0</v>
      </c>
    </row>
    <row r="79" spans="1:17" ht="11.25" customHeight="1" x14ac:dyDescent="0.25">
      <c r="A79" s="152">
        <v>23</v>
      </c>
      <c r="B79" s="178" t="str">
        <f>'Pay App 1'!B79</f>
        <v>05 10 00</v>
      </c>
      <c r="C79" s="183" t="str">
        <f>'Pay App 1'!C79</f>
        <v>Structural Steel/Misc. Steel Fab</v>
      </c>
      <c r="D79" s="155">
        <f>'Pay App 1'!D79</f>
        <v>0</v>
      </c>
      <c r="E79" s="155">
        <f>VLOOKUP(B79,'Graph Data'!$O$2:$BX$88,30,FALSE)</f>
        <v>0</v>
      </c>
      <c r="F79" s="155">
        <f>IFERROR(E79+'Pay App 27'!F79,"")</f>
        <v>0</v>
      </c>
      <c r="G79" s="155">
        <f>SUM('Pay App 1:Pay App 27'!H79)</f>
        <v>0</v>
      </c>
      <c r="H79" s="154"/>
      <c r="I79" s="155">
        <f t="shared" si="0"/>
        <v>0</v>
      </c>
      <c r="J79" s="156">
        <f t="shared" si="1"/>
        <v>0</v>
      </c>
      <c r="K79" s="155">
        <f t="shared" si="2"/>
        <v>0</v>
      </c>
      <c r="L79" s="155" t="str">
        <f>IF(AND('Summary Sheet'!$E$23="No",$H$33&gt;0,H79&gt;=1),"",IF(AND('Summary Sheet'!$E$23="Yes",H79&lt;&gt;""),H79*'Summary Sheet'!$G$23,""))</f>
        <v/>
      </c>
      <c r="M79" s="154"/>
      <c r="N79" s="155">
        <f>SUM('Pay App 1:Pay App 28'!L79)+SUM('Pay App 1:Pay App 28'!M79)</f>
        <v>0</v>
      </c>
    </row>
    <row r="80" spans="1:17" ht="11.25" customHeight="1" x14ac:dyDescent="0.25">
      <c r="A80" s="152">
        <v>24</v>
      </c>
      <c r="B80" s="178" t="str">
        <f>'Pay App 1'!B80</f>
        <v>05 20 00</v>
      </c>
      <c r="C80" s="183" t="str">
        <f>'Pay App 1'!C80</f>
        <v>Joists &amp; Deck</v>
      </c>
      <c r="D80" s="155">
        <f>'Pay App 1'!D80</f>
        <v>0</v>
      </c>
      <c r="E80" s="155">
        <f>VLOOKUP(B80,'Graph Data'!$O$2:$BX$88,30,FALSE)</f>
        <v>0</v>
      </c>
      <c r="F80" s="155">
        <f>IFERROR(E80+'Pay App 27'!F80,"")</f>
        <v>0</v>
      </c>
      <c r="G80" s="155">
        <f>SUM('Pay App 1:Pay App 27'!H80)</f>
        <v>0</v>
      </c>
      <c r="H80" s="154"/>
      <c r="I80" s="155">
        <f t="shared" si="0"/>
        <v>0</v>
      </c>
      <c r="J80" s="156">
        <f t="shared" si="1"/>
        <v>0</v>
      </c>
      <c r="K80" s="155">
        <f t="shared" si="2"/>
        <v>0</v>
      </c>
      <c r="L80" s="155" t="str">
        <f>IF(AND('Summary Sheet'!$E$23="No",$H$33&gt;0,H80&gt;=1),"",IF(AND('Summary Sheet'!$E$23="Yes",H80&lt;&gt;""),H80*'Summary Sheet'!$G$23,""))</f>
        <v/>
      </c>
      <c r="M80" s="154"/>
      <c r="N80" s="155">
        <f>SUM('Pay App 1:Pay App 28'!L80)+SUM('Pay App 1:Pay App 28'!M80)</f>
        <v>0</v>
      </c>
    </row>
    <row r="81" spans="1:14" ht="11.25" customHeight="1" x14ac:dyDescent="0.25">
      <c r="A81" s="152">
        <v>25</v>
      </c>
      <c r="B81" s="178" t="str">
        <f>'Pay App 1'!B81</f>
        <v>05 70 00</v>
      </c>
      <c r="C81" s="183" t="str">
        <f>'Pay App 1'!C81</f>
        <v>Ornamental Metal</v>
      </c>
      <c r="D81" s="155">
        <f>'Pay App 1'!D81</f>
        <v>0</v>
      </c>
      <c r="E81" s="155">
        <f>VLOOKUP(B81,'Graph Data'!$O$2:$BX$88,30,FALSE)</f>
        <v>0</v>
      </c>
      <c r="F81" s="155">
        <f>IFERROR(E81+'Pay App 27'!F81,"")</f>
        <v>0</v>
      </c>
      <c r="G81" s="155">
        <f>SUM('Pay App 1:Pay App 27'!H81)</f>
        <v>0</v>
      </c>
      <c r="H81" s="154"/>
      <c r="I81" s="155">
        <f t="shared" si="0"/>
        <v>0</v>
      </c>
      <c r="J81" s="156">
        <f t="shared" si="1"/>
        <v>0</v>
      </c>
      <c r="K81" s="155">
        <f t="shared" si="2"/>
        <v>0</v>
      </c>
      <c r="L81" s="155" t="str">
        <f>IF(AND('Summary Sheet'!$E$23="No",$H$33&gt;0,H81&gt;=1),"",IF(AND('Summary Sheet'!$E$23="Yes",H81&lt;&gt;""),H81*'Summary Sheet'!$G$23,""))</f>
        <v/>
      </c>
      <c r="M81" s="154"/>
      <c r="N81" s="155">
        <f>SUM('Pay App 1:Pay App 28'!L81)+SUM('Pay App 1:Pay App 28'!M81)</f>
        <v>0</v>
      </c>
    </row>
    <row r="82" spans="1:14" ht="11.25" customHeight="1" x14ac:dyDescent="0.25">
      <c r="A82" s="152">
        <v>26</v>
      </c>
      <c r="B82" s="145" t="str">
        <f>'Pay App 1'!B82</f>
        <v>06 10 00</v>
      </c>
      <c r="C82" s="134" t="str">
        <f>'Pay App 1'!C82</f>
        <v>Rough Carpentry</v>
      </c>
      <c r="D82" s="155">
        <f>'Pay App 1'!D82</f>
        <v>0</v>
      </c>
      <c r="E82" s="155">
        <f>VLOOKUP(B82,'Graph Data'!$O$2:$BX$88,30,FALSE)</f>
        <v>0</v>
      </c>
      <c r="F82" s="155">
        <f>IFERROR(E82+'Pay App 27'!F82,"")</f>
        <v>0</v>
      </c>
      <c r="G82" s="155">
        <f>SUM('Pay App 1:Pay App 27'!H82)</f>
        <v>0</v>
      </c>
      <c r="H82" s="154"/>
      <c r="I82" s="155">
        <f t="shared" si="0"/>
        <v>0</v>
      </c>
      <c r="J82" s="156">
        <f t="shared" si="1"/>
        <v>0</v>
      </c>
      <c r="K82" s="155">
        <f t="shared" si="2"/>
        <v>0</v>
      </c>
      <c r="L82" s="155" t="str">
        <f>IF(AND('Summary Sheet'!$E$23="No",$H$33&gt;0,H82&gt;=1),"",IF(AND('Summary Sheet'!$E$23="Yes",H82&lt;&gt;""),H82*'Summary Sheet'!$G$23,""))</f>
        <v/>
      </c>
      <c r="M82" s="154"/>
      <c r="N82" s="155">
        <f>SUM('Pay App 1:Pay App 28'!L82)+SUM('Pay App 1:Pay App 28'!M82)</f>
        <v>0</v>
      </c>
    </row>
    <row r="83" spans="1:14" ht="11.25" customHeight="1" x14ac:dyDescent="0.25">
      <c r="A83" s="152">
        <v>27</v>
      </c>
      <c r="B83" s="145" t="str">
        <f>'Pay App 1'!B83</f>
        <v>06 40 00</v>
      </c>
      <c r="C83" s="134" t="str">
        <f>'Pay App 1'!C83</f>
        <v>Arch. Woodwork &amp; Finish Carp.</v>
      </c>
      <c r="D83" s="155">
        <f>'Pay App 1'!D83</f>
        <v>0</v>
      </c>
      <c r="E83" s="155">
        <f>VLOOKUP(B83,'Graph Data'!$O$2:$BX$88,30,FALSE)</f>
        <v>0</v>
      </c>
      <c r="F83" s="155">
        <f>IFERROR(E83+'Pay App 27'!F83,"")</f>
        <v>0</v>
      </c>
      <c r="G83" s="155">
        <f>SUM('Pay App 1:Pay App 27'!H83)</f>
        <v>0</v>
      </c>
      <c r="H83" s="154"/>
      <c r="I83" s="155">
        <f t="shared" si="0"/>
        <v>0</v>
      </c>
      <c r="J83" s="156">
        <f t="shared" si="1"/>
        <v>0</v>
      </c>
      <c r="K83" s="155">
        <f t="shared" si="2"/>
        <v>0</v>
      </c>
      <c r="L83" s="155" t="str">
        <f>IF(AND('Summary Sheet'!$E$23="No",$H$33&gt;0,H83&gt;=1),"",IF(AND('Summary Sheet'!$E$23="Yes",H83&lt;&gt;""),H83*'Summary Sheet'!$G$23,""))</f>
        <v/>
      </c>
      <c r="M83" s="154"/>
      <c r="N83" s="155">
        <f>SUM('Pay App 1:Pay App 28'!L83)+SUM('Pay App 1:Pay App 28'!M83)</f>
        <v>0</v>
      </c>
    </row>
    <row r="84" spans="1:14" ht="11.25" customHeight="1" x14ac:dyDescent="0.25">
      <c r="A84" s="152">
        <v>28</v>
      </c>
      <c r="B84" s="174" t="str">
        <f>'Pay App 1'!B84</f>
        <v>07 10 00</v>
      </c>
      <c r="C84" s="179" t="str">
        <f>'Pay App 1'!C84</f>
        <v>Waterproofing/Water Repellents</v>
      </c>
      <c r="D84" s="155">
        <f>'Pay App 1'!D84</f>
        <v>0</v>
      </c>
      <c r="E84" s="155">
        <f>VLOOKUP(B84,'Graph Data'!$O$2:$BX$88,30,FALSE)</f>
        <v>0</v>
      </c>
      <c r="F84" s="155">
        <f>IFERROR(E84+'Pay App 27'!F84,"")</f>
        <v>0</v>
      </c>
      <c r="G84" s="155">
        <f>SUM('Pay App 1:Pay App 27'!H84)</f>
        <v>0</v>
      </c>
      <c r="H84" s="154"/>
      <c r="I84" s="155">
        <f t="shared" si="0"/>
        <v>0</v>
      </c>
      <c r="J84" s="156">
        <f t="shared" si="1"/>
        <v>0</v>
      </c>
      <c r="K84" s="155">
        <f t="shared" si="2"/>
        <v>0</v>
      </c>
      <c r="L84" s="155" t="str">
        <f>IF(AND('Summary Sheet'!$E$23="No",$H$33&gt;0,H84&gt;=1),"",IF(AND('Summary Sheet'!$E$23="Yes",H84&lt;&gt;""),H84*'Summary Sheet'!$G$23,""))</f>
        <v/>
      </c>
      <c r="M84" s="154"/>
      <c r="N84" s="155">
        <f>SUM('Pay App 1:Pay App 28'!L84)+SUM('Pay App 1:Pay App 28'!M84)</f>
        <v>0</v>
      </c>
    </row>
    <row r="85" spans="1:14" ht="11.25" customHeight="1" x14ac:dyDescent="0.25">
      <c r="A85" s="152">
        <v>29</v>
      </c>
      <c r="B85" s="174" t="str">
        <f>'Pay App 1'!B85</f>
        <v>07 20 00</v>
      </c>
      <c r="C85" s="179" t="str">
        <f>'Pay App 1'!C85</f>
        <v>Insulation</v>
      </c>
      <c r="D85" s="155">
        <f>'Pay App 1'!D85</f>
        <v>0</v>
      </c>
      <c r="E85" s="155">
        <f>VLOOKUP(B85,'Graph Data'!$O$2:$BX$88,30,FALSE)</f>
        <v>0</v>
      </c>
      <c r="F85" s="155">
        <f>IFERROR(E85+'Pay App 27'!F85,"")</f>
        <v>0</v>
      </c>
      <c r="G85" s="155">
        <f>SUM('Pay App 1:Pay App 27'!H85)</f>
        <v>0</v>
      </c>
      <c r="H85" s="154"/>
      <c r="I85" s="155">
        <f t="shared" si="0"/>
        <v>0</v>
      </c>
      <c r="J85" s="156">
        <f t="shared" si="1"/>
        <v>0</v>
      </c>
      <c r="K85" s="155">
        <f t="shared" si="2"/>
        <v>0</v>
      </c>
      <c r="L85" s="155" t="str">
        <f>IF(AND('Summary Sheet'!$E$23="No",$H$33&gt;0,H85&gt;=1),"",IF(AND('Summary Sheet'!$E$23="Yes",H85&lt;&gt;""),H85*'Summary Sheet'!$G$23,""))</f>
        <v/>
      </c>
      <c r="M85" s="154"/>
      <c r="N85" s="155">
        <f>SUM('Pay App 1:Pay App 28'!L85)+SUM('Pay App 1:Pay App 28'!M85)</f>
        <v>0</v>
      </c>
    </row>
    <row r="86" spans="1:14" ht="11.25" customHeight="1" x14ac:dyDescent="0.25">
      <c r="A86" s="152">
        <v>30</v>
      </c>
      <c r="B86" s="174" t="str">
        <f>'Pay App 1'!B86</f>
        <v>07 24 00</v>
      </c>
      <c r="C86" s="179" t="str">
        <f>'Pay App 1'!C86</f>
        <v>EIFS</v>
      </c>
      <c r="D86" s="155">
        <f>'Pay App 1'!D86</f>
        <v>0</v>
      </c>
      <c r="E86" s="155">
        <f>VLOOKUP(B86,'Graph Data'!$O$2:$BX$88,30,FALSE)</f>
        <v>0</v>
      </c>
      <c r="F86" s="155">
        <f>IFERROR(E86+'Pay App 27'!F86,"")</f>
        <v>0</v>
      </c>
      <c r="G86" s="155">
        <f>SUM('Pay App 1:Pay App 27'!H86)</f>
        <v>0</v>
      </c>
      <c r="H86" s="154"/>
      <c r="I86" s="155">
        <f t="shared" si="0"/>
        <v>0</v>
      </c>
      <c r="J86" s="156">
        <f t="shared" si="1"/>
        <v>0</v>
      </c>
      <c r="K86" s="155">
        <f t="shared" si="2"/>
        <v>0</v>
      </c>
      <c r="L86" s="155" t="str">
        <f>IF(AND('Summary Sheet'!$E$23="No",$H$33&gt;0,H86&gt;=1),"",IF(AND('Summary Sheet'!$E$23="Yes",H86&lt;&gt;""),H86*'Summary Sheet'!$G$23,""))</f>
        <v/>
      </c>
      <c r="M86" s="154"/>
      <c r="N86" s="155">
        <f>SUM('Pay App 1:Pay App 28'!L86)+SUM('Pay App 1:Pay App 28'!M86)</f>
        <v>0</v>
      </c>
    </row>
    <row r="87" spans="1:14" ht="11.25" customHeight="1" x14ac:dyDescent="0.25">
      <c r="A87" s="152">
        <v>31</v>
      </c>
      <c r="B87" s="174" t="str">
        <f>'Pay App 1'!B87</f>
        <v>07 26 00</v>
      </c>
      <c r="C87" s="179" t="str">
        <f>'Pay App 1'!C87</f>
        <v>Vapor Retarders</v>
      </c>
      <c r="D87" s="155">
        <f>'Pay App 1'!D87</f>
        <v>0</v>
      </c>
      <c r="E87" s="155">
        <f>VLOOKUP(B87,'Graph Data'!$O$2:$BX$88,30,FALSE)</f>
        <v>0</v>
      </c>
      <c r="F87" s="155">
        <f>IFERROR(E87+'Pay App 27'!F87,"")</f>
        <v>0</v>
      </c>
      <c r="G87" s="155">
        <f>SUM('Pay App 1:Pay App 27'!H87)</f>
        <v>0</v>
      </c>
      <c r="H87" s="154"/>
      <c r="I87" s="155">
        <f t="shared" si="0"/>
        <v>0</v>
      </c>
      <c r="J87" s="156">
        <f t="shared" si="1"/>
        <v>0</v>
      </c>
      <c r="K87" s="155">
        <f t="shared" si="2"/>
        <v>0</v>
      </c>
      <c r="L87" s="155" t="str">
        <f>IF(AND('Summary Sheet'!$E$23="No",$H$33&gt;0,H87&gt;=1),"",IF(AND('Summary Sheet'!$E$23="Yes",H87&lt;&gt;""),H87*'Summary Sheet'!$G$23,""))</f>
        <v/>
      </c>
      <c r="M87" s="154"/>
      <c r="N87" s="155">
        <f>SUM('Pay App 1:Pay App 28'!L87)+SUM('Pay App 1:Pay App 28'!M87)</f>
        <v>0</v>
      </c>
    </row>
    <row r="88" spans="1:14" ht="11.25" customHeight="1" x14ac:dyDescent="0.25">
      <c r="A88" s="152">
        <v>32</v>
      </c>
      <c r="B88" s="174" t="str">
        <f>'Pay App 1'!B88</f>
        <v>07 41 00</v>
      </c>
      <c r="C88" s="179" t="str">
        <f>'Pay App 1'!C88</f>
        <v>Roofing</v>
      </c>
      <c r="D88" s="155">
        <f>'Pay App 1'!D88</f>
        <v>0</v>
      </c>
      <c r="E88" s="155">
        <f>VLOOKUP(B88,'Graph Data'!$O$2:$BX$88,30,FALSE)</f>
        <v>0</v>
      </c>
      <c r="F88" s="155">
        <f>IFERROR(E88+'Pay App 27'!F88,"")</f>
        <v>0</v>
      </c>
      <c r="G88" s="155">
        <f>SUM('Pay App 1:Pay App 27'!H88)</f>
        <v>0</v>
      </c>
      <c r="H88" s="154"/>
      <c r="I88" s="155">
        <f t="shared" si="0"/>
        <v>0</v>
      </c>
      <c r="J88" s="156">
        <f t="shared" si="1"/>
        <v>0</v>
      </c>
      <c r="K88" s="155">
        <f t="shared" si="2"/>
        <v>0</v>
      </c>
      <c r="L88" s="155" t="str">
        <f>IF(AND('Summary Sheet'!$E$23="No",$H$33&gt;0,H88&gt;=1),"",IF(AND('Summary Sheet'!$E$23="Yes",H88&lt;&gt;""),H88*'Summary Sheet'!$G$23,""))</f>
        <v/>
      </c>
      <c r="M88" s="154"/>
      <c r="N88" s="155">
        <f>SUM('Pay App 1:Pay App 28'!L88)+SUM('Pay App 1:Pay App 28'!M88)</f>
        <v>0</v>
      </c>
    </row>
    <row r="89" spans="1:14" ht="11.25" customHeight="1" x14ac:dyDescent="0.25">
      <c r="A89" s="152">
        <v>33</v>
      </c>
      <c r="B89" s="174" t="str">
        <f>'Pay App 1'!B89</f>
        <v>07 42 00</v>
      </c>
      <c r="C89" s="179" t="str">
        <f>'Pay App 1'!C89</f>
        <v>Metal Panels</v>
      </c>
      <c r="D89" s="155">
        <f>'Pay App 1'!D89</f>
        <v>0</v>
      </c>
      <c r="E89" s="155">
        <f>VLOOKUP(B89,'Graph Data'!$O$2:$BX$88,30,FALSE)</f>
        <v>0</v>
      </c>
      <c r="F89" s="155">
        <f>IFERROR(E89+'Pay App 27'!F89,"")</f>
        <v>0</v>
      </c>
      <c r="G89" s="155">
        <f>SUM('Pay App 1:Pay App 27'!H89)</f>
        <v>0</v>
      </c>
      <c r="H89" s="154"/>
      <c r="I89" s="155">
        <f t="shared" si="0"/>
        <v>0</v>
      </c>
      <c r="J89" s="156">
        <f t="shared" si="1"/>
        <v>0</v>
      </c>
      <c r="K89" s="155">
        <f t="shared" si="2"/>
        <v>0</v>
      </c>
      <c r="L89" s="155" t="str">
        <f>IF(AND('Summary Sheet'!$E$23="No",$H$33&gt;0,H89&gt;=1),"",IF(AND('Summary Sheet'!$E$23="Yes",H89&lt;&gt;""),H89*'Summary Sheet'!$G$23,""))</f>
        <v/>
      </c>
      <c r="M89" s="154"/>
      <c r="N89" s="155">
        <f>SUM('Pay App 1:Pay App 28'!L89)+SUM('Pay App 1:Pay App 28'!M89)</f>
        <v>0</v>
      </c>
    </row>
    <row r="90" spans="1:14" ht="11.25" customHeight="1" x14ac:dyDescent="0.25">
      <c r="A90" s="152">
        <v>34</v>
      </c>
      <c r="B90" s="174" t="str">
        <f>'Pay App 1'!B90</f>
        <v>07 60 00</v>
      </c>
      <c r="C90" s="179" t="str">
        <f>'Pay App 1'!C90</f>
        <v>Sheet Metal Flashing &amp; Trim</v>
      </c>
      <c r="D90" s="155">
        <f>'Pay App 1'!D90</f>
        <v>0</v>
      </c>
      <c r="E90" s="155">
        <f>VLOOKUP(B90,'Graph Data'!$O$2:$BX$88,30,FALSE)</f>
        <v>0</v>
      </c>
      <c r="F90" s="155">
        <f>IFERROR(E90+'Pay App 27'!F90,"")</f>
        <v>0</v>
      </c>
      <c r="G90" s="155">
        <f>SUM('Pay App 1:Pay App 27'!H90)</f>
        <v>0</v>
      </c>
      <c r="H90" s="154"/>
      <c r="I90" s="155">
        <f t="shared" si="0"/>
        <v>0</v>
      </c>
      <c r="J90" s="156">
        <f t="shared" si="1"/>
        <v>0</v>
      </c>
      <c r="K90" s="155">
        <f t="shared" si="2"/>
        <v>0</v>
      </c>
      <c r="L90" s="155" t="str">
        <f>IF(AND('Summary Sheet'!$E$23="No",$H$33&gt;0,H90&gt;=1),"",IF(AND('Summary Sheet'!$E$23="Yes",H90&lt;&gt;""),H90*'Summary Sheet'!$G$23,""))</f>
        <v/>
      </c>
      <c r="M90" s="154"/>
      <c r="N90" s="155">
        <f>SUM('Pay App 1:Pay App 28'!L90)+SUM('Pay App 1:Pay App 28'!M90)</f>
        <v>0</v>
      </c>
    </row>
    <row r="91" spans="1:14" ht="11.25" customHeight="1" x14ac:dyDescent="0.25">
      <c r="A91" s="152">
        <v>35</v>
      </c>
      <c r="B91" s="174" t="str">
        <f>'Pay App 1'!B91</f>
        <v>07 80 00</v>
      </c>
      <c r="C91" s="179" t="str">
        <f>'Pay App 1'!C91</f>
        <v>Fireproofing</v>
      </c>
      <c r="D91" s="155">
        <f>'Pay App 1'!D91</f>
        <v>0</v>
      </c>
      <c r="E91" s="155">
        <f>VLOOKUP(B91,'Graph Data'!$O$2:$BX$88,30,FALSE)</f>
        <v>0</v>
      </c>
      <c r="F91" s="155">
        <f>IFERROR(E91+'Pay App 27'!F91,"")</f>
        <v>0</v>
      </c>
      <c r="G91" s="155">
        <f>SUM('Pay App 1:Pay App 27'!H91)</f>
        <v>0</v>
      </c>
      <c r="H91" s="154"/>
      <c r="I91" s="155">
        <f t="shared" si="0"/>
        <v>0</v>
      </c>
      <c r="J91" s="156">
        <f t="shared" si="1"/>
        <v>0</v>
      </c>
      <c r="K91" s="155">
        <f t="shared" si="2"/>
        <v>0</v>
      </c>
      <c r="L91" s="155" t="str">
        <f>IF(AND('Summary Sheet'!$E$23="No",$H$33&gt;0,H91&gt;=1),"",IF(AND('Summary Sheet'!$E$23="Yes",H91&lt;&gt;""),H91*'Summary Sheet'!$G$23,""))</f>
        <v/>
      </c>
      <c r="M91" s="154"/>
      <c r="N91" s="155">
        <f>SUM('Pay App 1:Pay App 28'!L91)+SUM('Pay App 1:Pay App 28'!M91)</f>
        <v>0</v>
      </c>
    </row>
    <row r="92" spans="1:14" ht="11.25" customHeight="1" x14ac:dyDescent="0.25">
      <c r="A92" s="152">
        <v>36</v>
      </c>
      <c r="B92" s="174" t="str">
        <f>'Pay App 1'!B92</f>
        <v>07 90 00</v>
      </c>
      <c r="C92" s="179" t="str">
        <f>'Pay App 1'!C92</f>
        <v>Joint Sealants</v>
      </c>
      <c r="D92" s="155">
        <f>'Pay App 1'!D92</f>
        <v>0</v>
      </c>
      <c r="E92" s="155">
        <f>VLOOKUP(B92,'Graph Data'!$O$2:$BX$88,30,FALSE)</f>
        <v>0</v>
      </c>
      <c r="F92" s="155">
        <f>IFERROR(E92+'Pay App 27'!F92,"")</f>
        <v>0</v>
      </c>
      <c r="G92" s="155">
        <f>SUM('Pay App 1:Pay App 27'!H92)</f>
        <v>0</v>
      </c>
      <c r="H92" s="154"/>
      <c r="I92" s="155">
        <f t="shared" si="0"/>
        <v>0</v>
      </c>
      <c r="J92" s="156">
        <f t="shared" si="1"/>
        <v>0</v>
      </c>
      <c r="K92" s="155">
        <f t="shared" si="2"/>
        <v>0</v>
      </c>
      <c r="L92" s="155" t="str">
        <f>IF(AND('Summary Sheet'!$E$23="No",$H$33&gt;0,H92&gt;=1),"",IF(AND('Summary Sheet'!$E$23="Yes",H92&lt;&gt;""),H92*'Summary Sheet'!$G$23,""))</f>
        <v/>
      </c>
      <c r="M92" s="154"/>
      <c r="N92" s="155">
        <f>SUM('Pay App 1:Pay App 28'!L92)+SUM('Pay App 1:Pay App 28'!M92)</f>
        <v>0</v>
      </c>
    </row>
    <row r="93" spans="1:14" ht="11.25" customHeight="1" x14ac:dyDescent="0.25">
      <c r="A93" s="152">
        <v>37</v>
      </c>
      <c r="B93" s="174" t="str">
        <f>'Pay App 1'!B93</f>
        <v>07 95 00</v>
      </c>
      <c r="C93" s="179" t="str">
        <f>'Pay App 1'!C93</f>
        <v>Expansion Joints</v>
      </c>
      <c r="D93" s="155">
        <f>'Pay App 1'!D93</f>
        <v>0</v>
      </c>
      <c r="E93" s="155">
        <f>VLOOKUP(B93,'Graph Data'!$O$2:$BX$88,30,FALSE)</f>
        <v>0</v>
      </c>
      <c r="F93" s="155">
        <f>IFERROR(E93+'Pay App 27'!F93,"")</f>
        <v>0</v>
      </c>
      <c r="G93" s="155">
        <f>SUM('Pay App 1:Pay App 27'!H93)</f>
        <v>0</v>
      </c>
      <c r="H93" s="154"/>
      <c r="I93" s="155">
        <f t="shared" si="0"/>
        <v>0</v>
      </c>
      <c r="J93" s="156">
        <f t="shared" si="1"/>
        <v>0</v>
      </c>
      <c r="K93" s="155">
        <f t="shared" si="2"/>
        <v>0</v>
      </c>
      <c r="L93" s="155" t="str">
        <f>IF(AND('Summary Sheet'!$E$23="No",$H$33&gt;0,H93&gt;=1),"",IF(AND('Summary Sheet'!$E$23="Yes",H93&lt;&gt;""),H93*'Summary Sheet'!$G$23,""))</f>
        <v/>
      </c>
      <c r="M93" s="154"/>
      <c r="N93" s="155">
        <f>SUM('Pay App 1:Pay App 28'!L93)+SUM('Pay App 1:Pay App 28'!M93)</f>
        <v>0</v>
      </c>
    </row>
    <row r="94" spans="1:14" ht="11.25" customHeight="1" x14ac:dyDescent="0.25">
      <c r="A94" s="152">
        <v>38</v>
      </c>
      <c r="B94" s="175" t="str">
        <f>'Pay App 1'!B94</f>
        <v>08 10 00</v>
      </c>
      <c r="C94" s="180" t="str">
        <f>'Pay App 1'!C94</f>
        <v>Doors, Frames &amp; Hardware</v>
      </c>
      <c r="D94" s="155">
        <f>'Pay App 1'!D94</f>
        <v>0</v>
      </c>
      <c r="E94" s="155">
        <f>VLOOKUP(B94,'Graph Data'!$O$2:$BX$88,30,FALSE)</f>
        <v>0</v>
      </c>
      <c r="F94" s="155">
        <f>IFERROR(E94+'Pay App 27'!F94,"")</f>
        <v>0</v>
      </c>
      <c r="G94" s="155">
        <f>SUM('Pay App 1:Pay App 27'!H94)</f>
        <v>0</v>
      </c>
      <c r="H94" s="154"/>
      <c r="I94" s="155">
        <f t="shared" si="0"/>
        <v>0</v>
      </c>
      <c r="J94" s="156">
        <f t="shared" si="1"/>
        <v>0</v>
      </c>
      <c r="K94" s="155">
        <f t="shared" si="2"/>
        <v>0</v>
      </c>
      <c r="L94" s="155" t="str">
        <f>IF(AND('Summary Sheet'!$E$23="No",$H$33&gt;0,H94&gt;=1),"",IF(AND('Summary Sheet'!$E$23="Yes",H94&lt;&gt;""),H94*'Summary Sheet'!$G$23,""))</f>
        <v/>
      </c>
      <c r="M94" s="154"/>
      <c r="N94" s="155">
        <f>SUM('Pay App 1:Pay App 28'!L94)+SUM('Pay App 1:Pay App 28'!M94)</f>
        <v>0</v>
      </c>
    </row>
    <row r="95" spans="1:14" ht="11.25" customHeight="1" x14ac:dyDescent="0.25">
      <c r="A95" s="152">
        <v>39</v>
      </c>
      <c r="B95" s="175" t="str">
        <f>'Pay App 1'!B95</f>
        <v>08 30 00</v>
      </c>
      <c r="C95" s="180" t="str">
        <f>'Pay App 1'!C95</f>
        <v>Specialty Doors</v>
      </c>
      <c r="D95" s="155">
        <f>'Pay App 1'!D95</f>
        <v>0</v>
      </c>
      <c r="E95" s="155">
        <f>VLOOKUP(B95,'Graph Data'!$O$2:$BX$88,30,FALSE)</f>
        <v>0</v>
      </c>
      <c r="F95" s="155">
        <f>IFERROR(E95+'Pay App 27'!F95,"")</f>
        <v>0</v>
      </c>
      <c r="G95" s="155">
        <f>SUM('Pay App 1:Pay App 27'!H95)</f>
        <v>0</v>
      </c>
      <c r="H95" s="154"/>
      <c r="I95" s="155">
        <f t="shared" si="0"/>
        <v>0</v>
      </c>
      <c r="J95" s="156">
        <f t="shared" si="1"/>
        <v>0</v>
      </c>
      <c r="K95" s="155">
        <f t="shared" si="2"/>
        <v>0</v>
      </c>
      <c r="L95" s="155" t="str">
        <f>IF(AND('Summary Sheet'!$E$23="No",$H$33&gt;0,H95&gt;=1),"",IF(AND('Summary Sheet'!$E$23="Yes",H95&lt;&gt;""),H95*'Summary Sheet'!$G$23,""))</f>
        <v/>
      </c>
      <c r="M95" s="154"/>
      <c r="N95" s="155">
        <f>SUM('Pay App 1:Pay App 28'!L95)+SUM('Pay App 1:Pay App 28'!M95)</f>
        <v>0</v>
      </c>
    </row>
    <row r="96" spans="1:14" ht="11.25" customHeight="1" x14ac:dyDescent="0.25">
      <c r="A96" s="152">
        <v>40</v>
      </c>
      <c r="B96" s="175" t="str">
        <f>'Pay App 1'!B96</f>
        <v>08 33 00</v>
      </c>
      <c r="C96" s="180" t="str">
        <f>'Pay App 1'!C96</f>
        <v>Overhead Doors/Coiling Doors</v>
      </c>
      <c r="D96" s="155">
        <f>'Pay App 1'!D96</f>
        <v>0</v>
      </c>
      <c r="E96" s="155">
        <f>VLOOKUP(B96,'Graph Data'!$O$2:$BX$88,30,FALSE)</f>
        <v>0</v>
      </c>
      <c r="F96" s="155">
        <f>IFERROR(E96+'Pay App 27'!F96,"")</f>
        <v>0</v>
      </c>
      <c r="G96" s="155">
        <f>SUM('Pay App 1:Pay App 27'!H96)</f>
        <v>0</v>
      </c>
      <c r="H96" s="154"/>
      <c r="I96" s="155">
        <f t="shared" si="0"/>
        <v>0</v>
      </c>
      <c r="J96" s="156">
        <f t="shared" si="1"/>
        <v>0</v>
      </c>
      <c r="K96" s="155">
        <f t="shared" si="2"/>
        <v>0</v>
      </c>
      <c r="L96" s="155" t="str">
        <f>IF(AND('Summary Sheet'!$E$23="No",$H$33&gt;0,H96&gt;=1),"",IF(AND('Summary Sheet'!$E$23="Yes",H96&lt;&gt;""),H96*'Summary Sheet'!$G$23,""))</f>
        <v/>
      </c>
      <c r="M96" s="154"/>
      <c r="N96" s="155">
        <f>SUM('Pay App 1:Pay App 28'!L96)+SUM('Pay App 1:Pay App 28'!M96)</f>
        <v>0</v>
      </c>
    </row>
    <row r="97" spans="1:15" ht="11.25" customHeight="1" x14ac:dyDescent="0.25">
      <c r="A97" s="152">
        <v>41</v>
      </c>
      <c r="B97" s="175" t="str">
        <f>'Pay App 1'!B97</f>
        <v>08 40 00</v>
      </c>
      <c r="C97" s="180" t="str">
        <f>'Pay App 1'!C97</f>
        <v>Curtain Wall, Glass &amp; Glazing</v>
      </c>
      <c r="D97" s="155">
        <f>'Pay App 1'!D97</f>
        <v>0</v>
      </c>
      <c r="E97" s="155">
        <f>VLOOKUP(B97,'Graph Data'!$O$2:$BX$88,30,FALSE)</f>
        <v>0</v>
      </c>
      <c r="F97" s="155">
        <f>IFERROR(E97+'Pay App 27'!F97,"")</f>
        <v>0</v>
      </c>
      <c r="G97" s="155">
        <f>SUM('Pay App 1:Pay App 27'!H97)</f>
        <v>0</v>
      </c>
      <c r="H97" s="154"/>
      <c r="I97" s="155">
        <f t="shared" si="0"/>
        <v>0</v>
      </c>
      <c r="J97" s="156">
        <f t="shared" si="1"/>
        <v>0</v>
      </c>
      <c r="K97" s="155">
        <f t="shared" si="2"/>
        <v>0</v>
      </c>
      <c r="L97" s="155" t="str">
        <f>IF(AND('Summary Sheet'!$E$23="No",$H$33&gt;0,H97&gt;=1),"",IF(AND('Summary Sheet'!$E$23="Yes",H97&lt;&gt;""),H97*'Summary Sheet'!$G$23,""))</f>
        <v/>
      </c>
      <c r="M97" s="154"/>
      <c r="N97" s="155">
        <f>SUM('Pay App 1:Pay App 28'!L97)+SUM('Pay App 1:Pay App 28'!M97)</f>
        <v>0</v>
      </c>
    </row>
    <row r="98" spans="1:15" ht="10.9" customHeight="1" x14ac:dyDescent="0.25">
      <c r="A98" s="152">
        <v>42</v>
      </c>
      <c r="B98" s="175" t="str">
        <f>'Pay App 1'!B98</f>
        <v>08 60 00</v>
      </c>
      <c r="C98" s="180" t="str">
        <f>'Pay App 1'!C98</f>
        <v>Skylights</v>
      </c>
      <c r="D98" s="155">
        <f>'Pay App 1'!D98</f>
        <v>0</v>
      </c>
      <c r="E98" s="155">
        <f>VLOOKUP(B98,'Graph Data'!$O$2:$BX$88,30,FALSE)</f>
        <v>0</v>
      </c>
      <c r="F98" s="155">
        <f>IFERROR(E98+'Pay App 27'!F98,"")</f>
        <v>0</v>
      </c>
      <c r="G98" s="155">
        <f>SUM('Pay App 1:Pay App 27'!H98)</f>
        <v>0</v>
      </c>
      <c r="H98" s="154"/>
      <c r="I98" s="155">
        <f t="shared" si="0"/>
        <v>0</v>
      </c>
      <c r="J98" s="156">
        <f t="shared" si="1"/>
        <v>0</v>
      </c>
      <c r="K98" s="155">
        <f t="shared" si="2"/>
        <v>0</v>
      </c>
      <c r="L98" s="155" t="str">
        <f>IF(AND('Summary Sheet'!$E$23="No",$H$33&gt;0,H98&gt;=1),"",IF(AND('Summary Sheet'!$E$23="Yes",H98&lt;&gt;""),H98*'Summary Sheet'!$G$23,""))</f>
        <v/>
      </c>
      <c r="M98" s="154"/>
      <c r="N98" s="155">
        <f>SUM('Pay App 1:Pay App 28'!L98)+SUM('Pay App 1:Pay App 28'!M98)</f>
        <v>0</v>
      </c>
    </row>
    <row r="99" spans="1:15" ht="10.9" customHeight="1" x14ac:dyDescent="0.25">
      <c r="A99" s="152">
        <v>43</v>
      </c>
      <c r="B99" s="175" t="str">
        <f>'Pay App 1'!B99</f>
        <v>08 90 00</v>
      </c>
      <c r="C99" s="180" t="str">
        <f>'Pay App 1'!C99</f>
        <v>Louvers &amp; Vents</v>
      </c>
      <c r="D99" s="155">
        <f>'Pay App 1'!D99</f>
        <v>0</v>
      </c>
      <c r="E99" s="155">
        <f>VLOOKUP(B99,'Graph Data'!$O$2:$BX$88,30,FALSE)</f>
        <v>0</v>
      </c>
      <c r="F99" s="155">
        <f>IFERROR(E99+'Pay App 27'!F99,"")</f>
        <v>0</v>
      </c>
      <c r="G99" s="155">
        <f>SUM('Pay App 1:Pay App 27'!H99)</f>
        <v>0</v>
      </c>
      <c r="H99" s="154"/>
      <c r="I99" s="155">
        <f t="shared" si="0"/>
        <v>0</v>
      </c>
      <c r="J99" s="156">
        <f t="shared" si="1"/>
        <v>0</v>
      </c>
      <c r="K99" s="155">
        <f t="shared" si="2"/>
        <v>0</v>
      </c>
      <c r="L99" s="155" t="str">
        <f>IF(AND('Summary Sheet'!$E$23="No",$H$33&gt;0,H99&gt;=1),"",IF(AND('Summary Sheet'!$E$23="Yes",H99&lt;&gt;""),H99*'Summary Sheet'!$G$23,""))</f>
        <v/>
      </c>
      <c r="M99" s="154"/>
      <c r="N99" s="155">
        <f>SUM('Pay App 1:Pay App 28'!L99)+SUM('Pay App 1:Pay App 28'!M99)</f>
        <v>0</v>
      </c>
    </row>
    <row r="100" spans="1:15" ht="11.25" customHeight="1" x14ac:dyDescent="0.25">
      <c r="A100" s="153">
        <v>44</v>
      </c>
      <c r="B100" s="176" t="str">
        <f>'Pay App 1'!B100</f>
        <v>09 20 00</v>
      </c>
      <c r="C100" s="181" t="str">
        <f>'Pay App 1'!C100</f>
        <v>Gypsum Board Systems</v>
      </c>
      <c r="D100" s="155">
        <f>'Pay App 1'!D100</f>
        <v>0</v>
      </c>
      <c r="E100" s="155">
        <f>VLOOKUP(B100,'Graph Data'!$O$2:$BX$88,30,FALSE)</f>
        <v>0</v>
      </c>
      <c r="F100" s="155">
        <f>IFERROR(E100+'Pay App 27'!F100,"")</f>
        <v>0</v>
      </c>
      <c r="G100" s="155">
        <f>SUM('Pay App 1:Pay App 27'!H100)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28'!L100)+SUM('Pay App 1:Pay App 28'!M100)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28.2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Data'!$O$2:$BX$88,30,FALSE)</f>
        <v>0</v>
      </c>
      <c r="F106" s="155">
        <f>IFERROR(E106+'Pay App 27'!F106,"")</f>
        <v>0</v>
      </c>
      <c r="G106" s="155">
        <f>SUM('Pay App 1:Pay App 27'!H106)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28'!L106)+SUM('Pay App 1:Pay App 28'!M106)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Data'!$O$2:$BX$88,30,FALSE)</f>
        <v>0</v>
      </c>
      <c r="F107" s="155">
        <f>IFERROR(E107+'Pay App 27'!F107,"")</f>
        <v>0</v>
      </c>
      <c r="G107" s="155">
        <f>SUM('Pay App 1:Pay App 27'!H107)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28'!L107)+SUM('Pay App 1:Pay App 28'!M107)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Data'!$O$2:$BX$88,30,FALSE)</f>
        <v>0</v>
      </c>
      <c r="F108" s="155">
        <f>IFERROR(E108+'Pay App 27'!F108,"")</f>
        <v>0</v>
      </c>
      <c r="G108" s="155">
        <f>SUM('Pay App 1:Pay App 27'!H108)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28'!L108)+SUM('Pay App 1:Pay App 28'!M108)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Data'!$O$2:$BX$88,30,FALSE)</f>
        <v>0</v>
      </c>
      <c r="F109" s="155">
        <f>IFERROR(E109+'Pay App 27'!F109,"")</f>
        <v>0</v>
      </c>
      <c r="G109" s="155">
        <f>SUM('Pay App 1:Pay App 27'!H109)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28'!L109)+SUM('Pay App 1:Pay App 28'!M109)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Data'!$O$2:$BX$88,30,FALSE)</f>
        <v>0</v>
      </c>
      <c r="F110" s="155">
        <f>IFERROR(E110+'Pay App 27'!F110,"")</f>
        <v>0</v>
      </c>
      <c r="G110" s="155">
        <f>SUM('Pay App 1:Pay App 27'!H110)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28'!L110)+SUM('Pay App 1:Pay App 28'!M110)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Data'!$O$2:$BX$88,30,FALSE)</f>
        <v>0</v>
      </c>
      <c r="F111" s="155">
        <f>IFERROR(E111+'Pay App 27'!F111,"")</f>
        <v>0</v>
      </c>
      <c r="G111" s="155">
        <f>SUM('Pay App 1:Pay App 27'!H111)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28'!L111)+SUM('Pay App 1:Pay App 28'!M111)</f>
        <v>0</v>
      </c>
    </row>
    <row r="112" spans="1:15" ht="11.25" customHeight="1" x14ac:dyDescent="0.25">
      <c r="A112" s="152">
        <f t="shared" si="3"/>
        <v>51</v>
      </c>
      <c r="B112" s="148" t="str">
        <f>'Pay App 1'!B112</f>
        <v>09 90 00</v>
      </c>
      <c r="C112" s="143" t="str">
        <f>'Pay App 1'!C112</f>
        <v>Painting</v>
      </c>
      <c r="D112" s="155">
        <f>'Pay App 1'!D112</f>
        <v>0</v>
      </c>
      <c r="E112" s="155">
        <f>VLOOKUP(B112,'Graph Data'!$O$2:$BX$88,30,FALSE)</f>
        <v>0</v>
      </c>
      <c r="F112" s="155">
        <f>IFERROR(E112+'Pay App 27'!F112,"")</f>
        <v>0</v>
      </c>
      <c r="G112" s="155">
        <f>SUM('Pay App 1:Pay App 27'!H112)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28'!L112)+SUM('Pay App 1:Pay App 28'!M112)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Data'!$O$2:$BX$88,30,FALSE)</f>
        <v>0</v>
      </c>
      <c r="F113" s="155">
        <f>IFERROR(E113+'Pay App 27'!F113,"")</f>
        <v>0</v>
      </c>
      <c r="G113" s="155">
        <f>SUM('Pay App 1:Pay App 27'!H113)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28'!L113)+SUM('Pay App 1:Pay App 28'!M113)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Data'!$O$2:$BX$88,30,FALSE)</f>
        <v>0</v>
      </c>
      <c r="F114" s="155">
        <f>IFERROR(E114+'Pay App 27'!F114,"")</f>
        <v>0</v>
      </c>
      <c r="G114" s="155">
        <f>SUM('Pay App 1:Pay App 27'!H114)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28'!L114)+SUM('Pay App 1:Pay App 28'!M114)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Data'!$O$2:$BX$88,30,FALSE)</f>
        <v>0</v>
      </c>
      <c r="F115" s="155">
        <f>IFERROR(E115+'Pay App 27'!F115,"")</f>
        <v>0</v>
      </c>
      <c r="G115" s="155">
        <f>SUM('Pay App 1:Pay App 27'!H115)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28'!L115)+SUM('Pay App 1:Pay App 28'!M115)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Data'!$O$2:$BX$88,30,FALSE)</f>
        <v>0</v>
      </c>
      <c r="F116" s="155">
        <f>IFERROR(E116+'Pay App 27'!F116,"")</f>
        <v>0</v>
      </c>
      <c r="G116" s="155">
        <f>SUM('Pay App 1:Pay App 27'!H116)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28'!L116)+SUM('Pay App 1:Pay App 28'!M116)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Data'!$O$2:$BX$88,30,FALSE)</f>
        <v>0</v>
      </c>
      <c r="F117" s="155">
        <f>IFERROR(E117+'Pay App 27'!F117,"")</f>
        <v>0</v>
      </c>
      <c r="G117" s="155">
        <f>SUM('Pay App 1:Pay App 27'!H117)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28'!L117)+SUM('Pay App 1:Pay App 28'!M117)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Data'!$O$2:$BX$88,30,FALSE)</f>
        <v>0</v>
      </c>
      <c r="F118" s="155">
        <f>IFERROR(E118+'Pay App 27'!F118,"")</f>
        <v>0</v>
      </c>
      <c r="G118" s="155">
        <f>SUM('Pay App 1:Pay App 27'!H118)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28'!L118)+SUM('Pay App 1:Pay App 28'!M118)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Data'!$O$2:$BX$88,30,FALSE)</f>
        <v>0</v>
      </c>
      <c r="F119" s="155">
        <f>IFERROR(E119+'Pay App 27'!F119,"")</f>
        <v>0</v>
      </c>
      <c r="G119" s="155">
        <f>SUM('Pay App 1:Pay App 27'!H119)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28'!L119)+SUM('Pay App 1:Pay App 28'!M119)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Data'!$O$2:$BX$88,30,FALSE)</f>
        <v>0</v>
      </c>
      <c r="F120" s="155">
        <f>IFERROR(E120+'Pay App 27'!F120,"")</f>
        <v>0</v>
      </c>
      <c r="G120" s="155">
        <f>SUM('Pay App 1:Pay App 27'!H120)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28'!L120)+SUM('Pay App 1:Pay App 28'!M120)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Data'!$O$2:$BX$88,30,FALSE)</f>
        <v>0</v>
      </c>
      <c r="F121" s="155">
        <f>IFERROR(E121+'Pay App 27'!F121,"")</f>
        <v>0</v>
      </c>
      <c r="G121" s="155">
        <f>SUM('Pay App 1:Pay App 27'!H121)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28'!L121)+SUM('Pay App 1:Pay App 28'!M121)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Data'!$O$2:$BX$88,30,FALSE)</f>
        <v>0</v>
      </c>
      <c r="F122" s="155">
        <f>IFERROR(E122+'Pay App 27'!F122,"")</f>
        <v>0</v>
      </c>
      <c r="G122" s="155">
        <f>SUM('Pay App 1:Pay App 27'!H122)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28'!L122)+SUM('Pay App 1:Pay App 28'!M122)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Data'!$O$2:$BX$88,30,FALSE)</f>
        <v>0</v>
      </c>
      <c r="F123" s="155">
        <f>IFERROR(E123+'Pay App 27'!F123,"")</f>
        <v>0</v>
      </c>
      <c r="G123" s="155">
        <f>SUM('Pay App 1:Pay App 27'!H123)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28'!L123)+SUM('Pay App 1:Pay App 28'!M123)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Data'!$O$2:$BX$88,30,FALSE)</f>
        <v>0</v>
      </c>
      <c r="F124" s="155">
        <f>IFERROR(E124+'Pay App 27'!F124,"")</f>
        <v>0</v>
      </c>
      <c r="G124" s="155">
        <f>SUM('Pay App 1:Pay App 27'!H124)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28'!L124)+SUM('Pay App 1:Pay App 28'!M124)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Data'!$O$2:$BX$88,30,FALSE)</f>
        <v>0</v>
      </c>
      <c r="F125" s="155">
        <f>IFERROR(E125+'Pay App 27'!F125,"")</f>
        <v>0</v>
      </c>
      <c r="G125" s="155">
        <f>SUM('Pay App 1:Pay App 27'!H125)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28'!L125)+SUM('Pay App 1:Pay App 28'!M125)</f>
        <v>0</v>
      </c>
    </row>
    <row r="126" spans="1:14" ht="11.25" customHeight="1" x14ac:dyDescent="0.25">
      <c r="A126" s="152">
        <f t="shared" si="3"/>
        <v>65</v>
      </c>
      <c r="B126" s="188" t="str">
        <f>'Pay App 1'!B126</f>
        <v>14 20 00</v>
      </c>
      <c r="C126" s="194" t="str">
        <f>'Pay App 1'!C126</f>
        <v>Elevator</v>
      </c>
      <c r="D126" s="155">
        <f>'Pay App 1'!D126</f>
        <v>0</v>
      </c>
      <c r="E126" s="155">
        <f>VLOOKUP(B126,'Graph Data'!$O$2:$BX$88,30,FALSE)</f>
        <v>0</v>
      </c>
      <c r="F126" s="155">
        <f>IFERROR(E126+'Pay App 27'!F126,"")</f>
        <v>0</v>
      </c>
      <c r="G126" s="155">
        <f>SUM('Pay App 1:Pay App 27'!H126)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28'!L126)+SUM('Pay App 1:Pay App 28'!M126)</f>
        <v>0</v>
      </c>
    </row>
    <row r="127" spans="1:14" ht="11.25" customHeight="1" x14ac:dyDescent="0.25">
      <c r="A127" s="152">
        <f t="shared" si="3"/>
        <v>66</v>
      </c>
      <c r="B127" s="188" t="str">
        <f>'Pay App 1'!B127</f>
        <v>14 40 00</v>
      </c>
      <c r="C127" s="194" t="str">
        <f>'Pay App 1'!C127</f>
        <v>Lifts</v>
      </c>
      <c r="D127" s="155">
        <f>'Pay App 1'!D127</f>
        <v>0</v>
      </c>
      <c r="E127" s="155">
        <f>VLOOKUP(B127,'Graph Data'!$O$2:$BX$88,30,FALSE)</f>
        <v>0</v>
      </c>
      <c r="F127" s="155">
        <f>IFERROR(E127+'Pay App 27'!F127,"")</f>
        <v>0</v>
      </c>
      <c r="G127" s="155">
        <f>SUM('Pay App 1:Pay App 27'!H127)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28'!L127)+SUM('Pay App 1:Pay App 28'!M127)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Data'!$O$2:$BX$88,30,FALSE)</f>
        <v>0</v>
      </c>
      <c r="F128" s="155">
        <f>IFERROR(E128+'Pay App 27'!F128,"")</f>
        <v>0</v>
      </c>
      <c r="G128" s="155">
        <f>SUM('Pay App 1:Pay App 27'!H128)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28'!L128)+SUM('Pay App 1:Pay App 28'!M128)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Data'!$O$2:$BX$88,30,FALSE)</f>
        <v>0</v>
      </c>
      <c r="F129" s="155">
        <f>IFERROR(E129+'Pay App 27'!F129,"")</f>
        <v>0</v>
      </c>
      <c r="G129" s="155">
        <f>SUM('Pay App 1:Pay App 27'!H129)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28'!L129)+SUM('Pay App 1:Pay App 28'!M129)</f>
        <v>0</v>
      </c>
    </row>
    <row r="130" spans="1:14" ht="11.25" customHeight="1" x14ac:dyDescent="0.25">
      <c r="A130" s="152">
        <f t="shared" si="3"/>
        <v>69</v>
      </c>
      <c r="B130" s="185" t="str">
        <f>'Pay App 1'!B130</f>
        <v>22 00 00</v>
      </c>
      <c r="C130" s="191" t="str">
        <f>'Pay App 1'!C130</f>
        <v>Plumbing</v>
      </c>
      <c r="D130" s="155">
        <f>'Pay App 1'!D130</f>
        <v>0</v>
      </c>
      <c r="E130" s="155">
        <f>VLOOKUP(B130,'Graph Data'!$O$2:$BX$88,30,FALSE)</f>
        <v>0</v>
      </c>
      <c r="F130" s="155">
        <f>IFERROR(E130+'Pay App 27'!F130,"")</f>
        <v>0</v>
      </c>
      <c r="G130" s="155">
        <f>SUM('Pay App 1:Pay App 27'!H130)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28'!L130)+SUM('Pay App 1:Pay App 28'!M130)</f>
        <v>0</v>
      </c>
    </row>
    <row r="131" spans="1:14" ht="11.25" customHeight="1" x14ac:dyDescent="0.25">
      <c r="A131" s="152">
        <f t="shared" si="3"/>
        <v>70</v>
      </c>
      <c r="B131" s="186" t="str">
        <f>'Pay App 1'!B131</f>
        <v>23 00 00</v>
      </c>
      <c r="C131" s="192" t="str">
        <f>'Pay App 1'!C131</f>
        <v>HVAC</v>
      </c>
      <c r="D131" s="155">
        <f>'Pay App 1'!D131</f>
        <v>0</v>
      </c>
      <c r="E131" s="155">
        <f>VLOOKUP(B131,'Graph Data'!$O$2:$BX$88,30,FALSE)</f>
        <v>0</v>
      </c>
      <c r="F131" s="155">
        <f>IFERROR(E131+'Pay App 27'!F131,"")</f>
        <v>0</v>
      </c>
      <c r="G131" s="155">
        <f>SUM('Pay App 1:Pay App 27'!H131)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28'!L131)+SUM('Pay App 1:Pay App 28'!M131)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Data'!$O$2:$BX$88,30,FALSE)</f>
        <v>0</v>
      </c>
      <c r="F132" s="155">
        <f>IFERROR(E132+'Pay App 27'!F132,"")</f>
        <v>0</v>
      </c>
      <c r="G132" s="155">
        <f>SUM('Pay App 1:Pay App 27'!H132)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28'!L132)+SUM('Pay App 1:Pay App 28'!M132)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Data'!$O$2:$BX$88,30,FALSE)</f>
        <v>0</v>
      </c>
      <c r="F133" s="155">
        <f>IFERROR(E133+'Pay App 27'!F133,"")</f>
        <v>0</v>
      </c>
      <c r="G133" s="155">
        <f>SUM('Pay App 1:Pay App 27'!H133)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28'!L133)+SUM('Pay App 1:Pay App 28'!M133)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Data'!$O$2:$BX$88,30,FALSE)</f>
        <v>0</v>
      </c>
      <c r="F134" s="155">
        <f>IFERROR(E134+'Pay App 27'!F134,"")</f>
        <v>0</v>
      </c>
      <c r="G134" s="155">
        <f>SUM('Pay App 1:Pay App 27'!H134)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28'!L134)+SUM('Pay App 1:Pay App 28'!M134)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Data'!$O$2:$BX$88,30,FALSE)</f>
        <v>0</v>
      </c>
      <c r="F135" s="155">
        <f>IFERROR(E135+'Pay App 27'!F135,"")</f>
        <v>0</v>
      </c>
      <c r="G135" s="155">
        <f>SUM('Pay App 1:Pay App 27'!H135)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28'!L135)+SUM('Pay App 1:Pay App 28'!M135)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Data'!$O$2:$BX$88,30,FALSE)</f>
        <v>0</v>
      </c>
      <c r="F136" s="155">
        <f>IFERROR(E136+'Pay App 27'!F136,"")</f>
        <v>0</v>
      </c>
      <c r="G136" s="155">
        <f>SUM('Pay App 1:Pay App 27'!H136)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28'!L136)+SUM('Pay App 1:Pay App 28'!M136)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Data'!$O$2:$BX$88,30,FALSE)</f>
        <v>0</v>
      </c>
      <c r="F137" s="155">
        <f>IFERROR(E137+'Pay App 27'!F137,"")</f>
        <v>0</v>
      </c>
      <c r="G137" s="155">
        <f>SUM('Pay App 1:Pay App 27'!H137)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28'!L137)+SUM('Pay App 1:Pay App 28'!M137)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Data'!$O$2:$BX$88,30,FALSE)</f>
        <v>0</v>
      </c>
      <c r="F138" s="155">
        <f>IFERROR(E138+'Pay App 27'!F138,"")</f>
        <v>0</v>
      </c>
      <c r="G138" s="155">
        <f>SUM('Pay App 1:Pay App 27'!H138)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28'!L138)+SUM('Pay App 1:Pay App 28'!M138)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Data'!$O$2:$BX$88,30,FALSE)</f>
        <v>0</v>
      </c>
      <c r="F139" s="155">
        <f>IFERROR(E139+'Pay App 27'!F139,"")</f>
        <v>0</v>
      </c>
      <c r="G139" s="155">
        <f>SUM('Pay App 1:Pay App 27'!H139)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28'!L139)+SUM('Pay App 1:Pay App 28'!M139)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Data'!$O$2:$BX$88,30,FALSE)</f>
        <v>0</v>
      </c>
      <c r="F140" s="155">
        <f>IFERROR(E140+'Pay App 27'!F140,"")</f>
        <v>0</v>
      </c>
      <c r="G140" s="155">
        <f>SUM('Pay App 1:Pay App 27'!H140)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28'!L140)+SUM('Pay App 1:Pay App 28'!M140)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Data'!$O$2:$BX$88,30,FALSE)</f>
        <v>0</v>
      </c>
      <c r="F141" s="155">
        <f>IFERROR(E141+'Pay App 27'!F141,"")</f>
        <v>0</v>
      </c>
      <c r="G141" s="155">
        <f>SUM('Pay App 1:Pay App 27'!H141)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28'!L141)+SUM('Pay App 1:Pay App 28'!M141)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Data'!$O$2:$BX$88,30,FALSE)</f>
        <v>0</v>
      </c>
      <c r="F142" s="155">
        <f>IFERROR(E142+'Pay App 27'!F142,"")</f>
        <v>0</v>
      </c>
      <c r="G142" s="155">
        <f>SUM('Pay App 1:Pay App 27'!H142)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28'!L142)+SUM('Pay App 1:Pay App 28'!M142)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Data'!$O$2:$BX$88,30,FALSE)</f>
        <v>0</v>
      </c>
      <c r="F143" s="155">
        <f>IFERROR(E143+'Pay App 27'!F143,"")</f>
        <v>0</v>
      </c>
      <c r="G143" s="155">
        <f>SUM('Pay App 1:Pay App 27'!H143)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28'!L143)+SUM('Pay App 1:Pay App 28'!M143)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Data'!$O$2:$BX$88,30,FALSE)</f>
        <v>0</v>
      </c>
      <c r="F144" s="155">
        <f>IFERROR(E144+'Pay App 27'!F144,"")</f>
        <v>0</v>
      </c>
      <c r="G144" s="155">
        <f>SUM('Pay App 1:Pay App 27'!H144)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28'!L144)+SUM('Pay App 1:Pay App 28'!M144)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Data'!$O$2:$BX$88,30,FALSE)</f>
        <v>0</v>
      </c>
      <c r="F145" s="155">
        <f>IFERROR(E145+'Pay App 27'!F145,"")</f>
        <v>0</v>
      </c>
      <c r="G145" s="155">
        <f>SUM('Pay App 1:Pay App 27'!H145)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28'!L145)+SUM('Pay App 1:Pay App 28'!M145)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Data'!$O$2:$BX$88,30,FALSE)</f>
        <v>0</v>
      </c>
      <c r="F146" s="155">
        <f>IFERROR(E146+'Pay App 27'!F146,"")</f>
        <v>0</v>
      </c>
      <c r="G146" s="155">
        <f>SUM('Pay App 1:Pay App 27'!H146)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28'!L146)+SUM('Pay App 1:Pay App 28'!M146)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Data'!$O$2:$BX$88,30,FALSE)</f>
        <v>0</v>
      </c>
      <c r="F147" s="155">
        <f>IFERROR(E147+'Pay App 27'!F147,"")</f>
        <v>0</v>
      </c>
      <c r="G147" s="155">
        <f>SUM('Pay App 1:Pay App 27'!H147)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28'!L147)+SUM('Pay App 1:Pay App 28'!M147)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Data'!$O$2:$BX$88,30,FALSE)</f>
        <v>0</v>
      </c>
      <c r="F148" s="155">
        <f>IFERROR(E148+'Pay App 27'!F148,"")</f>
        <v>0</v>
      </c>
      <c r="G148" s="155">
        <f>SUM('Pay App 1:Pay App 27'!H148)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28'!L148)+SUM('Pay App 1:Pay App 28'!M148)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Qz5UCGHRThEs643wfYq0yu6YaFnEdELM7zevkoNAuImM4f2vz9sJ4Z4nxQ95qbAHLBg1jzKSyX/UkY4u/TbEpw==" saltValue="NEd3DLdNSOUM6uDFu4NbJ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62" priority="2" operator="equal">
      <formula>0</formula>
    </cfRule>
  </conditionalFormatting>
  <conditionalFormatting sqref="D106:G148">
    <cfRule type="cellIs" dxfId="361" priority="1" operator="equal">
      <formula>0</formula>
    </cfRule>
  </conditionalFormatting>
  <conditionalFormatting sqref="D10:H10 D12:H14 D19:H21">
    <cfRule type="cellIs" dxfId="360" priority="6" operator="equal">
      <formula>0</formula>
    </cfRule>
  </conditionalFormatting>
  <conditionalFormatting sqref="H51">
    <cfRule type="cellIs" dxfId="359" priority="9" operator="lessThan">
      <formula>0</formula>
    </cfRule>
  </conditionalFormatting>
  <conditionalFormatting sqref="I57:I100 K57:K100 I106:I148 K106:K148 N106:N148">
    <cfRule type="cellIs" dxfId="358" priority="14" operator="equal">
      <formula>0</formula>
    </cfRule>
  </conditionalFormatting>
  <conditionalFormatting sqref="J57:J100 J106:J149">
    <cfRule type="cellIs" dxfId="357" priority="11" operator="greaterThan">
      <formula>1</formula>
    </cfRule>
    <cfRule type="cellIs" dxfId="356" priority="12" operator="equal">
      <formula>0</formula>
    </cfRule>
  </conditionalFormatting>
  <conditionalFormatting sqref="K57:K100 K106:K148">
    <cfRule type="cellIs" dxfId="355" priority="10" operator="lessThan">
      <formula>0</formula>
    </cfRule>
  </conditionalFormatting>
  <conditionalFormatting sqref="M57:M100">
    <cfRule type="cellIs" dxfId="354" priority="13" operator="lessThan">
      <formula>0</formula>
    </cfRule>
  </conditionalFormatting>
  <conditionalFormatting sqref="M106:M148">
    <cfRule type="cellIs" dxfId="353" priority="8" operator="lessThan">
      <formula>0</formula>
    </cfRule>
  </conditionalFormatting>
  <conditionalFormatting sqref="N57:N100">
    <cfRule type="cellIs" dxfId="35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74AC460-154A-4099-A984-E7226DC03367}">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326FE-8863-4C77-AE98-E12B784E4FB8}">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29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29'!E149)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29'!G41)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29.1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Data'!$O$2:$BX$88,31,FALSE)</f>
        <v>0</v>
      </c>
      <c r="F57" s="155">
        <f>IFERROR(E57+'Pay App 28'!F57,"")</f>
        <v>0</v>
      </c>
      <c r="G57" s="155">
        <f>SUM('Pay App 1:Pay App 28'!H57)</f>
        <v>0</v>
      </c>
      <c r="H57" s="154"/>
      <c r="I57" s="155">
        <f>G57+H57</f>
        <v>0</v>
      </c>
      <c r="J57" s="156">
        <f>IFERROR(I57/F57,0)</f>
        <v>0</v>
      </c>
      <c r="K57" s="155">
        <f>IFERROR(F57-I57,"")</f>
        <v>0</v>
      </c>
      <c r="L57" s="155" t="str">
        <f>IF(AND('Summary Sheet'!$E$23="No",$H$33&gt;0,H57&gt;=1),"",IF(AND('Summary Sheet'!$E$23="Yes",H57&lt;&gt;""),H57*'Summary Sheet'!$G$23,""))</f>
        <v/>
      </c>
      <c r="M57" s="154"/>
      <c r="N57" s="155">
        <f>SUM('Pay App 1:Pay App 29'!L57)+SUM('Pay App 1:Pay App 29'!M57)</f>
        <v>0</v>
      </c>
    </row>
    <row r="58" spans="1:16" ht="11.25" customHeight="1" x14ac:dyDescent="0.25">
      <c r="A58" s="152">
        <v>2</v>
      </c>
      <c r="B58" s="145" t="str">
        <f>'Pay App 1'!B58</f>
        <v>00 02 00</v>
      </c>
      <c r="C58" s="134" t="str">
        <f>'Pay App 1'!C58</f>
        <v>Preconstruction Services</v>
      </c>
      <c r="D58" s="155">
        <f>'Pay App 1'!D58</f>
        <v>0</v>
      </c>
      <c r="E58" s="155">
        <f>VLOOKUP(B58,'Graph Data'!$O$2:$BX$88,31,FALSE)</f>
        <v>0</v>
      </c>
      <c r="F58" s="155">
        <f>IFERROR(E58+'Pay App 28'!F58,"")</f>
        <v>0</v>
      </c>
      <c r="G58" s="155">
        <f>SUM('Pay App 1:Pay App 28'!H58)</f>
        <v>0</v>
      </c>
      <c r="H58" s="154"/>
      <c r="I58" s="155">
        <f>G58+H58</f>
        <v>0</v>
      </c>
      <c r="J58" s="156">
        <f>IFERROR(I58/F58,0)</f>
        <v>0</v>
      </c>
      <c r="K58" s="155">
        <f>IFERROR(F58-I58,"")</f>
        <v>0</v>
      </c>
      <c r="L58" s="155" t="str">
        <f>IF(AND('Summary Sheet'!$E$23="No",$H$33&gt;0,H58&gt;=1),"",IF(AND('Summary Sheet'!$E$23="Yes",H58&lt;&gt;""),H58*'Summary Sheet'!$G$23,""))</f>
        <v/>
      </c>
      <c r="M58" s="154"/>
      <c r="N58" s="155">
        <f>SUM('Pay App 1:Pay App 29'!L58)+SUM('Pay App 1:Pay App 29'!M58)</f>
        <v>0</v>
      </c>
    </row>
    <row r="59" spans="1:16" ht="11.25" customHeight="1" x14ac:dyDescent="0.25">
      <c r="A59" s="152">
        <v>3</v>
      </c>
      <c r="B59" s="174" t="str">
        <f>'Pay App 1'!B59</f>
        <v>01 00 00</v>
      </c>
      <c r="C59" s="179" t="str">
        <f>'Pay App 1'!C59</f>
        <v>General Conditions/Requirements</v>
      </c>
      <c r="D59" s="155">
        <f>'Pay App 1'!D59</f>
        <v>0</v>
      </c>
      <c r="E59" s="155">
        <f>VLOOKUP(B59,'Graph Data'!$O$2:$BX$88,31,FALSE)</f>
        <v>0</v>
      </c>
      <c r="F59" s="155">
        <f>IFERROR(E59+'Pay App 28'!F59,"")</f>
        <v>0</v>
      </c>
      <c r="G59" s="155">
        <f>SUM('Pay App 1:Pay App 28'!H59)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29'!L59)+SUM('Pay App 1:Pay App 29'!M59)</f>
        <v>0</v>
      </c>
    </row>
    <row r="60" spans="1:16" ht="11.25" customHeight="1" x14ac:dyDescent="0.25">
      <c r="A60" s="152">
        <v>4</v>
      </c>
      <c r="B60" s="174" t="str">
        <f>'Pay App 1'!B60</f>
        <v>01 13 41</v>
      </c>
      <c r="C60" s="179" t="str">
        <f>'Pay App 1'!C60</f>
        <v>Temp. Scaffolding and Platforms</v>
      </c>
      <c r="D60" s="155">
        <f>'Pay App 1'!D60</f>
        <v>0</v>
      </c>
      <c r="E60" s="155">
        <f>VLOOKUP(B60,'Graph Data'!$O$2:$BX$88,31,FALSE)</f>
        <v>0</v>
      </c>
      <c r="F60" s="155">
        <f>IFERROR(E60+'Pay App 28'!F60,"")</f>
        <v>0</v>
      </c>
      <c r="G60" s="155">
        <f>SUM('Pay App 1:Pay App 28'!H60)</f>
        <v>0</v>
      </c>
      <c r="H60" s="154"/>
      <c r="I60" s="155">
        <f t="shared" si="0"/>
        <v>0</v>
      </c>
      <c r="J60" s="156">
        <f t="shared" si="1"/>
        <v>0</v>
      </c>
      <c r="K60" s="155">
        <f t="shared" si="2"/>
        <v>0</v>
      </c>
      <c r="L60" s="155" t="str">
        <f>IF(AND('Summary Sheet'!$E$23="No",$H$33&gt;0,H60&gt;=1),"",IF(AND('Summary Sheet'!$E$23="Yes",H60&lt;&gt;""),H60*'Summary Sheet'!$G$23,""))</f>
        <v/>
      </c>
      <c r="M60" s="154"/>
      <c r="N60" s="155">
        <f>SUM('Pay App 1:Pay App 29'!L60)+SUM('Pay App 1:Pay App 29'!M60)</f>
        <v>0</v>
      </c>
    </row>
    <row r="61" spans="1:16" ht="11.25" customHeight="1" x14ac:dyDescent="0.25">
      <c r="A61" s="152">
        <v>5</v>
      </c>
      <c r="B61" s="174" t="str">
        <f>'Pay App 1'!B61</f>
        <v>01 13 60</v>
      </c>
      <c r="C61" s="179" t="str">
        <f>'Pay App 1'!C61</f>
        <v>SWPPP</v>
      </c>
      <c r="D61" s="155">
        <f>'Pay App 1'!D61</f>
        <v>0</v>
      </c>
      <c r="E61" s="155">
        <f>VLOOKUP(B61,'Graph Data'!$O$2:$BX$88,31,FALSE)</f>
        <v>0</v>
      </c>
      <c r="F61" s="155">
        <f>IFERROR(E61+'Pay App 28'!F61,"")</f>
        <v>0</v>
      </c>
      <c r="G61" s="155">
        <f>SUM('Pay App 1:Pay App 28'!H61)</f>
        <v>0</v>
      </c>
      <c r="H61" s="154"/>
      <c r="I61" s="155">
        <f t="shared" si="0"/>
        <v>0</v>
      </c>
      <c r="J61" s="156">
        <f t="shared" si="1"/>
        <v>0</v>
      </c>
      <c r="K61" s="155">
        <f t="shared" si="2"/>
        <v>0</v>
      </c>
      <c r="L61" s="155" t="str">
        <f>IF(AND('Summary Sheet'!$E$23="No",$H$33&gt;0,H61&gt;=1),"",IF(AND('Summary Sheet'!$E$23="Yes",H61&lt;&gt;""),H61*'Summary Sheet'!$G$23,""))</f>
        <v/>
      </c>
      <c r="M61" s="154"/>
      <c r="N61" s="155">
        <f>SUM('Pay App 1:Pay App 29'!L61)+SUM('Pay App 1:Pay App 29'!M61)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Data'!$O$2:$BX$88,31,FALSE)</f>
        <v>0</v>
      </c>
      <c r="F62" s="155">
        <f>IFERROR(E62+'Pay App 28'!F62,"")</f>
        <v>0</v>
      </c>
      <c r="G62" s="155">
        <f>SUM('Pay App 1:Pay App 28'!H62)</f>
        <v>0</v>
      </c>
      <c r="H62" s="154"/>
      <c r="I62" s="155">
        <f t="shared" si="0"/>
        <v>0</v>
      </c>
      <c r="J62" s="156">
        <f t="shared" si="1"/>
        <v>0</v>
      </c>
      <c r="K62" s="155">
        <f t="shared" si="2"/>
        <v>0</v>
      </c>
      <c r="L62" s="155" t="str">
        <f>IF(AND('Summary Sheet'!$E$23="No",$H$33&gt;0,H62&gt;=1),"",IF(AND('Summary Sheet'!$E$23="Yes",H62&lt;&gt;""),H62*'Summary Sheet'!$G$23,""))</f>
        <v/>
      </c>
      <c r="M62" s="154"/>
      <c r="N62" s="155">
        <f>SUM('Pay App 1:Pay App 29'!L62)+SUM('Pay App 1:Pay App 29'!M62)</f>
        <v>0</v>
      </c>
    </row>
    <row r="63" spans="1:16" ht="11.25" customHeight="1" x14ac:dyDescent="0.25">
      <c r="A63" s="152">
        <v>7</v>
      </c>
      <c r="B63" s="174" t="str">
        <f>'Pay App 1'!B63</f>
        <v>01 31 00</v>
      </c>
      <c r="C63" s="179" t="str">
        <f>'Pay App 1'!C63</f>
        <v>Contractor's Supervision</v>
      </c>
      <c r="D63" s="155">
        <f>'Pay App 1'!D63</f>
        <v>0</v>
      </c>
      <c r="E63" s="155">
        <f>VLOOKUP(B63,'Graph Data'!$O$2:$BX$88,31,FALSE)</f>
        <v>0</v>
      </c>
      <c r="F63" s="155">
        <f>IFERROR(E63+'Pay App 28'!F63,"")</f>
        <v>0</v>
      </c>
      <c r="G63" s="155">
        <f>SUM('Pay App 1:Pay App 28'!H63)</f>
        <v>0</v>
      </c>
      <c r="H63" s="154"/>
      <c r="I63" s="155">
        <f t="shared" si="0"/>
        <v>0</v>
      </c>
      <c r="J63" s="156">
        <f t="shared" si="1"/>
        <v>0</v>
      </c>
      <c r="K63" s="155">
        <f t="shared" si="2"/>
        <v>0</v>
      </c>
      <c r="L63" s="155" t="str">
        <f>IF(AND('Summary Sheet'!$E$23="No",$H$33&gt;0,H63&gt;=1),"",IF(AND('Summary Sheet'!$E$23="Yes",H63&lt;&gt;""),H63*'Summary Sheet'!$G$23,""))</f>
        <v/>
      </c>
      <c r="M63" s="154"/>
      <c r="N63" s="155">
        <f>SUM('Pay App 1:Pay App 29'!L63)+SUM('Pay App 1:Pay App 29'!M63)</f>
        <v>0</v>
      </c>
    </row>
    <row r="64" spans="1:16" ht="11.25" customHeight="1" x14ac:dyDescent="0.25">
      <c r="A64" s="152">
        <v>8</v>
      </c>
      <c r="B64" s="174" t="str">
        <f>'Pay App 1'!B64</f>
        <v>01 32 00</v>
      </c>
      <c r="C64" s="179" t="str">
        <f>'Pay App 1'!C64</f>
        <v>General Liability Insurance</v>
      </c>
      <c r="D64" s="155">
        <f>'Pay App 1'!D64</f>
        <v>0</v>
      </c>
      <c r="E64" s="155">
        <f>VLOOKUP(B64,'Graph Data'!$O$2:$BX$88,31,FALSE)</f>
        <v>0</v>
      </c>
      <c r="F64" s="155">
        <f>IFERROR(E64+'Pay App 28'!F64,"")</f>
        <v>0</v>
      </c>
      <c r="G64" s="155">
        <f>SUM('Pay App 1:Pay App 28'!H64)</f>
        <v>0</v>
      </c>
      <c r="H64" s="154"/>
      <c r="I64" s="155">
        <f t="shared" si="0"/>
        <v>0</v>
      </c>
      <c r="J64" s="156">
        <f t="shared" si="1"/>
        <v>0</v>
      </c>
      <c r="K64" s="155">
        <f t="shared" si="2"/>
        <v>0</v>
      </c>
      <c r="L64" s="155" t="str">
        <f>IF(AND('Summary Sheet'!$E$23="No",$H$33&gt;0,H64&gt;=1),"",IF(AND('Summary Sheet'!$E$23="Yes",H64&lt;&gt;""),H64*'Summary Sheet'!$G$23,""))</f>
        <v/>
      </c>
      <c r="M64" s="154"/>
      <c r="N64" s="155">
        <f>SUM('Pay App 1:Pay App 29'!L64)+SUM('Pay App 1:Pay App 29'!M64)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Data'!$O$2:$BX$88,31,FALSE)</f>
        <v>0</v>
      </c>
      <c r="F65" s="155">
        <f>IFERROR(E65+'Pay App 28'!F65,"")</f>
        <v>0</v>
      </c>
      <c r="G65" s="155">
        <f>SUM('Pay App 1:Pay App 28'!H65)</f>
        <v>0</v>
      </c>
      <c r="H65" s="154"/>
      <c r="I65" s="155">
        <f t="shared" si="0"/>
        <v>0</v>
      </c>
      <c r="J65" s="156">
        <f t="shared" si="1"/>
        <v>0</v>
      </c>
      <c r="K65" s="155">
        <f t="shared" si="2"/>
        <v>0</v>
      </c>
      <c r="L65" s="155" t="str">
        <f>IF(AND('Summary Sheet'!$E$23="No",$H$33&gt;0,H65&gt;=1),"",IF(AND('Summary Sheet'!$E$23="Yes",H65&lt;&gt;""),H65*'Summary Sheet'!$G$23,""))</f>
        <v/>
      </c>
      <c r="M65" s="154"/>
      <c r="N65" s="155">
        <f>SUM('Pay App 1:Pay App 29'!L65)+SUM('Pay App 1:Pay App 29'!M65)</f>
        <v>0</v>
      </c>
    </row>
    <row r="66" spans="1:17" ht="11.25" customHeight="1" x14ac:dyDescent="0.25">
      <c r="A66" s="152">
        <v>10</v>
      </c>
      <c r="B66" s="174" t="str">
        <f>'Pay App 1'!B66</f>
        <v>01 34 00</v>
      </c>
      <c r="C66" s="179" t="str">
        <f>'Pay App 1'!C66</f>
        <v>Subcontractor Default Insurance</v>
      </c>
      <c r="D66" s="155">
        <f>'Pay App 1'!D66</f>
        <v>0</v>
      </c>
      <c r="E66" s="155">
        <f>VLOOKUP(B66,'Graph Data'!$O$2:$BX$88,31,FALSE)</f>
        <v>0</v>
      </c>
      <c r="F66" s="155">
        <f>IFERROR(E66+'Pay App 28'!F66,"")</f>
        <v>0</v>
      </c>
      <c r="G66" s="155">
        <f>SUM('Pay App 1:Pay App 28'!H66)</f>
        <v>0</v>
      </c>
      <c r="H66" s="154"/>
      <c r="I66" s="155">
        <f t="shared" si="0"/>
        <v>0</v>
      </c>
      <c r="J66" s="156">
        <f t="shared" si="1"/>
        <v>0</v>
      </c>
      <c r="K66" s="155">
        <f t="shared" si="2"/>
        <v>0</v>
      </c>
      <c r="L66" s="155" t="str">
        <f>IF(AND('Summary Sheet'!$E$23="No",$H$33&gt;0,H66&gt;=1),"",IF(AND('Summary Sheet'!$E$23="Yes",H66&lt;&gt;""),H66*'Summary Sheet'!$G$23,""))</f>
        <v/>
      </c>
      <c r="M66" s="154"/>
      <c r="N66" s="155">
        <f>SUM('Pay App 1:Pay App 29'!L66)+SUM('Pay App 1:Pay App 29'!M66)</f>
        <v>0</v>
      </c>
    </row>
    <row r="67" spans="1:17" ht="11.25" customHeight="1" x14ac:dyDescent="0.25">
      <c r="A67" s="152">
        <v>11</v>
      </c>
      <c r="B67" s="174" t="str">
        <f>'Pay App 1'!B67</f>
        <v>01 35 00</v>
      </c>
      <c r="C67" s="179" t="str">
        <f>'Pay App 1'!C67</f>
        <v>Construction Management Fee</v>
      </c>
      <c r="D67" s="155">
        <f>'Pay App 1'!D67</f>
        <v>0</v>
      </c>
      <c r="E67" s="155">
        <f>VLOOKUP(B67,'Graph Data'!$O$2:$BX$88,31,FALSE)</f>
        <v>0</v>
      </c>
      <c r="F67" s="155">
        <f>IFERROR(E67+'Pay App 28'!F67,"")</f>
        <v>0</v>
      </c>
      <c r="G67" s="155">
        <f>SUM('Pay App 1:Pay App 28'!H67)</f>
        <v>0</v>
      </c>
      <c r="H67" s="154"/>
      <c r="I67" s="155">
        <f t="shared" si="0"/>
        <v>0</v>
      </c>
      <c r="J67" s="156">
        <f t="shared" si="1"/>
        <v>0</v>
      </c>
      <c r="K67" s="155">
        <f t="shared" si="2"/>
        <v>0</v>
      </c>
      <c r="L67" s="155" t="str">
        <f>IF(AND('Summary Sheet'!$E$23="No",$H$33&gt;0,H67&gt;=1),"",IF(AND('Summary Sheet'!$E$23="Yes",H67&lt;&gt;""),H67*'Summary Sheet'!$G$23,""))</f>
        <v/>
      </c>
      <c r="M67" s="154"/>
      <c r="N67" s="155">
        <f>SUM('Pay App 1:Pay App 29'!L67)+SUM('Pay App 1:Pay App 29'!M67)</f>
        <v>0</v>
      </c>
    </row>
    <row r="68" spans="1:17" ht="11.25" customHeight="1" x14ac:dyDescent="0.25">
      <c r="A68" s="152">
        <v>12</v>
      </c>
      <c r="B68" s="174" t="str">
        <f>'Pay App 1'!B68</f>
        <v>01 36 00</v>
      </c>
      <c r="C68" s="179" t="str">
        <f>'Pay App 1'!C68</f>
        <v>Contingency</v>
      </c>
      <c r="D68" s="155">
        <f>'Pay App 1'!D68</f>
        <v>0</v>
      </c>
      <c r="E68" s="155">
        <f>VLOOKUP(B68,'Graph Data'!$O$2:$BX$88,31,FALSE)</f>
        <v>0</v>
      </c>
      <c r="F68" s="155">
        <f>IFERROR(E68+'Pay App 28'!F68,"")</f>
        <v>0</v>
      </c>
      <c r="G68" s="155">
        <f>SUM('Pay App 1:Pay App 28'!H68)</f>
        <v>0</v>
      </c>
      <c r="H68" s="154"/>
      <c r="I68" s="155">
        <f t="shared" si="0"/>
        <v>0</v>
      </c>
      <c r="J68" s="156">
        <f t="shared" si="1"/>
        <v>0</v>
      </c>
      <c r="K68" s="155">
        <f t="shared" si="2"/>
        <v>0</v>
      </c>
      <c r="L68" s="155" t="str">
        <f>IF(AND('Summary Sheet'!$E$23="No",$H$33&gt;0,H68&gt;=1),"",IF(AND('Summary Sheet'!$E$23="Yes",H68&lt;&gt;""),H68*'Summary Sheet'!$G$23,""))</f>
        <v/>
      </c>
      <c r="M68" s="154"/>
      <c r="N68" s="155">
        <f>SUM('Pay App 1:Pay App 29'!L68)+SUM('Pay App 1:Pay App 29'!M68)</f>
        <v>0</v>
      </c>
    </row>
    <row r="69" spans="1:17" ht="11.25" customHeight="1" x14ac:dyDescent="0.25">
      <c r="A69" s="152">
        <v>13</v>
      </c>
      <c r="B69" s="174" t="str">
        <f>'Pay App 1'!B69</f>
        <v>01 37 00</v>
      </c>
      <c r="C69" s="179" t="str">
        <f>'Pay App 1'!C69</f>
        <v>Weather Allowance (All Trades)</v>
      </c>
      <c r="D69" s="155">
        <f>'Pay App 1'!D69</f>
        <v>0</v>
      </c>
      <c r="E69" s="155">
        <f>VLOOKUP(B69,'Graph Data'!$O$2:$BX$88,31,FALSE)</f>
        <v>0</v>
      </c>
      <c r="F69" s="155">
        <f>IFERROR(E69+'Pay App 28'!F69,"")</f>
        <v>0</v>
      </c>
      <c r="G69" s="155">
        <f>SUM('Pay App 1:Pay App 28'!H69)</f>
        <v>0</v>
      </c>
      <c r="H69" s="154"/>
      <c r="I69" s="155">
        <f t="shared" si="0"/>
        <v>0</v>
      </c>
      <c r="J69" s="156">
        <f t="shared" si="1"/>
        <v>0</v>
      </c>
      <c r="K69" s="155">
        <f t="shared" si="2"/>
        <v>0</v>
      </c>
      <c r="L69" s="155" t="str">
        <f>IF(AND('Summary Sheet'!$E$23="No",$H$33&gt;0,H69&gt;=1),"",IF(AND('Summary Sheet'!$E$23="Yes",H69&lt;&gt;""),H69*'Summary Sheet'!$G$23,""))</f>
        <v/>
      </c>
      <c r="M69" s="154"/>
      <c r="N69" s="155">
        <f>SUM('Pay App 1:Pay App 29'!L69)+SUM('Pay App 1:Pay App 29'!M69)</f>
        <v>0</v>
      </c>
    </row>
    <row r="70" spans="1:17" ht="11.25" customHeight="1" x14ac:dyDescent="0.25">
      <c r="A70" s="152">
        <v>14</v>
      </c>
      <c r="B70" s="174" t="str">
        <f>'Pay App 1'!B70</f>
        <v>01 74 23</v>
      </c>
      <c r="C70" s="179" t="str">
        <f>'Pay App 1'!C70</f>
        <v>Cleaning (Final)</v>
      </c>
      <c r="D70" s="155">
        <f>'Pay App 1'!D70</f>
        <v>0</v>
      </c>
      <c r="E70" s="155">
        <f>VLOOKUP(B70,'Graph Data'!$O$2:$BX$88,31,FALSE)</f>
        <v>0</v>
      </c>
      <c r="F70" s="155">
        <f>IFERROR(E70+'Pay App 28'!F70,"")</f>
        <v>0</v>
      </c>
      <c r="G70" s="155">
        <f>SUM('Pay App 1:Pay App 28'!H70)</f>
        <v>0</v>
      </c>
      <c r="H70" s="154"/>
      <c r="I70" s="155">
        <f t="shared" si="0"/>
        <v>0</v>
      </c>
      <c r="J70" s="156">
        <f t="shared" si="1"/>
        <v>0</v>
      </c>
      <c r="K70" s="155">
        <f t="shared" si="2"/>
        <v>0</v>
      </c>
      <c r="L70" s="155" t="str">
        <f>IF(AND('Summary Sheet'!$E$23="No",$H$33&gt;0,H70&gt;=1),"",IF(AND('Summary Sheet'!$E$23="Yes",H70&lt;&gt;""),H70*'Summary Sheet'!$G$23,""))</f>
        <v/>
      </c>
      <c r="M70" s="154"/>
      <c r="N70" s="155">
        <f>SUM('Pay App 1:Pay App 29'!L70)+SUM('Pay App 1:Pay App 29'!M70)</f>
        <v>0</v>
      </c>
    </row>
    <row r="71" spans="1:17" ht="11.25" customHeight="1" x14ac:dyDescent="0.25">
      <c r="A71" s="152">
        <v>15</v>
      </c>
      <c r="B71" s="175" t="str">
        <f>'Pay App 1'!B71</f>
        <v>02 21 00</v>
      </c>
      <c r="C71" s="180" t="str">
        <f>'Pay App 1'!C71</f>
        <v>Survey/Engineering</v>
      </c>
      <c r="D71" s="155">
        <f>'Pay App 1'!D71</f>
        <v>0</v>
      </c>
      <c r="E71" s="155">
        <f>VLOOKUP(B71,'Graph Data'!$O$2:$BX$88,31,FALSE)</f>
        <v>0</v>
      </c>
      <c r="F71" s="155">
        <f>IFERROR(E71+'Pay App 28'!F71,"")</f>
        <v>0</v>
      </c>
      <c r="G71" s="155">
        <f>SUM('Pay App 1:Pay App 28'!H71)</f>
        <v>0</v>
      </c>
      <c r="H71" s="154"/>
      <c r="I71" s="155">
        <f t="shared" si="0"/>
        <v>0</v>
      </c>
      <c r="J71" s="156">
        <f t="shared" si="1"/>
        <v>0</v>
      </c>
      <c r="K71" s="155">
        <f t="shared" si="2"/>
        <v>0</v>
      </c>
      <c r="L71" s="155" t="str">
        <f>IF(AND('Summary Sheet'!$E$23="No",$H$33&gt;0,H71&gt;=1),"",IF(AND('Summary Sheet'!$E$23="Yes",H71&lt;&gt;""),H71*'Summary Sheet'!$G$23,""))</f>
        <v/>
      </c>
      <c r="M71" s="154"/>
      <c r="N71" s="155">
        <f>SUM('Pay App 1:Pay App 29'!L71)+SUM('Pay App 1:Pay App 29'!M71)</f>
        <v>0</v>
      </c>
      <c r="Q71" s="28"/>
    </row>
    <row r="72" spans="1:17" ht="11.25" customHeight="1" x14ac:dyDescent="0.25">
      <c r="A72" s="152">
        <v>16</v>
      </c>
      <c r="B72" s="175" t="str">
        <f>'Pay App 1'!B72</f>
        <v>02 41 00</v>
      </c>
      <c r="C72" s="180" t="str">
        <f>'Pay App 1'!C72</f>
        <v>Demolition</v>
      </c>
      <c r="D72" s="155">
        <f>'Pay App 1'!D72</f>
        <v>0</v>
      </c>
      <c r="E72" s="155">
        <f>VLOOKUP(B72,'Graph Data'!$O$2:$BX$88,31,FALSE)</f>
        <v>0</v>
      </c>
      <c r="F72" s="155">
        <f>IFERROR(E72+'Pay App 28'!F72,"")</f>
        <v>0</v>
      </c>
      <c r="G72" s="155">
        <f>SUM('Pay App 1:Pay App 28'!H72)</f>
        <v>0</v>
      </c>
      <c r="H72" s="154"/>
      <c r="I72" s="155">
        <f t="shared" si="0"/>
        <v>0</v>
      </c>
      <c r="J72" s="156">
        <f t="shared" si="1"/>
        <v>0</v>
      </c>
      <c r="K72" s="155">
        <f t="shared" si="2"/>
        <v>0</v>
      </c>
      <c r="L72" s="155" t="str">
        <f>IF(AND('Summary Sheet'!$E$23="No",$H$33&gt;0,H72&gt;=1),"",IF(AND('Summary Sheet'!$E$23="Yes",H72&lt;&gt;""),H72*'Summary Sheet'!$G$23,""))</f>
        <v/>
      </c>
      <c r="M72" s="154"/>
      <c r="N72" s="155">
        <f>SUM('Pay App 1:Pay App 29'!L72)+SUM('Pay App 1:Pay App 29'!M72)</f>
        <v>0</v>
      </c>
      <c r="Q72" s="28"/>
    </row>
    <row r="73" spans="1:17" ht="11.25" customHeight="1" x14ac:dyDescent="0.25">
      <c r="A73" s="152">
        <v>17</v>
      </c>
      <c r="B73" s="175" t="str">
        <f>'Pay App 1'!B73</f>
        <v>02 82 00</v>
      </c>
      <c r="C73" s="180" t="str">
        <f>'Pay App 1'!C73</f>
        <v>Asbestos Abatement</v>
      </c>
      <c r="D73" s="155">
        <f>'Pay App 1'!D73</f>
        <v>0</v>
      </c>
      <c r="E73" s="155">
        <f>VLOOKUP(B73,'Graph Data'!$O$2:$BX$88,31,FALSE)</f>
        <v>0</v>
      </c>
      <c r="F73" s="155">
        <f>IFERROR(E73+'Pay App 28'!F73,"")</f>
        <v>0</v>
      </c>
      <c r="G73" s="155">
        <f>SUM('Pay App 1:Pay App 28'!H73)</f>
        <v>0</v>
      </c>
      <c r="H73" s="154"/>
      <c r="I73" s="155">
        <f t="shared" si="0"/>
        <v>0</v>
      </c>
      <c r="J73" s="156">
        <f t="shared" si="1"/>
        <v>0</v>
      </c>
      <c r="K73" s="155">
        <f t="shared" si="2"/>
        <v>0</v>
      </c>
      <c r="L73" s="155" t="str">
        <f>IF(AND('Summary Sheet'!$E$23="No",$H$33&gt;0,H73&gt;=1),"",IF(AND('Summary Sheet'!$E$23="Yes",H73&lt;&gt;""),H73*'Summary Sheet'!$G$23,""))</f>
        <v/>
      </c>
      <c r="M73" s="154"/>
      <c r="N73" s="155">
        <f>SUM('Pay App 1:Pay App 29'!L73)+SUM('Pay App 1:Pay App 29'!M73)</f>
        <v>0</v>
      </c>
    </row>
    <row r="74" spans="1:17" ht="11.25" customHeight="1" x14ac:dyDescent="0.25">
      <c r="A74" s="152">
        <v>18</v>
      </c>
      <c r="B74" s="176" t="str">
        <f>'Pay App 1'!B74</f>
        <v>03 00 00</v>
      </c>
      <c r="C74" s="181" t="str">
        <f>'Pay App 1'!C74</f>
        <v>Building Concrete</v>
      </c>
      <c r="D74" s="155">
        <f>'Pay App 1'!D74</f>
        <v>0</v>
      </c>
      <c r="E74" s="155">
        <f>VLOOKUP(B74,'Graph Data'!$O$2:$BX$88,31,FALSE)</f>
        <v>0</v>
      </c>
      <c r="F74" s="155">
        <f>IFERROR(E74+'Pay App 28'!F74,"")</f>
        <v>0</v>
      </c>
      <c r="G74" s="155">
        <f>SUM('Pay App 1:Pay App 28'!H74)</f>
        <v>0</v>
      </c>
      <c r="H74" s="154"/>
      <c r="I74" s="155">
        <f t="shared" si="0"/>
        <v>0</v>
      </c>
      <c r="J74" s="156">
        <f t="shared" si="1"/>
        <v>0</v>
      </c>
      <c r="K74" s="155">
        <f t="shared" si="2"/>
        <v>0</v>
      </c>
      <c r="L74" s="155" t="str">
        <f>IF(AND('Summary Sheet'!$E$23="No",$H$33&gt;0,H74&gt;=1),"",IF(AND('Summary Sheet'!$E$23="Yes",H74&lt;&gt;""),H74*'Summary Sheet'!$G$23,""))</f>
        <v/>
      </c>
      <c r="M74" s="154"/>
      <c r="N74" s="155">
        <f>SUM('Pay App 1:Pay App 29'!L74)+SUM('Pay App 1:Pay App 29'!M74)</f>
        <v>0</v>
      </c>
    </row>
    <row r="75" spans="1:17" ht="11.25" customHeight="1" x14ac:dyDescent="0.25">
      <c r="A75" s="152">
        <v>19</v>
      </c>
      <c r="B75" s="176" t="str">
        <f>'Pay App 1'!B75</f>
        <v>03 20 00</v>
      </c>
      <c r="C75" s="181" t="str">
        <f>'Pay App 1'!C75</f>
        <v>Building Concrete Reinforcing</v>
      </c>
      <c r="D75" s="155">
        <f>'Pay App 1'!D75</f>
        <v>0</v>
      </c>
      <c r="E75" s="155">
        <f>VLOOKUP(B75,'Graph Data'!$O$2:$BX$88,31,FALSE)</f>
        <v>0</v>
      </c>
      <c r="F75" s="155">
        <f>IFERROR(E75+'Pay App 28'!F75,"")</f>
        <v>0</v>
      </c>
      <c r="G75" s="155">
        <f>SUM('Pay App 1:Pay App 28'!H75)</f>
        <v>0</v>
      </c>
      <c r="H75" s="154"/>
      <c r="I75" s="155">
        <f t="shared" si="0"/>
        <v>0</v>
      </c>
      <c r="J75" s="156">
        <f t="shared" si="1"/>
        <v>0</v>
      </c>
      <c r="K75" s="155">
        <f t="shared" si="2"/>
        <v>0</v>
      </c>
      <c r="L75" s="155" t="str">
        <f>IF(AND('Summary Sheet'!$E$23="No",$H$33&gt;0,H75&gt;=1),"",IF(AND('Summary Sheet'!$E$23="Yes",H75&lt;&gt;""),H75*'Summary Sheet'!$G$23,""))</f>
        <v/>
      </c>
      <c r="M75" s="154"/>
      <c r="N75" s="155">
        <f>SUM('Pay App 1:Pay App 29'!L75)+SUM('Pay App 1:Pay App 29'!M75)</f>
        <v>0</v>
      </c>
    </row>
    <row r="76" spans="1:17" ht="11.25" customHeight="1" x14ac:dyDescent="0.25">
      <c r="A76" s="152">
        <v>20</v>
      </c>
      <c r="B76" s="176" t="str">
        <f>'Pay App 1'!B76</f>
        <v>03 40 00</v>
      </c>
      <c r="C76" s="181" t="str">
        <f>'Pay App 1'!C76</f>
        <v>Precast</v>
      </c>
      <c r="D76" s="155">
        <f>'Pay App 1'!D76</f>
        <v>0</v>
      </c>
      <c r="E76" s="155">
        <f>VLOOKUP(B76,'Graph Data'!$O$2:$BX$88,31,FALSE)</f>
        <v>0</v>
      </c>
      <c r="F76" s="155">
        <f>IFERROR(E76+'Pay App 28'!F76,"")</f>
        <v>0</v>
      </c>
      <c r="G76" s="155">
        <f>SUM('Pay App 1:Pay App 28'!H76)</f>
        <v>0</v>
      </c>
      <c r="H76" s="154"/>
      <c r="I76" s="155">
        <f t="shared" si="0"/>
        <v>0</v>
      </c>
      <c r="J76" s="156">
        <f t="shared" si="1"/>
        <v>0</v>
      </c>
      <c r="K76" s="155">
        <f t="shared" si="2"/>
        <v>0</v>
      </c>
      <c r="L76" s="155" t="str">
        <f>IF(AND('Summary Sheet'!$E$23="No",$H$33&gt;0,H76&gt;=1),"",IF(AND('Summary Sheet'!$E$23="Yes",H76&lt;&gt;""),H76*'Summary Sheet'!$G$23,""))</f>
        <v/>
      </c>
      <c r="M76" s="154"/>
      <c r="N76" s="155">
        <f>SUM('Pay App 1:Pay App 29'!L76)+SUM('Pay App 1:Pay App 29'!M76)</f>
        <v>0</v>
      </c>
    </row>
    <row r="77" spans="1:17" ht="11.25" customHeight="1" x14ac:dyDescent="0.25">
      <c r="A77" s="152">
        <v>21</v>
      </c>
      <c r="B77" s="177" t="str">
        <f>'Pay App 1'!B77</f>
        <v>04 00 00</v>
      </c>
      <c r="C77" s="182" t="str">
        <f>'Pay App 1'!C77</f>
        <v>Masonry</v>
      </c>
      <c r="D77" s="155">
        <f>'Pay App 1'!D77</f>
        <v>0</v>
      </c>
      <c r="E77" s="155">
        <f>VLOOKUP(B77,'Graph Data'!$O$2:$BX$88,31,FALSE)</f>
        <v>0</v>
      </c>
      <c r="F77" s="155">
        <f>IFERROR(E77+'Pay App 28'!F77,"")</f>
        <v>0</v>
      </c>
      <c r="G77" s="155">
        <f>SUM('Pay App 1:Pay App 28'!H77)</f>
        <v>0</v>
      </c>
      <c r="H77" s="154"/>
      <c r="I77" s="155">
        <f t="shared" si="0"/>
        <v>0</v>
      </c>
      <c r="J77" s="156">
        <f t="shared" si="1"/>
        <v>0</v>
      </c>
      <c r="K77" s="155">
        <f t="shared" si="2"/>
        <v>0</v>
      </c>
      <c r="L77" s="155" t="str">
        <f>IF(AND('Summary Sheet'!$E$23="No",$H$33&gt;0,H77&gt;=1),"",IF(AND('Summary Sheet'!$E$23="Yes",H77&lt;&gt;""),H77*'Summary Sheet'!$G$23,""))</f>
        <v/>
      </c>
      <c r="M77" s="154"/>
      <c r="N77" s="155">
        <f>SUM('Pay App 1:Pay App 29'!L77)+SUM('Pay App 1:Pay App 29'!M77)</f>
        <v>0</v>
      </c>
    </row>
    <row r="78" spans="1:17" ht="11.25" customHeight="1" x14ac:dyDescent="0.25">
      <c r="A78" s="152">
        <v>22</v>
      </c>
      <c r="B78" s="177" t="str">
        <f>'Pay App 1'!B78</f>
        <v>04 05 19</v>
      </c>
      <c r="C78" s="182" t="str">
        <f>'Pay App 1'!C78</f>
        <v>Masonry Reinforcing</v>
      </c>
      <c r="D78" s="155">
        <f>'Pay App 1'!D78</f>
        <v>0</v>
      </c>
      <c r="E78" s="155">
        <f>VLOOKUP(B78,'Graph Data'!$O$2:$BX$88,31,FALSE)</f>
        <v>0</v>
      </c>
      <c r="F78" s="155">
        <f>IFERROR(E78+'Pay App 28'!F78,"")</f>
        <v>0</v>
      </c>
      <c r="G78" s="155">
        <f>SUM('Pay App 1:Pay App 28'!H78)</f>
        <v>0</v>
      </c>
      <c r="H78" s="154"/>
      <c r="I78" s="155">
        <f t="shared" si="0"/>
        <v>0</v>
      </c>
      <c r="J78" s="156">
        <f t="shared" si="1"/>
        <v>0</v>
      </c>
      <c r="K78" s="155">
        <f t="shared" si="2"/>
        <v>0</v>
      </c>
      <c r="L78" s="155" t="str">
        <f>IF(AND('Summary Sheet'!$E$23="No",$H$33&gt;0,H78&gt;=1),"",IF(AND('Summary Sheet'!$E$23="Yes",H78&lt;&gt;""),H78*'Summary Sheet'!$G$23,""))</f>
        <v/>
      </c>
      <c r="M78" s="154"/>
      <c r="N78" s="155">
        <f>SUM('Pay App 1:Pay App 29'!L78)+SUM('Pay App 1:Pay App 29'!M78)</f>
        <v>0</v>
      </c>
    </row>
    <row r="79" spans="1:17" ht="11.25" customHeight="1" x14ac:dyDescent="0.25">
      <c r="A79" s="152">
        <v>23</v>
      </c>
      <c r="B79" s="178" t="str">
        <f>'Pay App 1'!B79</f>
        <v>05 10 00</v>
      </c>
      <c r="C79" s="183" t="str">
        <f>'Pay App 1'!C79</f>
        <v>Structural Steel/Misc. Steel Fab</v>
      </c>
      <c r="D79" s="155">
        <f>'Pay App 1'!D79</f>
        <v>0</v>
      </c>
      <c r="E79" s="155">
        <f>VLOOKUP(B79,'Graph Data'!$O$2:$BX$88,31,FALSE)</f>
        <v>0</v>
      </c>
      <c r="F79" s="155">
        <f>IFERROR(E79+'Pay App 28'!F79,"")</f>
        <v>0</v>
      </c>
      <c r="G79" s="155">
        <f>SUM('Pay App 1:Pay App 28'!H79)</f>
        <v>0</v>
      </c>
      <c r="H79" s="154"/>
      <c r="I79" s="155">
        <f t="shared" si="0"/>
        <v>0</v>
      </c>
      <c r="J79" s="156">
        <f t="shared" si="1"/>
        <v>0</v>
      </c>
      <c r="K79" s="155">
        <f t="shared" si="2"/>
        <v>0</v>
      </c>
      <c r="L79" s="155" t="str">
        <f>IF(AND('Summary Sheet'!$E$23="No",$H$33&gt;0,H79&gt;=1),"",IF(AND('Summary Sheet'!$E$23="Yes",H79&lt;&gt;""),H79*'Summary Sheet'!$G$23,""))</f>
        <v/>
      </c>
      <c r="M79" s="154"/>
      <c r="N79" s="155">
        <f>SUM('Pay App 1:Pay App 29'!L79)+SUM('Pay App 1:Pay App 29'!M79)</f>
        <v>0</v>
      </c>
    </row>
    <row r="80" spans="1:17" ht="11.25" customHeight="1" x14ac:dyDescent="0.25">
      <c r="A80" s="152">
        <v>24</v>
      </c>
      <c r="B80" s="178" t="str">
        <f>'Pay App 1'!B80</f>
        <v>05 20 00</v>
      </c>
      <c r="C80" s="183" t="str">
        <f>'Pay App 1'!C80</f>
        <v>Joists &amp; Deck</v>
      </c>
      <c r="D80" s="155">
        <f>'Pay App 1'!D80</f>
        <v>0</v>
      </c>
      <c r="E80" s="155">
        <f>VLOOKUP(B80,'Graph Data'!$O$2:$BX$88,31,FALSE)</f>
        <v>0</v>
      </c>
      <c r="F80" s="155">
        <f>IFERROR(E80+'Pay App 28'!F80,"")</f>
        <v>0</v>
      </c>
      <c r="G80" s="155">
        <f>SUM('Pay App 1:Pay App 28'!H80)</f>
        <v>0</v>
      </c>
      <c r="H80" s="154"/>
      <c r="I80" s="155">
        <f t="shared" si="0"/>
        <v>0</v>
      </c>
      <c r="J80" s="156">
        <f t="shared" si="1"/>
        <v>0</v>
      </c>
      <c r="K80" s="155">
        <f t="shared" si="2"/>
        <v>0</v>
      </c>
      <c r="L80" s="155" t="str">
        <f>IF(AND('Summary Sheet'!$E$23="No",$H$33&gt;0,H80&gt;=1),"",IF(AND('Summary Sheet'!$E$23="Yes",H80&lt;&gt;""),H80*'Summary Sheet'!$G$23,""))</f>
        <v/>
      </c>
      <c r="M80" s="154"/>
      <c r="N80" s="155">
        <f>SUM('Pay App 1:Pay App 29'!L80)+SUM('Pay App 1:Pay App 29'!M80)</f>
        <v>0</v>
      </c>
    </row>
    <row r="81" spans="1:14" ht="11.25" customHeight="1" x14ac:dyDescent="0.25">
      <c r="A81" s="152">
        <v>25</v>
      </c>
      <c r="B81" s="178" t="str">
        <f>'Pay App 1'!B81</f>
        <v>05 70 00</v>
      </c>
      <c r="C81" s="183" t="str">
        <f>'Pay App 1'!C81</f>
        <v>Ornamental Metal</v>
      </c>
      <c r="D81" s="155">
        <f>'Pay App 1'!D81</f>
        <v>0</v>
      </c>
      <c r="E81" s="155">
        <f>VLOOKUP(B81,'Graph Data'!$O$2:$BX$88,31,FALSE)</f>
        <v>0</v>
      </c>
      <c r="F81" s="155">
        <f>IFERROR(E81+'Pay App 28'!F81,"")</f>
        <v>0</v>
      </c>
      <c r="G81" s="155">
        <f>SUM('Pay App 1:Pay App 28'!H81)</f>
        <v>0</v>
      </c>
      <c r="H81" s="154"/>
      <c r="I81" s="155">
        <f t="shared" si="0"/>
        <v>0</v>
      </c>
      <c r="J81" s="156">
        <f t="shared" si="1"/>
        <v>0</v>
      </c>
      <c r="K81" s="155">
        <f t="shared" si="2"/>
        <v>0</v>
      </c>
      <c r="L81" s="155" t="str">
        <f>IF(AND('Summary Sheet'!$E$23="No",$H$33&gt;0,H81&gt;=1),"",IF(AND('Summary Sheet'!$E$23="Yes",H81&lt;&gt;""),H81*'Summary Sheet'!$G$23,""))</f>
        <v/>
      </c>
      <c r="M81" s="154"/>
      <c r="N81" s="155">
        <f>SUM('Pay App 1:Pay App 29'!L81)+SUM('Pay App 1:Pay App 29'!M81)</f>
        <v>0</v>
      </c>
    </row>
    <row r="82" spans="1:14" ht="11.25" customHeight="1" x14ac:dyDescent="0.25">
      <c r="A82" s="152">
        <v>26</v>
      </c>
      <c r="B82" s="145" t="str">
        <f>'Pay App 1'!B82</f>
        <v>06 10 00</v>
      </c>
      <c r="C82" s="134" t="str">
        <f>'Pay App 1'!C82</f>
        <v>Rough Carpentry</v>
      </c>
      <c r="D82" s="155">
        <f>'Pay App 1'!D82</f>
        <v>0</v>
      </c>
      <c r="E82" s="155">
        <f>VLOOKUP(B82,'Graph Data'!$O$2:$BX$88,31,FALSE)</f>
        <v>0</v>
      </c>
      <c r="F82" s="155">
        <f>IFERROR(E82+'Pay App 28'!F82,"")</f>
        <v>0</v>
      </c>
      <c r="G82" s="155">
        <f>SUM('Pay App 1:Pay App 28'!H82)</f>
        <v>0</v>
      </c>
      <c r="H82" s="154"/>
      <c r="I82" s="155">
        <f t="shared" si="0"/>
        <v>0</v>
      </c>
      <c r="J82" s="156">
        <f t="shared" si="1"/>
        <v>0</v>
      </c>
      <c r="K82" s="155">
        <f t="shared" si="2"/>
        <v>0</v>
      </c>
      <c r="L82" s="155" t="str">
        <f>IF(AND('Summary Sheet'!$E$23="No",$H$33&gt;0,H82&gt;=1),"",IF(AND('Summary Sheet'!$E$23="Yes",H82&lt;&gt;""),H82*'Summary Sheet'!$G$23,""))</f>
        <v/>
      </c>
      <c r="M82" s="154"/>
      <c r="N82" s="155">
        <f>SUM('Pay App 1:Pay App 29'!L82)+SUM('Pay App 1:Pay App 29'!M82)</f>
        <v>0</v>
      </c>
    </row>
    <row r="83" spans="1:14" ht="11.25" customHeight="1" x14ac:dyDescent="0.25">
      <c r="A83" s="152">
        <v>27</v>
      </c>
      <c r="B83" s="145" t="str">
        <f>'Pay App 1'!B83</f>
        <v>06 40 00</v>
      </c>
      <c r="C83" s="134" t="str">
        <f>'Pay App 1'!C83</f>
        <v>Arch. Woodwork &amp; Finish Carp.</v>
      </c>
      <c r="D83" s="155">
        <f>'Pay App 1'!D83</f>
        <v>0</v>
      </c>
      <c r="E83" s="155">
        <f>VLOOKUP(B83,'Graph Data'!$O$2:$BX$88,31,FALSE)</f>
        <v>0</v>
      </c>
      <c r="F83" s="155">
        <f>IFERROR(E83+'Pay App 28'!F83,"")</f>
        <v>0</v>
      </c>
      <c r="G83" s="155">
        <f>SUM('Pay App 1:Pay App 28'!H83)</f>
        <v>0</v>
      </c>
      <c r="H83" s="154"/>
      <c r="I83" s="155">
        <f t="shared" si="0"/>
        <v>0</v>
      </c>
      <c r="J83" s="156">
        <f t="shared" si="1"/>
        <v>0</v>
      </c>
      <c r="K83" s="155">
        <f t="shared" si="2"/>
        <v>0</v>
      </c>
      <c r="L83" s="155" t="str">
        <f>IF(AND('Summary Sheet'!$E$23="No",$H$33&gt;0,H83&gt;=1),"",IF(AND('Summary Sheet'!$E$23="Yes",H83&lt;&gt;""),H83*'Summary Sheet'!$G$23,""))</f>
        <v/>
      </c>
      <c r="M83" s="154"/>
      <c r="N83" s="155">
        <f>SUM('Pay App 1:Pay App 29'!L83)+SUM('Pay App 1:Pay App 29'!M83)</f>
        <v>0</v>
      </c>
    </row>
    <row r="84" spans="1:14" ht="11.25" customHeight="1" x14ac:dyDescent="0.25">
      <c r="A84" s="152">
        <v>28</v>
      </c>
      <c r="B84" s="174" t="str">
        <f>'Pay App 1'!B84</f>
        <v>07 10 00</v>
      </c>
      <c r="C84" s="179" t="str">
        <f>'Pay App 1'!C84</f>
        <v>Waterproofing/Water Repellents</v>
      </c>
      <c r="D84" s="155">
        <f>'Pay App 1'!D84</f>
        <v>0</v>
      </c>
      <c r="E84" s="155">
        <f>VLOOKUP(B84,'Graph Data'!$O$2:$BX$88,31,FALSE)</f>
        <v>0</v>
      </c>
      <c r="F84" s="155">
        <f>IFERROR(E84+'Pay App 28'!F84,"")</f>
        <v>0</v>
      </c>
      <c r="G84" s="155">
        <f>SUM('Pay App 1:Pay App 28'!H84)</f>
        <v>0</v>
      </c>
      <c r="H84" s="154"/>
      <c r="I84" s="155">
        <f t="shared" si="0"/>
        <v>0</v>
      </c>
      <c r="J84" s="156">
        <f t="shared" si="1"/>
        <v>0</v>
      </c>
      <c r="K84" s="155">
        <f t="shared" si="2"/>
        <v>0</v>
      </c>
      <c r="L84" s="155" t="str">
        <f>IF(AND('Summary Sheet'!$E$23="No",$H$33&gt;0,H84&gt;=1),"",IF(AND('Summary Sheet'!$E$23="Yes",H84&lt;&gt;""),H84*'Summary Sheet'!$G$23,""))</f>
        <v/>
      </c>
      <c r="M84" s="154"/>
      <c r="N84" s="155">
        <f>SUM('Pay App 1:Pay App 29'!L84)+SUM('Pay App 1:Pay App 29'!M84)</f>
        <v>0</v>
      </c>
    </row>
    <row r="85" spans="1:14" ht="11.25" customHeight="1" x14ac:dyDescent="0.25">
      <c r="A85" s="152">
        <v>29</v>
      </c>
      <c r="B85" s="174" t="str">
        <f>'Pay App 1'!B85</f>
        <v>07 20 00</v>
      </c>
      <c r="C85" s="179" t="str">
        <f>'Pay App 1'!C85</f>
        <v>Insulation</v>
      </c>
      <c r="D85" s="155">
        <f>'Pay App 1'!D85</f>
        <v>0</v>
      </c>
      <c r="E85" s="155">
        <f>VLOOKUP(B85,'Graph Data'!$O$2:$BX$88,31,FALSE)</f>
        <v>0</v>
      </c>
      <c r="F85" s="155">
        <f>IFERROR(E85+'Pay App 28'!F85,"")</f>
        <v>0</v>
      </c>
      <c r="G85" s="155">
        <f>SUM('Pay App 1:Pay App 28'!H85)</f>
        <v>0</v>
      </c>
      <c r="H85" s="154"/>
      <c r="I85" s="155">
        <f t="shared" si="0"/>
        <v>0</v>
      </c>
      <c r="J85" s="156">
        <f t="shared" si="1"/>
        <v>0</v>
      </c>
      <c r="K85" s="155">
        <f t="shared" si="2"/>
        <v>0</v>
      </c>
      <c r="L85" s="155" t="str">
        <f>IF(AND('Summary Sheet'!$E$23="No",$H$33&gt;0,H85&gt;=1),"",IF(AND('Summary Sheet'!$E$23="Yes",H85&lt;&gt;""),H85*'Summary Sheet'!$G$23,""))</f>
        <v/>
      </c>
      <c r="M85" s="154"/>
      <c r="N85" s="155">
        <f>SUM('Pay App 1:Pay App 29'!L85)+SUM('Pay App 1:Pay App 29'!M85)</f>
        <v>0</v>
      </c>
    </row>
    <row r="86" spans="1:14" ht="11.25" customHeight="1" x14ac:dyDescent="0.25">
      <c r="A86" s="152">
        <v>30</v>
      </c>
      <c r="B86" s="174" t="str">
        <f>'Pay App 1'!B86</f>
        <v>07 24 00</v>
      </c>
      <c r="C86" s="179" t="str">
        <f>'Pay App 1'!C86</f>
        <v>EIFS</v>
      </c>
      <c r="D86" s="155">
        <f>'Pay App 1'!D86</f>
        <v>0</v>
      </c>
      <c r="E86" s="155">
        <f>VLOOKUP(B86,'Graph Data'!$O$2:$BX$88,31,FALSE)</f>
        <v>0</v>
      </c>
      <c r="F86" s="155">
        <f>IFERROR(E86+'Pay App 28'!F86,"")</f>
        <v>0</v>
      </c>
      <c r="G86" s="155">
        <f>SUM('Pay App 1:Pay App 28'!H86)</f>
        <v>0</v>
      </c>
      <c r="H86" s="154"/>
      <c r="I86" s="155">
        <f t="shared" si="0"/>
        <v>0</v>
      </c>
      <c r="J86" s="156">
        <f t="shared" si="1"/>
        <v>0</v>
      </c>
      <c r="K86" s="155">
        <f t="shared" si="2"/>
        <v>0</v>
      </c>
      <c r="L86" s="155" t="str">
        <f>IF(AND('Summary Sheet'!$E$23="No",$H$33&gt;0,H86&gt;=1),"",IF(AND('Summary Sheet'!$E$23="Yes",H86&lt;&gt;""),H86*'Summary Sheet'!$G$23,""))</f>
        <v/>
      </c>
      <c r="M86" s="154"/>
      <c r="N86" s="155">
        <f>SUM('Pay App 1:Pay App 29'!L86)+SUM('Pay App 1:Pay App 29'!M86)</f>
        <v>0</v>
      </c>
    </row>
    <row r="87" spans="1:14" ht="11.25" customHeight="1" x14ac:dyDescent="0.25">
      <c r="A87" s="152">
        <v>31</v>
      </c>
      <c r="B87" s="174" t="str">
        <f>'Pay App 1'!B87</f>
        <v>07 26 00</v>
      </c>
      <c r="C87" s="179" t="str">
        <f>'Pay App 1'!C87</f>
        <v>Vapor Retarders</v>
      </c>
      <c r="D87" s="155">
        <f>'Pay App 1'!D87</f>
        <v>0</v>
      </c>
      <c r="E87" s="155">
        <f>VLOOKUP(B87,'Graph Data'!$O$2:$BX$88,31,FALSE)</f>
        <v>0</v>
      </c>
      <c r="F87" s="155">
        <f>IFERROR(E87+'Pay App 28'!F87,"")</f>
        <v>0</v>
      </c>
      <c r="G87" s="155">
        <f>SUM('Pay App 1:Pay App 28'!H87)</f>
        <v>0</v>
      </c>
      <c r="H87" s="154"/>
      <c r="I87" s="155">
        <f t="shared" si="0"/>
        <v>0</v>
      </c>
      <c r="J87" s="156">
        <f t="shared" si="1"/>
        <v>0</v>
      </c>
      <c r="K87" s="155">
        <f t="shared" si="2"/>
        <v>0</v>
      </c>
      <c r="L87" s="155" t="str">
        <f>IF(AND('Summary Sheet'!$E$23="No",$H$33&gt;0,H87&gt;=1),"",IF(AND('Summary Sheet'!$E$23="Yes",H87&lt;&gt;""),H87*'Summary Sheet'!$G$23,""))</f>
        <v/>
      </c>
      <c r="M87" s="154"/>
      <c r="N87" s="155">
        <f>SUM('Pay App 1:Pay App 29'!L87)+SUM('Pay App 1:Pay App 29'!M87)</f>
        <v>0</v>
      </c>
    </row>
    <row r="88" spans="1:14" ht="11.25" customHeight="1" x14ac:dyDescent="0.25">
      <c r="A88" s="152">
        <v>32</v>
      </c>
      <c r="B88" s="174" t="str">
        <f>'Pay App 1'!B88</f>
        <v>07 41 00</v>
      </c>
      <c r="C88" s="179" t="str">
        <f>'Pay App 1'!C88</f>
        <v>Roofing</v>
      </c>
      <c r="D88" s="155">
        <f>'Pay App 1'!D88</f>
        <v>0</v>
      </c>
      <c r="E88" s="155">
        <f>VLOOKUP(B88,'Graph Data'!$O$2:$BX$88,31,FALSE)</f>
        <v>0</v>
      </c>
      <c r="F88" s="155">
        <f>IFERROR(E88+'Pay App 28'!F88,"")</f>
        <v>0</v>
      </c>
      <c r="G88" s="155">
        <f>SUM('Pay App 1:Pay App 28'!H88)</f>
        <v>0</v>
      </c>
      <c r="H88" s="154"/>
      <c r="I88" s="155">
        <f t="shared" si="0"/>
        <v>0</v>
      </c>
      <c r="J88" s="156">
        <f t="shared" si="1"/>
        <v>0</v>
      </c>
      <c r="K88" s="155">
        <f t="shared" si="2"/>
        <v>0</v>
      </c>
      <c r="L88" s="155" t="str">
        <f>IF(AND('Summary Sheet'!$E$23="No",$H$33&gt;0,H88&gt;=1),"",IF(AND('Summary Sheet'!$E$23="Yes",H88&lt;&gt;""),H88*'Summary Sheet'!$G$23,""))</f>
        <v/>
      </c>
      <c r="M88" s="154"/>
      <c r="N88" s="155">
        <f>SUM('Pay App 1:Pay App 29'!L88)+SUM('Pay App 1:Pay App 29'!M88)</f>
        <v>0</v>
      </c>
    </row>
    <row r="89" spans="1:14" ht="11.25" customHeight="1" x14ac:dyDescent="0.25">
      <c r="A89" s="152">
        <v>33</v>
      </c>
      <c r="B89" s="174" t="str">
        <f>'Pay App 1'!B89</f>
        <v>07 42 00</v>
      </c>
      <c r="C89" s="179" t="str">
        <f>'Pay App 1'!C89</f>
        <v>Metal Panels</v>
      </c>
      <c r="D89" s="155">
        <f>'Pay App 1'!D89</f>
        <v>0</v>
      </c>
      <c r="E89" s="155">
        <f>VLOOKUP(B89,'Graph Data'!$O$2:$BX$88,31,FALSE)</f>
        <v>0</v>
      </c>
      <c r="F89" s="155">
        <f>IFERROR(E89+'Pay App 28'!F89,"")</f>
        <v>0</v>
      </c>
      <c r="G89" s="155">
        <f>SUM('Pay App 1:Pay App 28'!H89)</f>
        <v>0</v>
      </c>
      <c r="H89" s="154"/>
      <c r="I89" s="155">
        <f t="shared" si="0"/>
        <v>0</v>
      </c>
      <c r="J89" s="156">
        <f t="shared" si="1"/>
        <v>0</v>
      </c>
      <c r="K89" s="155">
        <f t="shared" si="2"/>
        <v>0</v>
      </c>
      <c r="L89" s="155" t="str">
        <f>IF(AND('Summary Sheet'!$E$23="No",$H$33&gt;0,H89&gt;=1),"",IF(AND('Summary Sheet'!$E$23="Yes",H89&lt;&gt;""),H89*'Summary Sheet'!$G$23,""))</f>
        <v/>
      </c>
      <c r="M89" s="154"/>
      <c r="N89" s="155">
        <f>SUM('Pay App 1:Pay App 29'!L89)+SUM('Pay App 1:Pay App 29'!M89)</f>
        <v>0</v>
      </c>
    </row>
    <row r="90" spans="1:14" ht="11.25" customHeight="1" x14ac:dyDescent="0.25">
      <c r="A90" s="152">
        <v>34</v>
      </c>
      <c r="B90" s="174" t="str">
        <f>'Pay App 1'!B90</f>
        <v>07 60 00</v>
      </c>
      <c r="C90" s="179" t="str">
        <f>'Pay App 1'!C90</f>
        <v>Sheet Metal Flashing &amp; Trim</v>
      </c>
      <c r="D90" s="155">
        <f>'Pay App 1'!D90</f>
        <v>0</v>
      </c>
      <c r="E90" s="155">
        <f>VLOOKUP(B90,'Graph Data'!$O$2:$BX$88,31,FALSE)</f>
        <v>0</v>
      </c>
      <c r="F90" s="155">
        <f>IFERROR(E90+'Pay App 28'!F90,"")</f>
        <v>0</v>
      </c>
      <c r="G90" s="155">
        <f>SUM('Pay App 1:Pay App 28'!H90)</f>
        <v>0</v>
      </c>
      <c r="H90" s="154"/>
      <c r="I90" s="155">
        <f t="shared" si="0"/>
        <v>0</v>
      </c>
      <c r="J90" s="156">
        <f t="shared" si="1"/>
        <v>0</v>
      </c>
      <c r="K90" s="155">
        <f t="shared" si="2"/>
        <v>0</v>
      </c>
      <c r="L90" s="155" t="str">
        <f>IF(AND('Summary Sheet'!$E$23="No",$H$33&gt;0,H90&gt;=1),"",IF(AND('Summary Sheet'!$E$23="Yes",H90&lt;&gt;""),H90*'Summary Sheet'!$G$23,""))</f>
        <v/>
      </c>
      <c r="M90" s="154"/>
      <c r="N90" s="155">
        <f>SUM('Pay App 1:Pay App 29'!L90)+SUM('Pay App 1:Pay App 29'!M90)</f>
        <v>0</v>
      </c>
    </row>
    <row r="91" spans="1:14" ht="11.25" customHeight="1" x14ac:dyDescent="0.25">
      <c r="A91" s="152">
        <v>35</v>
      </c>
      <c r="B91" s="174" t="str">
        <f>'Pay App 1'!B91</f>
        <v>07 80 00</v>
      </c>
      <c r="C91" s="179" t="str">
        <f>'Pay App 1'!C91</f>
        <v>Fireproofing</v>
      </c>
      <c r="D91" s="155">
        <f>'Pay App 1'!D91</f>
        <v>0</v>
      </c>
      <c r="E91" s="155">
        <f>VLOOKUP(B91,'Graph Data'!$O$2:$BX$88,31,FALSE)</f>
        <v>0</v>
      </c>
      <c r="F91" s="155">
        <f>IFERROR(E91+'Pay App 28'!F91,"")</f>
        <v>0</v>
      </c>
      <c r="G91" s="155">
        <f>SUM('Pay App 1:Pay App 28'!H91)</f>
        <v>0</v>
      </c>
      <c r="H91" s="154"/>
      <c r="I91" s="155">
        <f t="shared" si="0"/>
        <v>0</v>
      </c>
      <c r="J91" s="156">
        <f t="shared" si="1"/>
        <v>0</v>
      </c>
      <c r="K91" s="155">
        <f t="shared" si="2"/>
        <v>0</v>
      </c>
      <c r="L91" s="155" t="str">
        <f>IF(AND('Summary Sheet'!$E$23="No",$H$33&gt;0,H91&gt;=1),"",IF(AND('Summary Sheet'!$E$23="Yes",H91&lt;&gt;""),H91*'Summary Sheet'!$G$23,""))</f>
        <v/>
      </c>
      <c r="M91" s="154"/>
      <c r="N91" s="155">
        <f>SUM('Pay App 1:Pay App 29'!L91)+SUM('Pay App 1:Pay App 29'!M91)</f>
        <v>0</v>
      </c>
    </row>
    <row r="92" spans="1:14" ht="11.25" customHeight="1" x14ac:dyDescent="0.25">
      <c r="A92" s="152">
        <v>36</v>
      </c>
      <c r="B92" s="174" t="str">
        <f>'Pay App 1'!B92</f>
        <v>07 90 00</v>
      </c>
      <c r="C92" s="179" t="str">
        <f>'Pay App 1'!C92</f>
        <v>Joint Sealants</v>
      </c>
      <c r="D92" s="155">
        <f>'Pay App 1'!D92</f>
        <v>0</v>
      </c>
      <c r="E92" s="155">
        <f>VLOOKUP(B92,'Graph Data'!$O$2:$BX$88,31,FALSE)</f>
        <v>0</v>
      </c>
      <c r="F92" s="155">
        <f>IFERROR(E92+'Pay App 28'!F92,"")</f>
        <v>0</v>
      </c>
      <c r="G92" s="155">
        <f>SUM('Pay App 1:Pay App 28'!H92)</f>
        <v>0</v>
      </c>
      <c r="H92" s="154"/>
      <c r="I92" s="155">
        <f t="shared" si="0"/>
        <v>0</v>
      </c>
      <c r="J92" s="156">
        <f t="shared" si="1"/>
        <v>0</v>
      </c>
      <c r="K92" s="155">
        <f t="shared" si="2"/>
        <v>0</v>
      </c>
      <c r="L92" s="155" t="str">
        <f>IF(AND('Summary Sheet'!$E$23="No",$H$33&gt;0,H92&gt;=1),"",IF(AND('Summary Sheet'!$E$23="Yes",H92&lt;&gt;""),H92*'Summary Sheet'!$G$23,""))</f>
        <v/>
      </c>
      <c r="M92" s="154"/>
      <c r="N92" s="155">
        <f>SUM('Pay App 1:Pay App 29'!L92)+SUM('Pay App 1:Pay App 29'!M92)</f>
        <v>0</v>
      </c>
    </row>
    <row r="93" spans="1:14" ht="11.25" customHeight="1" x14ac:dyDescent="0.25">
      <c r="A93" s="152">
        <v>37</v>
      </c>
      <c r="B93" s="174" t="str">
        <f>'Pay App 1'!B93</f>
        <v>07 95 00</v>
      </c>
      <c r="C93" s="179" t="str">
        <f>'Pay App 1'!C93</f>
        <v>Expansion Joints</v>
      </c>
      <c r="D93" s="155">
        <f>'Pay App 1'!D93</f>
        <v>0</v>
      </c>
      <c r="E93" s="155">
        <f>VLOOKUP(B93,'Graph Data'!$O$2:$BX$88,31,FALSE)</f>
        <v>0</v>
      </c>
      <c r="F93" s="155">
        <f>IFERROR(E93+'Pay App 28'!F93,"")</f>
        <v>0</v>
      </c>
      <c r="G93" s="155">
        <f>SUM('Pay App 1:Pay App 28'!H93)</f>
        <v>0</v>
      </c>
      <c r="H93" s="154"/>
      <c r="I93" s="155">
        <f t="shared" si="0"/>
        <v>0</v>
      </c>
      <c r="J93" s="156">
        <f t="shared" si="1"/>
        <v>0</v>
      </c>
      <c r="K93" s="155">
        <f t="shared" si="2"/>
        <v>0</v>
      </c>
      <c r="L93" s="155" t="str">
        <f>IF(AND('Summary Sheet'!$E$23="No",$H$33&gt;0,H93&gt;=1),"",IF(AND('Summary Sheet'!$E$23="Yes",H93&lt;&gt;""),H93*'Summary Sheet'!$G$23,""))</f>
        <v/>
      </c>
      <c r="M93" s="154"/>
      <c r="N93" s="155">
        <f>SUM('Pay App 1:Pay App 29'!L93)+SUM('Pay App 1:Pay App 29'!M93)</f>
        <v>0</v>
      </c>
    </row>
    <row r="94" spans="1:14" ht="11.25" customHeight="1" x14ac:dyDescent="0.25">
      <c r="A94" s="152">
        <v>38</v>
      </c>
      <c r="B94" s="175" t="str">
        <f>'Pay App 1'!B94</f>
        <v>08 10 00</v>
      </c>
      <c r="C94" s="180" t="str">
        <f>'Pay App 1'!C94</f>
        <v>Doors, Frames &amp; Hardware</v>
      </c>
      <c r="D94" s="155">
        <f>'Pay App 1'!D94</f>
        <v>0</v>
      </c>
      <c r="E94" s="155">
        <f>VLOOKUP(B94,'Graph Data'!$O$2:$BX$88,31,FALSE)</f>
        <v>0</v>
      </c>
      <c r="F94" s="155">
        <f>IFERROR(E94+'Pay App 28'!F94,"")</f>
        <v>0</v>
      </c>
      <c r="G94" s="155">
        <f>SUM('Pay App 1:Pay App 28'!H94)</f>
        <v>0</v>
      </c>
      <c r="H94" s="154"/>
      <c r="I94" s="155">
        <f t="shared" si="0"/>
        <v>0</v>
      </c>
      <c r="J94" s="156">
        <f t="shared" si="1"/>
        <v>0</v>
      </c>
      <c r="K94" s="155">
        <f t="shared" si="2"/>
        <v>0</v>
      </c>
      <c r="L94" s="155" t="str">
        <f>IF(AND('Summary Sheet'!$E$23="No",$H$33&gt;0,H94&gt;=1),"",IF(AND('Summary Sheet'!$E$23="Yes",H94&lt;&gt;""),H94*'Summary Sheet'!$G$23,""))</f>
        <v/>
      </c>
      <c r="M94" s="154"/>
      <c r="N94" s="155">
        <f>SUM('Pay App 1:Pay App 29'!L94)+SUM('Pay App 1:Pay App 29'!M94)</f>
        <v>0</v>
      </c>
    </row>
    <row r="95" spans="1:14" ht="11.25" customHeight="1" x14ac:dyDescent="0.25">
      <c r="A95" s="152">
        <v>39</v>
      </c>
      <c r="B95" s="175" t="str">
        <f>'Pay App 1'!B95</f>
        <v>08 30 00</v>
      </c>
      <c r="C95" s="180" t="str">
        <f>'Pay App 1'!C95</f>
        <v>Specialty Doors</v>
      </c>
      <c r="D95" s="155">
        <f>'Pay App 1'!D95</f>
        <v>0</v>
      </c>
      <c r="E95" s="155">
        <f>VLOOKUP(B95,'Graph Data'!$O$2:$BX$88,31,FALSE)</f>
        <v>0</v>
      </c>
      <c r="F95" s="155">
        <f>IFERROR(E95+'Pay App 28'!F95,"")</f>
        <v>0</v>
      </c>
      <c r="G95" s="155">
        <f>SUM('Pay App 1:Pay App 28'!H95)</f>
        <v>0</v>
      </c>
      <c r="H95" s="154"/>
      <c r="I95" s="155">
        <f t="shared" si="0"/>
        <v>0</v>
      </c>
      <c r="J95" s="156">
        <f t="shared" si="1"/>
        <v>0</v>
      </c>
      <c r="K95" s="155">
        <f t="shared" si="2"/>
        <v>0</v>
      </c>
      <c r="L95" s="155" t="str">
        <f>IF(AND('Summary Sheet'!$E$23="No",$H$33&gt;0,H95&gt;=1),"",IF(AND('Summary Sheet'!$E$23="Yes",H95&lt;&gt;""),H95*'Summary Sheet'!$G$23,""))</f>
        <v/>
      </c>
      <c r="M95" s="154"/>
      <c r="N95" s="155">
        <f>SUM('Pay App 1:Pay App 29'!L95)+SUM('Pay App 1:Pay App 29'!M95)</f>
        <v>0</v>
      </c>
    </row>
    <row r="96" spans="1:14" ht="11.25" customHeight="1" x14ac:dyDescent="0.25">
      <c r="A96" s="152">
        <v>40</v>
      </c>
      <c r="B96" s="175" t="str">
        <f>'Pay App 1'!B96</f>
        <v>08 33 00</v>
      </c>
      <c r="C96" s="180" t="str">
        <f>'Pay App 1'!C96</f>
        <v>Overhead Doors/Coiling Doors</v>
      </c>
      <c r="D96" s="155">
        <f>'Pay App 1'!D96</f>
        <v>0</v>
      </c>
      <c r="E96" s="155">
        <f>VLOOKUP(B96,'Graph Data'!$O$2:$BX$88,31,FALSE)</f>
        <v>0</v>
      </c>
      <c r="F96" s="155">
        <f>IFERROR(E96+'Pay App 28'!F96,"")</f>
        <v>0</v>
      </c>
      <c r="G96" s="155">
        <f>SUM('Pay App 1:Pay App 28'!H96)</f>
        <v>0</v>
      </c>
      <c r="H96" s="154"/>
      <c r="I96" s="155">
        <f t="shared" si="0"/>
        <v>0</v>
      </c>
      <c r="J96" s="156">
        <f t="shared" si="1"/>
        <v>0</v>
      </c>
      <c r="K96" s="155">
        <f t="shared" si="2"/>
        <v>0</v>
      </c>
      <c r="L96" s="155" t="str">
        <f>IF(AND('Summary Sheet'!$E$23="No",$H$33&gt;0,H96&gt;=1),"",IF(AND('Summary Sheet'!$E$23="Yes",H96&lt;&gt;""),H96*'Summary Sheet'!$G$23,""))</f>
        <v/>
      </c>
      <c r="M96" s="154"/>
      <c r="N96" s="155">
        <f>SUM('Pay App 1:Pay App 29'!L96)+SUM('Pay App 1:Pay App 29'!M96)</f>
        <v>0</v>
      </c>
    </row>
    <row r="97" spans="1:15" ht="11.25" customHeight="1" x14ac:dyDescent="0.25">
      <c r="A97" s="152">
        <v>41</v>
      </c>
      <c r="B97" s="175" t="str">
        <f>'Pay App 1'!B97</f>
        <v>08 40 00</v>
      </c>
      <c r="C97" s="180" t="str">
        <f>'Pay App 1'!C97</f>
        <v>Curtain Wall, Glass &amp; Glazing</v>
      </c>
      <c r="D97" s="155">
        <f>'Pay App 1'!D97</f>
        <v>0</v>
      </c>
      <c r="E97" s="155">
        <f>VLOOKUP(B97,'Graph Data'!$O$2:$BX$88,31,FALSE)</f>
        <v>0</v>
      </c>
      <c r="F97" s="155">
        <f>IFERROR(E97+'Pay App 28'!F97,"")</f>
        <v>0</v>
      </c>
      <c r="G97" s="155">
        <f>SUM('Pay App 1:Pay App 28'!H97)</f>
        <v>0</v>
      </c>
      <c r="H97" s="154"/>
      <c r="I97" s="155">
        <f t="shared" si="0"/>
        <v>0</v>
      </c>
      <c r="J97" s="156">
        <f t="shared" si="1"/>
        <v>0</v>
      </c>
      <c r="K97" s="155">
        <f t="shared" si="2"/>
        <v>0</v>
      </c>
      <c r="L97" s="155" t="str">
        <f>IF(AND('Summary Sheet'!$E$23="No",$H$33&gt;0,H97&gt;=1),"",IF(AND('Summary Sheet'!$E$23="Yes",H97&lt;&gt;""),H97*'Summary Sheet'!$G$23,""))</f>
        <v/>
      </c>
      <c r="M97" s="154"/>
      <c r="N97" s="155">
        <f>SUM('Pay App 1:Pay App 29'!L97)+SUM('Pay App 1:Pay App 29'!M97)</f>
        <v>0</v>
      </c>
    </row>
    <row r="98" spans="1:15" ht="10.9" customHeight="1" x14ac:dyDescent="0.25">
      <c r="A98" s="152">
        <v>42</v>
      </c>
      <c r="B98" s="175" t="str">
        <f>'Pay App 1'!B98</f>
        <v>08 60 00</v>
      </c>
      <c r="C98" s="180" t="str">
        <f>'Pay App 1'!C98</f>
        <v>Skylights</v>
      </c>
      <c r="D98" s="155">
        <f>'Pay App 1'!D98</f>
        <v>0</v>
      </c>
      <c r="E98" s="155">
        <f>VLOOKUP(B98,'Graph Data'!$O$2:$BX$88,31,FALSE)</f>
        <v>0</v>
      </c>
      <c r="F98" s="155">
        <f>IFERROR(E98+'Pay App 28'!F98,"")</f>
        <v>0</v>
      </c>
      <c r="G98" s="155">
        <f>SUM('Pay App 1:Pay App 28'!H98)</f>
        <v>0</v>
      </c>
      <c r="H98" s="154"/>
      <c r="I98" s="155">
        <f t="shared" si="0"/>
        <v>0</v>
      </c>
      <c r="J98" s="156">
        <f t="shared" si="1"/>
        <v>0</v>
      </c>
      <c r="K98" s="155">
        <f t="shared" si="2"/>
        <v>0</v>
      </c>
      <c r="L98" s="155" t="str">
        <f>IF(AND('Summary Sheet'!$E$23="No",$H$33&gt;0,H98&gt;=1),"",IF(AND('Summary Sheet'!$E$23="Yes",H98&lt;&gt;""),H98*'Summary Sheet'!$G$23,""))</f>
        <v/>
      </c>
      <c r="M98" s="154"/>
      <c r="N98" s="155">
        <f>SUM('Pay App 1:Pay App 29'!L98)+SUM('Pay App 1:Pay App 29'!M98)</f>
        <v>0</v>
      </c>
    </row>
    <row r="99" spans="1:15" ht="10.9" customHeight="1" x14ac:dyDescent="0.25">
      <c r="A99" s="152">
        <v>43</v>
      </c>
      <c r="B99" s="175" t="str">
        <f>'Pay App 1'!B99</f>
        <v>08 90 00</v>
      </c>
      <c r="C99" s="180" t="str">
        <f>'Pay App 1'!C99</f>
        <v>Louvers &amp; Vents</v>
      </c>
      <c r="D99" s="155">
        <f>'Pay App 1'!D99</f>
        <v>0</v>
      </c>
      <c r="E99" s="155">
        <f>VLOOKUP(B99,'Graph Data'!$O$2:$BX$88,31,FALSE)</f>
        <v>0</v>
      </c>
      <c r="F99" s="155">
        <f>IFERROR(E99+'Pay App 28'!F99,"")</f>
        <v>0</v>
      </c>
      <c r="G99" s="155">
        <f>SUM('Pay App 1:Pay App 28'!H99)</f>
        <v>0</v>
      </c>
      <c r="H99" s="154"/>
      <c r="I99" s="155">
        <f t="shared" si="0"/>
        <v>0</v>
      </c>
      <c r="J99" s="156">
        <f t="shared" si="1"/>
        <v>0</v>
      </c>
      <c r="K99" s="155">
        <f t="shared" si="2"/>
        <v>0</v>
      </c>
      <c r="L99" s="155" t="str">
        <f>IF(AND('Summary Sheet'!$E$23="No",$H$33&gt;0,H99&gt;=1),"",IF(AND('Summary Sheet'!$E$23="Yes",H99&lt;&gt;""),H99*'Summary Sheet'!$G$23,""))</f>
        <v/>
      </c>
      <c r="M99" s="154"/>
      <c r="N99" s="155">
        <f>SUM('Pay App 1:Pay App 29'!L99)+SUM('Pay App 1:Pay App 29'!M99)</f>
        <v>0</v>
      </c>
    </row>
    <row r="100" spans="1:15" ht="11.25" customHeight="1" x14ac:dyDescent="0.25">
      <c r="A100" s="153">
        <v>44</v>
      </c>
      <c r="B100" s="176" t="str">
        <f>'Pay App 1'!B100</f>
        <v>09 20 00</v>
      </c>
      <c r="C100" s="181" t="str">
        <f>'Pay App 1'!C100</f>
        <v>Gypsum Board Systems</v>
      </c>
      <c r="D100" s="155">
        <f>'Pay App 1'!D100</f>
        <v>0</v>
      </c>
      <c r="E100" s="155">
        <f>VLOOKUP(B100,'Graph Data'!$O$2:$BX$88,31,FALSE)</f>
        <v>0</v>
      </c>
      <c r="F100" s="155">
        <f>IFERROR(E100+'Pay App 28'!F100,"")</f>
        <v>0</v>
      </c>
      <c r="G100" s="155">
        <f>SUM('Pay App 1:Pay App 28'!H100)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29'!L100)+SUM('Pay App 1:Pay App 29'!M100)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29.2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Data'!$O$2:$BX$88,31,FALSE)</f>
        <v>0</v>
      </c>
      <c r="F106" s="155">
        <f>IFERROR(E106+'Pay App 28'!F106,"")</f>
        <v>0</v>
      </c>
      <c r="G106" s="155">
        <f>SUM('Pay App 1:Pay App 28'!H106)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29'!L106)+SUM('Pay App 1:Pay App 29'!M106)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Data'!$O$2:$BX$88,31,FALSE)</f>
        <v>0</v>
      </c>
      <c r="F107" s="155">
        <f>IFERROR(E107+'Pay App 28'!F107,"")</f>
        <v>0</v>
      </c>
      <c r="G107" s="155">
        <f>SUM('Pay App 1:Pay App 28'!H107)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29'!L107)+SUM('Pay App 1:Pay App 29'!M107)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Data'!$O$2:$BX$88,31,FALSE)</f>
        <v>0</v>
      </c>
      <c r="F108" s="155">
        <f>IFERROR(E108+'Pay App 28'!F108,"")</f>
        <v>0</v>
      </c>
      <c r="G108" s="155">
        <f>SUM('Pay App 1:Pay App 28'!H108)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29'!L108)+SUM('Pay App 1:Pay App 29'!M108)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Data'!$O$2:$BX$88,31,FALSE)</f>
        <v>0</v>
      </c>
      <c r="F109" s="155">
        <f>IFERROR(E109+'Pay App 28'!F109,"")</f>
        <v>0</v>
      </c>
      <c r="G109" s="155">
        <f>SUM('Pay App 1:Pay App 28'!H109)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29'!L109)+SUM('Pay App 1:Pay App 29'!M109)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Data'!$O$2:$BX$88,31,FALSE)</f>
        <v>0</v>
      </c>
      <c r="F110" s="155">
        <f>IFERROR(E110+'Pay App 28'!F110,"")</f>
        <v>0</v>
      </c>
      <c r="G110" s="155">
        <f>SUM('Pay App 1:Pay App 28'!H110)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29'!L110)+SUM('Pay App 1:Pay App 29'!M110)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Data'!$O$2:$BX$88,31,FALSE)</f>
        <v>0</v>
      </c>
      <c r="F111" s="155">
        <f>IFERROR(E111+'Pay App 28'!F111,"")</f>
        <v>0</v>
      </c>
      <c r="G111" s="155">
        <f>SUM('Pay App 1:Pay App 28'!H111)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29'!L111)+SUM('Pay App 1:Pay App 29'!M111)</f>
        <v>0</v>
      </c>
    </row>
    <row r="112" spans="1:15" ht="11.25" customHeight="1" x14ac:dyDescent="0.25">
      <c r="A112" s="152">
        <f t="shared" si="3"/>
        <v>51</v>
      </c>
      <c r="B112" s="148" t="str">
        <f>'Pay App 1'!B112</f>
        <v>09 90 00</v>
      </c>
      <c r="C112" s="143" t="str">
        <f>'Pay App 1'!C112</f>
        <v>Painting</v>
      </c>
      <c r="D112" s="155">
        <f>'Pay App 1'!D112</f>
        <v>0</v>
      </c>
      <c r="E112" s="155">
        <f>VLOOKUP(B112,'Graph Data'!$O$2:$BX$88,31,FALSE)</f>
        <v>0</v>
      </c>
      <c r="F112" s="155">
        <f>IFERROR(E112+'Pay App 28'!F112,"")</f>
        <v>0</v>
      </c>
      <c r="G112" s="155">
        <f>SUM('Pay App 1:Pay App 28'!H112)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29'!L112)+SUM('Pay App 1:Pay App 29'!M112)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Data'!$O$2:$BX$88,31,FALSE)</f>
        <v>0</v>
      </c>
      <c r="F113" s="155">
        <f>IFERROR(E113+'Pay App 28'!F113,"")</f>
        <v>0</v>
      </c>
      <c r="G113" s="155">
        <f>SUM('Pay App 1:Pay App 28'!H113)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29'!L113)+SUM('Pay App 1:Pay App 29'!M113)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Data'!$O$2:$BX$88,31,FALSE)</f>
        <v>0</v>
      </c>
      <c r="F114" s="155">
        <f>IFERROR(E114+'Pay App 28'!F114,"")</f>
        <v>0</v>
      </c>
      <c r="G114" s="155">
        <f>SUM('Pay App 1:Pay App 28'!H114)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29'!L114)+SUM('Pay App 1:Pay App 29'!M114)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Data'!$O$2:$BX$88,31,FALSE)</f>
        <v>0</v>
      </c>
      <c r="F115" s="155">
        <f>IFERROR(E115+'Pay App 28'!F115,"")</f>
        <v>0</v>
      </c>
      <c r="G115" s="155">
        <f>SUM('Pay App 1:Pay App 28'!H115)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29'!L115)+SUM('Pay App 1:Pay App 29'!M115)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Data'!$O$2:$BX$88,31,FALSE)</f>
        <v>0</v>
      </c>
      <c r="F116" s="155">
        <f>IFERROR(E116+'Pay App 28'!F116,"")</f>
        <v>0</v>
      </c>
      <c r="G116" s="155">
        <f>SUM('Pay App 1:Pay App 28'!H116)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29'!L116)+SUM('Pay App 1:Pay App 29'!M116)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Data'!$O$2:$BX$88,31,FALSE)</f>
        <v>0</v>
      </c>
      <c r="F117" s="155">
        <f>IFERROR(E117+'Pay App 28'!F117,"")</f>
        <v>0</v>
      </c>
      <c r="G117" s="155">
        <f>SUM('Pay App 1:Pay App 28'!H117)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29'!L117)+SUM('Pay App 1:Pay App 29'!M117)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Data'!$O$2:$BX$88,31,FALSE)</f>
        <v>0</v>
      </c>
      <c r="F118" s="155">
        <f>IFERROR(E118+'Pay App 28'!F118,"")</f>
        <v>0</v>
      </c>
      <c r="G118" s="155">
        <f>SUM('Pay App 1:Pay App 28'!H118)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29'!L118)+SUM('Pay App 1:Pay App 29'!M118)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Data'!$O$2:$BX$88,31,FALSE)</f>
        <v>0</v>
      </c>
      <c r="F119" s="155">
        <f>IFERROR(E119+'Pay App 28'!F119,"")</f>
        <v>0</v>
      </c>
      <c r="G119" s="155">
        <f>SUM('Pay App 1:Pay App 28'!H119)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29'!L119)+SUM('Pay App 1:Pay App 29'!M119)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Data'!$O$2:$BX$88,31,FALSE)</f>
        <v>0</v>
      </c>
      <c r="F120" s="155">
        <f>IFERROR(E120+'Pay App 28'!F120,"")</f>
        <v>0</v>
      </c>
      <c r="G120" s="155">
        <f>SUM('Pay App 1:Pay App 28'!H120)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29'!L120)+SUM('Pay App 1:Pay App 29'!M120)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Data'!$O$2:$BX$88,31,FALSE)</f>
        <v>0</v>
      </c>
      <c r="F121" s="155">
        <f>IFERROR(E121+'Pay App 28'!F121,"")</f>
        <v>0</v>
      </c>
      <c r="G121" s="155">
        <f>SUM('Pay App 1:Pay App 28'!H121)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29'!L121)+SUM('Pay App 1:Pay App 29'!M121)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Data'!$O$2:$BX$88,31,FALSE)</f>
        <v>0</v>
      </c>
      <c r="F122" s="155">
        <f>IFERROR(E122+'Pay App 28'!F122,"")</f>
        <v>0</v>
      </c>
      <c r="G122" s="155">
        <f>SUM('Pay App 1:Pay App 28'!H122)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29'!L122)+SUM('Pay App 1:Pay App 29'!M122)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Data'!$O$2:$BX$88,31,FALSE)</f>
        <v>0</v>
      </c>
      <c r="F123" s="155">
        <f>IFERROR(E123+'Pay App 28'!F123,"")</f>
        <v>0</v>
      </c>
      <c r="G123" s="155">
        <f>SUM('Pay App 1:Pay App 28'!H123)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29'!L123)+SUM('Pay App 1:Pay App 29'!M123)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Data'!$O$2:$BX$88,31,FALSE)</f>
        <v>0</v>
      </c>
      <c r="F124" s="155">
        <f>IFERROR(E124+'Pay App 28'!F124,"")</f>
        <v>0</v>
      </c>
      <c r="G124" s="155">
        <f>SUM('Pay App 1:Pay App 28'!H124)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29'!L124)+SUM('Pay App 1:Pay App 29'!M124)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Data'!$O$2:$BX$88,31,FALSE)</f>
        <v>0</v>
      </c>
      <c r="F125" s="155">
        <f>IFERROR(E125+'Pay App 28'!F125,"")</f>
        <v>0</v>
      </c>
      <c r="G125" s="155">
        <f>SUM('Pay App 1:Pay App 28'!H125)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29'!L125)+SUM('Pay App 1:Pay App 29'!M125)</f>
        <v>0</v>
      </c>
    </row>
    <row r="126" spans="1:14" ht="11.25" customHeight="1" x14ac:dyDescent="0.25">
      <c r="A126" s="152">
        <f t="shared" si="3"/>
        <v>65</v>
      </c>
      <c r="B126" s="188" t="str">
        <f>'Pay App 1'!B126</f>
        <v>14 20 00</v>
      </c>
      <c r="C126" s="194" t="str">
        <f>'Pay App 1'!C126</f>
        <v>Elevator</v>
      </c>
      <c r="D126" s="155">
        <f>'Pay App 1'!D126</f>
        <v>0</v>
      </c>
      <c r="E126" s="155">
        <f>VLOOKUP(B126,'Graph Data'!$O$2:$BX$88,31,FALSE)</f>
        <v>0</v>
      </c>
      <c r="F126" s="155">
        <f>IFERROR(E126+'Pay App 28'!F126,"")</f>
        <v>0</v>
      </c>
      <c r="G126" s="155">
        <f>SUM('Pay App 1:Pay App 28'!H126)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29'!L126)+SUM('Pay App 1:Pay App 29'!M126)</f>
        <v>0</v>
      </c>
    </row>
    <row r="127" spans="1:14" ht="11.25" customHeight="1" x14ac:dyDescent="0.25">
      <c r="A127" s="152">
        <f t="shared" si="3"/>
        <v>66</v>
      </c>
      <c r="B127" s="188" t="str">
        <f>'Pay App 1'!B127</f>
        <v>14 40 00</v>
      </c>
      <c r="C127" s="194" t="str">
        <f>'Pay App 1'!C127</f>
        <v>Lifts</v>
      </c>
      <c r="D127" s="155">
        <f>'Pay App 1'!D127</f>
        <v>0</v>
      </c>
      <c r="E127" s="155">
        <f>VLOOKUP(B127,'Graph Data'!$O$2:$BX$88,31,FALSE)</f>
        <v>0</v>
      </c>
      <c r="F127" s="155">
        <f>IFERROR(E127+'Pay App 28'!F127,"")</f>
        <v>0</v>
      </c>
      <c r="G127" s="155">
        <f>SUM('Pay App 1:Pay App 28'!H127)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29'!L127)+SUM('Pay App 1:Pay App 29'!M127)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Data'!$O$2:$BX$88,31,FALSE)</f>
        <v>0</v>
      </c>
      <c r="F128" s="155">
        <f>IFERROR(E128+'Pay App 28'!F128,"")</f>
        <v>0</v>
      </c>
      <c r="G128" s="155">
        <f>SUM('Pay App 1:Pay App 28'!H128)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29'!L128)+SUM('Pay App 1:Pay App 29'!M128)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Data'!$O$2:$BX$88,31,FALSE)</f>
        <v>0</v>
      </c>
      <c r="F129" s="155">
        <f>IFERROR(E129+'Pay App 28'!F129,"")</f>
        <v>0</v>
      </c>
      <c r="G129" s="155">
        <f>SUM('Pay App 1:Pay App 28'!H129)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29'!L129)+SUM('Pay App 1:Pay App 29'!M129)</f>
        <v>0</v>
      </c>
    </row>
    <row r="130" spans="1:14" ht="11.25" customHeight="1" x14ac:dyDescent="0.25">
      <c r="A130" s="152">
        <f t="shared" si="3"/>
        <v>69</v>
      </c>
      <c r="B130" s="185" t="str">
        <f>'Pay App 1'!B130</f>
        <v>22 00 00</v>
      </c>
      <c r="C130" s="191" t="str">
        <f>'Pay App 1'!C130</f>
        <v>Plumbing</v>
      </c>
      <c r="D130" s="155">
        <f>'Pay App 1'!D130</f>
        <v>0</v>
      </c>
      <c r="E130" s="155">
        <f>VLOOKUP(B130,'Graph Data'!$O$2:$BX$88,31,FALSE)</f>
        <v>0</v>
      </c>
      <c r="F130" s="155">
        <f>IFERROR(E130+'Pay App 28'!F130,"")</f>
        <v>0</v>
      </c>
      <c r="G130" s="155">
        <f>SUM('Pay App 1:Pay App 28'!H130)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29'!L130)+SUM('Pay App 1:Pay App 29'!M130)</f>
        <v>0</v>
      </c>
    </row>
    <row r="131" spans="1:14" ht="11.25" customHeight="1" x14ac:dyDescent="0.25">
      <c r="A131" s="152">
        <f t="shared" si="3"/>
        <v>70</v>
      </c>
      <c r="B131" s="186" t="str">
        <f>'Pay App 1'!B131</f>
        <v>23 00 00</v>
      </c>
      <c r="C131" s="192" t="str">
        <f>'Pay App 1'!C131</f>
        <v>HVAC</v>
      </c>
      <c r="D131" s="155">
        <f>'Pay App 1'!D131</f>
        <v>0</v>
      </c>
      <c r="E131" s="155">
        <f>VLOOKUP(B131,'Graph Data'!$O$2:$BX$88,31,FALSE)</f>
        <v>0</v>
      </c>
      <c r="F131" s="155">
        <f>IFERROR(E131+'Pay App 28'!F131,"")</f>
        <v>0</v>
      </c>
      <c r="G131" s="155">
        <f>SUM('Pay App 1:Pay App 28'!H131)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29'!L131)+SUM('Pay App 1:Pay App 29'!M131)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Data'!$O$2:$BX$88,31,FALSE)</f>
        <v>0</v>
      </c>
      <c r="F132" s="155">
        <f>IFERROR(E132+'Pay App 28'!F132,"")</f>
        <v>0</v>
      </c>
      <c r="G132" s="155">
        <f>SUM('Pay App 1:Pay App 28'!H132)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29'!L132)+SUM('Pay App 1:Pay App 29'!M132)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Data'!$O$2:$BX$88,31,FALSE)</f>
        <v>0</v>
      </c>
      <c r="F133" s="155">
        <f>IFERROR(E133+'Pay App 28'!F133,"")</f>
        <v>0</v>
      </c>
      <c r="G133" s="155">
        <f>SUM('Pay App 1:Pay App 28'!H133)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29'!L133)+SUM('Pay App 1:Pay App 29'!M133)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Data'!$O$2:$BX$88,31,FALSE)</f>
        <v>0</v>
      </c>
      <c r="F134" s="155">
        <f>IFERROR(E134+'Pay App 28'!F134,"")</f>
        <v>0</v>
      </c>
      <c r="G134" s="155">
        <f>SUM('Pay App 1:Pay App 28'!H134)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29'!L134)+SUM('Pay App 1:Pay App 29'!M134)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Data'!$O$2:$BX$88,31,FALSE)</f>
        <v>0</v>
      </c>
      <c r="F135" s="155">
        <f>IFERROR(E135+'Pay App 28'!F135,"")</f>
        <v>0</v>
      </c>
      <c r="G135" s="155">
        <f>SUM('Pay App 1:Pay App 28'!H135)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29'!L135)+SUM('Pay App 1:Pay App 29'!M135)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Data'!$O$2:$BX$88,31,FALSE)</f>
        <v>0</v>
      </c>
      <c r="F136" s="155">
        <f>IFERROR(E136+'Pay App 28'!F136,"")</f>
        <v>0</v>
      </c>
      <c r="G136" s="155">
        <f>SUM('Pay App 1:Pay App 28'!H136)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29'!L136)+SUM('Pay App 1:Pay App 29'!M136)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Data'!$O$2:$BX$88,31,FALSE)</f>
        <v>0</v>
      </c>
      <c r="F137" s="155">
        <f>IFERROR(E137+'Pay App 28'!F137,"")</f>
        <v>0</v>
      </c>
      <c r="G137" s="155">
        <f>SUM('Pay App 1:Pay App 28'!H137)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29'!L137)+SUM('Pay App 1:Pay App 29'!M137)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Data'!$O$2:$BX$88,31,FALSE)</f>
        <v>0</v>
      </c>
      <c r="F138" s="155">
        <f>IFERROR(E138+'Pay App 28'!F138,"")</f>
        <v>0</v>
      </c>
      <c r="G138" s="155">
        <f>SUM('Pay App 1:Pay App 28'!H138)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29'!L138)+SUM('Pay App 1:Pay App 29'!M138)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Data'!$O$2:$BX$88,31,FALSE)</f>
        <v>0</v>
      </c>
      <c r="F139" s="155">
        <f>IFERROR(E139+'Pay App 28'!F139,"")</f>
        <v>0</v>
      </c>
      <c r="G139" s="155">
        <f>SUM('Pay App 1:Pay App 28'!H139)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29'!L139)+SUM('Pay App 1:Pay App 29'!M139)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Data'!$O$2:$BX$88,31,FALSE)</f>
        <v>0</v>
      </c>
      <c r="F140" s="155">
        <f>IFERROR(E140+'Pay App 28'!F140,"")</f>
        <v>0</v>
      </c>
      <c r="G140" s="155">
        <f>SUM('Pay App 1:Pay App 28'!H140)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29'!L140)+SUM('Pay App 1:Pay App 29'!M140)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Data'!$O$2:$BX$88,31,FALSE)</f>
        <v>0</v>
      </c>
      <c r="F141" s="155">
        <f>IFERROR(E141+'Pay App 28'!F141,"")</f>
        <v>0</v>
      </c>
      <c r="G141" s="155">
        <f>SUM('Pay App 1:Pay App 28'!H141)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29'!L141)+SUM('Pay App 1:Pay App 29'!M141)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Data'!$O$2:$BX$88,31,FALSE)</f>
        <v>0</v>
      </c>
      <c r="F142" s="155">
        <f>IFERROR(E142+'Pay App 28'!F142,"")</f>
        <v>0</v>
      </c>
      <c r="G142" s="155">
        <f>SUM('Pay App 1:Pay App 28'!H142)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29'!L142)+SUM('Pay App 1:Pay App 29'!M142)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Data'!$O$2:$BX$88,31,FALSE)</f>
        <v>0</v>
      </c>
      <c r="F143" s="155">
        <f>IFERROR(E143+'Pay App 28'!F143,"")</f>
        <v>0</v>
      </c>
      <c r="G143" s="155">
        <f>SUM('Pay App 1:Pay App 28'!H143)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29'!L143)+SUM('Pay App 1:Pay App 29'!M143)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Data'!$O$2:$BX$88,31,FALSE)</f>
        <v>0</v>
      </c>
      <c r="F144" s="155">
        <f>IFERROR(E144+'Pay App 28'!F144,"")</f>
        <v>0</v>
      </c>
      <c r="G144" s="155">
        <f>SUM('Pay App 1:Pay App 28'!H144)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29'!L144)+SUM('Pay App 1:Pay App 29'!M144)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Data'!$O$2:$BX$88,31,FALSE)</f>
        <v>0</v>
      </c>
      <c r="F145" s="155">
        <f>IFERROR(E145+'Pay App 28'!F145,"")</f>
        <v>0</v>
      </c>
      <c r="G145" s="155">
        <f>SUM('Pay App 1:Pay App 28'!H145)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29'!L145)+SUM('Pay App 1:Pay App 29'!M145)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Data'!$O$2:$BX$88,31,FALSE)</f>
        <v>0</v>
      </c>
      <c r="F146" s="155">
        <f>IFERROR(E146+'Pay App 28'!F146,"")</f>
        <v>0</v>
      </c>
      <c r="G146" s="155">
        <f>SUM('Pay App 1:Pay App 28'!H146)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29'!L146)+SUM('Pay App 1:Pay App 29'!M146)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Data'!$O$2:$BX$88,31,FALSE)</f>
        <v>0</v>
      </c>
      <c r="F147" s="155">
        <f>IFERROR(E147+'Pay App 28'!F147,"")</f>
        <v>0</v>
      </c>
      <c r="G147" s="155">
        <f>SUM('Pay App 1:Pay App 28'!H147)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29'!L147)+SUM('Pay App 1:Pay App 29'!M147)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Data'!$O$2:$BX$88,31,FALSE)</f>
        <v>0</v>
      </c>
      <c r="F148" s="155">
        <f>IFERROR(E148+'Pay App 28'!F148,"")</f>
        <v>0</v>
      </c>
      <c r="G148" s="155">
        <f>SUM('Pay App 1:Pay App 28'!H148)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29'!L148)+SUM('Pay App 1:Pay App 29'!M148)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dQDjhM4V0AzHKGfaU+xb6ogV+hZnw6p4ObUqYZJ3QcpEA/xKCLaGEec5Pu/8wuoHcAFIsKP44wHplwSIjHLAZg==" saltValue="Pnzt2rCCQOuudxg0PN4Uo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51" priority="2" operator="equal">
      <formula>0</formula>
    </cfRule>
  </conditionalFormatting>
  <conditionalFormatting sqref="D106:G148">
    <cfRule type="cellIs" dxfId="350" priority="1" operator="equal">
      <formula>0</formula>
    </cfRule>
  </conditionalFormatting>
  <conditionalFormatting sqref="D10:H10 D12:H14 D19:H21">
    <cfRule type="cellIs" dxfId="349" priority="6" operator="equal">
      <formula>0</formula>
    </cfRule>
  </conditionalFormatting>
  <conditionalFormatting sqref="H51">
    <cfRule type="cellIs" dxfId="348" priority="9" operator="lessThan">
      <formula>0</formula>
    </cfRule>
  </conditionalFormatting>
  <conditionalFormatting sqref="I57:I100 K57:K100 I106:I148 K106:K148 N106:N148">
    <cfRule type="cellIs" dxfId="347" priority="14" operator="equal">
      <formula>0</formula>
    </cfRule>
  </conditionalFormatting>
  <conditionalFormatting sqref="J57:J100 J106:J149">
    <cfRule type="cellIs" dxfId="346" priority="11" operator="greaterThan">
      <formula>1</formula>
    </cfRule>
    <cfRule type="cellIs" dxfId="345" priority="12" operator="equal">
      <formula>0</formula>
    </cfRule>
  </conditionalFormatting>
  <conditionalFormatting sqref="K57:K100 K106:K148">
    <cfRule type="cellIs" dxfId="344" priority="10" operator="lessThan">
      <formula>0</formula>
    </cfRule>
  </conditionalFormatting>
  <conditionalFormatting sqref="M57:M100">
    <cfRule type="cellIs" dxfId="343" priority="13" operator="lessThan">
      <formula>0</formula>
    </cfRule>
  </conditionalFormatting>
  <conditionalFormatting sqref="M106:M148">
    <cfRule type="cellIs" dxfId="342" priority="8" operator="lessThan">
      <formula>0</formula>
    </cfRule>
  </conditionalFormatting>
  <conditionalFormatting sqref="N57:N100">
    <cfRule type="cellIs" dxfId="34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DFC85D7-0F64-4D2C-B554-A64CFACAFAF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7ACF1-6947-4795-88C3-342DB3C73C8A}">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29'!H49)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Data'!$O$2:$BX$88,32,FALSE)</f>
        <v>0</v>
      </c>
      <c r="F57" s="155">
        <f>IFERROR(E57+'Pay App 29'!F57,"")</f>
        <v>0</v>
      </c>
      <c r="G57" s="155">
        <f>SUM('Pay App 1:Pay App 29'!H57)</f>
        <v>0</v>
      </c>
      <c r="H57" s="154"/>
      <c r="I57" s="155">
        <f>G57+H57</f>
        <v>0</v>
      </c>
      <c r="J57" s="156">
        <f>IFERROR(I57/F57,0)</f>
        <v>0</v>
      </c>
      <c r="K57" s="155">
        <f>IFERROR(F57-I57,"")</f>
        <v>0</v>
      </c>
      <c r="L57" s="155" t="str">
        <f>IF(AND('Summary Sheet'!$E$23="No",$H$33&gt;0,H57&gt;=1),"",IF(AND('Summary Sheet'!$E$23="Yes",H57&lt;&gt;""),H57*'Summary Sheet'!$G$23,""))</f>
        <v/>
      </c>
      <c r="M57" s="154"/>
      <c r="N57" s="155">
        <f>SUM('Pay App 1:Pay App 30'!L57)+SUM('Pay App 1:Pay App 30'!M57)</f>
        <v>0</v>
      </c>
    </row>
    <row r="58" spans="1:16" ht="11.25" customHeight="1" x14ac:dyDescent="0.25">
      <c r="A58" s="152">
        <v>2</v>
      </c>
      <c r="B58" s="145" t="str">
        <f>'Pay App 1'!B58</f>
        <v>00 02 00</v>
      </c>
      <c r="C58" s="134" t="str">
        <f>'Pay App 1'!C58</f>
        <v>Preconstruction Services</v>
      </c>
      <c r="D58" s="155">
        <f>'Pay App 1'!D58</f>
        <v>0</v>
      </c>
      <c r="E58" s="155">
        <f>VLOOKUP(B58,'Graph Data'!$O$2:$BX$88,32,FALSE)</f>
        <v>0</v>
      </c>
      <c r="F58" s="155">
        <f>IFERROR(E58+'Pay App 29'!F58,"")</f>
        <v>0</v>
      </c>
      <c r="G58" s="155">
        <f>SUM('Pay App 1:Pay App 29'!H58)</f>
        <v>0</v>
      </c>
      <c r="H58" s="154"/>
      <c r="I58" s="155">
        <f>G58+H58</f>
        <v>0</v>
      </c>
      <c r="J58" s="156">
        <f>IFERROR(I58/F58,0)</f>
        <v>0</v>
      </c>
      <c r="K58" s="155">
        <f>IFERROR(F58-I58,"")</f>
        <v>0</v>
      </c>
      <c r="L58" s="155" t="str">
        <f>IF(AND('Summary Sheet'!$E$23="No",$H$33&gt;0,H58&gt;=1),"",IF(AND('Summary Sheet'!$E$23="Yes",H58&lt;&gt;""),H58*'Summary Sheet'!$G$23,""))</f>
        <v/>
      </c>
      <c r="M58" s="154"/>
      <c r="N58" s="155">
        <f>SUM('Pay App 1:Pay App 30'!L58)+SUM('Pay App 1:Pay App 30'!M58)</f>
        <v>0</v>
      </c>
    </row>
    <row r="59" spans="1:16" ht="11.25" customHeight="1" x14ac:dyDescent="0.25">
      <c r="A59" s="152">
        <v>3</v>
      </c>
      <c r="B59" s="174" t="str">
        <f>'Pay App 1'!B59</f>
        <v>01 00 00</v>
      </c>
      <c r="C59" s="179" t="str">
        <f>'Pay App 1'!C59</f>
        <v>General Conditions/Requirements</v>
      </c>
      <c r="D59" s="155">
        <f>'Pay App 1'!D59</f>
        <v>0</v>
      </c>
      <c r="E59" s="155">
        <f>VLOOKUP(B59,'Graph Data'!$O$2:$BX$88,32,FALSE)</f>
        <v>0</v>
      </c>
      <c r="F59" s="155">
        <f>IFERROR(E59+'Pay App 29'!F59,"")</f>
        <v>0</v>
      </c>
      <c r="G59" s="155">
        <f>SUM('Pay App 1:Pay App 29'!H59)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30'!L59)+SUM('Pay App 1:Pay App 30'!M59)</f>
        <v>0</v>
      </c>
    </row>
    <row r="60" spans="1:16" ht="11.25" customHeight="1" x14ac:dyDescent="0.25">
      <c r="A60" s="152">
        <v>4</v>
      </c>
      <c r="B60" s="174" t="str">
        <f>'Pay App 1'!B60</f>
        <v>01 13 41</v>
      </c>
      <c r="C60" s="179" t="str">
        <f>'Pay App 1'!C60</f>
        <v>Temp. Scaffolding and Platforms</v>
      </c>
      <c r="D60" s="155">
        <f>'Pay App 1'!D60</f>
        <v>0</v>
      </c>
      <c r="E60" s="155">
        <f>VLOOKUP(B60,'Graph Data'!$O$2:$BX$88,32,FALSE)</f>
        <v>0</v>
      </c>
      <c r="F60" s="155">
        <f>IFERROR(E60+'Pay App 29'!F60,"")</f>
        <v>0</v>
      </c>
      <c r="G60" s="155">
        <f>SUM('Pay App 1:Pay App 29'!H60)</f>
        <v>0</v>
      </c>
      <c r="H60" s="154"/>
      <c r="I60" s="155">
        <f t="shared" si="0"/>
        <v>0</v>
      </c>
      <c r="J60" s="156">
        <f t="shared" si="1"/>
        <v>0</v>
      </c>
      <c r="K60" s="155">
        <f t="shared" si="2"/>
        <v>0</v>
      </c>
      <c r="L60" s="155" t="str">
        <f>IF(AND('Summary Sheet'!$E$23="No",$H$33&gt;0,H60&gt;=1),"",IF(AND('Summary Sheet'!$E$23="Yes",H60&lt;&gt;""),H60*'Summary Sheet'!$G$23,""))</f>
        <v/>
      </c>
      <c r="M60" s="154"/>
      <c r="N60" s="155">
        <f>SUM('Pay App 1:Pay App 30'!L60)+SUM('Pay App 1:Pay App 30'!M60)</f>
        <v>0</v>
      </c>
    </row>
    <row r="61" spans="1:16" ht="11.25" customHeight="1" x14ac:dyDescent="0.25">
      <c r="A61" s="152">
        <v>5</v>
      </c>
      <c r="B61" s="174" t="str">
        <f>'Pay App 1'!B61</f>
        <v>01 13 60</v>
      </c>
      <c r="C61" s="179" t="str">
        <f>'Pay App 1'!C61</f>
        <v>SWPPP</v>
      </c>
      <c r="D61" s="155">
        <f>'Pay App 1'!D61</f>
        <v>0</v>
      </c>
      <c r="E61" s="155">
        <f>VLOOKUP(B61,'Graph Data'!$O$2:$BX$88,32,FALSE)</f>
        <v>0</v>
      </c>
      <c r="F61" s="155">
        <f>IFERROR(E61+'Pay App 29'!F61,"")</f>
        <v>0</v>
      </c>
      <c r="G61" s="155">
        <f>SUM('Pay App 1:Pay App 29'!H61)</f>
        <v>0</v>
      </c>
      <c r="H61" s="154"/>
      <c r="I61" s="155">
        <f t="shared" si="0"/>
        <v>0</v>
      </c>
      <c r="J61" s="156">
        <f t="shared" si="1"/>
        <v>0</v>
      </c>
      <c r="K61" s="155">
        <f t="shared" si="2"/>
        <v>0</v>
      </c>
      <c r="L61" s="155" t="str">
        <f>IF(AND('Summary Sheet'!$E$23="No",$H$33&gt;0,H61&gt;=1),"",IF(AND('Summary Sheet'!$E$23="Yes",H61&lt;&gt;""),H61*'Summary Sheet'!$G$23,""))</f>
        <v/>
      </c>
      <c r="M61" s="154"/>
      <c r="N61" s="155">
        <f>SUM('Pay App 1:Pay App 30'!L61)+SUM('Pay App 1:Pay App 30'!M61)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Data'!$O$2:$BX$88,32,FALSE)</f>
        <v>0</v>
      </c>
      <c r="F62" s="155">
        <f>IFERROR(E62+'Pay App 29'!F62,"")</f>
        <v>0</v>
      </c>
      <c r="G62" s="155">
        <f>SUM('Pay App 1:Pay App 29'!H62)</f>
        <v>0</v>
      </c>
      <c r="H62" s="154"/>
      <c r="I62" s="155">
        <f t="shared" si="0"/>
        <v>0</v>
      </c>
      <c r="J62" s="156">
        <f t="shared" si="1"/>
        <v>0</v>
      </c>
      <c r="K62" s="155">
        <f t="shared" si="2"/>
        <v>0</v>
      </c>
      <c r="L62" s="155" t="str">
        <f>IF(AND('Summary Sheet'!$E$23="No",$H$33&gt;0,H62&gt;=1),"",IF(AND('Summary Sheet'!$E$23="Yes",H62&lt;&gt;""),H62*'Summary Sheet'!$G$23,""))</f>
        <v/>
      </c>
      <c r="M62" s="154"/>
      <c r="N62" s="155">
        <f>SUM('Pay App 1:Pay App 30'!L62)+SUM('Pay App 1:Pay App 30'!M62)</f>
        <v>0</v>
      </c>
    </row>
    <row r="63" spans="1:16" ht="11.25" customHeight="1" x14ac:dyDescent="0.25">
      <c r="A63" s="152">
        <v>7</v>
      </c>
      <c r="B63" s="174" t="str">
        <f>'Pay App 1'!B63</f>
        <v>01 31 00</v>
      </c>
      <c r="C63" s="179" t="str">
        <f>'Pay App 1'!C63</f>
        <v>Contractor's Supervision</v>
      </c>
      <c r="D63" s="155">
        <f>'Pay App 1'!D63</f>
        <v>0</v>
      </c>
      <c r="E63" s="155">
        <f>VLOOKUP(B63,'Graph Data'!$O$2:$BX$88,32,FALSE)</f>
        <v>0</v>
      </c>
      <c r="F63" s="155">
        <f>IFERROR(E63+'Pay App 29'!F63,"")</f>
        <v>0</v>
      </c>
      <c r="G63" s="155">
        <f>SUM('Pay App 1:Pay App 29'!H63)</f>
        <v>0</v>
      </c>
      <c r="H63" s="154"/>
      <c r="I63" s="155">
        <f t="shared" si="0"/>
        <v>0</v>
      </c>
      <c r="J63" s="156">
        <f t="shared" si="1"/>
        <v>0</v>
      </c>
      <c r="K63" s="155">
        <f t="shared" si="2"/>
        <v>0</v>
      </c>
      <c r="L63" s="155" t="str">
        <f>IF(AND('Summary Sheet'!$E$23="No",$H$33&gt;0,H63&gt;=1),"",IF(AND('Summary Sheet'!$E$23="Yes",H63&lt;&gt;""),H63*'Summary Sheet'!$G$23,""))</f>
        <v/>
      </c>
      <c r="M63" s="154"/>
      <c r="N63" s="155">
        <f>SUM('Pay App 1:Pay App 30'!L63)+SUM('Pay App 1:Pay App 30'!M63)</f>
        <v>0</v>
      </c>
    </row>
    <row r="64" spans="1:16" ht="11.25" customHeight="1" x14ac:dyDescent="0.25">
      <c r="A64" s="152">
        <v>8</v>
      </c>
      <c r="B64" s="174" t="str">
        <f>'Pay App 1'!B64</f>
        <v>01 32 00</v>
      </c>
      <c r="C64" s="179" t="str">
        <f>'Pay App 1'!C64</f>
        <v>General Liability Insurance</v>
      </c>
      <c r="D64" s="155">
        <f>'Pay App 1'!D64</f>
        <v>0</v>
      </c>
      <c r="E64" s="155">
        <f>VLOOKUP(B64,'Graph Data'!$O$2:$BX$88,32,FALSE)</f>
        <v>0</v>
      </c>
      <c r="F64" s="155">
        <f>IFERROR(E64+'Pay App 29'!F64,"")</f>
        <v>0</v>
      </c>
      <c r="G64" s="155">
        <f>SUM('Pay App 1:Pay App 29'!H64)</f>
        <v>0</v>
      </c>
      <c r="H64" s="154"/>
      <c r="I64" s="155">
        <f t="shared" si="0"/>
        <v>0</v>
      </c>
      <c r="J64" s="156">
        <f t="shared" si="1"/>
        <v>0</v>
      </c>
      <c r="K64" s="155">
        <f t="shared" si="2"/>
        <v>0</v>
      </c>
      <c r="L64" s="155" t="str">
        <f>IF(AND('Summary Sheet'!$E$23="No",$H$33&gt;0,H64&gt;=1),"",IF(AND('Summary Sheet'!$E$23="Yes",H64&lt;&gt;""),H64*'Summary Sheet'!$G$23,""))</f>
        <v/>
      </c>
      <c r="M64" s="154"/>
      <c r="N64" s="155">
        <f>SUM('Pay App 1:Pay App 30'!L64)+SUM('Pay App 1:Pay App 30'!M64)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Data'!$O$2:$BX$88,32,FALSE)</f>
        <v>0</v>
      </c>
      <c r="F65" s="155">
        <f>IFERROR(E65+'Pay App 29'!F65,"")</f>
        <v>0</v>
      </c>
      <c r="G65" s="155">
        <f>SUM('Pay App 1:Pay App 29'!H65)</f>
        <v>0</v>
      </c>
      <c r="H65" s="154"/>
      <c r="I65" s="155">
        <f t="shared" si="0"/>
        <v>0</v>
      </c>
      <c r="J65" s="156">
        <f t="shared" si="1"/>
        <v>0</v>
      </c>
      <c r="K65" s="155">
        <f t="shared" si="2"/>
        <v>0</v>
      </c>
      <c r="L65" s="155" t="str">
        <f>IF(AND('Summary Sheet'!$E$23="No",$H$33&gt;0,H65&gt;=1),"",IF(AND('Summary Sheet'!$E$23="Yes",H65&lt;&gt;""),H65*'Summary Sheet'!$G$23,""))</f>
        <v/>
      </c>
      <c r="M65" s="154"/>
      <c r="N65" s="155">
        <f>SUM('Pay App 1:Pay App 30'!L65)+SUM('Pay App 1:Pay App 30'!M65)</f>
        <v>0</v>
      </c>
    </row>
    <row r="66" spans="1:17" ht="11.25" customHeight="1" x14ac:dyDescent="0.25">
      <c r="A66" s="152">
        <v>10</v>
      </c>
      <c r="B66" s="174" t="str">
        <f>'Pay App 1'!B66</f>
        <v>01 34 00</v>
      </c>
      <c r="C66" s="179" t="str">
        <f>'Pay App 1'!C66</f>
        <v>Subcontractor Default Insurance</v>
      </c>
      <c r="D66" s="155">
        <f>'Pay App 1'!D66</f>
        <v>0</v>
      </c>
      <c r="E66" s="155">
        <f>VLOOKUP(B66,'Graph Data'!$O$2:$BX$88,32,FALSE)</f>
        <v>0</v>
      </c>
      <c r="F66" s="155">
        <f>IFERROR(E66+'Pay App 29'!F66,"")</f>
        <v>0</v>
      </c>
      <c r="G66" s="155">
        <f>SUM('Pay App 1:Pay App 29'!H66)</f>
        <v>0</v>
      </c>
      <c r="H66" s="154"/>
      <c r="I66" s="155">
        <f t="shared" si="0"/>
        <v>0</v>
      </c>
      <c r="J66" s="156">
        <f t="shared" si="1"/>
        <v>0</v>
      </c>
      <c r="K66" s="155">
        <f t="shared" si="2"/>
        <v>0</v>
      </c>
      <c r="L66" s="155" t="str">
        <f>IF(AND('Summary Sheet'!$E$23="No",$H$33&gt;0,H66&gt;=1),"",IF(AND('Summary Sheet'!$E$23="Yes",H66&lt;&gt;""),H66*'Summary Sheet'!$G$23,""))</f>
        <v/>
      </c>
      <c r="M66" s="154"/>
      <c r="N66" s="155">
        <f>SUM('Pay App 1:Pay App 30'!L66)+SUM('Pay App 1:Pay App 30'!M66)</f>
        <v>0</v>
      </c>
    </row>
    <row r="67" spans="1:17" ht="11.25" customHeight="1" x14ac:dyDescent="0.25">
      <c r="A67" s="152">
        <v>11</v>
      </c>
      <c r="B67" s="174" t="str">
        <f>'Pay App 1'!B67</f>
        <v>01 35 00</v>
      </c>
      <c r="C67" s="179" t="str">
        <f>'Pay App 1'!C67</f>
        <v>Construction Management Fee</v>
      </c>
      <c r="D67" s="155">
        <f>'Pay App 1'!D67</f>
        <v>0</v>
      </c>
      <c r="E67" s="155">
        <f>VLOOKUP(B67,'Graph Data'!$O$2:$BX$88,32,FALSE)</f>
        <v>0</v>
      </c>
      <c r="F67" s="155">
        <f>IFERROR(E67+'Pay App 29'!F67,"")</f>
        <v>0</v>
      </c>
      <c r="G67" s="155">
        <f>SUM('Pay App 1:Pay App 29'!H67)</f>
        <v>0</v>
      </c>
      <c r="H67" s="154"/>
      <c r="I67" s="155">
        <f t="shared" si="0"/>
        <v>0</v>
      </c>
      <c r="J67" s="156">
        <f t="shared" si="1"/>
        <v>0</v>
      </c>
      <c r="K67" s="155">
        <f t="shared" si="2"/>
        <v>0</v>
      </c>
      <c r="L67" s="155" t="str">
        <f>IF(AND('Summary Sheet'!$E$23="No",$H$33&gt;0,H67&gt;=1),"",IF(AND('Summary Sheet'!$E$23="Yes",H67&lt;&gt;""),H67*'Summary Sheet'!$G$23,""))</f>
        <v/>
      </c>
      <c r="M67" s="154"/>
      <c r="N67" s="155">
        <f>SUM('Pay App 1:Pay App 30'!L67)+SUM('Pay App 1:Pay App 30'!M67)</f>
        <v>0</v>
      </c>
    </row>
    <row r="68" spans="1:17" ht="11.25" customHeight="1" x14ac:dyDescent="0.25">
      <c r="A68" s="152">
        <v>12</v>
      </c>
      <c r="B68" s="174" t="str">
        <f>'Pay App 1'!B68</f>
        <v>01 36 00</v>
      </c>
      <c r="C68" s="179" t="str">
        <f>'Pay App 1'!C68</f>
        <v>Contingency</v>
      </c>
      <c r="D68" s="155">
        <f>'Pay App 1'!D68</f>
        <v>0</v>
      </c>
      <c r="E68" s="155">
        <f>VLOOKUP(B68,'Graph Data'!$O$2:$BX$88,32,FALSE)</f>
        <v>0</v>
      </c>
      <c r="F68" s="155">
        <f>IFERROR(E68+'Pay App 29'!F68,"")</f>
        <v>0</v>
      </c>
      <c r="G68" s="155">
        <f>SUM('Pay App 1:Pay App 29'!H68)</f>
        <v>0</v>
      </c>
      <c r="H68" s="154"/>
      <c r="I68" s="155">
        <f t="shared" si="0"/>
        <v>0</v>
      </c>
      <c r="J68" s="156">
        <f t="shared" si="1"/>
        <v>0</v>
      </c>
      <c r="K68" s="155">
        <f t="shared" si="2"/>
        <v>0</v>
      </c>
      <c r="L68" s="155" t="str">
        <f>IF(AND('Summary Sheet'!$E$23="No",$H$33&gt;0,H68&gt;=1),"",IF(AND('Summary Sheet'!$E$23="Yes",H68&lt;&gt;""),H68*'Summary Sheet'!$G$23,""))</f>
        <v/>
      </c>
      <c r="M68" s="154"/>
      <c r="N68" s="155">
        <f>SUM('Pay App 1:Pay App 30'!L68)+SUM('Pay App 1:Pay App 30'!M68)</f>
        <v>0</v>
      </c>
    </row>
    <row r="69" spans="1:17" ht="11.25" customHeight="1" x14ac:dyDescent="0.25">
      <c r="A69" s="152">
        <v>13</v>
      </c>
      <c r="B69" s="174" t="str">
        <f>'Pay App 1'!B69</f>
        <v>01 37 00</v>
      </c>
      <c r="C69" s="179" t="str">
        <f>'Pay App 1'!C69</f>
        <v>Weather Allowance (All Trades)</v>
      </c>
      <c r="D69" s="155">
        <f>'Pay App 1'!D69</f>
        <v>0</v>
      </c>
      <c r="E69" s="155">
        <f>VLOOKUP(B69,'Graph Data'!$O$2:$BX$88,32,FALSE)</f>
        <v>0</v>
      </c>
      <c r="F69" s="155">
        <f>IFERROR(E69+'Pay App 29'!F69,"")</f>
        <v>0</v>
      </c>
      <c r="G69" s="155">
        <f>SUM('Pay App 1:Pay App 29'!H69)</f>
        <v>0</v>
      </c>
      <c r="H69" s="154"/>
      <c r="I69" s="155">
        <f t="shared" si="0"/>
        <v>0</v>
      </c>
      <c r="J69" s="156">
        <f t="shared" si="1"/>
        <v>0</v>
      </c>
      <c r="K69" s="155">
        <f t="shared" si="2"/>
        <v>0</v>
      </c>
      <c r="L69" s="155" t="str">
        <f>IF(AND('Summary Sheet'!$E$23="No",$H$33&gt;0,H69&gt;=1),"",IF(AND('Summary Sheet'!$E$23="Yes",H69&lt;&gt;""),H69*'Summary Sheet'!$G$23,""))</f>
        <v/>
      </c>
      <c r="M69" s="154"/>
      <c r="N69" s="155">
        <f>SUM('Pay App 1:Pay App 30'!L69)+SUM('Pay App 1:Pay App 30'!M69)</f>
        <v>0</v>
      </c>
    </row>
    <row r="70" spans="1:17" ht="11.25" customHeight="1" x14ac:dyDescent="0.25">
      <c r="A70" s="152">
        <v>14</v>
      </c>
      <c r="B70" s="174" t="str">
        <f>'Pay App 1'!B70</f>
        <v>01 74 23</v>
      </c>
      <c r="C70" s="179" t="str">
        <f>'Pay App 1'!C70</f>
        <v>Cleaning (Final)</v>
      </c>
      <c r="D70" s="155">
        <f>'Pay App 1'!D70</f>
        <v>0</v>
      </c>
      <c r="E70" s="155">
        <f>VLOOKUP(B70,'Graph Data'!$O$2:$BX$88,32,FALSE)</f>
        <v>0</v>
      </c>
      <c r="F70" s="155">
        <f>IFERROR(E70+'Pay App 29'!F70,"")</f>
        <v>0</v>
      </c>
      <c r="G70" s="155">
        <f>SUM('Pay App 1:Pay App 29'!H70)</f>
        <v>0</v>
      </c>
      <c r="H70" s="154"/>
      <c r="I70" s="155">
        <f t="shared" si="0"/>
        <v>0</v>
      </c>
      <c r="J70" s="156">
        <f t="shared" si="1"/>
        <v>0</v>
      </c>
      <c r="K70" s="155">
        <f t="shared" si="2"/>
        <v>0</v>
      </c>
      <c r="L70" s="155" t="str">
        <f>IF(AND('Summary Sheet'!$E$23="No",$H$33&gt;0,H70&gt;=1),"",IF(AND('Summary Sheet'!$E$23="Yes",H70&lt;&gt;""),H70*'Summary Sheet'!$G$23,""))</f>
        <v/>
      </c>
      <c r="M70" s="154"/>
      <c r="N70" s="155">
        <f>SUM('Pay App 1:Pay App 30'!L70)+SUM('Pay App 1:Pay App 30'!M70)</f>
        <v>0</v>
      </c>
    </row>
    <row r="71" spans="1:17" ht="11.25" customHeight="1" x14ac:dyDescent="0.25">
      <c r="A71" s="152">
        <v>15</v>
      </c>
      <c r="B71" s="175" t="str">
        <f>'Pay App 1'!B71</f>
        <v>02 21 00</v>
      </c>
      <c r="C71" s="180" t="str">
        <f>'Pay App 1'!C71</f>
        <v>Survey/Engineering</v>
      </c>
      <c r="D71" s="155">
        <f>'Pay App 1'!D71</f>
        <v>0</v>
      </c>
      <c r="E71" s="155">
        <f>VLOOKUP(B71,'Graph Data'!$O$2:$BX$88,32,FALSE)</f>
        <v>0</v>
      </c>
      <c r="F71" s="155">
        <f>IFERROR(E71+'Pay App 29'!F71,"")</f>
        <v>0</v>
      </c>
      <c r="G71" s="155">
        <f>SUM('Pay App 1:Pay App 29'!H71)</f>
        <v>0</v>
      </c>
      <c r="H71" s="154"/>
      <c r="I71" s="155">
        <f t="shared" si="0"/>
        <v>0</v>
      </c>
      <c r="J71" s="156">
        <f t="shared" si="1"/>
        <v>0</v>
      </c>
      <c r="K71" s="155">
        <f t="shared" si="2"/>
        <v>0</v>
      </c>
      <c r="L71" s="155" t="str">
        <f>IF(AND('Summary Sheet'!$E$23="No",$H$33&gt;0,H71&gt;=1),"",IF(AND('Summary Sheet'!$E$23="Yes",H71&lt;&gt;""),H71*'Summary Sheet'!$G$23,""))</f>
        <v/>
      </c>
      <c r="M71" s="154"/>
      <c r="N71" s="155">
        <f>SUM('Pay App 1:Pay App 30'!L71)+SUM('Pay App 1:Pay App 30'!M71)</f>
        <v>0</v>
      </c>
      <c r="Q71" s="28"/>
    </row>
    <row r="72" spans="1:17" ht="11.25" customHeight="1" x14ac:dyDescent="0.25">
      <c r="A72" s="152">
        <v>16</v>
      </c>
      <c r="B72" s="175" t="str">
        <f>'Pay App 1'!B72</f>
        <v>02 41 00</v>
      </c>
      <c r="C72" s="180" t="str">
        <f>'Pay App 1'!C72</f>
        <v>Demolition</v>
      </c>
      <c r="D72" s="155">
        <f>'Pay App 1'!D72</f>
        <v>0</v>
      </c>
      <c r="E72" s="155">
        <f>VLOOKUP(B72,'Graph Data'!$O$2:$BX$88,32,FALSE)</f>
        <v>0</v>
      </c>
      <c r="F72" s="155">
        <f>IFERROR(E72+'Pay App 29'!F72,"")</f>
        <v>0</v>
      </c>
      <c r="G72" s="155">
        <f>SUM('Pay App 1:Pay App 29'!H72)</f>
        <v>0</v>
      </c>
      <c r="H72" s="154"/>
      <c r="I72" s="155">
        <f t="shared" si="0"/>
        <v>0</v>
      </c>
      <c r="J72" s="156">
        <f t="shared" si="1"/>
        <v>0</v>
      </c>
      <c r="K72" s="155">
        <f t="shared" si="2"/>
        <v>0</v>
      </c>
      <c r="L72" s="155" t="str">
        <f>IF(AND('Summary Sheet'!$E$23="No",$H$33&gt;0,H72&gt;=1),"",IF(AND('Summary Sheet'!$E$23="Yes",H72&lt;&gt;""),H72*'Summary Sheet'!$G$23,""))</f>
        <v/>
      </c>
      <c r="M72" s="154"/>
      <c r="N72" s="155">
        <f>SUM('Pay App 1:Pay App 30'!L72)+SUM('Pay App 1:Pay App 30'!M72)</f>
        <v>0</v>
      </c>
      <c r="Q72" s="28"/>
    </row>
    <row r="73" spans="1:17" ht="11.25" customHeight="1" x14ac:dyDescent="0.25">
      <c r="A73" s="152">
        <v>17</v>
      </c>
      <c r="B73" s="175" t="str">
        <f>'Pay App 1'!B73</f>
        <v>02 82 00</v>
      </c>
      <c r="C73" s="180" t="str">
        <f>'Pay App 1'!C73</f>
        <v>Asbestos Abatement</v>
      </c>
      <c r="D73" s="155">
        <f>'Pay App 1'!D73</f>
        <v>0</v>
      </c>
      <c r="E73" s="155">
        <f>VLOOKUP(B73,'Graph Data'!$O$2:$BX$88,32,FALSE)</f>
        <v>0</v>
      </c>
      <c r="F73" s="155">
        <f>IFERROR(E73+'Pay App 29'!F73,"")</f>
        <v>0</v>
      </c>
      <c r="G73" s="155">
        <f>SUM('Pay App 1:Pay App 29'!H73)</f>
        <v>0</v>
      </c>
      <c r="H73" s="154"/>
      <c r="I73" s="155">
        <f t="shared" si="0"/>
        <v>0</v>
      </c>
      <c r="J73" s="156">
        <f t="shared" si="1"/>
        <v>0</v>
      </c>
      <c r="K73" s="155">
        <f t="shared" si="2"/>
        <v>0</v>
      </c>
      <c r="L73" s="155" t="str">
        <f>IF(AND('Summary Sheet'!$E$23="No",$H$33&gt;0,H73&gt;=1),"",IF(AND('Summary Sheet'!$E$23="Yes",H73&lt;&gt;""),H73*'Summary Sheet'!$G$23,""))</f>
        <v/>
      </c>
      <c r="M73" s="154"/>
      <c r="N73" s="155">
        <f>SUM('Pay App 1:Pay App 30'!L73)+SUM('Pay App 1:Pay App 30'!M73)</f>
        <v>0</v>
      </c>
    </row>
    <row r="74" spans="1:17" ht="11.25" customHeight="1" x14ac:dyDescent="0.25">
      <c r="A74" s="152">
        <v>18</v>
      </c>
      <c r="B74" s="176" t="str">
        <f>'Pay App 1'!B74</f>
        <v>03 00 00</v>
      </c>
      <c r="C74" s="181" t="str">
        <f>'Pay App 1'!C74</f>
        <v>Building Concrete</v>
      </c>
      <c r="D74" s="155">
        <f>'Pay App 1'!D74</f>
        <v>0</v>
      </c>
      <c r="E74" s="155">
        <f>VLOOKUP(B74,'Graph Data'!$O$2:$BX$88,32,FALSE)</f>
        <v>0</v>
      </c>
      <c r="F74" s="155">
        <f>IFERROR(E74+'Pay App 29'!F74,"")</f>
        <v>0</v>
      </c>
      <c r="G74" s="155">
        <f>SUM('Pay App 1:Pay App 29'!H74)</f>
        <v>0</v>
      </c>
      <c r="H74" s="154"/>
      <c r="I74" s="155">
        <f t="shared" si="0"/>
        <v>0</v>
      </c>
      <c r="J74" s="156">
        <f t="shared" si="1"/>
        <v>0</v>
      </c>
      <c r="K74" s="155">
        <f t="shared" si="2"/>
        <v>0</v>
      </c>
      <c r="L74" s="155" t="str">
        <f>IF(AND('Summary Sheet'!$E$23="No",$H$33&gt;0,H74&gt;=1),"",IF(AND('Summary Sheet'!$E$23="Yes",H74&lt;&gt;""),H74*'Summary Sheet'!$G$23,""))</f>
        <v/>
      </c>
      <c r="M74" s="154"/>
      <c r="N74" s="155">
        <f>SUM('Pay App 1:Pay App 30'!L74)+SUM('Pay App 1:Pay App 30'!M74)</f>
        <v>0</v>
      </c>
    </row>
    <row r="75" spans="1:17" ht="11.25" customHeight="1" x14ac:dyDescent="0.25">
      <c r="A75" s="152">
        <v>19</v>
      </c>
      <c r="B75" s="176" t="str">
        <f>'Pay App 1'!B75</f>
        <v>03 20 00</v>
      </c>
      <c r="C75" s="181" t="str">
        <f>'Pay App 1'!C75</f>
        <v>Building Concrete Reinforcing</v>
      </c>
      <c r="D75" s="155">
        <f>'Pay App 1'!D75</f>
        <v>0</v>
      </c>
      <c r="E75" s="155">
        <f>VLOOKUP(B75,'Graph Data'!$O$2:$BX$88,32,FALSE)</f>
        <v>0</v>
      </c>
      <c r="F75" s="155">
        <f>IFERROR(E75+'Pay App 29'!F75,"")</f>
        <v>0</v>
      </c>
      <c r="G75" s="155">
        <f>SUM('Pay App 1:Pay App 29'!H75)</f>
        <v>0</v>
      </c>
      <c r="H75" s="154"/>
      <c r="I75" s="155">
        <f t="shared" si="0"/>
        <v>0</v>
      </c>
      <c r="J75" s="156">
        <f t="shared" si="1"/>
        <v>0</v>
      </c>
      <c r="K75" s="155">
        <f t="shared" si="2"/>
        <v>0</v>
      </c>
      <c r="L75" s="155" t="str">
        <f>IF(AND('Summary Sheet'!$E$23="No",$H$33&gt;0,H75&gt;=1),"",IF(AND('Summary Sheet'!$E$23="Yes",H75&lt;&gt;""),H75*'Summary Sheet'!$G$23,""))</f>
        <v/>
      </c>
      <c r="M75" s="154"/>
      <c r="N75" s="155">
        <f>SUM('Pay App 1:Pay App 30'!L75)+SUM('Pay App 1:Pay App 30'!M75)</f>
        <v>0</v>
      </c>
    </row>
    <row r="76" spans="1:17" ht="11.25" customHeight="1" x14ac:dyDescent="0.25">
      <c r="A76" s="152">
        <v>20</v>
      </c>
      <c r="B76" s="176" t="str">
        <f>'Pay App 1'!B76</f>
        <v>03 40 00</v>
      </c>
      <c r="C76" s="181" t="str">
        <f>'Pay App 1'!C76</f>
        <v>Precast</v>
      </c>
      <c r="D76" s="155">
        <f>'Pay App 1'!D76</f>
        <v>0</v>
      </c>
      <c r="E76" s="155">
        <f>VLOOKUP(B76,'Graph Data'!$O$2:$BX$88,32,FALSE)</f>
        <v>0</v>
      </c>
      <c r="F76" s="155">
        <f>IFERROR(E76+'Pay App 29'!F76,"")</f>
        <v>0</v>
      </c>
      <c r="G76" s="155">
        <f>SUM('Pay App 1:Pay App 29'!H76)</f>
        <v>0</v>
      </c>
      <c r="H76" s="154"/>
      <c r="I76" s="155">
        <f t="shared" si="0"/>
        <v>0</v>
      </c>
      <c r="J76" s="156">
        <f t="shared" si="1"/>
        <v>0</v>
      </c>
      <c r="K76" s="155">
        <f t="shared" si="2"/>
        <v>0</v>
      </c>
      <c r="L76" s="155" t="str">
        <f>IF(AND('Summary Sheet'!$E$23="No",$H$33&gt;0,H76&gt;=1),"",IF(AND('Summary Sheet'!$E$23="Yes",H76&lt;&gt;""),H76*'Summary Sheet'!$G$23,""))</f>
        <v/>
      </c>
      <c r="M76" s="154"/>
      <c r="N76" s="155">
        <f>SUM('Pay App 1:Pay App 30'!L76)+SUM('Pay App 1:Pay App 30'!M76)</f>
        <v>0</v>
      </c>
    </row>
    <row r="77" spans="1:17" ht="11.25" customHeight="1" x14ac:dyDescent="0.25">
      <c r="A77" s="152">
        <v>21</v>
      </c>
      <c r="B77" s="177" t="str">
        <f>'Pay App 1'!B77</f>
        <v>04 00 00</v>
      </c>
      <c r="C77" s="182" t="str">
        <f>'Pay App 1'!C77</f>
        <v>Masonry</v>
      </c>
      <c r="D77" s="155">
        <f>'Pay App 1'!D77</f>
        <v>0</v>
      </c>
      <c r="E77" s="155">
        <f>VLOOKUP(B77,'Graph Data'!$O$2:$BX$88,32,FALSE)</f>
        <v>0</v>
      </c>
      <c r="F77" s="155">
        <f>IFERROR(E77+'Pay App 29'!F77,"")</f>
        <v>0</v>
      </c>
      <c r="G77" s="155">
        <f>SUM('Pay App 1:Pay App 29'!H77)</f>
        <v>0</v>
      </c>
      <c r="H77" s="154"/>
      <c r="I77" s="155">
        <f t="shared" si="0"/>
        <v>0</v>
      </c>
      <c r="J77" s="156">
        <f t="shared" si="1"/>
        <v>0</v>
      </c>
      <c r="K77" s="155">
        <f t="shared" si="2"/>
        <v>0</v>
      </c>
      <c r="L77" s="155" t="str">
        <f>IF(AND('Summary Sheet'!$E$23="No",$H$33&gt;0,H77&gt;=1),"",IF(AND('Summary Sheet'!$E$23="Yes",H77&lt;&gt;""),H77*'Summary Sheet'!$G$23,""))</f>
        <v/>
      </c>
      <c r="M77" s="154"/>
      <c r="N77" s="155">
        <f>SUM('Pay App 1:Pay App 30'!L77)+SUM('Pay App 1:Pay App 30'!M77)</f>
        <v>0</v>
      </c>
    </row>
    <row r="78" spans="1:17" ht="11.25" customHeight="1" x14ac:dyDescent="0.25">
      <c r="A78" s="152">
        <v>22</v>
      </c>
      <c r="B78" s="177" t="str">
        <f>'Pay App 1'!B78</f>
        <v>04 05 19</v>
      </c>
      <c r="C78" s="182" t="str">
        <f>'Pay App 1'!C78</f>
        <v>Masonry Reinforcing</v>
      </c>
      <c r="D78" s="155">
        <f>'Pay App 1'!D78</f>
        <v>0</v>
      </c>
      <c r="E78" s="155">
        <f>VLOOKUP(B78,'Graph Data'!$O$2:$BX$88,32,FALSE)</f>
        <v>0</v>
      </c>
      <c r="F78" s="155">
        <f>IFERROR(E78+'Pay App 29'!F78,"")</f>
        <v>0</v>
      </c>
      <c r="G78" s="155">
        <f>SUM('Pay App 1:Pay App 29'!H78)</f>
        <v>0</v>
      </c>
      <c r="H78" s="154"/>
      <c r="I78" s="155">
        <f t="shared" si="0"/>
        <v>0</v>
      </c>
      <c r="J78" s="156">
        <f t="shared" si="1"/>
        <v>0</v>
      </c>
      <c r="K78" s="155">
        <f t="shared" si="2"/>
        <v>0</v>
      </c>
      <c r="L78" s="155" t="str">
        <f>IF(AND('Summary Sheet'!$E$23="No",$H$33&gt;0,H78&gt;=1),"",IF(AND('Summary Sheet'!$E$23="Yes",H78&lt;&gt;""),H78*'Summary Sheet'!$G$23,""))</f>
        <v/>
      </c>
      <c r="M78" s="154"/>
      <c r="N78" s="155">
        <f>SUM('Pay App 1:Pay App 30'!L78)+SUM('Pay App 1:Pay App 30'!M78)</f>
        <v>0</v>
      </c>
    </row>
    <row r="79" spans="1:17" ht="11.25" customHeight="1" x14ac:dyDescent="0.25">
      <c r="A79" s="152">
        <v>23</v>
      </c>
      <c r="B79" s="178" t="str">
        <f>'Pay App 1'!B79</f>
        <v>05 10 00</v>
      </c>
      <c r="C79" s="183" t="str">
        <f>'Pay App 1'!C79</f>
        <v>Structural Steel/Misc. Steel Fab</v>
      </c>
      <c r="D79" s="155">
        <f>'Pay App 1'!D79</f>
        <v>0</v>
      </c>
      <c r="E79" s="155">
        <f>VLOOKUP(B79,'Graph Data'!$O$2:$BX$88,32,FALSE)</f>
        <v>0</v>
      </c>
      <c r="F79" s="155">
        <f>IFERROR(E79+'Pay App 29'!F79,"")</f>
        <v>0</v>
      </c>
      <c r="G79" s="155">
        <f>SUM('Pay App 1:Pay App 29'!H79)</f>
        <v>0</v>
      </c>
      <c r="H79" s="154"/>
      <c r="I79" s="155">
        <f t="shared" si="0"/>
        <v>0</v>
      </c>
      <c r="J79" s="156">
        <f t="shared" si="1"/>
        <v>0</v>
      </c>
      <c r="K79" s="155">
        <f t="shared" si="2"/>
        <v>0</v>
      </c>
      <c r="L79" s="155" t="str">
        <f>IF(AND('Summary Sheet'!$E$23="No",$H$33&gt;0,H79&gt;=1),"",IF(AND('Summary Sheet'!$E$23="Yes",H79&lt;&gt;""),H79*'Summary Sheet'!$G$23,""))</f>
        <v/>
      </c>
      <c r="M79" s="154"/>
      <c r="N79" s="155">
        <f>SUM('Pay App 1:Pay App 30'!L79)+SUM('Pay App 1:Pay App 30'!M79)</f>
        <v>0</v>
      </c>
    </row>
    <row r="80" spans="1:17" ht="11.25" customHeight="1" x14ac:dyDescent="0.25">
      <c r="A80" s="152">
        <v>24</v>
      </c>
      <c r="B80" s="178" t="str">
        <f>'Pay App 1'!B80</f>
        <v>05 20 00</v>
      </c>
      <c r="C80" s="183" t="str">
        <f>'Pay App 1'!C80</f>
        <v>Joists &amp; Deck</v>
      </c>
      <c r="D80" s="155">
        <f>'Pay App 1'!D80</f>
        <v>0</v>
      </c>
      <c r="E80" s="155">
        <f>VLOOKUP(B80,'Graph Data'!$O$2:$BX$88,32,FALSE)</f>
        <v>0</v>
      </c>
      <c r="F80" s="155">
        <f>IFERROR(E80+'Pay App 29'!F80,"")</f>
        <v>0</v>
      </c>
      <c r="G80" s="155">
        <f>SUM('Pay App 1:Pay App 29'!H80)</f>
        <v>0</v>
      </c>
      <c r="H80" s="154"/>
      <c r="I80" s="155">
        <f t="shared" si="0"/>
        <v>0</v>
      </c>
      <c r="J80" s="156">
        <f t="shared" si="1"/>
        <v>0</v>
      </c>
      <c r="K80" s="155">
        <f t="shared" si="2"/>
        <v>0</v>
      </c>
      <c r="L80" s="155" t="str">
        <f>IF(AND('Summary Sheet'!$E$23="No",$H$33&gt;0,H80&gt;=1),"",IF(AND('Summary Sheet'!$E$23="Yes",H80&lt;&gt;""),H80*'Summary Sheet'!$G$23,""))</f>
        <v/>
      </c>
      <c r="M80" s="154"/>
      <c r="N80" s="155">
        <f>SUM('Pay App 1:Pay App 30'!L80)+SUM('Pay App 1:Pay App 30'!M80)</f>
        <v>0</v>
      </c>
    </row>
    <row r="81" spans="1:14" ht="11.25" customHeight="1" x14ac:dyDescent="0.25">
      <c r="A81" s="152">
        <v>25</v>
      </c>
      <c r="B81" s="178" t="str">
        <f>'Pay App 1'!B81</f>
        <v>05 70 00</v>
      </c>
      <c r="C81" s="183" t="str">
        <f>'Pay App 1'!C81</f>
        <v>Ornamental Metal</v>
      </c>
      <c r="D81" s="155">
        <f>'Pay App 1'!D81</f>
        <v>0</v>
      </c>
      <c r="E81" s="155">
        <f>VLOOKUP(B81,'Graph Data'!$O$2:$BX$88,32,FALSE)</f>
        <v>0</v>
      </c>
      <c r="F81" s="155">
        <f>IFERROR(E81+'Pay App 29'!F81,"")</f>
        <v>0</v>
      </c>
      <c r="G81" s="155">
        <f>SUM('Pay App 1:Pay App 29'!H81)</f>
        <v>0</v>
      </c>
      <c r="H81" s="154"/>
      <c r="I81" s="155">
        <f t="shared" si="0"/>
        <v>0</v>
      </c>
      <c r="J81" s="156">
        <f t="shared" si="1"/>
        <v>0</v>
      </c>
      <c r="K81" s="155">
        <f t="shared" si="2"/>
        <v>0</v>
      </c>
      <c r="L81" s="155" t="str">
        <f>IF(AND('Summary Sheet'!$E$23="No",$H$33&gt;0,H81&gt;=1),"",IF(AND('Summary Sheet'!$E$23="Yes",H81&lt;&gt;""),H81*'Summary Sheet'!$G$23,""))</f>
        <v/>
      </c>
      <c r="M81" s="154"/>
      <c r="N81" s="155">
        <f>SUM('Pay App 1:Pay App 30'!L81)+SUM('Pay App 1:Pay App 30'!M81)</f>
        <v>0</v>
      </c>
    </row>
    <row r="82" spans="1:14" ht="11.25" customHeight="1" x14ac:dyDescent="0.25">
      <c r="A82" s="152">
        <v>26</v>
      </c>
      <c r="B82" s="145" t="str">
        <f>'Pay App 1'!B82</f>
        <v>06 10 00</v>
      </c>
      <c r="C82" s="134" t="str">
        <f>'Pay App 1'!C82</f>
        <v>Rough Carpentry</v>
      </c>
      <c r="D82" s="155">
        <f>'Pay App 1'!D82</f>
        <v>0</v>
      </c>
      <c r="E82" s="155">
        <f>VLOOKUP(B82,'Graph Data'!$O$2:$BX$88,32,FALSE)</f>
        <v>0</v>
      </c>
      <c r="F82" s="155">
        <f>IFERROR(E82+'Pay App 29'!F82,"")</f>
        <v>0</v>
      </c>
      <c r="G82" s="155">
        <f>SUM('Pay App 1:Pay App 29'!H82)</f>
        <v>0</v>
      </c>
      <c r="H82" s="154"/>
      <c r="I82" s="155">
        <f t="shared" si="0"/>
        <v>0</v>
      </c>
      <c r="J82" s="156">
        <f t="shared" si="1"/>
        <v>0</v>
      </c>
      <c r="K82" s="155">
        <f t="shared" si="2"/>
        <v>0</v>
      </c>
      <c r="L82" s="155" t="str">
        <f>IF(AND('Summary Sheet'!$E$23="No",$H$33&gt;0,H82&gt;=1),"",IF(AND('Summary Sheet'!$E$23="Yes",H82&lt;&gt;""),H82*'Summary Sheet'!$G$23,""))</f>
        <v/>
      </c>
      <c r="M82" s="154"/>
      <c r="N82" s="155">
        <f>SUM('Pay App 1:Pay App 30'!L82)+SUM('Pay App 1:Pay App 30'!M82)</f>
        <v>0</v>
      </c>
    </row>
    <row r="83" spans="1:14" ht="11.25" customHeight="1" x14ac:dyDescent="0.25">
      <c r="A83" s="152">
        <v>27</v>
      </c>
      <c r="B83" s="145" t="str">
        <f>'Pay App 1'!B83</f>
        <v>06 40 00</v>
      </c>
      <c r="C83" s="134" t="str">
        <f>'Pay App 1'!C83</f>
        <v>Arch. Woodwork &amp; Finish Carp.</v>
      </c>
      <c r="D83" s="155">
        <f>'Pay App 1'!D83</f>
        <v>0</v>
      </c>
      <c r="E83" s="155">
        <f>VLOOKUP(B83,'Graph Data'!$O$2:$BX$88,32,FALSE)</f>
        <v>0</v>
      </c>
      <c r="F83" s="155">
        <f>IFERROR(E83+'Pay App 29'!F83,"")</f>
        <v>0</v>
      </c>
      <c r="G83" s="155">
        <f>SUM('Pay App 1:Pay App 29'!H83)</f>
        <v>0</v>
      </c>
      <c r="H83" s="154"/>
      <c r="I83" s="155">
        <f t="shared" si="0"/>
        <v>0</v>
      </c>
      <c r="J83" s="156">
        <f t="shared" si="1"/>
        <v>0</v>
      </c>
      <c r="K83" s="155">
        <f t="shared" si="2"/>
        <v>0</v>
      </c>
      <c r="L83" s="155" t="str">
        <f>IF(AND('Summary Sheet'!$E$23="No",$H$33&gt;0,H83&gt;=1),"",IF(AND('Summary Sheet'!$E$23="Yes",H83&lt;&gt;""),H83*'Summary Sheet'!$G$23,""))</f>
        <v/>
      </c>
      <c r="M83" s="154"/>
      <c r="N83" s="155">
        <f>SUM('Pay App 1:Pay App 30'!L83)+SUM('Pay App 1:Pay App 30'!M83)</f>
        <v>0</v>
      </c>
    </row>
    <row r="84" spans="1:14" ht="11.25" customHeight="1" x14ac:dyDescent="0.25">
      <c r="A84" s="152">
        <v>28</v>
      </c>
      <c r="B84" s="174" t="str">
        <f>'Pay App 1'!B84</f>
        <v>07 10 00</v>
      </c>
      <c r="C84" s="179" t="str">
        <f>'Pay App 1'!C84</f>
        <v>Waterproofing/Water Repellents</v>
      </c>
      <c r="D84" s="155">
        <f>'Pay App 1'!D84</f>
        <v>0</v>
      </c>
      <c r="E84" s="155">
        <f>VLOOKUP(B84,'Graph Data'!$O$2:$BX$88,32,FALSE)</f>
        <v>0</v>
      </c>
      <c r="F84" s="155">
        <f>IFERROR(E84+'Pay App 29'!F84,"")</f>
        <v>0</v>
      </c>
      <c r="G84" s="155">
        <f>SUM('Pay App 1:Pay App 29'!H84)</f>
        <v>0</v>
      </c>
      <c r="H84" s="154"/>
      <c r="I84" s="155">
        <f t="shared" si="0"/>
        <v>0</v>
      </c>
      <c r="J84" s="156">
        <f t="shared" si="1"/>
        <v>0</v>
      </c>
      <c r="K84" s="155">
        <f t="shared" si="2"/>
        <v>0</v>
      </c>
      <c r="L84" s="155" t="str">
        <f>IF(AND('Summary Sheet'!$E$23="No",$H$33&gt;0,H84&gt;=1),"",IF(AND('Summary Sheet'!$E$23="Yes",H84&lt;&gt;""),H84*'Summary Sheet'!$G$23,""))</f>
        <v/>
      </c>
      <c r="M84" s="154"/>
      <c r="N84" s="155">
        <f>SUM('Pay App 1:Pay App 30'!L84)+SUM('Pay App 1:Pay App 30'!M84)</f>
        <v>0</v>
      </c>
    </row>
    <row r="85" spans="1:14" ht="11.25" customHeight="1" x14ac:dyDescent="0.25">
      <c r="A85" s="152">
        <v>29</v>
      </c>
      <c r="B85" s="174" t="str">
        <f>'Pay App 1'!B85</f>
        <v>07 20 00</v>
      </c>
      <c r="C85" s="179" t="str">
        <f>'Pay App 1'!C85</f>
        <v>Insulation</v>
      </c>
      <c r="D85" s="155">
        <f>'Pay App 1'!D85</f>
        <v>0</v>
      </c>
      <c r="E85" s="155">
        <f>VLOOKUP(B85,'Graph Data'!$O$2:$BX$88,32,FALSE)</f>
        <v>0</v>
      </c>
      <c r="F85" s="155">
        <f>IFERROR(E85+'Pay App 29'!F85,"")</f>
        <v>0</v>
      </c>
      <c r="G85" s="155">
        <f>SUM('Pay App 1:Pay App 29'!H85)</f>
        <v>0</v>
      </c>
      <c r="H85" s="154"/>
      <c r="I85" s="155">
        <f t="shared" si="0"/>
        <v>0</v>
      </c>
      <c r="J85" s="156">
        <f t="shared" si="1"/>
        <v>0</v>
      </c>
      <c r="K85" s="155">
        <f t="shared" si="2"/>
        <v>0</v>
      </c>
      <c r="L85" s="155" t="str">
        <f>IF(AND('Summary Sheet'!$E$23="No",$H$33&gt;0,H85&gt;=1),"",IF(AND('Summary Sheet'!$E$23="Yes",H85&lt;&gt;""),H85*'Summary Sheet'!$G$23,""))</f>
        <v/>
      </c>
      <c r="M85" s="154"/>
      <c r="N85" s="155">
        <f>SUM('Pay App 1:Pay App 30'!L85)+SUM('Pay App 1:Pay App 30'!M85)</f>
        <v>0</v>
      </c>
    </row>
    <row r="86" spans="1:14" ht="11.25" customHeight="1" x14ac:dyDescent="0.25">
      <c r="A86" s="152">
        <v>30</v>
      </c>
      <c r="B86" s="174" t="str">
        <f>'Pay App 1'!B86</f>
        <v>07 24 00</v>
      </c>
      <c r="C86" s="179" t="str">
        <f>'Pay App 1'!C86</f>
        <v>EIFS</v>
      </c>
      <c r="D86" s="155">
        <f>'Pay App 1'!D86</f>
        <v>0</v>
      </c>
      <c r="E86" s="155">
        <f>VLOOKUP(B86,'Graph Data'!$O$2:$BX$88,32,FALSE)</f>
        <v>0</v>
      </c>
      <c r="F86" s="155">
        <f>IFERROR(E86+'Pay App 29'!F86,"")</f>
        <v>0</v>
      </c>
      <c r="G86" s="155">
        <f>SUM('Pay App 1:Pay App 29'!H86)</f>
        <v>0</v>
      </c>
      <c r="H86" s="154"/>
      <c r="I86" s="155">
        <f t="shared" si="0"/>
        <v>0</v>
      </c>
      <c r="J86" s="156">
        <f t="shared" si="1"/>
        <v>0</v>
      </c>
      <c r="K86" s="155">
        <f t="shared" si="2"/>
        <v>0</v>
      </c>
      <c r="L86" s="155" t="str">
        <f>IF(AND('Summary Sheet'!$E$23="No",$H$33&gt;0,H86&gt;=1),"",IF(AND('Summary Sheet'!$E$23="Yes",H86&lt;&gt;""),H86*'Summary Sheet'!$G$23,""))</f>
        <v/>
      </c>
      <c r="M86" s="154"/>
      <c r="N86" s="155">
        <f>SUM('Pay App 1:Pay App 30'!L86)+SUM('Pay App 1:Pay App 30'!M86)</f>
        <v>0</v>
      </c>
    </row>
    <row r="87" spans="1:14" ht="11.25" customHeight="1" x14ac:dyDescent="0.25">
      <c r="A87" s="152">
        <v>31</v>
      </c>
      <c r="B87" s="174" t="str">
        <f>'Pay App 1'!B87</f>
        <v>07 26 00</v>
      </c>
      <c r="C87" s="179" t="str">
        <f>'Pay App 1'!C87</f>
        <v>Vapor Retarders</v>
      </c>
      <c r="D87" s="155">
        <f>'Pay App 1'!D87</f>
        <v>0</v>
      </c>
      <c r="E87" s="155">
        <f>VLOOKUP(B87,'Graph Data'!$O$2:$BX$88,32,FALSE)</f>
        <v>0</v>
      </c>
      <c r="F87" s="155">
        <f>IFERROR(E87+'Pay App 29'!F87,"")</f>
        <v>0</v>
      </c>
      <c r="G87" s="155">
        <f>SUM('Pay App 1:Pay App 29'!H87)</f>
        <v>0</v>
      </c>
      <c r="H87" s="154"/>
      <c r="I87" s="155">
        <f t="shared" si="0"/>
        <v>0</v>
      </c>
      <c r="J87" s="156">
        <f t="shared" si="1"/>
        <v>0</v>
      </c>
      <c r="K87" s="155">
        <f t="shared" si="2"/>
        <v>0</v>
      </c>
      <c r="L87" s="155" t="str">
        <f>IF(AND('Summary Sheet'!$E$23="No",$H$33&gt;0,H87&gt;=1),"",IF(AND('Summary Sheet'!$E$23="Yes",H87&lt;&gt;""),H87*'Summary Sheet'!$G$23,""))</f>
        <v/>
      </c>
      <c r="M87" s="154"/>
      <c r="N87" s="155">
        <f>SUM('Pay App 1:Pay App 30'!L87)+SUM('Pay App 1:Pay App 30'!M87)</f>
        <v>0</v>
      </c>
    </row>
    <row r="88" spans="1:14" ht="11.25" customHeight="1" x14ac:dyDescent="0.25">
      <c r="A88" s="152">
        <v>32</v>
      </c>
      <c r="B88" s="174" t="str">
        <f>'Pay App 1'!B88</f>
        <v>07 41 00</v>
      </c>
      <c r="C88" s="179" t="str">
        <f>'Pay App 1'!C88</f>
        <v>Roofing</v>
      </c>
      <c r="D88" s="155">
        <f>'Pay App 1'!D88</f>
        <v>0</v>
      </c>
      <c r="E88" s="155">
        <f>VLOOKUP(B88,'Graph Data'!$O$2:$BX$88,32,FALSE)</f>
        <v>0</v>
      </c>
      <c r="F88" s="155">
        <f>IFERROR(E88+'Pay App 29'!F88,"")</f>
        <v>0</v>
      </c>
      <c r="G88" s="155">
        <f>SUM('Pay App 1:Pay App 29'!H88)</f>
        <v>0</v>
      </c>
      <c r="H88" s="154"/>
      <c r="I88" s="155">
        <f t="shared" si="0"/>
        <v>0</v>
      </c>
      <c r="J88" s="156">
        <f t="shared" si="1"/>
        <v>0</v>
      </c>
      <c r="K88" s="155">
        <f t="shared" si="2"/>
        <v>0</v>
      </c>
      <c r="L88" s="155" t="str">
        <f>IF(AND('Summary Sheet'!$E$23="No",$H$33&gt;0,H88&gt;=1),"",IF(AND('Summary Sheet'!$E$23="Yes",H88&lt;&gt;""),H88*'Summary Sheet'!$G$23,""))</f>
        <v/>
      </c>
      <c r="M88" s="154"/>
      <c r="N88" s="155">
        <f>SUM('Pay App 1:Pay App 30'!L88)+SUM('Pay App 1:Pay App 30'!M88)</f>
        <v>0</v>
      </c>
    </row>
    <row r="89" spans="1:14" ht="11.25" customHeight="1" x14ac:dyDescent="0.25">
      <c r="A89" s="152">
        <v>33</v>
      </c>
      <c r="B89" s="174" t="str">
        <f>'Pay App 1'!B89</f>
        <v>07 42 00</v>
      </c>
      <c r="C89" s="179" t="str">
        <f>'Pay App 1'!C89</f>
        <v>Metal Panels</v>
      </c>
      <c r="D89" s="155">
        <f>'Pay App 1'!D89</f>
        <v>0</v>
      </c>
      <c r="E89" s="155">
        <f>VLOOKUP(B89,'Graph Data'!$O$2:$BX$88,32,FALSE)</f>
        <v>0</v>
      </c>
      <c r="F89" s="155">
        <f>IFERROR(E89+'Pay App 29'!F89,"")</f>
        <v>0</v>
      </c>
      <c r="G89" s="155">
        <f>SUM('Pay App 1:Pay App 29'!H89)</f>
        <v>0</v>
      </c>
      <c r="H89" s="154"/>
      <c r="I89" s="155">
        <f t="shared" si="0"/>
        <v>0</v>
      </c>
      <c r="J89" s="156">
        <f t="shared" si="1"/>
        <v>0</v>
      </c>
      <c r="K89" s="155">
        <f t="shared" si="2"/>
        <v>0</v>
      </c>
      <c r="L89" s="155" t="str">
        <f>IF(AND('Summary Sheet'!$E$23="No",$H$33&gt;0,H89&gt;=1),"",IF(AND('Summary Sheet'!$E$23="Yes",H89&lt;&gt;""),H89*'Summary Sheet'!$G$23,""))</f>
        <v/>
      </c>
      <c r="M89" s="154"/>
      <c r="N89" s="155">
        <f>SUM('Pay App 1:Pay App 30'!L89)+SUM('Pay App 1:Pay App 30'!M89)</f>
        <v>0</v>
      </c>
    </row>
    <row r="90" spans="1:14" ht="11.25" customHeight="1" x14ac:dyDescent="0.25">
      <c r="A90" s="152">
        <v>34</v>
      </c>
      <c r="B90" s="174" t="str">
        <f>'Pay App 1'!B90</f>
        <v>07 60 00</v>
      </c>
      <c r="C90" s="179" t="str">
        <f>'Pay App 1'!C90</f>
        <v>Sheet Metal Flashing &amp; Trim</v>
      </c>
      <c r="D90" s="155">
        <f>'Pay App 1'!D90</f>
        <v>0</v>
      </c>
      <c r="E90" s="155">
        <f>VLOOKUP(B90,'Graph Data'!$O$2:$BX$88,32,FALSE)</f>
        <v>0</v>
      </c>
      <c r="F90" s="155">
        <f>IFERROR(E90+'Pay App 29'!F90,"")</f>
        <v>0</v>
      </c>
      <c r="G90" s="155">
        <f>SUM('Pay App 1:Pay App 29'!H90)</f>
        <v>0</v>
      </c>
      <c r="H90" s="154"/>
      <c r="I90" s="155">
        <f t="shared" si="0"/>
        <v>0</v>
      </c>
      <c r="J90" s="156">
        <f t="shared" si="1"/>
        <v>0</v>
      </c>
      <c r="K90" s="155">
        <f t="shared" si="2"/>
        <v>0</v>
      </c>
      <c r="L90" s="155" t="str">
        <f>IF(AND('Summary Sheet'!$E$23="No",$H$33&gt;0,H90&gt;=1),"",IF(AND('Summary Sheet'!$E$23="Yes",H90&lt;&gt;""),H90*'Summary Sheet'!$G$23,""))</f>
        <v/>
      </c>
      <c r="M90" s="154"/>
      <c r="N90" s="155">
        <f>SUM('Pay App 1:Pay App 30'!L90)+SUM('Pay App 1:Pay App 30'!M90)</f>
        <v>0</v>
      </c>
    </row>
    <row r="91" spans="1:14" ht="11.25" customHeight="1" x14ac:dyDescent="0.25">
      <c r="A91" s="152">
        <v>35</v>
      </c>
      <c r="B91" s="174" t="str">
        <f>'Pay App 1'!B91</f>
        <v>07 80 00</v>
      </c>
      <c r="C91" s="179" t="str">
        <f>'Pay App 1'!C91</f>
        <v>Fireproofing</v>
      </c>
      <c r="D91" s="155">
        <f>'Pay App 1'!D91</f>
        <v>0</v>
      </c>
      <c r="E91" s="155">
        <f>VLOOKUP(B91,'Graph Data'!$O$2:$BX$88,32,FALSE)</f>
        <v>0</v>
      </c>
      <c r="F91" s="155">
        <f>IFERROR(E91+'Pay App 29'!F91,"")</f>
        <v>0</v>
      </c>
      <c r="G91" s="155">
        <f>SUM('Pay App 1:Pay App 29'!H91)</f>
        <v>0</v>
      </c>
      <c r="H91" s="154"/>
      <c r="I91" s="155">
        <f t="shared" si="0"/>
        <v>0</v>
      </c>
      <c r="J91" s="156">
        <f t="shared" si="1"/>
        <v>0</v>
      </c>
      <c r="K91" s="155">
        <f t="shared" si="2"/>
        <v>0</v>
      </c>
      <c r="L91" s="155" t="str">
        <f>IF(AND('Summary Sheet'!$E$23="No",$H$33&gt;0,H91&gt;=1),"",IF(AND('Summary Sheet'!$E$23="Yes",H91&lt;&gt;""),H91*'Summary Sheet'!$G$23,""))</f>
        <v/>
      </c>
      <c r="M91" s="154"/>
      <c r="N91" s="155">
        <f>SUM('Pay App 1:Pay App 30'!L91)+SUM('Pay App 1:Pay App 30'!M91)</f>
        <v>0</v>
      </c>
    </row>
    <row r="92" spans="1:14" ht="11.25" customHeight="1" x14ac:dyDescent="0.25">
      <c r="A92" s="152">
        <v>36</v>
      </c>
      <c r="B92" s="174" t="str">
        <f>'Pay App 1'!B92</f>
        <v>07 90 00</v>
      </c>
      <c r="C92" s="179" t="str">
        <f>'Pay App 1'!C92</f>
        <v>Joint Sealants</v>
      </c>
      <c r="D92" s="155">
        <f>'Pay App 1'!D92</f>
        <v>0</v>
      </c>
      <c r="E92" s="155">
        <f>VLOOKUP(B92,'Graph Data'!$O$2:$BX$88,32,FALSE)</f>
        <v>0</v>
      </c>
      <c r="F92" s="155">
        <f>IFERROR(E92+'Pay App 29'!F92,"")</f>
        <v>0</v>
      </c>
      <c r="G92" s="155">
        <f>SUM('Pay App 1:Pay App 29'!H92)</f>
        <v>0</v>
      </c>
      <c r="H92" s="154"/>
      <c r="I92" s="155">
        <f t="shared" si="0"/>
        <v>0</v>
      </c>
      <c r="J92" s="156">
        <f t="shared" si="1"/>
        <v>0</v>
      </c>
      <c r="K92" s="155">
        <f t="shared" si="2"/>
        <v>0</v>
      </c>
      <c r="L92" s="155" t="str">
        <f>IF(AND('Summary Sheet'!$E$23="No",$H$33&gt;0,H92&gt;=1),"",IF(AND('Summary Sheet'!$E$23="Yes",H92&lt;&gt;""),H92*'Summary Sheet'!$G$23,""))</f>
        <v/>
      </c>
      <c r="M92" s="154"/>
      <c r="N92" s="155">
        <f>SUM('Pay App 1:Pay App 30'!L92)+SUM('Pay App 1:Pay App 30'!M92)</f>
        <v>0</v>
      </c>
    </row>
    <row r="93" spans="1:14" ht="11.25" customHeight="1" x14ac:dyDescent="0.25">
      <c r="A93" s="152">
        <v>37</v>
      </c>
      <c r="B93" s="174" t="str">
        <f>'Pay App 1'!B93</f>
        <v>07 95 00</v>
      </c>
      <c r="C93" s="179" t="str">
        <f>'Pay App 1'!C93</f>
        <v>Expansion Joints</v>
      </c>
      <c r="D93" s="155">
        <f>'Pay App 1'!D93</f>
        <v>0</v>
      </c>
      <c r="E93" s="155">
        <f>VLOOKUP(B93,'Graph Data'!$O$2:$BX$88,32,FALSE)</f>
        <v>0</v>
      </c>
      <c r="F93" s="155">
        <f>IFERROR(E93+'Pay App 29'!F93,"")</f>
        <v>0</v>
      </c>
      <c r="G93" s="155">
        <f>SUM('Pay App 1:Pay App 29'!H93)</f>
        <v>0</v>
      </c>
      <c r="H93" s="154"/>
      <c r="I93" s="155">
        <f t="shared" si="0"/>
        <v>0</v>
      </c>
      <c r="J93" s="156">
        <f t="shared" si="1"/>
        <v>0</v>
      </c>
      <c r="K93" s="155">
        <f t="shared" si="2"/>
        <v>0</v>
      </c>
      <c r="L93" s="155" t="str">
        <f>IF(AND('Summary Sheet'!$E$23="No",$H$33&gt;0,H93&gt;=1),"",IF(AND('Summary Sheet'!$E$23="Yes",H93&lt;&gt;""),H93*'Summary Sheet'!$G$23,""))</f>
        <v/>
      </c>
      <c r="M93" s="154"/>
      <c r="N93" s="155">
        <f>SUM('Pay App 1:Pay App 30'!L93)+SUM('Pay App 1:Pay App 30'!M93)</f>
        <v>0</v>
      </c>
    </row>
    <row r="94" spans="1:14" ht="11.25" customHeight="1" x14ac:dyDescent="0.25">
      <c r="A94" s="152">
        <v>38</v>
      </c>
      <c r="B94" s="175" t="str">
        <f>'Pay App 1'!B94</f>
        <v>08 10 00</v>
      </c>
      <c r="C94" s="180" t="str">
        <f>'Pay App 1'!C94</f>
        <v>Doors, Frames &amp; Hardware</v>
      </c>
      <c r="D94" s="155">
        <f>'Pay App 1'!D94</f>
        <v>0</v>
      </c>
      <c r="E94" s="155">
        <f>VLOOKUP(B94,'Graph Data'!$O$2:$BX$88,32,FALSE)</f>
        <v>0</v>
      </c>
      <c r="F94" s="155">
        <f>IFERROR(E94+'Pay App 29'!F94,"")</f>
        <v>0</v>
      </c>
      <c r="G94" s="155">
        <f>SUM('Pay App 1:Pay App 29'!H94)</f>
        <v>0</v>
      </c>
      <c r="H94" s="154"/>
      <c r="I94" s="155">
        <f t="shared" si="0"/>
        <v>0</v>
      </c>
      <c r="J94" s="156">
        <f t="shared" si="1"/>
        <v>0</v>
      </c>
      <c r="K94" s="155">
        <f t="shared" si="2"/>
        <v>0</v>
      </c>
      <c r="L94" s="155" t="str">
        <f>IF(AND('Summary Sheet'!$E$23="No",$H$33&gt;0,H94&gt;=1),"",IF(AND('Summary Sheet'!$E$23="Yes",H94&lt;&gt;""),H94*'Summary Sheet'!$G$23,""))</f>
        <v/>
      </c>
      <c r="M94" s="154"/>
      <c r="N94" s="155">
        <f>SUM('Pay App 1:Pay App 30'!L94)+SUM('Pay App 1:Pay App 30'!M94)</f>
        <v>0</v>
      </c>
    </row>
    <row r="95" spans="1:14" ht="11.25" customHeight="1" x14ac:dyDescent="0.25">
      <c r="A95" s="152">
        <v>39</v>
      </c>
      <c r="B95" s="175" t="str">
        <f>'Pay App 1'!B95</f>
        <v>08 30 00</v>
      </c>
      <c r="C95" s="180" t="str">
        <f>'Pay App 1'!C95</f>
        <v>Specialty Doors</v>
      </c>
      <c r="D95" s="155">
        <f>'Pay App 1'!D95</f>
        <v>0</v>
      </c>
      <c r="E95" s="155">
        <f>VLOOKUP(B95,'Graph Data'!$O$2:$BX$88,32,FALSE)</f>
        <v>0</v>
      </c>
      <c r="F95" s="155">
        <f>IFERROR(E95+'Pay App 29'!F95,"")</f>
        <v>0</v>
      </c>
      <c r="G95" s="155">
        <f>SUM('Pay App 1:Pay App 29'!H95)</f>
        <v>0</v>
      </c>
      <c r="H95" s="154"/>
      <c r="I95" s="155">
        <f t="shared" si="0"/>
        <v>0</v>
      </c>
      <c r="J95" s="156">
        <f t="shared" si="1"/>
        <v>0</v>
      </c>
      <c r="K95" s="155">
        <f t="shared" si="2"/>
        <v>0</v>
      </c>
      <c r="L95" s="155" t="str">
        <f>IF(AND('Summary Sheet'!$E$23="No",$H$33&gt;0,H95&gt;=1),"",IF(AND('Summary Sheet'!$E$23="Yes",H95&lt;&gt;""),H95*'Summary Sheet'!$G$23,""))</f>
        <v/>
      </c>
      <c r="M95" s="154"/>
      <c r="N95" s="155">
        <f>SUM('Pay App 1:Pay App 30'!L95)+SUM('Pay App 1:Pay App 30'!M95)</f>
        <v>0</v>
      </c>
    </row>
    <row r="96" spans="1:14" ht="11.25" customHeight="1" x14ac:dyDescent="0.25">
      <c r="A96" s="152">
        <v>40</v>
      </c>
      <c r="B96" s="175" t="str">
        <f>'Pay App 1'!B96</f>
        <v>08 33 00</v>
      </c>
      <c r="C96" s="180" t="str">
        <f>'Pay App 1'!C96</f>
        <v>Overhead Doors/Coiling Doors</v>
      </c>
      <c r="D96" s="155">
        <f>'Pay App 1'!D96</f>
        <v>0</v>
      </c>
      <c r="E96" s="155">
        <f>VLOOKUP(B96,'Graph Data'!$O$2:$BX$88,32,FALSE)</f>
        <v>0</v>
      </c>
      <c r="F96" s="155">
        <f>IFERROR(E96+'Pay App 29'!F96,"")</f>
        <v>0</v>
      </c>
      <c r="G96" s="155">
        <f>SUM('Pay App 1:Pay App 29'!H96)</f>
        <v>0</v>
      </c>
      <c r="H96" s="154"/>
      <c r="I96" s="155">
        <f t="shared" si="0"/>
        <v>0</v>
      </c>
      <c r="J96" s="156">
        <f t="shared" si="1"/>
        <v>0</v>
      </c>
      <c r="K96" s="155">
        <f t="shared" si="2"/>
        <v>0</v>
      </c>
      <c r="L96" s="155" t="str">
        <f>IF(AND('Summary Sheet'!$E$23="No",$H$33&gt;0,H96&gt;=1),"",IF(AND('Summary Sheet'!$E$23="Yes",H96&lt;&gt;""),H96*'Summary Sheet'!$G$23,""))</f>
        <v/>
      </c>
      <c r="M96" s="154"/>
      <c r="N96" s="155">
        <f>SUM('Pay App 1:Pay App 30'!L96)+SUM('Pay App 1:Pay App 30'!M96)</f>
        <v>0</v>
      </c>
    </row>
    <row r="97" spans="1:15" ht="11.25" customHeight="1" x14ac:dyDescent="0.25">
      <c r="A97" s="152">
        <v>41</v>
      </c>
      <c r="B97" s="175" t="str">
        <f>'Pay App 1'!B97</f>
        <v>08 40 00</v>
      </c>
      <c r="C97" s="180" t="str">
        <f>'Pay App 1'!C97</f>
        <v>Curtain Wall, Glass &amp; Glazing</v>
      </c>
      <c r="D97" s="155">
        <f>'Pay App 1'!D97</f>
        <v>0</v>
      </c>
      <c r="E97" s="155">
        <f>VLOOKUP(B97,'Graph Data'!$O$2:$BX$88,32,FALSE)</f>
        <v>0</v>
      </c>
      <c r="F97" s="155">
        <f>IFERROR(E97+'Pay App 29'!F97,"")</f>
        <v>0</v>
      </c>
      <c r="G97" s="155">
        <f>SUM('Pay App 1:Pay App 29'!H97)</f>
        <v>0</v>
      </c>
      <c r="H97" s="154"/>
      <c r="I97" s="155">
        <f t="shared" si="0"/>
        <v>0</v>
      </c>
      <c r="J97" s="156">
        <f t="shared" si="1"/>
        <v>0</v>
      </c>
      <c r="K97" s="155">
        <f t="shared" si="2"/>
        <v>0</v>
      </c>
      <c r="L97" s="155" t="str">
        <f>IF(AND('Summary Sheet'!$E$23="No",$H$33&gt;0,H97&gt;=1),"",IF(AND('Summary Sheet'!$E$23="Yes",H97&lt;&gt;""),H97*'Summary Sheet'!$G$23,""))</f>
        <v/>
      </c>
      <c r="M97" s="154"/>
      <c r="N97" s="155">
        <f>SUM('Pay App 1:Pay App 30'!L97)+SUM('Pay App 1:Pay App 30'!M97)</f>
        <v>0</v>
      </c>
    </row>
    <row r="98" spans="1:15" ht="10.9" customHeight="1" x14ac:dyDescent="0.25">
      <c r="A98" s="152">
        <v>42</v>
      </c>
      <c r="B98" s="175" t="str">
        <f>'Pay App 1'!B98</f>
        <v>08 60 00</v>
      </c>
      <c r="C98" s="180" t="str">
        <f>'Pay App 1'!C98</f>
        <v>Skylights</v>
      </c>
      <c r="D98" s="155">
        <f>'Pay App 1'!D98</f>
        <v>0</v>
      </c>
      <c r="E98" s="155">
        <f>VLOOKUP(B98,'Graph Data'!$O$2:$BX$88,32,FALSE)</f>
        <v>0</v>
      </c>
      <c r="F98" s="155">
        <f>IFERROR(E98+'Pay App 29'!F98,"")</f>
        <v>0</v>
      </c>
      <c r="G98" s="155">
        <f>SUM('Pay App 1:Pay App 29'!H98)</f>
        <v>0</v>
      </c>
      <c r="H98" s="154"/>
      <c r="I98" s="155">
        <f t="shared" si="0"/>
        <v>0</v>
      </c>
      <c r="J98" s="156">
        <f t="shared" si="1"/>
        <v>0</v>
      </c>
      <c r="K98" s="155">
        <f t="shared" si="2"/>
        <v>0</v>
      </c>
      <c r="L98" s="155" t="str">
        <f>IF(AND('Summary Sheet'!$E$23="No",$H$33&gt;0,H98&gt;=1),"",IF(AND('Summary Sheet'!$E$23="Yes",H98&lt;&gt;""),H98*'Summary Sheet'!$G$23,""))</f>
        <v/>
      </c>
      <c r="M98" s="154"/>
      <c r="N98" s="155">
        <f>SUM('Pay App 1:Pay App 30'!L98)+SUM('Pay App 1:Pay App 30'!M98)</f>
        <v>0</v>
      </c>
    </row>
    <row r="99" spans="1:15" ht="10.9" customHeight="1" x14ac:dyDescent="0.25">
      <c r="A99" s="152">
        <v>43</v>
      </c>
      <c r="B99" s="175" t="str">
        <f>'Pay App 1'!B99</f>
        <v>08 90 00</v>
      </c>
      <c r="C99" s="180" t="str">
        <f>'Pay App 1'!C99</f>
        <v>Louvers &amp; Vents</v>
      </c>
      <c r="D99" s="155">
        <f>'Pay App 1'!D99</f>
        <v>0</v>
      </c>
      <c r="E99" s="155">
        <f>VLOOKUP(B99,'Graph Data'!$O$2:$BX$88,32,FALSE)</f>
        <v>0</v>
      </c>
      <c r="F99" s="155">
        <f>IFERROR(E99+'Pay App 29'!F99,"")</f>
        <v>0</v>
      </c>
      <c r="G99" s="155">
        <f>SUM('Pay App 1:Pay App 29'!H99)</f>
        <v>0</v>
      </c>
      <c r="H99" s="154"/>
      <c r="I99" s="155">
        <f t="shared" si="0"/>
        <v>0</v>
      </c>
      <c r="J99" s="156">
        <f t="shared" si="1"/>
        <v>0</v>
      </c>
      <c r="K99" s="155">
        <f t="shared" si="2"/>
        <v>0</v>
      </c>
      <c r="L99" s="155" t="str">
        <f>IF(AND('Summary Sheet'!$E$23="No",$H$33&gt;0,H99&gt;=1),"",IF(AND('Summary Sheet'!$E$23="Yes",H99&lt;&gt;""),H99*'Summary Sheet'!$G$23,""))</f>
        <v/>
      </c>
      <c r="M99" s="154"/>
      <c r="N99" s="155">
        <f>SUM('Pay App 1:Pay App 30'!L99)+SUM('Pay App 1:Pay App 30'!M99)</f>
        <v>0</v>
      </c>
    </row>
    <row r="100" spans="1:15" ht="11.25" customHeight="1" x14ac:dyDescent="0.25">
      <c r="A100" s="153">
        <v>44</v>
      </c>
      <c r="B100" s="176" t="str">
        <f>'Pay App 1'!B100</f>
        <v>09 20 00</v>
      </c>
      <c r="C100" s="181" t="str">
        <f>'Pay App 1'!C100</f>
        <v>Gypsum Board Systems</v>
      </c>
      <c r="D100" s="155">
        <f>'Pay App 1'!D100</f>
        <v>0</v>
      </c>
      <c r="E100" s="155">
        <f>VLOOKUP(B100,'Graph Data'!$O$2:$BX$88,32,FALSE)</f>
        <v>0</v>
      </c>
      <c r="F100" s="155">
        <f>IFERROR(E100+'Pay App 29'!F100,"")</f>
        <v>0</v>
      </c>
      <c r="G100" s="155">
        <f>SUM('Pay App 1:Pay App 29'!H100)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30'!L100)+SUM('Pay App 1:Pay App 30'!M100)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30.2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Data'!$O$2:$BX$88,32,FALSE)</f>
        <v>0</v>
      </c>
      <c r="F106" s="155">
        <f>IFERROR(E106+'Pay App 29'!F106,"")</f>
        <v>0</v>
      </c>
      <c r="G106" s="155">
        <f>SUM('Pay App 1:Pay App 29'!H106)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30'!L106)+SUM('Pay App 1:Pay App 30'!M106)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Data'!$O$2:$BX$88,32,FALSE)</f>
        <v>0</v>
      </c>
      <c r="F107" s="155">
        <f>IFERROR(E107+'Pay App 29'!F107,"")</f>
        <v>0</v>
      </c>
      <c r="G107" s="155">
        <f>SUM('Pay App 1:Pay App 29'!H107)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30'!L107)+SUM('Pay App 1:Pay App 30'!M107)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Data'!$O$2:$BX$88,32,FALSE)</f>
        <v>0</v>
      </c>
      <c r="F108" s="155">
        <f>IFERROR(E108+'Pay App 29'!F108,"")</f>
        <v>0</v>
      </c>
      <c r="G108" s="155">
        <f>SUM('Pay App 1:Pay App 29'!H108)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30'!L108)+SUM('Pay App 1:Pay App 30'!M108)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Data'!$O$2:$BX$88,32,FALSE)</f>
        <v>0</v>
      </c>
      <c r="F109" s="155">
        <f>IFERROR(E109+'Pay App 29'!F109,"")</f>
        <v>0</v>
      </c>
      <c r="G109" s="155">
        <f>SUM('Pay App 1:Pay App 29'!H109)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30'!L109)+SUM('Pay App 1:Pay App 30'!M109)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Data'!$O$2:$BX$88,32,FALSE)</f>
        <v>0</v>
      </c>
      <c r="F110" s="155">
        <f>IFERROR(E110+'Pay App 29'!F110,"")</f>
        <v>0</v>
      </c>
      <c r="G110" s="155">
        <f>SUM('Pay App 1:Pay App 29'!H110)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30'!L110)+SUM('Pay App 1:Pay App 30'!M110)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Data'!$O$2:$BX$88,32,FALSE)</f>
        <v>0</v>
      </c>
      <c r="F111" s="155">
        <f>IFERROR(E111+'Pay App 29'!F111,"")</f>
        <v>0</v>
      </c>
      <c r="G111" s="155">
        <f>SUM('Pay App 1:Pay App 29'!H111)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30'!L111)+SUM('Pay App 1:Pay App 30'!M111)</f>
        <v>0</v>
      </c>
    </row>
    <row r="112" spans="1:15" ht="11.25" customHeight="1" x14ac:dyDescent="0.25">
      <c r="A112" s="152">
        <f t="shared" si="3"/>
        <v>51</v>
      </c>
      <c r="B112" s="148" t="str">
        <f>'Pay App 1'!B112</f>
        <v>09 90 00</v>
      </c>
      <c r="C112" s="143" t="str">
        <f>'Pay App 1'!C112</f>
        <v>Painting</v>
      </c>
      <c r="D112" s="155">
        <f>'Pay App 1'!D112</f>
        <v>0</v>
      </c>
      <c r="E112" s="155">
        <f>VLOOKUP(B112,'Graph Data'!$O$2:$BX$88,32,FALSE)</f>
        <v>0</v>
      </c>
      <c r="F112" s="155">
        <f>IFERROR(E112+'Pay App 29'!F112,"")</f>
        <v>0</v>
      </c>
      <c r="G112" s="155">
        <f>SUM('Pay App 1:Pay App 29'!H112)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30'!L112)+SUM('Pay App 1:Pay App 30'!M112)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Data'!$O$2:$BX$88,32,FALSE)</f>
        <v>0</v>
      </c>
      <c r="F113" s="155">
        <f>IFERROR(E113+'Pay App 29'!F113,"")</f>
        <v>0</v>
      </c>
      <c r="G113" s="155">
        <f>SUM('Pay App 1:Pay App 29'!H113)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30'!L113)+SUM('Pay App 1:Pay App 30'!M113)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Data'!$O$2:$BX$88,32,FALSE)</f>
        <v>0</v>
      </c>
      <c r="F114" s="155">
        <f>IFERROR(E114+'Pay App 29'!F114,"")</f>
        <v>0</v>
      </c>
      <c r="G114" s="155">
        <f>SUM('Pay App 1:Pay App 29'!H114)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30'!L114)+SUM('Pay App 1:Pay App 30'!M114)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Data'!$O$2:$BX$88,32,FALSE)</f>
        <v>0</v>
      </c>
      <c r="F115" s="155">
        <f>IFERROR(E115+'Pay App 29'!F115,"")</f>
        <v>0</v>
      </c>
      <c r="G115" s="155">
        <f>SUM('Pay App 1:Pay App 29'!H115)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30'!L115)+SUM('Pay App 1:Pay App 30'!M115)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Data'!$O$2:$BX$88,32,FALSE)</f>
        <v>0</v>
      </c>
      <c r="F116" s="155">
        <f>IFERROR(E116+'Pay App 29'!F116,"")</f>
        <v>0</v>
      </c>
      <c r="G116" s="155">
        <f>SUM('Pay App 1:Pay App 29'!H116)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30'!L116)+SUM('Pay App 1:Pay App 30'!M116)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Data'!$O$2:$BX$88,32,FALSE)</f>
        <v>0</v>
      </c>
      <c r="F117" s="155">
        <f>IFERROR(E117+'Pay App 29'!F117,"")</f>
        <v>0</v>
      </c>
      <c r="G117" s="155">
        <f>SUM('Pay App 1:Pay App 29'!H117)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30'!L117)+SUM('Pay App 1:Pay App 30'!M117)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Data'!$O$2:$BX$88,32,FALSE)</f>
        <v>0</v>
      </c>
      <c r="F118" s="155">
        <f>IFERROR(E118+'Pay App 29'!F118,"")</f>
        <v>0</v>
      </c>
      <c r="G118" s="155">
        <f>SUM('Pay App 1:Pay App 29'!H118)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30'!L118)+SUM('Pay App 1:Pay App 30'!M118)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Data'!$O$2:$BX$88,32,FALSE)</f>
        <v>0</v>
      </c>
      <c r="F119" s="155">
        <f>IFERROR(E119+'Pay App 29'!F119,"")</f>
        <v>0</v>
      </c>
      <c r="G119" s="155">
        <f>SUM('Pay App 1:Pay App 29'!H119)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30'!L119)+SUM('Pay App 1:Pay App 30'!M119)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Data'!$O$2:$BX$88,32,FALSE)</f>
        <v>0</v>
      </c>
      <c r="F120" s="155">
        <f>IFERROR(E120+'Pay App 29'!F120,"")</f>
        <v>0</v>
      </c>
      <c r="G120" s="155">
        <f>SUM('Pay App 1:Pay App 29'!H120)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30'!L120)+SUM('Pay App 1:Pay App 30'!M120)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Data'!$O$2:$BX$88,32,FALSE)</f>
        <v>0</v>
      </c>
      <c r="F121" s="155">
        <f>IFERROR(E121+'Pay App 29'!F121,"")</f>
        <v>0</v>
      </c>
      <c r="G121" s="155">
        <f>SUM('Pay App 1:Pay App 29'!H121)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30'!L121)+SUM('Pay App 1:Pay App 30'!M121)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Data'!$O$2:$BX$88,32,FALSE)</f>
        <v>0</v>
      </c>
      <c r="F122" s="155">
        <f>IFERROR(E122+'Pay App 29'!F122,"")</f>
        <v>0</v>
      </c>
      <c r="G122" s="155">
        <f>SUM('Pay App 1:Pay App 29'!H122)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30'!L122)+SUM('Pay App 1:Pay App 30'!M122)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Data'!$O$2:$BX$88,32,FALSE)</f>
        <v>0</v>
      </c>
      <c r="F123" s="155">
        <f>IFERROR(E123+'Pay App 29'!F123,"")</f>
        <v>0</v>
      </c>
      <c r="G123" s="155">
        <f>SUM('Pay App 1:Pay App 29'!H123)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30'!L123)+SUM('Pay App 1:Pay App 30'!M123)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Data'!$O$2:$BX$88,32,FALSE)</f>
        <v>0</v>
      </c>
      <c r="F124" s="155">
        <f>IFERROR(E124+'Pay App 29'!F124,"")</f>
        <v>0</v>
      </c>
      <c r="G124" s="155">
        <f>SUM('Pay App 1:Pay App 29'!H124)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30'!L124)+SUM('Pay App 1:Pay App 30'!M124)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Data'!$O$2:$BX$88,32,FALSE)</f>
        <v>0</v>
      </c>
      <c r="F125" s="155">
        <f>IFERROR(E125+'Pay App 29'!F125,"")</f>
        <v>0</v>
      </c>
      <c r="G125" s="155">
        <f>SUM('Pay App 1:Pay App 29'!H125)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30'!L125)+SUM('Pay App 1:Pay App 30'!M125)</f>
        <v>0</v>
      </c>
    </row>
    <row r="126" spans="1:14" ht="11.25" customHeight="1" x14ac:dyDescent="0.25">
      <c r="A126" s="152">
        <f t="shared" si="3"/>
        <v>65</v>
      </c>
      <c r="B126" s="188" t="str">
        <f>'Pay App 1'!B126</f>
        <v>14 20 00</v>
      </c>
      <c r="C126" s="194" t="str">
        <f>'Pay App 1'!C126</f>
        <v>Elevator</v>
      </c>
      <c r="D126" s="155">
        <f>'Pay App 1'!D126</f>
        <v>0</v>
      </c>
      <c r="E126" s="155">
        <f>VLOOKUP(B126,'Graph Data'!$O$2:$BX$88,32,FALSE)</f>
        <v>0</v>
      </c>
      <c r="F126" s="155">
        <f>IFERROR(E126+'Pay App 29'!F126,"")</f>
        <v>0</v>
      </c>
      <c r="G126" s="155">
        <f>SUM('Pay App 1:Pay App 29'!H126)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30'!L126)+SUM('Pay App 1:Pay App 30'!M126)</f>
        <v>0</v>
      </c>
    </row>
    <row r="127" spans="1:14" ht="11.25" customHeight="1" x14ac:dyDescent="0.25">
      <c r="A127" s="152">
        <f t="shared" si="3"/>
        <v>66</v>
      </c>
      <c r="B127" s="188" t="str">
        <f>'Pay App 1'!B127</f>
        <v>14 40 00</v>
      </c>
      <c r="C127" s="194" t="str">
        <f>'Pay App 1'!C127</f>
        <v>Lifts</v>
      </c>
      <c r="D127" s="155">
        <f>'Pay App 1'!D127</f>
        <v>0</v>
      </c>
      <c r="E127" s="155">
        <f>VLOOKUP(B127,'Graph Data'!$O$2:$BX$88,32,FALSE)</f>
        <v>0</v>
      </c>
      <c r="F127" s="155">
        <f>IFERROR(E127+'Pay App 29'!F127,"")</f>
        <v>0</v>
      </c>
      <c r="G127" s="155">
        <f>SUM('Pay App 1:Pay App 29'!H127)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30'!L127)+SUM('Pay App 1:Pay App 30'!M127)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Data'!$O$2:$BX$88,32,FALSE)</f>
        <v>0</v>
      </c>
      <c r="F128" s="155">
        <f>IFERROR(E128+'Pay App 29'!F128,"")</f>
        <v>0</v>
      </c>
      <c r="G128" s="155">
        <f>SUM('Pay App 1:Pay App 29'!H128)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30'!L128)+SUM('Pay App 1:Pay App 30'!M128)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Data'!$O$2:$BX$88,32,FALSE)</f>
        <v>0</v>
      </c>
      <c r="F129" s="155">
        <f>IFERROR(E129+'Pay App 29'!F129,"")</f>
        <v>0</v>
      </c>
      <c r="G129" s="155">
        <f>SUM('Pay App 1:Pay App 29'!H129)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30'!L129)+SUM('Pay App 1:Pay App 30'!M129)</f>
        <v>0</v>
      </c>
    </row>
    <row r="130" spans="1:14" ht="11.25" customHeight="1" x14ac:dyDescent="0.25">
      <c r="A130" s="152">
        <f t="shared" si="3"/>
        <v>69</v>
      </c>
      <c r="B130" s="185" t="str">
        <f>'Pay App 1'!B130</f>
        <v>22 00 00</v>
      </c>
      <c r="C130" s="191" t="str">
        <f>'Pay App 1'!C130</f>
        <v>Plumbing</v>
      </c>
      <c r="D130" s="155">
        <f>'Pay App 1'!D130</f>
        <v>0</v>
      </c>
      <c r="E130" s="155">
        <f>VLOOKUP(B130,'Graph Data'!$O$2:$BX$88,32,FALSE)</f>
        <v>0</v>
      </c>
      <c r="F130" s="155">
        <f>IFERROR(E130+'Pay App 29'!F130,"")</f>
        <v>0</v>
      </c>
      <c r="G130" s="155">
        <f>SUM('Pay App 1:Pay App 29'!H130)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30'!L130)+SUM('Pay App 1:Pay App 30'!M130)</f>
        <v>0</v>
      </c>
    </row>
    <row r="131" spans="1:14" ht="11.25" customHeight="1" x14ac:dyDescent="0.25">
      <c r="A131" s="152">
        <f t="shared" si="3"/>
        <v>70</v>
      </c>
      <c r="B131" s="186" t="str">
        <f>'Pay App 1'!B131</f>
        <v>23 00 00</v>
      </c>
      <c r="C131" s="192" t="str">
        <f>'Pay App 1'!C131</f>
        <v>HVAC</v>
      </c>
      <c r="D131" s="155">
        <f>'Pay App 1'!D131</f>
        <v>0</v>
      </c>
      <c r="E131" s="155">
        <f>VLOOKUP(B131,'Graph Data'!$O$2:$BX$88,32,FALSE)</f>
        <v>0</v>
      </c>
      <c r="F131" s="155">
        <f>IFERROR(E131+'Pay App 29'!F131,"")</f>
        <v>0</v>
      </c>
      <c r="G131" s="155">
        <f>SUM('Pay App 1:Pay App 29'!H131)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30'!L131)+SUM('Pay App 1:Pay App 30'!M131)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Data'!$O$2:$BX$88,32,FALSE)</f>
        <v>0</v>
      </c>
      <c r="F132" s="155">
        <f>IFERROR(E132+'Pay App 29'!F132,"")</f>
        <v>0</v>
      </c>
      <c r="G132" s="155">
        <f>SUM('Pay App 1:Pay App 29'!H132)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30'!L132)+SUM('Pay App 1:Pay App 30'!M132)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Data'!$O$2:$BX$88,32,FALSE)</f>
        <v>0</v>
      </c>
      <c r="F133" s="155">
        <f>IFERROR(E133+'Pay App 29'!F133,"")</f>
        <v>0</v>
      </c>
      <c r="G133" s="155">
        <f>SUM('Pay App 1:Pay App 29'!H133)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30'!L133)+SUM('Pay App 1:Pay App 30'!M133)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Data'!$O$2:$BX$88,32,FALSE)</f>
        <v>0</v>
      </c>
      <c r="F134" s="155">
        <f>IFERROR(E134+'Pay App 29'!F134,"")</f>
        <v>0</v>
      </c>
      <c r="G134" s="155">
        <f>SUM('Pay App 1:Pay App 29'!H134)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30'!L134)+SUM('Pay App 1:Pay App 30'!M134)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Data'!$O$2:$BX$88,32,FALSE)</f>
        <v>0</v>
      </c>
      <c r="F135" s="155">
        <f>IFERROR(E135+'Pay App 29'!F135,"")</f>
        <v>0</v>
      </c>
      <c r="G135" s="155">
        <f>SUM('Pay App 1:Pay App 29'!H135)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30'!L135)+SUM('Pay App 1:Pay App 30'!M135)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Data'!$O$2:$BX$88,32,FALSE)</f>
        <v>0</v>
      </c>
      <c r="F136" s="155">
        <f>IFERROR(E136+'Pay App 29'!F136,"")</f>
        <v>0</v>
      </c>
      <c r="G136" s="155">
        <f>SUM('Pay App 1:Pay App 29'!H136)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30'!L136)+SUM('Pay App 1:Pay App 30'!M136)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Data'!$O$2:$BX$88,32,FALSE)</f>
        <v>0</v>
      </c>
      <c r="F137" s="155">
        <f>IFERROR(E137+'Pay App 29'!F137,"")</f>
        <v>0</v>
      </c>
      <c r="G137" s="155">
        <f>SUM('Pay App 1:Pay App 29'!H137)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30'!L137)+SUM('Pay App 1:Pay App 30'!M137)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Data'!$O$2:$BX$88,32,FALSE)</f>
        <v>0</v>
      </c>
      <c r="F138" s="155">
        <f>IFERROR(E138+'Pay App 29'!F138,"")</f>
        <v>0</v>
      </c>
      <c r="G138" s="155">
        <f>SUM('Pay App 1:Pay App 29'!H138)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30'!L138)+SUM('Pay App 1:Pay App 30'!M138)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Data'!$O$2:$BX$88,32,FALSE)</f>
        <v>0</v>
      </c>
      <c r="F139" s="155">
        <f>IFERROR(E139+'Pay App 29'!F139,"")</f>
        <v>0</v>
      </c>
      <c r="G139" s="155">
        <f>SUM('Pay App 1:Pay App 29'!H139)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30'!L139)+SUM('Pay App 1:Pay App 30'!M139)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Data'!$O$2:$BX$88,32,FALSE)</f>
        <v>0</v>
      </c>
      <c r="F140" s="155">
        <f>IFERROR(E140+'Pay App 29'!F140,"")</f>
        <v>0</v>
      </c>
      <c r="G140" s="155">
        <f>SUM('Pay App 1:Pay App 29'!H140)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30'!L140)+SUM('Pay App 1:Pay App 30'!M140)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Data'!$O$2:$BX$88,32,FALSE)</f>
        <v>0</v>
      </c>
      <c r="F141" s="155">
        <f>IFERROR(E141+'Pay App 29'!F141,"")</f>
        <v>0</v>
      </c>
      <c r="G141" s="155">
        <f>SUM('Pay App 1:Pay App 29'!H141)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30'!L141)+SUM('Pay App 1:Pay App 30'!M141)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Data'!$O$2:$BX$88,32,FALSE)</f>
        <v>0</v>
      </c>
      <c r="F142" s="155">
        <f>IFERROR(E142+'Pay App 29'!F142,"")</f>
        <v>0</v>
      </c>
      <c r="G142" s="155">
        <f>SUM('Pay App 1:Pay App 29'!H142)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30'!L142)+SUM('Pay App 1:Pay App 30'!M142)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Data'!$O$2:$BX$88,32,FALSE)</f>
        <v>0</v>
      </c>
      <c r="F143" s="155">
        <f>IFERROR(E143+'Pay App 29'!F143,"")</f>
        <v>0</v>
      </c>
      <c r="G143" s="155">
        <f>SUM('Pay App 1:Pay App 29'!H143)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30'!L143)+SUM('Pay App 1:Pay App 30'!M143)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Data'!$O$2:$BX$88,32,FALSE)</f>
        <v>0</v>
      </c>
      <c r="F144" s="155">
        <f>IFERROR(E144+'Pay App 29'!F144,"")</f>
        <v>0</v>
      </c>
      <c r="G144" s="155">
        <f>SUM('Pay App 1:Pay App 29'!H144)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30'!L144)+SUM('Pay App 1:Pay App 30'!M144)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Data'!$O$2:$BX$88,32,FALSE)</f>
        <v>0</v>
      </c>
      <c r="F145" s="155">
        <f>IFERROR(E145+'Pay App 29'!F145,"")</f>
        <v>0</v>
      </c>
      <c r="G145" s="155">
        <f>SUM('Pay App 1:Pay App 29'!H145)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30'!L145)+SUM('Pay App 1:Pay App 30'!M145)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Data'!$O$2:$BX$88,32,FALSE)</f>
        <v>0</v>
      </c>
      <c r="F146" s="155">
        <f>IFERROR(E146+'Pay App 29'!F146,"")</f>
        <v>0</v>
      </c>
      <c r="G146" s="155">
        <f>SUM('Pay App 1:Pay App 29'!H146)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30'!L146)+SUM('Pay App 1:Pay App 30'!M146)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Data'!$O$2:$BX$88,32,FALSE)</f>
        <v>0</v>
      </c>
      <c r="F147" s="155">
        <f>IFERROR(E147+'Pay App 29'!F147,"")</f>
        <v>0</v>
      </c>
      <c r="G147" s="155">
        <f>SUM('Pay App 1:Pay App 29'!H147)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30'!L147)+SUM('Pay App 1:Pay App 30'!M147)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Data'!$O$2:$BX$88,32,FALSE)</f>
        <v>0</v>
      </c>
      <c r="F148" s="155">
        <f>IFERROR(E148+'Pay App 29'!F148,"")</f>
        <v>0</v>
      </c>
      <c r="G148" s="155">
        <f>SUM('Pay App 1:Pay App 29'!H148)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30'!L148)+SUM('Pay App 1:Pay App 30'!M148)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FTZkLLg6uSOP9jqMJJ3OqyvUJeFVbob5mjRxoSPFR2hsqoW6EqGyEYpT8J95sRi8Otad9hxdWW9mgU4NGqMdtQ==" saltValue="O1aKaCLOcrMnWucseZWaa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40" priority="2" operator="equal">
      <formula>0</formula>
    </cfRule>
  </conditionalFormatting>
  <conditionalFormatting sqref="D106:G148">
    <cfRule type="cellIs" dxfId="339" priority="1" operator="equal">
      <formula>0</formula>
    </cfRule>
  </conditionalFormatting>
  <conditionalFormatting sqref="D10:H10 D12:H14 D19:H21">
    <cfRule type="cellIs" dxfId="338" priority="6" operator="equal">
      <formula>0</formula>
    </cfRule>
  </conditionalFormatting>
  <conditionalFormatting sqref="H51">
    <cfRule type="cellIs" dxfId="337" priority="9" operator="lessThan">
      <formula>0</formula>
    </cfRule>
  </conditionalFormatting>
  <conditionalFormatting sqref="I57:I100 K57:K100 I106:I148 K106:K148 N106:N148">
    <cfRule type="cellIs" dxfId="336" priority="14" operator="equal">
      <formula>0</formula>
    </cfRule>
  </conditionalFormatting>
  <conditionalFormatting sqref="J57:J100 J106:J149">
    <cfRule type="cellIs" dxfId="335" priority="11" operator="greaterThan">
      <formula>1</formula>
    </cfRule>
    <cfRule type="cellIs" dxfId="334" priority="12" operator="equal">
      <formula>0</formula>
    </cfRule>
  </conditionalFormatting>
  <conditionalFormatting sqref="K57:K100 K106:K148">
    <cfRule type="cellIs" dxfId="333" priority="10" operator="lessThan">
      <formula>0</formula>
    </cfRule>
  </conditionalFormatting>
  <conditionalFormatting sqref="M57:M100">
    <cfRule type="cellIs" dxfId="332" priority="13" operator="lessThan">
      <formula>0</formula>
    </cfRule>
  </conditionalFormatting>
  <conditionalFormatting sqref="M106:M148">
    <cfRule type="cellIs" dxfId="331" priority="8" operator="lessThan">
      <formula>0</formula>
    </cfRule>
  </conditionalFormatting>
  <conditionalFormatting sqref="N57:N100">
    <cfRule type="cellIs" dxfId="33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DB01ED2-AF75-4869-B13F-E08AC0F73E7E}">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90FEC-243B-459D-A505-4A9C2ACD2E9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31</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31'!E149)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31'!G41)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30'!H49)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31.1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Data'!$O$2:$BX$88,33,FALSE)</f>
        <v>0</v>
      </c>
      <c r="F57" s="155">
        <f>IFERROR(E57+'Pay App 30'!F57,"")</f>
        <v>0</v>
      </c>
      <c r="G57" s="155">
        <f>SUM('Pay App 1:Pay App 30'!H57)</f>
        <v>0</v>
      </c>
      <c r="H57" s="154"/>
      <c r="I57" s="155">
        <f>G57+H57</f>
        <v>0</v>
      </c>
      <c r="J57" s="156">
        <f>IFERROR(I57/F57,0)</f>
        <v>0</v>
      </c>
      <c r="K57" s="155">
        <f>IFERROR(F57-I57,"")</f>
        <v>0</v>
      </c>
      <c r="L57" s="155" t="str">
        <f>IF(AND('Summary Sheet'!$E$23="No",$H$33&gt;0,H57&gt;=1),"",IF(AND('Summary Sheet'!$E$23="Yes",H57&lt;&gt;""),H57*'Summary Sheet'!$G$23,""))</f>
        <v/>
      </c>
      <c r="M57" s="154"/>
      <c r="N57" s="155">
        <f>SUM('Pay App 1:Pay App 31'!L57)+SUM('Pay App 1:Pay App 31'!M57)</f>
        <v>0</v>
      </c>
    </row>
    <row r="58" spans="1:16" ht="11.25" customHeight="1" x14ac:dyDescent="0.25">
      <c r="A58" s="152">
        <v>2</v>
      </c>
      <c r="B58" s="145" t="str">
        <f>'Pay App 1'!B58</f>
        <v>00 02 00</v>
      </c>
      <c r="C58" s="134" t="str">
        <f>'Pay App 1'!C58</f>
        <v>Preconstruction Services</v>
      </c>
      <c r="D58" s="155">
        <f>'Pay App 1'!D58</f>
        <v>0</v>
      </c>
      <c r="E58" s="155">
        <f>VLOOKUP(B58,'Graph Data'!$O$2:$BX$88,33,FALSE)</f>
        <v>0</v>
      </c>
      <c r="F58" s="155">
        <f>IFERROR(E58+'Pay App 30'!F58,"")</f>
        <v>0</v>
      </c>
      <c r="G58" s="155">
        <f>SUM('Pay App 1:Pay App 30'!H58)</f>
        <v>0</v>
      </c>
      <c r="H58" s="154"/>
      <c r="I58" s="155">
        <f>G58+H58</f>
        <v>0</v>
      </c>
      <c r="J58" s="156">
        <f>IFERROR(I58/F58,0)</f>
        <v>0</v>
      </c>
      <c r="K58" s="155">
        <f>IFERROR(F58-I58,"")</f>
        <v>0</v>
      </c>
      <c r="L58" s="155" t="str">
        <f>IF(AND('Summary Sheet'!$E$23="No",$H$33&gt;0,H58&gt;=1),"",IF(AND('Summary Sheet'!$E$23="Yes",H58&lt;&gt;""),H58*'Summary Sheet'!$G$23,""))</f>
        <v/>
      </c>
      <c r="M58" s="154"/>
      <c r="N58" s="155">
        <f>SUM('Pay App 1:Pay App 31'!L58)+SUM('Pay App 1:Pay App 31'!M58)</f>
        <v>0</v>
      </c>
    </row>
    <row r="59" spans="1:16" ht="11.25" customHeight="1" x14ac:dyDescent="0.25">
      <c r="A59" s="152">
        <v>3</v>
      </c>
      <c r="B59" s="174" t="str">
        <f>'Pay App 1'!B59</f>
        <v>01 00 00</v>
      </c>
      <c r="C59" s="179" t="str">
        <f>'Pay App 1'!C59</f>
        <v>General Conditions/Requirements</v>
      </c>
      <c r="D59" s="155">
        <f>'Pay App 1'!D59</f>
        <v>0</v>
      </c>
      <c r="E59" s="155">
        <f>VLOOKUP(B59,'Graph Data'!$O$2:$BX$88,33,FALSE)</f>
        <v>0</v>
      </c>
      <c r="F59" s="155">
        <f>IFERROR(E59+'Pay App 30'!F59,"")</f>
        <v>0</v>
      </c>
      <c r="G59" s="155">
        <f>SUM('Pay App 1:Pay App 30'!H59)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31'!L59)+SUM('Pay App 1:Pay App 31'!M59)</f>
        <v>0</v>
      </c>
    </row>
    <row r="60" spans="1:16" ht="11.25" customHeight="1" x14ac:dyDescent="0.25">
      <c r="A60" s="152">
        <v>4</v>
      </c>
      <c r="B60" s="174" t="str">
        <f>'Pay App 1'!B60</f>
        <v>01 13 41</v>
      </c>
      <c r="C60" s="179" t="str">
        <f>'Pay App 1'!C60</f>
        <v>Temp. Scaffolding and Platforms</v>
      </c>
      <c r="D60" s="155">
        <f>'Pay App 1'!D60</f>
        <v>0</v>
      </c>
      <c r="E60" s="155">
        <f>VLOOKUP(B60,'Graph Data'!$O$2:$BX$88,33,FALSE)</f>
        <v>0</v>
      </c>
      <c r="F60" s="155">
        <f>IFERROR(E60+'Pay App 30'!F60,"")</f>
        <v>0</v>
      </c>
      <c r="G60" s="155">
        <f>SUM('Pay App 1:Pay App 30'!H60)</f>
        <v>0</v>
      </c>
      <c r="H60" s="154"/>
      <c r="I60" s="155">
        <f t="shared" si="0"/>
        <v>0</v>
      </c>
      <c r="J60" s="156">
        <f t="shared" si="1"/>
        <v>0</v>
      </c>
      <c r="K60" s="155">
        <f t="shared" si="2"/>
        <v>0</v>
      </c>
      <c r="L60" s="155" t="str">
        <f>IF(AND('Summary Sheet'!$E$23="No",$H$33&gt;0,H60&gt;=1),"",IF(AND('Summary Sheet'!$E$23="Yes",H60&lt;&gt;""),H60*'Summary Sheet'!$G$23,""))</f>
        <v/>
      </c>
      <c r="M60" s="154"/>
      <c r="N60" s="155">
        <f>SUM('Pay App 1:Pay App 31'!L60)+SUM('Pay App 1:Pay App 31'!M60)</f>
        <v>0</v>
      </c>
    </row>
    <row r="61" spans="1:16" ht="11.25" customHeight="1" x14ac:dyDescent="0.25">
      <c r="A61" s="152">
        <v>5</v>
      </c>
      <c r="B61" s="174" t="str">
        <f>'Pay App 1'!B61</f>
        <v>01 13 60</v>
      </c>
      <c r="C61" s="179" t="str">
        <f>'Pay App 1'!C61</f>
        <v>SWPPP</v>
      </c>
      <c r="D61" s="155">
        <f>'Pay App 1'!D61</f>
        <v>0</v>
      </c>
      <c r="E61" s="155">
        <f>VLOOKUP(B61,'Graph Data'!$O$2:$BX$88,33,FALSE)</f>
        <v>0</v>
      </c>
      <c r="F61" s="155">
        <f>IFERROR(E61+'Pay App 30'!F61,"")</f>
        <v>0</v>
      </c>
      <c r="G61" s="155">
        <f>SUM('Pay App 1:Pay App 30'!H61)</f>
        <v>0</v>
      </c>
      <c r="H61" s="154"/>
      <c r="I61" s="155">
        <f t="shared" si="0"/>
        <v>0</v>
      </c>
      <c r="J61" s="156">
        <f t="shared" si="1"/>
        <v>0</v>
      </c>
      <c r="K61" s="155">
        <f t="shared" si="2"/>
        <v>0</v>
      </c>
      <c r="L61" s="155" t="str">
        <f>IF(AND('Summary Sheet'!$E$23="No",$H$33&gt;0,H61&gt;=1),"",IF(AND('Summary Sheet'!$E$23="Yes",H61&lt;&gt;""),H61*'Summary Sheet'!$G$23,""))</f>
        <v/>
      </c>
      <c r="M61" s="154"/>
      <c r="N61" s="155">
        <f>SUM('Pay App 1:Pay App 31'!L61)+SUM('Pay App 1:Pay App 31'!M61)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Data'!$O$2:$BX$88,33,FALSE)</f>
        <v>0</v>
      </c>
      <c r="F62" s="155">
        <f>IFERROR(E62+'Pay App 30'!F62,"")</f>
        <v>0</v>
      </c>
      <c r="G62" s="155">
        <f>SUM('Pay App 1:Pay App 30'!H62)</f>
        <v>0</v>
      </c>
      <c r="H62" s="154"/>
      <c r="I62" s="155">
        <f t="shared" si="0"/>
        <v>0</v>
      </c>
      <c r="J62" s="156">
        <f t="shared" si="1"/>
        <v>0</v>
      </c>
      <c r="K62" s="155">
        <f t="shared" si="2"/>
        <v>0</v>
      </c>
      <c r="L62" s="155" t="str">
        <f>IF(AND('Summary Sheet'!$E$23="No",$H$33&gt;0,H62&gt;=1),"",IF(AND('Summary Sheet'!$E$23="Yes",H62&lt;&gt;""),H62*'Summary Sheet'!$G$23,""))</f>
        <v/>
      </c>
      <c r="M62" s="154"/>
      <c r="N62" s="155">
        <f>SUM('Pay App 1:Pay App 31'!L62)+SUM('Pay App 1:Pay App 31'!M62)</f>
        <v>0</v>
      </c>
    </row>
    <row r="63" spans="1:16" ht="11.25" customHeight="1" x14ac:dyDescent="0.25">
      <c r="A63" s="152">
        <v>7</v>
      </c>
      <c r="B63" s="174" t="str">
        <f>'Pay App 1'!B63</f>
        <v>01 31 00</v>
      </c>
      <c r="C63" s="179" t="str">
        <f>'Pay App 1'!C63</f>
        <v>Contractor's Supervision</v>
      </c>
      <c r="D63" s="155">
        <f>'Pay App 1'!D63</f>
        <v>0</v>
      </c>
      <c r="E63" s="155">
        <f>VLOOKUP(B63,'Graph Data'!$O$2:$BX$88,33,FALSE)</f>
        <v>0</v>
      </c>
      <c r="F63" s="155">
        <f>IFERROR(E63+'Pay App 30'!F63,"")</f>
        <v>0</v>
      </c>
      <c r="G63" s="155">
        <f>SUM('Pay App 1:Pay App 30'!H63)</f>
        <v>0</v>
      </c>
      <c r="H63" s="154"/>
      <c r="I63" s="155">
        <f t="shared" si="0"/>
        <v>0</v>
      </c>
      <c r="J63" s="156">
        <f t="shared" si="1"/>
        <v>0</v>
      </c>
      <c r="K63" s="155">
        <f t="shared" si="2"/>
        <v>0</v>
      </c>
      <c r="L63" s="155" t="str">
        <f>IF(AND('Summary Sheet'!$E$23="No",$H$33&gt;0,H63&gt;=1),"",IF(AND('Summary Sheet'!$E$23="Yes",H63&lt;&gt;""),H63*'Summary Sheet'!$G$23,""))</f>
        <v/>
      </c>
      <c r="M63" s="154"/>
      <c r="N63" s="155">
        <f>SUM('Pay App 1:Pay App 31'!L63)+SUM('Pay App 1:Pay App 31'!M63)</f>
        <v>0</v>
      </c>
    </row>
    <row r="64" spans="1:16" ht="11.25" customHeight="1" x14ac:dyDescent="0.25">
      <c r="A64" s="152">
        <v>8</v>
      </c>
      <c r="B64" s="174" t="str">
        <f>'Pay App 1'!B64</f>
        <v>01 32 00</v>
      </c>
      <c r="C64" s="179" t="str">
        <f>'Pay App 1'!C64</f>
        <v>General Liability Insurance</v>
      </c>
      <c r="D64" s="155">
        <f>'Pay App 1'!D64</f>
        <v>0</v>
      </c>
      <c r="E64" s="155">
        <f>VLOOKUP(B64,'Graph Data'!$O$2:$BX$88,33,FALSE)</f>
        <v>0</v>
      </c>
      <c r="F64" s="155">
        <f>IFERROR(E64+'Pay App 30'!F64,"")</f>
        <v>0</v>
      </c>
      <c r="G64" s="155">
        <f>SUM('Pay App 1:Pay App 30'!H64)</f>
        <v>0</v>
      </c>
      <c r="H64" s="154"/>
      <c r="I64" s="155">
        <f t="shared" si="0"/>
        <v>0</v>
      </c>
      <c r="J64" s="156">
        <f t="shared" si="1"/>
        <v>0</v>
      </c>
      <c r="K64" s="155">
        <f t="shared" si="2"/>
        <v>0</v>
      </c>
      <c r="L64" s="155" t="str">
        <f>IF(AND('Summary Sheet'!$E$23="No",$H$33&gt;0,H64&gt;=1),"",IF(AND('Summary Sheet'!$E$23="Yes",H64&lt;&gt;""),H64*'Summary Sheet'!$G$23,""))</f>
        <v/>
      </c>
      <c r="M64" s="154"/>
      <c r="N64" s="155">
        <f>SUM('Pay App 1:Pay App 31'!L64)+SUM('Pay App 1:Pay App 31'!M64)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Data'!$O$2:$BX$88,33,FALSE)</f>
        <v>0</v>
      </c>
      <c r="F65" s="155">
        <f>IFERROR(E65+'Pay App 30'!F65,"")</f>
        <v>0</v>
      </c>
      <c r="G65" s="155">
        <f>SUM('Pay App 1:Pay App 30'!H65)</f>
        <v>0</v>
      </c>
      <c r="H65" s="154"/>
      <c r="I65" s="155">
        <f t="shared" si="0"/>
        <v>0</v>
      </c>
      <c r="J65" s="156">
        <f t="shared" si="1"/>
        <v>0</v>
      </c>
      <c r="K65" s="155">
        <f t="shared" si="2"/>
        <v>0</v>
      </c>
      <c r="L65" s="155" t="str">
        <f>IF(AND('Summary Sheet'!$E$23="No",$H$33&gt;0,H65&gt;=1),"",IF(AND('Summary Sheet'!$E$23="Yes",H65&lt;&gt;""),H65*'Summary Sheet'!$G$23,""))</f>
        <v/>
      </c>
      <c r="M65" s="154"/>
      <c r="N65" s="155">
        <f>SUM('Pay App 1:Pay App 31'!L65)+SUM('Pay App 1:Pay App 31'!M65)</f>
        <v>0</v>
      </c>
    </row>
    <row r="66" spans="1:17" ht="11.25" customHeight="1" x14ac:dyDescent="0.25">
      <c r="A66" s="152">
        <v>10</v>
      </c>
      <c r="B66" s="174" t="str">
        <f>'Pay App 1'!B66</f>
        <v>01 34 00</v>
      </c>
      <c r="C66" s="179" t="str">
        <f>'Pay App 1'!C66</f>
        <v>Subcontractor Default Insurance</v>
      </c>
      <c r="D66" s="155">
        <f>'Pay App 1'!D66</f>
        <v>0</v>
      </c>
      <c r="E66" s="155">
        <f>VLOOKUP(B66,'Graph Data'!$O$2:$BX$88,33,FALSE)</f>
        <v>0</v>
      </c>
      <c r="F66" s="155">
        <f>IFERROR(E66+'Pay App 30'!F66,"")</f>
        <v>0</v>
      </c>
      <c r="G66" s="155">
        <f>SUM('Pay App 1:Pay App 30'!H66)</f>
        <v>0</v>
      </c>
      <c r="H66" s="154"/>
      <c r="I66" s="155">
        <f t="shared" si="0"/>
        <v>0</v>
      </c>
      <c r="J66" s="156">
        <f t="shared" si="1"/>
        <v>0</v>
      </c>
      <c r="K66" s="155">
        <f t="shared" si="2"/>
        <v>0</v>
      </c>
      <c r="L66" s="155" t="str">
        <f>IF(AND('Summary Sheet'!$E$23="No",$H$33&gt;0,H66&gt;=1),"",IF(AND('Summary Sheet'!$E$23="Yes",H66&lt;&gt;""),H66*'Summary Sheet'!$G$23,""))</f>
        <v/>
      </c>
      <c r="M66" s="154"/>
      <c r="N66" s="155">
        <f>SUM('Pay App 1:Pay App 31'!L66)+SUM('Pay App 1:Pay App 31'!M66)</f>
        <v>0</v>
      </c>
    </row>
    <row r="67" spans="1:17" ht="11.25" customHeight="1" x14ac:dyDescent="0.25">
      <c r="A67" s="152">
        <v>11</v>
      </c>
      <c r="B67" s="174" t="str">
        <f>'Pay App 1'!B67</f>
        <v>01 35 00</v>
      </c>
      <c r="C67" s="179" t="str">
        <f>'Pay App 1'!C67</f>
        <v>Construction Management Fee</v>
      </c>
      <c r="D67" s="155">
        <f>'Pay App 1'!D67</f>
        <v>0</v>
      </c>
      <c r="E67" s="155">
        <f>VLOOKUP(B67,'Graph Data'!$O$2:$BX$88,33,FALSE)</f>
        <v>0</v>
      </c>
      <c r="F67" s="155">
        <f>IFERROR(E67+'Pay App 30'!F67,"")</f>
        <v>0</v>
      </c>
      <c r="G67" s="155">
        <f>SUM('Pay App 1:Pay App 30'!H67)</f>
        <v>0</v>
      </c>
      <c r="H67" s="154"/>
      <c r="I67" s="155">
        <f t="shared" si="0"/>
        <v>0</v>
      </c>
      <c r="J67" s="156">
        <f t="shared" si="1"/>
        <v>0</v>
      </c>
      <c r="K67" s="155">
        <f t="shared" si="2"/>
        <v>0</v>
      </c>
      <c r="L67" s="155" t="str">
        <f>IF(AND('Summary Sheet'!$E$23="No",$H$33&gt;0,H67&gt;=1),"",IF(AND('Summary Sheet'!$E$23="Yes",H67&lt;&gt;""),H67*'Summary Sheet'!$G$23,""))</f>
        <v/>
      </c>
      <c r="M67" s="154"/>
      <c r="N67" s="155">
        <f>SUM('Pay App 1:Pay App 31'!L67)+SUM('Pay App 1:Pay App 31'!M67)</f>
        <v>0</v>
      </c>
    </row>
    <row r="68" spans="1:17" ht="11.25" customHeight="1" x14ac:dyDescent="0.25">
      <c r="A68" s="152">
        <v>12</v>
      </c>
      <c r="B68" s="174" t="str">
        <f>'Pay App 1'!B68</f>
        <v>01 36 00</v>
      </c>
      <c r="C68" s="179" t="str">
        <f>'Pay App 1'!C68</f>
        <v>Contingency</v>
      </c>
      <c r="D68" s="155">
        <f>'Pay App 1'!D68</f>
        <v>0</v>
      </c>
      <c r="E68" s="155">
        <f>VLOOKUP(B68,'Graph Data'!$O$2:$BX$88,33,FALSE)</f>
        <v>0</v>
      </c>
      <c r="F68" s="155">
        <f>IFERROR(E68+'Pay App 30'!F68,"")</f>
        <v>0</v>
      </c>
      <c r="G68" s="155">
        <f>SUM('Pay App 1:Pay App 30'!H68)</f>
        <v>0</v>
      </c>
      <c r="H68" s="154"/>
      <c r="I68" s="155">
        <f t="shared" si="0"/>
        <v>0</v>
      </c>
      <c r="J68" s="156">
        <f t="shared" si="1"/>
        <v>0</v>
      </c>
      <c r="K68" s="155">
        <f t="shared" si="2"/>
        <v>0</v>
      </c>
      <c r="L68" s="155" t="str">
        <f>IF(AND('Summary Sheet'!$E$23="No",$H$33&gt;0,H68&gt;=1),"",IF(AND('Summary Sheet'!$E$23="Yes",H68&lt;&gt;""),H68*'Summary Sheet'!$G$23,""))</f>
        <v/>
      </c>
      <c r="M68" s="154"/>
      <c r="N68" s="155">
        <f>SUM('Pay App 1:Pay App 31'!L68)+SUM('Pay App 1:Pay App 31'!M68)</f>
        <v>0</v>
      </c>
    </row>
    <row r="69" spans="1:17" ht="11.25" customHeight="1" x14ac:dyDescent="0.25">
      <c r="A69" s="152">
        <v>13</v>
      </c>
      <c r="B69" s="174" t="str">
        <f>'Pay App 1'!B69</f>
        <v>01 37 00</v>
      </c>
      <c r="C69" s="179" t="str">
        <f>'Pay App 1'!C69</f>
        <v>Weather Allowance (All Trades)</v>
      </c>
      <c r="D69" s="155">
        <f>'Pay App 1'!D69</f>
        <v>0</v>
      </c>
      <c r="E69" s="155">
        <f>VLOOKUP(B69,'Graph Data'!$O$2:$BX$88,33,FALSE)</f>
        <v>0</v>
      </c>
      <c r="F69" s="155">
        <f>IFERROR(E69+'Pay App 30'!F69,"")</f>
        <v>0</v>
      </c>
      <c r="G69" s="155">
        <f>SUM('Pay App 1:Pay App 30'!H69)</f>
        <v>0</v>
      </c>
      <c r="H69" s="154"/>
      <c r="I69" s="155">
        <f t="shared" si="0"/>
        <v>0</v>
      </c>
      <c r="J69" s="156">
        <f t="shared" si="1"/>
        <v>0</v>
      </c>
      <c r="K69" s="155">
        <f t="shared" si="2"/>
        <v>0</v>
      </c>
      <c r="L69" s="155" t="str">
        <f>IF(AND('Summary Sheet'!$E$23="No",$H$33&gt;0,H69&gt;=1),"",IF(AND('Summary Sheet'!$E$23="Yes",H69&lt;&gt;""),H69*'Summary Sheet'!$G$23,""))</f>
        <v/>
      </c>
      <c r="M69" s="154"/>
      <c r="N69" s="155">
        <f>SUM('Pay App 1:Pay App 31'!L69)+SUM('Pay App 1:Pay App 31'!M69)</f>
        <v>0</v>
      </c>
    </row>
    <row r="70" spans="1:17" ht="11.25" customHeight="1" x14ac:dyDescent="0.25">
      <c r="A70" s="152">
        <v>14</v>
      </c>
      <c r="B70" s="174" t="str">
        <f>'Pay App 1'!B70</f>
        <v>01 74 23</v>
      </c>
      <c r="C70" s="179" t="str">
        <f>'Pay App 1'!C70</f>
        <v>Cleaning (Final)</v>
      </c>
      <c r="D70" s="155">
        <f>'Pay App 1'!D70</f>
        <v>0</v>
      </c>
      <c r="E70" s="155">
        <f>VLOOKUP(B70,'Graph Data'!$O$2:$BX$88,33,FALSE)</f>
        <v>0</v>
      </c>
      <c r="F70" s="155">
        <f>IFERROR(E70+'Pay App 30'!F70,"")</f>
        <v>0</v>
      </c>
      <c r="G70" s="155">
        <f>SUM('Pay App 1:Pay App 30'!H70)</f>
        <v>0</v>
      </c>
      <c r="H70" s="154"/>
      <c r="I70" s="155">
        <f t="shared" si="0"/>
        <v>0</v>
      </c>
      <c r="J70" s="156">
        <f t="shared" si="1"/>
        <v>0</v>
      </c>
      <c r="K70" s="155">
        <f t="shared" si="2"/>
        <v>0</v>
      </c>
      <c r="L70" s="155" t="str">
        <f>IF(AND('Summary Sheet'!$E$23="No",$H$33&gt;0,H70&gt;=1),"",IF(AND('Summary Sheet'!$E$23="Yes",H70&lt;&gt;""),H70*'Summary Sheet'!$G$23,""))</f>
        <v/>
      </c>
      <c r="M70" s="154"/>
      <c r="N70" s="155">
        <f>SUM('Pay App 1:Pay App 31'!L70)+SUM('Pay App 1:Pay App 31'!M70)</f>
        <v>0</v>
      </c>
    </row>
    <row r="71" spans="1:17" ht="11.25" customHeight="1" x14ac:dyDescent="0.25">
      <c r="A71" s="152">
        <v>15</v>
      </c>
      <c r="B71" s="175" t="str">
        <f>'Pay App 1'!B71</f>
        <v>02 21 00</v>
      </c>
      <c r="C71" s="180" t="str">
        <f>'Pay App 1'!C71</f>
        <v>Survey/Engineering</v>
      </c>
      <c r="D71" s="155">
        <f>'Pay App 1'!D71</f>
        <v>0</v>
      </c>
      <c r="E71" s="155">
        <f>VLOOKUP(B71,'Graph Data'!$O$2:$BX$88,33,FALSE)</f>
        <v>0</v>
      </c>
      <c r="F71" s="155">
        <f>IFERROR(E71+'Pay App 30'!F71,"")</f>
        <v>0</v>
      </c>
      <c r="G71" s="155">
        <f>SUM('Pay App 1:Pay App 30'!H71)</f>
        <v>0</v>
      </c>
      <c r="H71" s="154"/>
      <c r="I71" s="155">
        <f t="shared" si="0"/>
        <v>0</v>
      </c>
      <c r="J71" s="156">
        <f t="shared" si="1"/>
        <v>0</v>
      </c>
      <c r="K71" s="155">
        <f t="shared" si="2"/>
        <v>0</v>
      </c>
      <c r="L71" s="155" t="str">
        <f>IF(AND('Summary Sheet'!$E$23="No",$H$33&gt;0,H71&gt;=1),"",IF(AND('Summary Sheet'!$E$23="Yes",H71&lt;&gt;""),H71*'Summary Sheet'!$G$23,""))</f>
        <v/>
      </c>
      <c r="M71" s="154"/>
      <c r="N71" s="155">
        <f>SUM('Pay App 1:Pay App 31'!L71)+SUM('Pay App 1:Pay App 31'!M71)</f>
        <v>0</v>
      </c>
      <c r="Q71" s="28"/>
    </row>
    <row r="72" spans="1:17" ht="11.25" customHeight="1" x14ac:dyDescent="0.25">
      <c r="A72" s="152">
        <v>16</v>
      </c>
      <c r="B72" s="175" t="str">
        <f>'Pay App 1'!B72</f>
        <v>02 41 00</v>
      </c>
      <c r="C72" s="180" t="str">
        <f>'Pay App 1'!C72</f>
        <v>Demolition</v>
      </c>
      <c r="D72" s="155">
        <f>'Pay App 1'!D72</f>
        <v>0</v>
      </c>
      <c r="E72" s="155">
        <f>VLOOKUP(B72,'Graph Data'!$O$2:$BX$88,33,FALSE)</f>
        <v>0</v>
      </c>
      <c r="F72" s="155">
        <f>IFERROR(E72+'Pay App 30'!F72,"")</f>
        <v>0</v>
      </c>
      <c r="G72" s="155">
        <f>SUM('Pay App 1:Pay App 30'!H72)</f>
        <v>0</v>
      </c>
      <c r="H72" s="154"/>
      <c r="I72" s="155">
        <f t="shared" si="0"/>
        <v>0</v>
      </c>
      <c r="J72" s="156">
        <f t="shared" si="1"/>
        <v>0</v>
      </c>
      <c r="K72" s="155">
        <f t="shared" si="2"/>
        <v>0</v>
      </c>
      <c r="L72" s="155" t="str">
        <f>IF(AND('Summary Sheet'!$E$23="No",$H$33&gt;0,H72&gt;=1),"",IF(AND('Summary Sheet'!$E$23="Yes",H72&lt;&gt;""),H72*'Summary Sheet'!$G$23,""))</f>
        <v/>
      </c>
      <c r="M72" s="154"/>
      <c r="N72" s="155">
        <f>SUM('Pay App 1:Pay App 31'!L72)+SUM('Pay App 1:Pay App 31'!M72)</f>
        <v>0</v>
      </c>
      <c r="Q72" s="28"/>
    </row>
    <row r="73" spans="1:17" ht="11.25" customHeight="1" x14ac:dyDescent="0.25">
      <c r="A73" s="152">
        <v>17</v>
      </c>
      <c r="B73" s="175" t="str">
        <f>'Pay App 1'!B73</f>
        <v>02 82 00</v>
      </c>
      <c r="C73" s="180" t="str">
        <f>'Pay App 1'!C73</f>
        <v>Asbestos Abatement</v>
      </c>
      <c r="D73" s="155">
        <f>'Pay App 1'!D73</f>
        <v>0</v>
      </c>
      <c r="E73" s="155">
        <f>VLOOKUP(B73,'Graph Data'!$O$2:$BX$88,33,FALSE)</f>
        <v>0</v>
      </c>
      <c r="F73" s="155">
        <f>IFERROR(E73+'Pay App 30'!F73,"")</f>
        <v>0</v>
      </c>
      <c r="G73" s="155">
        <f>SUM('Pay App 1:Pay App 30'!H73)</f>
        <v>0</v>
      </c>
      <c r="H73" s="154"/>
      <c r="I73" s="155">
        <f t="shared" si="0"/>
        <v>0</v>
      </c>
      <c r="J73" s="156">
        <f t="shared" si="1"/>
        <v>0</v>
      </c>
      <c r="K73" s="155">
        <f t="shared" si="2"/>
        <v>0</v>
      </c>
      <c r="L73" s="155" t="str">
        <f>IF(AND('Summary Sheet'!$E$23="No",$H$33&gt;0,H73&gt;=1),"",IF(AND('Summary Sheet'!$E$23="Yes",H73&lt;&gt;""),H73*'Summary Sheet'!$G$23,""))</f>
        <v/>
      </c>
      <c r="M73" s="154"/>
      <c r="N73" s="155">
        <f>SUM('Pay App 1:Pay App 31'!L73)+SUM('Pay App 1:Pay App 31'!M73)</f>
        <v>0</v>
      </c>
    </row>
    <row r="74" spans="1:17" ht="11.25" customHeight="1" x14ac:dyDescent="0.25">
      <c r="A74" s="152">
        <v>18</v>
      </c>
      <c r="B74" s="176" t="str">
        <f>'Pay App 1'!B74</f>
        <v>03 00 00</v>
      </c>
      <c r="C74" s="181" t="str">
        <f>'Pay App 1'!C74</f>
        <v>Building Concrete</v>
      </c>
      <c r="D74" s="155">
        <f>'Pay App 1'!D74</f>
        <v>0</v>
      </c>
      <c r="E74" s="155">
        <f>VLOOKUP(B74,'Graph Data'!$O$2:$BX$88,33,FALSE)</f>
        <v>0</v>
      </c>
      <c r="F74" s="155">
        <f>IFERROR(E74+'Pay App 30'!F74,"")</f>
        <v>0</v>
      </c>
      <c r="G74" s="155">
        <f>SUM('Pay App 1:Pay App 30'!H74)</f>
        <v>0</v>
      </c>
      <c r="H74" s="154"/>
      <c r="I74" s="155">
        <f t="shared" si="0"/>
        <v>0</v>
      </c>
      <c r="J74" s="156">
        <f t="shared" si="1"/>
        <v>0</v>
      </c>
      <c r="K74" s="155">
        <f t="shared" si="2"/>
        <v>0</v>
      </c>
      <c r="L74" s="155" t="str">
        <f>IF(AND('Summary Sheet'!$E$23="No",$H$33&gt;0,H74&gt;=1),"",IF(AND('Summary Sheet'!$E$23="Yes",H74&lt;&gt;""),H74*'Summary Sheet'!$G$23,""))</f>
        <v/>
      </c>
      <c r="M74" s="154"/>
      <c r="N74" s="155">
        <f>SUM('Pay App 1:Pay App 31'!L74)+SUM('Pay App 1:Pay App 31'!M74)</f>
        <v>0</v>
      </c>
    </row>
    <row r="75" spans="1:17" ht="11.25" customHeight="1" x14ac:dyDescent="0.25">
      <c r="A75" s="152">
        <v>19</v>
      </c>
      <c r="B75" s="176" t="str">
        <f>'Pay App 1'!B75</f>
        <v>03 20 00</v>
      </c>
      <c r="C75" s="181" t="str">
        <f>'Pay App 1'!C75</f>
        <v>Building Concrete Reinforcing</v>
      </c>
      <c r="D75" s="155">
        <f>'Pay App 1'!D75</f>
        <v>0</v>
      </c>
      <c r="E75" s="155">
        <f>VLOOKUP(B75,'Graph Data'!$O$2:$BX$88,33,FALSE)</f>
        <v>0</v>
      </c>
      <c r="F75" s="155">
        <f>IFERROR(E75+'Pay App 30'!F75,"")</f>
        <v>0</v>
      </c>
      <c r="G75" s="155">
        <f>SUM('Pay App 1:Pay App 30'!H75)</f>
        <v>0</v>
      </c>
      <c r="H75" s="154"/>
      <c r="I75" s="155">
        <f t="shared" si="0"/>
        <v>0</v>
      </c>
      <c r="J75" s="156">
        <f t="shared" si="1"/>
        <v>0</v>
      </c>
      <c r="K75" s="155">
        <f t="shared" si="2"/>
        <v>0</v>
      </c>
      <c r="L75" s="155" t="str">
        <f>IF(AND('Summary Sheet'!$E$23="No",$H$33&gt;0,H75&gt;=1),"",IF(AND('Summary Sheet'!$E$23="Yes",H75&lt;&gt;""),H75*'Summary Sheet'!$G$23,""))</f>
        <v/>
      </c>
      <c r="M75" s="154"/>
      <c r="N75" s="155">
        <f>SUM('Pay App 1:Pay App 31'!L75)+SUM('Pay App 1:Pay App 31'!M75)</f>
        <v>0</v>
      </c>
    </row>
    <row r="76" spans="1:17" ht="11.25" customHeight="1" x14ac:dyDescent="0.25">
      <c r="A76" s="152">
        <v>20</v>
      </c>
      <c r="B76" s="176" t="str">
        <f>'Pay App 1'!B76</f>
        <v>03 40 00</v>
      </c>
      <c r="C76" s="181" t="str">
        <f>'Pay App 1'!C76</f>
        <v>Precast</v>
      </c>
      <c r="D76" s="155">
        <f>'Pay App 1'!D76</f>
        <v>0</v>
      </c>
      <c r="E76" s="155">
        <f>VLOOKUP(B76,'Graph Data'!$O$2:$BX$88,33,FALSE)</f>
        <v>0</v>
      </c>
      <c r="F76" s="155">
        <f>IFERROR(E76+'Pay App 30'!F76,"")</f>
        <v>0</v>
      </c>
      <c r="G76" s="155">
        <f>SUM('Pay App 1:Pay App 30'!H76)</f>
        <v>0</v>
      </c>
      <c r="H76" s="154"/>
      <c r="I76" s="155">
        <f t="shared" si="0"/>
        <v>0</v>
      </c>
      <c r="J76" s="156">
        <f t="shared" si="1"/>
        <v>0</v>
      </c>
      <c r="K76" s="155">
        <f t="shared" si="2"/>
        <v>0</v>
      </c>
      <c r="L76" s="155" t="str">
        <f>IF(AND('Summary Sheet'!$E$23="No",$H$33&gt;0,H76&gt;=1),"",IF(AND('Summary Sheet'!$E$23="Yes",H76&lt;&gt;""),H76*'Summary Sheet'!$G$23,""))</f>
        <v/>
      </c>
      <c r="M76" s="154"/>
      <c r="N76" s="155">
        <f>SUM('Pay App 1:Pay App 31'!L76)+SUM('Pay App 1:Pay App 31'!M76)</f>
        <v>0</v>
      </c>
    </row>
    <row r="77" spans="1:17" ht="11.25" customHeight="1" x14ac:dyDescent="0.25">
      <c r="A77" s="152">
        <v>21</v>
      </c>
      <c r="B77" s="177" t="str">
        <f>'Pay App 1'!B77</f>
        <v>04 00 00</v>
      </c>
      <c r="C77" s="182" t="str">
        <f>'Pay App 1'!C77</f>
        <v>Masonry</v>
      </c>
      <c r="D77" s="155">
        <f>'Pay App 1'!D77</f>
        <v>0</v>
      </c>
      <c r="E77" s="155">
        <f>VLOOKUP(B77,'Graph Data'!$O$2:$BX$88,33,FALSE)</f>
        <v>0</v>
      </c>
      <c r="F77" s="155">
        <f>IFERROR(E77+'Pay App 30'!F77,"")</f>
        <v>0</v>
      </c>
      <c r="G77" s="155">
        <f>SUM('Pay App 1:Pay App 30'!H77)</f>
        <v>0</v>
      </c>
      <c r="H77" s="154"/>
      <c r="I77" s="155">
        <f t="shared" si="0"/>
        <v>0</v>
      </c>
      <c r="J77" s="156">
        <f t="shared" si="1"/>
        <v>0</v>
      </c>
      <c r="K77" s="155">
        <f t="shared" si="2"/>
        <v>0</v>
      </c>
      <c r="L77" s="155" t="str">
        <f>IF(AND('Summary Sheet'!$E$23="No",$H$33&gt;0,H77&gt;=1),"",IF(AND('Summary Sheet'!$E$23="Yes",H77&lt;&gt;""),H77*'Summary Sheet'!$G$23,""))</f>
        <v/>
      </c>
      <c r="M77" s="154"/>
      <c r="N77" s="155">
        <f>SUM('Pay App 1:Pay App 31'!L77)+SUM('Pay App 1:Pay App 31'!M77)</f>
        <v>0</v>
      </c>
    </row>
    <row r="78" spans="1:17" ht="11.25" customHeight="1" x14ac:dyDescent="0.25">
      <c r="A78" s="152">
        <v>22</v>
      </c>
      <c r="B78" s="177" t="str">
        <f>'Pay App 1'!B78</f>
        <v>04 05 19</v>
      </c>
      <c r="C78" s="182" t="str">
        <f>'Pay App 1'!C78</f>
        <v>Masonry Reinforcing</v>
      </c>
      <c r="D78" s="155">
        <f>'Pay App 1'!D78</f>
        <v>0</v>
      </c>
      <c r="E78" s="155">
        <f>VLOOKUP(B78,'Graph Data'!$O$2:$BX$88,33,FALSE)</f>
        <v>0</v>
      </c>
      <c r="F78" s="155">
        <f>IFERROR(E78+'Pay App 30'!F78,"")</f>
        <v>0</v>
      </c>
      <c r="G78" s="155">
        <f>SUM('Pay App 1:Pay App 30'!H78)</f>
        <v>0</v>
      </c>
      <c r="H78" s="154"/>
      <c r="I78" s="155">
        <f t="shared" si="0"/>
        <v>0</v>
      </c>
      <c r="J78" s="156">
        <f t="shared" si="1"/>
        <v>0</v>
      </c>
      <c r="K78" s="155">
        <f t="shared" si="2"/>
        <v>0</v>
      </c>
      <c r="L78" s="155" t="str">
        <f>IF(AND('Summary Sheet'!$E$23="No",$H$33&gt;0,H78&gt;=1),"",IF(AND('Summary Sheet'!$E$23="Yes",H78&lt;&gt;""),H78*'Summary Sheet'!$G$23,""))</f>
        <v/>
      </c>
      <c r="M78" s="154"/>
      <c r="N78" s="155">
        <f>SUM('Pay App 1:Pay App 31'!L78)+SUM('Pay App 1:Pay App 31'!M78)</f>
        <v>0</v>
      </c>
    </row>
    <row r="79" spans="1:17" ht="11.25" customHeight="1" x14ac:dyDescent="0.25">
      <c r="A79" s="152">
        <v>23</v>
      </c>
      <c r="B79" s="178" t="str">
        <f>'Pay App 1'!B79</f>
        <v>05 10 00</v>
      </c>
      <c r="C79" s="183" t="str">
        <f>'Pay App 1'!C79</f>
        <v>Structural Steel/Misc. Steel Fab</v>
      </c>
      <c r="D79" s="155">
        <f>'Pay App 1'!D79</f>
        <v>0</v>
      </c>
      <c r="E79" s="155">
        <f>VLOOKUP(B79,'Graph Data'!$O$2:$BX$88,33,FALSE)</f>
        <v>0</v>
      </c>
      <c r="F79" s="155">
        <f>IFERROR(E79+'Pay App 30'!F79,"")</f>
        <v>0</v>
      </c>
      <c r="G79" s="155">
        <f>SUM('Pay App 1:Pay App 30'!H79)</f>
        <v>0</v>
      </c>
      <c r="H79" s="154"/>
      <c r="I79" s="155">
        <f t="shared" si="0"/>
        <v>0</v>
      </c>
      <c r="J79" s="156">
        <f t="shared" si="1"/>
        <v>0</v>
      </c>
      <c r="K79" s="155">
        <f t="shared" si="2"/>
        <v>0</v>
      </c>
      <c r="L79" s="155" t="str">
        <f>IF(AND('Summary Sheet'!$E$23="No",$H$33&gt;0,H79&gt;=1),"",IF(AND('Summary Sheet'!$E$23="Yes",H79&lt;&gt;""),H79*'Summary Sheet'!$G$23,""))</f>
        <v/>
      </c>
      <c r="M79" s="154"/>
      <c r="N79" s="155">
        <f>SUM('Pay App 1:Pay App 31'!L79)+SUM('Pay App 1:Pay App 31'!M79)</f>
        <v>0</v>
      </c>
    </row>
    <row r="80" spans="1:17" ht="11.25" customHeight="1" x14ac:dyDescent="0.25">
      <c r="A80" s="152">
        <v>24</v>
      </c>
      <c r="B80" s="178" t="str">
        <f>'Pay App 1'!B80</f>
        <v>05 20 00</v>
      </c>
      <c r="C80" s="183" t="str">
        <f>'Pay App 1'!C80</f>
        <v>Joists &amp; Deck</v>
      </c>
      <c r="D80" s="155">
        <f>'Pay App 1'!D80</f>
        <v>0</v>
      </c>
      <c r="E80" s="155">
        <f>VLOOKUP(B80,'Graph Data'!$O$2:$BX$88,33,FALSE)</f>
        <v>0</v>
      </c>
      <c r="F80" s="155">
        <f>IFERROR(E80+'Pay App 30'!F80,"")</f>
        <v>0</v>
      </c>
      <c r="G80" s="155">
        <f>SUM('Pay App 1:Pay App 30'!H80)</f>
        <v>0</v>
      </c>
      <c r="H80" s="154"/>
      <c r="I80" s="155">
        <f t="shared" si="0"/>
        <v>0</v>
      </c>
      <c r="J80" s="156">
        <f t="shared" si="1"/>
        <v>0</v>
      </c>
      <c r="K80" s="155">
        <f t="shared" si="2"/>
        <v>0</v>
      </c>
      <c r="L80" s="155" t="str">
        <f>IF(AND('Summary Sheet'!$E$23="No",$H$33&gt;0,H80&gt;=1),"",IF(AND('Summary Sheet'!$E$23="Yes",H80&lt;&gt;""),H80*'Summary Sheet'!$G$23,""))</f>
        <v/>
      </c>
      <c r="M80" s="154"/>
      <c r="N80" s="155">
        <f>SUM('Pay App 1:Pay App 31'!L80)+SUM('Pay App 1:Pay App 31'!M80)</f>
        <v>0</v>
      </c>
    </row>
    <row r="81" spans="1:14" ht="11.25" customHeight="1" x14ac:dyDescent="0.25">
      <c r="A81" s="152">
        <v>25</v>
      </c>
      <c r="B81" s="178" t="str">
        <f>'Pay App 1'!B81</f>
        <v>05 70 00</v>
      </c>
      <c r="C81" s="183" t="str">
        <f>'Pay App 1'!C81</f>
        <v>Ornamental Metal</v>
      </c>
      <c r="D81" s="155">
        <f>'Pay App 1'!D81</f>
        <v>0</v>
      </c>
      <c r="E81" s="155">
        <f>VLOOKUP(B81,'Graph Data'!$O$2:$BX$88,33,FALSE)</f>
        <v>0</v>
      </c>
      <c r="F81" s="155">
        <f>IFERROR(E81+'Pay App 30'!F81,"")</f>
        <v>0</v>
      </c>
      <c r="G81" s="155">
        <f>SUM('Pay App 1:Pay App 30'!H81)</f>
        <v>0</v>
      </c>
      <c r="H81" s="154"/>
      <c r="I81" s="155">
        <f t="shared" si="0"/>
        <v>0</v>
      </c>
      <c r="J81" s="156">
        <f t="shared" si="1"/>
        <v>0</v>
      </c>
      <c r="K81" s="155">
        <f t="shared" si="2"/>
        <v>0</v>
      </c>
      <c r="L81" s="155" t="str">
        <f>IF(AND('Summary Sheet'!$E$23="No",$H$33&gt;0,H81&gt;=1),"",IF(AND('Summary Sheet'!$E$23="Yes",H81&lt;&gt;""),H81*'Summary Sheet'!$G$23,""))</f>
        <v/>
      </c>
      <c r="M81" s="154"/>
      <c r="N81" s="155">
        <f>SUM('Pay App 1:Pay App 31'!L81)+SUM('Pay App 1:Pay App 31'!M81)</f>
        <v>0</v>
      </c>
    </row>
    <row r="82" spans="1:14" ht="11.25" customHeight="1" x14ac:dyDescent="0.25">
      <c r="A82" s="152">
        <v>26</v>
      </c>
      <c r="B82" s="145" t="str">
        <f>'Pay App 1'!B82</f>
        <v>06 10 00</v>
      </c>
      <c r="C82" s="134" t="str">
        <f>'Pay App 1'!C82</f>
        <v>Rough Carpentry</v>
      </c>
      <c r="D82" s="155">
        <f>'Pay App 1'!D82</f>
        <v>0</v>
      </c>
      <c r="E82" s="155">
        <f>VLOOKUP(B82,'Graph Data'!$O$2:$BX$88,33,FALSE)</f>
        <v>0</v>
      </c>
      <c r="F82" s="155">
        <f>IFERROR(E82+'Pay App 30'!F82,"")</f>
        <v>0</v>
      </c>
      <c r="G82" s="155">
        <f>SUM('Pay App 1:Pay App 30'!H82)</f>
        <v>0</v>
      </c>
      <c r="H82" s="154"/>
      <c r="I82" s="155">
        <f t="shared" si="0"/>
        <v>0</v>
      </c>
      <c r="J82" s="156">
        <f t="shared" si="1"/>
        <v>0</v>
      </c>
      <c r="K82" s="155">
        <f t="shared" si="2"/>
        <v>0</v>
      </c>
      <c r="L82" s="155" t="str">
        <f>IF(AND('Summary Sheet'!$E$23="No",$H$33&gt;0,H82&gt;=1),"",IF(AND('Summary Sheet'!$E$23="Yes",H82&lt;&gt;""),H82*'Summary Sheet'!$G$23,""))</f>
        <v/>
      </c>
      <c r="M82" s="154"/>
      <c r="N82" s="155">
        <f>SUM('Pay App 1:Pay App 31'!L82)+SUM('Pay App 1:Pay App 31'!M82)</f>
        <v>0</v>
      </c>
    </row>
    <row r="83" spans="1:14" ht="11.25" customHeight="1" x14ac:dyDescent="0.25">
      <c r="A83" s="152">
        <v>27</v>
      </c>
      <c r="B83" s="145" t="str">
        <f>'Pay App 1'!B83</f>
        <v>06 40 00</v>
      </c>
      <c r="C83" s="134" t="str">
        <f>'Pay App 1'!C83</f>
        <v>Arch. Woodwork &amp; Finish Carp.</v>
      </c>
      <c r="D83" s="155">
        <f>'Pay App 1'!D83</f>
        <v>0</v>
      </c>
      <c r="E83" s="155">
        <f>VLOOKUP(B83,'Graph Data'!$O$2:$BX$88,33,FALSE)</f>
        <v>0</v>
      </c>
      <c r="F83" s="155">
        <f>IFERROR(E83+'Pay App 30'!F83,"")</f>
        <v>0</v>
      </c>
      <c r="G83" s="155">
        <f>SUM('Pay App 1:Pay App 30'!H83)</f>
        <v>0</v>
      </c>
      <c r="H83" s="154"/>
      <c r="I83" s="155">
        <f t="shared" si="0"/>
        <v>0</v>
      </c>
      <c r="J83" s="156">
        <f t="shared" si="1"/>
        <v>0</v>
      </c>
      <c r="K83" s="155">
        <f t="shared" si="2"/>
        <v>0</v>
      </c>
      <c r="L83" s="155" t="str">
        <f>IF(AND('Summary Sheet'!$E$23="No",$H$33&gt;0,H83&gt;=1),"",IF(AND('Summary Sheet'!$E$23="Yes",H83&lt;&gt;""),H83*'Summary Sheet'!$G$23,""))</f>
        <v/>
      </c>
      <c r="M83" s="154"/>
      <c r="N83" s="155">
        <f>SUM('Pay App 1:Pay App 31'!L83)+SUM('Pay App 1:Pay App 31'!M83)</f>
        <v>0</v>
      </c>
    </row>
    <row r="84" spans="1:14" ht="11.25" customHeight="1" x14ac:dyDescent="0.25">
      <c r="A84" s="152">
        <v>28</v>
      </c>
      <c r="B84" s="174" t="str">
        <f>'Pay App 1'!B84</f>
        <v>07 10 00</v>
      </c>
      <c r="C84" s="179" t="str">
        <f>'Pay App 1'!C84</f>
        <v>Waterproofing/Water Repellents</v>
      </c>
      <c r="D84" s="155">
        <f>'Pay App 1'!D84</f>
        <v>0</v>
      </c>
      <c r="E84" s="155">
        <f>VLOOKUP(B84,'Graph Data'!$O$2:$BX$88,33,FALSE)</f>
        <v>0</v>
      </c>
      <c r="F84" s="155">
        <f>IFERROR(E84+'Pay App 30'!F84,"")</f>
        <v>0</v>
      </c>
      <c r="G84" s="155">
        <f>SUM('Pay App 1:Pay App 30'!H84)</f>
        <v>0</v>
      </c>
      <c r="H84" s="154"/>
      <c r="I84" s="155">
        <f t="shared" si="0"/>
        <v>0</v>
      </c>
      <c r="J84" s="156">
        <f t="shared" si="1"/>
        <v>0</v>
      </c>
      <c r="K84" s="155">
        <f t="shared" si="2"/>
        <v>0</v>
      </c>
      <c r="L84" s="155" t="str">
        <f>IF(AND('Summary Sheet'!$E$23="No",$H$33&gt;0,H84&gt;=1),"",IF(AND('Summary Sheet'!$E$23="Yes",H84&lt;&gt;""),H84*'Summary Sheet'!$G$23,""))</f>
        <v/>
      </c>
      <c r="M84" s="154"/>
      <c r="N84" s="155">
        <f>SUM('Pay App 1:Pay App 31'!L84)+SUM('Pay App 1:Pay App 31'!M84)</f>
        <v>0</v>
      </c>
    </row>
    <row r="85" spans="1:14" ht="11.25" customHeight="1" x14ac:dyDescent="0.25">
      <c r="A85" s="152">
        <v>29</v>
      </c>
      <c r="B85" s="174" t="str">
        <f>'Pay App 1'!B85</f>
        <v>07 20 00</v>
      </c>
      <c r="C85" s="179" t="str">
        <f>'Pay App 1'!C85</f>
        <v>Insulation</v>
      </c>
      <c r="D85" s="155">
        <f>'Pay App 1'!D85</f>
        <v>0</v>
      </c>
      <c r="E85" s="155">
        <f>VLOOKUP(B85,'Graph Data'!$O$2:$BX$88,33,FALSE)</f>
        <v>0</v>
      </c>
      <c r="F85" s="155">
        <f>IFERROR(E85+'Pay App 30'!F85,"")</f>
        <v>0</v>
      </c>
      <c r="G85" s="155">
        <f>SUM('Pay App 1:Pay App 30'!H85)</f>
        <v>0</v>
      </c>
      <c r="H85" s="154"/>
      <c r="I85" s="155">
        <f t="shared" si="0"/>
        <v>0</v>
      </c>
      <c r="J85" s="156">
        <f t="shared" si="1"/>
        <v>0</v>
      </c>
      <c r="K85" s="155">
        <f t="shared" si="2"/>
        <v>0</v>
      </c>
      <c r="L85" s="155" t="str">
        <f>IF(AND('Summary Sheet'!$E$23="No",$H$33&gt;0,H85&gt;=1),"",IF(AND('Summary Sheet'!$E$23="Yes",H85&lt;&gt;""),H85*'Summary Sheet'!$G$23,""))</f>
        <v/>
      </c>
      <c r="M85" s="154"/>
      <c r="N85" s="155">
        <f>SUM('Pay App 1:Pay App 31'!L85)+SUM('Pay App 1:Pay App 31'!M85)</f>
        <v>0</v>
      </c>
    </row>
    <row r="86" spans="1:14" ht="11.25" customHeight="1" x14ac:dyDescent="0.25">
      <c r="A86" s="152">
        <v>30</v>
      </c>
      <c r="B86" s="174" t="str">
        <f>'Pay App 1'!B86</f>
        <v>07 24 00</v>
      </c>
      <c r="C86" s="179" t="str">
        <f>'Pay App 1'!C86</f>
        <v>EIFS</v>
      </c>
      <c r="D86" s="155">
        <f>'Pay App 1'!D86</f>
        <v>0</v>
      </c>
      <c r="E86" s="155">
        <f>VLOOKUP(B86,'Graph Data'!$O$2:$BX$88,33,FALSE)</f>
        <v>0</v>
      </c>
      <c r="F86" s="155">
        <f>IFERROR(E86+'Pay App 30'!F86,"")</f>
        <v>0</v>
      </c>
      <c r="G86" s="155">
        <f>SUM('Pay App 1:Pay App 30'!H86)</f>
        <v>0</v>
      </c>
      <c r="H86" s="154"/>
      <c r="I86" s="155">
        <f t="shared" si="0"/>
        <v>0</v>
      </c>
      <c r="J86" s="156">
        <f t="shared" si="1"/>
        <v>0</v>
      </c>
      <c r="K86" s="155">
        <f t="shared" si="2"/>
        <v>0</v>
      </c>
      <c r="L86" s="155" t="str">
        <f>IF(AND('Summary Sheet'!$E$23="No",$H$33&gt;0,H86&gt;=1),"",IF(AND('Summary Sheet'!$E$23="Yes",H86&lt;&gt;""),H86*'Summary Sheet'!$G$23,""))</f>
        <v/>
      </c>
      <c r="M86" s="154"/>
      <c r="N86" s="155">
        <f>SUM('Pay App 1:Pay App 31'!L86)+SUM('Pay App 1:Pay App 31'!M86)</f>
        <v>0</v>
      </c>
    </row>
    <row r="87" spans="1:14" ht="11.25" customHeight="1" x14ac:dyDescent="0.25">
      <c r="A87" s="152">
        <v>31</v>
      </c>
      <c r="B87" s="174" t="str">
        <f>'Pay App 1'!B87</f>
        <v>07 26 00</v>
      </c>
      <c r="C87" s="179" t="str">
        <f>'Pay App 1'!C87</f>
        <v>Vapor Retarders</v>
      </c>
      <c r="D87" s="155">
        <f>'Pay App 1'!D87</f>
        <v>0</v>
      </c>
      <c r="E87" s="155">
        <f>VLOOKUP(B87,'Graph Data'!$O$2:$BX$88,33,FALSE)</f>
        <v>0</v>
      </c>
      <c r="F87" s="155">
        <f>IFERROR(E87+'Pay App 30'!F87,"")</f>
        <v>0</v>
      </c>
      <c r="G87" s="155">
        <f>SUM('Pay App 1:Pay App 30'!H87)</f>
        <v>0</v>
      </c>
      <c r="H87" s="154"/>
      <c r="I87" s="155">
        <f t="shared" si="0"/>
        <v>0</v>
      </c>
      <c r="J87" s="156">
        <f t="shared" si="1"/>
        <v>0</v>
      </c>
      <c r="K87" s="155">
        <f t="shared" si="2"/>
        <v>0</v>
      </c>
      <c r="L87" s="155" t="str">
        <f>IF(AND('Summary Sheet'!$E$23="No",$H$33&gt;0,H87&gt;=1),"",IF(AND('Summary Sheet'!$E$23="Yes",H87&lt;&gt;""),H87*'Summary Sheet'!$G$23,""))</f>
        <v/>
      </c>
      <c r="M87" s="154"/>
      <c r="N87" s="155">
        <f>SUM('Pay App 1:Pay App 31'!L87)+SUM('Pay App 1:Pay App 31'!M87)</f>
        <v>0</v>
      </c>
    </row>
    <row r="88" spans="1:14" ht="11.25" customHeight="1" x14ac:dyDescent="0.25">
      <c r="A88" s="152">
        <v>32</v>
      </c>
      <c r="B88" s="174" t="str">
        <f>'Pay App 1'!B88</f>
        <v>07 41 00</v>
      </c>
      <c r="C88" s="179" t="str">
        <f>'Pay App 1'!C88</f>
        <v>Roofing</v>
      </c>
      <c r="D88" s="155">
        <f>'Pay App 1'!D88</f>
        <v>0</v>
      </c>
      <c r="E88" s="155">
        <f>VLOOKUP(B88,'Graph Data'!$O$2:$BX$88,33,FALSE)</f>
        <v>0</v>
      </c>
      <c r="F88" s="155">
        <f>IFERROR(E88+'Pay App 30'!F88,"")</f>
        <v>0</v>
      </c>
      <c r="G88" s="155">
        <f>SUM('Pay App 1:Pay App 30'!H88)</f>
        <v>0</v>
      </c>
      <c r="H88" s="154"/>
      <c r="I88" s="155">
        <f t="shared" si="0"/>
        <v>0</v>
      </c>
      <c r="J88" s="156">
        <f t="shared" si="1"/>
        <v>0</v>
      </c>
      <c r="K88" s="155">
        <f t="shared" si="2"/>
        <v>0</v>
      </c>
      <c r="L88" s="155" t="str">
        <f>IF(AND('Summary Sheet'!$E$23="No",$H$33&gt;0,H88&gt;=1),"",IF(AND('Summary Sheet'!$E$23="Yes",H88&lt;&gt;""),H88*'Summary Sheet'!$G$23,""))</f>
        <v/>
      </c>
      <c r="M88" s="154"/>
      <c r="N88" s="155">
        <f>SUM('Pay App 1:Pay App 31'!L88)+SUM('Pay App 1:Pay App 31'!M88)</f>
        <v>0</v>
      </c>
    </row>
    <row r="89" spans="1:14" ht="11.25" customHeight="1" x14ac:dyDescent="0.25">
      <c r="A89" s="152">
        <v>33</v>
      </c>
      <c r="B89" s="174" t="str">
        <f>'Pay App 1'!B89</f>
        <v>07 42 00</v>
      </c>
      <c r="C89" s="179" t="str">
        <f>'Pay App 1'!C89</f>
        <v>Metal Panels</v>
      </c>
      <c r="D89" s="155">
        <f>'Pay App 1'!D89</f>
        <v>0</v>
      </c>
      <c r="E89" s="155">
        <f>VLOOKUP(B89,'Graph Data'!$O$2:$BX$88,33,FALSE)</f>
        <v>0</v>
      </c>
      <c r="F89" s="155">
        <f>IFERROR(E89+'Pay App 30'!F89,"")</f>
        <v>0</v>
      </c>
      <c r="G89" s="155">
        <f>SUM('Pay App 1:Pay App 30'!H89)</f>
        <v>0</v>
      </c>
      <c r="H89" s="154"/>
      <c r="I89" s="155">
        <f t="shared" si="0"/>
        <v>0</v>
      </c>
      <c r="J89" s="156">
        <f t="shared" si="1"/>
        <v>0</v>
      </c>
      <c r="K89" s="155">
        <f t="shared" si="2"/>
        <v>0</v>
      </c>
      <c r="L89" s="155" t="str">
        <f>IF(AND('Summary Sheet'!$E$23="No",$H$33&gt;0,H89&gt;=1),"",IF(AND('Summary Sheet'!$E$23="Yes",H89&lt;&gt;""),H89*'Summary Sheet'!$G$23,""))</f>
        <v/>
      </c>
      <c r="M89" s="154"/>
      <c r="N89" s="155">
        <f>SUM('Pay App 1:Pay App 31'!L89)+SUM('Pay App 1:Pay App 31'!M89)</f>
        <v>0</v>
      </c>
    </row>
    <row r="90" spans="1:14" ht="11.25" customHeight="1" x14ac:dyDescent="0.25">
      <c r="A90" s="152">
        <v>34</v>
      </c>
      <c r="B90" s="174" t="str">
        <f>'Pay App 1'!B90</f>
        <v>07 60 00</v>
      </c>
      <c r="C90" s="179" t="str">
        <f>'Pay App 1'!C90</f>
        <v>Sheet Metal Flashing &amp; Trim</v>
      </c>
      <c r="D90" s="155">
        <f>'Pay App 1'!D90</f>
        <v>0</v>
      </c>
      <c r="E90" s="155">
        <f>VLOOKUP(B90,'Graph Data'!$O$2:$BX$88,33,FALSE)</f>
        <v>0</v>
      </c>
      <c r="F90" s="155">
        <f>IFERROR(E90+'Pay App 30'!F90,"")</f>
        <v>0</v>
      </c>
      <c r="G90" s="155">
        <f>SUM('Pay App 1:Pay App 30'!H90)</f>
        <v>0</v>
      </c>
      <c r="H90" s="154"/>
      <c r="I90" s="155">
        <f t="shared" si="0"/>
        <v>0</v>
      </c>
      <c r="J90" s="156">
        <f t="shared" si="1"/>
        <v>0</v>
      </c>
      <c r="K90" s="155">
        <f t="shared" si="2"/>
        <v>0</v>
      </c>
      <c r="L90" s="155" t="str">
        <f>IF(AND('Summary Sheet'!$E$23="No",$H$33&gt;0,H90&gt;=1),"",IF(AND('Summary Sheet'!$E$23="Yes",H90&lt;&gt;""),H90*'Summary Sheet'!$G$23,""))</f>
        <v/>
      </c>
      <c r="M90" s="154"/>
      <c r="N90" s="155">
        <f>SUM('Pay App 1:Pay App 31'!L90)+SUM('Pay App 1:Pay App 31'!M90)</f>
        <v>0</v>
      </c>
    </row>
    <row r="91" spans="1:14" ht="11.25" customHeight="1" x14ac:dyDescent="0.25">
      <c r="A91" s="152">
        <v>35</v>
      </c>
      <c r="B91" s="174" t="str">
        <f>'Pay App 1'!B91</f>
        <v>07 80 00</v>
      </c>
      <c r="C91" s="179" t="str">
        <f>'Pay App 1'!C91</f>
        <v>Fireproofing</v>
      </c>
      <c r="D91" s="155">
        <f>'Pay App 1'!D91</f>
        <v>0</v>
      </c>
      <c r="E91" s="155">
        <f>VLOOKUP(B91,'Graph Data'!$O$2:$BX$88,33,FALSE)</f>
        <v>0</v>
      </c>
      <c r="F91" s="155">
        <f>IFERROR(E91+'Pay App 30'!F91,"")</f>
        <v>0</v>
      </c>
      <c r="G91" s="155">
        <f>SUM('Pay App 1:Pay App 30'!H91)</f>
        <v>0</v>
      </c>
      <c r="H91" s="154"/>
      <c r="I91" s="155">
        <f t="shared" si="0"/>
        <v>0</v>
      </c>
      <c r="J91" s="156">
        <f t="shared" si="1"/>
        <v>0</v>
      </c>
      <c r="K91" s="155">
        <f t="shared" si="2"/>
        <v>0</v>
      </c>
      <c r="L91" s="155" t="str">
        <f>IF(AND('Summary Sheet'!$E$23="No",$H$33&gt;0,H91&gt;=1),"",IF(AND('Summary Sheet'!$E$23="Yes",H91&lt;&gt;""),H91*'Summary Sheet'!$G$23,""))</f>
        <v/>
      </c>
      <c r="M91" s="154"/>
      <c r="N91" s="155">
        <f>SUM('Pay App 1:Pay App 31'!L91)+SUM('Pay App 1:Pay App 31'!M91)</f>
        <v>0</v>
      </c>
    </row>
    <row r="92" spans="1:14" ht="11.25" customHeight="1" x14ac:dyDescent="0.25">
      <c r="A92" s="152">
        <v>36</v>
      </c>
      <c r="B92" s="174" t="str">
        <f>'Pay App 1'!B92</f>
        <v>07 90 00</v>
      </c>
      <c r="C92" s="179" t="str">
        <f>'Pay App 1'!C92</f>
        <v>Joint Sealants</v>
      </c>
      <c r="D92" s="155">
        <f>'Pay App 1'!D92</f>
        <v>0</v>
      </c>
      <c r="E92" s="155">
        <f>VLOOKUP(B92,'Graph Data'!$O$2:$BX$88,33,FALSE)</f>
        <v>0</v>
      </c>
      <c r="F92" s="155">
        <f>IFERROR(E92+'Pay App 30'!F92,"")</f>
        <v>0</v>
      </c>
      <c r="G92" s="155">
        <f>SUM('Pay App 1:Pay App 30'!H92)</f>
        <v>0</v>
      </c>
      <c r="H92" s="154"/>
      <c r="I92" s="155">
        <f t="shared" si="0"/>
        <v>0</v>
      </c>
      <c r="J92" s="156">
        <f t="shared" si="1"/>
        <v>0</v>
      </c>
      <c r="K92" s="155">
        <f t="shared" si="2"/>
        <v>0</v>
      </c>
      <c r="L92" s="155" t="str">
        <f>IF(AND('Summary Sheet'!$E$23="No",$H$33&gt;0,H92&gt;=1),"",IF(AND('Summary Sheet'!$E$23="Yes",H92&lt;&gt;""),H92*'Summary Sheet'!$G$23,""))</f>
        <v/>
      </c>
      <c r="M92" s="154"/>
      <c r="N92" s="155">
        <f>SUM('Pay App 1:Pay App 31'!L92)+SUM('Pay App 1:Pay App 31'!M92)</f>
        <v>0</v>
      </c>
    </row>
    <row r="93" spans="1:14" ht="11.25" customHeight="1" x14ac:dyDescent="0.25">
      <c r="A93" s="152">
        <v>37</v>
      </c>
      <c r="B93" s="174" t="str">
        <f>'Pay App 1'!B93</f>
        <v>07 95 00</v>
      </c>
      <c r="C93" s="179" t="str">
        <f>'Pay App 1'!C93</f>
        <v>Expansion Joints</v>
      </c>
      <c r="D93" s="155">
        <f>'Pay App 1'!D93</f>
        <v>0</v>
      </c>
      <c r="E93" s="155">
        <f>VLOOKUP(B93,'Graph Data'!$O$2:$BX$88,33,FALSE)</f>
        <v>0</v>
      </c>
      <c r="F93" s="155">
        <f>IFERROR(E93+'Pay App 30'!F93,"")</f>
        <v>0</v>
      </c>
      <c r="G93" s="155">
        <f>SUM('Pay App 1:Pay App 30'!H93)</f>
        <v>0</v>
      </c>
      <c r="H93" s="154"/>
      <c r="I93" s="155">
        <f t="shared" si="0"/>
        <v>0</v>
      </c>
      <c r="J93" s="156">
        <f t="shared" si="1"/>
        <v>0</v>
      </c>
      <c r="K93" s="155">
        <f t="shared" si="2"/>
        <v>0</v>
      </c>
      <c r="L93" s="155" t="str">
        <f>IF(AND('Summary Sheet'!$E$23="No",$H$33&gt;0,H93&gt;=1),"",IF(AND('Summary Sheet'!$E$23="Yes",H93&lt;&gt;""),H93*'Summary Sheet'!$G$23,""))</f>
        <v/>
      </c>
      <c r="M93" s="154"/>
      <c r="N93" s="155">
        <f>SUM('Pay App 1:Pay App 31'!L93)+SUM('Pay App 1:Pay App 31'!M93)</f>
        <v>0</v>
      </c>
    </row>
    <row r="94" spans="1:14" ht="11.25" customHeight="1" x14ac:dyDescent="0.25">
      <c r="A94" s="152">
        <v>38</v>
      </c>
      <c r="B94" s="175" t="str">
        <f>'Pay App 1'!B94</f>
        <v>08 10 00</v>
      </c>
      <c r="C94" s="180" t="str">
        <f>'Pay App 1'!C94</f>
        <v>Doors, Frames &amp; Hardware</v>
      </c>
      <c r="D94" s="155">
        <f>'Pay App 1'!D94</f>
        <v>0</v>
      </c>
      <c r="E94" s="155">
        <f>VLOOKUP(B94,'Graph Data'!$O$2:$BX$88,33,FALSE)</f>
        <v>0</v>
      </c>
      <c r="F94" s="155">
        <f>IFERROR(E94+'Pay App 30'!F94,"")</f>
        <v>0</v>
      </c>
      <c r="G94" s="155">
        <f>SUM('Pay App 1:Pay App 30'!H94)</f>
        <v>0</v>
      </c>
      <c r="H94" s="154"/>
      <c r="I94" s="155">
        <f t="shared" si="0"/>
        <v>0</v>
      </c>
      <c r="J94" s="156">
        <f t="shared" si="1"/>
        <v>0</v>
      </c>
      <c r="K94" s="155">
        <f t="shared" si="2"/>
        <v>0</v>
      </c>
      <c r="L94" s="155" t="str">
        <f>IF(AND('Summary Sheet'!$E$23="No",$H$33&gt;0,H94&gt;=1),"",IF(AND('Summary Sheet'!$E$23="Yes",H94&lt;&gt;""),H94*'Summary Sheet'!$G$23,""))</f>
        <v/>
      </c>
      <c r="M94" s="154"/>
      <c r="N94" s="155">
        <f>SUM('Pay App 1:Pay App 31'!L94)+SUM('Pay App 1:Pay App 31'!M94)</f>
        <v>0</v>
      </c>
    </row>
    <row r="95" spans="1:14" ht="11.25" customHeight="1" x14ac:dyDescent="0.25">
      <c r="A95" s="152">
        <v>39</v>
      </c>
      <c r="B95" s="175" t="str">
        <f>'Pay App 1'!B95</f>
        <v>08 30 00</v>
      </c>
      <c r="C95" s="180" t="str">
        <f>'Pay App 1'!C95</f>
        <v>Specialty Doors</v>
      </c>
      <c r="D95" s="155">
        <f>'Pay App 1'!D95</f>
        <v>0</v>
      </c>
      <c r="E95" s="155">
        <f>VLOOKUP(B95,'Graph Data'!$O$2:$BX$88,33,FALSE)</f>
        <v>0</v>
      </c>
      <c r="F95" s="155">
        <f>IFERROR(E95+'Pay App 30'!F95,"")</f>
        <v>0</v>
      </c>
      <c r="G95" s="155">
        <f>SUM('Pay App 1:Pay App 30'!H95)</f>
        <v>0</v>
      </c>
      <c r="H95" s="154"/>
      <c r="I95" s="155">
        <f t="shared" si="0"/>
        <v>0</v>
      </c>
      <c r="J95" s="156">
        <f t="shared" si="1"/>
        <v>0</v>
      </c>
      <c r="K95" s="155">
        <f t="shared" si="2"/>
        <v>0</v>
      </c>
      <c r="L95" s="155" t="str">
        <f>IF(AND('Summary Sheet'!$E$23="No",$H$33&gt;0,H95&gt;=1),"",IF(AND('Summary Sheet'!$E$23="Yes",H95&lt;&gt;""),H95*'Summary Sheet'!$G$23,""))</f>
        <v/>
      </c>
      <c r="M95" s="154"/>
      <c r="N95" s="155">
        <f>SUM('Pay App 1:Pay App 31'!L95)+SUM('Pay App 1:Pay App 31'!M95)</f>
        <v>0</v>
      </c>
    </row>
    <row r="96" spans="1:14" ht="11.25" customHeight="1" x14ac:dyDescent="0.25">
      <c r="A96" s="152">
        <v>40</v>
      </c>
      <c r="B96" s="175" t="str">
        <f>'Pay App 1'!B96</f>
        <v>08 33 00</v>
      </c>
      <c r="C96" s="180" t="str">
        <f>'Pay App 1'!C96</f>
        <v>Overhead Doors/Coiling Doors</v>
      </c>
      <c r="D96" s="155">
        <f>'Pay App 1'!D96</f>
        <v>0</v>
      </c>
      <c r="E96" s="155">
        <f>VLOOKUP(B96,'Graph Data'!$O$2:$BX$88,33,FALSE)</f>
        <v>0</v>
      </c>
      <c r="F96" s="155">
        <f>IFERROR(E96+'Pay App 30'!F96,"")</f>
        <v>0</v>
      </c>
      <c r="G96" s="155">
        <f>SUM('Pay App 1:Pay App 30'!H96)</f>
        <v>0</v>
      </c>
      <c r="H96" s="154"/>
      <c r="I96" s="155">
        <f t="shared" si="0"/>
        <v>0</v>
      </c>
      <c r="J96" s="156">
        <f t="shared" si="1"/>
        <v>0</v>
      </c>
      <c r="K96" s="155">
        <f t="shared" si="2"/>
        <v>0</v>
      </c>
      <c r="L96" s="155" t="str">
        <f>IF(AND('Summary Sheet'!$E$23="No",$H$33&gt;0,H96&gt;=1),"",IF(AND('Summary Sheet'!$E$23="Yes",H96&lt;&gt;""),H96*'Summary Sheet'!$G$23,""))</f>
        <v/>
      </c>
      <c r="M96" s="154"/>
      <c r="N96" s="155">
        <f>SUM('Pay App 1:Pay App 31'!L96)+SUM('Pay App 1:Pay App 31'!M96)</f>
        <v>0</v>
      </c>
    </row>
    <row r="97" spans="1:15" ht="11.25" customHeight="1" x14ac:dyDescent="0.25">
      <c r="A97" s="152">
        <v>41</v>
      </c>
      <c r="B97" s="175" t="str">
        <f>'Pay App 1'!B97</f>
        <v>08 40 00</v>
      </c>
      <c r="C97" s="180" t="str">
        <f>'Pay App 1'!C97</f>
        <v>Curtain Wall, Glass &amp; Glazing</v>
      </c>
      <c r="D97" s="155">
        <f>'Pay App 1'!D97</f>
        <v>0</v>
      </c>
      <c r="E97" s="155">
        <f>VLOOKUP(B97,'Graph Data'!$O$2:$BX$88,33,FALSE)</f>
        <v>0</v>
      </c>
      <c r="F97" s="155">
        <f>IFERROR(E97+'Pay App 30'!F97,"")</f>
        <v>0</v>
      </c>
      <c r="G97" s="155">
        <f>SUM('Pay App 1:Pay App 30'!H97)</f>
        <v>0</v>
      </c>
      <c r="H97" s="154"/>
      <c r="I97" s="155">
        <f t="shared" si="0"/>
        <v>0</v>
      </c>
      <c r="J97" s="156">
        <f t="shared" si="1"/>
        <v>0</v>
      </c>
      <c r="K97" s="155">
        <f t="shared" si="2"/>
        <v>0</v>
      </c>
      <c r="L97" s="155" t="str">
        <f>IF(AND('Summary Sheet'!$E$23="No",$H$33&gt;0,H97&gt;=1),"",IF(AND('Summary Sheet'!$E$23="Yes",H97&lt;&gt;""),H97*'Summary Sheet'!$G$23,""))</f>
        <v/>
      </c>
      <c r="M97" s="154"/>
      <c r="N97" s="155">
        <f>SUM('Pay App 1:Pay App 31'!L97)+SUM('Pay App 1:Pay App 31'!M97)</f>
        <v>0</v>
      </c>
    </row>
    <row r="98" spans="1:15" ht="10.9" customHeight="1" x14ac:dyDescent="0.25">
      <c r="A98" s="152">
        <v>42</v>
      </c>
      <c r="B98" s="175" t="str">
        <f>'Pay App 1'!B98</f>
        <v>08 60 00</v>
      </c>
      <c r="C98" s="180" t="str">
        <f>'Pay App 1'!C98</f>
        <v>Skylights</v>
      </c>
      <c r="D98" s="155">
        <f>'Pay App 1'!D98</f>
        <v>0</v>
      </c>
      <c r="E98" s="155">
        <f>VLOOKUP(B98,'Graph Data'!$O$2:$BX$88,33,FALSE)</f>
        <v>0</v>
      </c>
      <c r="F98" s="155">
        <f>IFERROR(E98+'Pay App 30'!F98,"")</f>
        <v>0</v>
      </c>
      <c r="G98" s="155">
        <f>SUM('Pay App 1:Pay App 30'!H98)</f>
        <v>0</v>
      </c>
      <c r="H98" s="154"/>
      <c r="I98" s="155">
        <f t="shared" si="0"/>
        <v>0</v>
      </c>
      <c r="J98" s="156">
        <f t="shared" si="1"/>
        <v>0</v>
      </c>
      <c r="K98" s="155">
        <f t="shared" si="2"/>
        <v>0</v>
      </c>
      <c r="L98" s="155" t="str">
        <f>IF(AND('Summary Sheet'!$E$23="No",$H$33&gt;0,H98&gt;=1),"",IF(AND('Summary Sheet'!$E$23="Yes",H98&lt;&gt;""),H98*'Summary Sheet'!$G$23,""))</f>
        <v/>
      </c>
      <c r="M98" s="154"/>
      <c r="N98" s="155">
        <f>SUM('Pay App 1:Pay App 31'!L98)+SUM('Pay App 1:Pay App 31'!M98)</f>
        <v>0</v>
      </c>
    </row>
    <row r="99" spans="1:15" ht="10.9" customHeight="1" x14ac:dyDescent="0.25">
      <c r="A99" s="152">
        <v>43</v>
      </c>
      <c r="B99" s="175" t="str">
        <f>'Pay App 1'!B99</f>
        <v>08 90 00</v>
      </c>
      <c r="C99" s="180" t="str">
        <f>'Pay App 1'!C99</f>
        <v>Louvers &amp; Vents</v>
      </c>
      <c r="D99" s="155">
        <f>'Pay App 1'!D99</f>
        <v>0</v>
      </c>
      <c r="E99" s="155">
        <f>VLOOKUP(B99,'Graph Data'!$O$2:$BX$88,33,FALSE)</f>
        <v>0</v>
      </c>
      <c r="F99" s="155">
        <f>IFERROR(E99+'Pay App 30'!F99,"")</f>
        <v>0</v>
      </c>
      <c r="G99" s="155">
        <f>SUM('Pay App 1:Pay App 30'!H99)</f>
        <v>0</v>
      </c>
      <c r="H99" s="154"/>
      <c r="I99" s="155">
        <f t="shared" si="0"/>
        <v>0</v>
      </c>
      <c r="J99" s="156">
        <f t="shared" si="1"/>
        <v>0</v>
      </c>
      <c r="K99" s="155">
        <f t="shared" si="2"/>
        <v>0</v>
      </c>
      <c r="L99" s="155" t="str">
        <f>IF(AND('Summary Sheet'!$E$23="No",$H$33&gt;0,H99&gt;=1),"",IF(AND('Summary Sheet'!$E$23="Yes",H99&lt;&gt;""),H99*'Summary Sheet'!$G$23,""))</f>
        <v/>
      </c>
      <c r="M99" s="154"/>
      <c r="N99" s="155">
        <f>SUM('Pay App 1:Pay App 31'!L99)+SUM('Pay App 1:Pay App 31'!M99)</f>
        <v>0</v>
      </c>
    </row>
    <row r="100" spans="1:15" ht="11.25" customHeight="1" x14ac:dyDescent="0.25">
      <c r="A100" s="153">
        <v>44</v>
      </c>
      <c r="B100" s="176" t="str">
        <f>'Pay App 1'!B100</f>
        <v>09 20 00</v>
      </c>
      <c r="C100" s="181" t="str">
        <f>'Pay App 1'!C100</f>
        <v>Gypsum Board Systems</v>
      </c>
      <c r="D100" s="155">
        <f>'Pay App 1'!D100</f>
        <v>0</v>
      </c>
      <c r="E100" s="155">
        <f>VLOOKUP(B100,'Graph Data'!$O$2:$BX$88,33,FALSE)</f>
        <v>0</v>
      </c>
      <c r="F100" s="155">
        <f>IFERROR(E100+'Pay App 30'!F100,"")</f>
        <v>0</v>
      </c>
      <c r="G100" s="155">
        <f>SUM('Pay App 1:Pay App 30'!H100)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31'!L100)+SUM('Pay App 1:Pay App 31'!M100)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Data'!$O$2:$BX$88,33,FALSE)</f>
        <v>0</v>
      </c>
      <c r="F106" s="155">
        <f>IFERROR(E106+'Pay App 30'!F106,"")</f>
        <v>0</v>
      </c>
      <c r="G106" s="155">
        <f>SUM('Pay App 1:Pay App 30'!H106)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31'!L106)+SUM('Pay App 1:Pay App 31'!M106)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Data'!$O$2:$BX$88,33,FALSE)</f>
        <v>0</v>
      </c>
      <c r="F107" s="155">
        <f>IFERROR(E107+'Pay App 30'!F107,"")</f>
        <v>0</v>
      </c>
      <c r="G107" s="155">
        <f>SUM('Pay App 1:Pay App 30'!H107)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31'!L107)+SUM('Pay App 1:Pay App 31'!M107)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Data'!$O$2:$BX$88,33,FALSE)</f>
        <v>0</v>
      </c>
      <c r="F108" s="155">
        <f>IFERROR(E108+'Pay App 30'!F108,"")</f>
        <v>0</v>
      </c>
      <c r="G108" s="155">
        <f>SUM('Pay App 1:Pay App 30'!H108)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31'!L108)+SUM('Pay App 1:Pay App 31'!M108)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Data'!$O$2:$BX$88,33,FALSE)</f>
        <v>0</v>
      </c>
      <c r="F109" s="155">
        <f>IFERROR(E109+'Pay App 30'!F109,"")</f>
        <v>0</v>
      </c>
      <c r="G109" s="155">
        <f>SUM('Pay App 1:Pay App 30'!H109)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31'!L109)+SUM('Pay App 1:Pay App 31'!M109)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Data'!$O$2:$BX$88,33,FALSE)</f>
        <v>0</v>
      </c>
      <c r="F110" s="155">
        <f>IFERROR(E110+'Pay App 30'!F110,"")</f>
        <v>0</v>
      </c>
      <c r="G110" s="155">
        <f>SUM('Pay App 1:Pay App 30'!H110)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31'!L110)+SUM('Pay App 1:Pay App 31'!M110)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Data'!$O$2:$BX$88,33,FALSE)</f>
        <v>0</v>
      </c>
      <c r="F111" s="155">
        <f>IFERROR(E111+'Pay App 30'!F111,"")</f>
        <v>0</v>
      </c>
      <c r="G111" s="155">
        <f>SUM('Pay App 1:Pay App 30'!H111)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31'!L111)+SUM('Pay App 1:Pay App 31'!M111)</f>
        <v>0</v>
      </c>
    </row>
    <row r="112" spans="1:15" ht="11.25" customHeight="1" x14ac:dyDescent="0.25">
      <c r="A112" s="152">
        <f t="shared" si="3"/>
        <v>51</v>
      </c>
      <c r="B112" s="148" t="str">
        <f>'Pay App 1'!B112</f>
        <v>09 90 00</v>
      </c>
      <c r="C112" s="143" t="str">
        <f>'Pay App 1'!C112</f>
        <v>Painting</v>
      </c>
      <c r="D112" s="155">
        <f>'Pay App 1'!D112</f>
        <v>0</v>
      </c>
      <c r="E112" s="155">
        <f>VLOOKUP(B112,'Graph Data'!$O$2:$BX$88,33,FALSE)</f>
        <v>0</v>
      </c>
      <c r="F112" s="155">
        <f>IFERROR(E112+'Pay App 30'!F112,"")</f>
        <v>0</v>
      </c>
      <c r="G112" s="155">
        <f>SUM('Pay App 1:Pay App 30'!H112)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31'!L112)+SUM('Pay App 1:Pay App 31'!M112)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Data'!$O$2:$BX$88,33,FALSE)</f>
        <v>0</v>
      </c>
      <c r="F113" s="155">
        <f>IFERROR(E113+'Pay App 30'!F113,"")</f>
        <v>0</v>
      </c>
      <c r="G113" s="155">
        <f>SUM('Pay App 1:Pay App 30'!H113)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31'!L113)+SUM('Pay App 1:Pay App 31'!M113)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Data'!$O$2:$BX$88,33,FALSE)</f>
        <v>0</v>
      </c>
      <c r="F114" s="155">
        <f>IFERROR(E114+'Pay App 30'!F114,"")</f>
        <v>0</v>
      </c>
      <c r="G114" s="155">
        <f>SUM('Pay App 1:Pay App 30'!H114)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31'!L114)+SUM('Pay App 1:Pay App 31'!M114)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Data'!$O$2:$BX$88,33,FALSE)</f>
        <v>0</v>
      </c>
      <c r="F115" s="155">
        <f>IFERROR(E115+'Pay App 30'!F115,"")</f>
        <v>0</v>
      </c>
      <c r="G115" s="155">
        <f>SUM('Pay App 1:Pay App 30'!H115)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31'!L115)+SUM('Pay App 1:Pay App 31'!M115)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Data'!$O$2:$BX$88,33,FALSE)</f>
        <v>0</v>
      </c>
      <c r="F116" s="155">
        <f>IFERROR(E116+'Pay App 30'!F116,"")</f>
        <v>0</v>
      </c>
      <c r="G116" s="155">
        <f>SUM('Pay App 1:Pay App 30'!H116)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31'!L116)+SUM('Pay App 1:Pay App 31'!M116)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Data'!$O$2:$BX$88,33,FALSE)</f>
        <v>0</v>
      </c>
      <c r="F117" s="155">
        <f>IFERROR(E117+'Pay App 30'!F117,"")</f>
        <v>0</v>
      </c>
      <c r="G117" s="155">
        <f>SUM('Pay App 1:Pay App 30'!H117)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31'!L117)+SUM('Pay App 1:Pay App 31'!M117)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Data'!$O$2:$BX$88,33,FALSE)</f>
        <v>0</v>
      </c>
      <c r="F118" s="155">
        <f>IFERROR(E118+'Pay App 30'!F118,"")</f>
        <v>0</v>
      </c>
      <c r="G118" s="155">
        <f>SUM('Pay App 1:Pay App 30'!H118)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31'!L118)+SUM('Pay App 1:Pay App 31'!M118)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Data'!$O$2:$BX$88,33,FALSE)</f>
        <v>0</v>
      </c>
      <c r="F119" s="155">
        <f>IFERROR(E119+'Pay App 30'!F119,"")</f>
        <v>0</v>
      </c>
      <c r="G119" s="155">
        <f>SUM('Pay App 1:Pay App 30'!H119)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31'!L119)+SUM('Pay App 1:Pay App 31'!M119)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Data'!$O$2:$BX$88,33,FALSE)</f>
        <v>0</v>
      </c>
      <c r="F120" s="155">
        <f>IFERROR(E120+'Pay App 30'!F120,"")</f>
        <v>0</v>
      </c>
      <c r="G120" s="155">
        <f>SUM('Pay App 1:Pay App 30'!H120)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31'!L120)+SUM('Pay App 1:Pay App 31'!M120)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Data'!$O$2:$BX$88,33,FALSE)</f>
        <v>0</v>
      </c>
      <c r="F121" s="155">
        <f>IFERROR(E121+'Pay App 30'!F121,"")</f>
        <v>0</v>
      </c>
      <c r="G121" s="155">
        <f>SUM('Pay App 1:Pay App 30'!H121)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31'!L121)+SUM('Pay App 1:Pay App 31'!M121)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Data'!$O$2:$BX$88,33,FALSE)</f>
        <v>0</v>
      </c>
      <c r="F122" s="155">
        <f>IFERROR(E122+'Pay App 30'!F122,"")</f>
        <v>0</v>
      </c>
      <c r="G122" s="155">
        <f>SUM('Pay App 1:Pay App 30'!H122)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31'!L122)+SUM('Pay App 1:Pay App 31'!M122)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Data'!$O$2:$BX$88,33,FALSE)</f>
        <v>0</v>
      </c>
      <c r="F123" s="155">
        <f>IFERROR(E123+'Pay App 30'!F123,"")</f>
        <v>0</v>
      </c>
      <c r="G123" s="155">
        <f>SUM('Pay App 1:Pay App 30'!H123)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31'!L123)+SUM('Pay App 1:Pay App 31'!M123)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Data'!$O$2:$BX$88,33,FALSE)</f>
        <v>0</v>
      </c>
      <c r="F124" s="155">
        <f>IFERROR(E124+'Pay App 30'!F124,"")</f>
        <v>0</v>
      </c>
      <c r="G124" s="155">
        <f>SUM('Pay App 1:Pay App 30'!H124)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31'!L124)+SUM('Pay App 1:Pay App 31'!M124)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Data'!$O$2:$BX$88,33,FALSE)</f>
        <v>0</v>
      </c>
      <c r="F125" s="155">
        <f>IFERROR(E125+'Pay App 30'!F125,"")</f>
        <v>0</v>
      </c>
      <c r="G125" s="155">
        <f>SUM('Pay App 1:Pay App 30'!H125)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31'!L125)+SUM('Pay App 1:Pay App 31'!M125)</f>
        <v>0</v>
      </c>
    </row>
    <row r="126" spans="1:14" ht="11.25" customHeight="1" x14ac:dyDescent="0.25">
      <c r="A126" s="152">
        <f t="shared" si="3"/>
        <v>65</v>
      </c>
      <c r="B126" s="188" t="str">
        <f>'Pay App 1'!B126</f>
        <v>14 20 00</v>
      </c>
      <c r="C126" s="194" t="str">
        <f>'Pay App 1'!C126</f>
        <v>Elevator</v>
      </c>
      <c r="D126" s="155">
        <f>'Pay App 1'!D126</f>
        <v>0</v>
      </c>
      <c r="E126" s="155">
        <f>VLOOKUP(B126,'Graph Data'!$O$2:$BX$88,33,FALSE)</f>
        <v>0</v>
      </c>
      <c r="F126" s="155">
        <f>IFERROR(E126+'Pay App 30'!F126,"")</f>
        <v>0</v>
      </c>
      <c r="G126" s="155">
        <f>SUM('Pay App 1:Pay App 30'!H126)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31'!L126)+SUM('Pay App 1:Pay App 31'!M126)</f>
        <v>0</v>
      </c>
    </row>
    <row r="127" spans="1:14" ht="11.25" customHeight="1" x14ac:dyDescent="0.25">
      <c r="A127" s="152">
        <f t="shared" si="3"/>
        <v>66</v>
      </c>
      <c r="B127" s="188" t="str">
        <f>'Pay App 1'!B127</f>
        <v>14 40 00</v>
      </c>
      <c r="C127" s="194" t="str">
        <f>'Pay App 1'!C127</f>
        <v>Lifts</v>
      </c>
      <c r="D127" s="155">
        <f>'Pay App 1'!D127</f>
        <v>0</v>
      </c>
      <c r="E127" s="155">
        <f>VLOOKUP(B127,'Graph Data'!$O$2:$BX$88,33,FALSE)</f>
        <v>0</v>
      </c>
      <c r="F127" s="155">
        <f>IFERROR(E127+'Pay App 30'!F127,"")</f>
        <v>0</v>
      </c>
      <c r="G127" s="155">
        <f>SUM('Pay App 1:Pay App 30'!H127)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31'!L127)+SUM('Pay App 1:Pay App 31'!M127)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Data'!$O$2:$BX$88,33,FALSE)</f>
        <v>0</v>
      </c>
      <c r="F128" s="155">
        <f>IFERROR(E128+'Pay App 30'!F128,"")</f>
        <v>0</v>
      </c>
      <c r="G128" s="155">
        <f>SUM('Pay App 1:Pay App 30'!H128)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31'!L128)+SUM('Pay App 1:Pay App 31'!M128)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Data'!$O$2:$BX$88,33,FALSE)</f>
        <v>0</v>
      </c>
      <c r="F129" s="155">
        <f>IFERROR(E129+'Pay App 30'!F129,"")</f>
        <v>0</v>
      </c>
      <c r="G129" s="155">
        <f>SUM('Pay App 1:Pay App 30'!H129)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31'!L129)+SUM('Pay App 1:Pay App 31'!M129)</f>
        <v>0</v>
      </c>
    </row>
    <row r="130" spans="1:14" ht="11.25" customHeight="1" x14ac:dyDescent="0.25">
      <c r="A130" s="152">
        <f t="shared" si="3"/>
        <v>69</v>
      </c>
      <c r="B130" s="185" t="str">
        <f>'Pay App 1'!B130</f>
        <v>22 00 00</v>
      </c>
      <c r="C130" s="191" t="str">
        <f>'Pay App 1'!C130</f>
        <v>Plumbing</v>
      </c>
      <c r="D130" s="155">
        <f>'Pay App 1'!D130</f>
        <v>0</v>
      </c>
      <c r="E130" s="155">
        <f>VLOOKUP(B130,'Graph Data'!$O$2:$BX$88,33,FALSE)</f>
        <v>0</v>
      </c>
      <c r="F130" s="155">
        <f>IFERROR(E130+'Pay App 30'!F130,"")</f>
        <v>0</v>
      </c>
      <c r="G130" s="155">
        <f>SUM('Pay App 1:Pay App 30'!H130)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31'!L130)+SUM('Pay App 1:Pay App 31'!M130)</f>
        <v>0</v>
      </c>
    </row>
    <row r="131" spans="1:14" ht="11.25" customHeight="1" x14ac:dyDescent="0.25">
      <c r="A131" s="152">
        <f t="shared" si="3"/>
        <v>70</v>
      </c>
      <c r="B131" s="186" t="str">
        <f>'Pay App 1'!B131</f>
        <v>23 00 00</v>
      </c>
      <c r="C131" s="192" t="str">
        <f>'Pay App 1'!C131</f>
        <v>HVAC</v>
      </c>
      <c r="D131" s="155">
        <f>'Pay App 1'!D131</f>
        <v>0</v>
      </c>
      <c r="E131" s="155">
        <f>VLOOKUP(B131,'Graph Data'!$O$2:$BX$88,33,FALSE)</f>
        <v>0</v>
      </c>
      <c r="F131" s="155">
        <f>IFERROR(E131+'Pay App 30'!F131,"")</f>
        <v>0</v>
      </c>
      <c r="G131" s="155">
        <f>SUM('Pay App 1:Pay App 30'!H131)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31'!L131)+SUM('Pay App 1:Pay App 31'!M131)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Data'!$O$2:$BX$88,33,FALSE)</f>
        <v>0</v>
      </c>
      <c r="F132" s="155">
        <f>IFERROR(E132+'Pay App 30'!F132,"")</f>
        <v>0</v>
      </c>
      <c r="G132" s="155">
        <f>SUM('Pay App 1:Pay App 30'!H132)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31'!L132)+SUM('Pay App 1:Pay App 31'!M132)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Data'!$O$2:$BX$88,33,FALSE)</f>
        <v>0</v>
      </c>
      <c r="F133" s="155">
        <f>IFERROR(E133+'Pay App 30'!F133,"")</f>
        <v>0</v>
      </c>
      <c r="G133" s="155">
        <f>SUM('Pay App 1:Pay App 30'!H133)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31'!L133)+SUM('Pay App 1:Pay App 31'!M133)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Data'!$O$2:$BX$88,33,FALSE)</f>
        <v>0</v>
      </c>
      <c r="F134" s="155">
        <f>IFERROR(E134+'Pay App 30'!F134,"")</f>
        <v>0</v>
      </c>
      <c r="G134" s="155">
        <f>SUM('Pay App 1:Pay App 30'!H134)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31'!L134)+SUM('Pay App 1:Pay App 31'!M134)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Data'!$O$2:$BX$88,33,FALSE)</f>
        <v>0</v>
      </c>
      <c r="F135" s="155">
        <f>IFERROR(E135+'Pay App 30'!F135,"")</f>
        <v>0</v>
      </c>
      <c r="G135" s="155">
        <f>SUM('Pay App 1:Pay App 30'!H135)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31'!L135)+SUM('Pay App 1:Pay App 31'!M135)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Data'!$O$2:$BX$88,33,FALSE)</f>
        <v>0</v>
      </c>
      <c r="F136" s="155">
        <f>IFERROR(E136+'Pay App 30'!F136,"")</f>
        <v>0</v>
      </c>
      <c r="G136" s="155">
        <f>SUM('Pay App 1:Pay App 30'!H136)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31'!L136)+SUM('Pay App 1:Pay App 31'!M136)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Data'!$O$2:$BX$88,33,FALSE)</f>
        <v>0</v>
      </c>
      <c r="F137" s="155">
        <f>IFERROR(E137+'Pay App 30'!F137,"")</f>
        <v>0</v>
      </c>
      <c r="G137" s="155">
        <f>SUM('Pay App 1:Pay App 30'!H137)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31'!L137)+SUM('Pay App 1:Pay App 31'!M137)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Data'!$O$2:$BX$88,33,FALSE)</f>
        <v>0</v>
      </c>
      <c r="F138" s="155">
        <f>IFERROR(E138+'Pay App 30'!F138,"")</f>
        <v>0</v>
      </c>
      <c r="G138" s="155">
        <f>SUM('Pay App 1:Pay App 30'!H138)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31'!L138)+SUM('Pay App 1:Pay App 31'!M138)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Data'!$O$2:$BX$88,33,FALSE)</f>
        <v>0</v>
      </c>
      <c r="F139" s="155">
        <f>IFERROR(E139+'Pay App 30'!F139,"")</f>
        <v>0</v>
      </c>
      <c r="G139" s="155">
        <f>SUM('Pay App 1:Pay App 30'!H139)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31'!L139)+SUM('Pay App 1:Pay App 31'!M139)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Data'!$O$2:$BX$88,33,FALSE)</f>
        <v>0</v>
      </c>
      <c r="F140" s="155">
        <f>IFERROR(E140+'Pay App 30'!F140,"")</f>
        <v>0</v>
      </c>
      <c r="G140" s="155">
        <f>SUM('Pay App 1:Pay App 30'!H140)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31'!L140)+SUM('Pay App 1:Pay App 31'!M140)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Data'!$O$2:$BX$88,33,FALSE)</f>
        <v>0</v>
      </c>
      <c r="F141" s="155">
        <f>IFERROR(E141+'Pay App 30'!F141,"")</f>
        <v>0</v>
      </c>
      <c r="G141" s="155">
        <f>SUM('Pay App 1:Pay App 30'!H141)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31'!L141)+SUM('Pay App 1:Pay App 31'!M141)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Data'!$O$2:$BX$88,33,FALSE)</f>
        <v>0</v>
      </c>
      <c r="F142" s="155">
        <f>IFERROR(E142+'Pay App 30'!F142,"")</f>
        <v>0</v>
      </c>
      <c r="G142" s="155">
        <f>SUM('Pay App 1:Pay App 30'!H142)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31'!L142)+SUM('Pay App 1:Pay App 31'!M142)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Data'!$O$2:$BX$88,33,FALSE)</f>
        <v>0</v>
      </c>
      <c r="F143" s="155">
        <f>IFERROR(E143+'Pay App 30'!F143,"")</f>
        <v>0</v>
      </c>
      <c r="G143" s="155">
        <f>SUM('Pay App 1:Pay App 30'!H143)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31'!L143)+SUM('Pay App 1:Pay App 31'!M143)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Data'!$O$2:$BX$88,33,FALSE)</f>
        <v>0</v>
      </c>
      <c r="F144" s="155">
        <f>IFERROR(E144+'Pay App 30'!F144,"")</f>
        <v>0</v>
      </c>
      <c r="G144" s="155">
        <f>SUM('Pay App 1:Pay App 30'!H144)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31'!L144)+SUM('Pay App 1:Pay App 31'!M144)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Data'!$O$2:$BX$88,33,FALSE)</f>
        <v>0</v>
      </c>
      <c r="F145" s="155">
        <f>IFERROR(E145+'Pay App 30'!F145,"")</f>
        <v>0</v>
      </c>
      <c r="G145" s="155">
        <f>SUM('Pay App 1:Pay App 30'!H145)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31'!L145)+SUM('Pay App 1:Pay App 31'!M145)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Data'!$O$2:$BX$88,33,FALSE)</f>
        <v>0</v>
      </c>
      <c r="F146" s="155">
        <f>IFERROR(E146+'Pay App 30'!F146,"")</f>
        <v>0</v>
      </c>
      <c r="G146" s="155">
        <f>SUM('Pay App 1:Pay App 30'!H146)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31'!L146)+SUM('Pay App 1:Pay App 31'!M146)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Data'!$O$2:$BX$88,33,FALSE)</f>
        <v>0</v>
      </c>
      <c r="F147" s="155">
        <f>IFERROR(E147+'Pay App 30'!F147,"")</f>
        <v>0</v>
      </c>
      <c r="G147" s="155">
        <f>SUM('Pay App 1:Pay App 30'!H147)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31'!L147)+SUM('Pay App 1:Pay App 31'!M147)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Data'!$O$2:$BX$88,33,FALSE)</f>
        <v>0</v>
      </c>
      <c r="F148" s="155">
        <f>IFERROR(E148+'Pay App 30'!F148,"")</f>
        <v>0</v>
      </c>
      <c r="G148" s="155">
        <f>SUM('Pay App 1:Pay App 30'!H148)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31'!L148)+SUM('Pay App 1:Pay App 31'!M148)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nfvUwkV2uMUz+lv5wnsiNpj797uqd9ygWlbS/MYFaA7RJWPJuFh2VYCqLMEh59OF3B+z0DoIlTmlVSVESJjV0A==" saltValue="TOlzh2vde9/bvPFIUro6t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29" priority="2" operator="equal">
      <formula>0</formula>
    </cfRule>
  </conditionalFormatting>
  <conditionalFormatting sqref="D106:G148">
    <cfRule type="cellIs" dxfId="328" priority="1" operator="equal">
      <formula>0</formula>
    </cfRule>
  </conditionalFormatting>
  <conditionalFormatting sqref="D10:H10 D12:H14 D19:H21">
    <cfRule type="cellIs" dxfId="327" priority="6" operator="equal">
      <formula>0</formula>
    </cfRule>
  </conditionalFormatting>
  <conditionalFormatting sqref="H51">
    <cfRule type="cellIs" dxfId="326" priority="9" operator="lessThan">
      <formula>0</formula>
    </cfRule>
  </conditionalFormatting>
  <conditionalFormatting sqref="I57:I100 K57:K100 I106:I148 K106:K148 N106:N148">
    <cfRule type="cellIs" dxfId="325" priority="14" operator="equal">
      <formula>0</formula>
    </cfRule>
  </conditionalFormatting>
  <conditionalFormatting sqref="J57:J100 J106:J149">
    <cfRule type="cellIs" dxfId="324" priority="11" operator="greaterThan">
      <formula>1</formula>
    </cfRule>
    <cfRule type="cellIs" dxfId="323" priority="12" operator="equal">
      <formula>0</formula>
    </cfRule>
  </conditionalFormatting>
  <conditionalFormatting sqref="K57:K100 K106:K148">
    <cfRule type="cellIs" dxfId="322" priority="10" operator="lessThan">
      <formula>0</formula>
    </cfRule>
  </conditionalFormatting>
  <conditionalFormatting sqref="M57:M100">
    <cfRule type="cellIs" dxfId="321" priority="13" operator="lessThan">
      <formula>0</formula>
    </cfRule>
  </conditionalFormatting>
  <conditionalFormatting sqref="M106:M148">
    <cfRule type="cellIs" dxfId="320" priority="8" operator="lessThan">
      <formula>0</formula>
    </cfRule>
  </conditionalFormatting>
  <conditionalFormatting sqref="N57:N100">
    <cfRule type="cellIs" dxfId="319"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D681AB7E-DA14-43DC-93BD-7D2E67E59F2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B8F4E-1EE3-4F98-BA6A-36A838365E97}">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Data'!$O$2:$BX$88,34,FALSE)</f>
        <v>0</v>
      </c>
      <c r="F57" s="155">
        <f>IFERROR(E57+'Pay App 31'!F57,"")</f>
        <v>0</v>
      </c>
      <c r="G57" s="155">
        <f>SUM('Pay App 1:Pay App 31'!H57)</f>
        <v>0</v>
      </c>
      <c r="H57" s="154"/>
      <c r="I57" s="155">
        <f>G57+H57</f>
        <v>0</v>
      </c>
      <c r="J57" s="156">
        <f>IFERROR(I57/F57,0)</f>
        <v>0</v>
      </c>
      <c r="K57" s="155">
        <f>IFERROR(F57-I57,"")</f>
        <v>0</v>
      </c>
      <c r="L57" s="155" t="str">
        <f>IF(AND('Summary Sheet'!$E$23="No",$H$33&gt;0,H57&gt;=1),"",IF(AND('Summary Sheet'!$E$23="Yes",H57&lt;&gt;""),H57*'Summary Sheet'!$G$23,""))</f>
        <v/>
      </c>
      <c r="M57" s="154"/>
      <c r="N57" s="155">
        <f>SUM('Pay App 1:Pay App 32'!L57)+SUM('Pay App 1:Pay App 32'!M57)</f>
        <v>0</v>
      </c>
    </row>
    <row r="58" spans="1:16" ht="11.25" customHeight="1" x14ac:dyDescent="0.25">
      <c r="A58" s="152">
        <v>2</v>
      </c>
      <c r="B58" s="145" t="str">
        <f>'Pay App 1'!B58</f>
        <v>00 02 00</v>
      </c>
      <c r="C58" s="134" t="str">
        <f>'Pay App 1'!C58</f>
        <v>Preconstruction Services</v>
      </c>
      <c r="D58" s="155">
        <f>'Pay App 1'!D58</f>
        <v>0</v>
      </c>
      <c r="E58" s="155">
        <f>VLOOKUP(B58,'Graph Data'!$O$2:$BX$88,34,FALSE)</f>
        <v>0</v>
      </c>
      <c r="F58" s="155">
        <f>IFERROR(E58+'Pay App 31'!F58,"")</f>
        <v>0</v>
      </c>
      <c r="G58" s="155">
        <f>SUM('Pay App 1:Pay App 31'!H58)</f>
        <v>0</v>
      </c>
      <c r="H58" s="154"/>
      <c r="I58" s="155">
        <f>G58+H58</f>
        <v>0</v>
      </c>
      <c r="J58" s="156">
        <f>IFERROR(I58/F58,0)</f>
        <v>0</v>
      </c>
      <c r="K58" s="155">
        <f>IFERROR(F58-I58,"")</f>
        <v>0</v>
      </c>
      <c r="L58" s="155" t="str">
        <f>IF(AND('Summary Sheet'!$E$23="No",$H$33&gt;0,H58&gt;=1),"",IF(AND('Summary Sheet'!$E$23="Yes",H58&lt;&gt;""),H58*'Summary Sheet'!$G$23,""))</f>
        <v/>
      </c>
      <c r="M58" s="154"/>
      <c r="N58" s="155">
        <f>SUM('Pay App 1:Pay App 32'!L58)+SUM('Pay App 1:Pay App 32'!M58)</f>
        <v>0</v>
      </c>
    </row>
    <row r="59" spans="1:16" ht="11.25" customHeight="1" x14ac:dyDescent="0.25">
      <c r="A59" s="152">
        <v>3</v>
      </c>
      <c r="B59" s="174" t="str">
        <f>'Pay App 1'!B59</f>
        <v>01 00 00</v>
      </c>
      <c r="C59" s="179" t="str">
        <f>'Pay App 1'!C59</f>
        <v>General Conditions/Requirements</v>
      </c>
      <c r="D59" s="155">
        <f>'Pay App 1'!D59</f>
        <v>0</v>
      </c>
      <c r="E59" s="155">
        <f>VLOOKUP(B59,'Graph Data'!$O$2:$BX$88,34,FALSE)</f>
        <v>0</v>
      </c>
      <c r="F59" s="155">
        <f>IFERROR(E59+'Pay App 31'!F59,"")</f>
        <v>0</v>
      </c>
      <c r="G59" s="155">
        <f>SUM('Pay App 1:Pay App 31'!H59)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32'!L59)+SUM('Pay App 1:Pay App 32'!M59)</f>
        <v>0</v>
      </c>
    </row>
    <row r="60" spans="1:16" ht="11.25" customHeight="1" x14ac:dyDescent="0.25">
      <c r="A60" s="152">
        <v>4</v>
      </c>
      <c r="B60" s="174" t="str">
        <f>'Pay App 1'!B60</f>
        <v>01 13 41</v>
      </c>
      <c r="C60" s="179" t="str">
        <f>'Pay App 1'!C60</f>
        <v>Temp. Scaffolding and Platforms</v>
      </c>
      <c r="D60" s="155">
        <f>'Pay App 1'!D60</f>
        <v>0</v>
      </c>
      <c r="E60" s="155">
        <f>VLOOKUP(B60,'Graph Data'!$O$2:$BX$88,34,FALSE)</f>
        <v>0</v>
      </c>
      <c r="F60" s="155">
        <f>IFERROR(E60+'Pay App 31'!F60,"")</f>
        <v>0</v>
      </c>
      <c r="G60" s="155">
        <f>SUM('Pay App 1:Pay App 31'!H60)</f>
        <v>0</v>
      </c>
      <c r="H60" s="154"/>
      <c r="I60" s="155">
        <f t="shared" si="0"/>
        <v>0</v>
      </c>
      <c r="J60" s="156">
        <f t="shared" si="1"/>
        <v>0</v>
      </c>
      <c r="K60" s="155">
        <f t="shared" si="2"/>
        <v>0</v>
      </c>
      <c r="L60" s="155" t="str">
        <f>IF(AND('Summary Sheet'!$E$23="No",$H$33&gt;0,H60&gt;=1),"",IF(AND('Summary Sheet'!$E$23="Yes",H60&lt;&gt;""),H60*'Summary Sheet'!$G$23,""))</f>
        <v/>
      </c>
      <c r="M60" s="154"/>
      <c r="N60" s="155">
        <f>SUM('Pay App 1:Pay App 32'!L60)+SUM('Pay App 1:Pay App 32'!M60)</f>
        <v>0</v>
      </c>
    </row>
    <row r="61" spans="1:16" ht="11.25" customHeight="1" x14ac:dyDescent="0.25">
      <c r="A61" s="152">
        <v>5</v>
      </c>
      <c r="B61" s="174" t="str">
        <f>'Pay App 1'!B61</f>
        <v>01 13 60</v>
      </c>
      <c r="C61" s="179" t="str">
        <f>'Pay App 1'!C61</f>
        <v>SWPPP</v>
      </c>
      <c r="D61" s="155">
        <f>'Pay App 1'!D61</f>
        <v>0</v>
      </c>
      <c r="E61" s="155">
        <f>VLOOKUP(B61,'Graph Data'!$O$2:$BX$88,34,FALSE)</f>
        <v>0</v>
      </c>
      <c r="F61" s="155">
        <f>IFERROR(E61+'Pay App 31'!F61,"")</f>
        <v>0</v>
      </c>
      <c r="G61" s="155">
        <f>SUM('Pay App 1:Pay App 31'!H61)</f>
        <v>0</v>
      </c>
      <c r="H61" s="154"/>
      <c r="I61" s="155">
        <f t="shared" si="0"/>
        <v>0</v>
      </c>
      <c r="J61" s="156">
        <f t="shared" si="1"/>
        <v>0</v>
      </c>
      <c r="K61" s="155">
        <f t="shared" si="2"/>
        <v>0</v>
      </c>
      <c r="L61" s="155" t="str">
        <f>IF(AND('Summary Sheet'!$E$23="No",$H$33&gt;0,H61&gt;=1),"",IF(AND('Summary Sheet'!$E$23="Yes",H61&lt;&gt;""),H61*'Summary Sheet'!$G$23,""))</f>
        <v/>
      </c>
      <c r="M61" s="154"/>
      <c r="N61" s="155">
        <f>SUM('Pay App 1:Pay App 32'!L61)+SUM('Pay App 1:Pay App 32'!M61)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Data'!$O$2:$BX$88,34,FALSE)</f>
        <v>0</v>
      </c>
      <c r="F62" s="155">
        <f>IFERROR(E62+'Pay App 31'!F62,"")</f>
        <v>0</v>
      </c>
      <c r="G62" s="155">
        <f>SUM('Pay App 1:Pay App 31'!H62)</f>
        <v>0</v>
      </c>
      <c r="H62" s="154"/>
      <c r="I62" s="155">
        <f t="shared" si="0"/>
        <v>0</v>
      </c>
      <c r="J62" s="156">
        <f t="shared" si="1"/>
        <v>0</v>
      </c>
      <c r="K62" s="155">
        <f t="shared" si="2"/>
        <v>0</v>
      </c>
      <c r="L62" s="155" t="str">
        <f>IF(AND('Summary Sheet'!$E$23="No",$H$33&gt;0,H62&gt;=1),"",IF(AND('Summary Sheet'!$E$23="Yes",H62&lt;&gt;""),H62*'Summary Sheet'!$G$23,""))</f>
        <v/>
      </c>
      <c r="M62" s="154"/>
      <c r="N62" s="155">
        <f>SUM('Pay App 1:Pay App 32'!L62)+SUM('Pay App 1:Pay App 32'!M62)</f>
        <v>0</v>
      </c>
    </row>
    <row r="63" spans="1:16" ht="11.25" customHeight="1" x14ac:dyDescent="0.25">
      <c r="A63" s="152">
        <v>7</v>
      </c>
      <c r="B63" s="174" t="str">
        <f>'Pay App 1'!B63</f>
        <v>01 31 00</v>
      </c>
      <c r="C63" s="179" t="str">
        <f>'Pay App 1'!C63</f>
        <v>Contractor's Supervision</v>
      </c>
      <c r="D63" s="155">
        <f>'Pay App 1'!D63</f>
        <v>0</v>
      </c>
      <c r="E63" s="155">
        <f>VLOOKUP(B63,'Graph Data'!$O$2:$BX$88,34,FALSE)</f>
        <v>0</v>
      </c>
      <c r="F63" s="155">
        <f>IFERROR(E63+'Pay App 31'!F63,"")</f>
        <v>0</v>
      </c>
      <c r="G63" s="155">
        <f>SUM('Pay App 1:Pay App 31'!H63)</f>
        <v>0</v>
      </c>
      <c r="H63" s="154"/>
      <c r="I63" s="155">
        <f t="shared" si="0"/>
        <v>0</v>
      </c>
      <c r="J63" s="156">
        <f t="shared" si="1"/>
        <v>0</v>
      </c>
      <c r="K63" s="155">
        <f t="shared" si="2"/>
        <v>0</v>
      </c>
      <c r="L63" s="155" t="str">
        <f>IF(AND('Summary Sheet'!$E$23="No",$H$33&gt;0,H63&gt;=1),"",IF(AND('Summary Sheet'!$E$23="Yes",H63&lt;&gt;""),H63*'Summary Sheet'!$G$23,""))</f>
        <v/>
      </c>
      <c r="M63" s="154"/>
      <c r="N63" s="155">
        <f>SUM('Pay App 1:Pay App 32'!L63)+SUM('Pay App 1:Pay App 32'!M63)</f>
        <v>0</v>
      </c>
    </row>
    <row r="64" spans="1:16" ht="11.25" customHeight="1" x14ac:dyDescent="0.25">
      <c r="A64" s="152">
        <v>8</v>
      </c>
      <c r="B64" s="174" t="str">
        <f>'Pay App 1'!B64</f>
        <v>01 32 00</v>
      </c>
      <c r="C64" s="179" t="str">
        <f>'Pay App 1'!C64</f>
        <v>General Liability Insurance</v>
      </c>
      <c r="D64" s="155">
        <f>'Pay App 1'!D64</f>
        <v>0</v>
      </c>
      <c r="E64" s="155">
        <f>VLOOKUP(B64,'Graph Data'!$O$2:$BX$88,34,FALSE)</f>
        <v>0</v>
      </c>
      <c r="F64" s="155">
        <f>IFERROR(E64+'Pay App 31'!F64,"")</f>
        <v>0</v>
      </c>
      <c r="G64" s="155">
        <f>SUM('Pay App 1:Pay App 31'!H64)</f>
        <v>0</v>
      </c>
      <c r="H64" s="154"/>
      <c r="I64" s="155">
        <f t="shared" si="0"/>
        <v>0</v>
      </c>
      <c r="J64" s="156">
        <f t="shared" si="1"/>
        <v>0</v>
      </c>
      <c r="K64" s="155">
        <f t="shared" si="2"/>
        <v>0</v>
      </c>
      <c r="L64" s="155" t="str">
        <f>IF(AND('Summary Sheet'!$E$23="No",$H$33&gt;0,H64&gt;=1),"",IF(AND('Summary Sheet'!$E$23="Yes",H64&lt;&gt;""),H64*'Summary Sheet'!$G$23,""))</f>
        <v/>
      </c>
      <c r="M64" s="154"/>
      <c r="N64" s="155">
        <f>SUM('Pay App 1:Pay App 32'!L64)+SUM('Pay App 1:Pay App 32'!M64)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Data'!$O$2:$BX$88,34,FALSE)</f>
        <v>0</v>
      </c>
      <c r="F65" s="155">
        <f>IFERROR(E65+'Pay App 31'!F65,"")</f>
        <v>0</v>
      </c>
      <c r="G65" s="155">
        <f>SUM('Pay App 1:Pay App 31'!H65)</f>
        <v>0</v>
      </c>
      <c r="H65" s="154"/>
      <c r="I65" s="155">
        <f t="shared" si="0"/>
        <v>0</v>
      </c>
      <c r="J65" s="156">
        <f t="shared" si="1"/>
        <v>0</v>
      </c>
      <c r="K65" s="155">
        <f t="shared" si="2"/>
        <v>0</v>
      </c>
      <c r="L65" s="155" t="str">
        <f>IF(AND('Summary Sheet'!$E$23="No",$H$33&gt;0,H65&gt;=1),"",IF(AND('Summary Sheet'!$E$23="Yes",H65&lt;&gt;""),H65*'Summary Sheet'!$G$23,""))</f>
        <v/>
      </c>
      <c r="M65" s="154"/>
      <c r="N65" s="155">
        <f>SUM('Pay App 1:Pay App 32'!L65)+SUM('Pay App 1:Pay App 32'!M65)</f>
        <v>0</v>
      </c>
    </row>
    <row r="66" spans="1:17" ht="11.25" customHeight="1" x14ac:dyDescent="0.25">
      <c r="A66" s="152">
        <v>10</v>
      </c>
      <c r="B66" s="174" t="str">
        <f>'Pay App 1'!B66</f>
        <v>01 34 00</v>
      </c>
      <c r="C66" s="179" t="str">
        <f>'Pay App 1'!C66</f>
        <v>Subcontractor Default Insurance</v>
      </c>
      <c r="D66" s="155">
        <f>'Pay App 1'!D66</f>
        <v>0</v>
      </c>
      <c r="E66" s="155">
        <f>VLOOKUP(B66,'Graph Data'!$O$2:$BX$88,34,FALSE)</f>
        <v>0</v>
      </c>
      <c r="F66" s="155">
        <f>IFERROR(E66+'Pay App 31'!F66,"")</f>
        <v>0</v>
      </c>
      <c r="G66" s="155">
        <f>SUM('Pay App 1:Pay App 31'!H66)</f>
        <v>0</v>
      </c>
      <c r="H66" s="154"/>
      <c r="I66" s="155">
        <f t="shared" si="0"/>
        <v>0</v>
      </c>
      <c r="J66" s="156">
        <f t="shared" si="1"/>
        <v>0</v>
      </c>
      <c r="K66" s="155">
        <f t="shared" si="2"/>
        <v>0</v>
      </c>
      <c r="L66" s="155" t="str">
        <f>IF(AND('Summary Sheet'!$E$23="No",$H$33&gt;0,H66&gt;=1),"",IF(AND('Summary Sheet'!$E$23="Yes",H66&lt;&gt;""),H66*'Summary Sheet'!$G$23,""))</f>
        <v/>
      </c>
      <c r="M66" s="154"/>
      <c r="N66" s="155">
        <f>SUM('Pay App 1:Pay App 32'!L66)+SUM('Pay App 1:Pay App 32'!M66)</f>
        <v>0</v>
      </c>
    </row>
    <row r="67" spans="1:17" ht="11.25" customHeight="1" x14ac:dyDescent="0.25">
      <c r="A67" s="152">
        <v>11</v>
      </c>
      <c r="B67" s="174" t="str">
        <f>'Pay App 1'!B67</f>
        <v>01 35 00</v>
      </c>
      <c r="C67" s="179" t="str">
        <f>'Pay App 1'!C67</f>
        <v>Construction Management Fee</v>
      </c>
      <c r="D67" s="155">
        <f>'Pay App 1'!D67</f>
        <v>0</v>
      </c>
      <c r="E67" s="155">
        <f>VLOOKUP(B67,'Graph Data'!$O$2:$BX$88,34,FALSE)</f>
        <v>0</v>
      </c>
      <c r="F67" s="155">
        <f>IFERROR(E67+'Pay App 31'!F67,"")</f>
        <v>0</v>
      </c>
      <c r="G67" s="155">
        <f>SUM('Pay App 1:Pay App 31'!H67)</f>
        <v>0</v>
      </c>
      <c r="H67" s="154"/>
      <c r="I67" s="155">
        <f t="shared" si="0"/>
        <v>0</v>
      </c>
      <c r="J67" s="156">
        <f t="shared" si="1"/>
        <v>0</v>
      </c>
      <c r="K67" s="155">
        <f t="shared" si="2"/>
        <v>0</v>
      </c>
      <c r="L67" s="155" t="str">
        <f>IF(AND('Summary Sheet'!$E$23="No",$H$33&gt;0,H67&gt;=1),"",IF(AND('Summary Sheet'!$E$23="Yes",H67&lt;&gt;""),H67*'Summary Sheet'!$G$23,""))</f>
        <v/>
      </c>
      <c r="M67" s="154"/>
      <c r="N67" s="155">
        <f>SUM('Pay App 1:Pay App 32'!L67)+SUM('Pay App 1:Pay App 32'!M67)</f>
        <v>0</v>
      </c>
    </row>
    <row r="68" spans="1:17" ht="11.25" customHeight="1" x14ac:dyDescent="0.25">
      <c r="A68" s="152">
        <v>12</v>
      </c>
      <c r="B68" s="174" t="str">
        <f>'Pay App 1'!B68</f>
        <v>01 36 00</v>
      </c>
      <c r="C68" s="179" t="str">
        <f>'Pay App 1'!C68</f>
        <v>Contingency</v>
      </c>
      <c r="D68" s="155">
        <f>'Pay App 1'!D68</f>
        <v>0</v>
      </c>
      <c r="E68" s="155">
        <f>VLOOKUP(B68,'Graph Data'!$O$2:$BX$88,34,FALSE)</f>
        <v>0</v>
      </c>
      <c r="F68" s="155">
        <f>IFERROR(E68+'Pay App 31'!F68,"")</f>
        <v>0</v>
      </c>
      <c r="G68" s="155">
        <f>SUM('Pay App 1:Pay App 31'!H68)</f>
        <v>0</v>
      </c>
      <c r="H68" s="154"/>
      <c r="I68" s="155">
        <f t="shared" si="0"/>
        <v>0</v>
      </c>
      <c r="J68" s="156">
        <f t="shared" si="1"/>
        <v>0</v>
      </c>
      <c r="K68" s="155">
        <f t="shared" si="2"/>
        <v>0</v>
      </c>
      <c r="L68" s="155" t="str">
        <f>IF(AND('Summary Sheet'!$E$23="No",$H$33&gt;0,H68&gt;=1),"",IF(AND('Summary Sheet'!$E$23="Yes",H68&lt;&gt;""),H68*'Summary Sheet'!$G$23,""))</f>
        <v/>
      </c>
      <c r="M68" s="154"/>
      <c r="N68" s="155">
        <f>SUM('Pay App 1:Pay App 32'!L68)+SUM('Pay App 1:Pay App 32'!M68)</f>
        <v>0</v>
      </c>
    </row>
    <row r="69" spans="1:17" ht="11.25" customHeight="1" x14ac:dyDescent="0.25">
      <c r="A69" s="152">
        <v>13</v>
      </c>
      <c r="B69" s="174" t="str">
        <f>'Pay App 1'!B69</f>
        <v>01 37 00</v>
      </c>
      <c r="C69" s="179" t="str">
        <f>'Pay App 1'!C69</f>
        <v>Weather Allowance (All Trades)</v>
      </c>
      <c r="D69" s="155">
        <f>'Pay App 1'!D69</f>
        <v>0</v>
      </c>
      <c r="E69" s="155">
        <f>VLOOKUP(B69,'Graph Data'!$O$2:$BX$88,34,FALSE)</f>
        <v>0</v>
      </c>
      <c r="F69" s="155">
        <f>IFERROR(E69+'Pay App 31'!F69,"")</f>
        <v>0</v>
      </c>
      <c r="G69" s="155">
        <f>SUM('Pay App 1:Pay App 31'!H69)</f>
        <v>0</v>
      </c>
      <c r="H69" s="154"/>
      <c r="I69" s="155">
        <f t="shared" si="0"/>
        <v>0</v>
      </c>
      <c r="J69" s="156">
        <f t="shared" si="1"/>
        <v>0</v>
      </c>
      <c r="K69" s="155">
        <f t="shared" si="2"/>
        <v>0</v>
      </c>
      <c r="L69" s="155" t="str">
        <f>IF(AND('Summary Sheet'!$E$23="No",$H$33&gt;0,H69&gt;=1),"",IF(AND('Summary Sheet'!$E$23="Yes",H69&lt;&gt;""),H69*'Summary Sheet'!$G$23,""))</f>
        <v/>
      </c>
      <c r="M69" s="154"/>
      <c r="N69" s="155">
        <f>SUM('Pay App 1:Pay App 32'!L69)+SUM('Pay App 1:Pay App 32'!M69)</f>
        <v>0</v>
      </c>
    </row>
    <row r="70" spans="1:17" ht="11.25" customHeight="1" x14ac:dyDescent="0.25">
      <c r="A70" s="152">
        <v>14</v>
      </c>
      <c r="B70" s="174" t="str">
        <f>'Pay App 1'!B70</f>
        <v>01 74 23</v>
      </c>
      <c r="C70" s="179" t="str">
        <f>'Pay App 1'!C70</f>
        <v>Cleaning (Final)</v>
      </c>
      <c r="D70" s="155">
        <f>'Pay App 1'!D70</f>
        <v>0</v>
      </c>
      <c r="E70" s="155">
        <f>VLOOKUP(B70,'Graph Data'!$O$2:$BX$88,34,FALSE)</f>
        <v>0</v>
      </c>
      <c r="F70" s="155">
        <f>IFERROR(E70+'Pay App 31'!F70,"")</f>
        <v>0</v>
      </c>
      <c r="G70" s="155">
        <f>SUM('Pay App 1:Pay App 31'!H70)</f>
        <v>0</v>
      </c>
      <c r="H70" s="154"/>
      <c r="I70" s="155">
        <f t="shared" si="0"/>
        <v>0</v>
      </c>
      <c r="J70" s="156">
        <f t="shared" si="1"/>
        <v>0</v>
      </c>
      <c r="K70" s="155">
        <f t="shared" si="2"/>
        <v>0</v>
      </c>
      <c r="L70" s="155" t="str">
        <f>IF(AND('Summary Sheet'!$E$23="No",$H$33&gt;0,H70&gt;=1),"",IF(AND('Summary Sheet'!$E$23="Yes",H70&lt;&gt;""),H70*'Summary Sheet'!$G$23,""))</f>
        <v/>
      </c>
      <c r="M70" s="154"/>
      <c r="N70" s="155">
        <f>SUM('Pay App 1:Pay App 32'!L70)+SUM('Pay App 1:Pay App 32'!M70)</f>
        <v>0</v>
      </c>
    </row>
    <row r="71" spans="1:17" ht="11.25" customHeight="1" x14ac:dyDescent="0.25">
      <c r="A71" s="152">
        <v>15</v>
      </c>
      <c r="B71" s="175" t="str">
        <f>'Pay App 1'!B71</f>
        <v>02 21 00</v>
      </c>
      <c r="C71" s="180" t="str">
        <f>'Pay App 1'!C71</f>
        <v>Survey/Engineering</v>
      </c>
      <c r="D71" s="155">
        <f>'Pay App 1'!D71</f>
        <v>0</v>
      </c>
      <c r="E71" s="155">
        <f>VLOOKUP(B71,'Graph Data'!$O$2:$BX$88,34,FALSE)</f>
        <v>0</v>
      </c>
      <c r="F71" s="155">
        <f>IFERROR(E71+'Pay App 31'!F71,"")</f>
        <v>0</v>
      </c>
      <c r="G71" s="155">
        <f>SUM('Pay App 1:Pay App 31'!H71)</f>
        <v>0</v>
      </c>
      <c r="H71" s="154"/>
      <c r="I71" s="155">
        <f t="shared" si="0"/>
        <v>0</v>
      </c>
      <c r="J71" s="156">
        <f t="shared" si="1"/>
        <v>0</v>
      </c>
      <c r="K71" s="155">
        <f t="shared" si="2"/>
        <v>0</v>
      </c>
      <c r="L71" s="155" t="str">
        <f>IF(AND('Summary Sheet'!$E$23="No",$H$33&gt;0,H71&gt;=1),"",IF(AND('Summary Sheet'!$E$23="Yes",H71&lt;&gt;""),H71*'Summary Sheet'!$G$23,""))</f>
        <v/>
      </c>
      <c r="M71" s="154"/>
      <c r="N71" s="155">
        <f>SUM('Pay App 1:Pay App 32'!L71)+SUM('Pay App 1:Pay App 32'!M71)</f>
        <v>0</v>
      </c>
      <c r="Q71" s="28"/>
    </row>
    <row r="72" spans="1:17" ht="11.25" customHeight="1" x14ac:dyDescent="0.25">
      <c r="A72" s="152">
        <v>16</v>
      </c>
      <c r="B72" s="175" t="str">
        <f>'Pay App 1'!B72</f>
        <v>02 41 00</v>
      </c>
      <c r="C72" s="180" t="str">
        <f>'Pay App 1'!C72</f>
        <v>Demolition</v>
      </c>
      <c r="D72" s="155">
        <f>'Pay App 1'!D72</f>
        <v>0</v>
      </c>
      <c r="E72" s="155">
        <f>VLOOKUP(B72,'Graph Data'!$O$2:$BX$88,34,FALSE)</f>
        <v>0</v>
      </c>
      <c r="F72" s="155">
        <f>IFERROR(E72+'Pay App 31'!F72,"")</f>
        <v>0</v>
      </c>
      <c r="G72" s="155">
        <f>SUM('Pay App 1:Pay App 31'!H72)</f>
        <v>0</v>
      </c>
      <c r="H72" s="154"/>
      <c r="I72" s="155">
        <f t="shared" si="0"/>
        <v>0</v>
      </c>
      <c r="J72" s="156">
        <f t="shared" si="1"/>
        <v>0</v>
      </c>
      <c r="K72" s="155">
        <f t="shared" si="2"/>
        <v>0</v>
      </c>
      <c r="L72" s="155" t="str">
        <f>IF(AND('Summary Sheet'!$E$23="No",$H$33&gt;0,H72&gt;=1),"",IF(AND('Summary Sheet'!$E$23="Yes",H72&lt;&gt;""),H72*'Summary Sheet'!$G$23,""))</f>
        <v/>
      </c>
      <c r="M72" s="154"/>
      <c r="N72" s="155">
        <f>SUM('Pay App 1:Pay App 32'!L72)+SUM('Pay App 1:Pay App 32'!M72)</f>
        <v>0</v>
      </c>
      <c r="Q72" s="28"/>
    </row>
    <row r="73" spans="1:17" ht="11.25" customHeight="1" x14ac:dyDescent="0.25">
      <c r="A73" s="152">
        <v>17</v>
      </c>
      <c r="B73" s="175" t="str">
        <f>'Pay App 1'!B73</f>
        <v>02 82 00</v>
      </c>
      <c r="C73" s="180" t="str">
        <f>'Pay App 1'!C73</f>
        <v>Asbestos Abatement</v>
      </c>
      <c r="D73" s="155">
        <f>'Pay App 1'!D73</f>
        <v>0</v>
      </c>
      <c r="E73" s="155">
        <f>VLOOKUP(B73,'Graph Data'!$O$2:$BX$88,34,FALSE)</f>
        <v>0</v>
      </c>
      <c r="F73" s="155">
        <f>IFERROR(E73+'Pay App 31'!F73,"")</f>
        <v>0</v>
      </c>
      <c r="G73" s="155">
        <f>SUM('Pay App 1:Pay App 31'!H73)</f>
        <v>0</v>
      </c>
      <c r="H73" s="154"/>
      <c r="I73" s="155">
        <f t="shared" si="0"/>
        <v>0</v>
      </c>
      <c r="J73" s="156">
        <f t="shared" si="1"/>
        <v>0</v>
      </c>
      <c r="K73" s="155">
        <f t="shared" si="2"/>
        <v>0</v>
      </c>
      <c r="L73" s="155" t="str">
        <f>IF(AND('Summary Sheet'!$E$23="No",$H$33&gt;0,H73&gt;=1),"",IF(AND('Summary Sheet'!$E$23="Yes",H73&lt;&gt;""),H73*'Summary Sheet'!$G$23,""))</f>
        <v/>
      </c>
      <c r="M73" s="154"/>
      <c r="N73" s="155">
        <f>SUM('Pay App 1:Pay App 32'!L73)+SUM('Pay App 1:Pay App 32'!M73)</f>
        <v>0</v>
      </c>
    </row>
    <row r="74" spans="1:17" ht="11.25" customHeight="1" x14ac:dyDescent="0.25">
      <c r="A74" s="152">
        <v>18</v>
      </c>
      <c r="B74" s="176" t="str">
        <f>'Pay App 1'!B74</f>
        <v>03 00 00</v>
      </c>
      <c r="C74" s="181" t="str">
        <f>'Pay App 1'!C74</f>
        <v>Building Concrete</v>
      </c>
      <c r="D74" s="155">
        <f>'Pay App 1'!D74</f>
        <v>0</v>
      </c>
      <c r="E74" s="155">
        <f>VLOOKUP(B74,'Graph Data'!$O$2:$BX$88,34,FALSE)</f>
        <v>0</v>
      </c>
      <c r="F74" s="155">
        <f>IFERROR(E74+'Pay App 31'!F74,"")</f>
        <v>0</v>
      </c>
      <c r="G74" s="155">
        <f>SUM('Pay App 1:Pay App 31'!H74)</f>
        <v>0</v>
      </c>
      <c r="H74" s="154"/>
      <c r="I74" s="155">
        <f t="shared" si="0"/>
        <v>0</v>
      </c>
      <c r="J74" s="156">
        <f t="shared" si="1"/>
        <v>0</v>
      </c>
      <c r="K74" s="155">
        <f t="shared" si="2"/>
        <v>0</v>
      </c>
      <c r="L74" s="155" t="str">
        <f>IF(AND('Summary Sheet'!$E$23="No",$H$33&gt;0,H74&gt;=1),"",IF(AND('Summary Sheet'!$E$23="Yes",H74&lt;&gt;""),H74*'Summary Sheet'!$G$23,""))</f>
        <v/>
      </c>
      <c r="M74" s="154"/>
      <c r="N74" s="155">
        <f>SUM('Pay App 1:Pay App 32'!L74)+SUM('Pay App 1:Pay App 32'!M74)</f>
        <v>0</v>
      </c>
    </row>
    <row r="75" spans="1:17" ht="11.25" customHeight="1" x14ac:dyDescent="0.25">
      <c r="A75" s="152">
        <v>19</v>
      </c>
      <c r="B75" s="176" t="str">
        <f>'Pay App 1'!B75</f>
        <v>03 20 00</v>
      </c>
      <c r="C75" s="181" t="str">
        <f>'Pay App 1'!C75</f>
        <v>Building Concrete Reinforcing</v>
      </c>
      <c r="D75" s="155">
        <f>'Pay App 1'!D75</f>
        <v>0</v>
      </c>
      <c r="E75" s="155">
        <f>VLOOKUP(B75,'Graph Data'!$O$2:$BX$88,34,FALSE)</f>
        <v>0</v>
      </c>
      <c r="F75" s="155">
        <f>IFERROR(E75+'Pay App 31'!F75,"")</f>
        <v>0</v>
      </c>
      <c r="G75" s="155">
        <f>SUM('Pay App 1:Pay App 31'!H75)</f>
        <v>0</v>
      </c>
      <c r="H75" s="154"/>
      <c r="I75" s="155">
        <f t="shared" si="0"/>
        <v>0</v>
      </c>
      <c r="J75" s="156">
        <f t="shared" si="1"/>
        <v>0</v>
      </c>
      <c r="K75" s="155">
        <f t="shared" si="2"/>
        <v>0</v>
      </c>
      <c r="L75" s="155" t="str">
        <f>IF(AND('Summary Sheet'!$E$23="No",$H$33&gt;0,H75&gt;=1),"",IF(AND('Summary Sheet'!$E$23="Yes",H75&lt;&gt;""),H75*'Summary Sheet'!$G$23,""))</f>
        <v/>
      </c>
      <c r="M75" s="154"/>
      <c r="N75" s="155">
        <f>SUM('Pay App 1:Pay App 32'!L75)+SUM('Pay App 1:Pay App 32'!M75)</f>
        <v>0</v>
      </c>
    </row>
    <row r="76" spans="1:17" ht="11.25" customHeight="1" x14ac:dyDescent="0.25">
      <c r="A76" s="152">
        <v>20</v>
      </c>
      <c r="B76" s="176" t="str">
        <f>'Pay App 1'!B76</f>
        <v>03 40 00</v>
      </c>
      <c r="C76" s="181" t="str">
        <f>'Pay App 1'!C76</f>
        <v>Precast</v>
      </c>
      <c r="D76" s="155">
        <f>'Pay App 1'!D76</f>
        <v>0</v>
      </c>
      <c r="E76" s="155">
        <f>VLOOKUP(B76,'Graph Data'!$O$2:$BX$88,34,FALSE)</f>
        <v>0</v>
      </c>
      <c r="F76" s="155">
        <f>IFERROR(E76+'Pay App 31'!F76,"")</f>
        <v>0</v>
      </c>
      <c r="G76" s="155">
        <f>SUM('Pay App 1:Pay App 31'!H76)</f>
        <v>0</v>
      </c>
      <c r="H76" s="154"/>
      <c r="I76" s="155">
        <f t="shared" si="0"/>
        <v>0</v>
      </c>
      <c r="J76" s="156">
        <f t="shared" si="1"/>
        <v>0</v>
      </c>
      <c r="K76" s="155">
        <f t="shared" si="2"/>
        <v>0</v>
      </c>
      <c r="L76" s="155" t="str">
        <f>IF(AND('Summary Sheet'!$E$23="No",$H$33&gt;0,H76&gt;=1),"",IF(AND('Summary Sheet'!$E$23="Yes",H76&lt;&gt;""),H76*'Summary Sheet'!$G$23,""))</f>
        <v/>
      </c>
      <c r="M76" s="154"/>
      <c r="N76" s="155">
        <f>SUM('Pay App 1:Pay App 32'!L76)+SUM('Pay App 1:Pay App 32'!M76)</f>
        <v>0</v>
      </c>
    </row>
    <row r="77" spans="1:17" ht="11.25" customHeight="1" x14ac:dyDescent="0.25">
      <c r="A77" s="152">
        <v>21</v>
      </c>
      <c r="B77" s="177" t="str">
        <f>'Pay App 1'!B77</f>
        <v>04 00 00</v>
      </c>
      <c r="C77" s="182" t="str">
        <f>'Pay App 1'!C77</f>
        <v>Masonry</v>
      </c>
      <c r="D77" s="155">
        <f>'Pay App 1'!D77</f>
        <v>0</v>
      </c>
      <c r="E77" s="155">
        <f>VLOOKUP(B77,'Graph Data'!$O$2:$BX$88,34,FALSE)</f>
        <v>0</v>
      </c>
      <c r="F77" s="155">
        <f>IFERROR(E77+'Pay App 31'!F77,"")</f>
        <v>0</v>
      </c>
      <c r="G77" s="155">
        <f>SUM('Pay App 1:Pay App 31'!H77)</f>
        <v>0</v>
      </c>
      <c r="H77" s="154"/>
      <c r="I77" s="155">
        <f t="shared" si="0"/>
        <v>0</v>
      </c>
      <c r="J77" s="156">
        <f t="shared" si="1"/>
        <v>0</v>
      </c>
      <c r="K77" s="155">
        <f t="shared" si="2"/>
        <v>0</v>
      </c>
      <c r="L77" s="155" t="str">
        <f>IF(AND('Summary Sheet'!$E$23="No",$H$33&gt;0,H77&gt;=1),"",IF(AND('Summary Sheet'!$E$23="Yes",H77&lt;&gt;""),H77*'Summary Sheet'!$G$23,""))</f>
        <v/>
      </c>
      <c r="M77" s="154"/>
      <c r="N77" s="155">
        <f>SUM('Pay App 1:Pay App 32'!L77)+SUM('Pay App 1:Pay App 32'!M77)</f>
        <v>0</v>
      </c>
    </row>
    <row r="78" spans="1:17" ht="11.25" customHeight="1" x14ac:dyDescent="0.25">
      <c r="A78" s="152">
        <v>22</v>
      </c>
      <c r="B78" s="177" t="str">
        <f>'Pay App 1'!B78</f>
        <v>04 05 19</v>
      </c>
      <c r="C78" s="182" t="str">
        <f>'Pay App 1'!C78</f>
        <v>Masonry Reinforcing</v>
      </c>
      <c r="D78" s="155">
        <f>'Pay App 1'!D78</f>
        <v>0</v>
      </c>
      <c r="E78" s="155">
        <f>VLOOKUP(B78,'Graph Data'!$O$2:$BX$88,34,FALSE)</f>
        <v>0</v>
      </c>
      <c r="F78" s="155">
        <f>IFERROR(E78+'Pay App 31'!F78,"")</f>
        <v>0</v>
      </c>
      <c r="G78" s="155">
        <f>SUM('Pay App 1:Pay App 31'!H78)</f>
        <v>0</v>
      </c>
      <c r="H78" s="154"/>
      <c r="I78" s="155">
        <f t="shared" si="0"/>
        <v>0</v>
      </c>
      <c r="J78" s="156">
        <f t="shared" si="1"/>
        <v>0</v>
      </c>
      <c r="K78" s="155">
        <f t="shared" si="2"/>
        <v>0</v>
      </c>
      <c r="L78" s="155" t="str">
        <f>IF(AND('Summary Sheet'!$E$23="No",$H$33&gt;0,H78&gt;=1),"",IF(AND('Summary Sheet'!$E$23="Yes",H78&lt;&gt;""),H78*'Summary Sheet'!$G$23,""))</f>
        <v/>
      </c>
      <c r="M78" s="154"/>
      <c r="N78" s="155">
        <f>SUM('Pay App 1:Pay App 32'!L78)+SUM('Pay App 1:Pay App 32'!M78)</f>
        <v>0</v>
      </c>
    </row>
    <row r="79" spans="1:17" ht="11.25" customHeight="1" x14ac:dyDescent="0.25">
      <c r="A79" s="152">
        <v>23</v>
      </c>
      <c r="B79" s="178" t="str">
        <f>'Pay App 1'!B79</f>
        <v>05 10 00</v>
      </c>
      <c r="C79" s="183" t="str">
        <f>'Pay App 1'!C79</f>
        <v>Structural Steel/Misc. Steel Fab</v>
      </c>
      <c r="D79" s="155">
        <f>'Pay App 1'!D79</f>
        <v>0</v>
      </c>
      <c r="E79" s="155">
        <f>VLOOKUP(B79,'Graph Data'!$O$2:$BX$88,34,FALSE)</f>
        <v>0</v>
      </c>
      <c r="F79" s="155">
        <f>IFERROR(E79+'Pay App 31'!F79,"")</f>
        <v>0</v>
      </c>
      <c r="G79" s="155">
        <f>SUM('Pay App 1:Pay App 31'!H79)</f>
        <v>0</v>
      </c>
      <c r="H79" s="154"/>
      <c r="I79" s="155">
        <f t="shared" si="0"/>
        <v>0</v>
      </c>
      <c r="J79" s="156">
        <f t="shared" si="1"/>
        <v>0</v>
      </c>
      <c r="K79" s="155">
        <f t="shared" si="2"/>
        <v>0</v>
      </c>
      <c r="L79" s="155" t="str">
        <f>IF(AND('Summary Sheet'!$E$23="No",$H$33&gt;0,H79&gt;=1),"",IF(AND('Summary Sheet'!$E$23="Yes",H79&lt;&gt;""),H79*'Summary Sheet'!$G$23,""))</f>
        <v/>
      </c>
      <c r="M79" s="154"/>
      <c r="N79" s="155">
        <f>SUM('Pay App 1:Pay App 32'!L79)+SUM('Pay App 1:Pay App 32'!M79)</f>
        <v>0</v>
      </c>
    </row>
    <row r="80" spans="1:17" ht="11.25" customHeight="1" x14ac:dyDescent="0.25">
      <c r="A80" s="152">
        <v>24</v>
      </c>
      <c r="B80" s="178" t="str">
        <f>'Pay App 1'!B80</f>
        <v>05 20 00</v>
      </c>
      <c r="C80" s="183" t="str">
        <f>'Pay App 1'!C80</f>
        <v>Joists &amp; Deck</v>
      </c>
      <c r="D80" s="155">
        <f>'Pay App 1'!D80</f>
        <v>0</v>
      </c>
      <c r="E80" s="155">
        <f>VLOOKUP(B80,'Graph Data'!$O$2:$BX$88,34,FALSE)</f>
        <v>0</v>
      </c>
      <c r="F80" s="155">
        <f>IFERROR(E80+'Pay App 31'!F80,"")</f>
        <v>0</v>
      </c>
      <c r="G80" s="155">
        <f>SUM('Pay App 1:Pay App 31'!H80)</f>
        <v>0</v>
      </c>
      <c r="H80" s="154"/>
      <c r="I80" s="155">
        <f t="shared" si="0"/>
        <v>0</v>
      </c>
      <c r="J80" s="156">
        <f t="shared" si="1"/>
        <v>0</v>
      </c>
      <c r="K80" s="155">
        <f t="shared" si="2"/>
        <v>0</v>
      </c>
      <c r="L80" s="155" t="str">
        <f>IF(AND('Summary Sheet'!$E$23="No",$H$33&gt;0,H80&gt;=1),"",IF(AND('Summary Sheet'!$E$23="Yes",H80&lt;&gt;""),H80*'Summary Sheet'!$G$23,""))</f>
        <v/>
      </c>
      <c r="M80" s="154"/>
      <c r="N80" s="155">
        <f>SUM('Pay App 1:Pay App 32'!L80)+SUM('Pay App 1:Pay App 32'!M80)</f>
        <v>0</v>
      </c>
    </row>
    <row r="81" spans="1:14" ht="11.25" customHeight="1" x14ac:dyDescent="0.25">
      <c r="A81" s="152">
        <v>25</v>
      </c>
      <c r="B81" s="178" t="str">
        <f>'Pay App 1'!B81</f>
        <v>05 70 00</v>
      </c>
      <c r="C81" s="183" t="str">
        <f>'Pay App 1'!C81</f>
        <v>Ornamental Metal</v>
      </c>
      <c r="D81" s="155">
        <f>'Pay App 1'!D81</f>
        <v>0</v>
      </c>
      <c r="E81" s="155">
        <f>VLOOKUP(B81,'Graph Data'!$O$2:$BX$88,34,FALSE)</f>
        <v>0</v>
      </c>
      <c r="F81" s="155">
        <f>IFERROR(E81+'Pay App 31'!F81,"")</f>
        <v>0</v>
      </c>
      <c r="G81" s="155">
        <f>SUM('Pay App 1:Pay App 31'!H81)</f>
        <v>0</v>
      </c>
      <c r="H81" s="154"/>
      <c r="I81" s="155">
        <f t="shared" si="0"/>
        <v>0</v>
      </c>
      <c r="J81" s="156">
        <f t="shared" si="1"/>
        <v>0</v>
      </c>
      <c r="K81" s="155">
        <f t="shared" si="2"/>
        <v>0</v>
      </c>
      <c r="L81" s="155" t="str">
        <f>IF(AND('Summary Sheet'!$E$23="No",$H$33&gt;0,H81&gt;=1),"",IF(AND('Summary Sheet'!$E$23="Yes",H81&lt;&gt;""),H81*'Summary Sheet'!$G$23,""))</f>
        <v/>
      </c>
      <c r="M81" s="154"/>
      <c r="N81" s="155">
        <f>SUM('Pay App 1:Pay App 32'!L81)+SUM('Pay App 1:Pay App 32'!M81)</f>
        <v>0</v>
      </c>
    </row>
    <row r="82" spans="1:14" ht="11.25" customHeight="1" x14ac:dyDescent="0.25">
      <c r="A82" s="152">
        <v>26</v>
      </c>
      <c r="B82" s="145" t="str">
        <f>'Pay App 1'!B82</f>
        <v>06 10 00</v>
      </c>
      <c r="C82" s="134" t="str">
        <f>'Pay App 1'!C82</f>
        <v>Rough Carpentry</v>
      </c>
      <c r="D82" s="155">
        <f>'Pay App 1'!D82</f>
        <v>0</v>
      </c>
      <c r="E82" s="155">
        <f>VLOOKUP(B82,'Graph Data'!$O$2:$BX$88,34,FALSE)</f>
        <v>0</v>
      </c>
      <c r="F82" s="155">
        <f>IFERROR(E82+'Pay App 31'!F82,"")</f>
        <v>0</v>
      </c>
      <c r="G82" s="155">
        <f>SUM('Pay App 1:Pay App 31'!H82)</f>
        <v>0</v>
      </c>
      <c r="H82" s="154"/>
      <c r="I82" s="155">
        <f t="shared" si="0"/>
        <v>0</v>
      </c>
      <c r="J82" s="156">
        <f t="shared" si="1"/>
        <v>0</v>
      </c>
      <c r="K82" s="155">
        <f t="shared" si="2"/>
        <v>0</v>
      </c>
      <c r="L82" s="155" t="str">
        <f>IF(AND('Summary Sheet'!$E$23="No",$H$33&gt;0,H82&gt;=1),"",IF(AND('Summary Sheet'!$E$23="Yes",H82&lt;&gt;""),H82*'Summary Sheet'!$G$23,""))</f>
        <v/>
      </c>
      <c r="M82" s="154"/>
      <c r="N82" s="155">
        <f>SUM('Pay App 1:Pay App 32'!L82)+SUM('Pay App 1:Pay App 32'!M82)</f>
        <v>0</v>
      </c>
    </row>
    <row r="83" spans="1:14" ht="11.25" customHeight="1" x14ac:dyDescent="0.25">
      <c r="A83" s="152">
        <v>27</v>
      </c>
      <c r="B83" s="145" t="str">
        <f>'Pay App 1'!B83</f>
        <v>06 40 00</v>
      </c>
      <c r="C83" s="134" t="str">
        <f>'Pay App 1'!C83</f>
        <v>Arch. Woodwork &amp; Finish Carp.</v>
      </c>
      <c r="D83" s="155">
        <f>'Pay App 1'!D83</f>
        <v>0</v>
      </c>
      <c r="E83" s="155">
        <f>VLOOKUP(B83,'Graph Data'!$O$2:$BX$88,34,FALSE)</f>
        <v>0</v>
      </c>
      <c r="F83" s="155">
        <f>IFERROR(E83+'Pay App 31'!F83,"")</f>
        <v>0</v>
      </c>
      <c r="G83" s="155">
        <f>SUM('Pay App 1:Pay App 31'!H83)</f>
        <v>0</v>
      </c>
      <c r="H83" s="154"/>
      <c r="I83" s="155">
        <f t="shared" si="0"/>
        <v>0</v>
      </c>
      <c r="J83" s="156">
        <f t="shared" si="1"/>
        <v>0</v>
      </c>
      <c r="K83" s="155">
        <f t="shared" si="2"/>
        <v>0</v>
      </c>
      <c r="L83" s="155" t="str">
        <f>IF(AND('Summary Sheet'!$E$23="No",$H$33&gt;0,H83&gt;=1),"",IF(AND('Summary Sheet'!$E$23="Yes",H83&lt;&gt;""),H83*'Summary Sheet'!$G$23,""))</f>
        <v/>
      </c>
      <c r="M83" s="154"/>
      <c r="N83" s="155">
        <f>SUM('Pay App 1:Pay App 32'!L83)+SUM('Pay App 1:Pay App 32'!M83)</f>
        <v>0</v>
      </c>
    </row>
    <row r="84" spans="1:14" ht="11.25" customHeight="1" x14ac:dyDescent="0.25">
      <c r="A84" s="152">
        <v>28</v>
      </c>
      <c r="B84" s="174" t="str">
        <f>'Pay App 1'!B84</f>
        <v>07 10 00</v>
      </c>
      <c r="C84" s="179" t="str">
        <f>'Pay App 1'!C84</f>
        <v>Waterproofing/Water Repellents</v>
      </c>
      <c r="D84" s="155">
        <f>'Pay App 1'!D84</f>
        <v>0</v>
      </c>
      <c r="E84" s="155">
        <f>VLOOKUP(B84,'Graph Data'!$O$2:$BX$88,34,FALSE)</f>
        <v>0</v>
      </c>
      <c r="F84" s="155">
        <f>IFERROR(E84+'Pay App 31'!F84,"")</f>
        <v>0</v>
      </c>
      <c r="G84" s="155">
        <f>SUM('Pay App 1:Pay App 31'!H84)</f>
        <v>0</v>
      </c>
      <c r="H84" s="154"/>
      <c r="I84" s="155">
        <f t="shared" si="0"/>
        <v>0</v>
      </c>
      <c r="J84" s="156">
        <f t="shared" si="1"/>
        <v>0</v>
      </c>
      <c r="K84" s="155">
        <f t="shared" si="2"/>
        <v>0</v>
      </c>
      <c r="L84" s="155" t="str">
        <f>IF(AND('Summary Sheet'!$E$23="No",$H$33&gt;0,H84&gt;=1),"",IF(AND('Summary Sheet'!$E$23="Yes",H84&lt;&gt;""),H84*'Summary Sheet'!$G$23,""))</f>
        <v/>
      </c>
      <c r="M84" s="154"/>
      <c r="N84" s="155">
        <f>SUM('Pay App 1:Pay App 32'!L84)+SUM('Pay App 1:Pay App 32'!M84)</f>
        <v>0</v>
      </c>
    </row>
    <row r="85" spans="1:14" ht="11.25" customHeight="1" x14ac:dyDescent="0.25">
      <c r="A85" s="152">
        <v>29</v>
      </c>
      <c r="B85" s="174" t="str">
        <f>'Pay App 1'!B85</f>
        <v>07 20 00</v>
      </c>
      <c r="C85" s="179" t="str">
        <f>'Pay App 1'!C85</f>
        <v>Insulation</v>
      </c>
      <c r="D85" s="155">
        <f>'Pay App 1'!D85</f>
        <v>0</v>
      </c>
      <c r="E85" s="155">
        <f>VLOOKUP(B85,'Graph Data'!$O$2:$BX$88,34,FALSE)</f>
        <v>0</v>
      </c>
      <c r="F85" s="155">
        <f>IFERROR(E85+'Pay App 31'!F85,"")</f>
        <v>0</v>
      </c>
      <c r="G85" s="155">
        <f>SUM('Pay App 1:Pay App 31'!H85)</f>
        <v>0</v>
      </c>
      <c r="H85" s="154"/>
      <c r="I85" s="155">
        <f t="shared" si="0"/>
        <v>0</v>
      </c>
      <c r="J85" s="156">
        <f t="shared" si="1"/>
        <v>0</v>
      </c>
      <c r="K85" s="155">
        <f t="shared" si="2"/>
        <v>0</v>
      </c>
      <c r="L85" s="155" t="str">
        <f>IF(AND('Summary Sheet'!$E$23="No",$H$33&gt;0,H85&gt;=1),"",IF(AND('Summary Sheet'!$E$23="Yes",H85&lt;&gt;""),H85*'Summary Sheet'!$G$23,""))</f>
        <v/>
      </c>
      <c r="M85" s="154"/>
      <c r="N85" s="155">
        <f>SUM('Pay App 1:Pay App 32'!L85)+SUM('Pay App 1:Pay App 32'!M85)</f>
        <v>0</v>
      </c>
    </row>
    <row r="86" spans="1:14" ht="11.25" customHeight="1" x14ac:dyDescent="0.25">
      <c r="A86" s="152">
        <v>30</v>
      </c>
      <c r="B86" s="174" t="str">
        <f>'Pay App 1'!B86</f>
        <v>07 24 00</v>
      </c>
      <c r="C86" s="179" t="str">
        <f>'Pay App 1'!C86</f>
        <v>EIFS</v>
      </c>
      <c r="D86" s="155">
        <f>'Pay App 1'!D86</f>
        <v>0</v>
      </c>
      <c r="E86" s="155">
        <f>VLOOKUP(B86,'Graph Data'!$O$2:$BX$88,34,FALSE)</f>
        <v>0</v>
      </c>
      <c r="F86" s="155">
        <f>IFERROR(E86+'Pay App 31'!F86,"")</f>
        <v>0</v>
      </c>
      <c r="G86" s="155">
        <f>SUM('Pay App 1:Pay App 31'!H86)</f>
        <v>0</v>
      </c>
      <c r="H86" s="154"/>
      <c r="I86" s="155">
        <f t="shared" si="0"/>
        <v>0</v>
      </c>
      <c r="J86" s="156">
        <f t="shared" si="1"/>
        <v>0</v>
      </c>
      <c r="K86" s="155">
        <f t="shared" si="2"/>
        <v>0</v>
      </c>
      <c r="L86" s="155" t="str">
        <f>IF(AND('Summary Sheet'!$E$23="No",$H$33&gt;0,H86&gt;=1),"",IF(AND('Summary Sheet'!$E$23="Yes",H86&lt;&gt;""),H86*'Summary Sheet'!$G$23,""))</f>
        <v/>
      </c>
      <c r="M86" s="154"/>
      <c r="N86" s="155">
        <f>SUM('Pay App 1:Pay App 32'!L86)+SUM('Pay App 1:Pay App 32'!M86)</f>
        <v>0</v>
      </c>
    </row>
    <row r="87" spans="1:14" ht="11.25" customHeight="1" x14ac:dyDescent="0.25">
      <c r="A87" s="152">
        <v>31</v>
      </c>
      <c r="B87" s="174" t="str">
        <f>'Pay App 1'!B87</f>
        <v>07 26 00</v>
      </c>
      <c r="C87" s="179" t="str">
        <f>'Pay App 1'!C87</f>
        <v>Vapor Retarders</v>
      </c>
      <c r="D87" s="155">
        <f>'Pay App 1'!D87</f>
        <v>0</v>
      </c>
      <c r="E87" s="155">
        <f>VLOOKUP(B87,'Graph Data'!$O$2:$BX$88,34,FALSE)</f>
        <v>0</v>
      </c>
      <c r="F87" s="155">
        <f>IFERROR(E87+'Pay App 31'!F87,"")</f>
        <v>0</v>
      </c>
      <c r="G87" s="155">
        <f>SUM('Pay App 1:Pay App 31'!H87)</f>
        <v>0</v>
      </c>
      <c r="H87" s="154"/>
      <c r="I87" s="155">
        <f t="shared" si="0"/>
        <v>0</v>
      </c>
      <c r="J87" s="156">
        <f t="shared" si="1"/>
        <v>0</v>
      </c>
      <c r="K87" s="155">
        <f t="shared" si="2"/>
        <v>0</v>
      </c>
      <c r="L87" s="155" t="str">
        <f>IF(AND('Summary Sheet'!$E$23="No",$H$33&gt;0,H87&gt;=1),"",IF(AND('Summary Sheet'!$E$23="Yes",H87&lt;&gt;""),H87*'Summary Sheet'!$G$23,""))</f>
        <v/>
      </c>
      <c r="M87" s="154"/>
      <c r="N87" s="155">
        <f>SUM('Pay App 1:Pay App 32'!L87)+SUM('Pay App 1:Pay App 32'!M87)</f>
        <v>0</v>
      </c>
    </row>
    <row r="88" spans="1:14" ht="11.25" customHeight="1" x14ac:dyDescent="0.25">
      <c r="A88" s="152">
        <v>32</v>
      </c>
      <c r="B88" s="174" t="str">
        <f>'Pay App 1'!B88</f>
        <v>07 41 00</v>
      </c>
      <c r="C88" s="179" t="str">
        <f>'Pay App 1'!C88</f>
        <v>Roofing</v>
      </c>
      <c r="D88" s="155">
        <f>'Pay App 1'!D88</f>
        <v>0</v>
      </c>
      <c r="E88" s="155">
        <f>VLOOKUP(B88,'Graph Data'!$O$2:$BX$88,34,FALSE)</f>
        <v>0</v>
      </c>
      <c r="F88" s="155">
        <f>IFERROR(E88+'Pay App 31'!F88,"")</f>
        <v>0</v>
      </c>
      <c r="G88" s="155">
        <f>SUM('Pay App 1:Pay App 31'!H88)</f>
        <v>0</v>
      </c>
      <c r="H88" s="154"/>
      <c r="I88" s="155">
        <f t="shared" si="0"/>
        <v>0</v>
      </c>
      <c r="J88" s="156">
        <f t="shared" si="1"/>
        <v>0</v>
      </c>
      <c r="K88" s="155">
        <f t="shared" si="2"/>
        <v>0</v>
      </c>
      <c r="L88" s="155" t="str">
        <f>IF(AND('Summary Sheet'!$E$23="No",$H$33&gt;0,H88&gt;=1),"",IF(AND('Summary Sheet'!$E$23="Yes",H88&lt;&gt;""),H88*'Summary Sheet'!$G$23,""))</f>
        <v/>
      </c>
      <c r="M88" s="154"/>
      <c r="N88" s="155">
        <f>SUM('Pay App 1:Pay App 32'!L88)+SUM('Pay App 1:Pay App 32'!M88)</f>
        <v>0</v>
      </c>
    </row>
    <row r="89" spans="1:14" ht="11.25" customHeight="1" x14ac:dyDescent="0.25">
      <c r="A89" s="152">
        <v>33</v>
      </c>
      <c r="B89" s="174" t="str">
        <f>'Pay App 1'!B89</f>
        <v>07 42 00</v>
      </c>
      <c r="C89" s="179" t="str">
        <f>'Pay App 1'!C89</f>
        <v>Metal Panels</v>
      </c>
      <c r="D89" s="155">
        <f>'Pay App 1'!D89</f>
        <v>0</v>
      </c>
      <c r="E89" s="155">
        <f>VLOOKUP(B89,'Graph Data'!$O$2:$BX$88,34,FALSE)</f>
        <v>0</v>
      </c>
      <c r="F89" s="155">
        <f>IFERROR(E89+'Pay App 31'!F89,"")</f>
        <v>0</v>
      </c>
      <c r="G89" s="155">
        <f>SUM('Pay App 1:Pay App 31'!H89)</f>
        <v>0</v>
      </c>
      <c r="H89" s="154"/>
      <c r="I89" s="155">
        <f t="shared" si="0"/>
        <v>0</v>
      </c>
      <c r="J89" s="156">
        <f t="shared" si="1"/>
        <v>0</v>
      </c>
      <c r="K89" s="155">
        <f t="shared" si="2"/>
        <v>0</v>
      </c>
      <c r="L89" s="155" t="str">
        <f>IF(AND('Summary Sheet'!$E$23="No",$H$33&gt;0,H89&gt;=1),"",IF(AND('Summary Sheet'!$E$23="Yes",H89&lt;&gt;""),H89*'Summary Sheet'!$G$23,""))</f>
        <v/>
      </c>
      <c r="M89" s="154"/>
      <c r="N89" s="155">
        <f>SUM('Pay App 1:Pay App 32'!L89)+SUM('Pay App 1:Pay App 32'!M89)</f>
        <v>0</v>
      </c>
    </row>
    <row r="90" spans="1:14" ht="11.25" customHeight="1" x14ac:dyDescent="0.25">
      <c r="A90" s="152">
        <v>34</v>
      </c>
      <c r="B90" s="174" t="str">
        <f>'Pay App 1'!B90</f>
        <v>07 60 00</v>
      </c>
      <c r="C90" s="179" t="str">
        <f>'Pay App 1'!C90</f>
        <v>Sheet Metal Flashing &amp; Trim</v>
      </c>
      <c r="D90" s="155">
        <f>'Pay App 1'!D90</f>
        <v>0</v>
      </c>
      <c r="E90" s="155">
        <f>VLOOKUP(B90,'Graph Data'!$O$2:$BX$88,34,FALSE)</f>
        <v>0</v>
      </c>
      <c r="F90" s="155">
        <f>IFERROR(E90+'Pay App 31'!F90,"")</f>
        <v>0</v>
      </c>
      <c r="G90" s="155">
        <f>SUM('Pay App 1:Pay App 31'!H90)</f>
        <v>0</v>
      </c>
      <c r="H90" s="154"/>
      <c r="I90" s="155">
        <f t="shared" si="0"/>
        <v>0</v>
      </c>
      <c r="J90" s="156">
        <f t="shared" si="1"/>
        <v>0</v>
      </c>
      <c r="K90" s="155">
        <f t="shared" si="2"/>
        <v>0</v>
      </c>
      <c r="L90" s="155" t="str">
        <f>IF(AND('Summary Sheet'!$E$23="No",$H$33&gt;0,H90&gt;=1),"",IF(AND('Summary Sheet'!$E$23="Yes",H90&lt;&gt;""),H90*'Summary Sheet'!$G$23,""))</f>
        <v/>
      </c>
      <c r="M90" s="154"/>
      <c r="N90" s="155">
        <f>SUM('Pay App 1:Pay App 32'!L90)+SUM('Pay App 1:Pay App 32'!M90)</f>
        <v>0</v>
      </c>
    </row>
    <row r="91" spans="1:14" ht="11.25" customHeight="1" x14ac:dyDescent="0.25">
      <c r="A91" s="152">
        <v>35</v>
      </c>
      <c r="B91" s="174" t="str">
        <f>'Pay App 1'!B91</f>
        <v>07 80 00</v>
      </c>
      <c r="C91" s="179" t="str">
        <f>'Pay App 1'!C91</f>
        <v>Fireproofing</v>
      </c>
      <c r="D91" s="155">
        <f>'Pay App 1'!D91</f>
        <v>0</v>
      </c>
      <c r="E91" s="155">
        <f>VLOOKUP(B91,'Graph Data'!$O$2:$BX$88,34,FALSE)</f>
        <v>0</v>
      </c>
      <c r="F91" s="155">
        <f>IFERROR(E91+'Pay App 31'!F91,"")</f>
        <v>0</v>
      </c>
      <c r="G91" s="155">
        <f>SUM('Pay App 1:Pay App 31'!H91)</f>
        <v>0</v>
      </c>
      <c r="H91" s="154"/>
      <c r="I91" s="155">
        <f t="shared" si="0"/>
        <v>0</v>
      </c>
      <c r="J91" s="156">
        <f t="shared" si="1"/>
        <v>0</v>
      </c>
      <c r="K91" s="155">
        <f t="shared" si="2"/>
        <v>0</v>
      </c>
      <c r="L91" s="155" t="str">
        <f>IF(AND('Summary Sheet'!$E$23="No",$H$33&gt;0,H91&gt;=1),"",IF(AND('Summary Sheet'!$E$23="Yes",H91&lt;&gt;""),H91*'Summary Sheet'!$G$23,""))</f>
        <v/>
      </c>
      <c r="M91" s="154"/>
      <c r="N91" s="155">
        <f>SUM('Pay App 1:Pay App 32'!L91)+SUM('Pay App 1:Pay App 32'!M91)</f>
        <v>0</v>
      </c>
    </row>
    <row r="92" spans="1:14" ht="11.25" customHeight="1" x14ac:dyDescent="0.25">
      <c r="A92" s="152">
        <v>36</v>
      </c>
      <c r="B92" s="174" t="str">
        <f>'Pay App 1'!B92</f>
        <v>07 90 00</v>
      </c>
      <c r="C92" s="179" t="str">
        <f>'Pay App 1'!C92</f>
        <v>Joint Sealants</v>
      </c>
      <c r="D92" s="155">
        <f>'Pay App 1'!D92</f>
        <v>0</v>
      </c>
      <c r="E92" s="155">
        <f>VLOOKUP(B92,'Graph Data'!$O$2:$BX$88,34,FALSE)</f>
        <v>0</v>
      </c>
      <c r="F92" s="155">
        <f>IFERROR(E92+'Pay App 31'!F92,"")</f>
        <v>0</v>
      </c>
      <c r="G92" s="155">
        <f>SUM('Pay App 1:Pay App 31'!H92)</f>
        <v>0</v>
      </c>
      <c r="H92" s="154"/>
      <c r="I92" s="155">
        <f t="shared" si="0"/>
        <v>0</v>
      </c>
      <c r="J92" s="156">
        <f t="shared" si="1"/>
        <v>0</v>
      </c>
      <c r="K92" s="155">
        <f t="shared" si="2"/>
        <v>0</v>
      </c>
      <c r="L92" s="155" t="str">
        <f>IF(AND('Summary Sheet'!$E$23="No",$H$33&gt;0,H92&gt;=1),"",IF(AND('Summary Sheet'!$E$23="Yes",H92&lt;&gt;""),H92*'Summary Sheet'!$G$23,""))</f>
        <v/>
      </c>
      <c r="M92" s="154"/>
      <c r="N92" s="155">
        <f>SUM('Pay App 1:Pay App 32'!L92)+SUM('Pay App 1:Pay App 32'!M92)</f>
        <v>0</v>
      </c>
    </row>
    <row r="93" spans="1:14" ht="11.25" customHeight="1" x14ac:dyDescent="0.25">
      <c r="A93" s="152">
        <v>37</v>
      </c>
      <c r="B93" s="174" t="str">
        <f>'Pay App 1'!B93</f>
        <v>07 95 00</v>
      </c>
      <c r="C93" s="179" t="str">
        <f>'Pay App 1'!C93</f>
        <v>Expansion Joints</v>
      </c>
      <c r="D93" s="155">
        <f>'Pay App 1'!D93</f>
        <v>0</v>
      </c>
      <c r="E93" s="155">
        <f>VLOOKUP(B93,'Graph Data'!$O$2:$BX$88,34,FALSE)</f>
        <v>0</v>
      </c>
      <c r="F93" s="155">
        <f>IFERROR(E93+'Pay App 31'!F93,"")</f>
        <v>0</v>
      </c>
      <c r="G93" s="155">
        <f>SUM('Pay App 1:Pay App 31'!H93)</f>
        <v>0</v>
      </c>
      <c r="H93" s="154"/>
      <c r="I93" s="155">
        <f t="shared" si="0"/>
        <v>0</v>
      </c>
      <c r="J93" s="156">
        <f t="shared" si="1"/>
        <v>0</v>
      </c>
      <c r="K93" s="155">
        <f t="shared" si="2"/>
        <v>0</v>
      </c>
      <c r="L93" s="155" t="str">
        <f>IF(AND('Summary Sheet'!$E$23="No",$H$33&gt;0,H93&gt;=1),"",IF(AND('Summary Sheet'!$E$23="Yes",H93&lt;&gt;""),H93*'Summary Sheet'!$G$23,""))</f>
        <v/>
      </c>
      <c r="M93" s="154"/>
      <c r="N93" s="155">
        <f>SUM('Pay App 1:Pay App 32'!L93)+SUM('Pay App 1:Pay App 32'!M93)</f>
        <v>0</v>
      </c>
    </row>
    <row r="94" spans="1:14" ht="11.25" customHeight="1" x14ac:dyDescent="0.25">
      <c r="A94" s="152">
        <v>38</v>
      </c>
      <c r="B94" s="175" t="str">
        <f>'Pay App 1'!B94</f>
        <v>08 10 00</v>
      </c>
      <c r="C94" s="180" t="str">
        <f>'Pay App 1'!C94</f>
        <v>Doors, Frames &amp; Hardware</v>
      </c>
      <c r="D94" s="155">
        <f>'Pay App 1'!D94</f>
        <v>0</v>
      </c>
      <c r="E94" s="155">
        <f>VLOOKUP(B94,'Graph Data'!$O$2:$BX$88,34,FALSE)</f>
        <v>0</v>
      </c>
      <c r="F94" s="155">
        <f>IFERROR(E94+'Pay App 31'!F94,"")</f>
        <v>0</v>
      </c>
      <c r="G94" s="155">
        <f>SUM('Pay App 1:Pay App 31'!H94)</f>
        <v>0</v>
      </c>
      <c r="H94" s="154"/>
      <c r="I94" s="155">
        <f t="shared" si="0"/>
        <v>0</v>
      </c>
      <c r="J94" s="156">
        <f t="shared" si="1"/>
        <v>0</v>
      </c>
      <c r="K94" s="155">
        <f t="shared" si="2"/>
        <v>0</v>
      </c>
      <c r="L94" s="155" t="str">
        <f>IF(AND('Summary Sheet'!$E$23="No",$H$33&gt;0,H94&gt;=1),"",IF(AND('Summary Sheet'!$E$23="Yes",H94&lt;&gt;""),H94*'Summary Sheet'!$G$23,""))</f>
        <v/>
      </c>
      <c r="M94" s="154"/>
      <c r="N94" s="155">
        <f>SUM('Pay App 1:Pay App 32'!L94)+SUM('Pay App 1:Pay App 32'!M94)</f>
        <v>0</v>
      </c>
    </row>
    <row r="95" spans="1:14" ht="11.25" customHeight="1" x14ac:dyDescent="0.25">
      <c r="A95" s="152">
        <v>39</v>
      </c>
      <c r="B95" s="175" t="str">
        <f>'Pay App 1'!B95</f>
        <v>08 30 00</v>
      </c>
      <c r="C95" s="180" t="str">
        <f>'Pay App 1'!C95</f>
        <v>Specialty Doors</v>
      </c>
      <c r="D95" s="155">
        <f>'Pay App 1'!D95</f>
        <v>0</v>
      </c>
      <c r="E95" s="155">
        <f>VLOOKUP(B95,'Graph Data'!$O$2:$BX$88,34,FALSE)</f>
        <v>0</v>
      </c>
      <c r="F95" s="155">
        <f>IFERROR(E95+'Pay App 31'!F95,"")</f>
        <v>0</v>
      </c>
      <c r="G95" s="155">
        <f>SUM('Pay App 1:Pay App 31'!H95)</f>
        <v>0</v>
      </c>
      <c r="H95" s="154"/>
      <c r="I95" s="155">
        <f t="shared" si="0"/>
        <v>0</v>
      </c>
      <c r="J95" s="156">
        <f t="shared" si="1"/>
        <v>0</v>
      </c>
      <c r="K95" s="155">
        <f t="shared" si="2"/>
        <v>0</v>
      </c>
      <c r="L95" s="155" t="str">
        <f>IF(AND('Summary Sheet'!$E$23="No",$H$33&gt;0,H95&gt;=1),"",IF(AND('Summary Sheet'!$E$23="Yes",H95&lt;&gt;""),H95*'Summary Sheet'!$G$23,""))</f>
        <v/>
      </c>
      <c r="M95" s="154"/>
      <c r="N95" s="155">
        <f>SUM('Pay App 1:Pay App 32'!L95)+SUM('Pay App 1:Pay App 32'!M95)</f>
        <v>0</v>
      </c>
    </row>
    <row r="96" spans="1:14" ht="11.25" customHeight="1" x14ac:dyDescent="0.25">
      <c r="A96" s="152">
        <v>40</v>
      </c>
      <c r="B96" s="175" t="str">
        <f>'Pay App 1'!B96</f>
        <v>08 33 00</v>
      </c>
      <c r="C96" s="180" t="str">
        <f>'Pay App 1'!C96</f>
        <v>Overhead Doors/Coiling Doors</v>
      </c>
      <c r="D96" s="155">
        <f>'Pay App 1'!D96</f>
        <v>0</v>
      </c>
      <c r="E96" s="155">
        <f>VLOOKUP(B96,'Graph Data'!$O$2:$BX$88,34,FALSE)</f>
        <v>0</v>
      </c>
      <c r="F96" s="155">
        <f>IFERROR(E96+'Pay App 31'!F96,"")</f>
        <v>0</v>
      </c>
      <c r="G96" s="155">
        <f>SUM('Pay App 1:Pay App 31'!H96)</f>
        <v>0</v>
      </c>
      <c r="H96" s="154"/>
      <c r="I96" s="155">
        <f t="shared" si="0"/>
        <v>0</v>
      </c>
      <c r="J96" s="156">
        <f t="shared" si="1"/>
        <v>0</v>
      </c>
      <c r="K96" s="155">
        <f t="shared" si="2"/>
        <v>0</v>
      </c>
      <c r="L96" s="155" t="str">
        <f>IF(AND('Summary Sheet'!$E$23="No",$H$33&gt;0,H96&gt;=1),"",IF(AND('Summary Sheet'!$E$23="Yes",H96&lt;&gt;""),H96*'Summary Sheet'!$G$23,""))</f>
        <v/>
      </c>
      <c r="M96" s="154"/>
      <c r="N96" s="155">
        <f>SUM('Pay App 1:Pay App 32'!L96)+SUM('Pay App 1:Pay App 32'!M96)</f>
        <v>0</v>
      </c>
    </row>
    <row r="97" spans="1:15" ht="11.25" customHeight="1" x14ac:dyDescent="0.25">
      <c r="A97" s="152">
        <v>41</v>
      </c>
      <c r="B97" s="175" t="str">
        <f>'Pay App 1'!B97</f>
        <v>08 40 00</v>
      </c>
      <c r="C97" s="180" t="str">
        <f>'Pay App 1'!C97</f>
        <v>Curtain Wall, Glass &amp; Glazing</v>
      </c>
      <c r="D97" s="155">
        <f>'Pay App 1'!D97</f>
        <v>0</v>
      </c>
      <c r="E97" s="155">
        <f>VLOOKUP(B97,'Graph Data'!$O$2:$BX$88,34,FALSE)</f>
        <v>0</v>
      </c>
      <c r="F97" s="155">
        <f>IFERROR(E97+'Pay App 31'!F97,"")</f>
        <v>0</v>
      </c>
      <c r="G97" s="155">
        <f>SUM('Pay App 1:Pay App 31'!H97)</f>
        <v>0</v>
      </c>
      <c r="H97" s="154"/>
      <c r="I97" s="155">
        <f t="shared" si="0"/>
        <v>0</v>
      </c>
      <c r="J97" s="156">
        <f t="shared" si="1"/>
        <v>0</v>
      </c>
      <c r="K97" s="155">
        <f t="shared" si="2"/>
        <v>0</v>
      </c>
      <c r="L97" s="155" t="str">
        <f>IF(AND('Summary Sheet'!$E$23="No",$H$33&gt;0,H97&gt;=1),"",IF(AND('Summary Sheet'!$E$23="Yes",H97&lt;&gt;""),H97*'Summary Sheet'!$G$23,""))</f>
        <v/>
      </c>
      <c r="M97" s="154"/>
      <c r="N97" s="155">
        <f>SUM('Pay App 1:Pay App 32'!L97)+SUM('Pay App 1:Pay App 32'!M97)</f>
        <v>0</v>
      </c>
    </row>
    <row r="98" spans="1:15" ht="10.9" customHeight="1" x14ac:dyDescent="0.25">
      <c r="A98" s="152">
        <v>42</v>
      </c>
      <c r="B98" s="175" t="str">
        <f>'Pay App 1'!B98</f>
        <v>08 60 00</v>
      </c>
      <c r="C98" s="180" t="str">
        <f>'Pay App 1'!C98</f>
        <v>Skylights</v>
      </c>
      <c r="D98" s="155">
        <f>'Pay App 1'!D98</f>
        <v>0</v>
      </c>
      <c r="E98" s="155">
        <f>VLOOKUP(B98,'Graph Data'!$O$2:$BX$88,34,FALSE)</f>
        <v>0</v>
      </c>
      <c r="F98" s="155">
        <f>IFERROR(E98+'Pay App 31'!F98,"")</f>
        <v>0</v>
      </c>
      <c r="G98" s="155">
        <f>SUM('Pay App 1:Pay App 31'!H98)</f>
        <v>0</v>
      </c>
      <c r="H98" s="154"/>
      <c r="I98" s="155">
        <f t="shared" si="0"/>
        <v>0</v>
      </c>
      <c r="J98" s="156">
        <f t="shared" si="1"/>
        <v>0</v>
      </c>
      <c r="K98" s="155">
        <f t="shared" si="2"/>
        <v>0</v>
      </c>
      <c r="L98" s="155" t="str">
        <f>IF(AND('Summary Sheet'!$E$23="No",$H$33&gt;0,H98&gt;=1),"",IF(AND('Summary Sheet'!$E$23="Yes",H98&lt;&gt;""),H98*'Summary Sheet'!$G$23,""))</f>
        <v/>
      </c>
      <c r="M98" s="154"/>
      <c r="N98" s="155">
        <f>SUM('Pay App 1:Pay App 32'!L98)+SUM('Pay App 1:Pay App 32'!M98)</f>
        <v>0</v>
      </c>
    </row>
    <row r="99" spans="1:15" ht="10.9" customHeight="1" x14ac:dyDescent="0.25">
      <c r="A99" s="152">
        <v>43</v>
      </c>
      <c r="B99" s="175" t="str">
        <f>'Pay App 1'!B99</f>
        <v>08 90 00</v>
      </c>
      <c r="C99" s="180" t="str">
        <f>'Pay App 1'!C99</f>
        <v>Louvers &amp; Vents</v>
      </c>
      <c r="D99" s="155">
        <f>'Pay App 1'!D99</f>
        <v>0</v>
      </c>
      <c r="E99" s="155">
        <f>VLOOKUP(B99,'Graph Data'!$O$2:$BX$88,34,FALSE)</f>
        <v>0</v>
      </c>
      <c r="F99" s="155">
        <f>IFERROR(E99+'Pay App 31'!F99,"")</f>
        <v>0</v>
      </c>
      <c r="G99" s="155">
        <f>SUM('Pay App 1:Pay App 31'!H99)</f>
        <v>0</v>
      </c>
      <c r="H99" s="154"/>
      <c r="I99" s="155">
        <f t="shared" si="0"/>
        <v>0</v>
      </c>
      <c r="J99" s="156">
        <f t="shared" si="1"/>
        <v>0</v>
      </c>
      <c r="K99" s="155">
        <f t="shared" si="2"/>
        <v>0</v>
      </c>
      <c r="L99" s="155" t="str">
        <f>IF(AND('Summary Sheet'!$E$23="No",$H$33&gt;0,H99&gt;=1),"",IF(AND('Summary Sheet'!$E$23="Yes",H99&lt;&gt;""),H99*'Summary Sheet'!$G$23,""))</f>
        <v/>
      </c>
      <c r="M99" s="154"/>
      <c r="N99" s="155">
        <f>SUM('Pay App 1:Pay App 32'!L99)+SUM('Pay App 1:Pay App 32'!M99)</f>
        <v>0</v>
      </c>
    </row>
    <row r="100" spans="1:15" ht="11.25" customHeight="1" x14ac:dyDescent="0.25">
      <c r="A100" s="153">
        <v>44</v>
      </c>
      <c r="B100" s="176" t="str">
        <f>'Pay App 1'!B100</f>
        <v>09 20 00</v>
      </c>
      <c r="C100" s="181" t="str">
        <f>'Pay App 1'!C100</f>
        <v>Gypsum Board Systems</v>
      </c>
      <c r="D100" s="155">
        <f>'Pay App 1'!D100</f>
        <v>0</v>
      </c>
      <c r="E100" s="155">
        <f>VLOOKUP(B100,'Graph Data'!$O$2:$BX$88,34,FALSE)</f>
        <v>0</v>
      </c>
      <c r="F100" s="155">
        <f>IFERROR(E100+'Pay App 31'!F100,"")</f>
        <v>0</v>
      </c>
      <c r="G100" s="155">
        <f>SUM('Pay App 1:Pay App 31'!H100)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32'!L100)+SUM('Pay App 1:Pay App 32'!M100)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32.200000000000003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Data'!$O$2:$BX$88,34,FALSE)</f>
        <v>0</v>
      </c>
      <c r="F106" s="155">
        <f>IFERROR(E106+'Pay App 31'!F106,"")</f>
        <v>0</v>
      </c>
      <c r="G106" s="155">
        <f>SUM('Pay App 1:Pay App 31'!H106)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32'!L106)+SUM('Pay App 1:Pay App 32'!M106)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Data'!$O$2:$BX$88,34,FALSE)</f>
        <v>0</v>
      </c>
      <c r="F107" s="155">
        <f>IFERROR(E107+'Pay App 31'!F107,"")</f>
        <v>0</v>
      </c>
      <c r="G107" s="155">
        <f>SUM('Pay App 1:Pay App 31'!H107)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32'!L107)+SUM('Pay App 1:Pay App 32'!M107)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Data'!$O$2:$BX$88,34,FALSE)</f>
        <v>0</v>
      </c>
      <c r="F108" s="155">
        <f>IFERROR(E108+'Pay App 31'!F108,"")</f>
        <v>0</v>
      </c>
      <c r="G108" s="155">
        <f>SUM('Pay App 1:Pay App 31'!H108)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32'!L108)+SUM('Pay App 1:Pay App 32'!M108)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Data'!$O$2:$BX$88,34,FALSE)</f>
        <v>0</v>
      </c>
      <c r="F109" s="155">
        <f>IFERROR(E109+'Pay App 31'!F109,"")</f>
        <v>0</v>
      </c>
      <c r="G109" s="155">
        <f>SUM('Pay App 1:Pay App 31'!H109)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32'!L109)+SUM('Pay App 1:Pay App 32'!M109)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Data'!$O$2:$BX$88,34,FALSE)</f>
        <v>0</v>
      </c>
      <c r="F110" s="155">
        <f>IFERROR(E110+'Pay App 31'!F110,"")</f>
        <v>0</v>
      </c>
      <c r="G110" s="155">
        <f>SUM('Pay App 1:Pay App 31'!H110)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32'!L110)+SUM('Pay App 1:Pay App 32'!M110)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Data'!$O$2:$BX$88,34,FALSE)</f>
        <v>0</v>
      </c>
      <c r="F111" s="155">
        <f>IFERROR(E111+'Pay App 31'!F111,"")</f>
        <v>0</v>
      </c>
      <c r="G111" s="155">
        <f>SUM('Pay App 1:Pay App 31'!H111)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32'!L111)+SUM('Pay App 1:Pay App 32'!M111)</f>
        <v>0</v>
      </c>
    </row>
    <row r="112" spans="1:15" ht="11.25" customHeight="1" x14ac:dyDescent="0.25">
      <c r="A112" s="152">
        <f t="shared" si="3"/>
        <v>51</v>
      </c>
      <c r="B112" s="148" t="str">
        <f>'Pay App 1'!B112</f>
        <v>09 90 00</v>
      </c>
      <c r="C112" s="143" t="str">
        <f>'Pay App 1'!C112</f>
        <v>Painting</v>
      </c>
      <c r="D112" s="155">
        <f>'Pay App 1'!D112</f>
        <v>0</v>
      </c>
      <c r="E112" s="155">
        <f>VLOOKUP(B112,'Graph Data'!$O$2:$BX$88,34,FALSE)</f>
        <v>0</v>
      </c>
      <c r="F112" s="155">
        <f>IFERROR(E112+'Pay App 31'!F112,"")</f>
        <v>0</v>
      </c>
      <c r="G112" s="155">
        <f>SUM('Pay App 1:Pay App 31'!H112)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32'!L112)+SUM('Pay App 1:Pay App 32'!M112)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Data'!$O$2:$BX$88,34,FALSE)</f>
        <v>0</v>
      </c>
      <c r="F113" s="155">
        <f>IFERROR(E113+'Pay App 31'!F113,"")</f>
        <v>0</v>
      </c>
      <c r="G113" s="155">
        <f>SUM('Pay App 1:Pay App 31'!H113)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32'!L113)+SUM('Pay App 1:Pay App 32'!M113)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Data'!$O$2:$BX$88,34,FALSE)</f>
        <v>0</v>
      </c>
      <c r="F114" s="155">
        <f>IFERROR(E114+'Pay App 31'!F114,"")</f>
        <v>0</v>
      </c>
      <c r="G114" s="155">
        <f>SUM('Pay App 1:Pay App 31'!H114)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32'!L114)+SUM('Pay App 1:Pay App 32'!M114)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Data'!$O$2:$BX$88,34,FALSE)</f>
        <v>0</v>
      </c>
      <c r="F115" s="155">
        <f>IFERROR(E115+'Pay App 31'!F115,"")</f>
        <v>0</v>
      </c>
      <c r="G115" s="155">
        <f>SUM('Pay App 1:Pay App 31'!H115)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32'!L115)+SUM('Pay App 1:Pay App 32'!M115)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Data'!$O$2:$BX$88,34,FALSE)</f>
        <v>0</v>
      </c>
      <c r="F116" s="155">
        <f>IFERROR(E116+'Pay App 31'!F116,"")</f>
        <v>0</v>
      </c>
      <c r="G116" s="155">
        <f>SUM('Pay App 1:Pay App 31'!H116)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32'!L116)+SUM('Pay App 1:Pay App 32'!M116)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Data'!$O$2:$BX$88,34,FALSE)</f>
        <v>0</v>
      </c>
      <c r="F117" s="155">
        <f>IFERROR(E117+'Pay App 31'!F117,"")</f>
        <v>0</v>
      </c>
      <c r="G117" s="155">
        <f>SUM('Pay App 1:Pay App 31'!H117)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32'!L117)+SUM('Pay App 1:Pay App 32'!M117)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Data'!$O$2:$BX$88,34,FALSE)</f>
        <v>0</v>
      </c>
      <c r="F118" s="155">
        <f>IFERROR(E118+'Pay App 31'!F118,"")</f>
        <v>0</v>
      </c>
      <c r="G118" s="155">
        <f>SUM('Pay App 1:Pay App 31'!H118)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32'!L118)+SUM('Pay App 1:Pay App 32'!M118)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Data'!$O$2:$BX$88,34,FALSE)</f>
        <v>0</v>
      </c>
      <c r="F119" s="155">
        <f>IFERROR(E119+'Pay App 31'!F119,"")</f>
        <v>0</v>
      </c>
      <c r="G119" s="155">
        <f>SUM('Pay App 1:Pay App 31'!H119)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32'!L119)+SUM('Pay App 1:Pay App 32'!M119)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Data'!$O$2:$BX$88,34,FALSE)</f>
        <v>0</v>
      </c>
      <c r="F120" s="155">
        <f>IFERROR(E120+'Pay App 31'!F120,"")</f>
        <v>0</v>
      </c>
      <c r="G120" s="155">
        <f>SUM('Pay App 1:Pay App 31'!H120)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32'!L120)+SUM('Pay App 1:Pay App 32'!M120)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Data'!$O$2:$BX$88,34,FALSE)</f>
        <v>0</v>
      </c>
      <c r="F121" s="155">
        <f>IFERROR(E121+'Pay App 31'!F121,"")</f>
        <v>0</v>
      </c>
      <c r="G121" s="155">
        <f>SUM('Pay App 1:Pay App 31'!H121)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32'!L121)+SUM('Pay App 1:Pay App 32'!M121)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Data'!$O$2:$BX$88,34,FALSE)</f>
        <v>0</v>
      </c>
      <c r="F122" s="155">
        <f>IFERROR(E122+'Pay App 31'!F122,"")</f>
        <v>0</v>
      </c>
      <c r="G122" s="155">
        <f>SUM('Pay App 1:Pay App 31'!H122)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32'!L122)+SUM('Pay App 1:Pay App 32'!M122)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Data'!$O$2:$BX$88,34,FALSE)</f>
        <v>0</v>
      </c>
      <c r="F123" s="155">
        <f>IFERROR(E123+'Pay App 31'!F123,"")</f>
        <v>0</v>
      </c>
      <c r="G123" s="155">
        <f>SUM('Pay App 1:Pay App 31'!H123)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32'!L123)+SUM('Pay App 1:Pay App 32'!M123)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Data'!$O$2:$BX$88,34,FALSE)</f>
        <v>0</v>
      </c>
      <c r="F124" s="155">
        <f>IFERROR(E124+'Pay App 31'!F124,"")</f>
        <v>0</v>
      </c>
      <c r="G124" s="155">
        <f>SUM('Pay App 1:Pay App 31'!H124)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32'!L124)+SUM('Pay App 1:Pay App 32'!M124)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Data'!$O$2:$BX$88,34,FALSE)</f>
        <v>0</v>
      </c>
      <c r="F125" s="155">
        <f>IFERROR(E125+'Pay App 31'!F125,"")</f>
        <v>0</v>
      </c>
      <c r="G125" s="155">
        <f>SUM('Pay App 1:Pay App 31'!H125)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32'!L125)+SUM('Pay App 1:Pay App 32'!M125)</f>
        <v>0</v>
      </c>
    </row>
    <row r="126" spans="1:14" ht="11.25" customHeight="1" x14ac:dyDescent="0.25">
      <c r="A126" s="152">
        <f t="shared" si="3"/>
        <v>65</v>
      </c>
      <c r="B126" s="188" t="str">
        <f>'Pay App 1'!B126</f>
        <v>14 20 00</v>
      </c>
      <c r="C126" s="194" t="str">
        <f>'Pay App 1'!C126</f>
        <v>Elevator</v>
      </c>
      <c r="D126" s="155">
        <f>'Pay App 1'!D126</f>
        <v>0</v>
      </c>
      <c r="E126" s="155">
        <f>VLOOKUP(B126,'Graph Data'!$O$2:$BX$88,34,FALSE)</f>
        <v>0</v>
      </c>
      <c r="F126" s="155">
        <f>IFERROR(E126+'Pay App 31'!F126,"")</f>
        <v>0</v>
      </c>
      <c r="G126" s="155">
        <f>SUM('Pay App 1:Pay App 31'!H126)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32'!L126)+SUM('Pay App 1:Pay App 32'!M126)</f>
        <v>0</v>
      </c>
    </row>
    <row r="127" spans="1:14" ht="11.25" customHeight="1" x14ac:dyDescent="0.25">
      <c r="A127" s="152">
        <f t="shared" si="3"/>
        <v>66</v>
      </c>
      <c r="B127" s="188" t="str">
        <f>'Pay App 1'!B127</f>
        <v>14 40 00</v>
      </c>
      <c r="C127" s="194" t="str">
        <f>'Pay App 1'!C127</f>
        <v>Lifts</v>
      </c>
      <c r="D127" s="155">
        <f>'Pay App 1'!D127</f>
        <v>0</v>
      </c>
      <c r="E127" s="155">
        <f>VLOOKUP(B127,'Graph Data'!$O$2:$BX$88,34,FALSE)</f>
        <v>0</v>
      </c>
      <c r="F127" s="155">
        <f>IFERROR(E127+'Pay App 31'!F127,"")</f>
        <v>0</v>
      </c>
      <c r="G127" s="155">
        <f>SUM('Pay App 1:Pay App 31'!H127)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32'!L127)+SUM('Pay App 1:Pay App 32'!M127)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Data'!$O$2:$BX$88,34,FALSE)</f>
        <v>0</v>
      </c>
      <c r="F128" s="155">
        <f>IFERROR(E128+'Pay App 31'!F128,"")</f>
        <v>0</v>
      </c>
      <c r="G128" s="155">
        <f>SUM('Pay App 1:Pay App 31'!H128)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32'!L128)+SUM('Pay App 1:Pay App 32'!M128)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Data'!$O$2:$BX$88,34,FALSE)</f>
        <v>0</v>
      </c>
      <c r="F129" s="155">
        <f>IFERROR(E129+'Pay App 31'!F129,"")</f>
        <v>0</v>
      </c>
      <c r="G129" s="155">
        <f>SUM('Pay App 1:Pay App 31'!H129)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32'!L129)+SUM('Pay App 1:Pay App 32'!M129)</f>
        <v>0</v>
      </c>
    </row>
    <row r="130" spans="1:14" ht="11.25" customHeight="1" x14ac:dyDescent="0.25">
      <c r="A130" s="152">
        <f t="shared" si="3"/>
        <v>69</v>
      </c>
      <c r="B130" s="185" t="str">
        <f>'Pay App 1'!B130</f>
        <v>22 00 00</v>
      </c>
      <c r="C130" s="191" t="str">
        <f>'Pay App 1'!C130</f>
        <v>Plumbing</v>
      </c>
      <c r="D130" s="155">
        <f>'Pay App 1'!D130</f>
        <v>0</v>
      </c>
      <c r="E130" s="155">
        <f>VLOOKUP(B130,'Graph Data'!$O$2:$BX$88,34,FALSE)</f>
        <v>0</v>
      </c>
      <c r="F130" s="155">
        <f>IFERROR(E130+'Pay App 31'!F130,"")</f>
        <v>0</v>
      </c>
      <c r="G130" s="155">
        <f>SUM('Pay App 1:Pay App 31'!H130)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32'!L130)+SUM('Pay App 1:Pay App 32'!M130)</f>
        <v>0</v>
      </c>
    </row>
    <row r="131" spans="1:14" ht="11.25" customHeight="1" x14ac:dyDescent="0.25">
      <c r="A131" s="152">
        <f t="shared" si="3"/>
        <v>70</v>
      </c>
      <c r="B131" s="186" t="str">
        <f>'Pay App 1'!B131</f>
        <v>23 00 00</v>
      </c>
      <c r="C131" s="192" t="str">
        <f>'Pay App 1'!C131</f>
        <v>HVAC</v>
      </c>
      <c r="D131" s="155">
        <f>'Pay App 1'!D131</f>
        <v>0</v>
      </c>
      <c r="E131" s="155">
        <f>VLOOKUP(B131,'Graph Data'!$O$2:$BX$88,34,FALSE)</f>
        <v>0</v>
      </c>
      <c r="F131" s="155">
        <f>IFERROR(E131+'Pay App 31'!F131,"")</f>
        <v>0</v>
      </c>
      <c r="G131" s="155">
        <f>SUM('Pay App 1:Pay App 31'!H131)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32'!L131)+SUM('Pay App 1:Pay App 32'!M131)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Data'!$O$2:$BX$88,34,FALSE)</f>
        <v>0</v>
      </c>
      <c r="F132" s="155">
        <f>IFERROR(E132+'Pay App 31'!F132,"")</f>
        <v>0</v>
      </c>
      <c r="G132" s="155">
        <f>SUM('Pay App 1:Pay App 31'!H132)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32'!L132)+SUM('Pay App 1:Pay App 32'!M132)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Data'!$O$2:$BX$88,34,FALSE)</f>
        <v>0</v>
      </c>
      <c r="F133" s="155">
        <f>IFERROR(E133+'Pay App 31'!F133,"")</f>
        <v>0</v>
      </c>
      <c r="G133" s="155">
        <f>SUM('Pay App 1:Pay App 31'!H133)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32'!L133)+SUM('Pay App 1:Pay App 32'!M133)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Data'!$O$2:$BX$88,34,FALSE)</f>
        <v>0</v>
      </c>
      <c r="F134" s="155">
        <f>IFERROR(E134+'Pay App 31'!F134,"")</f>
        <v>0</v>
      </c>
      <c r="G134" s="155">
        <f>SUM('Pay App 1:Pay App 31'!H134)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32'!L134)+SUM('Pay App 1:Pay App 32'!M134)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Data'!$O$2:$BX$88,34,FALSE)</f>
        <v>0</v>
      </c>
      <c r="F135" s="155">
        <f>IFERROR(E135+'Pay App 31'!F135,"")</f>
        <v>0</v>
      </c>
      <c r="G135" s="155">
        <f>SUM('Pay App 1:Pay App 31'!H135)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32'!L135)+SUM('Pay App 1:Pay App 32'!M135)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Data'!$O$2:$BX$88,34,FALSE)</f>
        <v>0</v>
      </c>
      <c r="F136" s="155">
        <f>IFERROR(E136+'Pay App 31'!F136,"")</f>
        <v>0</v>
      </c>
      <c r="G136" s="155">
        <f>SUM('Pay App 1:Pay App 31'!H136)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32'!L136)+SUM('Pay App 1:Pay App 32'!M136)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Data'!$O$2:$BX$88,34,FALSE)</f>
        <v>0</v>
      </c>
      <c r="F137" s="155">
        <f>IFERROR(E137+'Pay App 31'!F137,"")</f>
        <v>0</v>
      </c>
      <c r="G137" s="155">
        <f>SUM('Pay App 1:Pay App 31'!H137)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32'!L137)+SUM('Pay App 1:Pay App 32'!M137)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Data'!$O$2:$BX$88,34,FALSE)</f>
        <v>0</v>
      </c>
      <c r="F138" s="155">
        <f>IFERROR(E138+'Pay App 31'!F138,"")</f>
        <v>0</v>
      </c>
      <c r="G138" s="155">
        <f>SUM('Pay App 1:Pay App 31'!H138)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32'!L138)+SUM('Pay App 1:Pay App 32'!M138)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Data'!$O$2:$BX$88,34,FALSE)</f>
        <v>0</v>
      </c>
      <c r="F139" s="155">
        <f>IFERROR(E139+'Pay App 31'!F139,"")</f>
        <v>0</v>
      </c>
      <c r="G139" s="155">
        <f>SUM('Pay App 1:Pay App 31'!H139)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32'!L139)+SUM('Pay App 1:Pay App 32'!M139)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Data'!$O$2:$BX$88,34,FALSE)</f>
        <v>0</v>
      </c>
      <c r="F140" s="155">
        <f>IFERROR(E140+'Pay App 31'!F140,"")</f>
        <v>0</v>
      </c>
      <c r="G140" s="155">
        <f>SUM('Pay App 1:Pay App 31'!H140)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32'!L140)+SUM('Pay App 1:Pay App 32'!M140)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Data'!$O$2:$BX$88,34,FALSE)</f>
        <v>0</v>
      </c>
      <c r="F141" s="155">
        <f>IFERROR(E141+'Pay App 31'!F141,"")</f>
        <v>0</v>
      </c>
      <c r="G141" s="155">
        <f>SUM('Pay App 1:Pay App 31'!H141)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32'!L141)+SUM('Pay App 1:Pay App 32'!M141)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Data'!$O$2:$BX$88,34,FALSE)</f>
        <v>0</v>
      </c>
      <c r="F142" s="155">
        <f>IFERROR(E142+'Pay App 31'!F142,"")</f>
        <v>0</v>
      </c>
      <c r="G142" s="155">
        <f>SUM('Pay App 1:Pay App 31'!H142)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32'!L142)+SUM('Pay App 1:Pay App 32'!M142)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Data'!$O$2:$BX$88,34,FALSE)</f>
        <v>0</v>
      </c>
      <c r="F143" s="155">
        <f>IFERROR(E143+'Pay App 31'!F143,"")</f>
        <v>0</v>
      </c>
      <c r="G143" s="155">
        <f>SUM('Pay App 1:Pay App 31'!H143)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32'!L143)+SUM('Pay App 1:Pay App 32'!M143)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Data'!$O$2:$BX$88,34,FALSE)</f>
        <v>0</v>
      </c>
      <c r="F144" s="155">
        <f>IFERROR(E144+'Pay App 31'!F144,"")</f>
        <v>0</v>
      </c>
      <c r="G144" s="155">
        <f>SUM('Pay App 1:Pay App 31'!H144)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32'!L144)+SUM('Pay App 1:Pay App 32'!M144)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Data'!$O$2:$BX$88,34,FALSE)</f>
        <v>0</v>
      </c>
      <c r="F145" s="155">
        <f>IFERROR(E145+'Pay App 31'!F145,"")</f>
        <v>0</v>
      </c>
      <c r="G145" s="155">
        <f>SUM('Pay App 1:Pay App 31'!H145)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32'!L145)+SUM('Pay App 1:Pay App 32'!M145)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Data'!$O$2:$BX$88,34,FALSE)</f>
        <v>0</v>
      </c>
      <c r="F146" s="155">
        <f>IFERROR(E146+'Pay App 31'!F146,"")</f>
        <v>0</v>
      </c>
      <c r="G146" s="155">
        <f>SUM('Pay App 1:Pay App 31'!H146)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32'!L146)+SUM('Pay App 1:Pay App 32'!M146)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Data'!$O$2:$BX$88,34,FALSE)</f>
        <v>0</v>
      </c>
      <c r="F147" s="155">
        <f>IFERROR(E147+'Pay App 31'!F147,"")</f>
        <v>0</v>
      </c>
      <c r="G147" s="155">
        <f>SUM('Pay App 1:Pay App 31'!H147)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32'!L147)+SUM('Pay App 1:Pay App 32'!M147)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Data'!$O$2:$BX$88,34,FALSE)</f>
        <v>0</v>
      </c>
      <c r="F148" s="155">
        <f>IFERROR(E148+'Pay App 31'!F148,"")</f>
        <v>0</v>
      </c>
      <c r="G148" s="155">
        <f>SUM('Pay App 1:Pay App 31'!H148)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32'!L148)+SUM('Pay App 1:Pay App 32'!M148)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i4n1Hh1tVgLIoW8Cg4checoRaUnjtVqecjyU9htiivkhRH2m3Bg73IK05yHTdQP3fQApkfuyjQF1uLHsYflDzg==" saltValue="KwlIkdZj+afnj2eUXULNy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18" priority="2" operator="equal">
      <formula>0</formula>
    </cfRule>
  </conditionalFormatting>
  <conditionalFormatting sqref="D106:G148">
    <cfRule type="cellIs" dxfId="317" priority="1" operator="equal">
      <formula>0</formula>
    </cfRule>
  </conditionalFormatting>
  <conditionalFormatting sqref="D10:H10 D12:H14 D19:H21">
    <cfRule type="cellIs" dxfId="316" priority="6" operator="equal">
      <formula>0</formula>
    </cfRule>
  </conditionalFormatting>
  <conditionalFormatting sqref="H51">
    <cfRule type="cellIs" dxfId="315" priority="9" operator="lessThan">
      <formula>0</formula>
    </cfRule>
  </conditionalFormatting>
  <conditionalFormatting sqref="I57:I100 K57:K100 I106:I148 K106:K148 N106:N148">
    <cfRule type="cellIs" dxfId="314" priority="14" operator="equal">
      <formula>0</formula>
    </cfRule>
  </conditionalFormatting>
  <conditionalFormatting sqref="J57:J100 J106:J149">
    <cfRule type="cellIs" dxfId="313" priority="11" operator="greaterThan">
      <formula>1</formula>
    </cfRule>
    <cfRule type="cellIs" dxfId="312" priority="12" operator="equal">
      <formula>0</formula>
    </cfRule>
  </conditionalFormatting>
  <conditionalFormatting sqref="K57:K100 K106:K148">
    <cfRule type="cellIs" dxfId="311" priority="10" operator="lessThan">
      <formula>0</formula>
    </cfRule>
  </conditionalFormatting>
  <conditionalFormatting sqref="M57:M100">
    <cfRule type="cellIs" dxfId="310" priority="13" operator="lessThan">
      <formula>0</formula>
    </cfRule>
  </conditionalFormatting>
  <conditionalFormatting sqref="M106:M148">
    <cfRule type="cellIs" dxfId="309" priority="8" operator="lessThan">
      <formula>0</formula>
    </cfRule>
  </conditionalFormatting>
  <conditionalFormatting sqref="N57:N100">
    <cfRule type="cellIs" dxfId="308"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41406397-8223-4BFC-A836-23D344BB811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1EF63-EBBC-435E-ABC3-3A5177229A32}">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Data'!$O$2:$BX$88,35,FALSE)</f>
        <v>0</v>
      </c>
      <c r="F57" s="155">
        <f>IFERROR(E57+'Pay App 32'!F57,"")</f>
        <v>0</v>
      </c>
      <c r="G57" s="155">
        <f>SUM('Pay App 1:Pay App 32'!H57)</f>
        <v>0</v>
      </c>
      <c r="H57" s="154"/>
      <c r="I57" s="155">
        <f>G57+H57</f>
        <v>0</v>
      </c>
      <c r="J57" s="156">
        <f>IFERROR(I57/F57,0)</f>
        <v>0</v>
      </c>
      <c r="K57" s="155">
        <f>IFERROR(F57-I57,"")</f>
        <v>0</v>
      </c>
      <c r="L57" s="155" t="str">
        <f>IF(AND('Summary Sheet'!$E$23="No",$H$33&gt;0,H57&gt;=1),"",IF(AND('Summary Sheet'!$E$23="Yes",H57&lt;&gt;""),H57*'Summary Sheet'!$G$23,""))</f>
        <v/>
      </c>
      <c r="M57" s="154"/>
      <c r="N57" s="155">
        <f>SUM('Pay App 1:Pay App 33'!L57)+SUM('Pay App 1:Pay App 33'!M57)</f>
        <v>0</v>
      </c>
    </row>
    <row r="58" spans="1:16" ht="11.25" customHeight="1" x14ac:dyDescent="0.25">
      <c r="A58" s="152">
        <v>2</v>
      </c>
      <c r="B58" s="145" t="str">
        <f>'Pay App 1'!B58</f>
        <v>00 02 00</v>
      </c>
      <c r="C58" s="134" t="str">
        <f>'Pay App 1'!C58</f>
        <v>Preconstruction Services</v>
      </c>
      <c r="D58" s="155">
        <f>'Pay App 1'!D58</f>
        <v>0</v>
      </c>
      <c r="E58" s="155">
        <f>VLOOKUP(B58,'Graph Data'!$O$2:$BX$88,35,FALSE)</f>
        <v>0</v>
      </c>
      <c r="F58" s="155">
        <f>IFERROR(E58+'Pay App 32'!F58,"")</f>
        <v>0</v>
      </c>
      <c r="G58" s="155">
        <f>SUM('Pay App 1:Pay App 32'!H58)</f>
        <v>0</v>
      </c>
      <c r="H58" s="154"/>
      <c r="I58" s="155">
        <f>G58+H58</f>
        <v>0</v>
      </c>
      <c r="J58" s="156">
        <f>IFERROR(I58/F58,0)</f>
        <v>0</v>
      </c>
      <c r="K58" s="155">
        <f>IFERROR(F58-I58,"")</f>
        <v>0</v>
      </c>
      <c r="L58" s="155" t="str">
        <f>IF(AND('Summary Sheet'!$E$23="No",$H$33&gt;0,H58&gt;=1),"",IF(AND('Summary Sheet'!$E$23="Yes",H58&lt;&gt;""),H58*'Summary Sheet'!$G$23,""))</f>
        <v/>
      </c>
      <c r="M58" s="154"/>
      <c r="N58" s="155">
        <f>SUM('Pay App 1:Pay App 33'!L58)+SUM('Pay App 1:Pay App 33'!M58)</f>
        <v>0</v>
      </c>
    </row>
    <row r="59" spans="1:16" ht="11.25" customHeight="1" x14ac:dyDescent="0.25">
      <c r="A59" s="152">
        <v>3</v>
      </c>
      <c r="B59" s="174" t="str">
        <f>'Pay App 1'!B59</f>
        <v>01 00 00</v>
      </c>
      <c r="C59" s="179" t="str">
        <f>'Pay App 1'!C59</f>
        <v>General Conditions/Requirements</v>
      </c>
      <c r="D59" s="155">
        <f>'Pay App 1'!D59</f>
        <v>0</v>
      </c>
      <c r="E59" s="155">
        <f>VLOOKUP(B59,'Graph Data'!$O$2:$BX$88,35,FALSE)</f>
        <v>0</v>
      </c>
      <c r="F59" s="155">
        <f>IFERROR(E59+'Pay App 32'!F59,"")</f>
        <v>0</v>
      </c>
      <c r="G59" s="155">
        <f>SUM('Pay App 1:Pay App 32'!H59)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33'!L59)+SUM('Pay App 1:Pay App 33'!M59)</f>
        <v>0</v>
      </c>
    </row>
    <row r="60" spans="1:16" ht="11.25" customHeight="1" x14ac:dyDescent="0.25">
      <c r="A60" s="152">
        <v>4</v>
      </c>
      <c r="B60" s="174" t="str">
        <f>'Pay App 1'!B60</f>
        <v>01 13 41</v>
      </c>
      <c r="C60" s="179" t="str">
        <f>'Pay App 1'!C60</f>
        <v>Temp. Scaffolding and Platforms</v>
      </c>
      <c r="D60" s="155">
        <f>'Pay App 1'!D60</f>
        <v>0</v>
      </c>
      <c r="E60" s="155">
        <f>VLOOKUP(B60,'Graph Data'!$O$2:$BX$88,35,FALSE)</f>
        <v>0</v>
      </c>
      <c r="F60" s="155">
        <f>IFERROR(E60+'Pay App 32'!F60,"")</f>
        <v>0</v>
      </c>
      <c r="G60" s="155">
        <f>SUM('Pay App 1:Pay App 32'!H60)</f>
        <v>0</v>
      </c>
      <c r="H60" s="154"/>
      <c r="I60" s="155">
        <f t="shared" si="0"/>
        <v>0</v>
      </c>
      <c r="J60" s="156">
        <f t="shared" si="1"/>
        <v>0</v>
      </c>
      <c r="K60" s="155">
        <f t="shared" si="2"/>
        <v>0</v>
      </c>
      <c r="L60" s="155" t="str">
        <f>IF(AND('Summary Sheet'!$E$23="No",$H$33&gt;0,H60&gt;=1),"",IF(AND('Summary Sheet'!$E$23="Yes",H60&lt;&gt;""),H60*'Summary Sheet'!$G$23,""))</f>
        <v/>
      </c>
      <c r="M60" s="154"/>
      <c r="N60" s="155">
        <f>SUM('Pay App 1:Pay App 33'!L60)+SUM('Pay App 1:Pay App 33'!M60)</f>
        <v>0</v>
      </c>
    </row>
    <row r="61" spans="1:16" ht="11.25" customHeight="1" x14ac:dyDescent="0.25">
      <c r="A61" s="152">
        <v>5</v>
      </c>
      <c r="B61" s="174" t="str">
        <f>'Pay App 1'!B61</f>
        <v>01 13 60</v>
      </c>
      <c r="C61" s="179" t="str">
        <f>'Pay App 1'!C61</f>
        <v>SWPPP</v>
      </c>
      <c r="D61" s="155">
        <f>'Pay App 1'!D61</f>
        <v>0</v>
      </c>
      <c r="E61" s="155">
        <f>VLOOKUP(B61,'Graph Data'!$O$2:$BX$88,35,FALSE)</f>
        <v>0</v>
      </c>
      <c r="F61" s="155">
        <f>IFERROR(E61+'Pay App 32'!F61,"")</f>
        <v>0</v>
      </c>
      <c r="G61" s="155">
        <f>SUM('Pay App 1:Pay App 32'!H61)</f>
        <v>0</v>
      </c>
      <c r="H61" s="154"/>
      <c r="I61" s="155">
        <f t="shared" si="0"/>
        <v>0</v>
      </c>
      <c r="J61" s="156">
        <f t="shared" si="1"/>
        <v>0</v>
      </c>
      <c r="K61" s="155">
        <f t="shared" si="2"/>
        <v>0</v>
      </c>
      <c r="L61" s="155" t="str">
        <f>IF(AND('Summary Sheet'!$E$23="No",$H$33&gt;0,H61&gt;=1),"",IF(AND('Summary Sheet'!$E$23="Yes",H61&lt;&gt;""),H61*'Summary Sheet'!$G$23,""))</f>
        <v/>
      </c>
      <c r="M61" s="154"/>
      <c r="N61" s="155">
        <f>SUM('Pay App 1:Pay App 33'!L61)+SUM('Pay App 1:Pay App 33'!M61)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Data'!$O$2:$BX$88,35,FALSE)</f>
        <v>0</v>
      </c>
      <c r="F62" s="155">
        <f>IFERROR(E62+'Pay App 32'!F62,"")</f>
        <v>0</v>
      </c>
      <c r="G62" s="155">
        <f>SUM('Pay App 1:Pay App 32'!H62)</f>
        <v>0</v>
      </c>
      <c r="H62" s="154"/>
      <c r="I62" s="155">
        <f t="shared" si="0"/>
        <v>0</v>
      </c>
      <c r="J62" s="156">
        <f t="shared" si="1"/>
        <v>0</v>
      </c>
      <c r="K62" s="155">
        <f t="shared" si="2"/>
        <v>0</v>
      </c>
      <c r="L62" s="155" t="str">
        <f>IF(AND('Summary Sheet'!$E$23="No",$H$33&gt;0,H62&gt;=1),"",IF(AND('Summary Sheet'!$E$23="Yes",H62&lt;&gt;""),H62*'Summary Sheet'!$G$23,""))</f>
        <v/>
      </c>
      <c r="M62" s="154"/>
      <c r="N62" s="155">
        <f>SUM('Pay App 1:Pay App 33'!L62)+SUM('Pay App 1:Pay App 33'!M62)</f>
        <v>0</v>
      </c>
    </row>
    <row r="63" spans="1:16" ht="11.25" customHeight="1" x14ac:dyDescent="0.25">
      <c r="A63" s="152">
        <v>7</v>
      </c>
      <c r="B63" s="174" t="str">
        <f>'Pay App 1'!B63</f>
        <v>01 31 00</v>
      </c>
      <c r="C63" s="179" t="str">
        <f>'Pay App 1'!C63</f>
        <v>Contractor's Supervision</v>
      </c>
      <c r="D63" s="155">
        <f>'Pay App 1'!D63</f>
        <v>0</v>
      </c>
      <c r="E63" s="155">
        <f>VLOOKUP(B63,'Graph Data'!$O$2:$BX$88,35,FALSE)</f>
        <v>0</v>
      </c>
      <c r="F63" s="155">
        <f>IFERROR(E63+'Pay App 32'!F63,"")</f>
        <v>0</v>
      </c>
      <c r="G63" s="155">
        <f>SUM('Pay App 1:Pay App 32'!H63)</f>
        <v>0</v>
      </c>
      <c r="H63" s="154"/>
      <c r="I63" s="155">
        <f t="shared" si="0"/>
        <v>0</v>
      </c>
      <c r="J63" s="156">
        <f t="shared" si="1"/>
        <v>0</v>
      </c>
      <c r="K63" s="155">
        <f t="shared" si="2"/>
        <v>0</v>
      </c>
      <c r="L63" s="155" t="str">
        <f>IF(AND('Summary Sheet'!$E$23="No",$H$33&gt;0,H63&gt;=1),"",IF(AND('Summary Sheet'!$E$23="Yes",H63&lt;&gt;""),H63*'Summary Sheet'!$G$23,""))</f>
        <v/>
      </c>
      <c r="M63" s="154"/>
      <c r="N63" s="155">
        <f>SUM('Pay App 1:Pay App 33'!L63)+SUM('Pay App 1:Pay App 33'!M63)</f>
        <v>0</v>
      </c>
    </row>
    <row r="64" spans="1:16" ht="11.25" customHeight="1" x14ac:dyDescent="0.25">
      <c r="A64" s="152">
        <v>8</v>
      </c>
      <c r="B64" s="174" t="str">
        <f>'Pay App 1'!B64</f>
        <v>01 32 00</v>
      </c>
      <c r="C64" s="179" t="str">
        <f>'Pay App 1'!C64</f>
        <v>General Liability Insurance</v>
      </c>
      <c r="D64" s="155">
        <f>'Pay App 1'!D64</f>
        <v>0</v>
      </c>
      <c r="E64" s="155">
        <f>VLOOKUP(B64,'Graph Data'!$O$2:$BX$88,35,FALSE)</f>
        <v>0</v>
      </c>
      <c r="F64" s="155">
        <f>IFERROR(E64+'Pay App 32'!F64,"")</f>
        <v>0</v>
      </c>
      <c r="G64" s="155">
        <f>SUM('Pay App 1:Pay App 32'!H64)</f>
        <v>0</v>
      </c>
      <c r="H64" s="154"/>
      <c r="I64" s="155">
        <f t="shared" si="0"/>
        <v>0</v>
      </c>
      <c r="J64" s="156">
        <f t="shared" si="1"/>
        <v>0</v>
      </c>
      <c r="K64" s="155">
        <f t="shared" si="2"/>
        <v>0</v>
      </c>
      <c r="L64" s="155" t="str">
        <f>IF(AND('Summary Sheet'!$E$23="No",$H$33&gt;0,H64&gt;=1),"",IF(AND('Summary Sheet'!$E$23="Yes",H64&lt;&gt;""),H64*'Summary Sheet'!$G$23,""))</f>
        <v/>
      </c>
      <c r="M64" s="154"/>
      <c r="N64" s="155">
        <f>SUM('Pay App 1:Pay App 33'!L64)+SUM('Pay App 1:Pay App 33'!M64)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Data'!$O$2:$BX$88,35,FALSE)</f>
        <v>0</v>
      </c>
      <c r="F65" s="155">
        <f>IFERROR(E65+'Pay App 32'!F65,"")</f>
        <v>0</v>
      </c>
      <c r="G65" s="155">
        <f>SUM('Pay App 1:Pay App 32'!H65)</f>
        <v>0</v>
      </c>
      <c r="H65" s="154"/>
      <c r="I65" s="155">
        <f t="shared" si="0"/>
        <v>0</v>
      </c>
      <c r="J65" s="156">
        <f t="shared" si="1"/>
        <v>0</v>
      </c>
      <c r="K65" s="155">
        <f t="shared" si="2"/>
        <v>0</v>
      </c>
      <c r="L65" s="155" t="str">
        <f>IF(AND('Summary Sheet'!$E$23="No",$H$33&gt;0,H65&gt;=1),"",IF(AND('Summary Sheet'!$E$23="Yes",H65&lt;&gt;""),H65*'Summary Sheet'!$G$23,""))</f>
        <v/>
      </c>
      <c r="M65" s="154"/>
      <c r="N65" s="155">
        <f>SUM('Pay App 1:Pay App 33'!L65)+SUM('Pay App 1:Pay App 33'!M65)</f>
        <v>0</v>
      </c>
    </row>
    <row r="66" spans="1:17" ht="11.25" customHeight="1" x14ac:dyDescent="0.25">
      <c r="A66" s="152">
        <v>10</v>
      </c>
      <c r="B66" s="174" t="str">
        <f>'Pay App 1'!B66</f>
        <v>01 34 00</v>
      </c>
      <c r="C66" s="179" t="str">
        <f>'Pay App 1'!C66</f>
        <v>Subcontractor Default Insurance</v>
      </c>
      <c r="D66" s="155">
        <f>'Pay App 1'!D66</f>
        <v>0</v>
      </c>
      <c r="E66" s="155">
        <f>VLOOKUP(B66,'Graph Data'!$O$2:$BX$88,35,FALSE)</f>
        <v>0</v>
      </c>
      <c r="F66" s="155">
        <f>IFERROR(E66+'Pay App 32'!F66,"")</f>
        <v>0</v>
      </c>
      <c r="G66" s="155">
        <f>SUM('Pay App 1:Pay App 32'!H66)</f>
        <v>0</v>
      </c>
      <c r="H66" s="154"/>
      <c r="I66" s="155">
        <f t="shared" si="0"/>
        <v>0</v>
      </c>
      <c r="J66" s="156">
        <f t="shared" si="1"/>
        <v>0</v>
      </c>
      <c r="K66" s="155">
        <f t="shared" si="2"/>
        <v>0</v>
      </c>
      <c r="L66" s="155" t="str">
        <f>IF(AND('Summary Sheet'!$E$23="No",$H$33&gt;0,H66&gt;=1),"",IF(AND('Summary Sheet'!$E$23="Yes",H66&lt;&gt;""),H66*'Summary Sheet'!$G$23,""))</f>
        <v/>
      </c>
      <c r="M66" s="154"/>
      <c r="N66" s="155">
        <f>SUM('Pay App 1:Pay App 33'!L66)+SUM('Pay App 1:Pay App 33'!M66)</f>
        <v>0</v>
      </c>
    </row>
    <row r="67" spans="1:17" ht="11.25" customHeight="1" x14ac:dyDescent="0.25">
      <c r="A67" s="152">
        <v>11</v>
      </c>
      <c r="B67" s="174" t="str">
        <f>'Pay App 1'!B67</f>
        <v>01 35 00</v>
      </c>
      <c r="C67" s="179" t="str">
        <f>'Pay App 1'!C67</f>
        <v>Construction Management Fee</v>
      </c>
      <c r="D67" s="155">
        <f>'Pay App 1'!D67</f>
        <v>0</v>
      </c>
      <c r="E67" s="155">
        <f>VLOOKUP(B67,'Graph Data'!$O$2:$BX$88,35,FALSE)</f>
        <v>0</v>
      </c>
      <c r="F67" s="155">
        <f>IFERROR(E67+'Pay App 32'!F67,"")</f>
        <v>0</v>
      </c>
      <c r="G67" s="155">
        <f>SUM('Pay App 1:Pay App 32'!H67)</f>
        <v>0</v>
      </c>
      <c r="H67" s="154"/>
      <c r="I67" s="155">
        <f t="shared" si="0"/>
        <v>0</v>
      </c>
      <c r="J67" s="156">
        <f t="shared" si="1"/>
        <v>0</v>
      </c>
      <c r="K67" s="155">
        <f t="shared" si="2"/>
        <v>0</v>
      </c>
      <c r="L67" s="155" t="str">
        <f>IF(AND('Summary Sheet'!$E$23="No",$H$33&gt;0,H67&gt;=1),"",IF(AND('Summary Sheet'!$E$23="Yes",H67&lt;&gt;""),H67*'Summary Sheet'!$G$23,""))</f>
        <v/>
      </c>
      <c r="M67" s="154"/>
      <c r="N67" s="155">
        <f>SUM('Pay App 1:Pay App 33'!L67)+SUM('Pay App 1:Pay App 33'!M67)</f>
        <v>0</v>
      </c>
    </row>
    <row r="68" spans="1:17" ht="11.25" customHeight="1" x14ac:dyDescent="0.25">
      <c r="A68" s="152">
        <v>12</v>
      </c>
      <c r="B68" s="174" t="str">
        <f>'Pay App 1'!B68</f>
        <v>01 36 00</v>
      </c>
      <c r="C68" s="179" t="str">
        <f>'Pay App 1'!C68</f>
        <v>Contingency</v>
      </c>
      <c r="D68" s="155">
        <f>'Pay App 1'!D68</f>
        <v>0</v>
      </c>
      <c r="E68" s="155">
        <f>VLOOKUP(B68,'Graph Data'!$O$2:$BX$88,35,FALSE)</f>
        <v>0</v>
      </c>
      <c r="F68" s="155">
        <f>IFERROR(E68+'Pay App 32'!F68,"")</f>
        <v>0</v>
      </c>
      <c r="G68" s="155">
        <f>SUM('Pay App 1:Pay App 32'!H68)</f>
        <v>0</v>
      </c>
      <c r="H68" s="154"/>
      <c r="I68" s="155">
        <f t="shared" si="0"/>
        <v>0</v>
      </c>
      <c r="J68" s="156">
        <f t="shared" si="1"/>
        <v>0</v>
      </c>
      <c r="K68" s="155">
        <f t="shared" si="2"/>
        <v>0</v>
      </c>
      <c r="L68" s="155" t="str">
        <f>IF(AND('Summary Sheet'!$E$23="No",$H$33&gt;0,H68&gt;=1),"",IF(AND('Summary Sheet'!$E$23="Yes",H68&lt;&gt;""),H68*'Summary Sheet'!$G$23,""))</f>
        <v/>
      </c>
      <c r="M68" s="154"/>
      <c r="N68" s="155">
        <f>SUM('Pay App 1:Pay App 33'!L68)+SUM('Pay App 1:Pay App 33'!M68)</f>
        <v>0</v>
      </c>
    </row>
    <row r="69" spans="1:17" ht="11.25" customHeight="1" x14ac:dyDescent="0.25">
      <c r="A69" s="152">
        <v>13</v>
      </c>
      <c r="B69" s="174" t="str">
        <f>'Pay App 1'!B69</f>
        <v>01 37 00</v>
      </c>
      <c r="C69" s="179" t="str">
        <f>'Pay App 1'!C69</f>
        <v>Weather Allowance (All Trades)</v>
      </c>
      <c r="D69" s="155">
        <f>'Pay App 1'!D69</f>
        <v>0</v>
      </c>
      <c r="E69" s="155">
        <f>VLOOKUP(B69,'Graph Data'!$O$2:$BX$88,35,FALSE)</f>
        <v>0</v>
      </c>
      <c r="F69" s="155">
        <f>IFERROR(E69+'Pay App 32'!F69,"")</f>
        <v>0</v>
      </c>
      <c r="G69" s="155">
        <f>SUM('Pay App 1:Pay App 32'!H69)</f>
        <v>0</v>
      </c>
      <c r="H69" s="154"/>
      <c r="I69" s="155">
        <f t="shared" si="0"/>
        <v>0</v>
      </c>
      <c r="J69" s="156">
        <f t="shared" si="1"/>
        <v>0</v>
      </c>
      <c r="K69" s="155">
        <f t="shared" si="2"/>
        <v>0</v>
      </c>
      <c r="L69" s="155" t="str">
        <f>IF(AND('Summary Sheet'!$E$23="No",$H$33&gt;0,H69&gt;=1),"",IF(AND('Summary Sheet'!$E$23="Yes",H69&lt;&gt;""),H69*'Summary Sheet'!$G$23,""))</f>
        <v/>
      </c>
      <c r="M69" s="154"/>
      <c r="N69" s="155">
        <f>SUM('Pay App 1:Pay App 33'!L69)+SUM('Pay App 1:Pay App 33'!M69)</f>
        <v>0</v>
      </c>
    </row>
    <row r="70" spans="1:17" ht="11.25" customHeight="1" x14ac:dyDescent="0.25">
      <c r="A70" s="152">
        <v>14</v>
      </c>
      <c r="B70" s="174" t="str">
        <f>'Pay App 1'!B70</f>
        <v>01 74 23</v>
      </c>
      <c r="C70" s="179" t="str">
        <f>'Pay App 1'!C70</f>
        <v>Cleaning (Final)</v>
      </c>
      <c r="D70" s="155">
        <f>'Pay App 1'!D70</f>
        <v>0</v>
      </c>
      <c r="E70" s="155">
        <f>VLOOKUP(B70,'Graph Data'!$O$2:$BX$88,35,FALSE)</f>
        <v>0</v>
      </c>
      <c r="F70" s="155">
        <f>IFERROR(E70+'Pay App 32'!F70,"")</f>
        <v>0</v>
      </c>
      <c r="G70" s="155">
        <f>SUM('Pay App 1:Pay App 32'!H70)</f>
        <v>0</v>
      </c>
      <c r="H70" s="154"/>
      <c r="I70" s="155">
        <f t="shared" si="0"/>
        <v>0</v>
      </c>
      <c r="J70" s="156">
        <f t="shared" si="1"/>
        <v>0</v>
      </c>
      <c r="K70" s="155">
        <f t="shared" si="2"/>
        <v>0</v>
      </c>
      <c r="L70" s="155" t="str">
        <f>IF(AND('Summary Sheet'!$E$23="No",$H$33&gt;0,H70&gt;=1),"",IF(AND('Summary Sheet'!$E$23="Yes",H70&lt;&gt;""),H70*'Summary Sheet'!$G$23,""))</f>
        <v/>
      </c>
      <c r="M70" s="154"/>
      <c r="N70" s="155">
        <f>SUM('Pay App 1:Pay App 33'!L70)+SUM('Pay App 1:Pay App 33'!M70)</f>
        <v>0</v>
      </c>
    </row>
    <row r="71" spans="1:17" ht="11.25" customHeight="1" x14ac:dyDescent="0.25">
      <c r="A71" s="152">
        <v>15</v>
      </c>
      <c r="B71" s="175" t="str">
        <f>'Pay App 1'!B71</f>
        <v>02 21 00</v>
      </c>
      <c r="C71" s="180" t="str">
        <f>'Pay App 1'!C71</f>
        <v>Survey/Engineering</v>
      </c>
      <c r="D71" s="155">
        <f>'Pay App 1'!D71</f>
        <v>0</v>
      </c>
      <c r="E71" s="155">
        <f>VLOOKUP(B71,'Graph Data'!$O$2:$BX$88,35,FALSE)</f>
        <v>0</v>
      </c>
      <c r="F71" s="155">
        <f>IFERROR(E71+'Pay App 32'!F71,"")</f>
        <v>0</v>
      </c>
      <c r="G71" s="155">
        <f>SUM('Pay App 1:Pay App 32'!H71)</f>
        <v>0</v>
      </c>
      <c r="H71" s="154"/>
      <c r="I71" s="155">
        <f t="shared" si="0"/>
        <v>0</v>
      </c>
      <c r="J71" s="156">
        <f t="shared" si="1"/>
        <v>0</v>
      </c>
      <c r="K71" s="155">
        <f t="shared" si="2"/>
        <v>0</v>
      </c>
      <c r="L71" s="155" t="str">
        <f>IF(AND('Summary Sheet'!$E$23="No",$H$33&gt;0,H71&gt;=1),"",IF(AND('Summary Sheet'!$E$23="Yes",H71&lt;&gt;""),H71*'Summary Sheet'!$G$23,""))</f>
        <v/>
      </c>
      <c r="M71" s="154"/>
      <c r="N71" s="155">
        <f>SUM('Pay App 1:Pay App 33'!L71)+SUM('Pay App 1:Pay App 33'!M71)</f>
        <v>0</v>
      </c>
      <c r="Q71" s="28"/>
    </row>
    <row r="72" spans="1:17" ht="11.25" customHeight="1" x14ac:dyDescent="0.25">
      <c r="A72" s="152">
        <v>16</v>
      </c>
      <c r="B72" s="175" t="str">
        <f>'Pay App 1'!B72</f>
        <v>02 41 00</v>
      </c>
      <c r="C72" s="180" t="str">
        <f>'Pay App 1'!C72</f>
        <v>Demolition</v>
      </c>
      <c r="D72" s="155">
        <f>'Pay App 1'!D72</f>
        <v>0</v>
      </c>
      <c r="E72" s="155">
        <f>VLOOKUP(B72,'Graph Data'!$O$2:$BX$88,35,FALSE)</f>
        <v>0</v>
      </c>
      <c r="F72" s="155">
        <f>IFERROR(E72+'Pay App 32'!F72,"")</f>
        <v>0</v>
      </c>
      <c r="G72" s="155">
        <f>SUM('Pay App 1:Pay App 32'!H72)</f>
        <v>0</v>
      </c>
      <c r="H72" s="154"/>
      <c r="I72" s="155">
        <f t="shared" si="0"/>
        <v>0</v>
      </c>
      <c r="J72" s="156">
        <f t="shared" si="1"/>
        <v>0</v>
      </c>
      <c r="K72" s="155">
        <f t="shared" si="2"/>
        <v>0</v>
      </c>
      <c r="L72" s="155" t="str">
        <f>IF(AND('Summary Sheet'!$E$23="No",$H$33&gt;0,H72&gt;=1),"",IF(AND('Summary Sheet'!$E$23="Yes",H72&lt;&gt;""),H72*'Summary Sheet'!$G$23,""))</f>
        <v/>
      </c>
      <c r="M72" s="154"/>
      <c r="N72" s="155">
        <f>SUM('Pay App 1:Pay App 33'!L72)+SUM('Pay App 1:Pay App 33'!M72)</f>
        <v>0</v>
      </c>
      <c r="Q72" s="28"/>
    </row>
    <row r="73" spans="1:17" ht="11.25" customHeight="1" x14ac:dyDescent="0.25">
      <c r="A73" s="152">
        <v>17</v>
      </c>
      <c r="B73" s="175" t="str">
        <f>'Pay App 1'!B73</f>
        <v>02 82 00</v>
      </c>
      <c r="C73" s="180" t="str">
        <f>'Pay App 1'!C73</f>
        <v>Asbestos Abatement</v>
      </c>
      <c r="D73" s="155">
        <f>'Pay App 1'!D73</f>
        <v>0</v>
      </c>
      <c r="E73" s="155">
        <f>VLOOKUP(B73,'Graph Data'!$O$2:$BX$88,35,FALSE)</f>
        <v>0</v>
      </c>
      <c r="F73" s="155">
        <f>IFERROR(E73+'Pay App 32'!F73,"")</f>
        <v>0</v>
      </c>
      <c r="G73" s="155">
        <f>SUM('Pay App 1:Pay App 32'!H73)</f>
        <v>0</v>
      </c>
      <c r="H73" s="154"/>
      <c r="I73" s="155">
        <f t="shared" si="0"/>
        <v>0</v>
      </c>
      <c r="J73" s="156">
        <f t="shared" si="1"/>
        <v>0</v>
      </c>
      <c r="K73" s="155">
        <f t="shared" si="2"/>
        <v>0</v>
      </c>
      <c r="L73" s="155" t="str">
        <f>IF(AND('Summary Sheet'!$E$23="No",$H$33&gt;0,H73&gt;=1),"",IF(AND('Summary Sheet'!$E$23="Yes",H73&lt;&gt;""),H73*'Summary Sheet'!$G$23,""))</f>
        <v/>
      </c>
      <c r="M73" s="154"/>
      <c r="N73" s="155">
        <f>SUM('Pay App 1:Pay App 33'!L73)+SUM('Pay App 1:Pay App 33'!M73)</f>
        <v>0</v>
      </c>
    </row>
    <row r="74" spans="1:17" ht="11.25" customHeight="1" x14ac:dyDescent="0.25">
      <c r="A74" s="152">
        <v>18</v>
      </c>
      <c r="B74" s="176" t="str">
        <f>'Pay App 1'!B74</f>
        <v>03 00 00</v>
      </c>
      <c r="C74" s="181" t="str">
        <f>'Pay App 1'!C74</f>
        <v>Building Concrete</v>
      </c>
      <c r="D74" s="155">
        <f>'Pay App 1'!D74</f>
        <v>0</v>
      </c>
      <c r="E74" s="155">
        <f>VLOOKUP(B74,'Graph Data'!$O$2:$BX$88,35,FALSE)</f>
        <v>0</v>
      </c>
      <c r="F74" s="155">
        <f>IFERROR(E74+'Pay App 32'!F74,"")</f>
        <v>0</v>
      </c>
      <c r="G74" s="155">
        <f>SUM('Pay App 1:Pay App 32'!H74)</f>
        <v>0</v>
      </c>
      <c r="H74" s="154"/>
      <c r="I74" s="155">
        <f t="shared" si="0"/>
        <v>0</v>
      </c>
      <c r="J74" s="156">
        <f t="shared" si="1"/>
        <v>0</v>
      </c>
      <c r="K74" s="155">
        <f t="shared" si="2"/>
        <v>0</v>
      </c>
      <c r="L74" s="155" t="str">
        <f>IF(AND('Summary Sheet'!$E$23="No",$H$33&gt;0,H74&gt;=1),"",IF(AND('Summary Sheet'!$E$23="Yes",H74&lt;&gt;""),H74*'Summary Sheet'!$G$23,""))</f>
        <v/>
      </c>
      <c r="M74" s="154"/>
      <c r="N74" s="155">
        <f>SUM('Pay App 1:Pay App 33'!L74)+SUM('Pay App 1:Pay App 33'!M74)</f>
        <v>0</v>
      </c>
    </row>
    <row r="75" spans="1:17" ht="11.25" customHeight="1" x14ac:dyDescent="0.25">
      <c r="A75" s="152">
        <v>19</v>
      </c>
      <c r="B75" s="176" t="str">
        <f>'Pay App 1'!B75</f>
        <v>03 20 00</v>
      </c>
      <c r="C75" s="181" t="str">
        <f>'Pay App 1'!C75</f>
        <v>Building Concrete Reinforcing</v>
      </c>
      <c r="D75" s="155">
        <f>'Pay App 1'!D75</f>
        <v>0</v>
      </c>
      <c r="E75" s="155">
        <f>VLOOKUP(B75,'Graph Data'!$O$2:$BX$88,35,FALSE)</f>
        <v>0</v>
      </c>
      <c r="F75" s="155">
        <f>IFERROR(E75+'Pay App 32'!F75,"")</f>
        <v>0</v>
      </c>
      <c r="G75" s="155">
        <f>SUM('Pay App 1:Pay App 32'!H75)</f>
        <v>0</v>
      </c>
      <c r="H75" s="154"/>
      <c r="I75" s="155">
        <f t="shared" si="0"/>
        <v>0</v>
      </c>
      <c r="J75" s="156">
        <f t="shared" si="1"/>
        <v>0</v>
      </c>
      <c r="K75" s="155">
        <f t="shared" si="2"/>
        <v>0</v>
      </c>
      <c r="L75" s="155" t="str">
        <f>IF(AND('Summary Sheet'!$E$23="No",$H$33&gt;0,H75&gt;=1),"",IF(AND('Summary Sheet'!$E$23="Yes",H75&lt;&gt;""),H75*'Summary Sheet'!$G$23,""))</f>
        <v/>
      </c>
      <c r="M75" s="154"/>
      <c r="N75" s="155">
        <f>SUM('Pay App 1:Pay App 33'!L75)+SUM('Pay App 1:Pay App 33'!M75)</f>
        <v>0</v>
      </c>
    </row>
    <row r="76" spans="1:17" ht="11.25" customHeight="1" x14ac:dyDescent="0.25">
      <c r="A76" s="152">
        <v>20</v>
      </c>
      <c r="B76" s="176" t="str">
        <f>'Pay App 1'!B76</f>
        <v>03 40 00</v>
      </c>
      <c r="C76" s="181" t="str">
        <f>'Pay App 1'!C76</f>
        <v>Precast</v>
      </c>
      <c r="D76" s="155">
        <f>'Pay App 1'!D76</f>
        <v>0</v>
      </c>
      <c r="E76" s="155">
        <f>VLOOKUP(B76,'Graph Data'!$O$2:$BX$88,35,FALSE)</f>
        <v>0</v>
      </c>
      <c r="F76" s="155">
        <f>IFERROR(E76+'Pay App 32'!F76,"")</f>
        <v>0</v>
      </c>
      <c r="G76" s="155">
        <f>SUM('Pay App 1:Pay App 32'!H76)</f>
        <v>0</v>
      </c>
      <c r="H76" s="154"/>
      <c r="I76" s="155">
        <f t="shared" si="0"/>
        <v>0</v>
      </c>
      <c r="J76" s="156">
        <f t="shared" si="1"/>
        <v>0</v>
      </c>
      <c r="K76" s="155">
        <f t="shared" si="2"/>
        <v>0</v>
      </c>
      <c r="L76" s="155" t="str">
        <f>IF(AND('Summary Sheet'!$E$23="No",$H$33&gt;0,H76&gt;=1),"",IF(AND('Summary Sheet'!$E$23="Yes",H76&lt;&gt;""),H76*'Summary Sheet'!$G$23,""))</f>
        <v/>
      </c>
      <c r="M76" s="154"/>
      <c r="N76" s="155">
        <f>SUM('Pay App 1:Pay App 33'!L76)+SUM('Pay App 1:Pay App 33'!M76)</f>
        <v>0</v>
      </c>
    </row>
    <row r="77" spans="1:17" ht="11.25" customHeight="1" x14ac:dyDescent="0.25">
      <c r="A77" s="152">
        <v>21</v>
      </c>
      <c r="B77" s="177" t="str">
        <f>'Pay App 1'!B77</f>
        <v>04 00 00</v>
      </c>
      <c r="C77" s="182" t="str">
        <f>'Pay App 1'!C77</f>
        <v>Masonry</v>
      </c>
      <c r="D77" s="155">
        <f>'Pay App 1'!D77</f>
        <v>0</v>
      </c>
      <c r="E77" s="155">
        <f>VLOOKUP(B77,'Graph Data'!$O$2:$BX$88,35,FALSE)</f>
        <v>0</v>
      </c>
      <c r="F77" s="155">
        <f>IFERROR(E77+'Pay App 32'!F77,"")</f>
        <v>0</v>
      </c>
      <c r="G77" s="155">
        <f>SUM('Pay App 1:Pay App 32'!H77)</f>
        <v>0</v>
      </c>
      <c r="H77" s="154"/>
      <c r="I77" s="155">
        <f t="shared" si="0"/>
        <v>0</v>
      </c>
      <c r="J77" s="156">
        <f t="shared" si="1"/>
        <v>0</v>
      </c>
      <c r="K77" s="155">
        <f t="shared" si="2"/>
        <v>0</v>
      </c>
      <c r="L77" s="155" t="str">
        <f>IF(AND('Summary Sheet'!$E$23="No",$H$33&gt;0,H77&gt;=1),"",IF(AND('Summary Sheet'!$E$23="Yes",H77&lt;&gt;""),H77*'Summary Sheet'!$G$23,""))</f>
        <v/>
      </c>
      <c r="M77" s="154"/>
      <c r="N77" s="155">
        <f>SUM('Pay App 1:Pay App 33'!L77)+SUM('Pay App 1:Pay App 33'!M77)</f>
        <v>0</v>
      </c>
    </row>
    <row r="78" spans="1:17" ht="11.25" customHeight="1" x14ac:dyDescent="0.25">
      <c r="A78" s="152">
        <v>22</v>
      </c>
      <c r="B78" s="177" t="str">
        <f>'Pay App 1'!B78</f>
        <v>04 05 19</v>
      </c>
      <c r="C78" s="182" t="str">
        <f>'Pay App 1'!C78</f>
        <v>Masonry Reinforcing</v>
      </c>
      <c r="D78" s="155">
        <f>'Pay App 1'!D78</f>
        <v>0</v>
      </c>
      <c r="E78" s="155">
        <f>VLOOKUP(B78,'Graph Data'!$O$2:$BX$88,35,FALSE)</f>
        <v>0</v>
      </c>
      <c r="F78" s="155">
        <f>IFERROR(E78+'Pay App 32'!F78,"")</f>
        <v>0</v>
      </c>
      <c r="G78" s="155">
        <f>SUM('Pay App 1:Pay App 32'!H78)</f>
        <v>0</v>
      </c>
      <c r="H78" s="154"/>
      <c r="I78" s="155">
        <f t="shared" si="0"/>
        <v>0</v>
      </c>
      <c r="J78" s="156">
        <f t="shared" si="1"/>
        <v>0</v>
      </c>
      <c r="K78" s="155">
        <f t="shared" si="2"/>
        <v>0</v>
      </c>
      <c r="L78" s="155" t="str">
        <f>IF(AND('Summary Sheet'!$E$23="No",$H$33&gt;0,H78&gt;=1),"",IF(AND('Summary Sheet'!$E$23="Yes",H78&lt;&gt;""),H78*'Summary Sheet'!$G$23,""))</f>
        <v/>
      </c>
      <c r="M78" s="154"/>
      <c r="N78" s="155">
        <f>SUM('Pay App 1:Pay App 33'!L78)+SUM('Pay App 1:Pay App 33'!M78)</f>
        <v>0</v>
      </c>
    </row>
    <row r="79" spans="1:17" ht="11.25" customHeight="1" x14ac:dyDescent="0.25">
      <c r="A79" s="152">
        <v>23</v>
      </c>
      <c r="B79" s="178" t="str">
        <f>'Pay App 1'!B79</f>
        <v>05 10 00</v>
      </c>
      <c r="C79" s="183" t="str">
        <f>'Pay App 1'!C79</f>
        <v>Structural Steel/Misc. Steel Fab</v>
      </c>
      <c r="D79" s="155">
        <f>'Pay App 1'!D79</f>
        <v>0</v>
      </c>
      <c r="E79" s="155">
        <f>VLOOKUP(B79,'Graph Data'!$O$2:$BX$88,35,FALSE)</f>
        <v>0</v>
      </c>
      <c r="F79" s="155">
        <f>IFERROR(E79+'Pay App 32'!F79,"")</f>
        <v>0</v>
      </c>
      <c r="G79" s="155">
        <f>SUM('Pay App 1:Pay App 32'!H79)</f>
        <v>0</v>
      </c>
      <c r="H79" s="154"/>
      <c r="I79" s="155">
        <f t="shared" si="0"/>
        <v>0</v>
      </c>
      <c r="J79" s="156">
        <f t="shared" si="1"/>
        <v>0</v>
      </c>
      <c r="K79" s="155">
        <f t="shared" si="2"/>
        <v>0</v>
      </c>
      <c r="L79" s="155" t="str">
        <f>IF(AND('Summary Sheet'!$E$23="No",$H$33&gt;0,H79&gt;=1),"",IF(AND('Summary Sheet'!$E$23="Yes",H79&lt;&gt;""),H79*'Summary Sheet'!$G$23,""))</f>
        <v/>
      </c>
      <c r="M79" s="154"/>
      <c r="N79" s="155">
        <f>SUM('Pay App 1:Pay App 33'!L79)+SUM('Pay App 1:Pay App 33'!M79)</f>
        <v>0</v>
      </c>
    </row>
    <row r="80" spans="1:17" ht="11.25" customHeight="1" x14ac:dyDescent="0.25">
      <c r="A80" s="152">
        <v>24</v>
      </c>
      <c r="B80" s="178" t="str">
        <f>'Pay App 1'!B80</f>
        <v>05 20 00</v>
      </c>
      <c r="C80" s="183" t="str">
        <f>'Pay App 1'!C80</f>
        <v>Joists &amp; Deck</v>
      </c>
      <c r="D80" s="155">
        <f>'Pay App 1'!D80</f>
        <v>0</v>
      </c>
      <c r="E80" s="155">
        <f>VLOOKUP(B80,'Graph Data'!$O$2:$BX$88,35,FALSE)</f>
        <v>0</v>
      </c>
      <c r="F80" s="155">
        <f>IFERROR(E80+'Pay App 32'!F80,"")</f>
        <v>0</v>
      </c>
      <c r="G80" s="155">
        <f>SUM('Pay App 1:Pay App 32'!H80)</f>
        <v>0</v>
      </c>
      <c r="H80" s="154"/>
      <c r="I80" s="155">
        <f t="shared" si="0"/>
        <v>0</v>
      </c>
      <c r="J80" s="156">
        <f t="shared" si="1"/>
        <v>0</v>
      </c>
      <c r="K80" s="155">
        <f t="shared" si="2"/>
        <v>0</v>
      </c>
      <c r="L80" s="155" t="str">
        <f>IF(AND('Summary Sheet'!$E$23="No",$H$33&gt;0,H80&gt;=1),"",IF(AND('Summary Sheet'!$E$23="Yes",H80&lt;&gt;""),H80*'Summary Sheet'!$G$23,""))</f>
        <v/>
      </c>
      <c r="M80" s="154"/>
      <c r="N80" s="155">
        <f>SUM('Pay App 1:Pay App 33'!L80)+SUM('Pay App 1:Pay App 33'!M80)</f>
        <v>0</v>
      </c>
    </row>
    <row r="81" spans="1:14" ht="11.25" customHeight="1" x14ac:dyDescent="0.25">
      <c r="A81" s="152">
        <v>25</v>
      </c>
      <c r="B81" s="178" t="str">
        <f>'Pay App 1'!B81</f>
        <v>05 70 00</v>
      </c>
      <c r="C81" s="183" t="str">
        <f>'Pay App 1'!C81</f>
        <v>Ornamental Metal</v>
      </c>
      <c r="D81" s="155">
        <f>'Pay App 1'!D81</f>
        <v>0</v>
      </c>
      <c r="E81" s="155">
        <f>VLOOKUP(B81,'Graph Data'!$O$2:$BX$88,35,FALSE)</f>
        <v>0</v>
      </c>
      <c r="F81" s="155">
        <f>IFERROR(E81+'Pay App 32'!F81,"")</f>
        <v>0</v>
      </c>
      <c r="G81" s="155">
        <f>SUM('Pay App 1:Pay App 32'!H81)</f>
        <v>0</v>
      </c>
      <c r="H81" s="154"/>
      <c r="I81" s="155">
        <f t="shared" si="0"/>
        <v>0</v>
      </c>
      <c r="J81" s="156">
        <f t="shared" si="1"/>
        <v>0</v>
      </c>
      <c r="K81" s="155">
        <f t="shared" si="2"/>
        <v>0</v>
      </c>
      <c r="L81" s="155" t="str">
        <f>IF(AND('Summary Sheet'!$E$23="No",$H$33&gt;0,H81&gt;=1),"",IF(AND('Summary Sheet'!$E$23="Yes",H81&lt;&gt;""),H81*'Summary Sheet'!$G$23,""))</f>
        <v/>
      </c>
      <c r="M81" s="154"/>
      <c r="N81" s="155">
        <f>SUM('Pay App 1:Pay App 33'!L81)+SUM('Pay App 1:Pay App 33'!M81)</f>
        <v>0</v>
      </c>
    </row>
    <row r="82" spans="1:14" ht="11.25" customHeight="1" x14ac:dyDescent="0.25">
      <c r="A82" s="152">
        <v>26</v>
      </c>
      <c r="B82" s="145" t="str">
        <f>'Pay App 1'!B82</f>
        <v>06 10 00</v>
      </c>
      <c r="C82" s="134" t="str">
        <f>'Pay App 1'!C82</f>
        <v>Rough Carpentry</v>
      </c>
      <c r="D82" s="155">
        <f>'Pay App 1'!D82</f>
        <v>0</v>
      </c>
      <c r="E82" s="155">
        <f>VLOOKUP(B82,'Graph Data'!$O$2:$BX$88,35,FALSE)</f>
        <v>0</v>
      </c>
      <c r="F82" s="155">
        <f>IFERROR(E82+'Pay App 32'!F82,"")</f>
        <v>0</v>
      </c>
      <c r="G82" s="155">
        <f>SUM('Pay App 1:Pay App 32'!H82)</f>
        <v>0</v>
      </c>
      <c r="H82" s="154"/>
      <c r="I82" s="155">
        <f t="shared" si="0"/>
        <v>0</v>
      </c>
      <c r="J82" s="156">
        <f t="shared" si="1"/>
        <v>0</v>
      </c>
      <c r="K82" s="155">
        <f t="shared" si="2"/>
        <v>0</v>
      </c>
      <c r="L82" s="155" t="str">
        <f>IF(AND('Summary Sheet'!$E$23="No",$H$33&gt;0,H82&gt;=1),"",IF(AND('Summary Sheet'!$E$23="Yes",H82&lt;&gt;""),H82*'Summary Sheet'!$G$23,""))</f>
        <v/>
      </c>
      <c r="M82" s="154"/>
      <c r="N82" s="155">
        <f>SUM('Pay App 1:Pay App 33'!L82)+SUM('Pay App 1:Pay App 33'!M82)</f>
        <v>0</v>
      </c>
    </row>
    <row r="83" spans="1:14" ht="11.25" customHeight="1" x14ac:dyDescent="0.25">
      <c r="A83" s="152">
        <v>27</v>
      </c>
      <c r="B83" s="145" t="str">
        <f>'Pay App 1'!B83</f>
        <v>06 40 00</v>
      </c>
      <c r="C83" s="134" t="str">
        <f>'Pay App 1'!C83</f>
        <v>Arch. Woodwork &amp; Finish Carp.</v>
      </c>
      <c r="D83" s="155">
        <f>'Pay App 1'!D83</f>
        <v>0</v>
      </c>
      <c r="E83" s="155">
        <f>VLOOKUP(B83,'Graph Data'!$O$2:$BX$88,35,FALSE)</f>
        <v>0</v>
      </c>
      <c r="F83" s="155">
        <f>IFERROR(E83+'Pay App 32'!F83,"")</f>
        <v>0</v>
      </c>
      <c r="G83" s="155">
        <f>SUM('Pay App 1:Pay App 32'!H83)</f>
        <v>0</v>
      </c>
      <c r="H83" s="154"/>
      <c r="I83" s="155">
        <f t="shared" si="0"/>
        <v>0</v>
      </c>
      <c r="J83" s="156">
        <f t="shared" si="1"/>
        <v>0</v>
      </c>
      <c r="K83" s="155">
        <f t="shared" si="2"/>
        <v>0</v>
      </c>
      <c r="L83" s="155" t="str">
        <f>IF(AND('Summary Sheet'!$E$23="No",$H$33&gt;0,H83&gt;=1),"",IF(AND('Summary Sheet'!$E$23="Yes",H83&lt;&gt;""),H83*'Summary Sheet'!$G$23,""))</f>
        <v/>
      </c>
      <c r="M83" s="154"/>
      <c r="N83" s="155">
        <f>SUM('Pay App 1:Pay App 33'!L83)+SUM('Pay App 1:Pay App 33'!M83)</f>
        <v>0</v>
      </c>
    </row>
    <row r="84" spans="1:14" ht="11.25" customHeight="1" x14ac:dyDescent="0.25">
      <c r="A84" s="152">
        <v>28</v>
      </c>
      <c r="B84" s="174" t="str">
        <f>'Pay App 1'!B84</f>
        <v>07 10 00</v>
      </c>
      <c r="C84" s="179" t="str">
        <f>'Pay App 1'!C84</f>
        <v>Waterproofing/Water Repellents</v>
      </c>
      <c r="D84" s="155">
        <f>'Pay App 1'!D84</f>
        <v>0</v>
      </c>
      <c r="E84" s="155">
        <f>VLOOKUP(B84,'Graph Data'!$O$2:$BX$88,35,FALSE)</f>
        <v>0</v>
      </c>
      <c r="F84" s="155">
        <f>IFERROR(E84+'Pay App 32'!F84,"")</f>
        <v>0</v>
      </c>
      <c r="G84" s="155">
        <f>SUM('Pay App 1:Pay App 32'!H84)</f>
        <v>0</v>
      </c>
      <c r="H84" s="154"/>
      <c r="I84" s="155">
        <f t="shared" si="0"/>
        <v>0</v>
      </c>
      <c r="J84" s="156">
        <f t="shared" si="1"/>
        <v>0</v>
      </c>
      <c r="K84" s="155">
        <f t="shared" si="2"/>
        <v>0</v>
      </c>
      <c r="L84" s="155" t="str">
        <f>IF(AND('Summary Sheet'!$E$23="No",$H$33&gt;0,H84&gt;=1),"",IF(AND('Summary Sheet'!$E$23="Yes",H84&lt;&gt;""),H84*'Summary Sheet'!$G$23,""))</f>
        <v/>
      </c>
      <c r="M84" s="154"/>
      <c r="N84" s="155">
        <f>SUM('Pay App 1:Pay App 33'!L84)+SUM('Pay App 1:Pay App 33'!M84)</f>
        <v>0</v>
      </c>
    </row>
    <row r="85" spans="1:14" ht="11.25" customHeight="1" x14ac:dyDescent="0.25">
      <c r="A85" s="152">
        <v>29</v>
      </c>
      <c r="B85" s="174" t="str">
        <f>'Pay App 1'!B85</f>
        <v>07 20 00</v>
      </c>
      <c r="C85" s="179" t="str">
        <f>'Pay App 1'!C85</f>
        <v>Insulation</v>
      </c>
      <c r="D85" s="155">
        <f>'Pay App 1'!D85</f>
        <v>0</v>
      </c>
      <c r="E85" s="155">
        <f>VLOOKUP(B85,'Graph Data'!$O$2:$BX$88,35,FALSE)</f>
        <v>0</v>
      </c>
      <c r="F85" s="155">
        <f>IFERROR(E85+'Pay App 32'!F85,"")</f>
        <v>0</v>
      </c>
      <c r="G85" s="155">
        <f>SUM('Pay App 1:Pay App 32'!H85)</f>
        <v>0</v>
      </c>
      <c r="H85" s="154"/>
      <c r="I85" s="155">
        <f t="shared" si="0"/>
        <v>0</v>
      </c>
      <c r="J85" s="156">
        <f t="shared" si="1"/>
        <v>0</v>
      </c>
      <c r="K85" s="155">
        <f t="shared" si="2"/>
        <v>0</v>
      </c>
      <c r="L85" s="155" t="str">
        <f>IF(AND('Summary Sheet'!$E$23="No",$H$33&gt;0,H85&gt;=1),"",IF(AND('Summary Sheet'!$E$23="Yes",H85&lt;&gt;""),H85*'Summary Sheet'!$G$23,""))</f>
        <v/>
      </c>
      <c r="M85" s="154"/>
      <c r="N85" s="155">
        <f>SUM('Pay App 1:Pay App 33'!L85)+SUM('Pay App 1:Pay App 33'!M85)</f>
        <v>0</v>
      </c>
    </row>
    <row r="86" spans="1:14" ht="11.25" customHeight="1" x14ac:dyDescent="0.25">
      <c r="A86" s="152">
        <v>30</v>
      </c>
      <c r="B86" s="174" t="str">
        <f>'Pay App 1'!B86</f>
        <v>07 24 00</v>
      </c>
      <c r="C86" s="179" t="str">
        <f>'Pay App 1'!C86</f>
        <v>EIFS</v>
      </c>
      <c r="D86" s="155">
        <f>'Pay App 1'!D86</f>
        <v>0</v>
      </c>
      <c r="E86" s="155">
        <f>VLOOKUP(B86,'Graph Data'!$O$2:$BX$88,35,FALSE)</f>
        <v>0</v>
      </c>
      <c r="F86" s="155">
        <f>IFERROR(E86+'Pay App 32'!F86,"")</f>
        <v>0</v>
      </c>
      <c r="G86" s="155">
        <f>SUM('Pay App 1:Pay App 32'!H86)</f>
        <v>0</v>
      </c>
      <c r="H86" s="154"/>
      <c r="I86" s="155">
        <f t="shared" si="0"/>
        <v>0</v>
      </c>
      <c r="J86" s="156">
        <f t="shared" si="1"/>
        <v>0</v>
      </c>
      <c r="K86" s="155">
        <f t="shared" si="2"/>
        <v>0</v>
      </c>
      <c r="L86" s="155" t="str">
        <f>IF(AND('Summary Sheet'!$E$23="No",$H$33&gt;0,H86&gt;=1),"",IF(AND('Summary Sheet'!$E$23="Yes",H86&lt;&gt;""),H86*'Summary Sheet'!$G$23,""))</f>
        <v/>
      </c>
      <c r="M86" s="154"/>
      <c r="N86" s="155">
        <f>SUM('Pay App 1:Pay App 33'!L86)+SUM('Pay App 1:Pay App 33'!M86)</f>
        <v>0</v>
      </c>
    </row>
    <row r="87" spans="1:14" ht="11.25" customHeight="1" x14ac:dyDescent="0.25">
      <c r="A87" s="152">
        <v>31</v>
      </c>
      <c r="B87" s="174" t="str">
        <f>'Pay App 1'!B87</f>
        <v>07 26 00</v>
      </c>
      <c r="C87" s="179" t="str">
        <f>'Pay App 1'!C87</f>
        <v>Vapor Retarders</v>
      </c>
      <c r="D87" s="155">
        <f>'Pay App 1'!D87</f>
        <v>0</v>
      </c>
      <c r="E87" s="155">
        <f>VLOOKUP(B87,'Graph Data'!$O$2:$BX$88,35,FALSE)</f>
        <v>0</v>
      </c>
      <c r="F87" s="155">
        <f>IFERROR(E87+'Pay App 32'!F87,"")</f>
        <v>0</v>
      </c>
      <c r="G87" s="155">
        <f>SUM('Pay App 1:Pay App 32'!H87)</f>
        <v>0</v>
      </c>
      <c r="H87" s="154"/>
      <c r="I87" s="155">
        <f t="shared" si="0"/>
        <v>0</v>
      </c>
      <c r="J87" s="156">
        <f t="shared" si="1"/>
        <v>0</v>
      </c>
      <c r="K87" s="155">
        <f t="shared" si="2"/>
        <v>0</v>
      </c>
      <c r="L87" s="155" t="str">
        <f>IF(AND('Summary Sheet'!$E$23="No",$H$33&gt;0,H87&gt;=1),"",IF(AND('Summary Sheet'!$E$23="Yes",H87&lt;&gt;""),H87*'Summary Sheet'!$G$23,""))</f>
        <v/>
      </c>
      <c r="M87" s="154"/>
      <c r="N87" s="155">
        <f>SUM('Pay App 1:Pay App 33'!L87)+SUM('Pay App 1:Pay App 33'!M87)</f>
        <v>0</v>
      </c>
    </row>
    <row r="88" spans="1:14" ht="11.25" customHeight="1" x14ac:dyDescent="0.25">
      <c r="A88" s="152">
        <v>32</v>
      </c>
      <c r="B88" s="174" t="str">
        <f>'Pay App 1'!B88</f>
        <v>07 41 00</v>
      </c>
      <c r="C88" s="179" t="str">
        <f>'Pay App 1'!C88</f>
        <v>Roofing</v>
      </c>
      <c r="D88" s="155">
        <f>'Pay App 1'!D88</f>
        <v>0</v>
      </c>
      <c r="E88" s="155">
        <f>VLOOKUP(B88,'Graph Data'!$O$2:$BX$88,35,FALSE)</f>
        <v>0</v>
      </c>
      <c r="F88" s="155">
        <f>IFERROR(E88+'Pay App 32'!F88,"")</f>
        <v>0</v>
      </c>
      <c r="G88" s="155">
        <f>SUM('Pay App 1:Pay App 32'!H88)</f>
        <v>0</v>
      </c>
      <c r="H88" s="154"/>
      <c r="I88" s="155">
        <f t="shared" si="0"/>
        <v>0</v>
      </c>
      <c r="J88" s="156">
        <f t="shared" si="1"/>
        <v>0</v>
      </c>
      <c r="K88" s="155">
        <f t="shared" si="2"/>
        <v>0</v>
      </c>
      <c r="L88" s="155" t="str">
        <f>IF(AND('Summary Sheet'!$E$23="No",$H$33&gt;0,H88&gt;=1),"",IF(AND('Summary Sheet'!$E$23="Yes",H88&lt;&gt;""),H88*'Summary Sheet'!$G$23,""))</f>
        <v/>
      </c>
      <c r="M88" s="154"/>
      <c r="N88" s="155">
        <f>SUM('Pay App 1:Pay App 33'!L88)+SUM('Pay App 1:Pay App 33'!M88)</f>
        <v>0</v>
      </c>
    </row>
    <row r="89" spans="1:14" ht="11.25" customHeight="1" x14ac:dyDescent="0.25">
      <c r="A89" s="152">
        <v>33</v>
      </c>
      <c r="B89" s="174" t="str">
        <f>'Pay App 1'!B89</f>
        <v>07 42 00</v>
      </c>
      <c r="C89" s="179" t="str">
        <f>'Pay App 1'!C89</f>
        <v>Metal Panels</v>
      </c>
      <c r="D89" s="155">
        <f>'Pay App 1'!D89</f>
        <v>0</v>
      </c>
      <c r="E89" s="155">
        <f>VLOOKUP(B89,'Graph Data'!$O$2:$BX$88,35,FALSE)</f>
        <v>0</v>
      </c>
      <c r="F89" s="155">
        <f>IFERROR(E89+'Pay App 32'!F89,"")</f>
        <v>0</v>
      </c>
      <c r="G89" s="155">
        <f>SUM('Pay App 1:Pay App 32'!H89)</f>
        <v>0</v>
      </c>
      <c r="H89" s="154"/>
      <c r="I89" s="155">
        <f t="shared" si="0"/>
        <v>0</v>
      </c>
      <c r="J89" s="156">
        <f t="shared" si="1"/>
        <v>0</v>
      </c>
      <c r="K89" s="155">
        <f t="shared" si="2"/>
        <v>0</v>
      </c>
      <c r="L89" s="155" t="str">
        <f>IF(AND('Summary Sheet'!$E$23="No",$H$33&gt;0,H89&gt;=1),"",IF(AND('Summary Sheet'!$E$23="Yes",H89&lt;&gt;""),H89*'Summary Sheet'!$G$23,""))</f>
        <v/>
      </c>
      <c r="M89" s="154"/>
      <c r="N89" s="155">
        <f>SUM('Pay App 1:Pay App 33'!L89)+SUM('Pay App 1:Pay App 33'!M89)</f>
        <v>0</v>
      </c>
    </row>
    <row r="90" spans="1:14" ht="11.25" customHeight="1" x14ac:dyDescent="0.25">
      <c r="A90" s="152">
        <v>34</v>
      </c>
      <c r="B90" s="174" t="str">
        <f>'Pay App 1'!B90</f>
        <v>07 60 00</v>
      </c>
      <c r="C90" s="179" t="str">
        <f>'Pay App 1'!C90</f>
        <v>Sheet Metal Flashing &amp; Trim</v>
      </c>
      <c r="D90" s="155">
        <f>'Pay App 1'!D90</f>
        <v>0</v>
      </c>
      <c r="E90" s="155">
        <f>VLOOKUP(B90,'Graph Data'!$O$2:$BX$88,35,FALSE)</f>
        <v>0</v>
      </c>
      <c r="F90" s="155">
        <f>IFERROR(E90+'Pay App 32'!F90,"")</f>
        <v>0</v>
      </c>
      <c r="G90" s="155">
        <f>SUM('Pay App 1:Pay App 32'!H90)</f>
        <v>0</v>
      </c>
      <c r="H90" s="154"/>
      <c r="I90" s="155">
        <f t="shared" si="0"/>
        <v>0</v>
      </c>
      <c r="J90" s="156">
        <f t="shared" si="1"/>
        <v>0</v>
      </c>
      <c r="K90" s="155">
        <f t="shared" si="2"/>
        <v>0</v>
      </c>
      <c r="L90" s="155" t="str">
        <f>IF(AND('Summary Sheet'!$E$23="No",$H$33&gt;0,H90&gt;=1),"",IF(AND('Summary Sheet'!$E$23="Yes",H90&lt;&gt;""),H90*'Summary Sheet'!$G$23,""))</f>
        <v/>
      </c>
      <c r="M90" s="154"/>
      <c r="N90" s="155">
        <f>SUM('Pay App 1:Pay App 33'!L90)+SUM('Pay App 1:Pay App 33'!M90)</f>
        <v>0</v>
      </c>
    </row>
    <row r="91" spans="1:14" ht="11.25" customHeight="1" x14ac:dyDescent="0.25">
      <c r="A91" s="152">
        <v>35</v>
      </c>
      <c r="B91" s="174" t="str">
        <f>'Pay App 1'!B91</f>
        <v>07 80 00</v>
      </c>
      <c r="C91" s="179" t="str">
        <f>'Pay App 1'!C91</f>
        <v>Fireproofing</v>
      </c>
      <c r="D91" s="155">
        <f>'Pay App 1'!D91</f>
        <v>0</v>
      </c>
      <c r="E91" s="155">
        <f>VLOOKUP(B91,'Graph Data'!$O$2:$BX$88,35,FALSE)</f>
        <v>0</v>
      </c>
      <c r="F91" s="155">
        <f>IFERROR(E91+'Pay App 32'!F91,"")</f>
        <v>0</v>
      </c>
      <c r="G91" s="155">
        <f>SUM('Pay App 1:Pay App 32'!H91)</f>
        <v>0</v>
      </c>
      <c r="H91" s="154"/>
      <c r="I91" s="155">
        <f t="shared" si="0"/>
        <v>0</v>
      </c>
      <c r="J91" s="156">
        <f t="shared" si="1"/>
        <v>0</v>
      </c>
      <c r="K91" s="155">
        <f t="shared" si="2"/>
        <v>0</v>
      </c>
      <c r="L91" s="155" t="str">
        <f>IF(AND('Summary Sheet'!$E$23="No",$H$33&gt;0,H91&gt;=1),"",IF(AND('Summary Sheet'!$E$23="Yes",H91&lt;&gt;""),H91*'Summary Sheet'!$G$23,""))</f>
        <v/>
      </c>
      <c r="M91" s="154"/>
      <c r="N91" s="155">
        <f>SUM('Pay App 1:Pay App 33'!L91)+SUM('Pay App 1:Pay App 33'!M91)</f>
        <v>0</v>
      </c>
    </row>
    <row r="92" spans="1:14" ht="11.25" customHeight="1" x14ac:dyDescent="0.25">
      <c r="A92" s="152">
        <v>36</v>
      </c>
      <c r="B92" s="174" t="str">
        <f>'Pay App 1'!B92</f>
        <v>07 90 00</v>
      </c>
      <c r="C92" s="179" t="str">
        <f>'Pay App 1'!C92</f>
        <v>Joint Sealants</v>
      </c>
      <c r="D92" s="155">
        <f>'Pay App 1'!D92</f>
        <v>0</v>
      </c>
      <c r="E92" s="155">
        <f>VLOOKUP(B92,'Graph Data'!$O$2:$BX$88,35,FALSE)</f>
        <v>0</v>
      </c>
      <c r="F92" s="155">
        <f>IFERROR(E92+'Pay App 32'!F92,"")</f>
        <v>0</v>
      </c>
      <c r="G92" s="155">
        <f>SUM('Pay App 1:Pay App 32'!H92)</f>
        <v>0</v>
      </c>
      <c r="H92" s="154"/>
      <c r="I92" s="155">
        <f t="shared" si="0"/>
        <v>0</v>
      </c>
      <c r="J92" s="156">
        <f t="shared" si="1"/>
        <v>0</v>
      </c>
      <c r="K92" s="155">
        <f t="shared" si="2"/>
        <v>0</v>
      </c>
      <c r="L92" s="155" t="str">
        <f>IF(AND('Summary Sheet'!$E$23="No",$H$33&gt;0,H92&gt;=1),"",IF(AND('Summary Sheet'!$E$23="Yes",H92&lt;&gt;""),H92*'Summary Sheet'!$G$23,""))</f>
        <v/>
      </c>
      <c r="M92" s="154"/>
      <c r="N92" s="155">
        <f>SUM('Pay App 1:Pay App 33'!L92)+SUM('Pay App 1:Pay App 33'!M92)</f>
        <v>0</v>
      </c>
    </row>
    <row r="93" spans="1:14" ht="11.25" customHeight="1" x14ac:dyDescent="0.25">
      <c r="A93" s="152">
        <v>37</v>
      </c>
      <c r="B93" s="174" t="str">
        <f>'Pay App 1'!B93</f>
        <v>07 95 00</v>
      </c>
      <c r="C93" s="179" t="str">
        <f>'Pay App 1'!C93</f>
        <v>Expansion Joints</v>
      </c>
      <c r="D93" s="155">
        <f>'Pay App 1'!D93</f>
        <v>0</v>
      </c>
      <c r="E93" s="155">
        <f>VLOOKUP(B93,'Graph Data'!$O$2:$BX$88,35,FALSE)</f>
        <v>0</v>
      </c>
      <c r="F93" s="155">
        <f>IFERROR(E93+'Pay App 32'!F93,"")</f>
        <v>0</v>
      </c>
      <c r="G93" s="155">
        <f>SUM('Pay App 1:Pay App 32'!H93)</f>
        <v>0</v>
      </c>
      <c r="H93" s="154"/>
      <c r="I93" s="155">
        <f t="shared" si="0"/>
        <v>0</v>
      </c>
      <c r="J93" s="156">
        <f t="shared" si="1"/>
        <v>0</v>
      </c>
      <c r="K93" s="155">
        <f t="shared" si="2"/>
        <v>0</v>
      </c>
      <c r="L93" s="155" t="str">
        <f>IF(AND('Summary Sheet'!$E$23="No",$H$33&gt;0,H93&gt;=1),"",IF(AND('Summary Sheet'!$E$23="Yes",H93&lt;&gt;""),H93*'Summary Sheet'!$G$23,""))</f>
        <v/>
      </c>
      <c r="M93" s="154"/>
      <c r="N93" s="155">
        <f>SUM('Pay App 1:Pay App 33'!L93)+SUM('Pay App 1:Pay App 33'!M93)</f>
        <v>0</v>
      </c>
    </row>
    <row r="94" spans="1:14" ht="11.25" customHeight="1" x14ac:dyDescent="0.25">
      <c r="A94" s="152">
        <v>38</v>
      </c>
      <c r="B94" s="175" t="str">
        <f>'Pay App 1'!B94</f>
        <v>08 10 00</v>
      </c>
      <c r="C94" s="180" t="str">
        <f>'Pay App 1'!C94</f>
        <v>Doors, Frames &amp; Hardware</v>
      </c>
      <c r="D94" s="155">
        <f>'Pay App 1'!D94</f>
        <v>0</v>
      </c>
      <c r="E94" s="155">
        <f>VLOOKUP(B94,'Graph Data'!$O$2:$BX$88,35,FALSE)</f>
        <v>0</v>
      </c>
      <c r="F94" s="155">
        <f>IFERROR(E94+'Pay App 32'!F94,"")</f>
        <v>0</v>
      </c>
      <c r="G94" s="155">
        <f>SUM('Pay App 1:Pay App 32'!H94)</f>
        <v>0</v>
      </c>
      <c r="H94" s="154"/>
      <c r="I94" s="155">
        <f t="shared" si="0"/>
        <v>0</v>
      </c>
      <c r="J94" s="156">
        <f t="shared" si="1"/>
        <v>0</v>
      </c>
      <c r="K94" s="155">
        <f t="shared" si="2"/>
        <v>0</v>
      </c>
      <c r="L94" s="155" t="str">
        <f>IF(AND('Summary Sheet'!$E$23="No",$H$33&gt;0,H94&gt;=1),"",IF(AND('Summary Sheet'!$E$23="Yes",H94&lt;&gt;""),H94*'Summary Sheet'!$G$23,""))</f>
        <v/>
      </c>
      <c r="M94" s="154"/>
      <c r="N94" s="155">
        <f>SUM('Pay App 1:Pay App 33'!L94)+SUM('Pay App 1:Pay App 33'!M94)</f>
        <v>0</v>
      </c>
    </row>
    <row r="95" spans="1:14" ht="11.25" customHeight="1" x14ac:dyDescent="0.25">
      <c r="A95" s="152">
        <v>39</v>
      </c>
      <c r="B95" s="175" t="str">
        <f>'Pay App 1'!B95</f>
        <v>08 30 00</v>
      </c>
      <c r="C95" s="180" t="str">
        <f>'Pay App 1'!C95</f>
        <v>Specialty Doors</v>
      </c>
      <c r="D95" s="155">
        <f>'Pay App 1'!D95</f>
        <v>0</v>
      </c>
      <c r="E95" s="155">
        <f>VLOOKUP(B95,'Graph Data'!$O$2:$BX$88,35,FALSE)</f>
        <v>0</v>
      </c>
      <c r="F95" s="155">
        <f>IFERROR(E95+'Pay App 32'!F95,"")</f>
        <v>0</v>
      </c>
      <c r="G95" s="155">
        <f>SUM('Pay App 1:Pay App 32'!H95)</f>
        <v>0</v>
      </c>
      <c r="H95" s="154"/>
      <c r="I95" s="155">
        <f t="shared" si="0"/>
        <v>0</v>
      </c>
      <c r="J95" s="156">
        <f t="shared" si="1"/>
        <v>0</v>
      </c>
      <c r="K95" s="155">
        <f t="shared" si="2"/>
        <v>0</v>
      </c>
      <c r="L95" s="155" t="str">
        <f>IF(AND('Summary Sheet'!$E$23="No",$H$33&gt;0,H95&gt;=1),"",IF(AND('Summary Sheet'!$E$23="Yes",H95&lt;&gt;""),H95*'Summary Sheet'!$G$23,""))</f>
        <v/>
      </c>
      <c r="M95" s="154"/>
      <c r="N95" s="155">
        <f>SUM('Pay App 1:Pay App 33'!L95)+SUM('Pay App 1:Pay App 33'!M95)</f>
        <v>0</v>
      </c>
    </row>
    <row r="96" spans="1:14" ht="11.25" customHeight="1" x14ac:dyDescent="0.25">
      <c r="A96" s="152">
        <v>40</v>
      </c>
      <c r="B96" s="175" t="str">
        <f>'Pay App 1'!B96</f>
        <v>08 33 00</v>
      </c>
      <c r="C96" s="180" t="str">
        <f>'Pay App 1'!C96</f>
        <v>Overhead Doors/Coiling Doors</v>
      </c>
      <c r="D96" s="155">
        <f>'Pay App 1'!D96</f>
        <v>0</v>
      </c>
      <c r="E96" s="155">
        <f>VLOOKUP(B96,'Graph Data'!$O$2:$BX$88,35,FALSE)</f>
        <v>0</v>
      </c>
      <c r="F96" s="155">
        <f>IFERROR(E96+'Pay App 32'!F96,"")</f>
        <v>0</v>
      </c>
      <c r="G96" s="155">
        <f>SUM('Pay App 1:Pay App 32'!H96)</f>
        <v>0</v>
      </c>
      <c r="H96" s="154"/>
      <c r="I96" s="155">
        <f t="shared" si="0"/>
        <v>0</v>
      </c>
      <c r="J96" s="156">
        <f t="shared" si="1"/>
        <v>0</v>
      </c>
      <c r="K96" s="155">
        <f t="shared" si="2"/>
        <v>0</v>
      </c>
      <c r="L96" s="155" t="str">
        <f>IF(AND('Summary Sheet'!$E$23="No",$H$33&gt;0,H96&gt;=1),"",IF(AND('Summary Sheet'!$E$23="Yes",H96&lt;&gt;""),H96*'Summary Sheet'!$G$23,""))</f>
        <v/>
      </c>
      <c r="M96" s="154"/>
      <c r="N96" s="155">
        <f>SUM('Pay App 1:Pay App 33'!L96)+SUM('Pay App 1:Pay App 33'!M96)</f>
        <v>0</v>
      </c>
    </row>
    <row r="97" spans="1:15" ht="11.25" customHeight="1" x14ac:dyDescent="0.25">
      <c r="A97" s="152">
        <v>41</v>
      </c>
      <c r="B97" s="175" t="str">
        <f>'Pay App 1'!B97</f>
        <v>08 40 00</v>
      </c>
      <c r="C97" s="180" t="str">
        <f>'Pay App 1'!C97</f>
        <v>Curtain Wall, Glass &amp; Glazing</v>
      </c>
      <c r="D97" s="155">
        <f>'Pay App 1'!D97</f>
        <v>0</v>
      </c>
      <c r="E97" s="155">
        <f>VLOOKUP(B97,'Graph Data'!$O$2:$BX$88,35,FALSE)</f>
        <v>0</v>
      </c>
      <c r="F97" s="155">
        <f>IFERROR(E97+'Pay App 32'!F97,"")</f>
        <v>0</v>
      </c>
      <c r="G97" s="155">
        <f>SUM('Pay App 1:Pay App 32'!H97)</f>
        <v>0</v>
      </c>
      <c r="H97" s="154"/>
      <c r="I97" s="155">
        <f t="shared" si="0"/>
        <v>0</v>
      </c>
      <c r="J97" s="156">
        <f t="shared" si="1"/>
        <v>0</v>
      </c>
      <c r="K97" s="155">
        <f t="shared" si="2"/>
        <v>0</v>
      </c>
      <c r="L97" s="155" t="str">
        <f>IF(AND('Summary Sheet'!$E$23="No",$H$33&gt;0,H97&gt;=1),"",IF(AND('Summary Sheet'!$E$23="Yes",H97&lt;&gt;""),H97*'Summary Sheet'!$G$23,""))</f>
        <v/>
      </c>
      <c r="M97" s="154"/>
      <c r="N97" s="155">
        <f>SUM('Pay App 1:Pay App 33'!L97)+SUM('Pay App 1:Pay App 33'!M97)</f>
        <v>0</v>
      </c>
    </row>
    <row r="98" spans="1:15" ht="10.9" customHeight="1" x14ac:dyDescent="0.25">
      <c r="A98" s="152">
        <v>42</v>
      </c>
      <c r="B98" s="175" t="str">
        <f>'Pay App 1'!B98</f>
        <v>08 60 00</v>
      </c>
      <c r="C98" s="180" t="str">
        <f>'Pay App 1'!C98</f>
        <v>Skylights</v>
      </c>
      <c r="D98" s="155">
        <f>'Pay App 1'!D98</f>
        <v>0</v>
      </c>
      <c r="E98" s="155">
        <f>VLOOKUP(B98,'Graph Data'!$O$2:$BX$88,35,FALSE)</f>
        <v>0</v>
      </c>
      <c r="F98" s="155">
        <f>IFERROR(E98+'Pay App 32'!F98,"")</f>
        <v>0</v>
      </c>
      <c r="G98" s="155">
        <f>SUM('Pay App 1:Pay App 32'!H98)</f>
        <v>0</v>
      </c>
      <c r="H98" s="154"/>
      <c r="I98" s="155">
        <f t="shared" si="0"/>
        <v>0</v>
      </c>
      <c r="J98" s="156">
        <f t="shared" si="1"/>
        <v>0</v>
      </c>
      <c r="K98" s="155">
        <f t="shared" si="2"/>
        <v>0</v>
      </c>
      <c r="L98" s="155" t="str">
        <f>IF(AND('Summary Sheet'!$E$23="No",$H$33&gt;0,H98&gt;=1),"",IF(AND('Summary Sheet'!$E$23="Yes",H98&lt;&gt;""),H98*'Summary Sheet'!$G$23,""))</f>
        <v/>
      </c>
      <c r="M98" s="154"/>
      <c r="N98" s="155">
        <f>SUM('Pay App 1:Pay App 33'!L98)+SUM('Pay App 1:Pay App 33'!M98)</f>
        <v>0</v>
      </c>
    </row>
    <row r="99" spans="1:15" ht="10.9" customHeight="1" x14ac:dyDescent="0.25">
      <c r="A99" s="152">
        <v>43</v>
      </c>
      <c r="B99" s="175" t="str">
        <f>'Pay App 1'!B99</f>
        <v>08 90 00</v>
      </c>
      <c r="C99" s="180" t="str">
        <f>'Pay App 1'!C99</f>
        <v>Louvers &amp; Vents</v>
      </c>
      <c r="D99" s="155">
        <f>'Pay App 1'!D99</f>
        <v>0</v>
      </c>
      <c r="E99" s="155">
        <f>VLOOKUP(B99,'Graph Data'!$O$2:$BX$88,35,FALSE)</f>
        <v>0</v>
      </c>
      <c r="F99" s="155">
        <f>IFERROR(E99+'Pay App 32'!F99,"")</f>
        <v>0</v>
      </c>
      <c r="G99" s="155">
        <f>SUM('Pay App 1:Pay App 32'!H99)</f>
        <v>0</v>
      </c>
      <c r="H99" s="154"/>
      <c r="I99" s="155">
        <f t="shared" si="0"/>
        <v>0</v>
      </c>
      <c r="J99" s="156">
        <f t="shared" si="1"/>
        <v>0</v>
      </c>
      <c r="K99" s="155">
        <f t="shared" si="2"/>
        <v>0</v>
      </c>
      <c r="L99" s="155" t="str">
        <f>IF(AND('Summary Sheet'!$E$23="No",$H$33&gt;0,H99&gt;=1),"",IF(AND('Summary Sheet'!$E$23="Yes",H99&lt;&gt;""),H99*'Summary Sheet'!$G$23,""))</f>
        <v/>
      </c>
      <c r="M99" s="154"/>
      <c r="N99" s="155">
        <f>SUM('Pay App 1:Pay App 33'!L99)+SUM('Pay App 1:Pay App 33'!M99)</f>
        <v>0</v>
      </c>
    </row>
    <row r="100" spans="1:15" ht="11.25" customHeight="1" x14ac:dyDescent="0.25">
      <c r="A100" s="153">
        <v>44</v>
      </c>
      <c r="B100" s="176" t="str">
        <f>'Pay App 1'!B100</f>
        <v>09 20 00</v>
      </c>
      <c r="C100" s="181" t="str">
        <f>'Pay App 1'!C100</f>
        <v>Gypsum Board Systems</v>
      </c>
      <c r="D100" s="155">
        <f>'Pay App 1'!D100</f>
        <v>0</v>
      </c>
      <c r="E100" s="155">
        <f>VLOOKUP(B100,'Graph Data'!$O$2:$BX$88,35,FALSE)</f>
        <v>0</v>
      </c>
      <c r="F100" s="155">
        <f>IFERROR(E100+'Pay App 32'!F100,"")</f>
        <v>0</v>
      </c>
      <c r="G100" s="155">
        <f>SUM('Pay App 1:Pay App 32'!H100)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33'!L100)+SUM('Pay App 1:Pay App 33'!M100)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33.200000000000003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Data'!$O$2:$BX$88,35,FALSE)</f>
        <v>0</v>
      </c>
      <c r="F106" s="155">
        <f>IFERROR(E106+'Pay App 32'!F106,"")</f>
        <v>0</v>
      </c>
      <c r="G106" s="155">
        <f>SUM('Pay App 1:Pay App 32'!H106)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33'!L106)+SUM('Pay App 1:Pay App 33'!M106)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Data'!$O$2:$BX$88,35,FALSE)</f>
        <v>0</v>
      </c>
      <c r="F107" s="155">
        <f>IFERROR(E107+'Pay App 32'!F107,"")</f>
        <v>0</v>
      </c>
      <c r="G107" s="155">
        <f>SUM('Pay App 1:Pay App 32'!H107)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33'!L107)+SUM('Pay App 1:Pay App 33'!M107)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Data'!$O$2:$BX$88,35,FALSE)</f>
        <v>0</v>
      </c>
      <c r="F108" s="155">
        <f>IFERROR(E108+'Pay App 32'!F108,"")</f>
        <v>0</v>
      </c>
      <c r="G108" s="155">
        <f>SUM('Pay App 1:Pay App 32'!H108)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33'!L108)+SUM('Pay App 1:Pay App 33'!M108)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Data'!$O$2:$BX$88,35,FALSE)</f>
        <v>0</v>
      </c>
      <c r="F109" s="155">
        <f>IFERROR(E109+'Pay App 32'!F109,"")</f>
        <v>0</v>
      </c>
      <c r="G109" s="155">
        <f>SUM('Pay App 1:Pay App 32'!H109)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33'!L109)+SUM('Pay App 1:Pay App 33'!M109)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Data'!$O$2:$BX$88,35,FALSE)</f>
        <v>0</v>
      </c>
      <c r="F110" s="155">
        <f>IFERROR(E110+'Pay App 32'!F110,"")</f>
        <v>0</v>
      </c>
      <c r="G110" s="155">
        <f>SUM('Pay App 1:Pay App 32'!H110)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33'!L110)+SUM('Pay App 1:Pay App 33'!M110)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Data'!$O$2:$BX$88,35,FALSE)</f>
        <v>0</v>
      </c>
      <c r="F111" s="155">
        <f>IFERROR(E111+'Pay App 32'!F111,"")</f>
        <v>0</v>
      </c>
      <c r="G111" s="155">
        <f>SUM('Pay App 1:Pay App 32'!H111)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33'!L111)+SUM('Pay App 1:Pay App 33'!M111)</f>
        <v>0</v>
      </c>
    </row>
    <row r="112" spans="1:15" ht="11.25" customHeight="1" x14ac:dyDescent="0.25">
      <c r="A112" s="152">
        <f t="shared" si="3"/>
        <v>51</v>
      </c>
      <c r="B112" s="148" t="str">
        <f>'Pay App 1'!B112</f>
        <v>09 90 00</v>
      </c>
      <c r="C112" s="143" t="str">
        <f>'Pay App 1'!C112</f>
        <v>Painting</v>
      </c>
      <c r="D112" s="155">
        <f>'Pay App 1'!D112</f>
        <v>0</v>
      </c>
      <c r="E112" s="155">
        <f>VLOOKUP(B112,'Graph Data'!$O$2:$BX$88,35,FALSE)</f>
        <v>0</v>
      </c>
      <c r="F112" s="155">
        <f>IFERROR(E112+'Pay App 32'!F112,"")</f>
        <v>0</v>
      </c>
      <c r="G112" s="155">
        <f>SUM('Pay App 1:Pay App 32'!H112)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33'!L112)+SUM('Pay App 1:Pay App 33'!M112)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Data'!$O$2:$BX$88,35,FALSE)</f>
        <v>0</v>
      </c>
      <c r="F113" s="155">
        <f>IFERROR(E113+'Pay App 32'!F113,"")</f>
        <v>0</v>
      </c>
      <c r="G113" s="155">
        <f>SUM('Pay App 1:Pay App 32'!H113)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33'!L113)+SUM('Pay App 1:Pay App 33'!M113)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Data'!$O$2:$BX$88,35,FALSE)</f>
        <v>0</v>
      </c>
      <c r="F114" s="155">
        <f>IFERROR(E114+'Pay App 32'!F114,"")</f>
        <v>0</v>
      </c>
      <c r="G114" s="155">
        <f>SUM('Pay App 1:Pay App 32'!H114)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33'!L114)+SUM('Pay App 1:Pay App 33'!M114)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Data'!$O$2:$BX$88,35,FALSE)</f>
        <v>0</v>
      </c>
      <c r="F115" s="155">
        <f>IFERROR(E115+'Pay App 32'!F115,"")</f>
        <v>0</v>
      </c>
      <c r="G115" s="155">
        <f>SUM('Pay App 1:Pay App 32'!H115)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33'!L115)+SUM('Pay App 1:Pay App 33'!M115)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Data'!$O$2:$BX$88,35,FALSE)</f>
        <v>0</v>
      </c>
      <c r="F116" s="155">
        <f>IFERROR(E116+'Pay App 32'!F116,"")</f>
        <v>0</v>
      </c>
      <c r="G116" s="155">
        <f>SUM('Pay App 1:Pay App 32'!H116)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33'!L116)+SUM('Pay App 1:Pay App 33'!M116)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Data'!$O$2:$BX$88,35,FALSE)</f>
        <v>0</v>
      </c>
      <c r="F117" s="155">
        <f>IFERROR(E117+'Pay App 32'!F117,"")</f>
        <v>0</v>
      </c>
      <c r="G117" s="155">
        <f>SUM('Pay App 1:Pay App 32'!H117)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33'!L117)+SUM('Pay App 1:Pay App 33'!M117)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Data'!$O$2:$BX$88,35,FALSE)</f>
        <v>0</v>
      </c>
      <c r="F118" s="155">
        <f>IFERROR(E118+'Pay App 32'!F118,"")</f>
        <v>0</v>
      </c>
      <c r="G118" s="155">
        <f>SUM('Pay App 1:Pay App 32'!H118)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33'!L118)+SUM('Pay App 1:Pay App 33'!M118)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Data'!$O$2:$BX$88,35,FALSE)</f>
        <v>0</v>
      </c>
      <c r="F119" s="155">
        <f>IFERROR(E119+'Pay App 32'!F119,"")</f>
        <v>0</v>
      </c>
      <c r="G119" s="155">
        <f>SUM('Pay App 1:Pay App 32'!H119)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33'!L119)+SUM('Pay App 1:Pay App 33'!M119)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Data'!$O$2:$BX$88,35,FALSE)</f>
        <v>0</v>
      </c>
      <c r="F120" s="155">
        <f>IFERROR(E120+'Pay App 32'!F120,"")</f>
        <v>0</v>
      </c>
      <c r="G120" s="155">
        <f>SUM('Pay App 1:Pay App 32'!H120)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33'!L120)+SUM('Pay App 1:Pay App 33'!M120)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Data'!$O$2:$BX$88,35,FALSE)</f>
        <v>0</v>
      </c>
      <c r="F121" s="155">
        <f>IFERROR(E121+'Pay App 32'!F121,"")</f>
        <v>0</v>
      </c>
      <c r="G121" s="155">
        <f>SUM('Pay App 1:Pay App 32'!H121)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33'!L121)+SUM('Pay App 1:Pay App 33'!M121)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Data'!$O$2:$BX$88,35,FALSE)</f>
        <v>0</v>
      </c>
      <c r="F122" s="155">
        <f>IFERROR(E122+'Pay App 32'!F122,"")</f>
        <v>0</v>
      </c>
      <c r="G122" s="155">
        <f>SUM('Pay App 1:Pay App 32'!H122)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33'!L122)+SUM('Pay App 1:Pay App 33'!M122)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Data'!$O$2:$BX$88,35,FALSE)</f>
        <v>0</v>
      </c>
      <c r="F123" s="155">
        <f>IFERROR(E123+'Pay App 32'!F123,"")</f>
        <v>0</v>
      </c>
      <c r="G123" s="155">
        <f>SUM('Pay App 1:Pay App 32'!H123)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33'!L123)+SUM('Pay App 1:Pay App 33'!M123)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Data'!$O$2:$BX$88,35,FALSE)</f>
        <v>0</v>
      </c>
      <c r="F124" s="155">
        <f>IFERROR(E124+'Pay App 32'!F124,"")</f>
        <v>0</v>
      </c>
      <c r="G124" s="155">
        <f>SUM('Pay App 1:Pay App 32'!H124)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33'!L124)+SUM('Pay App 1:Pay App 33'!M124)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Data'!$O$2:$BX$88,35,FALSE)</f>
        <v>0</v>
      </c>
      <c r="F125" s="155">
        <f>IFERROR(E125+'Pay App 32'!F125,"")</f>
        <v>0</v>
      </c>
      <c r="G125" s="155">
        <f>SUM('Pay App 1:Pay App 32'!H125)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33'!L125)+SUM('Pay App 1:Pay App 33'!M125)</f>
        <v>0</v>
      </c>
    </row>
    <row r="126" spans="1:14" ht="11.25" customHeight="1" x14ac:dyDescent="0.25">
      <c r="A126" s="152">
        <f t="shared" si="3"/>
        <v>65</v>
      </c>
      <c r="B126" s="188" t="str">
        <f>'Pay App 1'!B126</f>
        <v>14 20 00</v>
      </c>
      <c r="C126" s="194" t="str">
        <f>'Pay App 1'!C126</f>
        <v>Elevator</v>
      </c>
      <c r="D126" s="155">
        <f>'Pay App 1'!D126</f>
        <v>0</v>
      </c>
      <c r="E126" s="155">
        <f>VLOOKUP(B126,'Graph Data'!$O$2:$BX$88,35,FALSE)</f>
        <v>0</v>
      </c>
      <c r="F126" s="155">
        <f>IFERROR(E126+'Pay App 32'!F126,"")</f>
        <v>0</v>
      </c>
      <c r="G126" s="155">
        <f>SUM('Pay App 1:Pay App 32'!H126)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33'!L126)+SUM('Pay App 1:Pay App 33'!M126)</f>
        <v>0</v>
      </c>
    </row>
    <row r="127" spans="1:14" ht="11.25" customHeight="1" x14ac:dyDescent="0.25">
      <c r="A127" s="152">
        <f t="shared" si="3"/>
        <v>66</v>
      </c>
      <c r="B127" s="188" t="str">
        <f>'Pay App 1'!B127</f>
        <v>14 40 00</v>
      </c>
      <c r="C127" s="194" t="str">
        <f>'Pay App 1'!C127</f>
        <v>Lifts</v>
      </c>
      <c r="D127" s="155">
        <f>'Pay App 1'!D127</f>
        <v>0</v>
      </c>
      <c r="E127" s="155">
        <f>VLOOKUP(B127,'Graph Data'!$O$2:$BX$88,35,FALSE)</f>
        <v>0</v>
      </c>
      <c r="F127" s="155">
        <f>IFERROR(E127+'Pay App 32'!F127,"")</f>
        <v>0</v>
      </c>
      <c r="G127" s="155">
        <f>SUM('Pay App 1:Pay App 32'!H127)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33'!L127)+SUM('Pay App 1:Pay App 33'!M127)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Data'!$O$2:$BX$88,35,FALSE)</f>
        <v>0</v>
      </c>
      <c r="F128" s="155">
        <f>IFERROR(E128+'Pay App 32'!F128,"")</f>
        <v>0</v>
      </c>
      <c r="G128" s="155">
        <f>SUM('Pay App 1:Pay App 32'!H128)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33'!L128)+SUM('Pay App 1:Pay App 33'!M128)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Data'!$O$2:$BX$88,35,FALSE)</f>
        <v>0</v>
      </c>
      <c r="F129" s="155">
        <f>IFERROR(E129+'Pay App 32'!F129,"")</f>
        <v>0</v>
      </c>
      <c r="G129" s="155">
        <f>SUM('Pay App 1:Pay App 32'!H129)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33'!L129)+SUM('Pay App 1:Pay App 33'!M129)</f>
        <v>0</v>
      </c>
    </row>
    <row r="130" spans="1:14" ht="11.25" customHeight="1" x14ac:dyDescent="0.25">
      <c r="A130" s="152">
        <f t="shared" si="3"/>
        <v>69</v>
      </c>
      <c r="B130" s="185" t="str">
        <f>'Pay App 1'!B130</f>
        <v>22 00 00</v>
      </c>
      <c r="C130" s="191" t="str">
        <f>'Pay App 1'!C130</f>
        <v>Plumbing</v>
      </c>
      <c r="D130" s="155">
        <f>'Pay App 1'!D130</f>
        <v>0</v>
      </c>
      <c r="E130" s="155">
        <f>VLOOKUP(B130,'Graph Data'!$O$2:$BX$88,35,FALSE)</f>
        <v>0</v>
      </c>
      <c r="F130" s="155">
        <f>IFERROR(E130+'Pay App 32'!F130,"")</f>
        <v>0</v>
      </c>
      <c r="G130" s="155">
        <f>SUM('Pay App 1:Pay App 32'!H130)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33'!L130)+SUM('Pay App 1:Pay App 33'!M130)</f>
        <v>0</v>
      </c>
    </row>
    <row r="131" spans="1:14" ht="11.25" customHeight="1" x14ac:dyDescent="0.25">
      <c r="A131" s="152">
        <f t="shared" si="3"/>
        <v>70</v>
      </c>
      <c r="B131" s="186" t="str">
        <f>'Pay App 1'!B131</f>
        <v>23 00 00</v>
      </c>
      <c r="C131" s="192" t="str">
        <f>'Pay App 1'!C131</f>
        <v>HVAC</v>
      </c>
      <c r="D131" s="155">
        <f>'Pay App 1'!D131</f>
        <v>0</v>
      </c>
      <c r="E131" s="155">
        <f>VLOOKUP(B131,'Graph Data'!$O$2:$BX$88,35,FALSE)</f>
        <v>0</v>
      </c>
      <c r="F131" s="155">
        <f>IFERROR(E131+'Pay App 32'!F131,"")</f>
        <v>0</v>
      </c>
      <c r="G131" s="155">
        <f>SUM('Pay App 1:Pay App 32'!H131)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33'!L131)+SUM('Pay App 1:Pay App 33'!M131)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Data'!$O$2:$BX$88,35,FALSE)</f>
        <v>0</v>
      </c>
      <c r="F132" s="155">
        <f>IFERROR(E132+'Pay App 32'!F132,"")</f>
        <v>0</v>
      </c>
      <c r="G132" s="155">
        <f>SUM('Pay App 1:Pay App 32'!H132)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33'!L132)+SUM('Pay App 1:Pay App 33'!M132)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Data'!$O$2:$BX$88,35,FALSE)</f>
        <v>0</v>
      </c>
      <c r="F133" s="155">
        <f>IFERROR(E133+'Pay App 32'!F133,"")</f>
        <v>0</v>
      </c>
      <c r="G133" s="155">
        <f>SUM('Pay App 1:Pay App 32'!H133)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33'!L133)+SUM('Pay App 1:Pay App 33'!M133)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Data'!$O$2:$BX$88,35,FALSE)</f>
        <v>0</v>
      </c>
      <c r="F134" s="155">
        <f>IFERROR(E134+'Pay App 32'!F134,"")</f>
        <v>0</v>
      </c>
      <c r="G134" s="155">
        <f>SUM('Pay App 1:Pay App 32'!H134)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33'!L134)+SUM('Pay App 1:Pay App 33'!M134)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Data'!$O$2:$BX$88,35,FALSE)</f>
        <v>0</v>
      </c>
      <c r="F135" s="155">
        <f>IFERROR(E135+'Pay App 32'!F135,"")</f>
        <v>0</v>
      </c>
      <c r="G135" s="155">
        <f>SUM('Pay App 1:Pay App 32'!H135)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33'!L135)+SUM('Pay App 1:Pay App 33'!M135)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Data'!$O$2:$BX$88,35,FALSE)</f>
        <v>0</v>
      </c>
      <c r="F136" s="155">
        <f>IFERROR(E136+'Pay App 32'!F136,"")</f>
        <v>0</v>
      </c>
      <c r="G136" s="155">
        <f>SUM('Pay App 1:Pay App 32'!H136)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33'!L136)+SUM('Pay App 1:Pay App 33'!M136)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Data'!$O$2:$BX$88,35,FALSE)</f>
        <v>0</v>
      </c>
      <c r="F137" s="155">
        <f>IFERROR(E137+'Pay App 32'!F137,"")</f>
        <v>0</v>
      </c>
      <c r="G137" s="155">
        <f>SUM('Pay App 1:Pay App 32'!H137)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33'!L137)+SUM('Pay App 1:Pay App 33'!M137)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Data'!$O$2:$BX$88,35,FALSE)</f>
        <v>0</v>
      </c>
      <c r="F138" s="155">
        <f>IFERROR(E138+'Pay App 32'!F138,"")</f>
        <v>0</v>
      </c>
      <c r="G138" s="155">
        <f>SUM('Pay App 1:Pay App 32'!H138)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33'!L138)+SUM('Pay App 1:Pay App 33'!M138)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Data'!$O$2:$BX$88,35,FALSE)</f>
        <v>0</v>
      </c>
      <c r="F139" s="155">
        <f>IFERROR(E139+'Pay App 32'!F139,"")</f>
        <v>0</v>
      </c>
      <c r="G139" s="155">
        <f>SUM('Pay App 1:Pay App 32'!H139)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33'!L139)+SUM('Pay App 1:Pay App 33'!M139)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Data'!$O$2:$BX$88,35,FALSE)</f>
        <v>0</v>
      </c>
      <c r="F140" s="155">
        <f>IFERROR(E140+'Pay App 32'!F140,"")</f>
        <v>0</v>
      </c>
      <c r="G140" s="155">
        <f>SUM('Pay App 1:Pay App 32'!H140)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33'!L140)+SUM('Pay App 1:Pay App 33'!M140)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Data'!$O$2:$BX$88,35,FALSE)</f>
        <v>0</v>
      </c>
      <c r="F141" s="155">
        <f>IFERROR(E141+'Pay App 32'!F141,"")</f>
        <v>0</v>
      </c>
      <c r="G141" s="155">
        <f>SUM('Pay App 1:Pay App 32'!H141)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33'!L141)+SUM('Pay App 1:Pay App 33'!M141)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Data'!$O$2:$BX$88,35,FALSE)</f>
        <v>0</v>
      </c>
      <c r="F142" s="155">
        <f>IFERROR(E142+'Pay App 32'!F142,"")</f>
        <v>0</v>
      </c>
      <c r="G142" s="155">
        <f>SUM('Pay App 1:Pay App 32'!H142)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33'!L142)+SUM('Pay App 1:Pay App 33'!M142)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Data'!$O$2:$BX$88,35,FALSE)</f>
        <v>0</v>
      </c>
      <c r="F143" s="155">
        <f>IFERROR(E143+'Pay App 32'!F143,"")</f>
        <v>0</v>
      </c>
      <c r="G143" s="155">
        <f>SUM('Pay App 1:Pay App 32'!H143)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33'!L143)+SUM('Pay App 1:Pay App 33'!M143)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Data'!$O$2:$BX$88,35,FALSE)</f>
        <v>0</v>
      </c>
      <c r="F144" s="155">
        <f>IFERROR(E144+'Pay App 32'!F144,"")</f>
        <v>0</v>
      </c>
      <c r="G144" s="155">
        <f>SUM('Pay App 1:Pay App 32'!H144)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33'!L144)+SUM('Pay App 1:Pay App 33'!M144)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Data'!$O$2:$BX$88,35,FALSE)</f>
        <v>0</v>
      </c>
      <c r="F145" s="155">
        <f>IFERROR(E145+'Pay App 32'!F145,"")</f>
        <v>0</v>
      </c>
      <c r="G145" s="155">
        <f>SUM('Pay App 1:Pay App 32'!H145)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33'!L145)+SUM('Pay App 1:Pay App 33'!M145)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Data'!$O$2:$BX$88,35,FALSE)</f>
        <v>0</v>
      </c>
      <c r="F146" s="155">
        <f>IFERROR(E146+'Pay App 32'!F146,"")</f>
        <v>0</v>
      </c>
      <c r="G146" s="155">
        <f>SUM('Pay App 1:Pay App 32'!H146)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33'!L146)+SUM('Pay App 1:Pay App 33'!M146)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Data'!$O$2:$BX$88,35,FALSE)</f>
        <v>0</v>
      </c>
      <c r="F147" s="155">
        <f>IFERROR(E147+'Pay App 32'!F147,"")</f>
        <v>0</v>
      </c>
      <c r="G147" s="155">
        <f>SUM('Pay App 1:Pay App 32'!H147)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33'!L147)+SUM('Pay App 1:Pay App 33'!M147)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Data'!$O$2:$BX$88,35,FALSE)</f>
        <v>0</v>
      </c>
      <c r="F148" s="155">
        <f>IFERROR(E148+'Pay App 32'!F148,"")</f>
        <v>0</v>
      </c>
      <c r="G148" s="155">
        <f>SUM('Pay App 1:Pay App 32'!H148)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33'!L148)+SUM('Pay App 1:Pay App 33'!M148)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G2cYctSObQ70wKdG7lYeP3n89nfewlW/TRO3AokvGMWur8AO24W0tNxeuVk3e9cMGuadi9hO3PKs/vKsW81kPQ==" saltValue="jBwlqD2kRIwLC2kJzeTww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07" priority="2" operator="equal">
      <formula>0</formula>
    </cfRule>
  </conditionalFormatting>
  <conditionalFormatting sqref="D106:G148">
    <cfRule type="cellIs" dxfId="306" priority="1" operator="equal">
      <formula>0</formula>
    </cfRule>
  </conditionalFormatting>
  <conditionalFormatting sqref="D10:H10 D12:H14 D19:H21">
    <cfRule type="cellIs" dxfId="305" priority="6" operator="equal">
      <formula>0</formula>
    </cfRule>
  </conditionalFormatting>
  <conditionalFormatting sqref="H51">
    <cfRule type="cellIs" dxfId="304" priority="9" operator="lessThan">
      <formula>0</formula>
    </cfRule>
  </conditionalFormatting>
  <conditionalFormatting sqref="I57:I100 K57:K100 I106:I148 K106:K148 N106:N148">
    <cfRule type="cellIs" dxfId="303" priority="14" operator="equal">
      <formula>0</formula>
    </cfRule>
  </conditionalFormatting>
  <conditionalFormatting sqref="J57:J100 J106:J149">
    <cfRule type="cellIs" dxfId="302" priority="11" operator="greaterThan">
      <formula>1</formula>
    </cfRule>
    <cfRule type="cellIs" dxfId="301" priority="12" operator="equal">
      <formula>0</formula>
    </cfRule>
  </conditionalFormatting>
  <conditionalFormatting sqref="K57:K100 K106:K148">
    <cfRule type="cellIs" dxfId="300" priority="10" operator="lessThan">
      <formula>0</formula>
    </cfRule>
  </conditionalFormatting>
  <conditionalFormatting sqref="M57:M100">
    <cfRule type="cellIs" dxfId="299" priority="13" operator="lessThan">
      <formula>0</formula>
    </cfRule>
  </conditionalFormatting>
  <conditionalFormatting sqref="M106:M148">
    <cfRule type="cellIs" dxfId="298" priority="8" operator="lessThan">
      <formula>0</formula>
    </cfRule>
  </conditionalFormatting>
  <conditionalFormatting sqref="N57:N100">
    <cfRule type="cellIs" dxfId="29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F4FC884E-8677-420D-BDF5-DC31310B465F}">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FDD30-ACAA-421E-965D-ED39EE221F27}">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34.1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Data'!$O$2:$BX$88,36,FALSE)</f>
        <v>0</v>
      </c>
      <c r="F57" s="155">
        <f>IFERROR(E57+'Pay App 33'!F57,"")</f>
        <v>0</v>
      </c>
      <c r="G57" s="155">
        <f>SUM('Pay App 1:Pay App 33'!H57)</f>
        <v>0</v>
      </c>
      <c r="H57" s="154"/>
      <c r="I57" s="155">
        <f>G57+H57</f>
        <v>0</v>
      </c>
      <c r="J57" s="156">
        <f>IFERROR(I57/F57,0)</f>
        <v>0</v>
      </c>
      <c r="K57" s="155">
        <f>IFERROR(F57-I57,"")</f>
        <v>0</v>
      </c>
      <c r="L57" s="155" t="str">
        <f>IF(AND('Summary Sheet'!$E$23="No",$H$33&gt;0,H57&gt;=1),"",IF(AND('Summary Sheet'!$E$23="Yes",H57&lt;&gt;""),H57*'Summary Sheet'!$G$23,""))</f>
        <v/>
      </c>
      <c r="M57" s="154"/>
      <c r="N57" s="155">
        <f>SUM('Pay App 1:Pay App 34'!L57)+SUM('Pay App 1:Pay App 34'!M57)</f>
        <v>0</v>
      </c>
    </row>
    <row r="58" spans="1:16" ht="11.25" customHeight="1" x14ac:dyDescent="0.25">
      <c r="A58" s="152">
        <v>2</v>
      </c>
      <c r="B58" s="145" t="str">
        <f>'Pay App 1'!B58</f>
        <v>00 02 00</v>
      </c>
      <c r="C58" s="134" t="str">
        <f>'Pay App 1'!C58</f>
        <v>Preconstruction Services</v>
      </c>
      <c r="D58" s="155">
        <f>'Pay App 1'!D58</f>
        <v>0</v>
      </c>
      <c r="E58" s="155">
        <f>VLOOKUP(B58,'Graph Data'!$O$2:$BX$88,36,FALSE)</f>
        <v>0</v>
      </c>
      <c r="F58" s="155">
        <f>IFERROR(E58+'Pay App 33'!F58,"")</f>
        <v>0</v>
      </c>
      <c r="G58" s="155">
        <f>SUM('Pay App 1:Pay App 33'!H58)</f>
        <v>0</v>
      </c>
      <c r="H58" s="154"/>
      <c r="I58" s="155">
        <f>G58+H58</f>
        <v>0</v>
      </c>
      <c r="J58" s="156">
        <f>IFERROR(I58/F58,0)</f>
        <v>0</v>
      </c>
      <c r="K58" s="155">
        <f>IFERROR(F58-I58,"")</f>
        <v>0</v>
      </c>
      <c r="L58" s="155" t="str">
        <f>IF(AND('Summary Sheet'!$E$23="No",$H$33&gt;0,H58&gt;=1),"",IF(AND('Summary Sheet'!$E$23="Yes",H58&lt;&gt;""),H58*'Summary Sheet'!$G$23,""))</f>
        <v/>
      </c>
      <c r="M58" s="154"/>
      <c r="N58" s="155">
        <f>SUM('Pay App 1:Pay App 34'!L58)+SUM('Pay App 1:Pay App 34'!M58)</f>
        <v>0</v>
      </c>
    </row>
    <row r="59" spans="1:16" ht="11.25" customHeight="1" x14ac:dyDescent="0.25">
      <c r="A59" s="152">
        <v>3</v>
      </c>
      <c r="B59" s="174" t="str">
        <f>'Pay App 1'!B59</f>
        <v>01 00 00</v>
      </c>
      <c r="C59" s="179" t="str">
        <f>'Pay App 1'!C59</f>
        <v>General Conditions/Requirements</v>
      </c>
      <c r="D59" s="155">
        <f>'Pay App 1'!D59</f>
        <v>0</v>
      </c>
      <c r="E59" s="155">
        <f>VLOOKUP(B59,'Graph Data'!$O$2:$BX$88,36,FALSE)</f>
        <v>0</v>
      </c>
      <c r="F59" s="155">
        <f>IFERROR(E59+'Pay App 33'!F59,"")</f>
        <v>0</v>
      </c>
      <c r="G59" s="155">
        <f>SUM('Pay App 1:Pay App 33'!H59)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34'!L59)+SUM('Pay App 1:Pay App 34'!M59)</f>
        <v>0</v>
      </c>
    </row>
    <row r="60" spans="1:16" ht="11.25" customHeight="1" x14ac:dyDescent="0.25">
      <c r="A60" s="152">
        <v>4</v>
      </c>
      <c r="B60" s="174" t="str">
        <f>'Pay App 1'!B60</f>
        <v>01 13 41</v>
      </c>
      <c r="C60" s="179" t="str">
        <f>'Pay App 1'!C60</f>
        <v>Temp. Scaffolding and Platforms</v>
      </c>
      <c r="D60" s="155">
        <f>'Pay App 1'!D60</f>
        <v>0</v>
      </c>
      <c r="E60" s="155">
        <f>VLOOKUP(B60,'Graph Data'!$O$2:$BX$88,36,FALSE)</f>
        <v>0</v>
      </c>
      <c r="F60" s="155">
        <f>IFERROR(E60+'Pay App 33'!F60,"")</f>
        <v>0</v>
      </c>
      <c r="G60" s="155">
        <f>SUM('Pay App 1:Pay App 33'!H60)</f>
        <v>0</v>
      </c>
      <c r="H60" s="154"/>
      <c r="I60" s="155">
        <f t="shared" si="0"/>
        <v>0</v>
      </c>
      <c r="J60" s="156">
        <f t="shared" si="1"/>
        <v>0</v>
      </c>
      <c r="K60" s="155">
        <f t="shared" si="2"/>
        <v>0</v>
      </c>
      <c r="L60" s="155" t="str">
        <f>IF(AND('Summary Sheet'!$E$23="No",$H$33&gt;0,H60&gt;=1),"",IF(AND('Summary Sheet'!$E$23="Yes",H60&lt;&gt;""),H60*'Summary Sheet'!$G$23,""))</f>
        <v/>
      </c>
      <c r="M60" s="154"/>
      <c r="N60" s="155">
        <f>SUM('Pay App 1:Pay App 34'!L60)+SUM('Pay App 1:Pay App 34'!M60)</f>
        <v>0</v>
      </c>
    </row>
    <row r="61" spans="1:16" ht="11.25" customHeight="1" x14ac:dyDescent="0.25">
      <c r="A61" s="152">
        <v>5</v>
      </c>
      <c r="B61" s="174" t="str">
        <f>'Pay App 1'!B61</f>
        <v>01 13 60</v>
      </c>
      <c r="C61" s="179" t="str">
        <f>'Pay App 1'!C61</f>
        <v>SWPPP</v>
      </c>
      <c r="D61" s="155">
        <f>'Pay App 1'!D61</f>
        <v>0</v>
      </c>
      <c r="E61" s="155">
        <f>VLOOKUP(B61,'Graph Data'!$O$2:$BX$88,36,FALSE)</f>
        <v>0</v>
      </c>
      <c r="F61" s="155">
        <f>IFERROR(E61+'Pay App 33'!F61,"")</f>
        <v>0</v>
      </c>
      <c r="G61" s="155">
        <f>SUM('Pay App 1:Pay App 33'!H61)</f>
        <v>0</v>
      </c>
      <c r="H61" s="154"/>
      <c r="I61" s="155">
        <f t="shared" si="0"/>
        <v>0</v>
      </c>
      <c r="J61" s="156">
        <f t="shared" si="1"/>
        <v>0</v>
      </c>
      <c r="K61" s="155">
        <f t="shared" si="2"/>
        <v>0</v>
      </c>
      <c r="L61" s="155" t="str">
        <f>IF(AND('Summary Sheet'!$E$23="No",$H$33&gt;0,H61&gt;=1),"",IF(AND('Summary Sheet'!$E$23="Yes",H61&lt;&gt;""),H61*'Summary Sheet'!$G$23,""))</f>
        <v/>
      </c>
      <c r="M61" s="154"/>
      <c r="N61" s="155">
        <f>SUM('Pay App 1:Pay App 34'!L61)+SUM('Pay App 1:Pay App 34'!M61)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Data'!$O$2:$BX$88,36,FALSE)</f>
        <v>0</v>
      </c>
      <c r="F62" s="155">
        <f>IFERROR(E62+'Pay App 33'!F62,"")</f>
        <v>0</v>
      </c>
      <c r="G62" s="155">
        <f>SUM('Pay App 1:Pay App 33'!H62)</f>
        <v>0</v>
      </c>
      <c r="H62" s="154"/>
      <c r="I62" s="155">
        <f t="shared" si="0"/>
        <v>0</v>
      </c>
      <c r="J62" s="156">
        <f t="shared" si="1"/>
        <v>0</v>
      </c>
      <c r="K62" s="155">
        <f t="shared" si="2"/>
        <v>0</v>
      </c>
      <c r="L62" s="155" t="str">
        <f>IF(AND('Summary Sheet'!$E$23="No",$H$33&gt;0,H62&gt;=1),"",IF(AND('Summary Sheet'!$E$23="Yes",H62&lt;&gt;""),H62*'Summary Sheet'!$G$23,""))</f>
        <v/>
      </c>
      <c r="M62" s="154"/>
      <c r="N62" s="155">
        <f>SUM('Pay App 1:Pay App 34'!L62)+SUM('Pay App 1:Pay App 34'!M62)</f>
        <v>0</v>
      </c>
    </row>
    <row r="63" spans="1:16" ht="11.25" customHeight="1" x14ac:dyDescent="0.25">
      <c r="A63" s="152">
        <v>7</v>
      </c>
      <c r="B63" s="174" t="str">
        <f>'Pay App 1'!B63</f>
        <v>01 31 00</v>
      </c>
      <c r="C63" s="179" t="str">
        <f>'Pay App 1'!C63</f>
        <v>Contractor's Supervision</v>
      </c>
      <c r="D63" s="155">
        <f>'Pay App 1'!D63</f>
        <v>0</v>
      </c>
      <c r="E63" s="155">
        <f>VLOOKUP(B63,'Graph Data'!$O$2:$BX$88,36,FALSE)</f>
        <v>0</v>
      </c>
      <c r="F63" s="155">
        <f>IFERROR(E63+'Pay App 33'!F63,"")</f>
        <v>0</v>
      </c>
      <c r="G63" s="155">
        <f>SUM('Pay App 1:Pay App 33'!H63)</f>
        <v>0</v>
      </c>
      <c r="H63" s="154"/>
      <c r="I63" s="155">
        <f t="shared" si="0"/>
        <v>0</v>
      </c>
      <c r="J63" s="156">
        <f t="shared" si="1"/>
        <v>0</v>
      </c>
      <c r="K63" s="155">
        <f t="shared" si="2"/>
        <v>0</v>
      </c>
      <c r="L63" s="155" t="str">
        <f>IF(AND('Summary Sheet'!$E$23="No",$H$33&gt;0,H63&gt;=1),"",IF(AND('Summary Sheet'!$E$23="Yes",H63&lt;&gt;""),H63*'Summary Sheet'!$G$23,""))</f>
        <v/>
      </c>
      <c r="M63" s="154"/>
      <c r="N63" s="155">
        <f>SUM('Pay App 1:Pay App 34'!L63)+SUM('Pay App 1:Pay App 34'!M63)</f>
        <v>0</v>
      </c>
    </row>
    <row r="64" spans="1:16" ht="11.25" customHeight="1" x14ac:dyDescent="0.25">
      <c r="A64" s="152">
        <v>8</v>
      </c>
      <c r="B64" s="174" t="str">
        <f>'Pay App 1'!B64</f>
        <v>01 32 00</v>
      </c>
      <c r="C64" s="179" t="str">
        <f>'Pay App 1'!C64</f>
        <v>General Liability Insurance</v>
      </c>
      <c r="D64" s="155">
        <f>'Pay App 1'!D64</f>
        <v>0</v>
      </c>
      <c r="E64" s="155">
        <f>VLOOKUP(B64,'Graph Data'!$O$2:$BX$88,36,FALSE)</f>
        <v>0</v>
      </c>
      <c r="F64" s="155">
        <f>IFERROR(E64+'Pay App 33'!F64,"")</f>
        <v>0</v>
      </c>
      <c r="G64" s="155">
        <f>SUM('Pay App 1:Pay App 33'!H64)</f>
        <v>0</v>
      </c>
      <c r="H64" s="154"/>
      <c r="I64" s="155">
        <f t="shared" si="0"/>
        <v>0</v>
      </c>
      <c r="J64" s="156">
        <f t="shared" si="1"/>
        <v>0</v>
      </c>
      <c r="K64" s="155">
        <f t="shared" si="2"/>
        <v>0</v>
      </c>
      <c r="L64" s="155" t="str">
        <f>IF(AND('Summary Sheet'!$E$23="No",$H$33&gt;0,H64&gt;=1),"",IF(AND('Summary Sheet'!$E$23="Yes",H64&lt;&gt;""),H64*'Summary Sheet'!$G$23,""))</f>
        <v/>
      </c>
      <c r="M64" s="154"/>
      <c r="N64" s="155">
        <f>SUM('Pay App 1:Pay App 34'!L64)+SUM('Pay App 1:Pay App 34'!M64)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Data'!$O$2:$BX$88,36,FALSE)</f>
        <v>0</v>
      </c>
      <c r="F65" s="155">
        <f>IFERROR(E65+'Pay App 33'!F65,"")</f>
        <v>0</v>
      </c>
      <c r="G65" s="155">
        <f>SUM('Pay App 1:Pay App 33'!H65)</f>
        <v>0</v>
      </c>
      <c r="H65" s="154"/>
      <c r="I65" s="155">
        <f t="shared" si="0"/>
        <v>0</v>
      </c>
      <c r="J65" s="156">
        <f t="shared" si="1"/>
        <v>0</v>
      </c>
      <c r="K65" s="155">
        <f t="shared" si="2"/>
        <v>0</v>
      </c>
      <c r="L65" s="155" t="str">
        <f>IF(AND('Summary Sheet'!$E$23="No",$H$33&gt;0,H65&gt;=1),"",IF(AND('Summary Sheet'!$E$23="Yes",H65&lt;&gt;""),H65*'Summary Sheet'!$G$23,""))</f>
        <v/>
      </c>
      <c r="M65" s="154"/>
      <c r="N65" s="155">
        <f>SUM('Pay App 1:Pay App 34'!L65)+SUM('Pay App 1:Pay App 34'!M65)</f>
        <v>0</v>
      </c>
    </row>
    <row r="66" spans="1:17" ht="11.25" customHeight="1" x14ac:dyDescent="0.25">
      <c r="A66" s="152">
        <v>10</v>
      </c>
      <c r="B66" s="174" t="str">
        <f>'Pay App 1'!B66</f>
        <v>01 34 00</v>
      </c>
      <c r="C66" s="179" t="str">
        <f>'Pay App 1'!C66</f>
        <v>Subcontractor Default Insurance</v>
      </c>
      <c r="D66" s="155">
        <f>'Pay App 1'!D66</f>
        <v>0</v>
      </c>
      <c r="E66" s="155">
        <f>VLOOKUP(B66,'Graph Data'!$O$2:$BX$88,36,FALSE)</f>
        <v>0</v>
      </c>
      <c r="F66" s="155">
        <f>IFERROR(E66+'Pay App 33'!F66,"")</f>
        <v>0</v>
      </c>
      <c r="G66" s="155">
        <f>SUM('Pay App 1:Pay App 33'!H66)</f>
        <v>0</v>
      </c>
      <c r="H66" s="154"/>
      <c r="I66" s="155">
        <f t="shared" si="0"/>
        <v>0</v>
      </c>
      <c r="J66" s="156">
        <f t="shared" si="1"/>
        <v>0</v>
      </c>
      <c r="K66" s="155">
        <f t="shared" si="2"/>
        <v>0</v>
      </c>
      <c r="L66" s="155" t="str">
        <f>IF(AND('Summary Sheet'!$E$23="No",$H$33&gt;0,H66&gt;=1),"",IF(AND('Summary Sheet'!$E$23="Yes",H66&lt;&gt;""),H66*'Summary Sheet'!$G$23,""))</f>
        <v/>
      </c>
      <c r="M66" s="154"/>
      <c r="N66" s="155">
        <f>SUM('Pay App 1:Pay App 34'!L66)+SUM('Pay App 1:Pay App 34'!M66)</f>
        <v>0</v>
      </c>
    </row>
    <row r="67" spans="1:17" ht="11.25" customHeight="1" x14ac:dyDescent="0.25">
      <c r="A67" s="152">
        <v>11</v>
      </c>
      <c r="B67" s="174" t="str">
        <f>'Pay App 1'!B67</f>
        <v>01 35 00</v>
      </c>
      <c r="C67" s="179" t="str">
        <f>'Pay App 1'!C67</f>
        <v>Construction Management Fee</v>
      </c>
      <c r="D67" s="155">
        <f>'Pay App 1'!D67</f>
        <v>0</v>
      </c>
      <c r="E67" s="155">
        <f>VLOOKUP(B67,'Graph Data'!$O$2:$BX$88,36,FALSE)</f>
        <v>0</v>
      </c>
      <c r="F67" s="155">
        <f>IFERROR(E67+'Pay App 33'!F67,"")</f>
        <v>0</v>
      </c>
      <c r="G67" s="155">
        <f>SUM('Pay App 1:Pay App 33'!H67)</f>
        <v>0</v>
      </c>
      <c r="H67" s="154"/>
      <c r="I67" s="155">
        <f t="shared" si="0"/>
        <v>0</v>
      </c>
      <c r="J67" s="156">
        <f t="shared" si="1"/>
        <v>0</v>
      </c>
      <c r="K67" s="155">
        <f t="shared" si="2"/>
        <v>0</v>
      </c>
      <c r="L67" s="155" t="str">
        <f>IF(AND('Summary Sheet'!$E$23="No",$H$33&gt;0,H67&gt;=1),"",IF(AND('Summary Sheet'!$E$23="Yes",H67&lt;&gt;""),H67*'Summary Sheet'!$G$23,""))</f>
        <v/>
      </c>
      <c r="M67" s="154"/>
      <c r="N67" s="155">
        <f>SUM('Pay App 1:Pay App 34'!L67)+SUM('Pay App 1:Pay App 34'!M67)</f>
        <v>0</v>
      </c>
    </row>
    <row r="68" spans="1:17" ht="11.25" customHeight="1" x14ac:dyDescent="0.25">
      <c r="A68" s="152">
        <v>12</v>
      </c>
      <c r="B68" s="174" t="str">
        <f>'Pay App 1'!B68</f>
        <v>01 36 00</v>
      </c>
      <c r="C68" s="179" t="str">
        <f>'Pay App 1'!C68</f>
        <v>Contingency</v>
      </c>
      <c r="D68" s="155">
        <f>'Pay App 1'!D68</f>
        <v>0</v>
      </c>
      <c r="E68" s="155">
        <f>VLOOKUP(B68,'Graph Data'!$O$2:$BX$88,36,FALSE)</f>
        <v>0</v>
      </c>
      <c r="F68" s="155">
        <f>IFERROR(E68+'Pay App 33'!F68,"")</f>
        <v>0</v>
      </c>
      <c r="G68" s="155">
        <f>SUM('Pay App 1:Pay App 33'!H68)</f>
        <v>0</v>
      </c>
      <c r="H68" s="154"/>
      <c r="I68" s="155">
        <f t="shared" si="0"/>
        <v>0</v>
      </c>
      <c r="J68" s="156">
        <f t="shared" si="1"/>
        <v>0</v>
      </c>
      <c r="K68" s="155">
        <f t="shared" si="2"/>
        <v>0</v>
      </c>
      <c r="L68" s="155" t="str">
        <f>IF(AND('Summary Sheet'!$E$23="No",$H$33&gt;0,H68&gt;=1),"",IF(AND('Summary Sheet'!$E$23="Yes",H68&lt;&gt;""),H68*'Summary Sheet'!$G$23,""))</f>
        <v/>
      </c>
      <c r="M68" s="154"/>
      <c r="N68" s="155">
        <f>SUM('Pay App 1:Pay App 34'!L68)+SUM('Pay App 1:Pay App 34'!M68)</f>
        <v>0</v>
      </c>
    </row>
    <row r="69" spans="1:17" ht="11.25" customHeight="1" x14ac:dyDescent="0.25">
      <c r="A69" s="152">
        <v>13</v>
      </c>
      <c r="B69" s="174" t="str">
        <f>'Pay App 1'!B69</f>
        <v>01 37 00</v>
      </c>
      <c r="C69" s="179" t="str">
        <f>'Pay App 1'!C69</f>
        <v>Weather Allowance (All Trades)</v>
      </c>
      <c r="D69" s="155">
        <f>'Pay App 1'!D69</f>
        <v>0</v>
      </c>
      <c r="E69" s="155">
        <f>VLOOKUP(B69,'Graph Data'!$O$2:$BX$88,36,FALSE)</f>
        <v>0</v>
      </c>
      <c r="F69" s="155">
        <f>IFERROR(E69+'Pay App 33'!F69,"")</f>
        <v>0</v>
      </c>
      <c r="G69" s="155">
        <f>SUM('Pay App 1:Pay App 33'!H69)</f>
        <v>0</v>
      </c>
      <c r="H69" s="154"/>
      <c r="I69" s="155">
        <f t="shared" si="0"/>
        <v>0</v>
      </c>
      <c r="J69" s="156">
        <f t="shared" si="1"/>
        <v>0</v>
      </c>
      <c r="K69" s="155">
        <f t="shared" si="2"/>
        <v>0</v>
      </c>
      <c r="L69" s="155" t="str">
        <f>IF(AND('Summary Sheet'!$E$23="No",$H$33&gt;0,H69&gt;=1),"",IF(AND('Summary Sheet'!$E$23="Yes",H69&lt;&gt;""),H69*'Summary Sheet'!$G$23,""))</f>
        <v/>
      </c>
      <c r="M69" s="154"/>
      <c r="N69" s="155">
        <f>SUM('Pay App 1:Pay App 34'!L69)+SUM('Pay App 1:Pay App 34'!M69)</f>
        <v>0</v>
      </c>
    </row>
    <row r="70" spans="1:17" ht="11.25" customHeight="1" x14ac:dyDescent="0.25">
      <c r="A70" s="152">
        <v>14</v>
      </c>
      <c r="B70" s="174" t="str">
        <f>'Pay App 1'!B70</f>
        <v>01 74 23</v>
      </c>
      <c r="C70" s="179" t="str">
        <f>'Pay App 1'!C70</f>
        <v>Cleaning (Final)</v>
      </c>
      <c r="D70" s="155">
        <f>'Pay App 1'!D70</f>
        <v>0</v>
      </c>
      <c r="E70" s="155">
        <f>VLOOKUP(B70,'Graph Data'!$O$2:$BX$88,36,FALSE)</f>
        <v>0</v>
      </c>
      <c r="F70" s="155">
        <f>IFERROR(E70+'Pay App 33'!F70,"")</f>
        <v>0</v>
      </c>
      <c r="G70" s="155">
        <f>SUM('Pay App 1:Pay App 33'!H70)</f>
        <v>0</v>
      </c>
      <c r="H70" s="154"/>
      <c r="I70" s="155">
        <f t="shared" si="0"/>
        <v>0</v>
      </c>
      <c r="J70" s="156">
        <f t="shared" si="1"/>
        <v>0</v>
      </c>
      <c r="K70" s="155">
        <f t="shared" si="2"/>
        <v>0</v>
      </c>
      <c r="L70" s="155" t="str">
        <f>IF(AND('Summary Sheet'!$E$23="No",$H$33&gt;0,H70&gt;=1),"",IF(AND('Summary Sheet'!$E$23="Yes",H70&lt;&gt;""),H70*'Summary Sheet'!$G$23,""))</f>
        <v/>
      </c>
      <c r="M70" s="154"/>
      <c r="N70" s="155">
        <f>SUM('Pay App 1:Pay App 34'!L70)+SUM('Pay App 1:Pay App 34'!M70)</f>
        <v>0</v>
      </c>
    </row>
    <row r="71" spans="1:17" ht="11.25" customHeight="1" x14ac:dyDescent="0.25">
      <c r="A71" s="152">
        <v>15</v>
      </c>
      <c r="B71" s="175" t="str">
        <f>'Pay App 1'!B71</f>
        <v>02 21 00</v>
      </c>
      <c r="C71" s="180" t="str">
        <f>'Pay App 1'!C71</f>
        <v>Survey/Engineering</v>
      </c>
      <c r="D71" s="155">
        <f>'Pay App 1'!D71</f>
        <v>0</v>
      </c>
      <c r="E71" s="155">
        <f>VLOOKUP(B71,'Graph Data'!$O$2:$BX$88,36,FALSE)</f>
        <v>0</v>
      </c>
      <c r="F71" s="155">
        <f>IFERROR(E71+'Pay App 33'!F71,"")</f>
        <v>0</v>
      </c>
      <c r="G71" s="155">
        <f>SUM('Pay App 1:Pay App 33'!H71)</f>
        <v>0</v>
      </c>
      <c r="H71" s="154"/>
      <c r="I71" s="155">
        <f t="shared" si="0"/>
        <v>0</v>
      </c>
      <c r="J71" s="156">
        <f t="shared" si="1"/>
        <v>0</v>
      </c>
      <c r="K71" s="155">
        <f t="shared" si="2"/>
        <v>0</v>
      </c>
      <c r="L71" s="155" t="str">
        <f>IF(AND('Summary Sheet'!$E$23="No",$H$33&gt;0,H71&gt;=1),"",IF(AND('Summary Sheet'!$E$23="Yes",H71&lt;&gt;""),H71*'Summary Sheet'!$G$23,""))</f>
        <v/>
      </c>
      <c r="M71" s="154"/>
      <c r="N71" s="155">
        <f>SUM('Pay App 1:Pay App 34'!L71)+SUM('Pay App 1:Pay App 34'!M71)</f>
        <v>0</v>
      </c>
      <c r="Q71" s="28"/>
    </row>
    <row r="72" spans="1:17" ht="11.25" customHeight="1" x14ac:dyDescent="0.25">
      <c r="A72" s="152">
        <v>16</v>
      </c>
      <c r="B72" s="175" t="str">
        <f>'Pay App 1'!B72</f>
        <v>02 41 00</v>
      </c>
      <c r="C72" s="180" t="str">
        <f>'Pay App 1'!C72</f>
        <v>Demolition</v>
      </c>
      <c r="D72" s="155">
        <f>'Pay App 1'!D72</f>
        <v>0</v>
      </c>
      <c r="E72" s="155">
        <f>VLOOKUP(B72,'Graph Data'!$O$2:$BX$88,36,FALSE)</f>
        <v>0</v>
      </c>
      <c r="F72" s="155">
        <f>IFERROR(E72+'Pay App 33'!F72,"")</f>
        <v>0</v>
      </c>
      <c r="G72" s="155">
        <f>SUM('Pay App 1:Pay App 33'!H72)</f>
        <v>0</v>
      </c>
      <c r="H72" s="154"/>
      <c r="I72" s="155">
        <f t="shared" si="0"/>
        <v>0</v>
      </c>
      <c r="J72" s="156">
        <f t="shared" si="1"/>
        <v>0</v>
      </c>
      <c r="K72" s="155">
        <f t="shared" si="2"/>
        <v>0</v>
      </c>
      <c r="L72" s="155" t="str">
        <f>IF(AND('Summary Sheet'!$E$23="No",$H$33&gt;0,H72&gt;=1),"",IF(AND('Summary Sheet'!$E$23="Yes",H72&lt;&gt;""),H72*'Summary Sheet'!$G$23,""))</f>
        <v/>
      </c>
      <c r="M72" s="154"/>
      <c r="N72" s="155">
        <f>SUM('Pay App 1:Pay App 34'!L72)+SUM('Pay App 1:Pay App 34'!M72)</f>
        <v>0</v>
      </c>
      <c r="Q72" s="28"/>
    </row>
    <row r="73" spans="1:17" ht="11.25" customHeight="1" x14ac:dyDescent="0.25">
      <c r="A73" s="152">
        <v>17</v>
      </c>
      <c r="B73" s="175" t="str">
        <f>'Pay App 1'!B73</f>
        <v>02 82 00</v>
      </c>
      <c r="C73" s="180" t="str">
        <f>'Pay App 1'!C73</f>
        <v>Asbestos Abatement</v>
      </c>
      <c r="D73" s="155">
        <f>'Pay App 1'!D73</f>
        <v>0</v>
      </c>
      <c r="E73" s="155">
        <f>VLOOKUP(B73,'Graph Data'!$O$2:$BX$88,36,FALSE)</f>
        <v>0</v>
      </c>
      <c r="F73" s="155">
        <f>IFERROR(E73+'Pay App 33'!F73,"")</f>
        <v>0</v>
      </c>
      <c r="G73" s="155">
        <f>SUM('Pay App 1:Pay App 33'!H73)</f>
        <v>0</v>
      </c>
      <c r="H73" s="154"/>
      <c r="I73" s="155">
        <f t="shared" si="0"/>
        <v>0</v>
      </c>
      <c r="J73" s="156">
        <f t="shared" si="1"/>
        <v>0</v>
      </c>
      <c r="K73" s="155">
        <f t="shared" si="2"/>
        <v>0</v>
      </c>
      <c r="L73" s="155" t="str">
        <f>IF(AND('Summary Sheet'!$E$23="No",$H$33&gt;0,H73&gt;=1),"",IF(AND('Summary Sheet'!$E$23="Yes",H73&lt;&gt;""),H73*'Summary Sheet'!$G$23,""))</f>
        <v/>
      </c>
      <c r="M73" s="154"/>
      <c r="N73" s="155">
        <f>SUM('Pay App 1:Pay App 34'!L73)+SUM('Pay App 1:Pay App 34'!M73)</f>
        <v>0</v>
      </c>
    </row>
    <row r="74" spans="1:17" ht="11.25" customHeight="1" x14ac:dyDescent="0.25">
      <c r="A74" s="152">
        <v>18</v>
      </c>
      <c r="B74" s="176" t="str">
        <f>'Pay App 1'!B74</f>
        <v>03 00 00</v>
      </c>
      <c r="C74" s="181" t="str">
        <f>'Pay App 1'!C74</f>
        <v>Building Concrete</v>
      </c>
      <c r="D74" s="155">
        <f>'Pay App 1'!D74</f>
        <v>0</v>
      </c>
      <c r="E74" s="155">
        <f>VLOOKUP(B74,'Graph Data'!$O$2:$BX$88,36,FALSE)</f>
        <v>0</v>
      </c>
      <c r="F74" s="155">
        <f>IFERROR(E74+'Pay App 33'!F74,"")</f>
        <v>0</v>
      </c>
      <c r="G74" s="155">
        <f>SUM('Pay App 1:Pay App 33'!H74)</f>
        <v>0</v>
      </c>
      <c r="H74" s="154"/>
      <c r="I74" s="155">
        <f t="shared" si="0"/>
        <v>0</v>
      </c>
      <c r="J74" s="156">
        <f t="shared" si="1"/>
        <v>0</v>
      </c>
      <c r="K74" s="155">
        <f t="shared" si="2"/>
        <v>0</v>
      </c>
      <c r="L74" s="155" t="str">
        <f>IF(AND('Summary Sheet'!$E$23="No",$H$33&gt;0,H74&gt;=1),"",IF(AND('Summary Sheet'!$E$23="Yes",H74&lt;&gt;""),H74*'Summary Sheet'!$G$23,""))</f>
        <v/>
      </c>
      <c r="M74" s="154"/>
      <c r="N74" s="155">
        <f>SUM('Pay App 1:Pay App 34'!L74)+SUM('Pay App 1:Pay App 34'!M74)</f>
        <v>0</v>
      </c>
    </row>
    <row r="75" spans="1:17" ht="11.25" customHeight="1" x14ac:dyDescent="0.25">
      <c r="A75" s="152">
        <v>19</v>
      </c>
      <c r="B75" s="176" t="str">
        <f>'Pay App 1'!B75</f>
        <v>03 20 00</v>
      </c>
      <c r="C75" s="181" t="str">
        <f>'Pay App 1'!C75</f>
        <v>Building Concrete Reinforcing</v>
      </c>
      <c r="D75" s="155">
        <f>'Pay App 1'!D75</f>
        <v>0</v>
      </c>
      <c r="E75" s="155">
        <f>VLOOKUP(B75,'Graph Data'!$O$2:$BX$88,36,FALSE)</f>
        <v>0</v>
      </c>
      <c r="F75" s="155">
        <f>IFERROR(E75+'Pay App 33'!F75,"")</f>
        <v>0</v>
      </c>
      <c r="G75" s="155">
        <f>SUM('Pay App 1:Pay App 33'!H75)</f>
        <v>0</v>
      </c>
      <c r="H75" s="154"/>
      <c r="I75" s="155">
        <f t="shared" si="0"/>
        <v>0</v>
      </c>
      <c r="J75" s="156">
        <f t="shared" si="1"/>
        <v>0</v>
      </c>
      <c r="K75" s="155">
        <f t="shared" si="2"/>
        <v>0</v>
      </c>
      <c r="L75" s="155" t="str">
        <f>IF(AND('Summary Sheet'!$E$23="No",$H$33&gt;0,H75&gt;=1),"",IF(AND('Summary Sheet'!$E$23="Yes",H75&lt;&gt;""),H75*'Summary Sheet'!$G$23,""))</f>
        <v/>
      </c>
      <c r="M75" s="154"/>
      <c r="N75" s="155">
        <f>SUM('Pay App 1:Pay App 34'!L75)+SUM('Pay App 1:Pay App 34'!M75)</f>
        <v>0</v>
      </c>
    </row>
    <row r="76" spans="1:17" ht="11.25" customHeight="1" x14ac:dyDescent="0.25">
      <c r="A76" s="152">
        <v>20</v>
      </c>
      <c r="B76" s="176" t="str">
        <f>'Pay App 1'!B76</f>
        <v>03 40 00</v>
      </c>
      <c r="C76" s="181" t="str">
        <f>'Pay App 1'!C76</f>
        <v>Precast</v>
      </c>
      <c r="D76" s="155">
        <f>'Pay App 1'!D76</f>
        <v>0</v>
      </c>
      <c r="E76" s="155">
        <f>VLOOKUP(B76,'Graph Data'!$O$2:$BX$88,36,FALSE)</f>
        <v>0</v>
      </c>
      <c r="F76" s="155">
        <f>IFERROR(E76+'Pay App 33'!F76,"")</f>
        <v>0</v>
      </c>
      <c r="G76" s="155">
        <f>SUM('Pay App 1:Pay App 33'!H76)</f>
        <v>0</v>
      </c>
      <c r="H76" s="154"/>
      <c r="I76" s="155">
        <f t="shared" si="0"/>
        <v>0</v>
      </c>
      <c r="J76" s="156">
        <f t="shared" si="1"/>
        <v>0</v>
      </c>
      <c r="K76" s="155">
        <f t="shared" si="2"/>
        <v>0</v>
      </c>
      <c r="L76" s="155" t="str">
        <f>IF(AND('Summary Sheet'!$E$23="No",$H$33&gt;0,H76&gt;=1),"",IF(AND('Summary Sheet'!$E$23="Yes",H76&lt;&gt;""),H76*'Summary Sheet'!$G$23,""))</f>
        <v/>
      </c>
      <c r="M76" s="154"/>
      <c r="N76" s="155">
        <f>SUM('Pay App 1:Pay App 34'!L76)+SUM('Pay App 1:Pay App 34'!M76)</f>
        <v>0</v>
      </c>
    </row>
    <row r="77" spans="1:17" ht="11.25" customHeight="1" x14ac:dyDescent="0.25">
      <c r="A77" s="152">
        <v>21</v>
      </c>
      <c r="B77" s="177" t="str">
        <f>'Pay App 1'!B77</f>
        <v>04 00 00</v>
      </c>
      <c r="C77" s="182" t="str">
        <f>'Pay App 1'!C77</f>
        <v>Masonry</v>
      </c>
      <c r="D77" s="155">
        <f>'Pay App 1'!D77</f>
        <v>0</v>
      </c>
      <c r="E77" s="155">
        <f>VLOOKUP(B77,'Graph Data'!$O$2:$BX$88,36,FALSE)</f>
        <v>0</v>
      </c>
      <c r="F77" s="155">
        <f>IFERROR(E77+'Pay App 33'!F77,"")</f>
        <v>0</v>
      </c>
      <c r="G77" s="155">
        <f>SUM('Pay App 1:Pay App 33'!H77)</f>
        <v>0</v>
      </c>
      <c r="H77" s="154"/>
      <c r="I77" s="155">
        <f t="shared" si="0"/>
        <v>0</v>
      </c>
      <c r="J77" s="156">
        <f t="shared" si="1"/>
        <v>0</v>
      </c>
      <c r="K77" s="155">
        <f t="shared" si="2"/>
        <v>0</v>
      </c>
      <c r="L77" s="155" t="str">
        <f>IF(AND('Summary Sheet'!$E$23="No",$H$33&gt;0,H77&gt;=1),"",IF(AND('Summary Sheet'!$E$23="Yes",H77&lt;&gt;""),H77*'Summary Sheet'!$G$23,""))</f>
        <v/>
      </c>
      <c r="M77" s="154"/>
      <c r="N77" s="155">
        <f>SUM('Pay App 1:Pay App 34'!L77)+SUM('Pay App 1:Pay App 34'!M77)</f>
        <v>0</v>
      </c>
    </row>
    <row r="78" spans="1:17" ht="11.25" customHeight="1" x14ac:dyDescent="0.25">
      <c r="A78" s="152">
        <v>22</v>
      </c>
      <c r="B78" s="177" t="str">
        <f>'Pay App 1'!B78</f>
        <v>04 05 19</v>
      </c>
      <c r="C78" s="182" t="str">
        <f>'Pay App 1'!C78</f>
        <v>Masonry Reinforcing</v>
      </c>
      <c r="D78" s="155">
        <f>'Pay App 1'!D78</f>
        <v>0</v>
      </c>
      <c r="E78" s="155">
        <f>VLOOKUP(B78,'Graph Data'!$O$2:$BX$88,36,FALSE)</f>
        <v>0</v>
      </c>
      <c r="F78" s="155">
        <f>IFERROR(E78+'Pay App 33'!F78,"")</f>
        <v>0</v>
      </c>
      <c r="G78" s="155">
        <f>SUM('Pay App 1:Pay App 33'!H78)</f>
        <v>0</v>
      </c>
      <c r="H78" s="154"/>
      <c r="I78" s="155">
        <f t="shared" si="0"/>
        <v>0</v>
      </c>
      <c r="J78" s="156">
        <f t="shared" si="1"/>
        <v>0</v>
      </c>
      <c r="K78" s="155">
        <f t="shared" si="2"/>
        <v>0</v>
      </c>
      <c r="L78" s="155" t="str">
        <f>IF(AND('Summary Sheet'!$E$23="No",$H$33&gt;0,H78&gt;=1),"",IF(AND('Summary Sheet'!$E$23="Yes",H78&lt;&gt;""),H78*'Summary Sheet'!$G$23,""))</f>
        <v/>
      </c>
      <c r="M78" s="154"/>
      <c r="N78" s="155">
        <f>SUM('Pay App 1:Pay App 34'!L78)+SUM('Pay App 1:Pay App 34'!M78)</f>
        <v>0</v>
      </c>
    </row>
    <row r="79" spans="1:17" ht="11.25" customHeight="1" x14ac:dyDescent="0.25">
      <c r="A79" s="152">
        <v>23</v>
      </c>
      <c r="B79" s="178" t="str">
        <f>'Pay App 1'!B79</f>
        <v>05 10 00</v>
      </c>
      <c r="C79" s="183" t="str">
        <f>'Pay App 1'!C79</f>
        <v>Structural Steel/Misc. Steel Fab</v>
      </c>
      <c r="D79" s="155">
        <f>'Pay App 1'!D79</f>
        <v>0</v>
      </c>
      <c r="E79" s="155">
        <f>VLOOKUP(B79,'Graph Data'!$O$2:$BX$88,36,FALSE)</f>
        <v>0</v>
      </c>
      <c r="F79" s="155">
        <f>IFERROR(E79+'Pay App 33'!F79,"")</f>
        <v>0</v>
      </c>
      <c r="G79" s="155">
        <f>SUM('Pay App 1:Pay App 33'!H79)</f>
        <v>0</v>
      </c>
      <c r="H79" s="154"/>
      <c r="I79" s="155">
        <f t="shared" si="0"/>
        <v>0</v>
      </c>
      <c r="J79" s="156">
        <f t="shared" si="1"/>
        <v>0</v>
      </c>
      <c r="K79" s="155">
        <f t="shared" si="2"/>
        <v>0</v>
      </c>
      <c r="L79" s="155" t="str">
        <f>IF(AND('Summary Sheet'!$E$23="No",$H$33&gt;0,H79&gt;=1),"",IF(AND('Summary Sheet'!$E$23="Yes",H79&lt;&gt;""),H79*'Summary Sheet'!$G$23,""))</f>
        <v/>
      </c>
      <c r="M79" s="154"/>
      <c r="N79" s="155">
        <f>SUM('Pay App 1:Pay App 34'!L79)+SUM('Pay App 1:Pay App 34'!M79)</f>
        <v>0</v>
      </c>
    </row>
    <row r="80" spans="1:17" ht="11.25" customHeight="1" x14ac:dyDescent="0.25">
      <c r="A80" s="152">
        <v>24</v>
      </c>
      <c r="B80" s="178" t="str">
        <f>'Pay App 1'!B80</f>
        <v>05 20 00</v>
      </c>
      <c r="C80" s="183" t="str">
        <f>'Pay App 1'!C80</f>
        <v>Joists &amp; Deck</v>
      </c>
      <c r="D80" s="155">
        <f>'Pay App 1'!D80</f>
        <v>0</v>
      </c>
      <c r="E80" s="155">
        <f>VLOOKUP(B80,'Graph Data'!$O$2:$BX$88,36,FALSE)</f>
        <v>0</v>
      </c>
      <c r="F80" s="155">
        <f>IFERROR(E80+'Pay App 33'!F80,"")</f>
        <v>0</v>
      </c>
      <c r="G80" s="155">
        <f>SUM('Pay App 1:Pay App 33'!H80)</f>
        <v>0</v>
      </c>
      <c r="H80" s="154"/>
      <c r="I80" s="155">
        <f t="shared" si="0"/>
        <v>0</v>
      </c>
      <c r="J80" s="156">
        <f t="shared" si="1"/>
        <v>0</v>
      </c>
      <c r="K80" s="155">
        <f t="shared" si="2"/>
        <v>0</v>
      </c>
      <c r="L80" s="155" t="str">
        <f>IF(AND('Summary Sheet'!$E$23="No",$H$33&gt;0,H80&gt;=1),"",IF(AND('Summary Sheet'!$E$23="Yes",H80&lt;&gt;""),H80*'Summary Sheet'!$G$23,""))</f>
        <v/>
      </c>
      <c r="M80" s="154"/>
      <c r="N80" s="155">
        <f>SUM('Pay App 1:Pay App 34'!L80)+SUM('Pay App 1:Pay App 34'!M80)</f>
        <v>0</v>
      </c>
    </row>
    <row r="81" spans="1:14" ht="11.25" customHeight="1" x14ac:dyDescent="0.25">
      <c r="A81" s="152">
        <v>25</v>
      </c>
      <c r="B81" s="178" t="str">
        <f>'Pay App 1'!B81</f>
        <v>05 70 00</v>
      </c>
      <c r="C81" s="183" t="str">
        <f>'Pay App 1'!C81</f>
        <v>Ornamental Metal</v>
      </c>
      <c r="D81" s="155">
        <f>'Pay App 1'!D81</f>
        <v>0</v>
      </c>
      <c r="E81" s="155">
        <f>VLOOKUP(B81,'Graph Data'!$O$2:$BX$88,36,FALSE)</f>
        <v>0</v>
      </c>
      <c r="F81" s="155">
        <f>IFERROR(E81+'Pay App 33'!F81,"")</f>
        <v>0</v>
      </c>
      <c r="G81" s="155">
        <f>SUM('Pay App 1:Pay App 33'!H81)</f>
        <v>0</v>
      </c>
      <c r="H81" s="154"/>
      <c r="I81" s="155">
        <f t="shared" si="0"/>
        <v>0</v>
      </c>
      <c r="J81" s="156">
        <f t="shared" si="1"/>
        <v>0</v>
      </c>
      <c r="K81" s="155">
        <f t="shared" si="2"/>
        <v>0</v>
      </c>
      <c r="L81" s="155" t="str">
        <f>IF(AND('Summary Sheet'!$E$23="No",$H$33&gt;0,H81&gt;=1),"",IF(AND('Summary Sheet'!$E$23="Yes",H81&lt;&gt;""),H81*'Summary Sheet'!$G$23,""))</f>
        <v/>
      </c>
      <c r="M81" s="154"/>
      <c r="N81" s="155">
        <f>SUM('Pay App 1:Pay App 34'!L81)+SUM('Pay App 1:Pay App 34'!M81)</f>
        <v>0</v>
      </c>
    </row>
    <row r="82" spans="1:14" ht="11.25" customHeight="1" x14ac:dyDescent="0.25">
      <c r="A82" s="152">
        <v>26</v>
      </c>
      <c r="B82" s="145" t="str">
        <f>'Pay App 1'!B82</f>
        <v>06 10 00</v>
      </c>
      <c r="C82" s="134" t="str">
        <f>'Pay App 1'!C82</f>
        <v>Rough Carpentry</v>
      </c>
      <c r="D82" s="155">
        <f>'Pay App 1'!D82</f>
        <v>0</v>
      </c>
      <c r="E82" s="155">
        <f>VLOOKUP(B82,'Graph Data'!$O$2:$BX$88,36,FALSE)</f>
        <v>0</v>
      </c>
      <c r="F82" s="155">
        <f>IFERROR(E82+'Pay App 33'!F82,"")</f>
        <v>0</v>
      </c>
      <c r="G82" s="155">
        <f>SUM('Pay App 1:Pay App 33'!H82)</f>
        <v>0</v>
      </c>
      <c r="H82" s="154"/>
      <c r="I82" s="155">
        <f t="shared" si="0"/>
        <v>0</v>
      </c>
      <c r="J82" s="156">
        <f t="shared" si="1"/>
        <v>0</v>
      </c>
      <c r="K82" s="155">
        <f t="shared" si="2"/>
        <v>0</v>
      </c>
      <c r="L82" s="155" t="str">
        <f>IF(AND('Summary Sheet'!$E$23="No",$H$33&gt;0,H82&gt;=1),"",IF(AND('Summary Sheet'!$E$23="Yes",H82&lt;&gt;""),H82*'Summary Sheet'!$G$23,""))</f>
        <v/>
      </c>
      <c r="M82" s="154"/>
      <c r="N82" s="155">
        <f>SUM('Pay App 1:Pay App 34'!L82)+SUM('Pay App 1:Pay App 34'!M82)</f>
        <v>0</v>
      </c>
    </row>
    <row r="83" spans="1:14" ht="11.25" customHeight="1" x14ac:dyDescent="0.25">
      <c r="A83" s="152">
        <v>27</v>
      </c>
      <c r="B83" s="145" t="str">
        <f>'Pay App 1'!B83</f>
        <v>06 40 00</v>
      </c>
      <c r="C83" s="134" t="str">
        <f>'Pay App 1'!C83</f>
        <v>Arch. Woodwork &amp; Finish Carp.</v>
      </c>
      <c r="D83" s="155">
        <f>'Pay App 1'!D83</f>
        <v>0</v>
      </c>
      <c r="E83" s="155">
        <f>VLOOKUP(B83,'Graph Data'!$O$2:$BX$88,36,FALSE)</f>
        <v>0</v>
      </c>
      <c r="F83" s="155">
        <f>IFERROR(E83+'Pay App 33'!F83,"")</f>
        <v>0</v>
      </c>
      <c r="G83" s="155">
        <f>SUM('Pay App 1:Pay App 33'!H83)</f>
        <v>0</v>
      </c>
      <c r="H83" s="154"/>
      <c r="I83" s="155">
        <f t="shared" si="0"/>
        <v>0</v>
      </c>
      <c r="J83" s="156">
        <f t="shared" si="1"/>
        <v>0</v>
      </c>
      <c r="K83" s="155">
        <f t="shared" si="2"/>
        <v>0</v>
      </c>
      <c r="L83" s="155" t="str">
        <f>IF(AND('Summary Sheet'!$E$23="No",$H$33&gt;0,H83&gt;=1),"",IF(AND('Summary Sheet'!$E$23="Yes",H83&lt;&gt;""),H83*'Summary Sheet'!$G$23,""))</f>
        <v/>
      </c>
      <c r="M83" s="154"/>
      <c r="N83" s="155">
        <f>SUM('Pay App 1:Pay App 34'!L83)+SUM('Pay App 1:Pay App 34'!M83)</f>
        <v>0</v>
      </c>
    </row>
    <row r="84" spans="1:14" ht="11.25" customHeight="1" x14ac:dyDescent="0.25">
      <c r="A84" s="152">
        <v>28</v>
      </c>
      <c r="B84" s="174" t="str">
        <f>'Pay App 1'!B84</f>
        <v>07 10 00</v>
      </c>
      <c r="C84" s="179" t="str">
        <f>'Pay App 1'!C84</f>
        <v>Waterproofing/Water Repellents</v>
      </c>
      <c r="D84" s="155">
        <f>'Pay App 1'!D84</f>
        <v>0</v>
      </c>
      <c r="E84" s="155">
        <f>VLOOKUP(B84,'Graph Data'!$O$2:$BX$88,36,FALSE)</f>
        <v>0</v>
      </c>
      <c r="F84" s="155">
        <f>IFERROR(E84+'Pay App 33'!F84,"")</f>
        <v>0</v>
      </c>
      <c r="G84" s="155">
        <f>SUM('Pay App 1:Pay App 33'!H84)</f>
        <v>0</v>
      </c>
      <c r="H84" s="154"/>
      <c r="I84" s="155">
        <f t="shared" si="0"/>
        <v>0</v>
      </c>
      <c r="J84" s="156">
        <f t="shared" si="1"/>
        <v>0</v>
      </c>
      <c r="K84" s="155">
        <f t="shared" si="2"/>
        <v>0</v>
      </c>
      <c r="L84" s="155" t="str">
        <f>IF(AND('Summary Sheet'!$E$23="No",$H$33&gt;0,H84&gt;=1),"",IF(AND('Summary Sheet'!$E$23="Yes",H84&lt;&gt;""),H84*'Summary Sheet'!$G$23,""))</f>
        <v/>
      </c>
      <c r="M84" s="154"/>
      <c r="N84" s="155">
        <f>SUM('Pay App 1:Pay App 34'!L84)+SUM('Pay App 1:Pay App 34'!M84)</f>
        <v>0</v>
      </c>
    </row>
    <row r="85" spans="1:14" ht="11.25" customHeight="1" x14ac:dyDescent="0.25">
      <c r="A85" s="152">
        <v>29</v>
      </c>
      <c r="B85" s="174" t="str">
        <f>'Pay App 1'!B85</f>
        <v>07 20 00</v>
      </c>
      <c r="C85" s="179" t="str">
        <f>'Pay App 1'!C85</f>
        <v>Insulation</v>
      </c>
      <c r="D85" s="155">
        <f>'Pay App 1'!D85</f>
        <v>0</v>
      </c>
      <c r="E85" s="155">
        <f>VLOOKUP(B85,'Graph Data'!$O$2:$BX$88,36,FALSE)</f>
        <v>0</v>
      </c>
      <c r="F85" s="155">
        <f>IFERROR(E85+'Pay App 33'!F85,"")</f>
        <v>0</v>
      </c>
      <c r="G85" s="155">
        <f>SUM('Pay App 1:Pay App 33'!H85)</f>
        <v>0</v>
      </c>
      <c r="H85" s="154"/>
      <c r="I85" s="155">
        <f t="shared" si="0"/>
        <v>0</v>
      </c>
      <c r="J85" s="156">
        <f t="shared" si="1"/>
        <v>0</v>
      </c>
      <c r="K85" s="155">
        <f t="shared" si="2"/>
        <v>0</v>
      </c>
      <c r="L85" s="155" t="str">
        <f>IF(AND('Summary Sheet'!$E$23="No",$H$33&gt;0,H85&gt;=1),"",IF(AND('Summary Sheet'!$E$23="Yes",H85&lt;&gt;""),H85*'Summary Sheet'!$G$23,""))</f>
        <v/>
      </c>
      <c r="M85" s="154"/>
      <c r="N85" s="155">
        <f>SUM('Pay App 1:Pay App 34'!L85)+SUM('Pay App 1:Pay App 34'!M85)</f>
        <v>0</v>
      </c>
    </row>
    <row r="86" spans="1:14" ht="11.25" customHeight="1" x14ac:dyDescent="0.25">
      <c r="A86" s="152">
        <v>30</v>
      </c>
      <c r="B86" s="174" t="str">
        <f>'Pay App 1'!B86</f>
        <v>07 24 00</v>
      </c>
      <c r="C86" s="179" t="str">
        <f>'Pay App 1'!C86</f>
        <v>EIFS</v>
      </c>
      <c r="D86" s="155">
        <f>'Pay App 1'!D86</f>
        <v>0</v>
      </c>
      <c r="E86" s="155">
        <f>VLOOKUP(B86,'Graph Data'!$O$2:$BX$88,36,FALSE)</f>
        <v>0</v>
      </c>
      <c r="F86" s="155">
        <f>IFERROR(E86+'Pay App 33'!F86,"")</f>
        <v>0</v>
      </c>
      <c r="G86" s="155">
        <f>SUM('Pay App 1:Pay App 33'!H86)</f>
        <v>0</v>
      </c>
      <c r="H86" s="154"/>
      <c r="I86" s="155">
        <f t="shared" si="0"/>
        <v>0</v>
      </c>
      <c r="J86" s="156">
        <f t="shared" si="1"/>
        <v>0</v>
      </c>
      <c r="K86" s="155">
        <f t="shared" si="2"/>
        <v>0</v>
      </c>
      <c r="L86" s="155" t="str">
        <f>IF(AND('Summary Sheet'!$E$23="No",$H$33&gt;0,H86&gt;=1),"",IF(AND('Summary Sheet'!$E$23="Yes",H86&lt;&gt;""),H86*'Summary Sheet'!$G$23,""))</f>
        <v/>
      </c>
      <c r="M86" s="154"/>
      <c r="N86" s="155">
        <f>SUM('Pay App 1:Pay App 34'!L86)+SUM('Pay App 1:Pay App 34'!M86)</f>
        <v>0</v>
      </c>
    </row>
    <row r="87" spans="1:14" ht="11.25" customHeight="1" x14ac:dyDescent="0.25">
      <c r="A87" s="152">
        <v>31</v>
      </c>
      <c r="B87" s="174" t="str">
        <f>'Pay App 1'!B87</f>
        <v>07 26 00</v>
      </c>
      <c r="C87" s="179" t="str">
        <f>'Pay App 1'!C87</f>
        <v>Vapor Retarders</v>
      </c>
      <c r="D87" s="155">
        <f>'Pay App 1'!D87</f>
        <v>0</v>
      </c>
      <c r="E87" s="155">
        <f>VLOOKUP(B87,'Graph Data'!$O$2:$BX$88,36,FALSE)</f>
        <v>0</v>
      </c>
      <c r="F87" s="155">
        <f>IFERROR(E87+'Pay App 33'!F87,"")</f>
        <v>0</v>
      </c>
      <c r="G87" s="155">
        <f>SUM('Pay App 1:Pay App 33'!H87)</f>
        <v>0</v>
      </c>
      <c r="H87" s="154"/>
      <c r="I87" s="155">
        <f t="shared" si="0"/>
        <v>0</v>
      </c>
      <c r="J87" s="156">
        <f t="shared" si="1"/>
        <v>0</v>
      </c>
      <c r="K87" s="155">
        <f t="shared" si="2"/>
        <v>0</v>
      </c>
      <c r="L87" s="155" t="str">
        <f>IF(AND('Summary Sheet'!$E$23="No",$H$33&gt;0,H87&gt;=1),"",IF(AND('Summary Sheet'!$E$23="Yes",H87&lt;&gt;""),H87*'Summary Sheet'!$G$23,""))</f>
        <v/>
      </c>
      <c r="M87" s="154"/>
      <c r="N87" s="155">
        <f>SUM('Pay App 1:Pay App 34'!L87)+SUM('Pay App 1:Pay App 34'!M87)</f>
        <v>0</v>
      </c>
    </row>
    <row r="88" spans="1:14" ht="11.25" customHeight="1" x14ac:dyDescent="0.25">
      <c r="A88" s="152">
        <v>32</v>
      </c>
      <c r="B88" s="174" t="str">
        <f>'Pay App 1'!B88</f>
        <v>07 41 00</v>
      </c>
      <c r="C88" s="179" t="str">
        <f>'Pay App 1'!C88</f>
        <v>Roofing</v>
      </c>
      <c r="D88" s="155">
        <f>'Pay App 1'!D88</f>
        <v>0</v>
      </c>
      <c r="E88" s="155">
        <f>VLOOKUP(B88,'Graph Data'!$O$2:$BX$88,36,FALSE)</f>
        <v>0</v>
      </c>
      <c r="F88" s="155">
        <f>IFERROR(E88+'Pay App 33'!F88,"")</f>
        <v>0</v>
      </c>
      <c r="G88" s="155">
        <f>SUM('Pay App 1:Pay App 33'!H88)</f>
        <v>0</v>
      </c>
      <c r="H88" s="154"/>
      <c r="I88" s="155">
        <f t="shared" si="0"/>
        <v>0</v>
      </c>
      <c r="J88" s="156">
        <f t="shared" si="1"/>
        <v>0</v>
      </c>
      <c r="K88" s="155">
        <f t="shared" si="2"/>
        <v>0</v>
      </c>
      <c r="L88" s="155" t="str">
        <f>IF(AND('Summary Sheet'!$E$23="No",$H$33&gt;0,H88&gt;=1),"",IF(AND('Summary Sheet'!$E$23="Yes",H88&lt;&gt;""),H88*'Summary Sheet'!$G$23,""))</f>
        <v/>
      </c>
      <c r="M88" s="154"/>
      <c r="N88" s="155">
        <f>SUM('Pay App 1:Pay App 34'!L88)+SUM('Pay App 1:Pay App 34'!M88)</f>
        <v>0</v>
      </c>
    </row>
    <row r="89" spans="1:14" ht="11.25" customHeight="1" x14ac:dyDescent="0.25">
      <c r="A89" s="152">
        <v>33</v>
      </c>
      <c r="B89" s="174" t="str">
        <f>'Pay App 1'!B89</f>
        <v>07 42 00</v>
      </c>
      <c r="C89" s="179" t="str">
        <f>'Pay App 1'!C89</f>
        <v>Metal Panels</v>
      </c>
      <c r="D89" s="155">
        <f>'Pay App 1'!D89</f>
        <v>0</v>
      </c>
      <c r="E89" s="155">
        <f>VLOOKUP(B89,'Graph Data'!$O$2:$BX$88,36,FALSE)</f>
        <v>0</v>
      </c>
      <c r="F89" s="155">
        <f>IFERROR(E89+'Pay App 33'!F89,"")</f>
        <v>0</v>
      </c>
      <c r="G89" s="155">
        <f>SUM('Pay App 1:Pay App 33'!H89)</f>
        <v>0</v>
      </c>
      <c r="H89" s="154"/>
      <c r="I89" s="155">
        <f t="shared" si="0"/>
        <v>0</v>
      </c>
      <c r="J89" s="156">
        <f t="shared" si="1"/>
        <v>0</v>
      </c>
      <c r="K89" s="155">
        <f t="shared" si="2"/>
        <v>0</v>
      </c>
      <c r="L89" s="155" t="str">
        <f>IF(AND('Summary Sheet'!$E$23="No",$H$33&gt;0,H89&gt;=1),"",IF(AND('Summary Sheet'!$E$23="Yes",H89&lt;&gt;""),H89*'Summary Sheet'!$G$23,""))</f>
        <v/>
      </c>
      <c r="M89" s="154"/>
      <c r="N89" s="155">
        <f>SUM('Pay App 1:Pay App 34'!L89)+SUM('Pay App 1:Pay App 34'!M89)</f>
        <v>0</v>
      </c>
    </row>
    <row r="90" spans="1:14" ht="11.25" customHeight="1" x14ac:dyDescent="0.25">
      <c r="A90" s="152">
        <v>34</v>
      </c>
      <c r="B90" s="174" t="str">
        <f>'Pay App 1'!B90</f>
        <v>07 60 00</v>
      </c>
      <c r="C90" s="179" t="str">
        <f>'Pay App 1'!C90</f>
        <v>Sheet Metal Flashing &amp; Trim</v>
      </c>
      <c r="D90" s="155">
        <f>'Pay App 1'!D90</f>
        <v>0</v>
      </c>
      <c r="E90" s="155">
        <f>VLOOKUP(B90,'Graph Data'!$O$2:$BX$88,36,FALSE)</f>
        <v>0</v>
      </c>
      <c r="F90" s="155">
        <f>IFERROR(E90+'Pay App 33'!F90,"")</f>
        <v>0</v>
      </c>
      <c r="G90" s="155">
        <f>SUM('Pay App 1:Pay App 33'!H90)</f>
        <v>0</v>
      </c>
      <c r="H90" s="154"/>
      <c r="I90" s="155">
        <f t="shared" si="0"/>
        <v>0</v>
      </c>
      <c r="J90" s="156">
        <f t="shared" si="1"/>
        <v>0</v>
      </c>
      <c r="K90" s="155">
        <f t="shared" si="2"/>
        <v>0</v>
      </c>
      <c r="L90" s="155" t="str">
        <f>IF(AND('Summary Sheet'!$E$23="No",$H$33&gt;0,H90&gt;=1),"",IF(AND('Summary Sheet'!$E$23="Yes",H90&lt;&gt;""),H90*'Summary Sheet'!$G$23,""))</f>
        <v/>
      </c>
      <c r="M90" s="154"/>
      <c r="N90" s="155">
        <f>SUM('Pay App 1:Pay App 34'!L90)+SUM('Pay App 1:Pay App 34'!M90)</f>
        <v>0</v>
      </c>
    </row>
    <row r="91" spans="1:14" ht="11.25" customHeight="1" x14ac:dyDescent="0.25">
      <c r="A91" s="152">
        <v>35</v>
      </c>
      <c r="B91" s="174" t="str">
        <f>'Pay App 1'!B91</f>
        <v>07 80 00</v>
      </c>
      <c r="C91" s="179" t="str">
        <f>'Pay App 1'!C91</f>
        <v>Fireproofing</v>
      </c>
      <c r="D91" s="155">
        <f>'Pay App 1'!D91</f>
        <v>0</v>
      </c>
      <c r="E91" s="155">
        <f>VLOOKUP(B91,'Graph Data'!$O$2:$BX$88,36,FALSE)</f>
        <v>0</v>
      </c>
      <c r="F91" s="155">
        <f>IFERROR(E91+'Pay App 33'!F91,"")</f>
        <v>0</v>
      </c>
      <c r="G91" s="155">
        <f>SUM('Pay App 1:Pay App 33'!H91)</f>
        <v>0</v>
      </c>
      <c r="H91" s="154"/>
      <c r="I91" s="155">
        <f t="shared" si="0"/>
        <v>0</v>
      </c>
      <c r="J91" s="156">
        <f t="shared" si="1"/>
        <v>0</v>
      </c>
      <c r="K91" s="155">
        <f t="shared" si="2"/>
        <v>0</v>
      </c>
      <c r="L91" s="155" t="str">
        <f>IF(AND('Summary Sheet'!$E$23="No",$H$33&gt;0,H91&gt;=1),"",IF(AND('Summary Sheet'!$E$23="Yes",H91&lt;&gt;""),H91*'Summary Sheet'!$G$23,""))</f>
        <v/>
      </c>
      <c r="M91" s="154"/>
      <c r="N91" s="155">
        <f>SUM('Pay App 1:Pay App 34'!L91)+SUM('Pay App 1:Pay App 34'!M91)</f>
        <v>0</v>
      </c>
    </row>
    <row r="92" spans="1:14" ht="11.25" customHeight="1" x14ac:dyDescent="0.25">
      <c r="A92" s="152">
        <v>36</v>
      </c>
      <c r="B92" s="174" t="str">
        <f>'Pay App 1'!B92</f>
        <v>07 90 00</v>
      </c>
      <c r="C92" s="179" t="str">
        <f>'Pay App 1'!C92</f>
        <v>Joint Sealants</v>
      </c>
      <c r="D92" s="155">
        <f>'Pay App 1'!D92</f>
        <v>0</v>
      </c>
      <c r="E92" s="155">
        <f>VLOOKUP(B92,'Graph Data'!$O$2:$BX$88,36,FALSE)</f>
        <v>0</v>
      </c>
      <c r="F92" s="155">
        <f>IFERROR(E92+'Pay App 33'!F92,"")</f>
        <v>0</v>
      </c>
      <c r="G92" s="155">
        <f>SUM('Pay App 1:Pay App 33'!H92)</f>
        <v>0</v>
      </c>
      <c r="H92" s="154"/>
      <c r="I92" s="155">
        <f t="shared" si="0"/>
        <v>0</v>
      </c>
      <c r="J92" s="156">
        <f t="shared" si="1"/>
        <v>0</v>
      </c>
      <c r="K92" s="155">
        <f t="shared" si="2"/>
        <v>0</v>
      </c>
      <c r="L92" s="155" t="str">
        <f>IF(AND('Summary Sheet'!$E$23="No",$H$33&gt;0,H92&gt;=1),"",IF(AND('Summary Sheet'!$E$23="Yes",H92&lt;&gt;""),H92*'Summary Sheet'!$G$23,""))</f>
        <v/>
      </c>
      <c r="M92" s="154"/>
      <c r="N92" s="155">
        <f>SUM('Pay App 1:Pay App 34'!L92)+SUM('Pay App 1:Pay App 34'!M92)</f>
        <v>0</v>
      </c>
    </row>
    <row r="93" spans="1:14" ht="11.25" customHeight="1" x14ac:dyDescent="0.25">
      <c r="A93" s="152">
        <v>37</v>
      </c>
      <c r="B93" s="174" t="str">
        <f>'Pay App 1'!B93</f>
        <v>07 95 00</v>
      </c>
      <c r="C93" s="179" t="str">
        <f>'Pay App 1'!C93</f>
        <v>Expansion Joints</v>
      </c>
      <c r="D93" s="155">
        <f>'Pay App 1'!D93</f>
        <v>0</v>
      </c>
      <c r="E93" s="155">
        <f>VLOOKUP(B93,'Graph Data'!$O$2:$BX$88,36,FALSE)</f>
        <v>0</v>
      </c>
      <c r="F93" s="155">
        <f>IFERROR(E93+'Pay App 33'!F93,"")</f>
        <v>0</v>
      </c>
      <c r="G93" s="155">
        <f>SUM('Pay App 1:Pay App 33'!H93)</f>
        <v>0</v>
      </c>
      <c r="H93" s="154"/>
      <c r="I93" s="155">
        <f t="shared" si="0"/>
        <v>0</v>
      </c>
      <c r="J93" s="156">
        <f t="shared" si="1"/>
        <v>0</v>
      </c>
      <c r="K93" s="155">
        <f t="shared" si="2"/>
        <v>0</v>
      </c>
      <c r="L93" s="155" t="str">
        <f>IF(AND('Summary Sheet'!$E$23="No",$H$33&gt;0,H93&gt;=1),"",IF(AND('Summary Sheet'!$E$23="Yes",H93&lt;&gt;""),H93*'Summary Sheet'!$G$23,""))</f>
        <v/>
      </c>
      <c r="M93" s="154"/>
      <c r="N93" s="155">
        <f>SUM('Pay App 1:Pay App 34'!L93)+SUM('Pay App 1:Pay App 34'!M93)</f>
        <v>0</v>
      </c>
    </row>
    <row r="94" spans="1:14" ht="11.25" customHeight="1" x14ac:dyDescent="0.25">
      <c r="A94" s="152">
        <v>38</v>
      </c>
      <c r="B94" s="175" t="str">
        <f>'Pay App 1'!B94</f>
        <v>08 10 00</v>
      </c>
      <c r="C94" s="180" t="str">
        <f>'Pay App 1'!C94</f>
        <v>Doors, Frames &amp; Hardware</v>
      </c>
      <c r="D94" s="155">
        <f>'Pay App 1'!D94</f>
        <v>0</v>
      </c>
      <c r="E94" s="155">
        <f>VLOOKUP(B94,'Graph Data'!$O$2:$BX$88,36,FALSE)</f>
        <v>0</v>
      </c>
      <c r="F94" s="155">
        <f>IFERROR(E94+'Pay App 33'!F94,"")</f>
        <v>0</v>
      </c>
      <c r="G94" s="155">
        <f>SUM('Pay App 1:Pay App 33'!H94)</f>
        <v>0</v>
      </c>
      <c r="H94" s="154"/>
      <c r="I94" s="155">
        <f t="shared" si="0"/>
        <v>0</v>
      </c>
      <c r="J94" s="156">
        <f t="shared" si="1"/>
        <v>0</v>
      </c>
      <c r="K94" s="155">
        <f t="shared" si="2"/>
        <v>0</v>
      </c>
      <c r="L94" s="155" t="str">
        <f>IF(AND('Summary Sheet'!$E$23="No",$H$33&gt;0,H94&gt;=1),"",IF(AND('Summary Sheet'!$E$23="Yes",H94&lt;&gt;""),H94*'Summary Sheet'!$G$23,""))</f>
        <v/>
      </c>
      <c r="M94" s="154"/>
      <c r="N94" s="155">
        <f>SUM('Pay App 1:Pay App 34'!L94)+SUM('Pay App 1:Pay App 34'!M94)</f>
        <v>0</v>
      </c>
    </row>
    <row r="95" spans="1:14" ht="11.25" customHeight="1" x14ac:dyDescent="0.25">
      <c r="A95" s="152">
        <v>39</v>
      </c>
      <c r="B95" s="175" t="str">
        <f>'Pay App 1'!B95</f>
        <v>08 30 00</v>
      </c>
      <c r="C95" s="180" t="str">
        <f>'Pay App 1'!C95</f>
        <v>Specialty Doors</v>
      </c>
      <c r="D95" s="155">
        <f>'Pay App 1'!D95</f>
        <v>0</v>
      </c>
      <c r="E95" s="155">
        <f>VLOOKUP(B95,'Graph Data'!$O$2:$BX$88,36,FALSE)</f>
        <v>0</v>
      </c>
      <c r="F95" s="155">
        <f>IFERROR(E95+'Pay App 33'!F95,"")</f>
        <v>0</v>
      </c>
      <c r="G95" s="155">
        <f>SUM('Pay App 1:Pay App 33'!H95)</f>
        <v>0</v>
      </c>
      <c r="H95" s="154"/>
      <c r="I95" s="155">
        <f t="shared" si="0"/>
        <v>0</v>
      </c>
      <c r="J95" s="156">
        <f t="shared" si="1"/>
        <v>0</v>
      </c>
      <c r="K95" s="155">
        <f t="shared" si="2"/>
        <v>0</v>
      </c>
      <c r="L95" s="155" t="str">
        <f>IF(AND('Summary Sheet'!$E$23="No",$H$33&gt;0,H95&gt;=1),"",IF(AND('Summary Sheet'!$E$23="Yes",H95&lt;&gt;""),H95*'Summary Sheet'!$G$23,""))</f>
        <v/>
      </c>
      <c r="M95" s="154"/>
      <c r="N95" s="155">
        <f>SUM('Pay App 1:Pay App 34'!L95)+SUM('Pay App 1:Pay App 34'!M95)</f>
        <v>0</v>
      </c>
    </row>
    <row r="96" spans="1:14" ht="11.25" customHeight="1" x14ac:dyDescent="0.25">
      <c r="A96" s="152">
        <v>40</v>
      </c>
      <c r="B96" s="175" t="str">
        <f>'Pay App 1'!B96</f>
        <v>08 33 00</v>
      </c>
      <c r="C96" s="180" t="str">
        <f>'Pay App 1'!C96</f>
        <v>Overhead Doors/Coiling Doors</v>
      </c>
      <c r="D96" s="155">
        <f>'Pay App 1'!D96</f>
        <v>0</v>
      </c>
      <c r="E96" s="155">
        <f>VLOOKUP(B96,'Graph Data'!$O$2:$BX$88,36,FALSE)</f>
        <v>0</v>
      </c>
      <c r="F96" s="155">
        <f>IFERROR(E96+'Pay App 33'!F96,"")</f>
        <v>0</v>
      </c>
      <c r="G96" s="155">
        <f>SUM('Pay App 1:Pay App 33'!H96)</f>
        <v>0</v>
      </c>
      <c r="H96" s="154"/>
      <c r="I96" s="155">
        <f t="shared" si="0"/>
        <v>0</v>
      </c>
      <c r="J96" s="156">
        <f t="shared" si="1"/>
        <v>0</v>
      </c>
      <c r="K96" s="155">
        <f t="shared" si="2"/>
        <v>0</v>
      </c>
      <c r="L96" s="155" t="str">
        <f>IF(AND('Summary Sheet'!$E$23="No",$H$33&gt;0,H96&gt;=1),"",IF(AND('Summary Sheet'!$E$23="Yes",H96&lt;&gt;""),H96*'Summary Sheet'!$G$23,""))</f>
        <v/>
      </c>
      <c r="M96" s="154"/>
      <c r="N96" s="155">
        <f>SUM('Pay App 1:Pay App 34'!L96)+SUM('Pay App 1:Pay App 34'!M96)</f>
        <v>0</v>
      </c>
    </row>
    <row r="97" spans="1:15" ht="11.25" customHeight="1" x14ac:dyDescent="0.25">
      <c r="A97" s="152">
        <v>41</v>
      </c>
      <c r="B97" s="175" t="str">
        <f>'Pay App 1'!B97</f>
        <v>08 40 00</v>
      </c>
      <c r="C97" s="180" t="str">
        <f>'Pay App 1'!C97</f>
        <v>Curtain Wall, Glass &amp; Glazing</v>
      </c>
      <c r="D97" s="155">
        <f>'Pay App 1'!D97</f>
        <v>0</v>
      </c>
      <c r="E97" s="155">
        <f>VLOOKUP(B97,'Graph Data'!$O$2:$BX$88,36,FALSE)</f>
        <v>0</v>
      </c>
      <c r="F97" s="155">
        <f>IFERROR(E97+'Pay App 33'!F97,"")</f>
        <v>0</v>
      </c>
      <c r="G97" s="155">
        <f>SUM('Pay App 1:Pay App 33'!H97)</f>
        <v>0</v>
      </c>
      <c r="H97" s="154"/>
      <c r="I97" s="155">
        <f t="shared" si="0"/>
        <v>0</v>
      </c>
      <c r="J97" s="156">
        <f t="shared" si="1"/>
        <v>0</v>
      </c>
      <c r="K97" s="155">
        <f t="shared" si="2"/>
        <v>0</v>
      </c>
      <c r="L97" s="155" t="str">
        <f>IF(AND('Summary Sheet'!$E$23="No",$H$33&gt;0,H97&gt;=1),"",IF(AND('Summary Sheet'!$E$23="Yes",H97&lt;&gt;""),H97*'Summary Sheet'!$G$23,""))</f>
        <v/>
      </c>
      <c r="M97" s="154"/>
      <c r="N97" s="155">
        <f>SUM('Pay App 1:Pay App 34'!L97)+SUM('Pay App 1:Pay App 34'!M97)</f>
        <v>0</v>
      </c>
    </row>
    <row r="98" spans="1:15" ht="10.9" customHeight="1" x14ac:dyDescent="0.25">
      <c r="A98" s="152">
        <v>42</v>
      </c>
      <c r="B98" s="175" t="str">
        <f>'Pay App 1'!B98</f>
        <v>08 60 00</v>
      </c>
      <c r="C98" s="180" t="str">
        <f>'Pay App 1'!C98</f>
        <v>Skylights</v>
      </c>
      <c r="D98" s="155">
        <f>'Pay App 1'!D98</f>
        <v>0</v>
      </c>
      <c r="E98" s="155">
        <f>VLOOKUP(B98,'Graph Data'!$O$2:$BX$88,36,FALSE)</f>
        <v>0</v>
      </c>
      <c r="F98" s="155">
        <f>IFERROR(E98+'Pay App 33'!F98,"")</f>
        <v>0</v>
      </c>
      <c r="G98" s="155">
        <f>SUM('Pay App 1:Pay App 33'!H98)</f>
        <v>0</v>
      </c>
      <c r="H98" s="154"/>
      <c r="I98" s="155">
        <f t="shared" si="0"/>
        <v>0</v>
      </c>
      <c r="J98" s="156">
        <f t="shared" si="1"/>
        <v>0</v>
      </c>
      <c r="K98" s="155">
        <f t="shared" si="2"/>
        <v>0</v>
      </c>
      <c r="L98" s="155" t="str">
        <f>IF(AND('Summary Sheet'!$E$23="No",$H$33&gt;0,H98&gt;=1),"",IF(AND('Summary Sheet'!$E$23="Yes",H98&lt;&gt;""),H98*'Summary Sheet'!$G$23,""))</f>
        <v/>
      </c>
      <c r="M98" s="154"/>
      <c r="N98" s="155">
        <f>SUM('Pay App 1:Pay App 34'!L98)+SUM('Pay App 1:Pay App 34'!M98)</f>
        <v>0</v>
      </c>
    </row>
    <row r="99" spans="1:15" ht="10.9" customHeight="1" x14ac:dyDescent="0.25">
      <c r="A99" s="152">
        <v>43</v>
      </c>
      <c r="B99" s="175" t="str">
        <f>'Pay App 1'!B99</f>
        <v>08 90 00</v>
      </c>
      <c r="C99" s="180" t="str">
        <f>'Pay App 1'!C99</f>
        <v>Louvers &amp; Vents</v>
      </c>
      <c r="D99" s="155">
        <f>'Pay App 1'!D99</f>
        <v>0</v>
      </c>
      <c r="E99" s="155">
        <f>VLOOKUP(B99,'Graph Data'!$O$2:$BX$88,36,FALSE)</f>
        <v>0</v>
      </c>
      <c r="F99" s="155">
        <f>IFERROR(E99+'Pay App 33'!F99,"")</f>
        <v>0</v>
      </c>
      <c r="G99" s="155">
        <f>SUM('Pay App 1:Pay App 33'!H99)</f>
        <v>0</v>
      </c>
      <c r="H99" s="154"/>
      <c r="I99" s="155">
        <f t="shared" si="0"/>
        <v>0</v>
      </c>
      <c r="J99" s="156">
        <f t="shared" si="1"/>
        <v>0</v>
      </c>
      <c r="K99" s="155">
        <f t="shared" si="2"/>
        <v>0</v>
      </c>
      <c r="L99" s="155" t="str">
        <f>IF(AND('Summary Sheet'!$E$23="No",$H$33&gt;0,H99&gt;=1),"",IF(AND('Summary Sheet'!$E$23="Yes",H99&lt;&gt;""),H99*'Summary Sheet'!$G$23,""))</f>
        <v/>
      </c>
      <c r="M99" s="154"/>
      <c r="N99" s="155">
        <f>SUM('Pay App 1:Pay App 34'!L99)+SUM('Pay App 1:Pay App 34'!M99)</f>
        <v>0</v>
      </c>
    </row>
    <row r="100" spans="1:15" ht="11.25" customHeight="1" x14ac:dyDescent="0.25">
      <c r="A100" s="153">
        <v>44</v>
      </c>
      <c r="B100" s="176" t="str">
        <f>'Pay App 1'!B100</f>
        <v>09 20 00</v>
      </c>
      <c r="C100" s="181" t="str">
        <f>'Pay App 1'!C100</f>
        <v>Gypsum Board Systems</v>
      </c>
      <c r="D100" s="155">
        <f>'Pay App 1'!D100</f>
        <v>0</v>
      </c>
      <c r="E100" s="155">
        <f>VLOOKUP(B100,'Graph Data'!$O$2:$BX$88,36,FALSE)</f>
        <v>0</v>
      </c>
      <c r="F100" s="155">
        <f>IFERROR(E100+'Pay App 33'!F100,"")</f>
        <v>0</v>
      </c>
      <c r="G100" s="155">
        <f>SUM('Pay App 1:Pay App 33'!H100)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34'!L100)+SUM('Pay App 1:Pay App 34'!M100)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34.200000000000003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Data'!$O$2:$BX$88,36,FALSE)</f>
        <v>0</v>
      </c>
      <c r="F106" s="155">
        <f>IFERROR(E106+'Pay App 33'!F106,"")</f>
        <v>0</v>
      </c>
      <c r="G106" s="155">
        <f>SUM('Pay App 1:Pay App 33'!H106)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34'!L106)+SUM('Pay App 1:Pay App 34'!M106)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Data'!$O$2:$BX$88,36,FALSE)</f>
        <v>0</v>
      </c>
      <c r="F107" s="155">
        <f>IFERROR(E107+'Pay App 33'!F107,"")</f>
        <v>0</v>
      </c>
      <c r="G107" s="155">
        <f>SUM('Pay App 1:Pay App 33'!H107)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34'!L107)+SUM('Pay App 1:Pay App 34'!M107)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Data'!$O$2:$BX$88,36,FALSE)</f>
        <v>0</v>
      </c>
      <c r="F108" s="155">
        <f>IFERROR(E108+'Pay App 33'!F108,"")</f>
        <v>0</v>
      </c>
      <c r="G108" s="155">
        <f>SUM('Pay App 1:Pay App 33'!H108)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34'!L108)+SUM('Pay App 1:Pay App 34'!M108)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Data'!$O$2:$BX$88,36,FALSE)</f>
        <v>0</v>
      </c>
      <c r="F109" s="155">
        <f>IFERROR(E109+'Pay App 33'!F109,"")</f>
        <v>0</v>
      </c>
      <c r="G109" s="155">
        <f>SUM('Pay App 1:Pay App 33'!H109)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34'!L109)+SUM('Pay App 1:Pay App 34'!M109)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Data'!$O$2:$BX$88,36,FALSE)</f>
        <v>0</v>
      </c>
      <c r="F110" s="155">
        <f>IFERROR(E110+'Pay App 33'!F110,"")</f>
        <v>0</v>
      </c>
      <c r="G110" s="155">
        <f>SUM('Pay App 1:Pay App 33'!H110)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34'!L110)+SUM('Pay App 1:Pay App 34'!M110)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Data'!$O$2:$BX$88,36,FALSE)</f>
        <v>0</v>
      </c>
      <c r="F111" s="155">
        <f>IFERROR(E111+'Pay App 33'!F111,"")</f>
        <v>0</v>
      </c>
      <c r="G111" s="155">
        <f>SUM('Pay App 1:Pay App 33'!H111)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34'!L111)+SUM('Pay App 1:Pay App 34'!M111)</f>
        <v>0</v>
      </c>
    </row>
    <row r="112" spans="1:15" ht="11.25" customHeight="1" x14ac:dyDescent="0.25">
      <c r="A112" s="152">
        <f t="shared" si="3"/>
        <v>51</v>
      </c>
      <c r="B112" s="148" t="str">
        <f>'Pay App 1'!B112</f>
        <v>09 90 00</v>
      </c>
      <c r="C112" s="143" t="str">
        <f>'Pay App 1'!C112</f>
        <v>Painting</v>
      </c>
      <c r="D112" s="155">
        <f>'Pay App 1'!D112</f>
        <v>0</v>
      </c>
      <c r="E112" s="155">
        <f>VLOOKUP(B112,'Graph Data'!$O$2:$BX$88,36,FALSE)</f>
        <v>0</v>
      </c>
      <c r="F112" s="155">
        <f>IFERROR(E112+'Pay App 33'!F112,"")</f>
        <v>0</v>
      </c>
      <c r="G112" s="155">
        <f>SUM('Pay App 1:Pay App 33'!H112)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34'!L112)+SUM('Pay App 1:Pay App 34'!M112)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Data'!$O$2:$BX$88,36,FALSE)</f>
        <v>0</v>
      </c>
      <c r="F113" s="155">
        <f>IFERROR(E113+'Pay App 33'!F113,"")</f>
        <v>0</v>
      </c>
      <c r="G113" s="155">
        <f>SUM('Pay App 1:Pay App 33'!H113)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34'!L113)+SUM('Pay App 1:Pay App 34'!M113)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Data'!$O$2:$BX$88,36,FALSE)</f>
        <v>0</v>
      </c>
      <c r="F114" s="155">
        <f>IFERROR(E114+'Pay App 33'!F114,"")</f>
        <v>0</v>
      </c>
      <c r="G114" s="155">
        <f>SUM('Pay App 1:Pay App 33'!H114)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34'!L114)+SUM('Pay App 1:Pay App 34'!M114)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Data'!$O$2:$BX$88,36,FALSE)</f>
        <v>0</v>
      </c>
      <c r="F115" s="155">
        <f>IFERROR(E115+'Pay App 33'!F115,"")</f>
        <v>0</v>
      </c>
      <c r="G115" s="155">
        <f>SUM('Pay App 1:Pay App 33'!H115)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34'!L115)+SUM('Pay App 1:Pay App 34'!M115)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Data'!$O$2:$BX$88,36,FALSE)</f>
        <v>0</v>
      </c>
      <c r="F116" s="155">
        <f>IFERROR(E116+'Pay App 33'!F116,"")</f>
        <v>0</v>
      </c>
      <c r="G116" s="155">
        <f>SUM('Pay App 1:Pay App 33'!H116)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34'!L116)+SUM('Pay App 1:Pay App 34'!M116)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Data'!$O$2:$BX$88,36,FALSE)</f>
        <v>0</v>
      </c>
      <c r="F117" s="155">
        <f>IFERROR(E117+'Pay App 33'!F117,"")</f>
        <v>0</v>
      </c>
      <c r="G117" s="155">
        <f>SUM('Pay App 1:Pay App 33'!H117)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34'!L117)+SUM('Pay App 1:Pay App 34'!M117)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Data'!$O$2:$BX$88,36,FALSE)</f>
        <v>0</v>
      </c>
      <c r="F118" s="155">
        <f>IFERROR(E118+'Pay App 33'!F118,"")</f>
        <v>0</v>
      </c>
      <c r="G118" s="155">
        <f>SUM('Pay App 1:Pay App 33'!H118)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34'!L118)+SUM('Pay App 1:Pay App 34'!M118)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Data'!$O$2:$BX$88,36,FALSE)</f>
        <v>0</v>
      </c>
      <c r="F119" s="155">
        <f>IFERROR(E119+'Pay App 33'!F119,"")</f>
        <v>0</v>
      </c>
      <c r="G119" s="155">
        <f>SUM('Pay App 1:Pay App 33'!H119)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34'!L119)+SUM('Pay App 1:Pay App 34'!M119)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Data'!$O$2:$BX$88,36,FALSE)</f>
        <v>0</v>
      </c>
      <c r="F120" s="155">
        <f>IFERROR(E120+'Pay App 33'!F120,"")</f>
        <v>0</v>
      </c>
      <c r="G120" s="155">
        <f>SUM('Pay App 1:Pay App 33'!H120)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34'!L120)+SUM('Pay App 1:Pay App 34'!M120)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Data'!$O$2:$BX$88,36,FALSE)</f>
        <v>0</v>
      </c>
      <c r="F121" s="155">
        <f>IFERROR(E121+'Pay App 33'!F121,"")</f>
        <v>0</v>
      </c>
      <c r="G121" s="155">
        <f>SUM('Pay App 1:Pay App 33'!H121)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34'!L121)+SUM('Pay App 1:Pay App 34'!M121)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Data'!$O$2:$BX$88,36,FALSE)</f>
        <v>0</v>
      </c>
      <c r="F122" s="155">
        <f>IFERROR(E122+'Pay App 33'!F122,"")</f>
        <v>0</v>
      </c>
      <c r="G122" s="155">
        <f>SUM('Pay App 1:Pay App 33'!H122)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34'!L122)+SUM('Pay App 1:Pay App 34'!M122)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Data'!$O$2:$BX$88,36,FALSE)</f>
        <v>0</v>
      </c>
      <c r="F123" s="155">
        <f>IFERROR(E123+'Pay App 33'!F123,"")</f>
        <v>0</v>
      </c>
      <c r="G123" s="155">
        <f>SUM('Pay App 1:Pay App 33'!H123)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34'!L123)+SUM('Pay App 1:Pay App 34'!M123)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Data'!$O$2:$BX$88,36,FALSE)</f>
        <v>0</v>
      </c>
      <c r="F124" s="155">
        <f>IFERROR(E124+'Pay App 33'!F124,"")</f>
        <v>0</v>
      </c>
      <c r="G124" s="155">
        <f>SUM('Pay App 1:Pay App 33'!H124)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34'!L124)+SUM('Pay App 1:Pay App 34'!M124)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Data'!$O$2:$BX$88,36,FALSE)</f>
        <v>0</v>
      </c>
      <c r="F125" s="155">
        <f>IFERROR(E125+'Pay App 33'!F125,"")</f>
        <v>0</v>
      </c>
      <c r="G125" s="155">
        <f>SUM('Pay App 1:Pay App 33'!H125)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34'!L125)+SUM('Pay App 1:Pay App 34'!M125)</f>
        <v>0</v>
      </c>
    </row>
    <row r="126" spans="1:14" ht="11.25" customHeight="1" x14ac:dyDescent="0.25">
      <c r="A126" s="152">
        <f t="shared" si="3"/>
        <v>65</v>
      </c>
      <c r="B126" s="188" t="str">
        <f>'Pay App 1'!B126</f>
        <v>14 20 00</v>
      </c>
      <c r="C126" s="194" t="str">
        <f>'Pay App 1'!C126</f>
        <v>Elevator</v>
      </c>
      <c r="D126" s="155">
        <f>'Pay App 1'!D126</f>
        <v>0</v>
      </c>
      <c r="E126" s="155">
        <f>VLOOKUP(B126,'Graph Data'!$O$2:$BX$88,36,FALSE)</f>
        <v>0</v>
      </c>
      <c r="F126" s="155">
        <f>IFERROR(E126+'Pay App 33'!F126,"")</f>
        <v>0</v>
      </c>
      <c r="G126" s="155">
        <f>SUM('Pay App 1:Pay App 33'!H126)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34'!L126)+SUM('Pay App 1:Pay App 34'!M126)</f>
        <v>0</v>
      </c>
    </row>
    <row r="127" spans="1:14" ht="11.25" customHeight="1" x14ac:dyDescent="0.25">
      <c r="A127" s="152">
        <f t="shared" si="3"/>
        <v>66</v>
      </c>
      <c r="B127" s="188" t="str">
        <f>'Pay App 1'!B127</f>
        <v>14 40 00</v>
      </c>
      <c r="C127" s="194" t="str">
        <f>'Pay App 1'!C127</f>
        <v>Lifts</v>
      </c>
      <c r="D127" s="155">
        <f>'Pay App 1'!D127</f>
        <v>0</v>
      </c>
      <c r="E127" s="155">
        <f>VLOOKUP(B127,'Graph Data'!$O$2:$BX$88,36,FALSE)</f>
        <v>0</v>
      </c>
      <c r="F127" s="155">
        <f>IFERROR(E127+'Pay App 33'!F127,"")</f>
        <v>0</v>
      </c>
      <c r="G127" s="155">
        <f>SUM('Pay App 1:Pay App 33'!H127)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34'!L127)+SUM('Pay App 1:Pay App 34'!M127)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Data'!$O$2:$BX$88,36,FALSE)</f>
        <v>0</v>
      </c>
      <c r="F128" s="155">
        <f>IFERROR(E128+'Pay App 33'!F128,"")</f>
        <v>0</v>
      </c>
      <c r="G128" s="155">
        <f>SUM('Pay App 1:Pay App 33'!H128)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34'!L128)+SUM('Pay App 1:Pay App 34'!M128)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Data'!$O$2:$BX$88,36,FALSE)</f>
        <v>0</v>
      </c>
      <c r="F129" s="155">
        <f>IFERROR(E129+'Pay App 33'!F129,"")</f>
        <v>0</v>
      </c>
      <c r="G129" s="155">
        <f>SUM('Pay App 1:Pay App 33'!H129)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34'!L129)+SUM('Pay App 1:Pay App 34'!M129)</f>
        <v>0</v>
      </c>
    </row>
    <row r="130" spans="1:14" ht="11.25" customHeight="1" x14ac:dyDescent="0.25">
      <c r="A130" s="152">
        <f t="shared" si="3"/>
        <v>69</v>
      </c>
      <c r="B130" s="185" t="str">
        <f>'Pay App 1'!B130</f>
        <v>22 00 00</v>
      </c>
      <c r="C130" s="191" t="str">
        <f>'Pay App 1'!C130</f>
        <v>Plumbing</v>
      </c>
      <c r="D130" s="155">
        <f>'Pay App 1'!D130</f>
        <v>0</v>
      </c>
      <c r="E130" s="155">
        <f>VLOOKUP(B130,'Graph Data'!$O$2:$BX$88,36,FALSE)</f>
        <v>0</v>
      </c>
      <c r="F130" s="155">
        <f>IFERROR(E130+'Pay App 33'!F130,"")</f>
        <v>0</v>
      </c>
      <c r="G130" s="155">
        <f>SUM('Pay App 1:Pay App 33'!H130)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34'!L130)+SUM('Pay App 1:Pay App 34'!M130)</f>
        <v>0</v>
      </c>
    </row>
    <row r="131" spans="1:14" ht="11.25" customHeight="1" x14ac:dyDescent="0.25">
      <c r="A131" s="152">
        <f t="shared" si="3"/>
        <v>70</v>
      </c>
      <c r="B131" s="186" t="str">
        <f>'Pay App 1'!B131</f>
        <v>23 00 00</v>
      </c>
      <c r="C131" s="192" t="str">
        <f>'Pay App 1'!C131</f>
        <v>HVAC</v>
      </c>
      <c r="D131" s="155">
        <f>'Pay App 1'!D131</f>
        <v>0</v>
      </c>
      <c r="E131" s="155">
        <f>VLOOKUP(B131,'Graph Data'!$O$2:$BX$88,36,FALSE)</f>
        <v>0</v>
      </c>
      <c r="F131" s="155">
        <f>IFERROR(E131+'Pay App 33'!F131,"")</f>
        <v>0</v>
      </c>
      <c r="G131" s="155">
        <f>SUM('Pay App 1:Pay App 33'!H131)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34'!L131)+SUM('Pay App 1:Pay App 34'!M131)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Data'!$O$2:$BX$88,36,FALSE)</f>
        <v>0</v>
      </c>
      <c r="F132" s="155">
        <f>IFERROR(E132+'Pay App 33'!F132,"")</f>
        <v>0</v>
      </c>
      <c r="G132" s="155">
        <f>SUM('Pay App 1:Pay App 33'!H132)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34'!L132)+SUM('Pay App 1:Pay App 34'!M132)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Data'!$O$2:$BX$88,36,FALSE)</f>
        <v>0</v>
      </c>
      <c r="F133" s="155">
        <f>IFERROR(E133+'Pay App 33'!F133,"")</f>
        <v>0</v>
      </c>
      <c r="G133" s="155">
        <f>SUM('Pay App 1:Pay App 33'!H133)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34'!L133)+SUM('Pay App 1:Pay App 34'!M133)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Data'!$O$2:$BX$88,36,FALSE)</f>
        <v>0</v>
      </c>
      <c r="F134" s="155">
        <f>IFERROR(E134+'Pay App 33'!F134,"")</f>
        <v>0</v>
      </c>
      <c r="G134" s="155">
        <f>SUM('Pay App 1:Pay App 33'!H134)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34'!L134)+SUM('Pay App 1:Pay App 34'!M134)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Data'!$O$2:$BX$88,36,FALSE)</f>
        <v>0</v>
      </c>
      <c r="F135" s="155">
        <f>IFERROR(E135+'Pay App 33'!F135,"")</f>
        <v>0</v>
      </c>
      <c r="G135" s="155">
        <f>SUM('Pay App 1:Pay App 33'!H135)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34'!L135)+SUM('Pay App 1:Pay App 34'!M135)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Data'!$O$2:$BX$88,36,FALSE)</f>
        <v>0</v>
      </c>
      <c r="F136" s="155">
        <f>IFERROR(E136+'Pay App 33'!F136,"")</f>
        <v>0</v>
      </c>
      <c r="G136" s="155">
        <f>SUM('Pay App 1:Pay App 33'!H136)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34'!L136)+SUM('Pay App 1:Pay App 34'!M136)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Data'!$O$2:$BX$88,36,FALSE)</f>
        <v>0</v>
      </c>
      <c r="F137" s="155">
        <f>IFERROR(E137+'Pay App 33'!F137,"")</f>
        <v>0</v>
      </c>
      <c r="G137" s="155">
        <f>SUM('Pay App 1:Pay App 33'!H137)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34'!L137)+SUM('Pay App 1:Pay App 34'!M137)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Data'!$O$2:$BX$88,36,FALSE)</f>
        <v>0</v>
      </c>
      <c r="F138" s="155">
        <f>IFERROR(E138+'Pay App 33'!F138,"")</f>
        <v>0</v>
      </c>
      <c r="G138" s="155">
        <f>SUM('Pay App 1:Pay App 33'!H138)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34'!L138)+SUM('Pay App 1:Pay App 34'!M138)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Data'!$O$2:$BX$88,36,FALSE)</f>
        <v>0</v>
      </c>
      <c r="F139" s="155">
        <f>IFERROR(E139+'Pay App 33'!F139,"")</f>
        <v>0</v>
      </c>
      <c r="G139" s="155">
        <f>SUM('Pay App 1:Pay App 33'!H139)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34'!L139)+SUM('Pay App 1:Pay App 34'!M139)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Data'!$O$2:$BX$88,36,FALSE)</f>
        <v>0</v>
      </c>
      <c r="F140" s="155">
        <f>IFERROR(E140+'Pay App 33'!F140,"")</f>
        <v>0</v>
      </c>
      <c r="G140" s="155">
        <f>SUM('Pay App 1:Pay App 33'!H140)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34'!L140)+SUM('Pay App 1:Pay App 34'!M140)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Data'!$O$2:$BX$88,36,FALSE)</f>
        <v>0</v>
      </c>
      <c r="F141" s="155">
        <f>IFERROR(E141+'Pay App 33'!F141,"")</f>
        <v>0</v>
      </c>
      <c r="G141" s="155">
        <f>SUM('Pay App 1:Pay App 33'!H141)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34'!L141)+SUM('Pay App 1:Pay App 34'!M141)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Data'!$O$2:$BX$88,36,FALSE)</f>
        <v>0</v>
      </c>
      <c r="F142" s="155">
        <f>IFERROR(E142+'Pay App 33'!F142,"")</f>
        <v>0</v>
      </c>
      <c r="G142" s="155">
        <f>SUM('Pay App 1:Pay App 33'!H142)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34'!L142)+SUM('Pay App 1:Pay App 34'!M142)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Data'!$O$2:$BX$88,36,FALSE)</f>
        <v>0</v>
      </c>
      <c r="F143" s="155">
        <f>IFERROR(E143+'Pay App 33'!F143,"")</f>
        <v>0</v>
      </c>
      <c r="G143" s="155">
        <f>SUM('Pay App 1:Pay App 33'!H143)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34'!L143)+SUM('Pay App 1:Pay App 34'!M143)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Data'!$O$2:$BX$88,36,FALSE)</f>
        <v>0</v>
      </c>
      <c r="F144" s="155">
        <f>IFERROR(E144+'Pay App 33'!F144,"")</f>
        <v>0</v>
      </c>
      <c r="G144" s="155">
        <f>SUM('Pay App 1:Pay App 33'!H144)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34'!L144)+SUM('Pay App 1:Pay App 34'!M144)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Data'!$O$2:$BX$88,36,FALSE)</f>
        <v>0</v>
      </c>
      <c r="F145" s="155">
        <f>IFERROR(E145+'Pay App 33'!F145,"")</f>
        <v>0</v>
      </c>
      <c r="G145" s="155">
        <f>SUM('Pay App 1:Pay App 33'!H145)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34'!L145)+SUM('Pay App 1:Pay App 34'!M145)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Data'!$O$2:$BX$88,36,FALSE)</f>
        <v>0</v>
      </c>
      <c r="F146" s="155">
        <f>IFERROR(E146+'Pay App 33'!F146,"")</f>
        <v>0</v>
      </c>
      <c r="G146" s="155">
        <f>SUM('Pay App 1:Pay App 33'!H146)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34'!L146)+SUM('Pay App 1:Pay App 34'!M146)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Data'!$O$2:$BX$88,36,FALSE)</f>
        <v>0</v>
      </c>
      <c r="F147" s="155">
        <f>IFERROR(E147+'Pay App 33'!F147,"")</f>
        <v>0</v>
      </c>
      <c r="G147" s="155">
        <f>SUM('Pay App 1:Pay App 33'!H147)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34'!L147)+SUM('Pay App 1:Pay App 34'!M147)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Data'!$O$2:$BX$88,36,FALSE)</f>
        <v>0</v>
      </c>
      <c r="F148" s="155">
        <f>IFERROR(E148+'Pay App 33'!F148,"")</f>
        <v>0</v>
      </c>
      <c r="G148" s="155">
        <f>SUM('Pay App 1:Pay App 33'!H148)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34'!L148)+SUM('Pay App 1:Pay App 34'!M148)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Aqwuq/qZlbmmtwIBjSVVA5GNVgJL9IIHhyaJKzwChExdPeim+7ZstruJ4PYMoUdm9m3PLg+/XXwPfuvs5Py8wA==" saltValue="UhdF6xeU2kL1ig75eI3in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96" priority="2" operator="equal">
      <formula>0</formula>
    </cfRule>
  </conditionalFormatting>
  <conditionalFormatting sqref="D106:G148">
    <cfRule type="cellIs" dxfId="295" priority="1" operator="equal">
      <formula>0</formula>
    </cfRule>
  </conditionalFormatting>
  <conditionalFormatting sqref="D10:H10 D12:H14 D19:H21">
    <cfRule type="cellIs" dxfId="294" priority="6" operator="equal">
      <formula>0</formula>
    </cfRule>
  </conditionalFormatting>
  <conditionalFormatting sqref="H51">
    <cfRule type="cellIs" dxfId="293" priority="9" operator="lessThan">
      <formula>0</formula>
    </cfRule>
  </conditionalFormatting>
  <conditionalFormatting sqref="I57:I100 K57:K100 I106:I148 K106:K148 N106:N148">
    <cfRule type="cellIs" dxfId="292" priority="14" operator="equal">
      <formula>0</formula>
    </cfRule>
  </conditionalFormatting>
  <conditionalFormatting sqref="J57:J100 J106:J149">
    <cfRule type="cellIs" dxfId="291" priority="11" operator="greaterThan">
      <formula>1</formula>
    </cfRule>
    <cfRule type="cellIs" dxfId="290" priority="12" operator="equal">
      <formula>0</formula>
    </cfRule>
  </conditionalFormatting>
  <conditionalFormatting sqref="K57:K100 K106:K148">
    <cfRule type="cellIs" dxfId="289" priority="10" operator="lessThan">
      <formula>0</formula>
    </cfRule>
  </conditionalFormatting>
  <conditionalFormatting sqref="M57:M100">
    <cfRule type="cellIs" dxfId="288" priority="13" operator="lessThan">
      <formula>0</formula>
    </cfRule>
  </conditionalFormatting>
  <conditionalFormatting sqref="M106:M148">
    <cfRule type="cellIs" dxfId="287" priority="8" operator="lessThan">
      <formula>0</formula>
    </cfRule>
  </conditionalFormatting>
  <conditionalFormatting sqref="N57:N100">
    <cfRule type="cellIs" dxfId="28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2ABEE30-309D-4C5A-93EB-7249A0859C5C}">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44F90-13B7-4436-AFCA-5CA865B46E41}">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35.1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Data'!$O$2:$BX$88,37,FALSE)</f>
        <v>0</v>
      </c>
      <c r="F57" s="155">
        <f>IFERROR(E57+'Pay App 34'!F57,"")</f>
        <v>0</v>
      </c>
      <c r="G57" s="155">
        <f>SUM('Pay App 1:Pay App 34'!H57)</f>
        <v>0</v>
      </c>
      <c r="H57" s="154"/>
      <c r="I57" s="155">
        <f>G57+H57</f>
        <v>0</v>
      </c>
      <c r="J57" s="156">
        <f>IFERROR(I57/F57,0)</f>
        <v>0</v>
      </c>
      <c r="K57" s="155">
        <f>IFERROR(F57-I57,"")</f>
        <v>0</v>
      </c>
      <c r="L57" s="155" t="str">
        <f>IF(AND('Summary Sheet'!$E$23="No",$H$33&gt;0,H57&gt;=1),"",IF(AND('Summary Sheet'!$E$23="Yes",H57&lt;&gt;""),H57*'Summary Sheet'!$G$23,""))</f>
        <v/>
      </c>
      <c r="M57" s="154"/>
      <c r="N57" s="155">
        <f>SUM('Pay App 1:Pay App 35'!L57)+SUM('Pay App 1:Pay App 35'!M57)</f>
        <v>0</v>
      </c>
    </row>
    <row r="58" spans="1:16" ht="11.25" customHeight="1" x14ac:dyDescent="0.25">
      <c r="A58" s="152">
        <v>2</v>
      </c>
      <c r="B58" s="145" t="str">
        <f>'Pay App 1'!B58</f>
        <v>00 02 00</v>
      </c>
      <c r="C58" s="134" t="str">
        <f>'Pay App 1'!C58</f>
        <v>Preconstruction Services</v>
      </c>
      <c r="D58" s="155">
        <f>'Pay App 1'!D58</f>
        <v>0</v>
      </c>
      <c r="E58" s="155">
        <f>VLOOKUP(B58,'Graph Data'!$O$2:$BX$88,37,FALSE)</f>
        <v>0</v>
      </c>
      <c r="F58" s="155">
        <f>IFERROR(E58+'Pay App 34'!F58,"")</f>
        <v>0</v>
      </c>
      <c r="G58" s="155">
        <f>SUM('Pay App 1:Pay App 34'!H58)</f>
        <v>0</v>
      </c>
      <c r="H58" s="154"/>
      <c r="I58" s="155">
        <f>G58+H58</f>
        <v>0</v>
      </c>
      <c r="J58" s="156">
        <f>IFERROR(I58/F58,0)</f>
        <v>0</v>
      </c>
      <c r="K58" s="155">
        <f>IFERROR(F58-I58,"")</f>
        <v>0</v>
      </c>
      <c r="L58" s="155" t="str">
        <f>IF(AND('Summary Sheet'!$E$23="No",$H$33&gt;0,H58&gt;=1),"",IF(AND('Summary Sheet'!$E$23="Yes",H58&lt;&gt;""),H58*'Summary Sheet'!$G$23,""))</f>
        <v/>
      </c>
      <c r="M58" s="154"/>
      <c r="N58" s="155">
        <f>SUM('Pay App 1:Pay App 35'!L58)+SUM('Pay App 1:Pay App 35'!M58)</f>
        <v>0</v>
      </c>
    </row>
    <row r="59" spans="1:16" ht="11.25" customHeight="1" x14ac:dyDescent="0.25">
      <c r="A59" s="152">
        <v>3</v>
      </c>
      <c r="B59" s="174" t="str">
        <f>'Pay App 1'!B59</f>
        <v>01 00 00</v>
      </c>
      <c r="C59" s="179" t="str">
        <f>'Pay App 1'!C59</f>
        <v>General Conditions/Requirements</v>
      </c>
      <c r="D59" s="155">
        <f>'Pay App 1'!D59</f>
        <v>0</v>
      </c>
      <c r="E59" s="155">
        <f>VLOOKUP(B59,'Graph Data'!$O$2:$BX$88,37,FALSE)</f>
        <v>0</v>
      </c>
      <c r="F59" s="155">
        <f>IFERROR(E59+'Pay App 34'!F59,"")</f>
        <v>0</v>
      </c>
      <c r="G59" s="155">
        <f>SUM('Pay App 1:Pay App 34'!H59)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35'!L59)+SUM('Pay App 1:Pay App 35'!M59)</f>
        <v>0</v>
      </c>
    </row>
    <row r="60" spans="1:16" ht="11.25" customHeight="1" x14ac:dyDescent="0.25">
      <c r="A60" s="152">
        <v>4</v>
      </c>
      <c r="B60" s="174" t="str">
        <f>'Pay App 1'!B60</f>
        <v>01 13 41</v>
      </c>
      <c r="C60" s="179" t="str">
        <f>'Pay App 1'!C60</f>
        <v>Temp. Scaffolding and Platforms</v>
      </c>
      <c r="D60" s="155">
        <f>'Pay App 1'!D60</f>
        <v>0</v>
      </c>
      <c r="E60" s="155">
        <f>VLOOKUP(B60,'Graph Data'!$O$2:$BX$88,37,FALSE)</f>
        <v>0</v>
      </c>
      <c r="F60" s="155">
        <f>IFERROR(E60+'Pay App 34'!F60,"")</f>
        <v>0</v>
      </c>
      <c r="G60" s="155">
        <f>SUM('Pay App 1:Pay App 34'!H60)</f>
        <v>0</v>
      </c>
      <c r="H60" s="154"/>
      <c r="I60" s="155">
        <f t="shared" si="0"/>
        <v>0</v>
      </c>
      <c r="J60" s="156">
        <f t="shared" si="1"/>
        <v>0</v>
      </c>
      <c r="K60" s="155">
        <f t="shared" si="2"/>
        <v>0</v>
      </c>
      <c r="L60" s="155" t="str">
        <f>IF(AND('Summary Sheet'!$E$23="No",$H$33&gt;0,H60&gt;=1),"",IF(AND('Summary Sheet'!$E$23="Yes",H60&lt;&gt;""),H60*'Summary Sheet'!$G$23,""))</f>
        <v/>
      </c>
      <c r="M60" s="154"/>
      <c r="N60" s="155">
        <f>SUM('Pay App 1:Pay App 35'!L60)+SUM('Pay App 1:Pay App 35'!M60)</f>
        <v>0</v>
      </c>
    </row>
    <row r="61" spans="1:16" ht="11.25" customHeight="1" x14ac:dyDescent="0.25">
      <c r="A61" s="152">
        <v>5</v>
      </c>
      <c r="B61" s="174" t="str">
        <f>'Pay App 1'!B61</f>
        <v>01 13 60</v>
      </c>
      <c r="C61" s="179" t="str">
        <f>'Pay App 1'!C61</f>
        <v>SWPPP</v>
      </c>
      <c r="D61" s="155">
        <f>'Pay App 1'!D61</f>
        <v>0</v>
      </c>
      <c r="E61" s="155">
        <f>VLOOKUP(B61,'Graph Data'!$O$2:$BX$88,37,FALSE)</f>
        <v>0</v>
      </c>
      <c r="F61" s="155">
        <f>IFERROR(E61+'Pay App 34'!F61,"")</f>
        <v>0</v>
      </c>
      <c r="G61" s="155">
        <f>SUM('Pay App 1:Pay App 34'!H61)</f>
        <v>0</v>
      </c>
      <c r="H61" s="154"/>
      <c r="I61" s="155">
        <f t="shared" si="0"/>
        <v>0</v>
      </c>
      <c r="J61" s="156">
        <f t="shared" si="1"/>
        <v>0</v>
      </c>
      <c r="K61" s="155">
        <f t="shared" si="2"/>
        <v>0</v>
      </c>
      <c r="L61" s="155" t="str">
        <f>IF(AND('Summary Sheet'!$E$23="No",$H$33&gt;0,H61&gt;=1),"",IF(AND('Summary Sheet'!$E$23="Yes",H61&lt;&gt;""),H61*'Summary Sheet'!$G$23,""))</f>
        <v/>
      </c>
      <c r="M61" s="154"/>
      <c r="N61" s="155">
        <f>SUM('Pay App 1:Pay App 35'!L61)+SUM('Pay App 1:Pay App 35'!M61)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Data'!$O$2:$BX$88,37,FALSE)</f>
        <v>0</v>
      </c>
      <c r="F62" s="155">
        <f>IFERROR(E62+'Pay App 34'!F62,"")</f>
        <v>0</v>
      </c>
      <c r="G62" s="155">
        <f>SUM('Pay App 1:Pay App 34'!H62)</f>
        <v>0</v>
      </c>
      <c r="H62" s="154"/>
      <c r="I62" s="155">
        <f t="shared" si="0"/>
        <v>0</v>
      </c>
      <c r="J62" s="156">
        <f t="shared" si="1"/>
        <v>0</v>
      </c>
      <c r="K62" s="155">
        <f t="shared" si="2"/>
        <v>0</v>
      </c>
      <c r="L62" s="155" t="str">
        <f>IF(AND('Summary Sheet'!$E$23="No",$H$33&gt;0,H62&gt;=1),"",IF(AND('Summary Sheet'!$E$23="Yes",H62&lt;&gt;""),H62*'Summary Sheet'!$G$23,""))</f>
        <v/>
      </c>
      <c r="M62" s="154"/>
      <c r="N62" s="155">
        <f>SUM('Pay App 1:Pay App 35'!L62)+SUM('Pay App 1:Pay App 35'!M62)</f>
        <v>0</v>
      </c>
    </row>
    <row r="63" spans="1:16" ht="11.25" customHeight="1" x14ac:dyDescent="0.25">
      <c r="A63" s="152">
        <v>7</v>
      </c>
      <c r="B63" s="174" t="str">
        <f>'Pay App 1'!B63</f>
        <v>01 31 00</v>
      </c>
      <c r="C63" s="179" t="str">
        <f>'Pay App 1'!C63</f>
        <v>Contractor's Supervision</v>
      </c>
      <c r="D63" s="155">
        <f>'Pay App 1'!D63</f>
        <v>0</v>
      </c>
      <c r="E63" s="155">
        <f>VLOOKUP(B63,'Graph Data'!$O$2:$BX$88,37,FALSE)</f>
        <v>0</v>
      </c>
      <c r="F63" s="155">
        <f>IFERROR(E63+'Pay App 34'!F63,"")</f>
        <v>0</v>
      </c>
      <c r="G63" s="155">
        <f>SUM('Pay App 1:Pay App 34'!H63)</f>
        <v>0</v>
      </c>
      <c r="H63" s="154"/>
      <c r="I63" s="155">
        <f t="shared" si="0"/>
        <v>0</v>
      </c>
      <c r="J63" s="156">
        <f t="shared" si="1"/>
        <v>0</v>
      </c>
      <c r="K63" s="155">
        <f t="shared" si="2"/>
        <v>0</v>
      </c>
      <c r="L63" s="155" t="str">
        <f>IF(AND('Summary Sheet'!$E$23="No",$H$33&gt;0,H63&gt;=1),"",IF(AND('Summary Sheet'!$E$23="Yes",H63&lt;&gt;""),H63*'Summary Sheet'!$G$23,""))</f>
        <v/>
      </c>
      <c r="M63" s="154"/>
      <c r="N63" s="155">
        <f>SUM('Pay App 1:Pay App 35'!L63)+SUM('Pay App 1:Pay App 35'!M63)</f>
        <v>0</v>
      </c>
    </row>
    <row r="64" spans="1:16" ht="11.25" customHeight="1" x14ac:dyDescent="0.25">
      <c r="A64" s="152">
        <v>8</v>
      </c>
      <c r="B64" s="174" t="str">
        <f>'Pay App 1'!B64</f>
        <v>01 32 00</v>
      </c>
      <c r="C64" s="179" t="str">
        <f>'Pay App 1'!C64</f>
        <v>General Liability Insurance</v>
      </c>
      <c r="D64" s="155">
        <f>'Pay App 1'!D64</f>
        <v>0</v>
      </c>
      <c r="E64" s="155">
        <f>VLOOKUP(B64,'Graph Data'!$O$2:$BX$88,37,FALSE)</f>
        <v>0</v>
      </c>
      <c r="F64" s="155">
        <f>IFERROR(E64+'Pay App 34'!F64,"")</f>
        <v>0</v>
      </c>
      <c r="G64" s="155">
        <f>SUM('Pay App 1:Pay App 34'!H64)</f>
        <v>0</v>
      </c>
      <c r="H64" s="154"/>
      <c r="I64" s="155">
        <f t="shared" si="0"/>
        <v>0</v>
      </c>
      <c r="J64" s="156">
        <f t="shared" si="1"/>
        <v>0</v>
      </c>
      <c r="K64" s="155">
        <f t="shared" si="2"/>
        <v>0</v>
      </c>
      <c r="L64" s="155" t="str">
        <f>IF(AND('Summary Sheet'!$E$23="No",$H$33&gt;0,H64&gt;=1),"",IF(AND('Summary Sheet'!$E$23="Yes",H64&lt;&gt;""),H64*'Summary Sheet'!$G$23,""))</f>
        <v/>
      </c>
      <c r="M64" s="154"/>
      <c r="N64" s="155">
        <f>SUM('Pay App 1:Pay App 35'!L64)+SUM('Pay App 1:Pay App 35'!M64)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Data'!$O$2:$BX$88,37,FALSE)</f>
        <v>0</v>
      </c>
      <c r="F65" s="155">
        <f>IFERROR(E65+'Pay App 34'!F65,"")</f>
        <v>0</v>
      </c>
      <c r="G65" s="155">
        <f>SUM('Pay App 1:Pay App 34'!H65)</f>
        <v>0</v>
      </c>
      <c r="H65" s="154"/>
      <c r="I65" s="155">
        <f t="shared" si="0"/>
        <v>0</v>
      </c>
      <c r="J65" s="156">
        <f t="shared" si="1"/>
        <v>0</v>
      </c>
      <c r="K65" s="155">
        <f t="shared" si="2"/>
        <v>0</v>
      </c>
      <c r="L65" s="155" t="str">
        <f>IF(AND('Summary Sheet'!$E$23="No",$H$33&gt;0,H65&gt;=1),"",IF(AND('Summary Sheet'!$E$23="Yes",H65&lt;&gt;""),H65*'Summary Sheet'!$G$23,""))</f>
        <v/>
      </c>
      <c r="M65" s="154"/>
      <c r="N65" s="155">
        <f>SUM('Pay App 1:Pay App 35'!L65)+SUM('Pay App 1:Pay App 35'!M65)</f>
        <v>0</v>
      </c>
    </row>
    <row r="66" spans="1:17" ht="11.25" customHeight="1" x14ac:dyDescent="0.25">
      <c r="A66" s="152">
        <v>10</v>
      </c>
      <c r="B66" s="174" t="str">
        <f>'Pay App 1'!B66</f>
        <v>01 34 00</v>
      </c>
      <c r="C66" s="179" t="str">
        <f>'Pay App 1'!C66</f>
        <v>Subcontractor Default Insurance</v>
      </c>
      <c r="D66" s="155">
        <f>'Pay App 1'!D66</f>
        <v>0</v>
      </c>
      <c r="E66" s="155">
        <f>VLOOKUP(B66,'Graph Data'!$O$2:$BX$88,37,FALSE)</f>
        <v>0</v>
      </c>
      <c r="F66" s="155">
        <f>IFERROR(E66+'Pay App 34'!F66,"")</f>
        <v>0</v>
      </c>
      <c r="G66" s="155">
        <f>SUM('Pay App 1:Pay App 34'!H66)</f>
        <v>0</v>
      </c>
      <c r="H66" s="154"/>
      <c r="I66" s="155">
        <f t="shared" si="0"/>
        <v>0</v>
      </c>
      <c r="J66" s="156">
        <f t="shared" si="1"/>
        <v>0</v>
      </c>
      <c r="K66" s="155">
        <f t="shared" si="2"/>
        <v>0</v>
      </c>
      <c r="L66" s="155" t="str">
        <f>IF(AND('Summary Sheet'!$E$23="No",$H$33&gt;0,H66&gt;=1),"",IF(AND('Summary Sheet'!$E$23="Yes",H66&lt;&gt;""),H66*'Summary Sheet'!$G$23,""))</f>
        <v/>
      </c>
      <c r="M66" s="154"/>
      <c r="N66" s="155">
        <f>SUM('Pay App 1:Pay App 35'!L66)+SUM('Pay App 1:Pay App 35'!M66)</f>
        <v>0</v>
      </c>
    </row>
    <row r="67" spans="1:17" ht="11.25" customHeight="1" x14ac:dyDescent="0.25">
      <c r="A67" s="152">
        <v>11</v>
      </c>
      <c r="B67" s="174" t="str">
        <f>'Pay App 1'!B67</f>
        <v>01 35 00</v>
      </c>
      <c r="C67" s="179" t="str">
        <f>'Pay App 1'!C67</f>
        <v>Construction Management Fee</v>
      </c>
      <c r="D67" s="155">
        <f>'Pay App 1'!D67</f>
        <v>0</v>
      </c>
      <c r="E67" s="155">
        <f>VLOOKUP(B67,'Graph Data'!$O$2:$BX$88,37,FALSE)</f>
        <v>0</v>
      </c>
      <c r="F67" s="155">
        <f>IFERROR(E67+'Pay App 34'!F67,"")</f>
        <v>0</v>
      </c>
      <c r="G67" s="155">
        <f>SUM('Pay App 1:Pay App 34'!H67)</f>
        <v>0</v>
      </c>
      <c r="H67" s="154"/>
      <c r="I67" s="155">
        <f t="shared" si="0"/>
        <v>0</v>
      </c>
      <c r="J67" s="156">
        <f t="shared" si="1"/>
        <v>0</v>
      </c>
      <c r="K67" s="155">
        <f t="shared" si="2"/>
        <v>0</v>
      </c>
      <c r="L67" s="155" t="str">
        <f>IF(AND('Summary Sheet'!$E$23="No",$H$33&gt;0,H67&gt;=1),"",IF(AND('Summary Sheet'!$E$23="Yes",H67&lt;&gt;""),H67*'Summary Sheet'!$G$23,""))</f>
        <v/>
      </c>
      <c r="M67" s="154"/>
      <c r="N67" s="155">
        <f>SUM('Pay App 1:Pay App 35'!L67)+SUM('Pay App 1:Pay App 35'!M67)</f>
        <v>0</v>
      </c>
    </row>
    <row r="68" spans="1:17" ht="11.25" customHeight="1" x14ac:dyDescent="0.25">
      <c r="A68" s="152">
        <v>12</v>
      </c>
      <c r="B68" s="174" t="str">
        <f>'Pay App 1'!B68</f>
        <v>01 36 00</v>
      </c>
      <c r="C68" s="179" t="str">
        <f>'Pay App 1'!C68</f>
        <v>Contingency</v>
      </c>
      <c r="D68" s="155">
        <f>'Pay App 1'!D68</f>
        <v>0</v>
      </c>
      <c r="E68" s="155">
        <f>VLOOKUP(B68,'Graph Data'!$O$2:$BX$88,37,FALSE)</f>
        <v>0</v>
      </c>
      <c r="F68" s="155">
        <f>IFERROR(E68+'Pay App 34'!F68,"")</f>
        <v>0</v>
      </c>
      <c r="G68" s="155">
        <f>SUM('Pay App 1:Pay App 34'!H68)</f>
        <v>0</v>
      </c>
      <c r="H68" s="154"/>
      <c r="I68" s="155">
        <f t="shared" si="0"/>
        <v>0</v>
      </c>
      <c r="J68" s="156">
        <f t="shared" si="1"/>
        <v>0</v>
      </c>
      <c r="K68" s="155">
        <f t="shared" si="2"/>
        <v>0</v>
      </c>
      <c r="L68" s="155" t="str">
        <f>IF(AND('Summary Sheet'!$E$23="No",$H$33&gt;0,H68&gt;=1),"",IF(AND('Summary Sheet'!$E$23="Yes",H68&lt;&gt;""),H68*'Summary Sheet'!$G$23,""))</f>
        <v/>
      </c>
      <c r="M68" s="154"/>
      <c r="N68" s="155">
        <f>SUM('Pay App 1:Pay App 35'!L68)+SUM('Pay App 1:Pay App 35'!M68)</f>
        <v>0</v>
      </c>
    </row>
    <row r="69" spans="1:17" ht="11.25" customHeight="1" x14ac:dyDescent="0.25">
      <c r="A69" s="152">
        <v>13</v>
      </c>
      <c r="B69" s="174" t="str">
        <f>'Pay App 1'!B69</f>
        <v>01 37 00</v>
      </c>
      <c r="C69" s="179" t="str">
        <f>'Pay App 1'!C69</f>
        <v>Weather Allowance (All Trades)</v>
      </c>
      <c r="D69" s="155">
        <f>'Pay App 1'!D69</f>
        <v>0</v>
      </c>
      <c r="E69" s="155">
        <f>VLOOKUP(B69,'Graph Data'!$O$2:$BX$88,37,FALSE)</f>
        <v>0</v>
      </c>
      <c r="F69" s="155">
        <f>IFERROR(E69+'Pay App 34'!F69,"")</f>
        <v>0</v>
      </c>
      <c r="G69" s="155">
        <f>SUM('Pay App 1:Pay App 34'!H69)</f>
        <v>0</v>
      </c>
      <c r="H69" s="154"/>
      <c r="I69" s="155">
        <f t="shared" si="0"/>
        <v>0</v>
      </c>
      <c r="J69" s="156">
        <f t="shared" si="1"/>
        <v>0</v>
      </c>
      <c r="K69" s="155">
        <f t="shared" si="2"/>
        <v>0</v>
      </c>
      <c r="L69" s="155" t="str">
        <f>IF(AND('Summary Sheet'!$E$23="No",$H$33&gt;0,H69&gt;=1),"",IF(AND('Summary Sheet'!$E$23="Yes",H69&lt;&gt;""),H69*'Summary Sheet'!$G$23,""))</f>
        <v/>
      </c>
      <c r="M69" s="154"/>
      <c r="N69" s="155">
        <f>SUM('Pay App 1:Pay App 35'!L69)+SUM('Pay App 1:Pay App 35'!M69)</f>
        <v>0</v>
      </c>
    </row>
    <row r="70" spans="1:17" ht="11.25" customHeight="1" x14ac:dyDescent="0.25">
      <c r="A70" s="152">
        <v>14</v>
      </c>
      <c r="B70" s="174" t="str">
        <f>'Pay App 1'!B70</f>
        <v>01 74 23</v>
      </c>
      <c r="C70" s="179" t="str">
        <f>'Pay App 1'!C70</f>
        <v>Cleaning (Final)</v>
      </c>
      <c r="D70" s="155">
        <f>'Pay App 1'!D70</f>
        <v>0</v>
      </c>
      <c r="E70" s="155">
        <f>VLOOKUP(B70,'Graph Data'!$O$2:$BX$88,37,FALSE)</f>
        <v>0</v>
      </c>
      <c r="F70" s="155">
        <f>IFERROR(E70+'Pay App 34'!F70,"")</f>
        <v>0</v>
      </c>
      <c r="G70" s="155">
        <f>SUM('Pay App 1:Pay App 34'!H70)</f>
        <v>0</v>
      </c>
      <c r="H70" s="154"/>
      <c r="I70" s="155">
        <f t="shared" si="0"/>
        <v>0</v>
      </c>
      <c r="J70" s="156">
        <f t="shared" si="1"/>
        <v>0</v>
      </c>
      <c r="K70" s="155">
        <f t="shared" si="2"/>
        <v>0</v>
      </c>
      <c r="L70" s="155" t="str">
        <f>IF(AND('Summary Sheet'!$E$23="No",$H$33&gt;0,H70&gt;=1),"",IF(AND('Summary Sheet'!$E$23="Yes",H70&lt;&gt;""),H70*'Summary Sheet'!$G$23,""))</f>
        <v/>
      </c>
      <c r="M70" s="154"/>
      <c r="N70" s="155">
        <f>SUM('Pay App 1:Pay App 35'!L70)+SUM('Pay App 1:Pay App 35'!M70)</f>
        <v>0</v>
      </c>
    </row>
    <row r="71" spans="1:17" ht="11.25" customHeight="1" x14ac:dyDescent="0.25">
      <c r="A71" s="152">
        <v>15</v>
      </c>
      <c r="B71" s="175" t="str">
        <f>'Pay App 1'!B71</f>
        <v>02 21 00</v>
      </c>
      <c r="C71" s="180" t="str">
        <f>'Pay App 1'!C71</f>
        <v>Survey/Engineering</v>
      </c>
      <c r="D71" s="155">
        <f>'Pay App 1'!D71</f>
        <v>0</v>
      </c>
      <c r="E71" s="155">
        <f>VLOOKUP(B71,'Graph Data'!$O$2:$BX$88,37,FALSE)</f>
        <v>0</v>
      </c>
      <c r="F71" s="155">
        <f>IFERROR(E71+'Pay App 34'!F71,"")</f>
        <v>0</v>
      </c>
      <c r="G71" s="155">
        <f>SUM('Pay App 1:Pay App 34'!H71)</f>
        <v>0</v>
      </c>
      <c r="H71" s="154"/>
      <c r="I71" s="155">
        <f t="shared" si="0"/>
        <v>0</v>
      </c>
      <c r="J71" s="156">
        <f t="shared" si="1"/>
        <v>0</v>
      </c>
      <c r="K71" s="155">
        <f t="shared" si="2"/>
        <v>0</v>
      </c>
      <c r="L71" s="155" t="str">
        <f>IF(AND('Summary Sheet'!$E$23="No",$H$33&gt;0,H71&gt;=1),"",IF(AND('Summary Sheet'!$E$23="Yes",H71&lt;&gt;""),H71*'Summary Sheet'!$G$23,""))</f>
        <v/>
      </c>
      <c r="M71" s="154"/>
      <c r="N71" s="155">
        <f>SUM('Pay App 1:Pay App 35'!L71)+SUM('Pay App 1:Pay App 35'!M71)</f>
        <v>0</v>
      </c>
      <c r="Q71" s="28"/>
    </row>
    <row r="72" spans="1:17" ht="11.25" customHeight="1" x14ac:dyDescent="0.25">
      <c r="A72" s="152">
        <v>16</v>
      </c>
      <c r="B72" s="175" t="str">
        <f>'Pay App 1'!B72</f>
        <v>02 41 00</v>
      </c>
      <c r="C72" s="180" t="str">
        <f>'Pay App 1'!C72</f>
        <v>Demolition</v>
      </c>
      <c r="D72" s="155">
        <f>'Pay App 1'!D72</f>
        <v>0</v>
      </c>
      <c r="E72" s="155">
        <f>VLOOKUP(B72,'Graph Data'!$O$2:$BX$88,37,FALSE)</f>
        <v>0</v>
      </c>
      <c r="F72" s="155">
        <f>IFERROR(E72+'Pay App 34'!F72,"")</f>
        <v>0</v>
      </c>
      <c r="G72" s="155">
        <f>SUM('Pay App 1:Pay App 34'!H72)</f>
        <v>0</v>
      </c>
      <c r="H72" s="154"/>
      <c r="I72" s="155">
        <f t="shared" si="0"/>
        <v>0</v>
      </c>
      <c r="J72" s="156">
        <f t="shared" si="1"/>
        <v>0</v>
      </c>
      <c r="K72" s="155">
        <f t="shared" si="2"/>
        <v>0</v>
      </c>
      <c r="L72" s="155" t="str">
        <f>IF(AND('Summary Sheet'!$E$23="No",$H$33&gt;0,H72&gt;=1),"",IF(AND('Summary Sheet'!$E$23="Yes",H72&lt;&gt;""),H72*'Summary Sheet'!$G$23,""))</f>
        <v/>
      </c>
      <c r="M72" s="154"/>
      <c r="N72" s="155">
        <f>SUM('Pay App 1:Pay App 35'!L72)+SUM('Pay App 1:Pay App 35'!M72)</f>
        <v>0</v>
      </c>
      <c r="Q72" s="28"/>
    </row>
    <row r="73" spans="1:17" ht="11.25" customHeight="1" x14ac:dyDescent="0.25">
      <c r="A73" s="152">
        <v>17</v>
      </c>
      <c r="B73" s="175" t="str">
        <f>'Pay App 1'!B73</f>
        <v>02 82 00</v>
      </c>
      <c r="C73" s="180" t="str">
        <f>'Pay App 1'!C73</f>
        <v>Asbestos Abatement</v>
      </c>
      <c r="D73" s="155">
        <f>'Pay App 1'!D73</f>
        <v>0</v>
      </c>
      <c r="E73" s="155">
        <f>VLOOKUP(B73,'Graph Data'!$O$2:$BX$88,37,FALSE)</f>
        <v>0</v>
      </c>
      <c r="F73" s="155">
        <f>IFERROR(E73+'Pay App 34'!F73,"")</f>
        <v>0</v>
      </c>
      <c r="G73" s="155">
        <f>SUM('Pay App 1:Pay App 34'!H73)</f>
        <v>0</v>
      </c>
      <c r="H73" s="154"/>
      <c r="I73" s="155">
        <f t="shared" si="0"/>
        <v>0</v>
      </c>
      <c r="J73" s="156">
        <f t="shared" si="1"/>
        <v>0</v>
      </c>
      <c r="K73" s="155">
        <f t="shared" si="2"/>
        <v>0</v>
      </c>
      <c r="L73" s="155" t="str">
        <f>IF(AND('Summary Sheet'!$E$23="No",$H$33&gt;0,H73&gt;=1),"",IF(AND('Summary Sheet'!$E$23="Yes",H73&lt;&gt;""),H73*'Summary Sheet'!$G$23,""))</f>
        <v/>
      </c>
      <c r="M73" s="154"/>
      <c r="N73" s="155">
        <f>SUM('Pay App 1:Pay App 35'!L73)+SUM('Pay App 1:Pay App 35'!M73)</f>
        <v>0</v>
      </c>
    </row>
    <row r="74" spans="1:17" ht="11.25" customHeight="1" x14ac:dyDescent="0.25">
      <c r="A74" s="152">
        <v>18</v>
      </c>
      <c r="B74" s="176" t="str">
        <f>'Pay App 1'!B74</f>
        <v>03 00 00</v>
      </c>
      <c r="C74" s="181" t="str">
        <f>'Pay App 1'!C74</f>
        <v>Building Concrete</v>
      </c>
      <c r="D74" s="155">
        <f>'Pay App 1'!D74</f>
        <v>0</v>
      </c>
      <c r="E74" s="155">
        <f>VLOOKUP(B74,'Graph Data'!$O$2:$BX$88,37,FALSE)</f>
        <v>0</v>
      </c>
      <c r="F74" s="155">
        <f>IFERROR(E74+'Pay App 34'!F74,"")</f>
        <v>0</v>
      </c>
      <c r="G74" s="155">
        <f>SUM('Pay App 1:Pay App 34'!H74)</f>
        <v>0</v>
      </c>
      <c r="H74" s="154"/>
      <c r="I74" s="155">
        <f t="shared" si="0"/>
        <v>0</v>
      </c>
      <c r="J74" s="156">
        <f t="shared" si="1"/>
        <v>0</v>
      </c>
      <c r="K74" s="155">
        <f t="shared" si="2"/>
        <v>0</v>
      </c>
      <c r="L74" s="155" t="str">
        <f>IF(AND('Summary Sheet'!$E$23="No",$H$33&gt;0,H74&gt;=1),"",IF(AND('Summary Sheet'!$E$23="Yes",H74&lt;&gt;""),H74*'Summary Sheet'!$G$23,""))</f>
        <v/>
      </c>
      <c r="M74" s="154"/>
      <c r="N74" s="155">
        <f>SUM('Pay App 1:Pay App 35'!L74)+SUM('Pay App 1:Pay App 35'!M74)</f>
        <v>0</v>
      </c>
    </row>
    <row r="75" spans="1:17" ht="11.25" customHeight="1" x14ac:dyDescent="0.25">
      <c r="A75" s="152">
        <v>19</v>
      </c>
      <c r="B75" s="176" t="str">
        <f>'Pay App 1'!B75</f>
        <v>03 20 00</v>
      </c>
      <c r="C75" s="181" t="str">
        <f>'Pay App 1'!C75</f>
        <v>Building Concrete Reinforcing</v>
      </c>
      <c r="D75" s="155">
        <f>'Pay App 1'!D75</f>
        <v>0</v>
      </c>
      <c r="E75" s="155">
        <f>VLOOKUP(B75,'Graph Data'!$O$2:$BX$88,37,FALSE)</f>
        <v>0</v>
      </c>
      <c r="F75" s="155">
        <f>IFERROR(E75+'Pay App 34'!F75,"")</f>
        <v>0</v>
      </c>
      <c r="G75" s="155">
        <f>SUM('Pay App 1:Pay App 34'!H75)</f>
        <v>0</v>
      </c>
      <c r="H75" s="154"/>
      <c r="I75" s="155">
        <f t="shared" si="0"/>
        <v>0</v>
      </c>
      <c r="J75" s="156">
        <f t="shared" si="1"/>
        <v>0</v>
      </c>
      <c r="K75" s="155">
        <f t="shared" si="2"/>
        <v>0</v>
      </c>
      <c r="L75" s="155" t="str">
        <f>IF(AND('Summary Sheet'!$E$23="No",$H$33&gt;0,H75&gt;=1),"",IF(AND('Summary Sheet'!$E$23="Yes",H75&lt;&gt;""),H75*'Summary Sheet'!$G$23,""))</f>
        <v/>
      </c>
      <c r="M75" s="154"/>
      <c r="N75" s="155">
        <f>SUM('Pay App 1:Pay App 35'!L75)+SUM('Pay App 1:Pay App 35'!M75)</f>
        <v>0</v>
      </c>
    </row>
    <row r="76" spans="1:17" ht="11.25" customHeight="1" x14ac:dyDescent="0.25">
      <c r="A76" s="152">
        <v>20</v>
      </c>
      <c r="B76" s="176" t="str">
        <f>'Pay App 1'!B76</f>
        <v>03 40 00</v>
      </c>
      <c r="C76" s="181" t="str">
        <f>'Pay App 1'!C76</f>
        <v>Precast</v>
      </c>
      <c r="D76" s="155">
        <f>'Pay App 1'!D76</f>
        <v>0</v>
      </c>
      <c r="E76" s="155">
        <f>VLOOKUP(B76,'Graph Data'!$O$2:$BX$88,37,FALSE)</f>
        <v>0</v>
      </c>
      <c r="F76" s="155">
        <f>IFERROR(E76+'Pay App 34'!F76,"")</f>
        <v>0</v>
      </c>
      <c r="G76" s="155">
        <f>SUM('Pay App 1:Pay App 34'!H76)</f>
        <v>0</v>
      </c>
      <c r="H76" s="154"/>
      <c r="I76" s="155">
        <f t="shared" si="0"/>
        <v>0</v>
      </c>
      <c r="J76" s="156">
        <f t="shared" si="1"/>
        <v>0</v>
      </c>
      <c r="K76" s="155">
        <f t="shared" si="2"/>
        <v>0</v>
      </c>
      <c r="L76" s="155" t="str">
        <f>IF(AND('Summary Sheet'!$E$23="No",$H$33&gt;0,H76&gt;=1),"",IF(AND('Summary Sheet'!$E$23="Yes",H76&lt;&gt;""),H76*'Summary Sheet'!$G$23,""))</f>
        <v/>
      </c>
      <c r="M76" s="154"/>
      <c r="N76" s="155">
        <f>SUM('Pay App 1:Pay App 35'!L76)+SUM('Pay App 1:Pay App 35'!M76)</f>
        <v>0</v>
      </c>
    </row>
    <row r="77" spans="1:17" ht="11.25" customHeight="1" x14ac:dyDescent="0.25">
      <c r="A77" s="152">
        <v>21</v>
      </c>
      <c r="B77" s="177" t="str">
        <f>'Pay App 1'!B77</f>
        <v>04 00 00</v>
      </c>
      <c r="C77" s="182" t="str">
        <f>'Pay App 1'!C77</f>
        <v>Masonry</v>
      </c>
      <c r="D77" s="155">
        <f>'Pay App 1'!D77</f>
        <v>0</v>
      </c>
      <c r="E77" s="155">
        <f>VLOOKUP(B77,'Graph Data'!$O$2:$BX$88,37,FALSE)</f>
        <v>0</v>
      </c>
      <c r="F77" s="155">
        <f>IFERROR(E77+'Pay App 34'!F77,"")</f>
        <v>0</v>
      </c>
      <c r="G77" s="155">
        <f>SUM('Pay App 1:Pay App 34'!H77)</f>
        <v>0</v>
      </c>
      <c r="H77" s="154"/>
      <c r="I77" s="155">
        <f t="shared" si="0"/>
        <v>0</v>
      </c>
      <c r="J77" s="156">
        <f t="shared" si="1"/>
        <v>0</v>
      </c>
      <c r="K77" s="155">
        <f t="shared" si="2"/>
        <v>0</v>
      </c>
      <c r="L77" s="155" t="str">
        <f>IF(AND('Summary Sheet'!$E$23="No",$H$33&gt;0,H77&gt;=1),"",IF(AND('Summary Sheet'!$E$23="Yes",H77&lt;&gt;""),H77*'Summary Sheet'!$G$23,""))</f>
        <v/>
      </c>
      <c r="M77" s="154"/>
      <c r="N77" s="155">
        <f>SUM('Pay App 1:Pay App 35'!L77)+SUM('Pay App 1:Pay App 35'!M77)</f>
        <v>0</v>
      </c>
    </row>
    <row r="78" spans="1:17" ht="11.25" customHeight="1" x14ac:dyDescent="0.25">
      <c r="A78" s="152">
        <v>22</v>
      </c>
      <c r="B78" s="177" t="str">
        <f>'Pay App 1'!B78</f>
        <v>04 05 19</v>
      </c>
      <c r="C78" s="182" t="str">
        <f>'Pay App 1'!C78</f>
        <v>Masonry Reinforcing</v>
      </c>
      <c r="D78" s="155">
        <f>'Pay App 1'!D78</f>
        <v>0</v>
      </c>
      <c r="E78" s="155">
        <f>VLOOKUP(B78,'Graph Data'!$O$2:$BX$88,37,FALSE)</f>
        <v>0</v>
      </c>
      <c r="F78" s="155">
        <f>IFERROR(E78+'Pay App 34'!F78,"")</f>
        <v>0</v>
      </c>
      <c r="G78" s="155">
        <f>SUM('Pay App 1:Pay App 34'!H78)</f>
        <v>0</v>
      </c>
      <c r="H78" s="154"/>
      <c r="I78" s="155">
        <f t="shared" si="0"/>
        <v>0</v>
      </c>
      <c r="J78" s="156">
        <f t="shared" si="1"/>
        <v>0</v>
      </c>
      <c r="K78" s="155">
        <f t="shared" si="2"/>
        <v>0</v>
      </c>
      <c r="L78" s="155" t="str">
        <f>IF(AND('Summary Sheet'!$E$23="No",$H$33&gt;0,H78&gt;=1),"",IF(AND('Summary Sheet'!$E$23="Yes",H78&lt;&gt;""),H78*'Summary Sheet'!$G$23,""))</f>
        <v/>
      </c>
      <c r="M78" s="154"/>
      <c r="N78" s="155">
        <f>SUM('Pay App 1:Pay App 35'!L78)+SUM('Pay App 1:Pay App 35'!M78)</f>
        <v>0</v>
      </c>
    </row>
    <row r="79" spans="1:17" ht="11.25" customHeight="1" x14ac:dyDescent="0.25">
      <c r="A79" s="152">
        <v>23</v>
      </c>
      <c r="B79" s="178" t="str">
        <f>'Pay App 1'!B79</f>
        <v>05 10 00</v>
      </c>
      <c r="C79" s="183" t="str">
        <f>'Pay App 1'!C79</f>
        <v>Structural Steel/Misc. Steel Fab</v>
      </c>
      <c r="D79" s="155">
        <f>'Pay App 1'!D79</f>
        <v>0</v>
      </c>
      <c r="E79" s="155">
        <f>VLOOKUP(B79,'Graph Data'!$O$2:$BX$88,37,FALSE)</f>
        <v>0</v>
      </c>
      <c r="F79" s="155">
        <f>IFERROR(E79+'Pay App 34'!F79,"")</f>
        <v>0</v>
      </c>
      <c r="G79" s="155">
        <f>SUM('Pay App 1:Pay App 34'!H79)</f>
        <v>0</v>
      </c>
      <c r="H79" s="154"/>
      <c r="I79" s="155">
        <f t="shared" si="0"/>
        <v>0</v>
      </c>
      <c r="J79" s="156">
        <f t="shared" si="1"/>
        <v>0</v>
      </c>
      <c r="K79" s="155">
        <f t="shared" si="2"/>
        <v>0</v>
      </c>
      <c r="L79" s="155" t="str">
        <f>IF(AND('Summary Sheet'!$E$23="No",$H$33&gt;0,H79&gt;=1),"",IF(AND('Summary Sheet'!$E$23="Yes",H79&lt;&gt;""),H79*'Summary Sheet'!$G$23,""))</f>
        <v/>
      </c>
      <c r="M79" s="154"/>
      <c r="N79" s="155">
        <f>SUM('Pay App 1:Pay App 35'!L79)+SUM('Pay App 1:Pay App 35'!M79)</f>
        <v>0</v>
      </c>
    </row>
    <row r="80" spans="1:17" ht="11.25" customHeight="1" x14ac:dyDescent="0.25">
      <c r="A80" s="152">
        <v>24</v>
      </c>
      <c r="B80" s="178" t="str">
        <f>'Pay App 1'!B80</f>
        <v>05 20 00</v>
      </c>
      <c r="C80" s="183" t="str">
        <f>'Pay App 1'!C80</f>
        <v>Joists &amp; Deck</v>
      </c>
      <c r="D80" s="155">
        <f>'Pay App 1'!D80</f>
        <v>0</v>
      </c>
      <c r="E80" s="155">
        <f>VLOOKUP(B80,'Graph Data'!$O$2:$BX$88,37,FALSE)</f>
        <v>0</v>
      </c>
      <c r="F80" s="155">
        <f>IFERROR(E80+'Pay App 34'!F80,"")</f>
        <v>0</v>
      </c>
      <c r="G80" s="155">
        <f>SUM('Pay App 1:Pay App 34'!H80)</f>
        <v>0</v>
      </c>
      <c r="H80" s="154"/>
      <c r="I80" s="155">
        <f t="shared" si="0"/>
        <v>0</v>
      </c>
      <c r="J80" s="156">
        <f t="shared" si="1"/>
        <v>0</v>
      </c>
      <c r="K80" s="155">
        <f t="shared" si="2"/>
        <v>0</v>
      </c>
      <c r="L80" s="155" t="str">
        <f>IF(AND('Summary Sheet'!$E$23="No",$H$33&gt;0,H80&gt;=1),"",IF(AND('Summary Sheet'!$E$23="Yes",H80&lt;&gt;""),H80*'Summary Sheet'!$G$23,""))</f>
        <v/>
      </c>
      <c r="M80" s="154"/>
      <c r="N80" s="155">
        <f>SUM('Pay App 1:Pay App 35'!L80)+SUM('Pay App 1:Pay App 35'!M80)</f>
        <v>0</v>
      </c>
    </row>
    <row r="81" spans="1:14" ht="11.25" customHeight="1" x14ac:dyDescent="0.25">
      <c r="A81" s="152">
        <v>25</v>
      </c>
      <c r="B81" s="178" t="str">
        <f>'Pay App 1'!B81</f>
        <v>05 70 00</v>
      </c>
      <c r="C81" s="183" t="str">
        <f>'Pay App 1'!C81</f>
        <v>Ornamental Metal</v>
      </c>
      <c r="D81" s="155">
        <f>'Pay App 1'!D81</f>
        <v>0</v>
      </c>
      <c r="E81" s="155">
        <f>VLOOKUP(B81,'Graph Data'!$O$2:$BX$88,37,FALSE)</f>
        <v>0</v>
      </c>
      <c r="F81" s="155">
        <f>IFERROR(E81+'Pay App 34'!F81,"")</f>
        <v>0</v>
      </c>
      <c r="G81" s="155">
        <f>SUM('Pay App 1:Pay App 34'!H81)</f>
        <v>0</v>
      </c>
      <c r="H81" s="154"/>
      <c r="I81" s="155">
        <f t="shared" si="0"/>
        <v>0</v>
      </c>
      <c r="J81" s="156">
        <f t="shared" si="1"/>
        <v>0</v>
      </c>
      <c r="K81" s="155">
        <f t="shared" si="2"/>
        <v>0</v>
      </c>
      <c r="L81" s="155" t="str">
        <f>IF(AND('Summary Sheet'!$E$23="No",$H$33&gt;0,H81&gt;=1),"",IF(AND('Summary Sheet'!$E$23="Yes",H81&lt;&gt;""),H81*'Summary Sheet'!$G$23,""))</f>
        <v/>
      </c>
      <c r="M81" s="154"/>
      <c r="N81" s="155">
        <f>SUM('Pay App 1:Pay App 35'!L81)+SUM('Pay App 1:Pay App 35'!M81)</f>
        <v>0</v>
      </c>
    </row>
    <row r="82" spans="1:14" ht="11.25" customHeight="1" x14ac:dyDescent="0.25">
      <c r="A82" s="152">
        <v>26</v>
      </c>
      <c r="B82" s="145" t="str">
        <f>'Pay App 1'!B82</f>
        <v>06 10 00</v>
      </c>
      <c r="C82" s="134" t="str">
        <f>'Pay App 1'!C82</f>
        <v>Rough Carpentry</v>
      </c>
      <c r="D82" s="155">
        <f>'Pay App 1'!D82</f>
        <v>0</v>
      </c>
      <c r="E82" s="155">
        <f>VLOOKUP(B82,'Graph Data'!$O$2:$BX$88,37,FALSE)</f>
        <v>0</v>
      </c>
      <c r="F82" s="155">
        <f>IFERROR(E82+'Pay App 34'!F82,"")</f>
        <v>0</v>
      </c>
      <c r="G82" s="155">
        <f>SUM('Pay App 1:Pay App 34'!H82)</f>
        <v>0</v>
      </c>
      <c r="H82" s="154"/>
      <c r="I82" s="155">
        <f t="shared" si="0"/>
        <v>0</v>
      </c>
      <c r="J82" s="156">
        <f t="shared" si="1"/>
        <v>0</v>
      </c>
      <c r="K82" s="155">
        <f t="shared" si="2"/>
        <v>0</v>
      </c>
      <c r="L82" s="155" t="str">
        <f>IF(AND('Summary Sheet'!$E$23="No",$H$33&gt;0,H82&gt;=1),"",IF(AND('Summary Sheet'!$E$23="Yes",H82&lt;&gt;""),H82*'Summary Sheet'!$G$23,""))</f>
        <v/>
      </c>
      <c r="M82" s="154"/>
      <c r="N82" s="155">
        <f>SUM('Pay App 1:Pay App 35'!L82)+SUM('Pay App 1:Pay App 35'!M82)</f>
        <v>0</v>
      </c>
    </row>
    <row r="83" spans="1:14" ht="11.25" customHeight="1" x14ac:dyDescent="0.25">
      <c r="A83" s="152">
        <v>27</v>
      </c>
      <c r="B83" s="145" t="str">
        <f>'Pay App 1'!B83</f>
        <v>06 40 00</v>
      </c>
      <c r="C83" s="134" t="str">
        <f>'Pay App 1'!C83</f>
        <v>Arch. Woodwork &amp; Finish Carp.</v>
      </c>
      <c r="D83" s="155">
        <f>'Pay App 1'!D83</f>
        <v>0</v>
      </c>
      <c r="E83" s="155">
        <f>VLOOKUP(B83,'Graph Data'!$O$2:$BX$88,37,FALSE)</f>
        <v>0</v>
      </c>
      <c r="F83" s="155">
        <f>IFERROR(E83+'Pay App 34'!F83,"")</f>
        <v>0</v>
      </c>
      <c r="G83" s="155">
        <f>SUM('Pay App 1:Pay App 34'!H83)</f>
        <v>0</v>
      </c>
      <c r="H83" s="154"/>
      <c r="I83" s="155">
        <f t="shared" si="0"/>
        <v>0</v>
      </c>
      <c r="J83" s="156">
        <f t="shared" si="1"/>
        <v>0</v>
      </c>
      <c r="K83" s="155">
        <f t="shared" si="2"/>
        <v>0</v>
      </c>
      <c r="L83" s="155" t="str">
        <f>IF(AND('Summary Sheet'!$E$23="No",$H$33&gt;0,H83&gt;=1),"",IF(AND('Summary Sheet'!$E$23="Yes",H83&lt;&gt;""),H83*'Summary Sheet'!$G$23,""))</f>
        <v/>
      </c>
      <c r="M83" s="154"/>
      <c r="N83" s="155">
        <f>SUM('Pay App 1:Pay App 35'!L83)+SUM('Pay App 1:Pay App 35'!M83)</f>
        <v>0</v>
      </c>
    </row>
    <row r="84" spans="1:14" ht="11.25" customHeight="1" x14ac:dyDescent="0.25">
      <c r="A84" s="152">
        <v>28</v>
      </c>
      <c r="B84" s="174" t="str">
        <f>'Pay App 1'!B84</f>
        <v>07 10 00</v>
      </c>
      <c r="C84" s="179" t="str">
        <f>'Pay App 1'!C84</f>
        <v>Waterproofing/Water Repellents</v>
      </c>
      <c r="D84" s="155">
        <f>'Pay App 1'!D84</f>
        <v>0</v>
      </c>
      <c r="E84" s="155">
        <f>VLOOKUP(B84,'Graph Data'!$O$2:$BX$88,37,FALSE)</f>
        <v>0</v>
      </c>
      <c r="F84" s="155">
        <f>IFERROR(E84+'Pay App 34'!F84,"")</f>
        <v>0</v>
      </c>
      <c r="G84" s="155">
        <f>SUM('Pay App 1:Pay App 34'!H84)</f>
        <v>0</v>
      </c>
      <c r="H84" s="154"/>
      <c r="I84" s="155">
        <f t="shared" si="0"/>
        <v>0</v>
      </c>
      <c r="J84" s="156">
        <f t="shared" si="1"/>
        <v>0</v>
      </c>
      <c r="K84" s="155">
        <f t="shared" si="2"/>
        <v>0</v>
      </c>
      <c r="L84" s="155" t="str">
        <f>IF(AND('Summary Sheet'!$E$23="No",$H$33&gt;0,H84&gt;=1),"",IF(AND('Summary Sheet'!$E$23="Yes",H84&lt;&gt;""),H84*'Summary Sheet'!$G$23,""))</f>
        <v/>
      </c>
      <c r="M84" s="154"/>
      <c r="N84" s="155">
        <f>SUM('Pay App 1:Pay App 35'!L84)+SUM('Pay App 1:Pay App 35'!M84)</f>
        <v>0</v>
      </c>
    </row>
    <row r="85" spans="1:14" ht="11.25" customHeight="1" x14ac:dyDescent="0.25">
      <c r="A85" s="152">
        <v>29</v>
      </c>
      <c r="B85" s="174" t="str">
        <f>'Pay App 1'!B85</f>
        <v>07 20 00</v>
      </c>
      <c r="C85" s="179" t="str">
        <f>'Pay App 1'!C85</f>
        <v>Insulation</v>
      </c>
      <c r="D85" s="155">
        <f>'Pay App 1'!D85</f>
        <v>0</v>
      </c>
      <c r="E85" s="155">
        <f>VLOOKUP(B85,'Graph Data'!$O$2:$BX$88,37,FALSE)</f>
        <v>0</v>
      </c>
      <c r="F85" s="155">
        <f>IFERROR(E85+'Pay App 34'!F85,"")</f>
        <v>0</v>
      </c>
      <c r="G85" s="155">
        <f>SUM('Pay App 1:Pay App 34'!H85)</f>
        <v>0</v>
      </c>
      <c r="H85" s="154"/>
      <c r="I85" s="155">
        <f t="shared" si="0"/>
        <v>0</v>
      </c>
      <c r="J85" s="156">
        <f t="shared" si="1"/>
        <v>0</v>
      </c>
      <c r="K85" s="155">
        <f t="shared" si="2"/>
        <v>0</v>
      </c>
      <c r="L85" s="155" t="str">
        <f>IF(AND('Summary Sheet'!$E$23="No",$H$33&gt;0,H85&gt;=1),"",IF(AND('Summary Sheet'!$E$23="Yes",H85&lt;&gt;""),H85*'Summary Sheet'!$G$23,""))</f>
        <v/>
      </c>
      <c r="M85" s="154"/>
      <c r="N85" s="155">
        <f>SUM('Pay App 1:Pay App 35'!L85)+SUM('Pay App 1:Pay App 35'!M85)</f>
        <v>0</v>
      </c>
    </row>
    <row r="86" spans="1:14" ht="11.25" customHeight="1" x14ac:dyDescent="0.25">
      <c r="A86" s="152">
        <v>30</v>
      </c>
      <c r="B86" s="174" t="str">
        <f>'Pay App 1'!B86</f>
        <v>07 24 00</v>
      </c>
      <c r="C86" s="179" t="str">
        <f>'Pay App 1'!C86</f>
        <v>EIFS</v>
      </c>
      <c r="D86" s="155">
        <f>'Pay App 1'!D86</f>
        <v>0</v>
      </c>
      <c r="E86" s="155">
        <f>VLOOKUP(B86,'Graph Data'!$O$2:$BX$88,37,FALSE)</f>
        <v>0</v>
      </c>
      <c r="F86" s="155">
        <f>IFERROR(E86+'Pay App 34'!F86,"")</f>
        <v>0</v>
      </c>
      <c r="G86" s="155">
        <f>SUM('Pay App 1:Pay App 34'!H86)</f>
        <v>0</v>
      </c>
      <c r="H86" s="154"/>
      <c r="I86" s="155">
        <f t="shared" si="0"/>
        <v>0</v>
      </c>
      <c r="J86" s="156">
        <f t="shared" si="1"/>
        <v>0</v>
      </c>
      <c r="K86" s="155">
        <f t="shared" si="2"/>
        <v>0</v>
      </c>
      <c r="L86" s="155" t="str">
        <f>IF(AND('Summary Sheet'!$E$23="No",$H$33&gt;0,H86&gt;=1),"",IF(AND('Summary Sheet'!$E$23="Yes",H86&lt;&gt;""),H86*'Summary Sheet'!$G$23,""))</f>
        <v/>
      </c>
      <c r="M86" s="154"/>
      <c r="N86" s="155">
        <f>SUM('Pay App 1:Pay App 35'!L86)+SUM('Pay App 1:Pay App 35'!M86)</f>
        <v>0</v>
      </c>
    </row>
    <row r="87" spans="1:14" ht="11.25" customHeight="1" x14ac:dyDescent="0.25">
      <c r="A87" s="152">
        <v>31</v>
      </c>
      <c r="B87" s="174" t="str">
        <f>'Pay App 1'!B87</f>
        <v>07 26 00</v>
      </c>
      <c r="C87" s="179" t="str">
        <f>'Pay App 1'!C87</f>
        <v>Vapor Retarders</v>
      </c>
      <c r="D87" s="155">
        <f>'Pay App 1'!D87</f>
        <v>0</v>
      </c>
      <c r="E87" s="155">
        <f>VLOOKUP(B87,'Graph Data'!$O$2:$BX$88,37,FALSE)</f>
        <v>0</v>
      </c>
      <c r="F87" s="155">
        <f>IFERROR(E87+'Pay App 34'!F87,"")</f>
        <v>0</v>
      </c>
      <c r="G87" s="155">
        <f>SUM('Pay App 1:Pay App 34'!H87)</f>
        <v>0</v>
      </c>
      <c r="H87" s="154"/>
      <c r="I87" s="155">
        <f t="shared" si="0"/>
        <v>0</v>
      </c>
      <c r="J87" s="156">
        <f t="shared" si="1"/>
        <v>0</v>
      </c>
      <c r="K87" s="155">
        <f t="shared" si="2"/>
        <v>0</v>
      </c>
      <c r="L87" s="155" t="str">
        <f>IF(AND('Summary Sheet'!$E$23="No",$H$33&gt;0,H87&gt;=1),"",IF(AND('Summary Sheet'!$E$23="Yes",H87&lt;&gt;""),H87*'Summary Sheet'!$G$23,""))</f>
        <v/>
      </c>
      <c r="M87" s="154"/>
      <c r="N87" s="155">
        <f>SUM('Pay App 1:Pay App 35'!L87)+SUM('Pay App 1:Pay App 35'!M87)</f>
        <v>0</v>
      </c>
    </row>
    <row r="88" spans="1:14" ht="11.25" customHeight="1" x14ac:dyDescent="0.25">
      <c r="A88" s="152">
        <v>32</v>
      </c>
      <c r="B88" s="174" t="str">
        <f>'Pay App 1'!B88</f>
        <v>07 41 00</v>
      </c>
      <c r="C88" s="179" t="str">
        <f>'Pay App 1'!C88</f>
        <v>Roofing</v>
      </c>
      <c r="D88" s="155">
        <f>'Pay App 1'!D88</f>
        <v>0</v>
      </c>
      <c r="E88" s="155">
        <f>VLOOKUP(B88,'Graph Data'!$O$2:$BX$88,37,FALSE)</f>
        <v>0</v>
      </c>
      <c r="F88" s="155">
        <f>IFERROR(E88+'Pay App 34'!F88,"")</f>
        <v>0</v>
      </c>
      <c r="G88" s="155">
        <f>SUM('Pay App 1:Pay App 34'!H88)</f>
        <v>0</v>
      </c>
      <c r="H88" s="154"/>
      <c r="I88" s="155">
        <f t="shared" si="0"/>
        <v>0</v>
      </c>
      <c r="J88" s="156">
        <f t="shared" si="1"/>
        <v>0</v>
      </c>
      <c r="K88" s="155">
        <f t="shared" si="2"/>
        <v>0</v>
      </c>
      <c r="L88" s="155" t="str">
        <f>IF(AND('Summary Sheet'!$E$23="No",$H$33&gt;0,H88&gt;=1),"",IF(AND('Summary Sheet'!$E$23="Yes",H88&lt;&gt;""),H88*'Summary Sheet'!$G$23,""))</f>
        <v/>
      </c>
      <c r="M88" s="154"/>
      <c r="N88" s="155">
        <f>SUM('Pay App 1:Pay App 35'!L88)+SUM('Pay App 1:Pay App 35'!M88)</f>
        <v>0</v>
      </c>
    </row>
    <row r="89" spans="1:14" ht="11.25" customHeight="1" x14ac:dyDescent="0.25">
      <c r="A89" s="152">
        <v>33</v>
      </c>
      <c r="B89" s="174" t="str">
        <f>'Pay App 1'!B89</f>
        <v>07 42 00</v>
      </c>
      <c r="C89" s="179" t="str">
        <f>'Pay App 1'!C89</f>
        <v>Metal Panels</v>
      </c>
      <c r="D89" s="155">
        <f>'Pay App 1'!D89</f>
        <v>0</v>
      </c>
      <c r="E89" s="155">
        <f>VLOOKUP(B89,'Graph Data'!$O$2:$BX$88,37,FALSE)</f>
        <v>0</v>
      </c>
      <c r="F89" s="155">
        <f>IFERROR(E89+'Pay App 34'!F89,"")</f>
        <v>0</v>
      </c>
      <c r="G89" s="155">
        <f>SUM('Pay App 1:Pay App 34'!H89)</f>
        <v>0</v>
      </c>
      <c r="H89" s="154"/>
      <c r="I89" s="155">
        <f t="shared" si="0"/>
        <v>0</v>
      </c>
      <c r="J89" s="156">
        <f t="shared" si="1"/>
        <v>0</v>
      </c>
      <c r="K89" s="155">
        <f t="shared" si="2"/>
        <v>0</v>
      </c>
      <c r="L89" s="155" t="str">
        <f>IF(AND('Summary Sheet'!$E$23="No",$H$33&gt;0,H89&gt;=1),"",IF(AND('Summary Sheet'!$E$23="Yes",H89&lt;&gt;""),H89*'Summary Sheet'!$G$23,""))</f>
        <v/>
      </c>
      <c r="M89" s="154"/>
      <c r="N89" s="155">
        <f>SUM('Pay App 1:Pay App 35'!L89)+SUM('Pay App 1:Pay App 35'!M89)</f>
        <v>0</v>
      </c>
    </row>
    <row r="90" spans="1:14" ht="11.25" customHeight="1" x14ac:dyDescent="0.25">
      <c r="A90" s="152">
        <v>34</v>
      </c>
      <c r="B90" s="174" t="str">
        <f>'Pay App 1'!B90</f>
        <v>07 60 00</v>
      </c>
      <c r="C90" s="179" t="str">
        <f>'Pay App 1'!C90</f>
        <v>Sheet Metal Flashing &amp; Trim</v>
      </c>
      <c r="D90" s="155">
        <f>'Pay App 1'!D90</f>
        <v>0</v>
      </c>
      <c r="E90" s="155">
        <f>VLOOKUP(B90,'Graph Data'!$O$2:$BX$88,37,FALSE)</f>
        <v>0</v>
      </c>
      <c r="F90" s="155">
        <f>IFERROR(E90+'Pay App 34'!F90,"")</f>
        <v>0</v>
      </c>
      <c r="G90" s="155">
        <f>SUM('Pay App 1:Pay App 34'!H90)</f>
        <v>0</v>
      </c>
      <c r="H90" s="154"/>
      <c r="I90" s="155">
        <f t="shared" si="0"/>
        <v>0</v>
      </c>
      <c r="J90" s="156">
        <f t="shared" si="1"/>
        <v>0</v>
      </c>
      <c r="K90" s="155">
        <f t="shared" si="2"/>
        <v>0</v>
      </c>
      <c r="L90" s="155" t="str">
        <f>IF(AND('Summary Sheet'!$E$23="No",$H$33&gt;0,H90&gt;=1),"",IF(AND('Summary Sheet'!$E$23="Yes",H90&lt;&gt;""),H90*'Summary Sheet'!$G$23,""))</f>
        <v/>
      </c>
      <c r="M90" s="154"/>
      <c r="N90" s="155">
        <f>SUM('Pay App 1:Pay App 35'!L90)+SUM('Pay App 1:Pay App 35'!M90)</f>
        <v>0</v>
      </c>
    </row>
    <row r="91" spans="1:14" ht="11.25" customHeight="1" x14ac:dyDescent="0.25">
      <c r="A91" s="152">
        <v>35</v>
      </c>
      <c r="B91" s="174" t="str">
        <f>'Pay App 1'!B91</f>
        <v>07 80 00</v>
      </c>
      <c r="C91" s="179" t="str">
        <f>'Pay App 1'!C91</f>
        <v>Fireproofing</v>
      </c>
      <c r="D91" s="155">
        <f>'Pay App 1'!D91</f>
        <v>0</v>
      </c>
      <c r="E91" s="155">
        <f>VLOOKUP(B91,'Graph Data'!$O$2:$BX$88,37,FALSE)</f>
        <v>0</v>
      </c>
      <c r="F91" s="155">
        <f>IFERROR(E91+'Pay App 34'!F91,"")</f>
        <v>0</v>
      </c>
      <c r="G91" s="155">
        <f>SUM('Pay App 1:Pay App 34'!H91)</f>
        <v>0</v>
      </c>
      <c r="H91" s="154"/>
      <c r="I91" s="155">
        <f t="shared" si="0"/>
        <v>0</v>
      </c>
      <c r="J91" s="156">
        <f t="shared" si="1"/>
        <v>0</v>
      </c>
      <c r="K91" s="155">
        <f t="shared" si="2"/>
        <v>0</v>
      </c>
      <c r="L91" s="155" t="str">
        <f>IF(AND('Summary Sheet'!$E$23="No",$H$33&gt;0,H91&gt;=1),"",IF(AND('Summary Sheet'!$E$23="Yes",H91&lt;&gt;""),H91*'Summary Sheet'!$G$23,""))</f>
        <v/>
      </c>
      <c r="M91" s="154"/>
      <c r="N91" s="155">
        <f>SUM('Pay App 1:Pay App 35'!L91)+SUM('Pay App 1:Pay App 35'!M91)</f>
        <v>0</v>
      </c>
    </row>
    <row r="92" spans="1:14" ht="11.25" customHeight="1" x14ac:dyDescent="0.25">
      <c r="A92" s="152">
        <v>36</v>
      </c>
      <c r="B92" s="174" t="str">
        <f>'Pay App 1'!B92</f>
        <v>07 90 00</v>
      </c>
      <c r="C92" s="179" t="str">
        <f>'Pay App 1'!C92</f>
        <v>Joint Sealants</v>
      </c>
      <c r="D92" s="155">
        <f>'Pay App 1'!D92</f>
        <v>0</v>
      </c>
      <c r="E92" s="155">
        <f>VLOOKUP(B92,'Graph Data'!$O$2:$BX$88,37,FALSE)</f>
        <v>0</v>
      </c>
      <c r="F92" s="155">
        <f>IFERROR(E92+'Pay App 34'!F92,"")</f>
        <v>0</v>
      </c>
      <c r="G92" s="155">
        <f>SUM('Pay App 1:Pay App 34'!H92)</f>
        <v>0</v>
      </c>
      <c r="H92" s="154"/>
      <c r="I92" s="155">
        <f t="shared" si="0"/>
        <v>0</v>
      </c>
      <c r="J92" s="156">
        <f t="shared" si="1"/>
        <v>0</v>
      </c>
      <c r="K92" s="155">
        <f t="shared" si="2"/>
        <v>0</v>
      </c>
      <c r="L92" s="155" t="str">
        <f>IF(AND('Summary Sheet'!$E$23="No",$H$33&gt;0,H92&gt;=1),"",IF(AND('Summary Sheet'!$E$23="Yes",H92&lt;&gt;""),H92*'Summary Sheet'!$G$23,""))</f>
        <v/>
      </c>
      <c r="M92" s="154"/>
      <c r="N92" s="155">
        <f>SUM('Pay App 1:Pay App 35'!L92)+SUM('Pay App 1:Pay App 35'!M92)</f>
        <v>0</v>
      </c>
    </row>
    <row r="93" spans="1:14" ht="11.25" customHeight="1" x14ac:dyDescent="0.25">
      <c r="A93" s="152">
        <v>37</v>
      </c>
      <c r="B93" s="174" t="str">
        <f>'Pay App 1'!B93</f>
        <v>07 95 00</v>
      </c>
      <c r="C93" s="179" t="str">
        <f>'Pay App 1'!C93</f>
        <v>Expansion Joints</v>
      </c>
      <c r="D93" s="155">
        <f>'Pay App 1'!D93</f>
        <v>0</v>
      </c>
      <c r="E93" s="155">
        <f>VLOOKUP(B93,'Graph Data'!$O$2:$BX$88,37,FALSE)</f>
        <v>0</v>
      </c>
      <c r="F93" s="155">
        <f>IFERROR(E93+'Pay App 34'!F93,"")</f>
        <v>0</v>
      </c>
      <c r="G93" s="155">
        <f>SUM('Pay App 1:Pay App 34'!H93)</f>
        <v>0</v>
      </c>
      <c r="H93" s="154"/>
      <c r="I93" s="155">
        <f t="shared" si="0"/>
        <v>0</v>
      </c>
      <c r="J93" s="156">
        <f t="shared" si="1"/>
        <v>0</v>
      </c>
      <c r="K93" s="155">
        <f t="shared" si="2"/>
        <v>0</v>
      </c>
      <c r="L93" s="155" t="str">
        <f>IF(AND('Summary Sheet'!$E$23="No",$H$33&gt;0,H93&gt;=1),"",IF(AND('Summary Sheet'!$E$23="Yes",H93&lt;&gt;""),H93*'Summary Sheet'!$G$23,""))</f>
        <v/>
      </c>
      <c r="M93" s="154"/>
      <c r="N93" s="155">
        <f>SUM('Pay App 1:Pay App 35'!L93)+SUM('Pay App 1:Pay App 35'!M93)</f>
        <v>0</v>
      </c>
    </row>
    <row r="94" spans="1:14" ht="11.25" customHeight="1" x14ac:dyDescent="0.25">
      <c r="A94" s="152">
        <v>38</v>
      </c>
      <c r="B94" s="175" t="str">
        <f>'Pay App 1'!B94</f>
        <v>08 10 00</v>
      </c>
      <c r="C94" s="180" t="str">
        <f>'Pay App 1'!C94</f>
        <v>Doors, Frames &amp; Hardware</v>
      </c>
      <c r="D94" s="155">
        <f>'Pay App 1'!D94</f>
        <v>0</v>
      </c>
      <c r="E94" s="155">
        <f>VLOOKUP(B94,'Graph Data'!$O$2:$BX$88,37,FALSE)</f>
        <v>0</v>
      </c>
      <c r="F94" s="155">
        <f>IFERROR(E94+'Pay App 34'!F94,"")</f>
        <v>0</v>
      </c>
      <c r="G94" s="155">
        <f>SUM('Pay App 1:Pay App 34'!H94)</f>
        <v>0</v>
      </c>
      <c r="H94" s="154"/>
      <c r="I94" s="155">
        <f t="shared" si="0"/>
        <v>0</v>
      </c>
      <c r="J94" s="156">
        <f t="shared" si="1"/>
        <v>0</v>
      </c>
      <c r="K94" s="155">
        <f t="shared" si="2"/>
        <v>0</v>
      </c>
      <c r="L94" s="155" t="str">
        <f>IF(AND('Summary Sheet'!$E$23="No",$H$33&gt;0,H94&gt;=1),"",IF(AND('Summary Sheet'!$E$23="Yes",H94&lt;&gt;""),H94*'Summary Sheet'!$G$23,""))</f>
        <v/>
      </c>
      <c r="M94" s="154"/>
      <c r="N94" s="155">
        <f>SUM('Pay App 1:Pay App 35'!L94)+SUM('Pay App 1:Pay App 35'!M94)</f>
        <v>0</v>
      </c>
    </row>
    <row r="95" spans="1:14" ht="11.25" customHeight="1" x14ac:dyDescent="0.25">
      <c r="A95" s="152">
        <v>39</v>
      </c>
      <c r="B95" s="175" t="str">
        <f>'Pay App 1'!B95</f>
        <v>08 30 00</v>
      </c>
      <c r="C95" s="180" t="str">
        <f>'Pay App 1'!C95</f>
        <v>Specialty Doors</v>
      </c>
      <c r="D95" s="155">
        <f>'Pay App 1'!D95</f>
        <v>0</v>
      </c>
      <c r="E95" s="155">
        <f>VLOOKUP(B95,'Graph Data'!$O$2:$BX$88,37,FALSE)</f>
        <v>0</v>
      </c>
      <c r="F95" s="155">
        <f>IFERROR(E95+'Pay App 34'!F95,"")</f>
        <v>0</v>
      </c>
      <c r="G95" s="155">
        <f>SUM('Pay App 1:Pay App 34'!H95)</f>
        <v>0</v>
      </c>
      <c r="H95" s="154"/>
      <c r="I95" s="155">
        <f t="shared" si="0"/>
        <v>0</v>
      </c>
      <c r="J95" s="156">
        <f t="shared" si="1"/>
        <v>0</v>
      </c>
      <c r="K95" s="155">
        <f t="shared" si="2"/>
        <v>0</v>
      </c>
      <c r="L95" s="155" t="str">
        <f>IF(AND('Summary Sheet'!$E$23="No",$H$33&gt;0,H95&gt;=1),"",IF(AND('Summary Sheet'!$E$23="Yes",H95&lt;&gt;""),H95*'Summary Sheet'!$G$23,""))</f>
        <v/>
      </c>
      <c r="M95" s="154"/>
      <c r="N95" s="155">
        <f>SUM('Pay App 1:Pay App 35'!L95)+SUM('Pay App 1:Pay App 35'!M95)</f>
        <v>0</v>
      </c>
    </row>
    <row r="96" spans="1:14" ht="11.25" customHeight="1" x14ac:dyDescent="0.25">
      <c r="A96" s="152">
        <v>40</v>
      </c>
      <c r="B96" s="175" t="str">
        <f>'Pay App 1'!B96</f>
        <v>08 33 00</v>
      </c>
      <c r="C96" s="180" t="str">
        <f>'Pay App 1'!C96</f>
        <v>Overhead Doors/Coiling Doors</v>
      </c>
      <c r="D96" s="155">
        <f>'Pay App 1'!D96</f>
        <v>0</v>
      </c>
      <c r="E96" s="155">
        <f>VLOOKUP(B96,'Graph Data'!$O$2:$BX$88,37,FALSE)</f>
        <v>0</v>
      </c>
      <c r="F96" s="155">
        <f>IFERROR(E96+'Pay App 34'!F96,"")</f>
        <v>0</v>
      </c>
      <c r="G96" s="155">
        <f>SUM('Pay App 1:Pay App 34'!H96)</f>
        <v>0</v>
      </c>
      <c r="H96" s="154"/>
      <c r="I96" s="155">
        <f t="shared" si="0"/>
        <v>0</v>
      </c>
      <c r="J96" s="156">
        <f t="shared" si="1"/>
        <v>0</v>
      </c>
      <c r="K96" s="155">
        <f t="shared" si="2"/>
        <v>0</v>
      </c>
      <c r="L96" s="155" t="str">
        <f>IF(AND('Summary Sheet'!$E$23="No",$H$33&gt;0,H96&gt;=1),"",IF(AND('Summary Sheet'!$E$23="Yes",H96&lt;&gt;""),H96*'Summary Sheet'!$G$23,""))</f>
        <v/>
      </c>
      <c r="M96" s="154"/>
      <c r="N96" s="155">
        <f>SUM('Pay App 1:Pay App 35'!L96)+SUM('Pay App 1:Pay App 35'!M96)</f>
        <v>0</v>
      </c>
    </row>
    <row r="97" spans="1:15" ht="11.25" customHeight="1" x14ac:dyDescent="0.25">
      <c r="A97" s="152">
        <v>41</v>
      </c>
      <c r="B97" s="175" t="str">
        <f>'Pay App 1'!B97</f>
        <v>08 40 00</v>
      </c>
      <c r="C97" s="180" t="str">
        <f>'Pay App 1'!C97</f>
        <v>Curtain Wall, Glass &amp; Glazing</v>
      </c>
      <c r="D97" s="155">
        <f>'Pay App 1'!D97</f>
        <v>0</v>
      </c>
      <c r="E97" s="155">
        <f>VLOOKUP(B97,'Graph Data'!$O$2:$BX$88,37,FALSE)</f>
        <v>0</v>
      </c>
      <c r="F97" s="155">
        <f>IFERROR(E97+'Pay App 34'!F97,"")</f>
        <v>0</v>
      </c>
      <c r="G97" s="155">
        <f>SUM('Pay App 1:Pay App 34'!H97)</f>
        <v>0</v>
      </c>
      <c r="H97" s="154"/>
      <c r="I97" s="155">
        <f t="shared" si="0"/>
        <v>0</v>
      </c>
      <c r="J97" s="156">
        <f t="shared" si="1"/>
        <v>0</v>
      </c>
      <c r="K97" s="155">
        <f t="shared" si="2"/>
        <v>0</v>
      </c>
      <c r="L97" s="155" t="str">
        <f>IF(AND('Summary Sheet'!$E$23="No",$H$33&gt;0,H97&gt;=1),"",IF(AND('Summary Sheet'!$E$23="Yes",H97&lt;&gt;""),H97*'Summary Sheet'!$G$23,""))</f>
        <v/>
      </c>
      <c r="M97" s="154"/>
      <c r="N97" s="155">
        <f>SUM('Pay App 1:Pay App 35'!L97)+SUM('Pay App 1:Pay App 35'!M97)</f>
        <v>0</v>
      </c>
    </row>
    <row r="98" spans="1:15" ht="10.9" customHeight="1" x14ac:dyDescent="0.25">
      <c r="A98" s="152">
        <v>42</v>
      </c>
      <c r="B98" s="175" t="str">
        <f>'Pay App 1'!B98</f>
        <v>08 60 00</v>
      </c>
      <c r="C98" s="180" t="str">
        <f>'Pay App 1'!C98</f>
        <v>Skylights</v>
      </c>
      <c r="D98" s="155">
        <f>'Pay App 1'!D98</f>
        <v>0</v>
      </c>
      <c r="E98" s="155">
        <f>VLOOKUP(B98,'Graph Data'!$O$2:$BX$88,37,FALSE)</f>
        <v>0</v>
      </c>
      <c r="F98" s="155">
        <f>IFERROR(E98+'Pay App 34'!F98,"")</f>
        <v>0</v>
      </c>
      <c r="G98" s="155">
        <f>SUM('Pay App 1:Pay App 34'!H98)</f>
        <v>0</v>
      </c>
      <c r="H98" s="154"/>
      <c r="I98" s="155">
        <f t="shared" si="0"/>
        <v>0</v>
      </c>
      <c r="J98" s="156">
        <f t="shared" si="1"/>
        <v>0</v>
      </c>
      <c r="K98" s="155">
        <f t="shared" si="2"/>
        <v>0</v>
      </c>
      <c r="L98" s="155" t="str">
        <f>IF(AND('Summary Sheet'!$E$23="No",$H$33&gt;0,H98&gt;=1),"",IF(AND('Summary Sheet'!$E$23="Yes",H98&lt;&gt;""),H98*'Summary Sheet'!$G$23,""))</f>
        <v/>
      </c>
      <c r="M98" s="154"/>
      <c r="N98" s="155">
        <f>SUM('Pay App 1:Pay App 35'!L98)+SUM('Pay App 1:Pay App 35'!M98)</f>
        <v>0</v>
      </c>
    </row>
    <row r="99" spans="1:15" ht="10.9" customHeight="1" x14ac:dyDescent="0.25">
      <c r="A99" s="152">
        <v>43</v>
      </c>
      <c r="B99" s="175" t="str">
        <f>'Pay App 1'!B99</f>
        <v>08 90 00</v>
      </c>
      <c r="C99" s="180" t="str">
        <f>'Pay App 1'!C99</f>
        <v>Louvers &amp; Vents</v>
      </c>
      <c r="D99" s="155">
        <f>'Pay App 1'!D99</f>
        <v>0</v>
      </c>
      <c r="E99" s="155">
        <f>VLOOKUP(B99,'Graph Data'!$O$2:$BX$88,37,FALSE)</f>
        <v>0</v>
      </c>
      <c r="F99" s="155">
        <f>IFERROR(E99+'Pay App 34'!F99,"")</f>
        <v>0</v>
      </c>
      <c r="G99" s="155">
        <f>SUM('Pay App 1:Pay App 34'!H99)</f>
        <v>0</v>
      </c>
      <c r="H99" s="154"/>
      <c r="I99" s="155">
        <f t="shared" si="0"/>
        <v>0</v>
      </c>
      <c r="J99" s="156">
        <f t="shared" si="1"/>
        <v>0</v>
      </c>
      <c r="K99" s="155">
        <f t="shared" si="2"/>
        <v>0</v>
      </c>
      <c r="L99" s="155" t="str">
        <f>IF(AND('Summary Sheet'!$E$23="No",$H$33&gt;0,H99&gt;=1),"",IF(AND('Summary Sheet'!$E$23="Yes",H99&lt;&gt;""),H99*'Summary Sheet'!$G$23,""))</f>
        <v/>
      </c>
      <c r="M99" s="154"/>
      <c r="N99" s="155">
        <f>SUM('Pay App 1:Pay App 35'!L99)+SUM('Pay App 1:Pay App 35'!M99)</f>
        <v>0</v>
      </c>
    </row>
    <row r="100" spans="1:15" ht="11.25" customHeight="1" x14ac:dyDescent="0.25">
      <c r="A100" s="153">
        <v>44</v>
      </c>
      <c r="B100" s="176" t="str">
        <f>'Pay App 1'!B100</f>
        <v>09 20 00</v>
      </c>
      <c r="C100" s="181" t="str">
        <f>'Pay App 1'!C100</f>
        <v>Gypsum Board Systems</v>
      </c>
      <c r="D100" s="155">
        <f>'Pay App 1'!D100</f>
        <v>0</v>
      </c>
      <c r="E100" s="155">
        <f>VLOOKUP(B100,'Graph Data'!$O$2:$BX$88,37,FALSE)</f>
        <v>0</v>
      </c>
      <c r="F100" s="155">
        <f>IFERROR(E100+'Pay App 34'!F100,"")</f>
        <v>0</v>
      </c>
      <c r="G100" s="155">
        <f>SUM('Pay App 1:Pay App 34'!H100)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35'!L100)+SUM('Pay App 1:Pay App 35'!M100)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35.200000000000003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Data'!$O$2:$BX$88,37,FALSE)</f>
        <v>0</v>
      </c>
      <c r="F106" s="155">
        <f>IFERROR(E106+'Pay App 34'!F106,"")</f>
        <v>0</v>
      </c>
      <c r="G106" s="155">
        <f>SUM('Pay App 1:Pay App 34'!H106)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35'!L106)+SUM('Pay App 1:Pay App 35'!M106)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Data'!$O$2:$BX$88,37,FALSE)</f>
        <v>0</v>
      </c>
      <c r="F107" s="155">
        <f>IFERROR(E107+'Pay App 34'!F107,"")</f>
        <v>0</v>
      </c>
      <c r="G107" s="155">
        <f>SUM('Pay App 1:Pay App 34'!H107)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35'!L107)+SUM('Pay App 1:Pay App 35'!M107)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Data'!$O$2:$BX$88,37,FALSE)</f>
        <v>0</v>
      </c>
      <c r="F108" s="155">
        <f>IFERROR(E108+'Pay App 34'!F108,"")</f>
        <v>0</v>
      </c>
      <c r="G108" s="155">
        <f>SUM('Pay App 1:Pay App 34'!H108)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35'!L108)+SUM('Pay App 1:Pay App 35'!M108)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Data'!$O$2:$BX$88,37,FALSE)</f>
        <v>0</v>
      </c>
      <c r="F109" s="155">
        <f>IFERROR(E109+'Pay App 34'!F109,"")</f>
        <v>0</v>
      </c>
      <c r="G109" s="155">
        <f>SUM('Pay App 1:Pay App 34'!H109)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35'!L109)+SUM('Pay App 1:Pay App 35'!M109)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Data'!$O$2:$BX$88,37,FALSE)</f>
        <v>0</v>
      </c>
      <c r="F110" s="155">
        <f>IFERROR(E110+'Pay App 34'!F110,"")</f>
        <v>0</v>
      </c>
      <c r="G110" s="155">
        <f>SUM('Pay App 1:Pay App 34'!H110)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35'!L110)+SUM('Pay App 1:Pay App 35'!M110)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Data'!$O$2:$BX$88,37,FALSE)</f>
        <v>0</v>
      </c>
      <c r="F111" s="155">
        <f>IFERROR(E111+'Pay App 34'!F111,"")</f>
        <v>0</v>
      </c>
      <c r="G111" s="155">
        <f>SUM('Pay App 1:Pay App 34'!H111)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35'!L111)+SUM('Pay App 1:Pay App 35'!M111)</f>
        <v>0</v>
      </c>
    </row>
    <row r="112" spans="1:15" ht="11.25" customHeight="1" x14ac:dyDescent="0.25">
      <c r="A112" s="152">
        <f t="shared" si="3"/>
        <v>51</v>
      </c>
      <c r="B112" s="148" t="str">
        <f>'Pay App 1'!B112</f>
        <v>09 90 00</v>
      </c>
      <c r="C112" s="143" t="str">
        <f>'Pay App 1'!C112</f>
        <v>Painting</v>
      </c>
      <c r="D112" s="155">
        <f>'Pay App 1'!D112</f>
        <v>0</v>
      </c>
      <c r="E112" s="155">
        <f>VLOOKUP(B112,'Graph Data'!$O$2:$BX$88,37,FALSE)</f>
        <v>0</v>
      </c>
      <c r="F112" s="155">
        <f>IFERROR(E112+'Pay App 34'!F112,"")</f>
        <v>0</v>
      </c>
      <c r="G112" s="155">
        <f>SUM('Pay App 1:Pay App 34'!H112)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35'!L112)+SUM('Pay App 1:Pay App 35'!M112)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Data'!$O$2:$BX$88,37,FALSE)</f>
        <v>0</v>
      </c>
      <c r="F113" s="155">
        <f>IFERROR(E113+'Pay App 34'!F113,"")</f>
        <v>0</v>
      </c>
      <c r="G113" s="155">
        <f>SUM('Pay App 1:Pay App 34'!H113)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35'!L113)+SUM('Pay App 1:Pay App 35'!M113)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Data'!$O$2:$BX$88,37,FALSE)</f>
        <v>0</v>
      </c>
      <c r="F114" s="155">
        <f>IFERROR(E114+'Pay App 34'!F114,"")</f>
        <v>0</v>
      </c>
      <c r="G114" s="155">
        <f>SUM('Pay App 1:Pay App 34'!H114)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35'!L114)+SUM('Pay App 1:Pay App 35'!M114)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Data'!$O$2:$BX$88,37,FALSE)</f>
        <v>0</v>
      </c>
      <c r="F115" s="155">
        <f>IFERROR(E115+'Pay App 34'!F115,"")</f>
        <v>0</v>
      </c>
      <c r="G115" s="155">
        <f>SUM('Pay App 1:Pay App 34'!H115)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35'!L115)+SUM('Pay App 1:Pay App 35'!M115)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Data'!$O$2:$BX$88,37,FALSE)</f>
        <v>0</v>
      </c>
      <c r="F116" s="155">
        <f>IFERROR(E116+'Pay App 34'!F116,"")</f>
        <v>0</v>
      </c>
      <c r="G116" s="155">
        <f>SUM('Pay App 1:Pay App 34'!H116)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35'!L116)+SUM('Pay App 1:Pay App 35'!M116)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Data'!$O$2:$BX$88,37,FALSE)</f>
        <v>0</v>
      </c>
      <c r="F117" s="155">
        <f>IFERROR(E117+'Pay App 34'!F117,"")</f>
        <v>0</v>
      </c>
      <c r="G117" s="155">
        <f>SUM('Pay App 1:Pay App 34'!H117)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35'!L117)+SUM('Pay App 1:Pay App 35'!M117)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Data'!$O$2:$BX$88,37,FALSE)</f>
        <v>0</v>
      </c>
      <c r="F118" s="155">
        <f>IFERROR(E118+'Pay App 34'!F118,"")</f>
        <v>0</v>
      </c>
      <c r="G118" s="155">
        <f>SUM('Pay App 1:Pay App 34'!H118)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35'!L118)+SUM('Pay App 1:Pay App 35'!M118)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Data'!$O$2:$BX$88,37,FALSE)</f>
        <v>0</v>
      </c>
      <c r="F119" s="155">
        <f>IFERROR(E119+'Pay App 34'!F119,"")</f>
        <v>0</v>
      </c>
      <c r="G119" s="155">
        <f>SUM('Pay App 1:Pay App 34'!H119)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35'!L119)+SUM('Pay App 1:Pay App 35'!M119)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Data'!$O$2:$BX$88,37,FALSE)</f>
        <v>0</v>
      </c>
      <c r="F120" s="155">
        <f>IFERROR(E120+'Pay App 34'!F120,"")</f>
        <v>0</v>
      </c>
      <c r="G120" s="155">
        <f>SUM('Pay App 1:Pay App 34'!H120)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35'!L120)+SUM('Pay App 1:Pay App 35'!M120)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Data'!$O$2:$BX$88,37,FALSE)</f>
        <v>0</v>
      </c>
      <c r="F121" s="155">
        <f>IFERROR(E121+'Pay App 34'!F121,"")</f>
        <v>0</v>
      </c>
      <c r="G121" s="155">
        <f>SUM('Pay App 1:Pay App 34'!H121)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35'!L121)+SUM('Pay App 1:Pay App 35'!M121)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Data'!$O$2:$BX$88,37,FALSE)</f>
        <v>0</v>
      </c>
      <c r="F122" s="155">
        <f>IFERROR(E122+'Pay App 34'!F122,"")</f>
        <v>0</v>
      </c>
      <c r="G122" s="155">
        <f>SUM('Pay App 1:Pay App 34'!H122)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35'!L122)+SUM('Pay App 1:Pay App 35'!M122)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Data'!$O$2:$BX$88,37,FALSE)</f>
        <v>0</v>
      </c>
      <c r="F123" s="155">
        <f>IFERROR(E123+'Pay App 34'!F123,"")</f>
        <v>0</v>
      </c>
      <c r="G123" s="155">
        <f>SUM('Pay App 1:Pay App 34'!H123)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35'!L123)+SUM('Pay App 1:Pay App 35'!M123)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Data'!$O$2:$BX$88,37,FALSE)</f>
        <v>0</v>
      </c>
      <c r="F124" s="155">
        <f>IFERROR(E124+'Pay App 34'!F124,"")</f>
        <v>0</v>
      </c>
      <c r="G124" s="155">
        <f>SUM('Pay App 1:Pay App 34'!H124)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35'!L124)+SUM('Pay App 1:Pay App 35'!M124)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Data'!$O$2:$BX$88,37,FALSE)</f>
        <v>0</v>
      </c>
      <c r="F125" s="155">
        <f>IFERROR(E125+'Pay App 34'!F125,"")</f>
        <v>0</v>
      </c>
      <c r="G125" s="155">
        <f>SUM('Pay App 1:Pay App 34'!H125)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35'!L125)+SUM('Pay App 1:Pay App 35'!M125)</f>
        <v>0</v>
      </c>
    </row>
    <row r="126" spans="1:14" ht="11.25" customHeight="1" x14ac:dyDescent="0.25">
      <c r="A126" s="152">
        <f t="shared" si="3"/>
        <v>65</v>
      </c>
      <c r="B126" s="188" t="str">
        <f>'Pay App 1'!B126</f>
        <v>14 20 00</v>
      </c>
      <c r="C126" s="194" t="str">
        <f>'Pay App 1'!C126</f>
        <v>Elevator</v>
      </c>
      <c r="D126" s="155">
        <f>'Pay App 1'!D126</f>
        <v>0</v>
      </c>
      <c r="E126" s="155">
        <f>VLOOKUP(B126,'Graph Data'!$O$2:$BX$88,37,FALSE)</f>
        <v>0</v>
      </c>
      <c r="F126" s="155">
        <f>IFERROR(E126+'Pay App 34'!F126,"")</f>
        <v>0</v>
      </c>
      <c r="G126" s="155">
        <f>SUM('Pay App 1:Pay App 34'!H126)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35'!L126)+SUM('Pay App 1:Pay App 35'!M126)</f>
        <v>0</v>
      </c>
    </row>
    <row r="127" spans="1:14" ht="11.25" customHeight="1" x14ac:dyDescent="0.25">
      <c r="A127" s="152">
        <f t="shared" si="3"/>
        <v>66</v>
      </c>
      <c r="B127" s="188" t="str">
        <f>'Pay App 1'!B127</f>
        <v>14 40 00</v>
      </c>
      <c r="C127" s="194" t="str">
        <f>'Pay App 1'!C127</f>
        <v>Lifts</v>
      </c>
      <c r="D127" s="155">
        <f>'Pay App 1'!D127</f>
        <v>0</v>
      </c>
      <c r="E127" s="155">
        <f>VLOOKUP(B127,'Graph Data'!$O$2:$BX$88,37,FALSE)</f>
        <v>0</v>
      </c>
      <c r="F127" s="155">
        <f>IFERROR(E127+'Pay App 34'!F127,"")</f>
        <v>0</v>
      </c>
      <c r="G127" s="155">
        <f>SUM('Pay App 1:Pay App 34'!H127)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35'!L127)+SUM('Pay App 1:Pay App 35'!M127)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Data'!$O$2:$BX$88,37,FALSE)</f>
        <v>0</v>
      </c>
      <c r="F128" s="155">
        <f>IFERROR(E128+'Pay App 34'!F128,"")</f>
        <v>0</v>
      </c>
      <c r="G128" s="155">
        <f>SUM('Pay App 1:Pay App 34'!H128)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35'!L128)+SUM('Pay App 1:Pay App 35'!M128)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Data'!$O$2:$BX$88,37,FALSE)</f>
        <v>0</v>
      </c>
      <c r="F129" s="155">
        <f>IFERROR(E129+'Pay App 34'!F129,"")</f>
        <v>0</v>
      </c>
      <c r="G129" s="155">
        <f>SUM('Pay App 1:Pay App 34'!H129)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35'!L129)+SUM('Pay App 1:Pay App 35'!M129)</f>
        <v>0</v>
      </c>
    </row>
    <row r="130" spans="1:14" ht="11.25" customHeight="1" x14ac:dyDescent="0.25">
      <c r="A130" s="152">
        <f t="shared" si="3"/>
        <v>69</v>
      </c>
      <c r="B130" s="185" t="str">
        <f>'Pay App 1'!B130</f>
        <v>22 00 00</v>
      </c>
      <c r="C130" s="191" t="str">
        <f>'Pay App 1'!C130</f>
        <v>Plumbing</v>
      </c>
      <c r="D130" s="155">
        <f>'Pay App 1'!D130</f>
        <v>0</v>
      </c>
      <c r="E130" s="155">
        <f>VLOOKUP(B130,'Graph Data'!$O$2:$BX$88,37,FALSE)</f>
        <v>0</v>
      </c>
      <c r="F130" s="155">
        <f>IFERROR(E130+'Pay App 34'!F130,"")</f>
        <v>0</v>
      </c>
      <c r="G130" s="155">
        <f>SUM('Pay App 1:Pay App 34'!H130)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35'!L130)+SUM('Pay App 1:Pay App 35'!M130)</f>
        <v>0</v>
      </c>
    </row>
    <row r="131" spans="1:14" ht="11.25" customHeight="1" x14ac:dyDescent="0.25">
      <c r="A131" s="152">
        <f t="shared" si="3"/>
        <v>70</v>
      </c>
      <c r="B131" s="186" t="str">
        <f>'Pay App 1'!B131</f>
        <v>23 00 00</v>
      </c>
      <c r="C131" s="192" t="str">
        <f>'Pay App 1'!C131</f>
        <v>HVAC</v>
      </c>
      <c r="D131" s="155">
        <f>'Pay App 1'!D131</f>
        <v>0</v>
      </c>
      <c r="E131" s="155">
        <f>VLOOKUP(B131,'Graph Data'!$O$2:$BX$88,37,FALSE)</f>
        <v>0</v>
      </c>
      <c r="F131" s="155">
        <f>IFERROR(E131+'Pay App 34'!F131,"")</f>
        <v>0</v>
      </c>
      <c r="G131" s="155">
        <f>SUM('Pay App 1:Pay App 34'!H131)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35'!L131)+SUM('Pay App 1:Pay App 35'!M131)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Data'!$O$2:$BX$88,37,FALSE)</f>
        <v>0</v>
      </c>
      <c r="F132" s="155">
        <f>IFERROR(E132+'Pay App 34'!F132,"")</f>
        <v>0</v>
      </c>
      <c r="G132" s="155">
        <f>SUM('Pay App 1:Pay App 34'!H132)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35'!L132)+SUM('Pay App 1:Pay App 35'!M132)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Data'!$O$2:$BX$88,37,FALSE)</f>
        <v>0</v>
      </c>
      <c r="F133" s="155">
        <f>IFERROR(E133+'Pay App 34'!F133,"")</f>
        <v>0</v>
      </c>
      <c r="G133" s="155">
        <f>SUM('Pay App 1:Pay App 34'!H133)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35'!L133)+SUM('Pay App 1:Pay App 35'!M133)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Data'!$O$2:$BX$88,37,FALSE)</f>
        <v>0</v>
      </c>
      <c r="F134" s="155">
        <f>IFERROR(E134+'Pay App 34'!F134,"")</f>
        <v>0</v>
      </c>
      <c r="G134" s="155">
        <f>SUM('Pay App 1:Pay App 34'!H134)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35'!L134)+SUM('Pay App 1:Pay App 35'!M134)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Data'!$O$2:$BX$88,37,FALSE)</f>
        <v>0</v>
      </c>
      <c r="F135" s="155">
        <f>IFERROR(E135+'Pay App 34'!F135,"")</f>
        <v>0</v>
      </c>
      <c r="G135" s="155">
        <f>SUM('Pay App 1:Pay App 34'!H135)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35'!L135)+SUM('Pay App 1:Pay App 35'!M135)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Data'!$O$2:$BX$88,37,FALSE)</f>
        <v>0</v>
      </c>
      <c r="F136" s="155">
        <f>IFERROR(E136+'Pay App 34'!F136,"")</f>
        <v>0</v>
      </c>
      <c r="G136" s="155">
        <f>SUM('Pay App 1:Pay App 34'!H136)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35'!L136)+SUM('Pay App 1:Pay App 35'!M136)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Data'!$O$2:$BX$88,37,FALSE)</f>
        <v>0</v>
      </c>
      <c r="F137" s="155">
        <f>IFERROR(E137+'Pay App 34'!F137,"")</f>
        <v>0</v>
      </c>
      <c r="G137" s="155">
        <f>SUM('Pay App 1:Pay App 34'!H137)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35'!L137)+SUM('Pay App 1:Pay App 35'!M137)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Data'!$O$2:$BX$88,37,FALSE)</f>
        <v>0</v>
      </c>
      <c r="F138" s="155">
        <f>IFERROR(E138+'Pay App 34'!F138,"")</f>
        <v>0</v>
      </c>
      <c r="G138" s="155">
        <f>SUM('Pay App 1:Pay App 34'!H138)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35'!L138)+SUM('Pay App 1:Pay App 35'!M138)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Data'!$O$2:$BX$88,37,FALSE)</f>
        <v>0</v>
      </c>
      <c r="F139" s="155">
        <f>IFERROR(E139+'Pay App 34'!F139,"")</f>
        <v>0</v>
      </c>
      <c r="G139" s="155">
        <f>SUM('Pay App 1:Pay App 34'!H139)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35'!L139)+SUM('Pay App 1:Pay App 35'!M139)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Data'!$O$2:$BX$88,37,FALSE)</f>
        <v>0</v>
      </c>
      <c r="F140" s="155">
        <f>IFERROR(E140+'Pay App 34'!F140,"")</f>
        <v>0</v>
      </c>
      <c r="G140" s="155">
        <f>SUM('Pay App 1:Pay App 34'!H140)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35'!L140)+SUM('Pay App 1:Pay App 35'!M140)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Data'!$O$2:$BX$88,37,FALSE)</f>
        <v>0</v>
      </c>
      <c r="F141" s="155">
        <f>IFERROR(E141+'Pay App 34'!F141,"")</f>
        <v>0</v>
      </c>
      <c r="G141" s="155">
        <f>SUM('Pay App 1:Pay App 34'!H141)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35'!L141)+SUM('Pay App 1:Pay App 35'!M141)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Data'!$O$2:$BX$88,37,FALSE)</f>
        <v>0</v>
      </c>
      <c r="F142" s="155">
        <f>IFERROR(E142+'Pay App 34'!F142,"")</f>
        <v>0</v>
      </c>
      <c r="G142" s="155">
        <f>SUM('Pay App 1:Pay App 34'!H142)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35'!L142)+SUM('Pay App 1:Pay App 35'!M142)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Data'!$O$2:$BX$88,37,FALSE)</f>
        <v>0</v>
      </c>
      <c r="F143" s="155">
        <f>IFERROR(E143+'Pay App 34'!F143,"")</f>
        <v>0</v>
      </c>
      <c r="G143" s="155">
        <f>SUM('Pay App 1:Pay App 34'!H143)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35'!L143)+SUM('Pay App 1:Pay App 35'!M143)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Data'!$O$2:$BX$88,37,FALSE)</f>
        <v>0</v>
      </c>
      <c r="F144" s="155">
        <f>IFERROR(E144+'Pay App 34'!F144,"")</f>
        <v>0</v>
      </c>
      <c r="G144" s="155">
        <f>SUM('Pay App 1:Pay App 34'!H144)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35'!L144)+SUM('Pay App 1:Pay App 35'!M144)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Data'!$O$2:$BX$88,37,FALSE)</f>
        <v>0</v>
      </c>
      <c r="F145" s="155">
        <f>IFERROR(E145+'Pay App 34'!F145,"")</f>
        <v>0</v>
      </c>
      <c r="G145" s="155">
        <f>SUM('Pay App 1:Pay App 34'!H145)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35'!L145)+SUM('Pay App 1:Pay App 35'!M145)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Data'!$O$2:$BX$88,37,FALSE)</f>
        <v>0</v>
      </c>
      <c r="F146" s="155">
        <f>IFERROR(E146+'Pay App 34'!F146,"")</f>
        <v>0</v>
      </c>
      <c r="G146" s="155">
        <f>SUM('Pay App 1:Pay App 34'!H146)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35'!L146)+SUM('Pay App 1:Pay App 35'!M146)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Data'!$O$2:$BX$88,37,FALSE)</f>
        <v>0</v>
      </c>
      <c r="F147" s="155">
        <f>IFERROR(E147+'Pay App 34'!F147,"")</f>
        <v>0</v>
      </c>
      <c r="G147" s="155">
        <f>SUM('Pay App 1:Pay App 34'!H147)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35'!L147)+SUM('Pay App 1:Pay App 35'!M147)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Data'!$O$2:$BX$88,37,FALSE)</f>
        <v>0</v>
      </c>
      <c r="F148" s="155">
        <f>IFERROR(E148+'Pay App 34'!F148,"")</f>
        <v>0</v>
      </c>
      <c r="G148" s="155">
        <f>SUM('Pay App 1:Pay App 34'!H148)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35'!L148)+SUM('Pay App 1:Pay App 35'!M148)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PK7aM+YXkGhjhflGBX4jo4oFUKKPtkMbmOatnZaCmf5RjQywlGtJcoiAibzDc2I+A+EWPL5kIeoTXA0Qoaoww==" saltValue="XRctaEuaR17oSvQBtTAcD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85" priority="2" operator="equal">
      <formula>0</formula>
    </cfRule>
  </conditionalFormatting>
  <conditionalFormatting sqref="D106:G148">
    <cfRule type="cellIs" dxfId="284" priority="1" operator="equal">
      <formula>0</formula>
    </cfRule>
  </conditionalFormatting>
  <conditionalFormatting sqref="D10:H10 D12:H14 D19:H21">
    <cfRule type="cellIs" dxfId="283" priority="6" operator="equal">
      <formula>0</formula>
    </cfRule>
  </conditionalFormatting>
  <conditionalFormatting sqref="H51">
    <cfRule type="cellIs" dxfId="282" priority="9" operator="lessThan">
      <formula>0</formula>
    </cfRule>
  </conditionalFormatting>
  <conditionalFormatting sqref="I57:I100 K57:K100 I106:I148 K106:K148 N106:N148">
    <cfRule type="cellIs" dxfId="281" priority="14" operator="equal">
      <formula>0</formula>
    </cfRule>
  </conditionalFormatting>
  <conditionalFormatting sqref="J57:J100 J106:J149">
    <cfRule type="cellIs" dxfId="280" priority="11" operator="greaterThan">
      <formula>1</formula>
    </cfRule>
    <cfRule type="cellIs" dxfId="279" priority="12" operator="equal">
      <formula>0</formula>
    </cfRule>
  </conditionalFormatting>
  <conditionalFormatting sqref="K57:K100 K106:K148">
    <cfRule type="cellIs" dxfId="278" priority="10" operator="lessThan">
      <formula>0</formula>
    </cfRule>
  </conditionalFormatting>
  <conditionalFormatting sqref="M57:M100">
    <cfRule type="cellIs" dxfId="277" priority="13" operator="lessThan">
      <formula>0</formula>
    </cfRule>
  </conditionalFormatting>
  <conditionalFormatting sqref="M106:M148">
    <cfRule type="cellIs" dxfId="276" priority="8" operator="lessThan">
      <formula>0</formula>
    </cfRule>
  </conditionalFormatting>
  <conditionalFormatting sqref="N57:N100">
    <cfRule type="cellIs" dxfId="27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70CA06B-6CF5-4F28-95FB-553EF18089E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49FF1-64AB-449B-AE39-81A2A2F96D4E}">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36.1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Data'!$O$2:$BX$88,38,FALSE)</f>
        <v>0</v>
      </c>
      <c r="F57" s="155">
        <f>IFERROR(E57+'Pay App 35'!F57,"")</f>
        <v>0</v>
      </c>
      <c r="G57" s="155">
        <f>SUM('Pay App 1:Pay App 35'!H57)</f>
        <v>0</v>
      </c>
      <c r="H57" s="154"/>
      <c r="I57" s="155">
        <f>G57+H57</f>
        <v>0</v>
      </c>
      <c r="J57" s="156">
        <f>IFERROR(I57/F57,0)</f>
        <v>0</v>
      </c>
      <c r="K57" s="155">
        <f>IFERROR(F57-I57,"")</f>
        <v>0</v>
      </c>
      <c r="L57" s="155" t="str">
        <f>IF(AND('Summary Sheet'!$E$23="No",$H$33&gt;0,H57&gt;=1),"",IF(AND('Summary Sheet'!$E$23="Yes",H57&lt;&gt;""),H57*'Summary Sheet'!$G$23,""))</f>
        <v/>
      </c>
      <c r="M57" s="154"/>
      <c r="N57" s="155">
        <f>SUM('Pay App 1:Pay App 36'!L57)+SUM('Pay App 1:Pay App 36'!M57)</f>
        <v>0</v>
      </c>
    </row>
    <row r="58" spans="1:16" ht="11.25" customHeight="1" x14ac:dyDescent="0.25">
      <c r="A58" s="152">
        <v>2</v>
      </c>
      <c r="B58" s="145" t="str">
        <f>'Pay App 1'!B58</f>
        <v>00 02 00</v>
      </c>
      <c r="C58" s="134" t="str">
        <f>'Pay App 1'!C58</f>
        <v>Preconstruction Services</v>
      </c>
      <c r="D58" s="155">
        <f>'Pay App 1'!D58</f>
        <v>0</v>
      </c>
      <c r="E58" s="155">
        <f>VLOOKUP(B58,'Graph Data'!$O$2:$BX$88,38,FALSE)</f>
        <v>0</v>
      </c>
      <c r="F58" s="155">
        <f>IFERROR(E58+'Pay App 35'!F58,"")</f>
        <v>0</v>
      </c>
      <c r="G58" s="155">
        <f>SUM('Pay App 1:Pay App 35'!H58)</f>
        <v>0</v>
      </c>
      <c r="H58" s="154"/>
      <c r="I58" s="155">
        <f>G58+H58</f>
        <v>0</v>
      </c>
      <c r="J58" s="156">
        <f>IFERROR(I58/F58,0)</f>
        <v>0</v>
      </c>
      <c r="K58" s="155">
        <f>IFERROR(F58-I58,"")</f>
        <v>0</v>
      </c>
      <c r="L58" s="155" t="str">
        <f>IF(AND('Summary Sheet'!$E$23="No",$H$33&gt;0,H58&gt;=1),"",IF(AND('Summary Sheet'!$E$23="Yes",H58&lt;&gt;""),H58*'Summary Sheet'!$G$23,""))</f>
        <v/>
      </c>
      <c r="M58" s="154"/>
      <c r="N58" s="155">
        <f>SUM('Pay App 1:Pay App 36'!L58)+SUM('Pay App 1:Pay App 36'!M58)</f>
        <v>0</v>
      </c>
    </row>
    <row r="59" spans="1:16" ht="11.25" customHeight="1" x14ac:dyDescent="0.25">
      <c r="A59" s="152">
        <v>3</v>
      </c>
      <c r="B59" s="174" t="str">
        <f>'Pay App 1'!B59</f>
        <v>01 00 00</v>
      </c>
      <c r="C59" s="179" t="str">
        <f>'Pay App 1'!C59</f>
        <v>General Conditions/Requirements</v>
      </c>
      <c r="D59" s="155">
        <f>'Pay App 1'!D59</f>
        <v>0</v>
      </c>
      <c r="E59" s="155">
        <f>VLOOKUP(B59,'Graph Data'!$O$2:$BX$88,38,FALSE)</f>
        <v>0</v>
      </c>
      <c r="F59" s="155">
        <f>IFERROR(E59+'Pay App 35'!F59,"")</f>
        <v>0</v>
      </c>
      <c r="G59" s="155">
        <f>SUM('Pay App 1:Pay App 35'!H59)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36'!L59)+SUM('Pay App 1:Pay App 36'!M59)</f>
        <v>0</v>
      </c>
    </row>
    <row r="60" spans="1:16" ht="11.25" customHeight="1" x14ac:dyDescent="0.25">
      <c r="A60" s="152">
        <v>4</v>
      </c>
      <c r="B60" s="174" t="str">
        <f>'Pay App 1'!B60</f>
        <v>01 13 41</v>
      </c>
      <c r="C60" s="179" t="str">
        <f>'Pay App 1'!C60</f>
        <v>Temp. Scaffolding and Platforms</v>
      </c>
      <c r="D60" s="155">
        <f>'Pay App 1'!D60</f>
        <v>0</v>
      </c>
      <c r="E60" s="155">
        <f>VLOOKUP(B60,'Graph Data'!$O$2:$BX$88,38,FALSE)</f>
        <v>0</v>
      </c>
      <c r="F60" s="155">
        <f>IFERROR(E60+'Pay App 35'!F60,"")</f>
        <v>0</v>
      </c>
      <c r="G60" s="155">
        <f>SUM('Pay App 1:Pay App 35'!H60)</f>
        <v>0</v>
      </c>
      <c r="H60" s="154"/>
      <c r="I60" s="155">
        <f t="shared" si="0"/>
        <v>0</v>
      </c>
      <c r="J60" s="156">
        <f t="shared" si="1"/>
        <v>0</v>
      </c>
      <c r="K60" s="155">
        <f t="shared" si="2"/>
        <v>0</v>
      </c>
      <c r="L60" s="155" t="str">
        <f>IF(AND('Summary Sheet'!$E$23="No",$H$33&gt;0,H60&gt;=1),"",IF(AND('Summary Sheet'!$E$23="Yes",H60&lt;&gt;""),H60*'Summary Sheet'!$G$23,""))</f>
        <v/>
      </c>
      <c r="M60" s="154"/>
      <c r="N60" s="155">
        <f>SUM('Pay App 1:Pay App 36'!L60)+SUM('Pay App 1:Pay App 36'!M60)</f>
        <v>0</v>
      </c>
    </row>
    <row r="61" spans="1:16" ht="11.25" customHeight="1" x14ac:dyDescent="0.25">
      <c r="A61" s="152">
        <v>5</v>
      </c>
      <c r="B61" s="174" t="str">
        <f>'Pay App 1'!B61</f>
        <v>01 13 60</v>
      </c>
      <c r="C61" s="179" t="str">
        <f>'Pay App 1'!C61</f>
        <v>SWPPP</v>
      </c>
      <c r="D61" s="155">
        <f>'Pay App 1'!D61</f>
        <v>0</v>
      </c>
      <c r="E61" s="155">
        <f>VLOOKUP(B61,'Graph Data'!$O$2:$BX$88,38,FALSE)</f>
        <v>0</v>
      </c>
      <c r="F61" s="155">
        <f>IFERROR(E61+'Pay App 35'!F61,"")</f>
        <v>0</v>
      </c>
      <c r="G61" s="155">
        <f>SUM('Pay App 1:Pay App 35'!H61)</f>
        <v>0</v>
      </c>
      <c r="H61" s="154"/>
      <c r="I61" s="155">
        <f t="shared" si="0"/>
        <v>0</v>
      </c>
      <c r="J61" s="156">
        <f t="shared" si="1"/>
        <v>0</v>
      </c>
      <c r="K61" s="155">
        <f t="shared" si="2"/>
        <v>0</v>
      </c>
      <c r="L61" s="155" t="str">
        <f>IF(AND('Summary Sheet'!$E$23="No",$H$33&gt;0,H61&gt;=1),"",IF(AND('Summary Sheet'!$E$23="Yes",H61&lt;&gt;""),H61*'Summary Sheet'!$G$23,""))</f>
        <v/>
      </c>
      <c r="M61" s="154"/>
      <c r="N61" s="155">
        <f>SUM('Pay App 1:Pay App 36'!L61)+SUM('Pay App 1:Pay App 36'!M61)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Data'!$O$2:$BX$88,38,FALSE)</f>
        <v>0</v>
      </c>
      <c r="F62" s="155">
        <f>IFERROR(E62+'Pay App 35'!F62,"")</f>
        <v>0</v>
      </c>
      <c r="G62" s="155">
        <f>SUM('Pay App 1:Pay App 35'!H62)</f>
        <v>0</v>
      </c>
      <c r="H62" s="154"/>
      <c r="I62" s="155">
        <f t="shared" si="0"/>
        <v>0</v>
      </c>
      <c r="J62" s="156">
        <f t="shared" si="1"/>
        <v>0</v>
      </c>
      <c r="K62" s="155">
        <f t="shared" si="2"/>
        <v>0</v>
      </c>
      <c r="L62" s="155" t="str">
        <f>IF(AND('Summary Sheet'!$E$23="No",$H$33&gt;0,H62&gt;=1),"",IF(AND('Summary Sheet'!$E$23="Yes",H62&lt;&gt;""),H62*'Summary Sheet'!$G$23,""))</f>
        <v/>
      </c>
      <c r="M62" s="154"/>
      <c r="N62" s="155">
        <f>SUM('Pay App 1:Pay App 36'!L62)+SUM('Pay App 1:Pay App 36'!M62)</f>
        <v>0</v>
      </c>
    </row>
    <row r="63" spans="1:16" ht="11.25" customHeight="1" x14ac:dyDescent="0.25">
      <c r="A63" s="152">
        <v>7</v>
      </c>
      <c r="B63" s="174" t="str">
        <f>'Pay App 1'!B63</f>
        <v>01 31 00</v>
      </c>
      <c r="C63" s="179" t="str">
        <f>'Pay App 1'!C63</f>
        <v>Contractor's Supervision</v>
      </c>
      <c r="D63" s="155">
        <f>'Pay App 1'!D63</f>
        <v>0</v>
      </c>
      <c r="E63" s="155">
        <f>VLOOKUP(B63,'Graph Data'!$O$2:$BX$88,38,FALSE)</f>
        <v>0</v>
      </c>
      <c r="F63" s="155">
        <f>IFERROR(E63+'Pay App 35'!F63,"")</f>
        <v>0</v>
      </c>
      <c r="G63" s="155">
        <f>SUM('Pay App 1:Pay App 35'!H63)</f>
        <v>0</v>
      </c>
      <c r="H63" s="154"/>
      <c r="I63" s="155">
        <f t="shared" si="0"/>
        <v>0</v>
      </c>
      <c r="J63" s="156">
        <f t="shared" si="1"/>
        <v>0</v>
      </c>
      <c r="K63" s="155">
        <f t="shared" si="2"/>
        <v>0</v>
      </c>
      <c r="L63" s="155" t="str">
        <f>IF(AND('Summary Sheet'!$E$23="No",$H$33&gt;0,H63&gt;=1),"",IF(AND('Summary Sheet'!$E$23="Yes",H63&lt;&gt;""),H63*'Summary Sheet'!$G$23,""))</f>
        <v/>
      </c>
      <c r="M63" s="154"/>
      <c r="N63" s="155">
        <f>SUM('Pay App 1:Pay App 36'!L63)+SUM('Pay App 1:Pay App 36'!M63)</f>
        <v>0</v>
      </c>
    </row>
    <row r="64" spans="1:16" ht="11.25" customHeight="1" x14ac:dyDescent="0.25">
      <c r="A64" s="152">
        <v>8</v>
      </c>
      <c r="B64" s="174" t="str">
        <f>'Pay App 1'!B64</f>
        <v>01 32 00</v>
      </c>
      <c r="C64" s="179" t="str">
        <f>'Pay App 1'!C64</f>
        <v>General Liability Insurance</v>
      </c>
      <c r="D64" s="155">
        <f>'Pay App 1'!D64</f>
        <v>0</v>
      </c>
      <c r="E64" s="155">
        <f>VLOOKUP(B64,'Graph Data'!$O$2:$BX$88,38,FALSE)</f>
        <v>0</v>
      </c>
      <c r="F64" s="155">
        <f>IFERROR(E64+'Pay App 35'!F64,"")</f>
        <v>0</v>
      </c>
      <c r="G64" s="155">
        <f>SUM('Pay App 1:Pay App 35'!H64)</f>
        <v>0</v>
      </c>
      <c r="H64" s="154"/>
      <c r="I64" s="155">
        <f t="shared" si="0"/>
        <v>0</v>
      </c>
      <c r="J64" s="156">
        <f t="shared" si="1"/>
        <v>0</v>
      </c>
      <c r="K64" s="155">
        <f t="shared" si="2"/>
        <v>0</v>
      </c>
      <c r="L64" s="155" t="str">
        <f>IF(AND('Summary Sheet'!$E$23="No",$H$33&gt;0,H64&gt;=1),"",IF(AND('Summary Sheet'!$E$23="Yes",H64&lt;&gt;""),H64*'Summary Sheet'!$G$23,""))</f>
        <v/>
      </c>
      <c r="M64" s="154"/>
      <c r="N64" s="155">
        <f>SUM('Pay App 1:Pay App 36'!L64)+SUM('Pay App 1:Pay App 36'!M64)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Data'!$O$2:$BX$88,38,FALSE)</f>
        <v>0</v>
      </c>
      <c r="F65" s="155">
        <f>IFERROR(E65+'Pay App 35'!F65,"")</f>
        <v>0</v>
      </c>
      <c r="G65" s="155">
        <f>SUM('Pay App 1:Pay App 35'!H65)</f>
        <v>0</v>
      </c>
      <c r="H65" s="154"/>
      <c r="I65" s="155">
        <f t="shared" si="0"/>
        <v>0</v>
      </c>
      <c r="J65" s="156">
        <f t="shared" si="1"/>
        <v>0</v>
      </c>
      <c r="K65" s="155">
        <f t="shared" si="2"/>
        <v>0</v>
      </c>
      <c r="L65" s="155" t="str">
        <f>IF(AND('Summary Sheet'!$E$23="No",$H$33&gt;0,H65&gt;=1),"",IF(AND('Summary Sheet'!$E$23="Yes",H65&lt;&gt;""),H65*'Summary Sheet'!$G$23,""))</f>
        <v/>
      </c>
      <c r="M65" s="154"/>
      <c r="N65" s="155">
        <f>SUM('Pay App 1:Pay App 36'!L65)+SUM('Pay App 1:Pay App 36'!M65)</f>
        <v>0</v>
      </c>
    </row>
    <row r="66" spans="1:17" ht="11.25" customHeight="1" x14ac:dyDescent="0.25">
      <c r="A66" s="152">
        <v>10</v>
      </c>
      <c r="B66" s="174" t="str">
        <f>'Pay App 1'!B66</f>
        <v>01 34 00</v>
      </c>
      <c r="C66" s="179" t="str">
        <f>'Pay App 1'!C66</f>
        <v>Subcontractor Default Insurance</v>
      </c>
      <c r="D66" s="155">
        <f>'Pay App 1'!D66</f>
        <v>0</v>
      </c>
      <c r="E66" s="155">
        <f>VLOOKUP(B66,'Graph Data'!$O$2:$BX$88,38,FALSE)</f>
        <v>0</v>
      </c>
      <c r="F66" s="155">
        <f>IFERROR(E66+'Pay App 35'!F66,"")</f>
        <v>0</v>
      </c>
      <c r="G66" s="155">
        <f>SUM('Pay App 1:Pay App 35'!H66)</f>
        <v>0</v>
      </c>
      <c r="H66" s="154"/>
      <c r="I66" s="155">
        <f t="shared" si="0"/>
        <v>0</v>
      </c>
      <c r="J66" s="156">
        <f t="shared" si="1"/>
        <v>0</v>
      </c>
      <c r="K66" s="155">
        <f t="shared" si="2"/>
        <v>0</v>
      </c>
      <c r="L66" s="155" t="str">
        <f>IF(AND('Summary Sheet'!$E$23="No",$H$33&gt;0,H66&gt;=1),"",IF(AND('Summary Sheet'!$E$23="Yes",H66&lt;&gt;""),H66*'Summary Sheet'!$G$23,""))</f>
        <v/>
      </c>
      <c r="M66" s="154"/>
      <c r="N66" s="155">
        <f>SUM('Pay App 1:Pay App 36'!L66)+SUM('Pay App 1:Pay App 36'!M66)</f>
        <v>0</v>
      </c>
    </row>
    <row r="67" spans="1:17" ht="11.25" customHeight="1" x14ac:dyDescent="0.25">
      <c r="A67" s="152">
        <v>11</v>
      </c>
      <c r="B67" s="174" t="str">
        <f>'Pay App 1'!B67</f>
        <v>01 35 00</v>
      </c>
      <c r="C67" s="179" t="str">
        <f>'Pay App 1'!C67</f>
        <v>Construction Management Fee</v>
      </c>
      <c r="D67" s="155">
        <f>'Pay App 1'!D67</f>
        <v>0</v>
      </c>
      <c r="E67" s="155">
        <f>VLOOKUP(B67,'Graph Data'!$O$2:$BX$88,38,FALSE)</f>
        <v>0</v>
      </c>
      <c r="F67" s="155">
        <f>IFERROR(E67+'Pay App 35'!F67,"")</f>
        <v>0</v>
      </c>
      <c r="G67" s="155">
        <f>SUM('Pay App 1:Pay App 35'!H67)</f>
        <v>0</v>
      </c>
      <c r="H67" s="154"/>
      <c r="I67" s="155">
        <f t="shared" si="0"/>
        <v>0</v>
      </c>
      <c r="J67" s="156">
        <f t="shared" si="1"/>
        <v>0</v>
      </c>
      <c r="K67" s="155">
        <f t="shared" si="2"/>
        <v>0</v>
      </c>
      <c r="L67" s="155" t="str">
        <f>IF(AND('Summary Sheet'!$E$23="No",$H$33&gt;0,H67&gt;=1),"",IF(AND('Summary Sheet'!$E$23="Yes",H67&lt;&gt;""),H67*'Summary Sheet'!$G$23,""))</f>
        <v/>
      </c>
      <c r="M67" s="154"/>
      <c r="N67" s="155">
        <f>SUM('Pay App 1:Pay App 36'!L67)+SUM('Pay App 1:Pay App 36'!M67)</f>
        <v>0</v>
      </c>
    </row>
    <row r="68" spans="1:17" ht="11.25" customHeight="1" x14ac:dyDescent="0.25">
      <c r="A68" s="152">
        <v>12</v>
      </c>
      <c r="B68" s="174" t="str">
        <f>'Pay App 1'!B68</f>
        <v>01 36 00</v>
      </c>
      <c r="C68" s="179" t="str">
        <f>'Pay App 1'!C68</f>
        <v>Contingency</v>
      </c>
      <c r="D68" s="155">
        <f>'Pay App 1'!D68</f>
        <v>0</v>
      </c>
      <c r="E68" s="155">
        <f>VLOOKUP(B68,'Graph Data'!$O$2:$BX$88,38,FALSE)</f>
        <v>0</v>
      </c>
      <c r="F68" s="155">
        <f>IFERROR(E68+'Pay App 35'!F68,"")</f>
        <v>0</v>
      </c>
      <c r="G68" s="155">
        <f>SUM('Pay App 1:Pay App 35'!H68)</f>
        <v>0</v>
      </c>
      <c r="H68" s="154"/>
      <c r="I68" s="155">
        <f t="shared" si="0"/>
        <v>0</v>
      </c>
      <c r="J68" s="156">
        <f t="shared" si="1"/>
        <v>0</v>
      </c>
      <c r="K68" s="155">
        <f t="shared" si="2"/>
        <v>0</v>
      </c>
      <c r="L68" s="155" t="str">
        <f>IF(AND('Summary Sheet'!$E$23="No",$H$33&gt;0,H68&gt;=1),"",IF(AND('Summary Sheet'!$E$23="Yes",H68&lt;&gt;""),H68*'Summary Sheet'!$G$23,""))</f>
        <v/>
      </c>
      <c r="M68" s="154"/>
      <c r="N68" s="155">
        <f>SUM('Pay App 1:Pay App 36'!L68)+SUM('Pay App 1:Pay App 36'!M68)</f>
        <v>0</v>
      </c>
    </row>
    <row r="69" spans="1:17" ht="11.25" customHeight="1" x14ac:dyDescent="0.25">
      <c r="A69" s="152">
        <v>13</v>
      </c>
      <c r="B69" s="174" t="str">
        <f>'Pay App 1'!B69</f>
        <v>01 37 00</v>
      </c>
      <c r="C69" s="179" t="str">
        <f>'Pay App 1'!C69</f>
        <v>Weather Allowance (All Trades)</v>
      </c>
      <c r="D69" s="155">
        <f>'Pay App 1'!D69</f>
        <v>0</v>
      </c>
      <c r="E69" s="155">
        <f>VLOOKUP(B69,'Graph Data'!$O$2:$BX$88,38,FALSE)</f>
        <v>0</v>
      </c>
      <c r="F69" s="155">
        <f>IFERROR(E69+'Pay App 35'!F69,"")</f>
        <v>0</v>
      </c>
      <c r="G69" s="155">
        <f>SUM('Pay App 1:Pay App 35'!H69)</f>
        <v>0</v>
      </c>
      <c r="H69" s="154"/>
      <c r="I69" s="155">
        <f t="shared" si="0"/>
        <v>0</v>
      </c>
      <c r="J69" s="156">
        <f t="shared" si="1"/>
        <v>0</v>
      </c>
      <c r="K69" s="155">
        <f t="shared" si="2"/>
        <v>0</v>
      </c>
      <c r="L69" s="155" t="str">
        <f>IF(AND('Summary Sheet'!$E$23="No",$H$33&gt;0,H69&gt;=1),"",IF(AND('Summary Sheet'!$E$23="Yes",H69&lt;&gt;""),H69*'Summary Sheet'!$G$23,""))</f>
        <v/>
      </c>
      <c r="M69" s="154"/>
      <c r="N69" s="155">
        <f>SUM('Pay App 1:Pay App 36'!L69)+SUM('Pay App 1:Pay App 36'!M69)</f>
        <v>0</v>
      </c>
    </row>
    <row r="70" spans="1:17" ht="11.25" customHeight="1" x14ac:dyDescent="0.25">
      <c r="A70" s="152">
        <v>14</v>
      </c>
      <c r="B70" s="174" t="str">
        <f>'Pay App 1'!B70</f>
        <v>01 74 23</v>
      </c>
      <c r="C70" s="179" t="str">
        <f>'Pay App 1'!C70</f>
        <v>Cleaning (Final)</v>
      </c>
      <c r="D70" s="155">
        <f>'Pay App 1'!D70</f>
        <v>0</v>
      </c>
      <c r="E70" s="155">
        <f>VLOOKUP(B70,'Graph Data'!$O$2:$BX$88,38,FALSE)</f>
        <v>0</v>
      </c>
      <c r="F70" s="155">
        <f>IFERROR(E70+'Pay App 35'!F70,"")</f>
        <v>0</v>
      </c>
      <c r="G70" s="155">
        <f>SUM('Pay App 1:Pay App 35'!H70)</f>
        <v>0</v>
      </c>
      <c r="H70" s="154"/>
      <c r="I70" s="155">
        <f t="shared" si="0"/>
        <v>0</v>
      </c>
      <c r="J70" s="156">
        <f t="shared" si="1"/>
        <v>0</v>
      </c>
      <c r="K70" s="155">
        <f t="shared" si="2"/>
        <v>0</v>
      </c>
      <c r="L70" s="155" t="str">
        <f>IF(AND('Summary Sheet'!$E$23="No",$H$33&gt;0,H70&gt;=1),"",IF(AND('Summary Sheet'!$E$23="Yes",H70&lt;&gt;""),H70*'Summary Sheet'!$G$23,""))</f>
        <v/>
      </c>
      <c r="M70" s="154"/>
      <c r="N70" s="155">
        <f>SUM('Pay App 1:Pay App 36'!L70)+SUM('Pay App 1:Pay App 36'!M70)</f>
        <v>0</v>
      </c>
    </row>
    <row r="71" spans="1:17" ht="11.25" customHeight="1" x14ac:dyDescent="0.25">
      <c r="A71" s="152">
        <v>15</v>
      </c>
      <c r="B71" s="175" t="str">
        <f>'Pay App 1'!B71</f>
        <v>02 21 00</v>
      </c>
      <c r="C71" s="180" t="str">
        <f>'Pay App 1'!C71</f>
        <v>Survey/Engineering</v>
      </c>
      <c r="D71" s="155">
        <f>'Pay App 1'!D71</f>
        <v>0</v>
      </c>
      <c r="E71" s="155">
        <f>VLOOKUP(B71,'Graph Data'!$O$2:$BX$88,38,FALSE)</f>
        <v>0</v>
      </c>
      <c r="F71" s="155">
        <f>IFERROR(E71+'Pay App 35'!F71,"")</f>
        <v>0</v>
      </c>
      <c r="G71" s="155">
        <f>SUM('Pay App 1:Pay App 35'!H71)</f>
        <v>0</v>
      </c>
      <c r="H71" s="154"/>
      <c r="I71" s="155">
        <f t="shared" si="0"/>
        <v>0</v>
      </c>
      <c r="J71" s="156">
        <f t="shared" si="1"/>
        <v>0</v>
      </c>
      <c r="K71" s="155">
        <f t="shared" si="2"/>
        <v>0</v>
      </c>
      <c r="L71" s="155" t="str">
        <f>IF(AND('Summary Sheet'!$E$23="No",$H$33&gt;0,H71&gt;=1),"",IF(AND('Summary Sheet'!$E$23="Yes",H71&lt;&gt;""),H71*'Summary Sheet'!$G$23,""))</f>
        <v/>
      </c>
      <c r="M71" s="154"/>
      <c r="N71" s="155">
        <f>SUM('Pay App 1:Pay App 36'!L71)+SUM('Pay App 1:Pay App 36'!M71)</f>
        <v>0</v>
      </c>
      <c r="Q71" s="28"/>
    </row>
    <row r="72" spans="1:17" ht="11.25" customHeight="1" x14ac:dyDescent="0.25">
      <c r="A72" s="152">
        <v>16</v>
      </c>
      <c r="B72" s="175" t="str">
        <f>'Pay App 1'!B72</f>
        <v>02 41 00</v>
      </c>
      <c r="C72" s="180" t="str">
        <f>'Pay App 1'!C72</f>
        <v>Demolition</v>
      </c>
      <c r="D72" s="155">
        <f>'Pay App 1'!D72</f>
        <v>0</v>
      </c>
      <c r="E72" s="155">
        <f>VLOOKUP(B72,'Graph Data'!$O$2:$BX$88,38,FALSE)</f>
        <v>0</v>
      </c>
      <c r="F72" s="155">
        <f>IFERROR(E72+'Pay App 35'!F72,"")</f>
        <v>0</v>
      </c>
      <c r="G72" s="155">
        <f>SUM('Pay App 1:Pay App 35'!H72)</f>
        <v>0</v>
      </c>
      <c r="H72" s="154"/>
      <c r="I72" s="155">
        <f t="shared" si="0"/>
        <v>0</v>
      </c>
      <c r="J72" s="156">
        <f t="shared" si="1"/>
        <v>0</v>
      </c>
      <c r="K72" s="155">
        <f t="shared" si="2"/>
        <v>0</v>
      </c>
      <c r="L72" s="155" t="str">
        <f>IF(AND('Summary Sheet'!$E$23="No",$H$33&gt;0,H72&gt;=1),"",IF(AND('Summary Sheet'!$E$23="Yes",H72&lt;&gt;""),H72*'Summary Sheet'!$G$23,""))</f>
        <v/>
      </c>
      <c r="M72" s="154"/>
      <c r="N72" s="155">
        <f>SUM('Pay App 1:Pay App 36'!L72)+SUM('Pay App 1:Pay App 36'!M72)</f>
        <v>0</v>
      </c>
      <c r="Q72" s="28"/>
    </row>
    <row r="73" spans="1:17" ht="11.25" customHeight="1" x14ac:dyDescent="0.25">
      <c r="A73" s="152">
        <v>17</v>
      </c>
      <c r="B73" s="175" t="str">
        <f>'Pay App 1'!B73</f>
        <v>02 82 00</v>
      </c>
      <c r="C73" s="180" t="str">
        <f>'Pay App 1'!C73</f>
        <v>Asbestos Abatement</v>
      </c>
      <c r="D73" s="155">
        <f>'Pay App 1'!D73</f>
        <v>0</v>
      </c>
      <c r="E73" s="155">
        <f>VLOOKUP(B73,'Graph Data'!$O$2:$BX$88,38,FALSE)</f>
        <v>0</v>
      </c>
      <c r="F73" s="155">
        <f>IFERROR(E73+'Pay App 35'!F73,"")</f>
        <v>0</v>
      </c>
      <c r="G73" s="155">
        <f>SUM('Pay App 1:Pay App 35'!H73)</f>
        <v>0</v>
      </c>
      <c r="H73" s="154"/>
      <c r="I73" s="155">
        <f t="shared" si="0"/>
        <v>0</v>
      </c>
      <c r="J73" s="156">
        <f t="shared" si="1"/>
        <v>0</v>
      </c>
      <c r="K73" s="155">
        <f t="shared" si="2"/>
        <v>0</v>
      </c>
      <c r="L73" s="155" t="str">
        <f>IF(AND('Summary Sheet'!$E$23="No",$H$33&gt;0,H73&gt;=1),"",IF(AND('Summary Sheet'!$E$23="Yes",H73&lt;&gt;""),H73*'Summary Sheet'!$G$23,""))</f>
        <v/>
      </c>
      <c r="M73" s="154"/>
      <c r="N73" s="155">
        <f>SUM('Pay App 1:Pay App 36'!L73)+SUM('Pay App 1:Pay App 36'!M73)</f>
        <v>0</v>
      </c>
    </row>
    <row r="74" spans="1:17" ht="11.25" customHeight="1" x14ac:dyDescent="0.25">
      <c r="A74" s="152">
        <v>18</v>
      </c>
      <c r="B74" s="176" t="str">
        <f>'Pay App 1'!B74</f>
        <v>03 00 00</v>
      </c>
      <c r="C74" s="181" t="str">
        <f>'Pay App 1'!C74</f>
        <v>Building Concrete</v>
      </c>
      <c r="D74" s="155">
        <f>'Pay App 1'!D74</f>
        <v>0</v>
      </c>
      <c r="E74" s="155">
        <f>VLOOKUP(B74,'Graph Data'!$O$2:$BX$88,38,FALSE)</f>
        <v>0</v>
      </c>
      <c r="F74" s="155">
        <f>IFERROR(E74+'Pay App 35'!F74,"")</f>
        <v>0</v>
      </c>
      <c r="G74" s="155">
        <f>SUM('Pay App 1:Pay App 35'!H74)</f>
        <v>0</v>
      </c>
      <c r="H74" s="154"/>
      <c r="I74" s="155">
        <f t="shared" si="0"/>
        <v>0</v>
      </c>
      <c r="J74" s="156">
        <f t="shared" si="1"/>
        <v>0</v>
      </c>
      <c r="K74" s="155">
        <f t="shared" si="2"/>
        <v>0</v>
      </c>
      <c r="L74" s="155" t="str">
        <f>IF(AND('Summary Sheet'!$E$23="No",$H$33&gt;0,H74&gt;=1),"",IF(AND('Summary Sheet'!$E$23="Yes",H74&lt;&gt;""),H74*'Summary Sheet'!$G$23,""))</f>
        <v/>
      </c>
      <c r="M74" s="154"/>
      <c r="N74" s="155">
        <f>SUM('Pay App 1:Pay App 36'!L74)+SUM('Pay App 1:Pay App 36'!M74)</f>
        <v>0</v>
      </c>
    </row>
    <row r="75" spans="1:17" ht="11.25" customHeight="1" x14ac:dyDescent="0.25">
      <c r="A75" s="152">
        <v>19</v>
      </c>
      <c r="B75" s="176" t="str">
        <f>'Pay App 1'!B75</f>
        <v>03 20 00</v>
      </c>
      <c r="C75" s="181" t="str">
        <f>'Pay App 1'!C75</f>
        <v>Building Concrete Reinforcing</v>
      </c>
      <c r="D75" s="155">
        <f>'Pay App 1'!D75</f>
        <v>0</v>
      </c>
      <c r="E75" s="155">
        <f>VLOOKUP(B75,'Graph Data'!$O$2:$BX$88,38,FALSE)</f>
        <v>0</v>
      </c>
      <c r="F75" s="155">
        <f>IFERROR(E75+'Pay App 35'!F75,"")</f>
        <v>0</v>
      </c>
      <c r="G75" s="155">
        <f>SUM('Pay App 1:Pay App 35'!H75)</f>
        <v>0</v>
      </c>
      <c r="H75" s="154"/>
      <c r="I75" s="155">
        <f t="shared" si="0"/>
        <v>0</v>
      </c>
      <c r="J75" s="156">
        <f t="shared" si="1"/>
        <v>0</v>
      </c>
      <c r="K75" s="155">
        <f t="shared" si="2"/>
        <v>0</v>
      </c>
      <c r="L75" s="155" t="str">
        <f>IF(AND('Summary Sheet'!$E$23="No",$H$33&gt;0,H75&gt;=1),"",IF(AND('Summary Sheet'!$E$23="Yes",H75&lt;&gt;""),H75*'Summary Sheet'!$G$23,""))</f>
        <v/>
      </c>
      <c r="M75" s="154"/>
      <c r="N75" s="155">
        <f>SUM('Pay App 1:Pay App 36'!L75)+SUM('Pay App 1:Pay App 36'!M75)</f>
        <v>0</v>
      </c>
    </row>
    <row r="76" spans="1:17" ht="11.25" customHeight="1" x14ac:dyDescent="0.25">
      <c r="A76" s="152">
        <v>20</v>
      </c>
      <c r="B76" s="176" t="str">
        <f>'Pay App 1'!B76</f>
        <v>03 40 00</v>
      </c>
      <c r="C76" s="181" t="str">
        <f>'Pay App 1'!C76</f>
        <v>Precast</v>
      </c>
      <c r="D76" s="155">
        <f>'Pay App 1'!D76</f>
        <v>0</v>
      </c>
      <c r="E76" s="155">
        <f>VLOOKUP(B76,'Graph Data'!$O$2:$BX$88,38,FALSE)</f>
        <v>0</v>
      </c>
      <c r="F76" s="155">
        <f>IFERROR(E76+'Pay App 35'!F76,"")</f>
        <v>0</v>
      </c>
      <c r="G76" s="155">
        <f>SUM('Pay App 1:Pay App 35'!H76)</f>
        <v>0</v>
      </c>
      <c r="H76" s="154"/>
      <c r="I76" s="155">
        <f t="shared" si="0"/>
        <v>0</v>
      </c>
      <c r="J76" s="156">
        <f t="shared" si="1"/>
        <v>0</v>
      </c>
      <c r="K76" s="155">
        <f t="shared" si="2"/>
        <v>0</v>
      </c>
      <c r="L76" s="155" t="str">
        <f>IF(AND('Summary Sheet'!$E$23="No",$H$33&gt;0,H76&gt;=1),"",IF(AND('Summary Sheet'!$E$23="Yes",H76&lt;&gt;""),H76*'Summary Sheet'!$G$23,""))</f>
        <v/>
      </c>
      <c r="M76" s="154"/>
      <c r="N76" s="155">
        <f>SUM('Pay App 1:Pay App 36'!L76)+SUM('Pay App 1:Pay App 36'!M76)</f>
        <v>0</v>
      </c>
    </row>
    <row r="77" spans="1:17" ht="11.25" customHeight="1" x14ac:dyDescent="0.25">
      <c r="A77" s="152">
        <v>21</v>
      </c>
      <c r="B77" s="177" t="str">
        <f>'Pay App 1'!B77</f>
        <v>04 00 00</v>
      </c>
      <c r="C77" s="182" t="str">
        <f>'Pay App 1'!C77</f>
        <v>Masonry</v>
      </c>
      <c r="D77" s="155">
        <f>'Pay App 1'!D77</f>
        <v>0</v>
      </c>
      <c r="E77" s="155">
        <f>VLOOKUP(B77,'Graph Data'!$O$2:$BX$88,38,FALSE)</f>
        <v>0</v>
      </c>
      <c r="F77" s="155">
        <f>IFERROR(E77+'Pay App 35'!F77,"")</f>
        <v>0</v>
      </c>
      <c r="G77" s="155">
        <f>SUM('Pay App 1:Pay App 35'!H77)</f>
        <v>0</v>
      </c>
      <c r="H77" s="154"/>
      <c r="I77" s="155">
        <f t="shared" si="0"/>
        <v>0</v>
      </c>
      <c r="J77" s="156">
        <f t="shared" si="1"/>
        <v>0</v>
      </c>
      <c r="K77" s="155">
        <f t="shared" si="2"/>
        <v>0</v>
      </c>
      <c r="L77" s="155" t="str">
        <f>IF(AND('Summary Sheet'!$E$23="No",$H$33&gt;0,H77&gt;=1),"",IF(AND('Summary Sheet'!$E$23="Yes",H77&lt;&gt;""),H77*'Summary Sheet'!$G$23,""))</f>
        <v/>
      </c>
      <c r="M77" s="154"/>
      <c r="N77" s="155">
        <f>SUM('Pay App 1:Pay App 36'!L77)+SUM('Pay App 1:Pay App 36'!M77)</f>
        <v>0</v>
      </c>
    </row>
    <row r="78" spans="1:17" ht="11.25" customHeight="1" x14ac:dyDescent="0.25">
      <c r="A78" s="152">
        <v>22</v>
      </c>
      <c r="B78" s="177" t="str">
        <f>'Pay App 1'!B78</f>
        <v>04 05 19</v>
      </c>
      <c r="C78" s="182" t="str">
        <f>'Pay App 1'!C78</f>
        <v>Masonry Reinforcing</v>
      </c>
      <c r="D78" s="155">
        <f>'Pay App 1'!D78</f>
        <v>0</v>
      </c>
      <c r="E78" s="155">
        <f>VLOOKUP(B78,'Graph Data'!$O$2:$BX$88,38,FALSE)</f>
        <v>0</v>
      </c>
      <c r="F78" s="155">
        <f>IFERROR(E78+'Pay App 35'!F78,"")</f>
        <v>0</v>
      </c>
      <c r="G78" s="155">
        <f>SUM('Pay App 1:Pay App 35'!H78)</f>
        <v>0</v>
      </c>
      <c r="H78" s="154"/>
      <c r="I78" s="155">
        <f t="shared" si="0"/>
        <v>0</v>
      </c>
      <c r="J78" s="156">
        <f t="shared" si="1"/>
        <v>0</v>
      </c>
      <c r="K78" s="155">
        <f t="shared" si="2"/>
        <v>0</v>
      </c>
      <c r="L78" s="155" t="str">
        <f>IF(AND('Summary Sheet'!$E$23="No",$H$33&gt;0,H78&gt;=1),"",IF(AND('Summary Sheet'!$E$23="Yes",H78&lt;&gt;""),H78*'Summary Sheet'!$G$23,""))</f>
        <v/>
      </c>
      <c r="M78" s="154"/>
      <c r="N78" s="155">
        <f>SUM('Pay App 1:Pay App 36'!L78)+SUM('Pay App 1:Pay App 36'!M78)</f>
        <v>0</v>
      </c>
    </row>
    <row r="79" spans="1:17" ht="11.25" customHeight="1" x14ac:dyDescent="0.25">
      <c r="A79" s="152">
        <v>23</v>
      </c>
      <c r="B79" s="178" t="str">
        <f>'Pay App 1'!B79</f>
        <v>05 10 00</v>
      </c>
      <c r="C79" s="183" t="str">
        <f>'Pay App 1'!C79</f>
        <v>Structural Steel/Misc. Steel Fab</v>
      </c>
      <c r="D79" s="155">
        <f>'Pay App 1'!D79</f>
        <v>0</v>
      </c>
      <c r="E79" s="155">
        <f>VLOOKUP(B79,'Graph Data'!$O$2:$BX$88,38,FALSE)</f>
        <v>0</v>
      </c>
      <c r="F79" s="155">
        <f>IFERROR(E79+'Pay App 35'!F79,"")</f>
        <v>0</v>
      </c>
      <c r="G79" s="155">
        <f>SUM('Pay App 1:Pay App 35'!H79)</f>
        <v>0</v>
      </c>
      <c r="H79" s="154"/>
      <c r="I79" s="155">
        <f t="shared" si="0"/>
        <v>0</v>
      </c>
      <c r="J79" s="156">
        <f t="shared" si="1"/>
        <v>0</v>
      </c>
      <c r="K79" s="155">
        <f t="shared" si="2"/>
        <v>0</v>
      </c>
      <c r="L79" s="155" t="str">
        <f>IF(AND('Summary Sheet'!$E$23="No",$H$33&gt;0,H79&gt;=1),"",IF(AND('Summary Sheet'!$E$23="Yes",H79&lt;&gt;""),H79*'Summary Sheet'!$G$23,""))</f>
        <v/>
      </c>
      <c r="M79" s="154"/>
      <c r="N79" s="155">
        <f>SUM('Pay App 1:Pay App 36'!L79)+SUM('Pay App 1:Pay App 36'!M79)</f>
        <v>0</v>
      </c>
    </row>
    <row r="80" spans="1:17" ht="11.25" customHeight="1" x14ac:dyDescent="0.25">
      <c r="A80" s="152">
        <v>24</v>
      </c>
      <c r="B80" s="178" t="str">
        <f>'Pay App 1'!B80</f>
        <v>05 20 00</v>
      </c>
      <c r="C80" s="183" t="str">
        <f>'Pay App 1'!C80</f>
        <v>Joists &amp; Deck</v>
      </c>
      <c r="D80" s="155">
        <f>'Pay App 1'!D80</f>
        <v>0</v>
      </c>
      <c r="E80" s="155">
        <f>VLOOKUP(B80,'Graph Data'!$O$2:$BX$88,38,FALSE)</f>
        <v>0</v>
      </c>
      <c r="F80" s="155">
        <f>IFERROR(E80+'Pay App 35'!F80,"")</f>
        <v>0</v>
      </c>
      <c r="G80" s="155">
        <f>SUM('Pay App 1:Pay App 35'!H80)</f>
        <v>0</v>
      </c>
      <c r="H80" s="154"/>
      <c r="I80" s="155">
        <f t="shared" si="0"/>
        <v>0</v>
      </c>
      <c r="J80" s="156">
        <f t="shared" si="1"/>
        <v>0</v>
      </c>
      <c r="K80" s="155">
        <f t="shared" si="2"/>
        <v>0</v>
      </c>
      <c r="L80" s="155" t="str">
        <f>IF(AND('Summary Sheet'!$E$23="No",$H$33&gt;0,H80&gt;=1),"",IF(AND('Summary Sheet'!$E$23="Yes",H80&lt;&gt;""),H80*'Summary Sheet'!$G$23,""))</f>
        <v/>
      </c>
      <c r="M80" s="154"/>
      <c r="N80" s="155">
        <f>SUM('Pay App 1:Pay App 36'!L80)+SUM('Pay App 1:Pay App 36'!M80)</f>
        <v>0</v>
      </c>
    </row>
    <row r="81" spans="1:14" ht="11.25" customHeight="1" x14ac:dyDescent="0.25">
      <c r="A81" s="152">
        <v>25</v>
      </c>
      <c r="B81" s="178" t="str">
        <f>'Pay App 1'!B81</f>
        <v>05 70 00</v>
      </c>
      <c r="C81" s="183" t="str">
        <f>'Pay App 1'!C81</f>
        <v>Ornamental Metal</v>
      </c>
      <c r="D81" s="155">
        <f>'Pay App 1'!D81</f>
        <v>0</v>
      </c>
      <c r="E81" s="155">
        <f>VLOOKUP(B81,'Graph Data'!$O$2:$BX$88,38,FALSE)</f>
        <v>0</v>
      </c>
      <c r="F81" s="155">
        <f>IFERROR(E81+'Pay App 35'!F81,"")</f>
        <v>0</v>
      </c>
      <c r="G81" s="155">
        <f>SUM('Pay App 1:Pay App 35'!H81)</f>
        <v>0</v>
      </c>
      <c r="H81" s="154"/>
      <c r="I81" s="155">
        <f t="shared" si="0"/>
        <v>0</v>
      </c>
      <c r="J81" s="156">
        <f t="shared" si="1"/>
        <v>0</v>
      </c>
      <c r="K81" s="155">
        <f t="shared" si="2"/>
        <v>0</v>
      </c>
      <c r="L81" s="155" t="str">
        <f>IF(AND('Summary Sheet'!$E$23="No",$H$33&gt;0,H81&gt;=1),"",IF(AND('Summary Sheet'!$E$23="Yes",H81&lt;&gt;""),H81*'Summary Sheet'!$G$23,""))</f>
        <v/>
      </c>
      <c r="M81" s="154"/>
      <c r="N81" s="155">
        <f>SUM('Pay App 1:Pay App 36'!L81)+SUM('Pay App 1:Pay App 36'!M81)</f>
        <v>0</v>
      </c>
    </row>
    <row r="82" spans="1:14" ht="11.25" customHeight="1" x14ac:dyDescent="0.25">
      <c r="A82" s="152">
        <v>26</v>
      </c>
      <c r="B82" s="145" t="str">
        <f>'Pay App 1'!B82</f>
        <v>06 10 00</v>
      </c>
      <c r="C82" s="134" t="str">
        <f>'Pay App 1'!C82</f>
        <v>Rough Carpentry</v>
      </c>
      <c r="D82" s="155">
        <f>'Pay App 1'!D82</f>
        <v>0</v>
      </c>
      <c r="E82" s="155">
        <f>VLOOKUP(B82,'Graph Data'!$O$2:$BX$88,38,FALSE)</f>
        <v>0</v>
      </c>
      <c r="F82" s="155">
        <f>IFERROR(E82+'Pay App 35'!F82,"")</f>
        <v>0</v>
      </c>
      <c r="G82" s="155">
        <f>SUM('Pay App 1:Pay App 35'!H82)</f>
        <v>0</v>
      </c>
      <c r="H82" s="154"/>
      <c r="I82" s="155">
        <f t="shared" si="0"/>
        <v>0</v>
      </c>
      <c r="J82" s="156">
        <f t="shared" si="1"/>
        <v>0</v>
      </c>
      <c r="K82" s="155">
        <f t="shared" si="2"/>
        <v>0</v>
      </c>
      <c r="L82" s="155" t="str">
        <f>IF(AND('Summary Sheet'!$E$23="No",$H$33&gt;0,H82&gt;=1),"",IF(AND('Summary Sheet'!$E$23="Yes",H82&lt;&gt;""),H82*'Summary Sheet'!$G$23,""))</f>
        <v/>
      </c>
      <c r="M82" s="154"/>
      <c r="N82" s="155">
        <f>SUM('Pay App 1:Pay App 36'!L82)+SUM('Pay App 1:Pay App 36'!M82)</f>
        <v>0</v>
      </c>
    </row>
    <row r="83" spans="1:14" ht="11.25" customHeight="1" x14ac:dyDescent="0.25">
      <c r="A83" s="152">
        <v>27</v>
      </c>
      <c r="B83" s="145" t="str">
        <f>'Pay App 1'!B83</f>
        <v>06 40 00</v>
      </c>
      <c r="C83" s="134" t="str">
        <f>'Pay App 1'!C83</f>
        <v>Arch. Woodwork &amp; Finish Carp.</v>
      </c>
      <c r="D83" s="155">
        <f>'Pay App 1'!D83</f>
        <v>0</v>
      </c>
      <c r="E83" s="155">
        <f>VLOOKUP(B83,'Graph Data'!$O$2:$BX$88,38,FALSE)</f>
        <v>0</v>
      </c>
      <c r="F83" s="155">
        <f>IFERROR(E83+'Pay App 35'!F83,"")</f>
        <v>0</v>
      </c>
      <c r="G83" s="155">
        <f>SUM('Pay App 1:Pay App 35'!H83)</f>
        <v>0</v>
      </c>
      <c r="H83" s="154"/>
      <c r="I83" s="155">
        <f t="shared" si="0"/>
        <v>0</v>
      </c>
      <c r="J83" s="156">
        <f t="shared" si="1"/>
        <v>0</v>
      </c>
      <c r="K83" s="155">
        <f t="shared" si="2"/>
        <v>0</v>
      </c>
      <c r="L83" s="155" t="str">
        <f>IF(AND('Summary Sheet'!$E$23="No",$H$33&gt;0,H83&gt;=1),"",IF(AND('Summary Sheet'!$E$23="Yes",H83&lt;&gt;""),H83*'Summary Sheet'!$G$23,""))</f>
        <v/>
      </c>
      <c r="M83" s="154"/>
      <c r="N83" s="155">
        <f>SUM('Pay App 1:Pay App 36'!L83)+SUM('Pay App 1:Pay App 36'!M83)</f>
        <v>0</v>
      </c>
    </row>
    <row r="84" spans="1:14" ht="11.25" customHeight="1" x14ac:dyDescent="0.25">
      <c r="A84" s="152">
        <v>28</v>
      </c>
      <c r="B84" s="174" t="str">
        <f>'Pay App 1'!B84</f>
        <v>07 10 00</v>
      </c>
      <c r="C84" s="179" t="str">
        <f>'Pay App 1'!C84</f>
        <v>Waterproofing/Water Repellents</v>
      </c>
      <c r="D84" s="155">
        <f>'Pay App 1'!D84</f>
        <v>0</v>
      </c>
      <c r="E84" s="155">
        <f>VLOOKUP(B84,'Graph Data'!$O$2:$BX$88,38,FALSE)</f>
        <v>0</v>
      </c>
      <c r="F84" s="155">
        <f>IFERROR(E84+'Pay App 35'!F84,"")</f>
        <v>0</v>
      </c>
      <c r="G84" s="155">
        <f>SUM('Pay App 1:Pay App 35'!H84)</f>
        <v>0</v>
      </c>
      <c r="H84" s="154"/>
      <c r="I84" s="155">
        <f t="shared" si="0"/>
        <v>0</v>
      </c>
      <c r="J84" s="156">
        <f t="shared" si="1"/>
        <v>0</v>
      </c>
      <c r="K84" s="155">
        <f t="shared" si="2"/>
        <v>0</v>
      </c>
      <c r="L84" s="155" t="str">
        <f>IF(AND('Summary Sheet'!$E$23="No",$H$33&gt;0,H84&gt;=1),"",IF(AND('Summary Sheet'!$E$23="Yes",H84&lt;&gt;""),H84*'Summary Sheet'!$G$23,""))</f>
        <v/>
      </c>
      <c r="M84" s="154"/>
      <c r="N84" s="155">
        <f>SUM('Pay App 1:Pay App 36'!L84)+SUM('Pay App 1:Pay App 36'!M84)</f>
        <v>0</v>
      </c>
    </row>
    <row r="85" spans="1:14" ht="11.25" customHeight="1" x14ac:dyDescent="0.25">
      <c r="A85" s="152">
        <v>29</v>
      </c>
      <c r="B85" s="174" t="str">
        <f>'Pay App 1'!B85</f>
        <v>07 20 00</v>
      </c>
      <c r="C85" s="179" t="str">
        <f>'Pay App 1'!C85</f>
        <v>Insulation</v>
      </c>
      <c r="D85" s="155">
        <f>'Pay App 1'!D85</f>
        <v>0</v>
      </c>
      <c r="E85" s="155">
        <f>VLOOKUP(B85,'Graph Data'!$O$2:$BX$88,38,FALSE)</f>
        <v>0</v>
      </c>
      <c r="F85" s="155">
        <f>IFERROR(E85+'Pay App 35'!F85,"")</f>
        <v>0</v>
      </c>
      <c r="G85" s="155">
        <f>SUM('Pay App 1:Pay App 35'!H85)</f>
        <v>0</v>
      </c>
      <c r="H85" s="154"/>
      <c r="I85" s="155">
        <f t="shared" si="0"/>
        <v>0</v>
      </c>
      <c r="J85" s="156">
        <f t="shared" si="1"/>
        <v>0</v>
      </c>
      <c r="K85" s="155">
        <f t="shared" si="2"/>
        <v>0</v>
      </c>
      <c r="L85" s="155" t="str">
        <f>IF(AND('Summary Sheet'!$E$23="No",$H$33&gt;0,H85&gt;=1),"",IF(AND('Summary Sheet'!$E$23="Yes",H85&lt;&gt;""),H85*'Summary Sheet'!$G$23,""))</f>
        <v/>
      </c>
      <c r="M85" s="154"/>
      <c r="N85" s="155">
        <f>SUM('Pay App 1:Pay App 36'!L85)+SUM('Pay App 1:Pay App 36'!M85)</f>
        <v>0</v>
      </c>
    </row>
    <row r="86" spans="1:14" ht="11.25" customHeight="1" x14ac:dyDescent="0.25">
      <c r="A86" s="152">
        <v>30</v>
      </c>
      <c r="B86" s="174" t="str">
        <f>'Pay App 1'!B86</f>
        <v>07 24 00</v>
      </c>
      <c r="C86" s="179" t="str">
        <f>'Pay App 1'!C86</f>
        <v>EIFS</v>
      </c>
      <c r="D86" s="155">
        <f>'Pay App 1'!D86</f>
        <v>0</v>
      </c>
      <c r="E86" s="155">
        <f>VLOOKUP(B86,'Graph Data'!$O$2:$BX$88,38,FALSE)</f>
        <v>0</v>
      </c>
      <c r="F86" s="155">
        <f>IFERROR(E86+'Pay App 35'!F86,"")</f>
        <v>0</v>
      </c>
      <c r="G86" s="155">
        <f>SUM('Pay App 1:Pay App 35'!H86)</f>
        <v>0</v>
      </c>
      <c r="H86" s="154"/>
      <c r="I86" s="155">
        <f t="shared" si="0"/>
        <v>0</v>
      </c>
      <c r="J86" s="156">
        <f t="shared" si="1"/>
        <v>0</v>
      </c>
      <c r="K86" s="155">
        <f t="shared" si="2"/>
        <v>0</v>
      </c>
      <c r="L86" s="155" t="str">
        <f>IF(AND('Summary Sheet'!$E$23="No",$H$33&gt;0,H86&gt;=1),"",IF(AND('Summary Sheet'!$E$23="Yes",H86&lt;&gt;""),H86*'Summary Sheet'!$G$23,""))</f>
        <v/>
      </c>
      <c r="M86" s="154"/>
      <c r="N86" s="155">
        <f>SUM('Pay App 1:Pay App 36'!L86)+SUM('Pay App 1:Pay App 36'!M86)</f>
        <v>0</v>
      </c>
    </row>
    <row r="87" spans="1:14" ht="11.25" customHeight="1" x14ac:dyDescent="0.25">
      <c r="A87" s="152">
        <v>31</v>
      </c>
      <c r="B87" s="174" t="str">
        <f>'Pay App 1'!B87</f>
        <v>07 26 00</v>
      </c>
      <c r="C87" s="179" t="str">
        <f>'Pay App 1'!C87</f>
        <v>Vapor Retarders</v>
      </c>
      <c r="D87" s="155">
        <f>'Pay App 1'!D87</f>
        <v>0</v>
      </c>
      <c r="E87" s="155">
        <f>VLOOKUP(B87,'Graph Data'!$O$2:$BX$88,38,FALSE)</f>
        <v>0</v>
      </c>
      <c r="F87" s="155">
        <f>IFERROR(E87+'Pay App 35'!F87,"")</f>
        <v>0</v>
      </c>
      <c r="G87" s="155">
        <f>SUM('Pay App 1:Pay App 35'!H87)</f>
        <v>0</v>
      </c>
      <c r="H87" s="154"/>
      <c r="I87" s="155">
        <f t="shared" si="0"/>
        <v>0</v>
      </c>
      <c r="J87" s="156">
        <f t="shared" si="1"/>
        <v>0</v>
      </c>
      <c r="K87" s="155">
        <f t="shared" si="2"/>
        <v>0</v>
      </c>
      <c r="L87" s="155" t="str">
        <f>IF(AND('Summary Sheet'!$E$23="No",$H$33&gt;0,H87&gt;=1),"",IF(AND('Summary Sheet'!$E$23="Yes",H87&lt;&gt;""),H87*'Summary Sheet'!$G$23,""))</f>
        <v/>
      </c>
      <c r="M87" s="154"/>
      <c r="N87" s="155">
        <f>SUM('Pay App 1:Pay App 36'!L87)+SUM('Pay App 1:Pay App 36'!M87)</f>
        <v>0</v>
      </c>
    </row>
    <row r="88" spans="1:14" ht="11.25" customHeight="1" x14ac:dyDescent="0.25">
      <c r="A88" s="152">
        <v>32</v>
      </c>
      <c r="B88" s="174" t="str">
        <f>'Pay App 1'!B88</f>
        <v>07 41 00</v>
      </c>
      <c r="C88" s="179" t="str">
        <f>'Pay App 1'!C88</f>
        <v>Roofing</v>
      </c>
      <c r="D88" s="155">
        <f>'Pay App 1'!D88</f>
        <v>0</v>
      </c>
      <c r="E88" s="155">
        <f>VLOOKUP(B88,'Graph Data'!$O$2:$BX$88,38,FALSE)</f>
        <v>0</v>
      </c>
      <c r="F88" s="155">
        <f>IFERROR(E88+'Pay App 35'!F88,"")</f>
        <v>0</v>
      </c>
      <c r="G88" s="155">
        <f>SUM('Pay App 1:Pay App 35'!H88)</f>
        <v>0</v>
      </c>
      <c r="H88" s="154"/>
      <c r="I88" s="155">
        <f t="shared" si="0"/>
        <v>0</v>
      </c>
      <c r="J88" s="156">
        <f t="shared" si="1"/>
        <v>0</v>
      </c>
      <c r="K88" s="155">
        <f t="shared" si="2"/>
        <v>0</v>
      </c>
      <c r="L88" s="155" t="str">
        <f>IF(AND('Summary Sheet'!$E$23="No",$H$33&gt;0,H88&gt;=1),"",IF(AND('Summary Sheet'!$E$23="Yes",H88&lt;&gt;""),H88*'Summary Sheet'!$G$23,""))</f>
        <v/>
      </c>
      <c r="M88" s="154"/>
      <c r="N88" s="155">
        <f>SUM('Pay App 1:Pay App 36'!L88)+SUM('Pay App 1:Pay App 36'!M88)</f>
        <v>0</v>
      </c>
    </row>
    <row r="89" spans="1:14" ht="11.25" customHeight="1" x14ac:dyDescent="0.25">
      <c r="A89" s="152">
        <v>33</v>
      </c>
      <c r="B89" s="174" t="str">
        <f>'Pay App 1'!B89</f>
        <v>07 42 00</v>
      </c>
      <c r="C89" s="179" t="str">
        <f>'Pay App 1'!C89</f>
        <v>Metal Panels</v>
      </c>
      <c r="D89" s="155">
        <f>'Pay App 1'!D89</f>
        <v>0</v>
      </c>
      <c r="E89" s="155">
        <f>VLOOKUP(B89,'Graph Data'!$O$2:$BX$88,38,FALSE)</f>
        <v>0</v>
      </c>
      <c r="F89" s="155">
        <f>IFERROR(E89+'Pay App 35'!F89,"")</f>
        <v>0</v>
      </c>
      <c r="G89" s="155">
        <f>SUM('Pay App 1:Pay App 35'!H89)</f>
        <v>0</v>
      </c>
      <c r="H89" s="154"/>
      <c r="I89" s="155">
        <f t="shared" si="0"/>
        <v>0</v>
      </c>
      <c r="J89" s="156">
        <f t="shared" si="1"/>
        <v>0</v>
      </c>
      <c r="K89" s="155">
        <f t="shared" si="2"/>
        <v>0</v>
      </c>
      <c r="L89" s="155" t="str">
        <f>IF(AND('Summary Sheet'!$E$23="No",$H$33&gt;0,H89&gt;=1),"",IF(AND('Summary Sheet'!$E$23="Yes",H89&lt;&gt;""),H89*'Summary Sheet'!$G$23,""))</f>
        <v/>
      </c>
      <c r="M89" s="154"/>
      <c r="N89" s="155">
        <f>SUM('Pay App 1:Pay App 36'!L89)+SUM('Pay App 1:Pay App 36'!M89)</f>
        <v>0</v>
      </c>
    </row>
    <row r="90" spans="1:14" ht="11.25" customHeight="1" x14ac:dyDescent="0.25">
      <c r="A90" s="152">
        <v>34</v>
      </c>
      <c r="B90" s="174" t="str">
        <f>'Pay App 1'!B90</f>
        <v>07 60 00</v>
      </c>
      <c r="C90" s="179" t="str">
        <f>'Pay App 1'!C90</f>
        <v>Sheet Metal Flashing &amp; Trim</v>
      </c>
      <c r="D90" s="155">
        <f>'Pay App 1'!D90</f>
        <v>0</v>
      </c>
      <c r="E90" s="155">
        <f>VLOOKUP(B90,'Graph Data'!$O$2:$BX$88,38,FALSE)</f>
        <v>0</v>
      </c>
      <c r="F90" s="155">
        <f>IFERROR(E90+'Pay App 35'!F90,"")</f>
        <v>0</v>
      </c>
      <c r="G90" s="155">
        <f>SUM('Pay App 1:Pay App 35'!H90)</f>
        <v>0</v>
      </c>
      <c r="H90" s="154"/>
      <c r="I90" s="155">
        <f t="shared" si="0"/>
        <v>0</v>
      </c>
      <c r="J90" s="156">
        <f t="shared" si="1"/>
        <v>0</v>
      </c>
      <c r="K90" s="155">
        <f t="shared" si="2"/>
        <v>0</v>
      </c>
      <c r="L90" s="155" t="str">
        <f>IF(AND('Summary Sheet'!$E$23="No",$H$33&gt;0,H90&gt;=1),"",IF(AND('Summary Sheet'!$E$23="Yes",H90&lt;&gt;""),H90*'Summary Sheet'!$G$23,""))</f>
        <v/>
      </c>
      <c r="M90" s="154"/>
      <c r="N90" s="155">
        <f>SUM('Pay App 1:Pay App 36'!L90)+SUM('Pay App 1:Pay App 36'!M90)</f>
        <v>0</v>
      </c>
    </row>
    <row r="91" spans="1:14" ht="11.25" customHeight="1" x14ac:dyDescent="0.25">
      <c r="A91" s="152">
        <v>35</v>
      </c>
      <c r="B91" s="174" t="str">
        <f>'Pay App 1'!B91</f>
        <v>07 80 00</v>
      </c>
      <c r="C91" s="179" t="str">
        <f>'Pay App 1'!C91</f>
        <v>Fireproofing</v>
      </c>
      <c r="D91" s="155">
        <f>'Pay App 1'!D91</f>
        <v>0</v>
      </c>
      <c r="E91" s="155">
        <f>VLOOKUP(B91,'Graph Data'!$O$2:$BX$88,38,FALSE)</f>
        <v>0</v>
      </c>
      <c r="F91" s="155">
        <f>IFERROR(E91+'Pay App 35'!F91,"")</f>
        <v>0</v>
      </c>
      <c r="G91" s="155">
        <f>SUM('Pay App 1:Pay App 35'!H91)</f>
        <v>0</v>
      </c>
      <c r="H91" s="154"/>
      <c r="I91" s="155">
        <f t="shared" si="0"/>
        <v>0</v>
      </c>
      <c r="J91" s="156">
        <f t="shared" si="1"/>
        <v>0</v>
      </c>
      <c r="K91" s="155">
        <f t="shared" si="2"/>
        <v>0</v>
      </c>
      <c r="L91" s="155" t="str">
        <f>IF(AND('Summary Sheet'!$E$23="No",$H$33&gt;0,H91&gt;=1),"",IF(AND('Summary Sheet'!$E$23="Yes",H91&lt;&gt;""),H91*'Summary Sheet'!$G$23,""))</f>
        <v/>
      </c>
      <c r="M91" s="154"/>
      <c r="N91" s="155">
        <f>SUM('Pay App 1:Pay App 36'!L91)+SUM('Pay App 1:Pay App 36'!M91)</f>
        <v>0</v>
      </c>
    </row>
    <row r="92" spans="1:14" ht="11.25" customHeight="1" x14ac:dyDescent="0.25">
      <c r="A92" s="152">
        <v>36</v>
      </c>
      <c r="B92" s="174" t="str">
        <f>'Pay App 1'!B92</f>
        <v>07 90 00</v>
      </c>
      <c r="C92" s="179" t="str">
        <f>'Pay App 1'!C92</f>
        <v>Joint Sealants</v>
      </c>
      <c r="D92" s="155">
        <f>'Pay App 1'!D92</f>
        <v>0</v>
      </c>
      <c r="E92" s="155">
        <f>VLOOKUP(B92,'Graph Data'!$O$2:$BX$88,38,FALSE)</f>
        <v>0</v>
      </c>
      <c r="F92" s="155">
        <f>IFERROR(E92+'Pay App 35'!F92,"")</f>
        <v>0</v>
      </c>
      <c r="G92" s="155">
        <f>SUM('Pay App 1:Pay App 35'!H92)</f>
        <v>0</v>
      </c>
      <c r="H92" s="154"/>
      <c r="I92" s="155">
        <f t="shared" si="0"/>
        <v>0</v>
      </c>
      <c r="J92" s="156">
        <f t="shared" si="1"/>
        <v>0</v>
      </c>
      <c r="K92" s="155">
        <f t="shared" si="2"/>
        <v>0</v>
      </c>
      <c r="L92" s="155" t="str">
        <f>IF(AND('Summary Sheet'!$E$23="No",$H$33&gt;0,H92&gt;=1),"",IF(AND('Summary Sheet'!$E$23="Yes",H92&lt;&gt;""),H92*'Summary Sheet'!$G$23,""))</f>
        <v/>
      </c>
      <c r="M92" s="154"/>
      <c r="N92" s="155">
        <f>SUM('Pay App 1:Pay App 36'!L92)+SUM('Pay App 1:Pay App 36'!M92)</f>
        <v>0</v>
      </c>
    </row>
    <row r="93" spans="1:14" ht="11.25" customHeight="1" x14ac:dyDescent="0.25">
      <c r="A93" s="152">
        <v>37</v>
      </c>
      <c r="B93" s="174" t="str">
        <f>'Pay App 1'!B93</f>
        <v>07 95 00</v>
      </c>
      <c r="C93" s="179" t="str">
        <f>'Pay App 1'!C93</f>
        <v>Expansion Joints</v>
      </c>
      <c r="D93" s="155">
        <f>'Pay App 1'!D93</f>
        <v>0</v>
      </c>
      <c r="E93" s="155">
        <f>VLOOKUP(B93,'Graph Data'!$O$2:$BX$88,38,FALSE)</f>
        <v>0</v>
      </c>
      <c r="F93" s="155">
        <f>IFERROR(E93+'Pay App 35'!F93,"")</f>
        <v>0</v>
      </c>
      <c r="G93" s="155">
        <f>SUM('Pay App 1:Pay App 35'!H93)</f>
        <v>0</v>
      </c>
      <c r="H93" s="154"/>
      <c r="I93" s="155">
        <f t="shared" si="0"/>
        <v>0</v>
      </c>
      <c r="J93" s="156">
        <f t="shared" si="1"/>
        <v>0</v>
      </c>
      <c r="K93" s="155">
        <f t="shared" si="2"/>
        <v>0</v>
      </c>
      <c r="L93" s="155" t="str">
        <f>IF(AND('Summary Sheet'!$E$23="No",$H$33&gt;0,H93&gt;=1),"",IF(AND('Summary Sheet'!$E$23="Yes",H93&lt;&gt;""),H93*'Summary Sheet'!$G$23,""))</f>
        <v/>
      </c>
      <c r="M93" s="154"/>
      <c r="N93" s="155">
        <f>SUM('Pay App 1:Pay App 36'!L93)+SUM('Pay App 1:Pay App 36'!M93)</f>
        <v>0</v>
      </c>
    </row>
    <row r="94" spans="1:14" ht="11.25" customHeight="1" x14ac:dyDescent="0.25">
      <c r="A94" s="152">
        <v>38</v>
      </c>
      <c r="B94" s="175" t="str">
        <f>'Pay App 1'!B94</f>
        <v>08 10 00</v>
      </c>
      <c r="C94" s="180" t="str">
        <f>'Pay App 1'!C94</f>
        <v>Doors, Frames &amp; Hardware</v>
      </c>
      <c r="D94" s="155">
        <f>'Pay App 1'!D94</f>
        <v>0</v>
      </c>
      <c r="E94" s="155">
        <f>VLOOKUP(B94,'Graph Data'!$O$2:$BX$88,38,FALSE)</f>
        <v>0</v>
      </c>
      <c r="F94" s="155">
        <f>IFERROR(E94+'Pay App 35'!F94,"")</f>
        <v>0</v>
      </c>
      <c r="G94" s="155">
        <f>SUM('Pay App 1:Pay App 35'!H94)</f>
        <v>0</v>
      </c>
      <c r="H94" s="154"/>
      <c r="I94" s="155">
        <f t="shared" si="0"/>
        <v>0</v>
      </c>
      <c r="J94" s="156">
        <f t="shared" si="1"/>
        <v>0</v>
      </c>
      <c r="K94" s="155">
        <f t="shared" si="2"/>
        <v>0</v>
      </c>
      <c r="L94" s="155" t="str">
        <f>IF(AND('Summary Sheet'!$E$23="No",$H$33&gt;0,H94&gt;=1),"",IF(AND('Summary Sheet'!$E$23="Yes",H94&lt;&gt;""),H94*'Summary Sheet'!$G$23,""))</f>
        <v/>
      </c>
      <c r="M94" s="154"/>
      <c r="N94" s="155">
        <f>SUM('Pay App 1:Pay App 36'!L94)+SUM('Pay App 1:Pay App 36'!M94)</f>
        <v>0</v>
      </c>
    </row>
    <row r="95" spans="1:14" ht="11.25" customHeight="1" x14ac:dyDescent="0.25">
      <c r="A95" s="152">
        <v>39</v>
      </c>
      <c r="B95" s="175" t="str">
        <f>'Pay App 1'!B95</f>
        <v>08 30 00</v>
      </c>
      <c r="C95" s="180" t="str">
        <f>'Pay App 1'!C95</f>
        <v>Specialty Doors</v>
      </c>
      <c r="D95" s="155">
        <f>'Pay App 1'!D95</f>
        <v>0</v>
      </c>
      <c r="E95" s="155">
        <f>VLOOKUP(B95,'Graph Data'!$O$2:$BX$88,38,FALSE)</f>
        <v>0</v>
      </c>
      <c r="F95" s="155">
        <f>IFERROR(E95+'Pay App 35'!F95,"")</f>
        <v>0</v>
      </c>
      <c r="G95" s="155">
        <f>SUM('Pay App 1:Pay App 35'!H95)</f>
        <v>0</v>
      </c>
      <c r="H95" s="154"/>
      <c r="I95" s="155">
        <f t="shared" si="0"/>
        <v>0</v>
      </c>
      <c r="J95" s="156">
        <f t="shared" si="1"/>
        <v>0</v>
      </c>
      <c r="K95" s="155">
        <f t="shared" si="2"/>
        <v>0</v>
      </c>
      <c r="L95" s="155" t="str">
        <f>IF(AND('Summary Sheet'!$E$23="No",$H$33&gt;0,H95&gt;=1),"",IF(AND('Summary Sheet'!$E$23="Yes",H95&lt;&gt;""),H95*'Summary Sheet'!$G$23,""))</f>
        <v/>
      </c>
      <c r="M95" s="154"/>
      <c r="N95" s="155">
        <f>SUM('Pay App 1:Pay App 36'!L95)+SUM('Pay App 1:Pay App 36'!M95)</f>
        <v>0</v>
      </c>
    </row>
    <row r="96" spans="1:14" ht="11.25" customHeight="1" x14ac:dyDescent="0.25">
      <c r="A96" s="152">
        <v>40</v>
      </c>
      <c r="B96" s="175" t="str">
        <f>'Pay App 1'!B96</f>
        <v>08 33 00</v>
      </c>
      <c r="C96" s="180" t="str">
        <f>'Pay App 1'!C96</f>
        <v>Overhead Doors/Coiling Doors</v>
      </c>
      <c r="D96" s="155">
        <f>'Pay App 1'!D96</f>
        <v>0</v>
      </c>
      <c r="E96" s="155">
        <f>VLOOKUP(B96,'Graph Data'!$O$2:$BX$88,38,FALSE)</f>
        <v>0</v>
      </c>
      <c r="F96" s="155">
        <f>IFERROR(E96+'Pay App 35'!F96,"")</f>
        <v>0</v>
      </c>
      <c r="G96" s="155">
        <f>SUM('Pay App 1:Pay App 35'!H96)</f>
        <v>0</v>
      </c>
      <c r="H96" s="154"/>
      <c r="I96" s="155">
        <f t="shared" si="0"/>
        <v>0</v>
      </c>
      <c r="J96" s="156">
        <f t="shared" si="1"/>
        <v>0</v>
      </c>
      <c r="K96" s="155">
        <f t="shared" si="2"/>
        <v>0</v>
      </c>
      <c r="L96" s="155" t="str">
        <f>IF(AND('Summary Sheet'!$E$23="No",$H$33&gt;0,H96&gt;=1),"",IF(AND('Summary Sheet'!$E$23="Yes",H96&lt;&gt;""),H96*'Summary Sheet'!$G$23,""))</f>
        <v/>
      </c>
      <c r="M96" s="154"/>
      <c r="N96" s="155">
        <f>SUM('Pay App 1:Pay App 36'!L96)+SUM('Pay App 1:Pay App 36'!M96)</f>
        <v>0</v>
      </c>
    </row>
    <row r="97" spans="1:15" ht="11.25" customHeight="1" x14ac:dyDescent="0.25">
      <c r="A97" s="152">
        <v>41</v>
      </c>
      <c r="B97" s="175" t="str">
        <f>'Pay App 1'!B97</f>
        <v>08 40 00</v>
      </c>
      <c r="C97" s="180" t="str">
        <f>'Pay App 1'!C97</f>
        <v>Curtain Wall, Glass &amp; Glazing</v>
      </c>
      <c r="D97" s="155">
        <f>'Pay App 1'!D97</f>
        <v>0</v>
      </c>
      <c r="E97" s="155">
        <f>VLOOKUP(B97,'Graph Data'!$O$2:$BX$88,38,FALSE)</f>
        <v>0</v>
      </c>
      <c r="F97" s="155">
        <f>IFERROR(E97+'Pay App 35'!F97,"")</f>
        <v>0</v>
      </c>
      <c r="G97" s="155">
        <f>SUM('Pay App 1:Pay App 35'!H97)</f>
        <v>0</v>
      </c>
      <c r="H97" s="154"/>
      <c r="I97" s="155">
        <f t="shared" si="0"/>
        <v>0</v>
      </c>
      <c r="J97" s="156">
        <f t="shared" si="1"/>
        <v>0</v>
      </c>
      <c r="K97" s="155">
        <f t="shared" si="2"/>
        <v>0</v>
      </c>
      <c r="L97" s="155" t="str">
        <f>IF(AND('Summary Sheet'!$E$23="No",$H$33&gt;0,H97&gt;=1),"",IF(AND('Summary Sheet'!$E$23="Yes",H97&lt;&gt;""),H97*'Summary Sheet'!$G$23,""))</f>
        <v/>
      </c>
      <c r="M97" s="154"/>
      <c r="N97" s="155">
        <f>SUM('Pay App 1:Pay App 36'!L97)+SUM('Pay App 1:Pay App 36'!M97)</f>
        <v>0</v>
      </c>
    </row>
    <row r="98" spans="1:15" ht="10.9" customHeight="1" x14ac:dyDescent="0.25">
      <c r="A98" s="152">
        <v>42</v>
      </c>
      <c r="B98" s="175" t="str">
        <f>'Pay App 1'!B98</f>
        <v>08 60 00</v>
      </c>
      <c r="C98" s="180" t="str">
        <f>'Pay App 1'!C98</f>
        <v>Skylights</v>
      </c>
      <c r="D98" s="155">
        <f>'Pay App 1'!D98</f>
        <v>0</v>
      </c>
      <c r="E98" s="155">
        <f>VLOOKUP(B98,'Graph Data'!$O$2:$BX$88,38,FALSE)</f>
        <v>0</v>
      </c>
      <c r="F98" s="155">
        <f>IFERROR(E98+'Pay App 35'!F98,"")</f>
        <v>0</v>
      </c>
      <c r="G98" s="155">
        <f>SUM('Pay App 1:Pay App 35'!H98)</f>
        <v>0</v>
      </c>
      <c r="H98" s="154"/>
      <c r="I98" s="155">
        <f t="shared" si="0"/>
        <v>0</v>
      </c>
      <c r="J98" s="156">
        <f t="shared" si="1"/>
        <v>0</v>
      </c>
      <c r="K98" s="155">
        <f t="shared" si="2"/>
        <v>0</v>
      </c>
      <c r="L98" s="155" t="str">
        <f>IF(AND('Summary Sheet'!$E$23="No",$H$33&gt;0,H98&gt;=1),"",IF(AND('Summary Sheet'!$E$23="Yes",H98&lt;&gt;""),H98*'Summary Sheet'!$G$23,""))</f>
        <v/>
      </c>
      <c r="M98" s="154"/>
      <c r="N98" s="155">
        <f>SUM('Pay App 1:Pay App 36'!L98)+SUM('Pay App 1:Pay App 36'!M98)</f>
        <v>0</v>
      </c>
    </row>
    <row r="99" spans="1:15" ht="10.9" customHeight="1" x14ac:dyDescent="0.25">
      <c r="A99" s="152">
        <v>43</v>
      </c>
      <c r="B99" s="175" t="str">
        <f>'Pay App 1'!B99</f>
        <v>08 90 00</v>
      </c>
      <c r="C99" s="180" t="str">
        <f>'Pay App 1'!C99</f>
        <v>Louvers &amp; Vents</v>
      </c>
      <c r="D99" s="155">
        <f>'Pay App 1'!D99</f>
        <v>0</v>
      </c>
      <c r="E99" s="155">
        <f>VLOOKUP(B99,'Graph Data'!$O$2:$BX$88,38,FALSE)</f>
        <v>0</v>
      </c>
      <c r="F99" s="155">
        <f>IFERROR(E99+'Pay App 35'!F99,"")</f>
        <v>0</v>
      </c>
      <c r="G99" s="155">
        <f>SUM('Pay App 1:Pay App 35'!H99)</f>
        <v>0</v>
      </c>
      <c r="H99" s="154"/>
      <c r="I99" s="155">
        <f t="shared" si="0"/>
        <v>0</v>
      </c>
      <c r="J99" s="156">
        <f t="shared" si="1"/>
        <v>0</v>
      </c>
      <c r="K99" s="155">
        <f t="shared" si="2"/>
        <v>0</v>
      </c>
      <c r="L99" s="155" t="str">
        <f>IF(AND('Summary Sheet'!$E$23="No",$H$33&gt;0,H99&gt;=1),"",IF(AND('Summary Sheet'!$E$23="Yes",H99&lt;&gt;""),H99*'Summary Sheet'!$G$23,""))</f>
        <v/>
      </c>
      <c r="M99" s="154"/>
      <c r="N99" s="155">
        <f>SUM('Pay App 1:Pay App 36'!L99)+SUM('Pay App 1:Pay App 36'!M99)</f>
        <v>0</v>
      </c>
    </row>
    <row r="100" spans="1:15" ht="11.25" customHeight="1" x14ac:dyDescent="0.25">
      <c r="A100" s="153">
        <v>44</v>
      </c>
      <c r="B100" s="176" t="str">
        <f>'Pay App 1'!B100</f>
        <v>09 20 00</v>
      </c>
      <c r="C100" s="181" t="str">
        <f>'Pay App 1'!C100</f>
        <v>Gypsum Board Systems</v>
      </c>
      <c r="D100" s="155">
        <f>'Pay App 1'!D100</f>
        <v>0</v>
      </c>
      <c r="E100" s="155">
        <f>VLOOKUP(B100,'Graph Data'!$O$2:$BX$88,38,FALSE)</f>
        <v>0</v>
      </c>
      <c r="F100" s="155">
        <f>IFERROR(E100+'Pay App 35'!F100,"")</f>
        <v>0</v>
      </c>
      <c r="G100" s="155">
        <f>SUM('Pay App 1:Pay App 35'!H100)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36'!L100)+SUM('Pay App 1:Pay App 36'!M100)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36.200000000000003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Data'!$O$2:$BX$88,38,FALSE)</f>
        <v>0</v>
      </c>
      <c r="F106" s="155">
        <f>IFERROR(E106+'Pay App 35'!F106,"")</f>
        <v>0</v>
      </c>
      <c r="G106" s="155">
        <f>SUM('Pay App 1:Pay App 35'!H106)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36'!L106)+SUM('Pay App 1:Pay App 36'!M106)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Data'!$O$2:$BX$88,38,FALSE)</f>
        <v>0</v>
      </c>
      <c r="F107" s="155">
        <f>IFERROR(E107+'Pay App 35'!F107,"")</f>
        <v>0</v>
      </c>
      <c r="G107" s="155">
        <f>SUM('Pay App 1:Pay App 35'!H107)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36'!L107)+SUM('Pay App 1:Pay App 36'!M107)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Data'!$O$2:$BX$88,38,FALSE)</f>
        <v>0</v>
      </c>
      <c r="F108" s="155">
        <f>IFERROR(E108+'Pay App 35'!F108,"")</f>
        <v>0</v>
      </c>
      <c r="G108" s="155">
        <f>SUM('Pay App 1:Pay App 35'!H108)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36'!L108)+SUM('Pay App 1:Pay App 36'!M108)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Data'!$O$2:$BX$88,38,FALSE)</f>
        <v>0</v>
      </c>
      <c r="F109" s="155">
        <f>IFERROR(E109+'Pay App 35'!F109,"")</f>
        <v>0</v>
      </c>
      <c r="G109" s="155">
        <f>SUM('Pay App 1:Pay App 35'!H109)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36'!L109)+SUM('Pay App 1:Pay App 36'!M109)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Data'!$O$2:$BX$88,38,FALSE)</f>
        <v>0</v>
      </c>
      <c r="F110" s="155">
        <f>IFERROR(E110+'Pay App 35'!F110,"")</f>
        <v>0</v>
      </c>
      <c r="G110" s="155">
        <f>SUM('Pay App 1:Pay App 35'!H110)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36'!L110)+SUM('Pay App 1:Pay App 36'!M110)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Data'!$O$2:$BX$88,38,FALSE)</f>
        <v>0</v>
      </c>
      <c r="F111" s="155">
        <f>IFERROR(E111+'Pay App 35'!F111,"")</f>
        <v>0</v>
      </c>
      <c r="G111" s="155">
        <f>SUM('Pay App 1:Pay App 35'!H111)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36'!L111)+SUM('Pay App 1:Pay App 36'!M111)</f>
        <v>0</v>
      </c>
    </row>
    <row r="112" spans="1:15" ht="11.25" customHeight="1" x14ac:dyDescent="0.25">
      <c r="A112" s="152">
        <f t="shared" si="3"/>
        <v>51</v>
      </c>
      <c r="B112" s="148" t="str">
        <f>'Pay App 1'!B112</f>
        <v>09 90 00</v>
      </c>
      <c r="C112" s="143" t="str">
        <f>'Pay App 1'!C112</f>
        <v>Painting</v>
      </c>
      <c r="D112" s="155">
        <f>'Pay App 1'!D112</f>
        <v>0</v>
      </c>
      <c r="E112" s="155">
        <f>VLOOKUP(B112,'Graph Data'!$O$2:$BX$88,38,FALSE)</f>
        <v>0</v>
      </c>
      <c r="F112" s="155">
        <f>IFERROR(E112+'Pay App 35'!F112,"")</f>
        <v>0</v>
      </c>
      <c r="G112" s="155">
        <f>SUM('Pay App 1:Pay App 35'!H112)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36'!L112)+SUM('Pay App 1:Pay App 36'!M112)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Data'!$O$2:$BX$88,38,FALSE)</f>
        <v>0</v>
      </c>
      <c r="F113" s="155">
        <f>IFERROR(E113+'Pay App 35'!F113,"")</f>
        <v>0</v>
      </c>
      <c r="G113" s="155">
        <f>SUM('Pay App 1:Pay App 35'!H113)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36'!L113)+SUM('Pay App 1:Pay App 36'!M113)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Data'!$O$2:$BX$88,38,FALSE)</f>
        <v>0</v>
      </c>
      <c r="F114" s="155">
        <f>IFERROR(E114+'Pay App 35'!F114,"")</f>
        <v>0</v>
      </c>
      <c r="G114" s="155">
        <f>SUM('Pay App 1:Pay App 35'!H114)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36'!L114)+SUM('Pay App 1:Pay App 36'!M114)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Data'!$O$2:$BX$88,38,FALSE)</f>
        <v>0</v>
      </c>
      <c r="F115" s="155">
        <f>IFERROR(E115+'Pay App 35'!F115,"")</f>
        <v>0</v>
      </c>
      <c r="G115" s="155">
        <f>SUM('Pay App 1:Pay App 35'!H115)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36'!L115)+SUM('Pay App 1:Pay App 36'!M115)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Data'!$O$2:$BX$88,38,FALSE)</f>
        <v>0</v>
      </c>
      <c r="F116" s="155">
        <f>IFERROR(E116+'Pay App 35'!F116,"")</f>
        <v>0</v>
      </c>
      <c r="G116" s="155">
        <f>SUM('Pay App 1:Pay App 35'!H116)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36'!L116)+SUM('Pay App 1:Pay App 36'!M116)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Data'!$O$2:$BX$88,38,FALSE)</f>
        <v>0</v>
      </c>
      <c r="F117" s="155">
        <f>IFERROR(E117+'Pay App 35'!F117,"")</f>
        <v>0</v>
      </c>
      <c r="G117" s="155">
        <f>SUM('Pay App 1:Pay App 35'!H117)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36'!L117)+SUM('Pay App 1:Pay App 36'!M117)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Data'!$O$2:$BX$88,38,FALSE)</f>
        <v>0</v>
      </c>
      <c r="F118" s="155">
        <f>IFERROR(E118+'Pay App 35'!F118,"")</f>
        <v>0</v>
      </c>
      <c r="G118" s="155">
        <f>SUM('Pay App 1:Pay App 35'!H118)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36'!L118)+SUM('Pay App 1:Pay App 36'!M118)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Data'!$O$2:$BX$88,38,FALSE)</f>
        <v>0</v>
      </c>
      <c r="F119" s="155">
        <f>IFERROR(E119+'Pay App 35'!F119,"")</f>
        <v>0</v>
      </c>
      <c r="G119" s="155">
        <f>SUM('Pay App 1:Pay App 35'!H119)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36'!L119)+SUM('Pay App 1:Pay App 36'!M119)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Data'!$O$2:$BX$88,38,FALSE)</f>
        <v>0</v>
      </c>
      <c r="F120" s="155">
        <f>IFERROR(E120+'Pay App 35'!F120,"")</f>
        <v>0</v>
      </c>
      <c r="G120" s="155">
        <f>SUM('Pay App 1:Pay App 35'!H120)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36'!L120)+SUM('Pay App 1:Pay App 36'!M120)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Data'!$O$2:$BX$88,38,FALSE)</f>
        <v>0</v>
      </c>
      <c r="F121" s="155">
        <f>IFERROR(E121+'Pay App 35'!F121,"")</f>
        <v>0</v>
      </c>
      <c r="G121" s="155">
        <f>SUM('Pay App 1:Pay App 35'!H121)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36'!L121)+SUM('Pay App 1:Pay App 36'!M121)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Data'!$O$2:$BX$88,38,FALSE)</f>
        <v>0</v>
      </c>
      <c r="F122" s="155">
        <f>IFERROR(E122+'Pay App 35'!F122,"")</f>
        <v>0</v>
      </c>
      <c r="G122" s="155">
        <f>SUM('Pay App 1:Pay App 35'!H122)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36'!L122)+SUM('Pay App 1:Pay App 36'!M122)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Data'!$O$2:$BX$88,38,FALSE)</f>
        <v>0</v>
      </c>
      <c r="F123" s="155">
        <f>IFERROR(E123+'Pay App 35'!F123,"")</f>
        <v>0</v>
      </c>
      <c r="G123" s="155">
        <f>SUM('Pay App 1:Pay App 35'!H123)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36'!L123)+SUM('Pay App 1:Pay App 36'!M123)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Data'!$O$2:$BX$88,38,FALSE)</f>
        <v>0</v>
      </c>
      <c r="F124" s="155">
        <f>IFERROR(E124+'Pay App 35'!F124,"")</f>
        <v>0</v>
      </c>
      <c r="G124" s="155">
        <f>SUM('Pay App 1:Pay App 35'!H124)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36'!L124)+SUM('Pay App 1:Pay App 36'!M124)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Data'!$O$2:$BX$88,38,FALSE)</f>
        <v>0</v>
      </c>
      <c r="F125" s="155">
        <f>IFERROR(E125+'Pay App 35'!F125,"")</f>
        <v>0</v>
      </c>
      <c r="G125" s="155">
        <f>SUM('Pay App 1:Pay App 35'!H125)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36'!L125)+SUM('Pay App 1:Pay App 36'!M125)</f>
        <v>0</v>
      </c>
    </row>
    <row r="126" spans="1:14" ht="11.25" customHeight="1" x14ac:dyDescent="0.25">
      <c r="A126" s="152">
        <f t="shared" si="3"/>
        <v>65</v>
      </c>
      <c r="B126" s="188" t="str">
        <f>'Pay App 1'!B126</f>
        <v>14 20 00</v>
      </c>
      <c r="C126" s="194" t="str">
        <f>'Pay App 1'!C126</f>
        <v>Elevator</v>
      </c>
      <c r="D126" s="155">
        <f>'Pay App 1'!D126</f>
        <v>0</v>
      </c>
      <c r="E126" s="155">
        <f>VLOOKUP(B126,'Graph Data'!$O$2:$BX$88,38,FALSE)</f>
        <v>0</v>
      </c>
      <c r="F126" s="155">
        <f>IFERROR(E126+'Pay App 35'!F126,"")</f>
        <v>0</v>
      </c>
      <c r="G126" s="155">
        <f>SUM('Pay App 1:Pay App 35'!H126)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36'!L126)+SUM('Pay App 1:Pay App 36'!M126)</f>
        <v>0</v>
      </c>
    </row>
    <row r="127" spans="1:14" ht="11.25" customHeight="1" x14ac:dyDescent="0.25">
      <c r="A127" s="152">
        <f t="shared" si="3"/>
        <v>66</v>
      </c>
      <c r="B127" s="188" t="str">
        <f>'Pay App 1'!B127</f>
        <v>14 40 00</v>
      </c>
      <c r="C127" s="194" t="str">
        <f>'Pay App 1'!C127</f>
        <v>Lifts</v>
      </c>
      <c r="D127" s="155">
        <f>'Pay App 1'!D127</f>
        <v>0</v>
      </c>
      <c r="E127" s="155">
        <f>VLOOKUP(B127,'Graph Data'!$O$2:$BX$88,38,FALSE)</f>
        <v>0</v>
      </c>
      <c r="F127" s="155">
        <f>IFERROR(E127+'Pay App 35'!F127,"")</f>
        <v>0</v>
      </c>
      <c r="G127" s="155">
        <f>SUM('Pay App 1:Pay App 35'!H127)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36'!L127)+SUM('Pay App 1:Pay App 36'!M127)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Data'!$O$2:$BX$88,38,FALSE)</f>
        <v>0</v>
      </c>
      <c r="F128" s="155">
        <f>IFERROR(E128+'Pay App 35'!F128,"")</f>
        <v>0</v>
      </c>
      <c r="G128" s="155">
        <f>SUM('Pay App 1:Pay App 35'!H128)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36'!L128)+SUM('Pay App 1:Pay App 36'!M128)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Data'!$O$2:$BX$88,38,FALSE)</f>
        <v>0</v>
      </c>
      <c r="F129" s="155">
        <f>IFERROR(E129+'Pay App 35'!F129,"")</f>
        <v>0</v>
      </c>
      <c r="G129" s="155">
        <f>SUM('Pay App 1:Pay App 35'!H129)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36'!L129)+SUM('Pay App 1:Pay App 36'!M129)</f>
        <v>0</v>
      </c>
    </row>
    <row r="130" spans="1:14" ht="11.25" customHeight="1" x14ac:dyDescent="0.25">
      <c r="A130" s="152">
        <f t="shared" si="3"/>
        <v>69</v>
      </c>
      <c r="B130" s="185" t="str">
        <f>'Pay App 1'!B130</f>
        <v>22 00 00</v>
      </c>
      <c r="C130" s="191" t="str">
        <f>'Pay App 1'!C130</f>
        <v>Plumbing</v>
      </c>
      <c r="D130" s="155">
        <f>'Pay App 1'!D130</f>
        <v>0</v>
      </c>
      <c r="E130" s="155">
        <f>VLOOKUP(B130,'Graph Data'!$O$2:$BX$88,38,FALSE)</f>
        <v>0</v>
      </c>
      <c r="F130" s="155">
        <f>IFERROR(E130+'Pay App 35'!F130,"")</f>
        <v>0</v>
      </c>
      <c r="G130" s="155">
        <f>SUM('Pay App 1:Pay App 35'!H130)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36'!L130)+SUM('Pay App 1:Pay App 36'!M130)</f>
        <v>0</v>
      </c>
    </row>
    <row r="131" spans="1:14" ht="11.25" customHeight="1" x14ac:dyDescent="0.25">
      <c r="A131" s="152">
        <f t="shared" si="3"/>
        <v>70</v>
      </c>
      <c r="B131" s="186" t="str">
        <f>'Pay App 1'!B131</f>
        <v>23 00 00</v>
      </c>
      <c r="C131" s="192" t="str">
        <f>'Pay App 1'!C131</f>
        <v>HVAC</v>
      </c>
      <c r="D131" s="155">
        <f>'Pay App 1'!D131</f>
        <v>0</v>
      </c>
      <c r="E131" s="155">
        <f>VLOOKUP(B131,'Graph Data'!$O$2:$BX$88,38,FALSE)</f>
        <v>0</v>
      </c>
      <c r="F131" s="155">
        <f>IFERROR(E131+'Pay App 35'!F131,"")</f>
        <v>0</v>
      </c>
      <c r="G131" s="155">
        <f>SUM('Pay App 1:Pay App 35'!H131)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36'!L131)+SUM('Pay App 1:Pay App 36'!M131)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Data'!$O$2:$BX$88,38,FALSE)</f>
        <v>0</v>
      </c>
      <c r="F132" s="155">
        <f>IFERROR(E132+'Pay App 35'!F132,"")</f>
        <v>0</v>
      </c>
      <c r="G132" s="155">
        <f>SUM('Pay App 1:Pay App 35'!H132)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36'!L132)+SUM('Pay App 1:Pay App 36'!M132)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Data'!$O$2:$BX$88,38,FALSE)</f>
        <v>0</v>
      </c>
      <c r="F133" s="155">
        <f>IFERROR(E133+'Pay App 35'!F133,"")</f>
        <v>0</v>
      </c>
      <c r="G133" s="155">
        <f>SUM('Pay App 1:Pay App 35'!H133)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36'!L133)+SUM('Pay App 1:Pay App 36'!M133)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Data'!$O$2:$BX$88,38,FALSE)</f>
        <v>0</v>
      </c>
      <c r="F134" s="155">
        <f>IFERROR(E134+'Pay App 35'!F134,"")</f>
        <v>0</v>
      </c>
      <c r="G134" s="155">
        <f>SUM('Pay App 1:Pay App 35'!H134)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36'!L134)+SUM('Pay App 1:Pay App 36'!M134)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Data'!$O$2:$BX$88,38,FALSE)</f>
        <v>0</v>
      </c>
      <c r="F135" s="155">
        <f>IFERROR(E135+'Pay App 35'!F135,"")</f>
        <v>0</v>
      </c>
      <c r="G135" s="155">
        <f>SUM('Pay App 1:Pay App 35'!H135)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36'!L135)+SUM('Pay App 1:Pay App 36'!M135)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Data'!$O$2:$BX$88,38,FALSE)</f>
        <v>0</v>
      </c>
      <c r="F136" s="155">
        <f>IFERROR(E136+'Pay App 35'!F136,"")</f>
        <v>0</v>
      </c>
      <c r="G136" s="155">
        <f>SUM('Pay App 1:Pay App 35'!H136)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36'!L136)+SUM('Pay App 1:Pay App 36'!M136)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Data'!$O$2:$BX$88,38,FALSE)</f>
        <v>0</v>
      </c>
      <c r="F137" s="155">
        <f>IFERROR(E137+'Pay App 35'!F137,"")</f>
        <v>0</v>
      </c>
      <c r="G137" s="155">
        <f>SUM('Pay App 1:Pay App 35'!H137)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36'!L137)+SUM('Pay App 1:Pay App 36'!M137)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Data'!$O$2:$BX$88,38,FALSE)</f>
        <v>0</v>
      </c>
      <c r="F138" s="155">
        <f>IFERROR(E138+'Pay App 35'!F138,"")</f>
        <v>0</v>
      </c>
      <c r="G138" s="155">
        <f>SUM('Pay App 1:Pay App 35'!H138)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36'!L138)+SUM('Pay App 1:Pay App 36'!M138)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Data'!$O$2:$BX$88,38,FALSE)</f>
        <v>0</v>
      </c>
      <c r="F139" s="155">
        <f>IFERROR(E139+'Pay App 35'!F139,"")</f>
        <v>0</v>
      </c>
      <c r="G139" s="155">
        <f>SUM('Pay App 1:Pay App 35'!H139)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36'!L139)+SUM('Pay App 1:Pay App 36'!M139)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Data'!$O$2:$BX$88,38,FALSE)</f>
        <v>0</v>
      </c>
      <c r="F140" s="155">
        <f>IFERROR(E140+'Pay App 35'!F140,"")</f>
        <v>0</v>
      </c>
      <c r="G140" s="155">
        <f>SUM('Pay App 1:Pay App 35'!H140)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36'!L140)+SUM('Pay App 1:Pay App 36'!M140)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Data'!$O$2:$BX$88,38,FALSE)</f>
        <v>0</v>
      </c>
      <c r="F141" s="155">
        <f>IFERROR(E141+'Pay App 35'!F141,"")</f>
        <v>0</v>
      </c>
      <c r="G141" s="155">
        <f>SUM('Pay App 1:Pay App 35'!H141)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36'!L141)+SUM('Pay App 1:Pay App 36'!M141)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Data'!$O$2:$BX$88,38,FALSE)</f>
        <v>0</v>
      </c>
      <c r="F142" s="155">
        <f>IFERROR(E142+'Pay App 35'!F142,"")</f>
        <v>0</v>
      </c>
      <c r="G142" s="155">
        <f>SUM('Pay App 1:Pay App 35'!H142)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36'!L142)+SUM('Pay App 1:Pay App 36'!M142)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Data'!$O$2:$BX$88,38,FALSE)</f>
        <v>0</v>
      </c>
      <c r="F143" s="155">
        <f>IFERROR(E143+'Pay App 35'!F143,"")</f>
        <v>0</v>
      </c>
      <c r="G143" s="155">
        <f>SUM('Pay App 1:Pay App 35'!H143)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36'!L143)+SUM('Pay App 1:Pay App 36'!M143)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Data'!$O$2:$BX$88,38,FALSE)</f>
        <v>0</v>
      </c>
      <c r="F144" s="155">
        <f>IFERROR(E144+'Pay App 35'!F144,"")</f>
        <v>0</v>
      </c>
      <c r="G144" s="155">
        <f>SUM('Pay App 1:Pay App 35'!H144)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36'!L144)+SUM('Pay App 1:Pay App 36'!M144)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Data'!$O$2:$BX$88,38,FALSE)</f>
        <v>0</v>
      </c>
      <c r="F145" s="155">
        <f>IFERROR(E145+'Pay App 35'!F145,"")</f>
        <v>0</v>
      </c>
      <c r="G145" s="155">
        <f>SUM('Pay App 1:Pay App 35'!H145)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36'!L145)+SUM('Pay App 1:Pay App 36'!M145)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Data'!$O$2:$BX$88,38,FALSE)</f>
        <v>0</v>
      </c>
      <c r="F146" s="155">
        <f>IFERROR(E146+'Pay App 35'!F146,"")</f>
        <v>0</v>
      </c>
      <c r="G146" s="155">
        <f>SUM('Pay App 1:Pay App 35'!H146)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36'!L146)+SUM('Pay App 1:Pay App 36'!M146)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Data'!$O$2:$BX$88,38,FALSE)</f>
        <v>0</v>
      </c>
      <c r="F147" s="155">
        <f>IFERROR(E147+'Pay App 35'!F147,"")</f>
        <v>0</v>
      </c>
      <c r="G147" s="155">
        <f>SUM('Pay App 1:Pay App 35'!H147)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36'!L147)+SUM('Pay App 1:Pay App 36'!M147)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Data'!$O$2:$BX$88,38,FALSE)</f>
        <v>0</v>
      </c>
      <c r="F148" s="155">
        <f>IFERROR(E148+'Pay App 35'!F148,"")</f>
        <v>0</v>
      </c>
      <c r="G148" s="155">
        <f>SUM('Pay App 1:Pay App 35'!H148)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36'!L148)+SUM('Pay App 1:Pay App 36'!M148)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Wxbc5U7uA+uuGfY2rtvDPHqD/xM2ai0KC2jxyhhq8NIxJU16964tga8f//gYsLGUmTPf9TqW2wpXCeRSc37qGg==" saltValue="tn9Yi6IbYMsP2HDHDwguH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74" priority="2" operator="equal">
      <formula>0</formula>
    </cfRule>
  </conditionalFormatting>
  <conditionalFormatting sqref="D106:G148">
    <cfRule type="cellIs" dxfId="273" priority="1" operator="equal">
      <formula>0</formula>
    </cfRule>
  </conditionalFormatting>
  <conditionalFormatting sqref="D10:H10 D12:H14 D19:H21">
    <cfRule type="cellIs" dxfId="272" priority="6" operator="equal">
      <formula>0</formula>
    </cfRule>
  </conditionalFormatting>
  <conditionalFormatting sqref="H51">
    <cfRule type="cellIs" dxfId="271" priority="9" operator="lessThan">
      <formula>0</formula>
    </cfRule>
  </conditionalFormatting>
  <conditionalFormatting sqref="I57:I100 K57:K100 I106:I148 K106:K148 N106:N148">
    <cfRule type="cellIs" dxfId="270" priority="14" operator="equal">
      <formula>0</formula>
    </cfRule>
  </conditionalFormatting>
  <conditionalFormatting sqref="J57:J100 J106:J149">
    <cfRule type="cellIs" dxfId="269" priority="11" operator="greaterThan">
      <formula>1</formula>
    </cfRule>
    <cfRule type="cellIs" dxfId="268" priority="12" operator="equal">
      <formula>0</formula>
    </cfRule>
  </conditionalFormatting>
  <conditionalFormatting sqref="K57:K100 K106:K148">
    <cfRule type="cellIs" dxfId="267" priority="10" operator="lessThan">
      <formula>0</formula>
    </cfRule>
  </conditionalFormatting>
  <conditionalFormatting sqref="M57:M100">
    <cfRule type="cellIs" dxfId="266" priority="13" operator="lessThan">
      <formula>0</formula>
    </cfRule>
  </conditionalFormatting>
  <conditionalFormatting sqref="M106:M148">
    <cfRule type="cellIs" dxfId="265" priority="8" operator="lessThan">
      <formula>0</formula>
    </cfRule>
  </conditionalFormatting>
  <conditionalFormatting sqref="N57:N100">
    <cfRule type="cellIs" dxfId="26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3A43294D-419A-41C9-BBE0-5C26B7E7AE6D}">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88141-1BB7-4B6D-A133-3D7A7037FDF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37.1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Data'!$O$2:$BX$88,39,FALSE)</f>
        <v>0</v>
      </c>
      <c r="F57" s="155">
        <f>IFERROR(E57+'Pay App 36'!F57,"")</f>
        <v>0</v>
      </c>
      <c r="G57" s="155">
        <f>SUM('Pay App 1:Pay App 36'!H57)</f>
        <v>0</v>
      </c>
      <c r="H57" s="154"/>
      <c r="I57" s="155">
        <f>G57+H57</f>
        <v>0</v>
      </c>
      <c r="J57" s="156">
        <f>IFERROR(I57/F57,0)</f>
        <v>0</v>
      </c>
      <c r="K57" s="155">
        <f>IFERROR(F57-I57,"")</f>
        <v>0</v>
      </c>
      <c r="L57" s="155" t="str">
        <f>IF(AND('Summary Sheet'!$E$23="No",$H$33&gt;0,H57&gt;=1),"",IF(AND('Summary Sheet'!$E$23="Yes",H57&lt;&gt;""),H57*'Summary Sheet'!$G$23,""))</f>
        <v/>
      </c>
      <c r="M57" s="154"/>
      <c r="N57" s="155">
        <f>SUM('Pay App 1:Pay App 37'!L57)+SUM('Pay App 1:Pay App 37'!M57)</f>
        <v>0</v>
      </c>
    </row>
    <row r="58" spans="1:16" ht="11.25" customHeight="1" x14ac:dyDescent="0.25">
      <c r="A58" s="152">
        <v>2</v>
      </c>
      <c r="B58" s="145" t="str">
        <f>'Pay App 1'!B58</f>
        <v>00 02 00</v>
      </c>
      <c r="C58" s="134" t="str">
        <f>'Pay App 1'!C58</f>
        <v>Preconstruction Services</v>
      </c>
      <c r="D58" s="155">
        <f>'Pay App 1'!D58</f>
        <v>0</v>
      </c>
      <c r="E58" s="155">
        <f>VLOOKUP(B58,'Graph Data'!$O$2:$BX$88,39,FALSE)</f>
        <v>0</v>
      </c>
      <c r="F58" s="155">
        <f>IFERROR(E58+'Pay App 36'!F58,"")</f>
        <v>0</v>
      </c>
      <c r="G58" s="155">
        <f>SUM('Pay App 1:Pay App 36'!H58)</f>
        <v>0</v>
      </c>
      <c r="H58" s="154"/>
      <c r="I58" s="155">
        <f>G58+H58</f>
        <v>0</v>
      </c>
      <c r="J58" s="156">
        <f>IFERROR(I58/F58,0)</f>
        <v>0</v>
      </c>
      <c r="K58" s="155">
        <f>IFERROR(F58-I58,"")</f>
        <v>0</v>
      </c>
      <c r="L58" s="155" t="str">
        <f>IF(AND('Summary Sheet'!$E$23="No",$H$33&gt;0,H58&gt;=1),"",IF(AND('Summary Sheet'!$E$23="Yes",H58&lt;&gt;""),H58*'Summary Sheet'!$G$23,""))</f>
        <v/>
      </c>
      <c r="M58" s="154"/>
      <c r="N58" s="155">
        <f>SUM('Pay App 1:Pay App 37'!L58)+SUM('Pay App 1:Pay App 37'!M58)</f>
        <v>0</v>
      </c>
    </row>
    <row r="59" spans="1:16" ht="11.25" customHeight="1" x14ac:dyDescent="0.25">
      <c r="A59" s="152">
        <v>3</v>
      </c>
      <c r="B59" s="174" t="str">
        <f>'Pay App 1'!B59</f>
        <v>01 00 00</v>
      </c>
      <c r="C59" s="179" t="str">
        <f>'Pay App 1'!C59</f>
        <v>General Conditions/Requirements</v>
      </c>
      <c r="D59" s="155">
        <f>'Pay App 1'!D59</f>
        <v>0</v>
      </c>
      <c r="E59" s="155">
        <f>VLOOKUP(B59,'Graph Data'!$O$2:$BX$88,39,FALSE)</f>
        <v>0</v>
      </c>
      <c r="F59" s="155">
        <f>IFERROR(E59+'Pay App 36'!F59,"")</f>
        <v>0</v>
      </c>
      <c r="G59" s="155">
        <f>SUM('Pay App 1:Pay App 36'!H59)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37'!L59)+SUM('Pay App 1:Pay App 37'!M59)</f>
        <v>0</v>
      </c>
    </row>
    <row r="60" spans="1:16" ht="11.25" customHeight="1" x14ac:dyDescent="0.25">
      <c r="A60" s="152">
        <v>4</v>
      </c>
      <c r="B60" s="174" t="str">
        <f>'Pay App 1'!B60</f>
        <v>01 13 41</v>
      </c>
      <c r="C60" s="179" t="str">
        <f>'Pay App 1'!C60</f>
        <v>Temp. Scaffolding and Platforms</v>
      </c>
      <c r="D60" s="155">
        <f>'Pay App 1'!D60</f>
        <v>0</v>
      </c>
      <c r="E60" s="155">
        <f>VLOOKUP(B60,'Graph Data'!$O$2:$BX$88,39,FALSE)</f>
        <v>0</v>
      </c>
      <c r="F60" s="155">
        <f>IFERROR(E60+'Pay App 36'!F60,"")</f>
        <v>0</v>
      </c>
      <c r="G60" s="155">
        <f>SUM('Pay App 1:Pay App 36'!H60)</f>
        <v>0</v>
      </c>
      <c r="H60" s="154"/>
      <c r="I60" s="155">
        <f t="shared" si="0"/>
        <v>0</v>
      </c>
      <c r="J60" s="156">
        <f t="shared" si="1"/>
        <v>0</v>
      </c>
      <c r="K60" s="155">
        <f t="shared" si="2"/>
        <v>0</v>
      </c>
      <c r="L60" s="155" t="str">
        <f>IF(AND('Summary Sheet'!$E$23="No",$H$33&gt;0,H60&gt;=1),"",IF(AND('Summary Sheet'!$E$23="Yes",H60&lt;&gt;""),H60*'Summary Sheet'!$G$23,""))</f>
        <v/>
      </c>
      <c r="M60" s="154"/>
      <c r="N60" s="155">
        <f>SUM('Pay App 1:Pay App 37'!L60)+SUM('Pay App 1:Pay App 37'!M60)</f>
        <v>0</v>
      </c>
    </row>
    <row r="61" spans="1:16" ht="11.25" customHeight="1" x14ac:dyDescent="0.25">
      <c r="A61" s="152">
        <v>5</v>
      </c>
      <c r="B61" s="174" t="str">
        <f>'Pay App 1'!B61</f>
        <v>01 13 60</v>
      </c>
      <c r="C61" s="179" t="str">
        <f>'Pay App 1'!C61</f>
        <v>SWPPP</v>
      </c>
      <c r="D61" s="155">
        <f>'Pay App 1'!D61</f>
        <v>0</v>
      </c>
      <c r="E61" s="155">
        <f>VLOOKUP(B61,'Graph Data'!$O$2:$BX$88,39,FALSE)</f>
        <v>0</v>
      </c>
      <c r="F61" s="155">
        <f>IFERROR(E61+'Pay App 36'!F61,"")</f>
        <v>0</v>
      </c>
      <c r="G61" s="155">
        <f>SUM('Pay App 1:Pay App 36'!H61)</f>
        <v>0</v>
      </c>
      <c r="H61" s="154"/>
      <c r="I61" s="155">
        <f t="shared" si="0"/>
        <v>0</v>
      </c>
      <c r="J61" s="156">
        <f t="shared" si="1"/>
        <v>0</v>
      </c>
      <c r="K61" s="155">
        <f t="shared" si="2"/>
        <v>0</v>
      </c>
      <c r="L61" s="155" t="str">
        <f>IF(AND('Summary Sheet'!$E$23="No",$H$33&gt;0,H61&gt;=1),"",IF(AND('Summary Sheet'!$E$23="Yes",H61&lt;&gt;""),H61*'Summary Sheet'!$G$23,""))</f>
        <v/>
      </c>
      <c r="M61" s="154"/>
      <c r="N61" s="155">
        <f>SUM('Pay App 1:Pay App 37'!L61)+SUM('Pay App 1:Pay App 37'!M61)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Data'!$O$2:$BX$88,39,FALSE)</f>
        <v>0</v>
      </c>
      <c r="F62" s="155">
        <f>IFERROR(E62+'Pay App 36'!F62,"")</f>
        <v>0</v>
      </c>
      <c r="G62" s="155">
        <f>SUM('Pay App 1:Pay App 36'!H62)</f>
        <v>0</v>
      </c>
      <c r="H62" s="154"/>
      <c r="I62" s="155">
        <f t="shared" si="0"/>
        <v>0</v>
      </c>
      <c r="J62" s="156">
        <f t="shared" si="1"/>
        <v>0</v>
      </c>
      <c r="K62" s="155">
        <f t="shared" si="2"/>
        <v>0</v>
      </c>
      <c r="L62" s="155" t="str">
        <f>IF(AND('Summary Sheet'!$E$23="No",$H$33&gt;0,H62&gt;=1),"",IF(AND('Summary Sheet'!$E$23="Yes",H62&lt;&gt;""),H62*'Summary Sheet'!$G$23,""))</f>
        <v/>
      </c>
      <c r="M62" s="154"/>
      <c r="N62" s="155">
        <f>SUM('Pay App 1:Pay App 37'!L62)+SUM('Pay App 1:Pay App 37'!M62)</f>
        <v>0</v>
      </c>
    </row>
    <row r="63" spans="1:16" ht="11.25" customHeight="1" x14ac:dyDescent="0.25">
      <c r="A63" s="152">
        <v>7</v>
      </c>
      <c r="B63" s="174" t="str">
        <f>'Pay App 1'!B63</f>
        <v>01 31 00</v>
      </c>
      <c r="C63" s="179" t="str">
        <f>'Pay App 1'!C63</f>
        <v>Contractor's Supervision</v>
      </c>
      <c r="D63" s="155">
        <f>'Pay App 1'!D63</f>
        <v>0</v>
      </c>
      <c r="E63" s="155">
        <f>VLOOKUP(B63,'Graph Data'!$O$2:$BX$88,39,FALSE)</f>
        <v>0</v>
      </c>
      <c r="F63" s="155">
        <f>IFERROR(E63+'Pay App 36'!F63,"")</f>
        <v>0</v>
      </c>
      <c r="G63" s="155">
        <f>SUM('Pay App 1:Pay App 36'!H63)</f>
        <v>0</v>
      </c>
      <c r="H63" s="154"/>
      <c r="I63" s="155">
        <f t="shared" si="0"/>
        <v>0</v>
      </c>
      <c r="J63" s="156">
        <f t="shared" si="1"/>
        <v>0</v>
      </c>
      <c r="K63" s="155">
        <f t="shared" si="2"/>
        <v>0</v>
      </c>
      <c r="L63" s="155" t="str">
        <f>IF(AND('Summary Sheet'!$E$23="No",$H$33&gt;0,H63&gt;=1),"",IF(AND('Summary Sheet'!$E$23="Yes",H63&lt;&gt;""),H63*'Summary Sheet'!$G$23,""))</f>
        <v/>
      </c>
      <c r="M63" s="154"/>
      <c r="N63" s="155">
        <f>SUM('Pay App 1:Pay App 37'!L63)+SUM('Pay App 1:Pay App 37'!M63)</f>
        <v>0</v>
      </c>
    </row>
    <row r="64" spans="1:16" ht="11.25" customHeight="1" x14ac:dyDescent="0.25">
      <c r="A64" s="152">
        <v>8</v>
      </c>
      <c r="B64" s="174" t="str">
        <f>'Pay App 1'!B64</f>
        <v>01 32 00</v>
      </c>
      <c r="C64" s="179" t="str">
        <f>'Pay App 1'!C64</f>
        <v>General Liability Insurance</v>
      </c>
      <c r="D64" s="155">
        <f>'Pay App 1'!D64</f>
        <v>0</v>
      </c>
      <c r="E64" s="155">
        <f>VLOOKUP(B64,'Graph Data'!$O$2:$BX$88,39,FALSE)</f>
        <v>0</v>
      </c>
      <c r="F64" s="155">
        <f>IFERROR(E64+'Pay App 36'!F64,"")</f>
        <v>0</v>
      </c>
      <c r="G64" s="155">
        <f>SUM('Pay App 1:Pay App 36'!H64)</f>
        <v>0</v>
      </c>
      <c r="H64" s="154"/>
      <c r="I64" s="155">
        <f t="shared" si="0"/>
        <v>0</v>
      </c>
      <c r="J64" s="156">
        <f t="shared" si="1"/>
        <v>0</v>
      </c>
      <c r="K64" s="155">
        <f t="shared" si="2"/>
        <v>0</v>
      </c>
      <c r="L64" s="155" t="str">
        <f>IF(AND('Summary Sheet'!$E$23="No",$H$33&gt;0,H64&gt;=1),"",IF(AND('Summary Sheet'!$E$23="Yes",H64&lt;&gt;""),H64*'Summary Sheet'!$G$23,""))</f>
        <v/>
      </c>
      <c r="M64" s="154"/>
      <c r="N64" s="155">
        <f>SUM('Pay App 1:Pay App 37'!L64)+SUM('Pay App 1:Pay App 37'!M64)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Data'!$O$2:$BX$88,39,FALSE)</f>
        <v>0</v>
      </c>
      <c r="F65" s="155">
        <f>IFERROR(E65+'Pay App 36'!F65,"")</f>
        <v>0</v>
      </c>
      <c r="G65" s="155">
        <f>SUM('Pay App 1:Pay App 36'!H65)</f>
        <v>0</v>
      </c>
      <c r="H65" s="154"/>
      <c r="I65" s="155">
        <f t="shared" si="0"/>
        <v>0</v>
      </c>
      <c r="J65" s="156">
        <f t="shared" si="1"/>
        <v>0</v>
      </c>
      <c r="K65" s="155">
        <f t="shared" si="2"/>
        <v>0</v>
      </c>
      <c r="L65" s="155" t="str">
        <f>IF(AND('Summary Sheet'!$E$23="No",$H$33&gt;0,H65&gt;=1),"",IF(AND('Summary Sheet'!$E$23="Yes",H65&lt;&gt;""),H65*'Summary Sheet'!$G$23,""))</f>
        <v/>
      </c>
      <c r="M65" s="154"/>
      <c r="N65" s="155">
        <f>SUM('Pay App 1:Pay App 37'!L65)+SUM('Pay App 1:Pay App 37'!M65)</f>
        <v>0</v>
      </c>
    </row>
    <row r="66" spans="1:17" ht="11.25" customHeight="1" x14ac:dyDescent="0.25">
      <c r="A66" s="152">
        <v>10</v>
      </c>
      <c r="B66" s="174" t="str">
        <f>'Pay App 1'!B66</f>
        <v>01 34 00</v>
      </c>
      <c r="C66" s="179" t="str">
        <f>'Pay App 1'!C66</f>
        <v>Subcontractor Default Insurance</v>
      </c>
      <c r="D66" s="155">
        <f>'Pay App 1'!D66</f>
        <v>0</v>
      </c>
      <c r="E66" s="155">
        <f>VLOOKUP(B66,'Graph Data'!$O$2:$BX$88,39,FALSE)</f>
        <v>0</v>
      </c>
      <c r="F66" s="155">
        <f>IFERROR(E66+'Pay App 36'!F66,"")</f>
        <v>0</v>
      </c>
      <c r="G66" s="155">
        <f>SUM('Pay App 1:Pay App 36'!H66)</f>
        <v>0</v>
      </c>
      <c r="H66" s="154"/>
      <c r="I66" s="155">
        <f t="shared" si="0"/>
        <v>0</v>
      </c>
      <c r="J66" s="156">
        <f t="shared" si="1"/>
        <v>0</v>
      </c>
      <c r="K66" s="155">
        <f t="shared" si="2"/>
        <v>0</v>
      </c>
      <c r="L66" s="155" t="str">
        <f>IF(AND('Summary Sheet'!$E$23="No",$H$33&gt;0,H66&gt;=1),"",IF(AND('Summary Sheet'!$E$23="Yes",H66&lt;&gt;""),H66*'Summary Sheet'!$G$23,""))</f>
        <v/>
      </c>
      <c r="M66" s="154"/>
      <c r="N66" s="155">
        <f>SUM('Pay App 1:Pay App 37'!L66)+SUM('Pay App 1:Pay App 37'!M66)</f>
        <v>0</v>
      </c>
    </row>
    <row r="67" spans="1:17" ht="11.25" customHeight="1" x14ac:dyDescent="0.25">
      <c r="A67" s="152">
        <v>11</v>
      </c>
      <c r="B67" s="174" t="str">
        <f>'Pay App 1'!B67</f>
        <v>01 35 00</v>
      </c>
      <c r="C67" s="179" t="str">
        <f>'Pay App 1'!C67</f>
        <v>Construction Management Fee</v>
      </c>
      <c r="D67" s="155">
        <f>'Pay App 1'!D67</f>
        <v>0</v>
      </c>
      <c r="E67" s="155">
        <f>VLOOKUP(B67,'Graph Data'!$O$2:$BX$88,39,FALSE)</f>
        <v>0</v>
      </c>
      <c r="F67" s="155">
        <f>IFERROR(E67+'Pay App 36'!F67,"")</f>
        <v>0</v>
      </c>
      <c r="G67" s="155">
        <f>SUM('Pay App 1:Pay App 36'!H67)</f>
        <v>0</v>
      </c>
      <c r="H67" s="154"/>
      <c r="I67" s="155">
        <f t="shared" si="0"/>
        <v>0</v>
      </c>
      <c r="J67" s="156">
        <f t="shared" si="1"/>
        <v>0</v>
      </c>
      <c r="K67" s="155">
        <f t="shared" si="2"/>
        <v>0</v>
      </c>
      <c r="L67" s="155" t="str">
        <f>IF(AND('Summary Sheet'!$E$23="No",$H$33&gt;0,H67&gt;=1),"",IF(AND('Summary Sheet'!$E$23="Yes",H67&lt;&gt;""),H67*'Summary Sheet'!$G$23,""))</f>
        <v/>
      </c>
      <c r="M67" s="154"/>
      <c r="N67" s="155">
        <f>SUM('Pay App 1:Pay App 37'!L67)+SUM('Pay App 1:Pay App 37'!M67)</f>
        <v>0</v>
      </c>
    </row>
    <row r="68" spans="1:17" ht="11.25" customHeight="1" x14ac:dyDescent="0.25">
      <c r="A68" s="152">
        <v>12</v>
      </c>
      <c r="B68" s="174" t="str">
        <f>'Pay App 1'!B68</f>
        <v>01 36 00</v>
      </c>
      <c r="C68" s="179" t="str">
        <f>'Pay App 1'!C68</f>
        <v>Contingency</v>
      </c>
      <c r="D68" s="155">
        <f>'Pay App 1'!D68</f>
        <v>0</v>
      </c>
      <c r="E68" s="155">
        <f>VLOOKUP(B68,'Graph Data'!$O$2:$BX$88,39,FALSE)</f>
        <v>0</v>
      </c>
      <c r="F68" s="155">
        <f>IFERROR(E68+'Pay App 36'!F68,"")</f>
        <v>0</v>
      </c>
      <c r="G68" s="155">
        <f>SUM('Pay App 1:Pay App 36'!H68)</f>
        <v>0</v>
      </c>
      <c r="H68" s="154"/>
      <c r="I68" s="155">
        <f t="shared" si="0"/>
        <v>0</v>
      </c>
      <c r="J68" s="156">
        <f t="shared" si="1"/>
        <v>0</v>
      </c>
      <c r="K68" s="155">
        <f t="shared" si="2"/>
        <v>0</v>
      </c>
      <c r="L68" s="155" t="str">
        <f>IF(AND('Summary Sheet'!$E$23="No",$H$33&gt;0,H68&gt;=1),"",IF(AND('Summary Sheet'!$E$23="Yes",H68&lt;&gt;""),H68*'Summary Sheet'!$G$23,""))</f>
        <v/>
      </c>
      <c r="M68" s="154"/>
      <c r="N68" s="155">
        <f>SUM('Pay App 1:Pay App 37'!L68)+SUM('Pay App 1:Pay App 37'!M68)</f>
        <v>0</v>
      </c>
    </row>
    <row r="69" spans="1:17" ht="11.25" customHeight="1" x14ac:dyDescent="0.25">
      <c r="A69" s="152">
        <v>13</v>
      </c>
      <c r="B69" s="174" t="str">
        <f>'Pay App 1'!B69</f>
        <v>01 37 00</v>
      </c>
      <c r="C69" s="179" t="str">
        <f>'Pay App 1'!C69</f>
        <v>Weather Allowance (All Trades)</v>
      </c>
      <c r="D69" s="155">
        <f>'Pay App 1'!D69</f>
        <v>0</v>
      </c>
      <c r="E69" s="155">
        <f>VLOOKUP(B69,'Graph Data'!$O$2:$BX$88,39,FALSE)</f>
        <v>0</v>
      </c>
      <c r="F69" s="155">
        <f>IFERROR(E69+'Pay App 36'!F69,"")</f>
        <v>0</v>
      </c>
      <c r="G69" s="155">
        <f>SUM('Pay App 1:Pay App 36'!H69)</f>
        <v>0</v>
      </c>
      <c r="H69" s="154"/>
      <c r="I69" s="155">
        <f t="shared" si="0"/>
        <v>0</v>
      </c>
      <c r="J69" s="156">
        <f t="shared" si="1"/>
        <v>0</v>
      </c>
      <c r="K69" s="155">
        <f t="shared" si="2"/>
        <v>0</v>
      </c>
      <c r="L69" s="155" t="str">
        <f>IF(AND('Summary Sheet'!$E$23="No",$H$33&gt;0,H69&gt;=1),"",IF(AND('Summary Sheet'!$E$23="Yes",H69&lt;&gt;""),H69*'Summary Sheet'!$G$23,""))</f>
        <v/>
      </c>
      <c r="M69" s="154"/>
      <c r="N69" s="155">
        <f>SUM('Pay App 1:Pay App 37'!L69)+SUM('Pay App 1:Pay App 37'!M69)</f>
        <v>0</v>
      </c>
    </row>
    <row r="70" spans="1:17" ht="11.25" customHeight="1" x14ac:dyDescent="0.25">
      <c r="A70" s="152">
        <v>14</v>
      </c>
      <c r="B70" s="174" t="str">
        <f>'Pay App 1'!B70</f>
        <v>01 74 23</v>
      </c>
      <c r="C70" s="179" t="str">
        <f>'Pay App 1'!C70</f>
        <v>Cleaning (Final)</v>
      </c>
      <c r="D70" s="155">
        <f>'Pay App 1'!D70</f>
        <v>0</v>
      </c>
      <c r="E70" s="155">
        <f>VLOOKUP(B70,'Graph Data'!$O$2:$BX$88,39,FALSE)</f>
        <v>0</v>
      </c>
      <c r="F70" s="155">
        <f>IFERROR(E70+'Pay App 36'!F70,"")</f>
        <v>0</v>
      </c>
      <c r="G70" s="155">
        <f>SUM('Pay App 1:Pay App 36'!H70)</f>
        <v>0</v>
      </c>
      <c r="H70" s="154"/>
      <c r="I70" s="155">
        <f t="shared" si="0"/>
        <v>0</v>
      </c>
      <c r="J70" s="156">
        <f t="shared" si="1"/>
        <v>0</v>
      </c>
      <c r="K70" s="155">
        <f t="shared" si="2"/>
        <v>0</v>
      </c>
      <c r="L70" s="155" t="str">
        <f>IF(AND('Summary Sheet'!$E$23="No",$H$33&gt;0,H70&gt;=1),"",IF(AND('Summary Sheet'!$E$23="Yes",H70&lt;&gt;""),H70*'Summary Sheet'!$G$23,""))</f>
        <v/>
      </c>
      <c r="M70" s="154"/>
      <c r="N70" s="155">
        <f>SUM('Pay App 1:Pay App 37'!L70)+SUM('Pay App 1:Pay App 37'!M70)</f>
        <v>0</v>
      </c>
    </row>
    <row r="71" spans="1:17" ht="11.25" customHeight="1" x14ac:dyDescent="0.25">
      <c r="A71" s="152">
        <v>15</v>
      </c>
      <c r="B71" s="175" t="str">
        <f>'Pay App 1'!B71</f>
        <v>02 21 00</v>
      </c>
      <c r="C71" s="180" t="str">
        <f>'Pay App 1'!C71</f>
        <v>Survey/Engineering</v>
      </c>
      <c r="D71" s="155">
        <f>'Pay App 1'!D71</f>
        <v>0</v>
      </c>
      <c r="E71" s="155">
        <f>VLOOKUP(B71,'Graph Data'!$O$2:$BX$88,39,FALSE)</f>
        <v>0</v>
      </c>
      <c r="F71" s="155">
        <f>IFERROR(E71+'Pay App 36'!F71,"")</f>
        <v>0</v>
      </c>
      <c r="G71" s="155">
        <f>SUM('Pay App 1:Pay App 36'!H71)</f>
        <v>0</v>
      </c>
      <c r="H71" s="154"/>
      <c r="I71" s="155">
        <f t="shared" si="0"/>
        <v>0</v>
      </c>
      <c r="J71" s="156">
        <f t="shared" si="1"/>
        <v>0</v>
      </c>
      <c r="K71" s="155">
        <f t="shared" si="2"/>
        <v>0</v>
      </c>
      <c r="L71" s="155" t="str">
        <f>IF(AND('Summary Sheet'!$E$23="No",$H$33&gt;0,H71&gt;=1),"",IF(AND('Summary Sheet'!$E$23="Yes",H71&lt;&gt;""),H71*'Summary Sheet'!$G$23,""))</f>
        <v/>
      </c>
      <c r="M71" s="154"/>
      <c r="N71" s="155">
        <f>SUM('Pay App 1:Pay App 37'!L71)+SUM('Pay App 1:Pay App 37'!M71)</f>
        <v>0</v>
      </c>
      <c r="Q71" s="28"/>
    </row>
    <row r="72" spans="1:17" ht="11.25" customHeight="1" x14ac:dyDescent="0.25">
      <c r="A72" s="152">
        <v>16</v>
      </c>
      <c r="B72" s="175" t="str">
        <f>'Pay App 1'!B72</f>
        <v>02 41 00</v>
      </c>
      <c r="C72" s="180" t="str">
        <f>'Pay App 1'!C72</f>
        <v>Demolition</v>
      </c>
      <c r="D72" s="155">
        <f>'Pay App 1'!D72</f>
        <v>0</v>
      </c>
      <c r="E72" s="155">
        <f>VLOOKUP(B72,'Graph Data'!$O$2:$BX$88,39,FALSE)</f>
        <v>0</v>
      </c>
      <c r="F72" s="155">
        <f>IFERROR(E72+'Pay App 36'!F72,"")</f>
        <v>0</v>
      </c>
      <c r="G72" s="155">
        <f>SUM('Pay App 1:Pay App 36'!H72)</f>
        <v>0</v>
      </c>
      <c r="H72" s="154"/>
      <c r="I72" s="155">
        <f t="shared" si="0"/>
        <v>0</v>
      </c>
      <c r="J72" s="156">
        <f t="shared" si="1"/>
        <v>0</v>
      </c>
      <c r="K72" s="155">
        <f t="shared" si="2"/>
        <v>0</v>
      </c>
      <c r="L72" s="155" t="str">
        <f>IF(AND('Summary Sheet'!$E$23="No",$H$33&gt;0,H72&gt;=1),"",IF(AND('Summary Sheet'!$E$23="Yes",H72&lt;&gt;""),H72*'Summary Sheet'!$G$23,""))</f>
        <v/>
      </c>
      <c r="M72" s="154"/>
      <c r="N72" s="155">
        <f>SUM('Pay App 1:Pay App 37'!L72)+SUM('Pay App 1:Pay App 37'!M72)</f>
        <v>0</v>
      </c>
      <c r="Q72" s="28"/>
    </row>
    <row r="73" spans="1:17" ht="11.25" customHeight="1" x14ac:dyDescent="0.25">
      <c r="A73" s="152">
        <v>17</v>
      </c>
      <c r="B73" s="175" t="str">
        <f>'Pay App 1'!B73</f>
        <v>02 82 00</v>
      </c>
      <c r="C73" s="180" t="str">
        <f>'Pay App 1'!C73</f>
        <v>Asbestos Abatement</v>
      </c>
      <c r="D73" s="155">
        <f>'Pay App 1'!D73</f>
        <v>0</v>
      </c>
      <c r="E73" s="155">
        <f>VLOOKUP(B73,'Graph Data'!$O$2:$BX$88,39,FALSE)</f>
        <v>0</v>
      </c>
      <c r="F73" s="155">
        <f>IFERROR(E73+'Pay App 36'!F73,"")</f>
        <v>0</v>
      </c>
      <c r="G73" s="155">
        <f>SUM('Pay App 1:Pay App 36'!H73)</f>
        <v>0</v>
      </c>
      <c r="H73" s="154"/>
      <c r="I73" s="155">
        <f t="shared" si="0"/>
        <v>0</v>
      </c>
      <c r="J73" s="156">
        <f t="shared" si="1"/>
        <v>0</v>
      </c>
      <c r="K73" s="155">
        <f t="shared" si="2"/>
        <v>0</v>
      </c>
      <c r="L73" s="155" t="str">
        <f>IF(AND('Summary Sheet'!$E$23="No",$H$33&gt;0,H73&gt;=1),"",IF(AND('Summary Sheet'!$E$23="Yes",H73&lt;&gt;""),H73*'Summary Sheet'!$G$23,""))</f>
        <v/>
      </c>
      <c r="M73" s="154"/>
      <c r="N73" s="155">
        <f>SUM('Pay App 1:Pay App 37'!L73)+SUM('Pay App 1:Pay App 37'!M73)</f>
        <v>0</v>
      </c>
    </row>
    <row r="74" spans="1:17" ht="11.25" customHeight="1" x14ac:dyDescent="0.25">
      <c r="A74" s="152">
        <v>18</v>
      </c>
      <c r="B74" s="176" t="str">
        <f>'Pay App 1'!B74</f>
        <v>03 00 00</v>
      </c>
      <c r="C74" s="181" t="str">
        <f>'Pay App 1'!C74</f>
        <v>Building Concrete</v>
      </c>
      <c r="D74" s="155">
        <f>'Pay App 1'!D74</f>
        <v>0</v>
      </c>
      <c r="E74" s="155">
        <f>VLOOKUP(B74,'Graph Data'!$O$2:$BX$88,39,FALSE)</f>
        <v>0</v>
      </c>
      <c r="F74" s="155">
        <f>IFERROR(E74+'Pay App 36'!F74,"")</f>
        <v>0</v>
      </c>
      <c r="G74" s="155">
        <f>SUM('Pay App 1:Pay App 36'!H74)</f>
        <v>0</v>
      </c>
      <c r="H74" s="154"/>
      <c r="I74" s="155">
        <f t="shared" si="0"/>
        <v>0</v>
      </c>
      <c r="J74" s="156">
        <f t="shared" si="1"/>
        <v>0</v>
      </c>
      <c r="K74" s="155">
        <f t="shared" si="2"/>
        <v>0</v>
      </c>
      <c r="L74" s="155" t="str">
        <f>IF(AND('Summary Sheet'!$E$23="No",$H$33&gt;0,H74&gt;=1),"",IF(AND('Summary Sheet'!$E$23="Yes",H74&lt;&gt;""),H74*'Summary Sheet'!$G$23,""))</f>
        <v/>
      </c>
      <c r="M74" s="154"/>
      <c r="N74" s="155">
        <f>SUM('Pay App 1:Pay App 37'!L74)+SUM('Pay App 1:Pay App 37'!M74)</f>
        <v>0</v>
      </c>
    </row>
    <row r="75" spans="1:17" ht="11.25" customHeight="1" x14ac:dyDescent="0.25">
      <c r="A75" s="152">
        <v>19</v>
      </c>
      <c r="B75" s="176" t="str">
        <f>'Pay App 1'!B75</f>
        <v>03 20 00</v>
      </c>
      <c r="C75" s="181" t="str">
        <f>'Pay App 1'!C75</f>
        <v>Building Concrete Reinforcing</v>
      </c>
      <c r="D75" s="155">
        <f>'Pay App 1'!D75</f>
        <v>0</v>
      </c>
      <c r="E75" s="155">
        <f>VLOOKUP(B75,'Graph Data'!$O$2:$BX$88,39,FALSE)</f>
        <v>0</v>
      </c>
      <c r="F75" s="155">
        <f>IFERROR(E75+'Pay App 36'!F75,"")</f>
        <v>0</v>
      </c>
      <c r="G75" s="155">
        <f>SUM('Pay App 1:Pay App 36'!H75)</f>
        <v>0</v>
      </c>
      <c r="H75" s="154"/>
      <c r="I75" s="155">
        <f t="shared" si="0"/>
        <v>0</v>
      </c>
      <c r="J75" s="156">
        <f t="shared" si="1"/>
        <v>0</v>
      </c>
      <c r="K75" s="155">
        <f t="shared" si="2"/>
        <v>0</v>
      </c>
      <c r="L75" s="155" t="str">
        <f>IF(AND('Summary Sheet'!$E$23="No",$H$33&gt;0,H75&gt;=1),"",IF(AND('Summary Sheet'!$E$23="Yes",H75&lt;&gt;""),H75*'Summary Sheet'!$G$23,""))</f>
        <v/>
      </c>
      <c r="M75" s="154"/>
      <c r="N75" s="155">
        <f>SUM('Pay App 1:Pay App 37'!L75)+SUM('Pay App 1:Pay App 37'!M75)</f>
        <v>0</v>
      </c>
    </row>
    <row r="76" spans="1:17" ht="11.25" customHeight="1" x14ac:dyDescent="0.25">
      <c r="A76" s="152">
        <v>20</v>
      </c>
      <c r="B76" s="176" t="str">
        <f>'Pay App 1'!B76</f>
        <v>03 40 00</v>
      </c>
      <c r="C76" s="181" t="str">
        <f>'Pay App 1'!C76</f>
        <v>Precast</v>
      </c>
      <c r="D76" s="155">
        <f>'Pay App 1'!D76</f>
        <v>0</v>
      </c>
      <c r="E76" s="155">
        <f>VLOOKUP(B76,'Graph Data'!$O$2:$BX$88,39,FALSE)</f>
        <v>0</v>
      </c>
      <c r="F76" s="155">
        <f>IFERROR(E76+'Pay App 36'!F76,"")</f>
        <v>0</v>
      </c>
      <c r="G76" s="155">
        <f>SUM('Pay App 1:Pay App 36'!H76)</f>
        <v>0</v>
      </c>
      <c r="H76" s="154"/>
      <c r="I76" s="155">
        <f t="shared" si="0"/>
        <v>0</v>
      </c>
      <c r="J76" s="156">
        <f t="shared" si="1"/>
        <v>0</v>
      </c>
      <c r="K76" s="155">
        <f t="shared" si="2"/>
        <v>0</v>
      </c>
      <c r="L76" s="155" t="str">
        <f>IF(AND('Summary Sheet'!$E$23="No",$H$33&gt;0,H76&gt;=1),"",IF(AND('Summary Sheet'!$E$23="Yes",H76&lt;&gt;""),H76*'Summary Sheet'!$G$23,""))</f>
        <v/>
      </c>
      <c r="M76" s="154"/>
      <c r="N76" s="155">
        <f>SUM('Pay App 1:Pay App 37'!L76)+SUM('Pay App 1:Pay App 37'!M76)</f>
        <v>0</v>
      </c>
    </row>
    <row r="77" spans="1:17" ht="11.25" customHeight="1" x14ac:dyDescent="0.25">
      <c r="A77" s="152">
        <v>21</v>
      </c>
      <c r="B77" s="177" t="str">
        <f>'Pay App 1'!B77</f>
        <v>04 00 00</v>
      </c>
      <c r="C77" s="182" t="str">
        <f>'Pay App 1'!C77</f>
        <v>Masonry</v>
      </c>
      <c r="D77" s="155">
        <f>'Pay App 1'!D77</f>
        <v>0</v>
      </c>
      <c r="E77" s="155">
        <f>VLOOKUP(B77,'Graph Data'!$O$2:$BX$88,39,FALSE)</f>
        <v>0</v>
      </c>
      <c r="F77" s="155">
        <f>IFERROR(E77+'Pay App 36'!F77,"")</f>
        <v>0</v>
      </c>
      <c r="G77" s="155">
        <f>SUM('Pay App 1:Pay App 36'!H77)</f>
        <v>0</v>
      </c>
      <c r="H77" s="154"/>
      <c r="I77" s="155">
        <f t="shared" si="0"/>
        <v>0</v>
      </c>
      <c r="J77" s="156">
        <f t="shared" si="1"/>
        <v>0</v>
      </c>
      <c r="K77" s="155">
        <f t="shared" si="2"/>
        <v>0</v>
      </c>
      <c r="L77" s="155" t="str">
        <f>IF(AND('Summary Sheet'!$E$23="No",$H$33&gt;0,H77&gt;=1),"",IF(AND('Summary Sheet'!$E$23="Yes",H77&lt;&gt;""),H77*'Summary Sheet'!$G$23,""))</f>
        <v/>
      </c>
      <c r="M77" s="154"/>
      <c r="N77" s="155">
        <f>SUM('Pay App 1:Pay App 37'!L77)+SUM('Pay App 1:Pay App 37'!M77)</f>
        <v>0</v>
      </c>
    </row>
    <row r="78" spans="1:17" ht="11.25" customHeight="1" x14ac:dyDescent="0.25">
      <c r="A78" s="152">
        <v>22</v>
      </c>
      <c r="B78" s="177" t="str">
        <f>'Pay App 1'!B78</f>
        <v>04 05 19</v>
      </c>
      <c r="C78" s="182" t="str">
        <f>'Pay App 1'!C78</f>
        <v>Masonry Reinforcing</v>
      </c>
      <c r="D78" s="155">
        <f>'Pay App 1'!D78</f>
        <v>0</v>
      </c>
      <c r="E78" s="155">
        <f>VLOOKUP(B78,'Graph Data'!$O$2:$BX$88,39,FALSE)</f>
        <v>0</v>
      </c>
      <c r="F78" s="155">
        <f>IFERROR(E78+'Pay App 36'!F78,"")</f>
        <v>0</v>
      </c>
      <c r="G78" s="155">
        <f>SUM('Pay App 1:Pay App 36'!H78)</f>
        <v>0</v>
      </c>
      <c r="H78" s="154"/>
      <c r="I78" s="155">
        <f t="shared" si="0"/>
        <v>0</v>
      </c>
      <c r="J78" s="156">
        <f t="shared" si="1"/>
        <v>0</v>
      </c>
      <c r="K78" s="155">
        <f t="shared" si="2"/>
        <v>0</v>
      </c>
      <c r="L78" s="155" t="str">
        <f>IF(AND('Summary Sheet'!$E$23="No",$H$33&gt;0,H78&gt;=1),"",IF(AND('Summary Sheet'!$E$23="Yes",H78&lt;&gt;""),H78*'Summary Sheet'!$G$23,""))</f>
        <v/>
      </c>
      <c r="M78" s="154"/>
      <c r="N78" s="155">
        <f>SUM('Pay App 1:Pay App 37'!L78)+SUM('Pay App 1:Pay App 37'!M78)</f>
        <v>0</v>
      </c>
    </row>
    <row r="79" spans="1:17" ht="11.25" customHeight="1" x14ac:dyDescent="0.25">
      <c r="A79" s="152">
        <v>23</v>
      </c>
      <c r="B79" s="178" t="str">
        <f>'Pay App 1'!B79</f>
        <v>05 10 00</v>
      </c>
      <c r="C79" s="183" t="str">
        <f>'Pay App 1'!C79</f>
        <v>Structural Steel/Misc. Steel Fab</v>
      </c>
      <c r="D79" s="155">
        <f>'Pay App 1'!D79</f>
        <v>0</v>
      </c>
      <c r="E79" s="155">
        <f>VLOOKUP(B79,'Graph Data'!$O$2:$BX$88,39,FALSE)</f>
        <v>0</v>
      </c>
      <c r="F79" s="155">
        <f>IFERROR(E79+'Pay App 36'!F79,"")</f>
        <v>0</v>
      </c>
      <c r="G79" s="155">
        <f>SUM('Pay App 1:Pay App 36'!H79)</f>
        <v>0</v>
      </c>
      <c r="H79" s="154"/>
      <c r="I79" s="155">
        <f t="shared" si="0"/>
        <v>0</v>
      </c>
      <c r="J79" s="156">
        <f t="shared" si="1"/>
        <v>0</v>
      </c>
      <c r="K79" s="155">
        <f t="shared" si="2"/>
        <v>0</v>
      </c>
      <c r="L79" s="155" t="str">
        <f>IF(AND('Summary Sheet'!$E$23="No",$H$33&gt;0,H79&gt;=1),"",IF(AND('Summary Sheet'!$E$23="Yes",H79&lt;&gt;""),H79*'Summary Sheet'!$G$23,""))</f>
        <v/>
      </c>
      <c r="M79" s="154"/>
      <c r="N79" s="155">
        <f>SUM('Pay App 1:Pay App 37'!L79)+SUM('Pay App 1:Pay App 37'!M79)</f>
        <v>0</v>
      </c>
    </row>
    <row r="80" spans="1:17" ht="11.25" customHeight="1" x14ac:dyDescent="0.25">
      <c r="A80" s="152">
        <v>24</v>
      </c>
      <c r="B80" s="178" t="str">
        <f>'Pay App 1'!B80</f>
        <v>05 20 00</v>
      </c>
      <c r="C80" s="183" t="str">
        <f>'Pay App 1'!C80</f>
        <v>Joists &amp; Deck</v>
      </c>
      <c r="D80" s="155">
        <f>'Pay App 1'!D80</f>
        <v>0</v>
      </c>
      <c r="E80" s="155">
        <f>VLOOKUP(B80,'Graph Data'!$O$2:$BX$88,39,FALSE)</f>
        <v>0</v>
      </c>
      <c r="F80" s="155">
        <f>IFERROR(E80+'Pay App 36'!F80,"")</f>
        <v>0</v>
      </c>
      <c r="G80" s="155">
        <f>SUM('Pay App 1:Pay App 36'!H80)</f>
        <v>0</v>
      </c>
      <c r="H80" s="154"/>
      <c r="I80" s="155">
        <f t="shared" si="0"/>
        <v>0</v>
      </c>
      <c r="J80" s="156">
        <f t="shared" si="1"/>
        <v>0</v>
      </c>
      <c r="K80" s="155">
        <f t="shared" si="2"/>
        <v>0</v>
      </c>
      <c r="L80" s="155" t="str">
        <f>IF(AND('Summary Sheet'!$E$23="No",$H$33&gt;0,H80&gt;=1),"",IF(AND('Summary Sheet'!$E$23="Yes",H80&lt;&gt;""),H80*'Summary Sheet'!$G$23,""))</f>
        <v/>
      </c>
      <c r="M80" s="154"/>
      <c r="N80" s="155">
        <f>SUM('Pay App 1:Pay App 37'!L80)+SUM('Pay App 1:Pay App 37'!M80)</f>
        <v>0</v>
      </c>
    </row>
    <row r="81" spans="1:14" ht="11.25" customHeight="1" x14ac:dyDescent="0.25">
      <c r="A81" s="152">
        <v>25</v>
      </c>
      <c r="B81" s="178" t="str">
        <f>'Pay App 1'!B81</f>
        <v>05 70 00</v>
      </c>
      <c r="C81" s="183" t="str">
        <f>'Pay App 1'!C81</f>
        <v>Ornamental Metal</v>
      </c>
      <c r="D81" s="155">
        <f>'Pay App 1'!D81</f>
        <v>0</v>
      </c>
      <c r="E81" s="155">
        <f>VLOOKUP(B81,'Graph Data'!$O$2:$BX$88,39,FALSE)</f>
        <v>0</v>
      </c>
      <c r="F81" s="155">
        <f>IFERROR(E81+'Pay App 36'!F81,"")</f>
        <v>0</v>
      </c>
      <c r="G81" s="155">
        <f>SUM('Pay App 1:Pay App 36'!H81)</f>
        <v>0</v>
      </c>
      <c r="H81" s="154"/>
      <c r="I81" s="155">
        <f t="shared" si="0"/>
        <v>0</v>
      </c>
      <c r="J81" s="156">
        <f t="shared" si="1"/>
        <v>0</v>
      </c>
      <c r="K81" s="155">
        <f t="shared" si="2"/>
        <v>0</v>
      </c>
      <c r="L81" s="155" t="str">
        <f>IF(AND('Summary Sheet'!$E$23="No",$H$33&gt;0,H81&gt;=1),"",IF(AND('Summary Sheet'!$E$23="Yes",H81&lt;&gt;""),H81*'Summary Sheet'!$G$23,""))</f>
        <v/>
      </c>
      <c r="M81" s="154"/>
      <c r="N81" s="155">
        <f>SUM('Pay App 1:Pay App 37'!L81)+SUM('Pay App 1:Pay App 37'!M81)</f>
        <v>0</v>
      </c>
    </row>
    <row r="82" spans="1:14" ht="11.25" customHeight="1" x14ac:dyDescent="0.25">
      <c r="A82" s="152">
        <v>26</v>
      </c>
      <c r="B82" s="145" t="str">
        <f>'Pay App 1'!B82</f>
        <v>06 10 00</v>
      </c>
      <c r="C82" s="134" t="str">
        <f>'Pay App 1'!C82</f>
        <v>Rough Carpentry</v>
      </c>
      <c r="D82" s="155">
        <f>'Pay App 1'!D82</f>
        <v>0</v>
      </c>
      <c r="E82" s="155">
        <f>VLOOKUP(B82,'Graph Data'!$O$2:$BX$88,39,FALSE)</f>
        <v>0</v>
      </c>
      <c r="F82" s="155">
        <f>IFERROR(E82+'Pay App 36'!F82,"")</f>
        <v>0</v>
      </c>
      <c r="G82" s="155">
        <f>SUM('Pay App 1:Pay App 36'!H82)</f>
        <v>0</v>
      </c>
      <c r="H82" s="154"/>
      <c r="I82" s="155">
        <f t="shared" si="0"/>
        <v>0</v>
      </c>
      <c r="J82" s="156">
        <f t="shared" si="1"/>
        <v>0</v>
      </c>
      <c r="K82" s="155">
        <f t="shared" si="2"/>
        <v>0</v>
      </c>
      <c r="L82" s="155" t="str">
        <f>IF(AND('Summary Sheet'!$E$23="No",$H$33&gt;0,H82&gt;=1),"",IF(AND('Summary Sheet'!$E$23="Yes",H82&lt;&gt;""),H82*'Summary Sheet'!$G$23,""))</f>
        <v/>
      </c>
      <c r="M82" s="154"/>
      <c r="N82" s="155">
        <f>SUM('Pay App 1:Pay App 37'!L82)+SUM('Pay App 1:Pay App 37'!M82)</f>
        <v>0</v>
      </c>
    </row>
    <row r="83" spans="1:14" ht="11.25" customHeight="1" x14ac:dyDescent="0.25">
      <c r="A83" s="152">
        <v>27</v>
      </c>
      <c r="B83" s="145" t="str">
        <f>'Pay App 1'!B83</f>
        <v>06 40 00</v>
      </c>
      <c r="C83" s="134" t="str">
        <f>'Pay App 1'!C83</f>
        <v>Arch. Woodwork &amp; Finish Carp.</v>
      </c>
      <c r="D83" s="155">
        <f>'Pay App 1'!D83</f>
        <v>0</v>
      </c>
      <c r="E83" s="155">
        <f>VLOOKUP(B83,'Graph Data'!$O$2:$BX$88,39,FALSE)</f>
        <v>0</v>
      </c>
      <c r="F83" s="155">
        <f>IFERROR(E83+'Pay App 36'!F83,"")</f>
        <v>0</v>
      </c>
      <c r="G83" s="155">
        <f>SUM('Pay App 1:Pay App 36'!H83)</f>
        <v>0</v>
      </c>
      <c r="H83" s="154"/>
      <c r="I83" s="155">
        <f t="shared" si="0"/>
        <v>0</v>
      </c>
      <c r="J83" s="156">
        <f t="shared" si="1"/>
        <v>0</v>
      </c>
      <c r="K83" s="155">
        <f t="shared" si="2"/>
        <v>0</v>
      </c>
      <c r="L83" s="155" t="str">
        <f>IF(AND('Summary Sheet'!$E$23="No",$H$33&gt;0,H83&gt;=1),"",IF(AND('Summary Sheet'!$E$23="Yes",H83&lt;&gt;""),H83*'Summary Sheet'!$G$23,""))</f>
        <v/>
      </c>
      <c r="M83" s="154"/>
      <c r="N83" s="155">
        <f>SUM('Pay App 1:Pay App 37'!L83)+SUM('Pay App 1:Pay App 37'!M83)</f>
        <v>0</v>
      </c>
    </row>
    <row r="84" spans="1:14" ht="11.25" customHeight="1" x14ac:dyDescent="0.25">
      <c r="A84" s="152">
        <v>28</v>
      </c>
      <c r="B84" s="174" t="str">
        <f>'Pay App 1'!B84</f>
        <v>07 10 00</v>
      </c>
      <c r="C84" s="179" t="str">
        <f>'Pay App 1'!C84</f>
        <v>Waterproofing/Water Repellents</v>
      </c>
      <c r="D84" s="155">
        <f>'Pay App 1'!D84</f>
        <v>0</v>
      </c>
      <c r="E84" s="155">
        <f>VLOOKUP(B84,'Graph Data'!$O$2:$BX$88,39,FALSE)</f>
        <v>0</v>
      </c>
      <c r="F84" s="155">
        <f>IFERROR(E84+'Pay App 36'!F84,"")</f>
        <v>0</v>
      </c>
      <c r="G84" s="155">
        <f>SUM('Pay App 1:Pay App 36'!H84)</f>
        <v>0</v>
      </c>
      <c r="H84" s="154"/>
      <c r="I84" s="155">
        <f t="shared" si="0"/>
        <v>0</v>
      </c>
      <c r="J84" s="156">
        <f t="shared" si="1"/>
        <v>0</v>
      </c>
      <c r="K84" s="155">
        <f t="shared" si="2"/>
        <v>0</v>
      </c>
      <c r="L84" s="155" t="str">
        <f>IF(AND('Summary Sheet'!$E$23="No",$H$33&gt;0,H84&gt;=1),"",IF(AND('Summary Sheet'!$E$23="Yes",H84&lt;&gt;""),H84*'Summary Sheet'!$G$23,""))</f>
        <v/>
      </c>
      <c r="M84" s="154"/>
      <c r="N84" s="155">
        <f>SUM('Pay App 1:Pay App 37'!L84)+SUM('Pay App 1:Pay App 37'!M84)</f>
        <v>0</v>
      </c>
    </row>
    <row r="85" spans="1:14" ht="11.25" customHeight="1" x14ac:dyDescent="0.25">
      <c r="A85" s="152">
        <v>29</v>
      </c>
      <c r="B85" s="174" t="str">
        <f>'Pay App 1'!B85</f>
        <v>07 20 00</v>
      </c>
      <c r="C85" s="179" t="str">
        <f>'Pay App 1'!C85</f>
        <v>Insulation</v>
      </c>
      <c r="D85" s="155">
        <f>'Pay App 1'!D85</f>
        <v>0</v>
      </c>
      <c r="E85" s="155">
        <f>VLOOKUP(B85,'Graph Data'!$O$2:$BX$88,39,FALSE)</f>
        <v>0</v>
      </c>
      <c r="F85" s="155">
        <f>IFERROR(E85+'Pay App 36'!F85,"")</f>
        <v>0</v>
      </c>
      <c r="G85" s="155">
        <f>SUM('Pay App 1:Pay App 36'!H85)</f>
        <v>0</v>
      </c>
      <c r="H85" s="154"/>
      <c r="I85" s="155">
        <f t="shared" si="0"/>
        <v>0</v>
      </c>
      <c r="J85" s="156">
        <f t="shared" si="1"/>
        <v>0</v>
      </c>
      <c r="K85" s="155">
        <f t="shared" si="2"/>
        <v>0</v>
      </c>
      <c r="L85" s="155" t="str">
        <f>IF(AND('Summary Sheet'!$E$23="No",$H$33&gt;0,H85&gt;=1),"",IF(AND('Summary Sheet'!$E$23="Yes",H85&lt;&gt;""),H85*'Summary Sheet'!$G$23,""))</f>
        <v/>
      </c>
      <c r="M85" s="154"/>
      <c r="N85" s="155">
        <f>SUM('Pay App 1:Pay App 37'!L85)+SUM('Pay App 1:Pay App 37'!M85)</f>
        <v>0</v>
      </c>
    </row>
    <row r="86" spans="1:14" ht="11.25" customHeight="1" x14ac:dyDescent="0.25">
      <c r="A86" s="152">
        <v>30</v>
      </c>
      <c r="B86" s="174" t="str">
        <f>'Pay App 1'!B86</f>
        <v>07 24 00</v>
      </c>
      <c r="C86" s="179" t="str">
        <f>'Pay App 1'!C86</f>
        <v>EIFS</v>
      </c>
      <c r="D86" s="155">
        <f>'Pay App 1'!D86</f>
        <v>0</v>
      </c>
      <c r="E86" s="155">
        <f>VLOOKUP(B86,'Graph Data'!$O$2:$BX$88,39,FALSE)</f>
        <v>0</v>
      </c>
      <c r="F86" s="155">
        <f>IFERROR(E86+'Pay App 36'!F86,"")</f>
        <v>0</v>
      </c>
      <c r="G86" s="155">
        <f>SUM('Pay App 1:Pay App 36'!H86)</f>
        <v>0</v>
      </c>
      <c r="H86" s="154"/>
      <c r="I86" s="155">
        <f t="shared" si="0"/>
        <v>0</v>
      </c>
      <c r="J86" s="156">
        <f t="shared" si="1"/>
        <v>0</v>
      </c>
      <c r="K86" s="155">
        <f t="shared" si="2"/>
        <v>0</v>
      </c>
      <c r="L86" s="155" t="str">
        <f>IF(AND('Summary Sheet'!$E$23="No",$H$33&gt;0,H86&gt;=1),"",IF(AND('Summary Sheet'!$E$23="Yes",H86&lt;&gt;""),H86*'Summary Sheet'!$G$23,""))</f>
        <v/>
      </c>
      <c r="M86" s="154"/>
      <c r="N86" s="155">
        <f>SUM('Pay App 1:Pay App 37'!L86)+SUM('Pay App 1:Pay App 37'!M86)</f>
        <v>0</v>
      </c>
    </row>
    <row r="87" spans="1:14" ht="11.25" customHeight="1" x14ac:dyDescent="0.25">
      <c r="A87" s="152">
        <v>31</v>
      </c>
      <c r="B87" s="174" t="str">
        <f>'Pay App 1'!B87</f>
        <v>07 26 00</v>
      </c>
      <c r="C87" s="179" t="str">
        <f>'Pay App 1'!C87</f>
        <v>Vapor Retarders</v>
      </c>
      <c r="D87" s="155">
        <f>'Pay App 1'!D87</f>
        <v>0</v>
      </c>
      <c r="E87" s="155">
        <f>VLOOKUP(B87,'Graph Data'!$O$2:$BX$88,39,FALSE)</f>
        <v>0</v>
      </c>
      <c r="F87" s="155">
        <f>IFERROR(E87+'Pay App 36'!F87,"")</f>
        <v>0</v>
      </c>
      <c r="G87" s="155">
        <f>SUM('Pay App 1:Pay App 36'!H87)</f>
        <v>0</v>
      </c>
      <c r="H87" s="154"/>
      <c r="I87" s="155">
        <f t="shared" si="0"/>
        <v>0</v>
      </c>
      <c r="J87" s="156">
        <f t="shared" si="1"/>
        <v>0</v>
      </c>
      <c r="K87" s="155">
        <f t="shared" si="2"/>
        <v>0</v>
      </c>
      <c r="L87" s="155" t="str">
        <f>IF(AND('Summary Sheet'!$E$23="No",$H$33&gt;0,H87&gt;=1),"",IF(AND('Summary Sheet'!$E$23="Yes",H87&lt;&gt;""),H87*'Summary Sheet'!$G$23,""))</f>
        <v/>
      </c>
      <c r="M87" s="154"/>
      <c r="N87" s="155">
        <f>SUM('Pay App 1:Pay App 37'!L87)+SUM('Pay App 1:Pay App 37'!M87)</f>
        <v>0</v>
      </c>
    </row>
    <row r="88" spans="1:14" ht="11.25" customHeight="1" x14ac:dyDescent="0.25">
      <c r="A88" s="152">
        <v>32</v>
      </c>
      <c r="B88" s="174" t="str">
        <f>'Pay App 1'!B88</f>
        <v>07 41 00</v>
      </c>
      <c r="C88" s="179" t="str">
        <f>'Pay App 1'!C88</f>
        <v>Roofing</v>
      </c>
      <c r="D88" s="155">
        <f>'Pay App 1'!D88</f>
        <v>0</v>
      </c>
      <c r="E88" s="155">
        <f>VLOOKUP(B88,'Graph Data'!$O$2:$BX$88,39,FALSE)</f>
        <v>0</v>
      </c>
      <c r="F88" s="155">
        <f>IFERROR(E88+'Pay App 36'!F88,"")</f>
        <v>0</v>
      </c>
      <c r="G88" s="155">
        <f>SUM('Pay App 1:Pay App 36'!H88)</f>
        <v>0</v>
      </c>
      <c r="H88" s="154"/>
      <c r="I88" s="155">
        <f t="shared" si="0"/>
        <v>0</v>
      </c>
      <c r="J88" s="156">
        <f t="shared" si="1"/>
        <v>0</v>
      </c>
      <c r="K88" s="155">
        <f t="shared" si="2"/>
        <v>0</v>
      </c>
      <c r="L88" s="155" t="str">
        <f>IF(AND('Summary Sheet'!$E$23="No",$H$33&gt;0,H88&gt;=1),"",IF(AND('Summary Sheet'!$E$23="Yes",H88&lt;&gt;""),H88*'Summary Sheet'!$G$23,""))</f>
        <v/>
      </c>
      <c r="M88" s="154"/>
      <c r="N88" s="155">
        <f>SUM('Pay App 1:Pay App 37'!L88)+SUM('Pay App 1:Pay App 37'!M88)</f>
        <v>0</v>
      </c>
    </row>
    <row r="89" spans="1:14" ht="11.25" customHeight="1" x14ac:dyDescent="0.25">
      <c r="A89" s="152">
        <v>33</v>
      </c>
      <c r="B89" s="174" t="str">
        <f>'Pay App 1'!B89</f>
        <v>07 42 00</v>
      </c>
      <c r="C89" s="179" t="str">
        <f>'Pay App 1'!C89</f>
        <v>Metal Panels</v>
      </c>
      <c r="D89" s="155">
        <f>'Pay App 1'!D89</f>
        <v>0</v>
      </c>
      <c r="E89" s="155">
        <f>VLOOKUP(B89,'Graph Data'!$O$2:$BX$88,39,FALSE)</f>
        <v>0</v>
      </c>
      <c r="F89" s="155">
        <f>IFERROR(E89+'Pay App 36'!F89,"")</f>
        <v>0</v>
      </c>
      <c r="G89" s="155">
        <f>SUM('Pay App 1:Pay App 36'!H89)</f>
        <v>0</v>
      </c>
      <c r="H89" s="154"/>
      <c r="I89" s="155">
        <f t="shared" si="0"/>
        <v>0</v>
      </c>
      <c r="J89" s="156">
        <f t="shared" si="1"/>
        <v>0</v>
      </c>
      <c r="K89" s="155">
        <f t="shared" si="2"/>
        <v>0</v>
      </c>
      <c r="L89" s="155" t="str">
        <f>IF(AND('Summary Sheet'!$E$23="No",$H$33&gt;0,H89&gt;=1),"",IF(AND('Summary Sheet'!$E$23="Yes",H89&lt;&gt;""),H89*'Summary Sheet'!$G$23,""))</f>
        <v/>
      </c>
      <c r="M89" s="154"/>
      <c r="N89" s="155">
        <f>SUM('Pay App 1:Pay App 37'!L89)+SUM('Pay App 1:Pay App 37'!M89)</f>
        <v>0</v>
      </c>
    </row>
    <row r="90" spans="1:14" ht="11.25" customHeight="1" x14ac:dyDescent="0.25">
      <c r="A90" s="152">
        <v>34</v>
      </c>
      <c r="B90" s="174" t="str">
        <f>'Pay App 1'!B90</f>
        <v>07 60 00</v>
      </c>
      <c r="C90" s="179" t="str">
        <f>'Pay App 1'!C90</f>
        <v>Sheet Metal Flashing &amp; Trim</v>
      </c>
      <c r="D90" s="155">
        <f>'Pay App 1'!D90</f>
        <v>0</v>
      </c>
      <c r="E90" s="155">
        <f>VLOOKUP(B90,'Graph Data'!$O$2:$BX$88,39,FALSE)</f>
        <v>0</v>
      </c>
      <c r="F90" s="155">
        <f>IFERROR(E90+'Pay App 36'!F90,"")</f>
        <v>0</v>
      </c>
      <c r="G90" s="155">
        <f>SUM('Pay App 1:Pay App 36'!H90)</f>
        <v>0</v>
      </c>
      <c r="H90" s="154"/>
      <c r="I90" s="155">
        <f t="shared" si="0"/>
        <v>0</v>
      </c>
      <c r="J90" s="156">
        <f t="shared" si="1"/>
        <v>0</v>
      </c>
      <c r="K90" s="155">
        <f t="shared" si="2"/>
        <v>0</v>
      </c>
      <c r="L90" s="155" t="str">
        <f>IF(AND('Summary Sheet'!$E$23="No",$H$33&gt;0,H90&gt;=1),"",IF(AND('Summary Sheet'!$E$23="Yes",H90&lt;&gt;""),H90*'Summary Sheet'!$G$23,""))</f>
        <v/>
      </c>
      <c r="M90" s="154"/>
      <c r="N90" s="155">
        <f>SUM('Pay App 1:Pay App 37'!L90)+SUM('Pay App 1:Pay App 37'!M90)</f>
        <v>0</v>
      </c>
    </row>
    <row r="91" spans="1:14" ht="11.25" customHeight="1" x14ac:dyDescent="0.25">
      <c r="A91" s="152">
        <v>35</v>
      </c>
      <c r="B91" s="174" t="str">
        <f>'Pay App 1'!B91</f>
        <v>07 80 00</v>
      </c>
      <c r="C91" s="179" t="str">
        <f>'Pay App 1'!C91</f>
        <v>Fireproofing</v>
      </c>
      <c r="D91" s="155">
        <f>'Pay App 1'!D91</f>
        <v>0</v>
      </c>
      <c r="E91" s="155">
        <f>VLOOKUP(B91,'Graph Data'!$O$2:$BX$88,39,FALSE)</f>
        <v>0</v>
      </c>
      <c r="F91" s="155">
        <f>IFERROR(E91+'Pay App 36'!F91,"")</f>
        <v>0</v>
      </c>
      <c r="G91" s="155">
        <f>SUM('Pay App 1:Pay App 36'!H91)</f>
        <v>0</v>
      </c>
      <c r="H91" s="154"/>
      <c r="I91" s="155">
        <f t="shared" si="0"/>
        <v>0</v>
      </c>
      <c r="J91" s="156">
        <f t="shared" si="1"/>
        <v>0</v>
      </c>
      <c r="K91" s="155">
        <f t="shared" si="2"/>
        <v>0</v>
      </c>
      <c r="L91" s="155" t="str">
        <f>IF(AND('Summary Sheet'!$E$23="No",$H$33&gt;0,H91&gt;=1),"",IF(AND('Summary Sheet'!$E$23="Yes",H91&lt;&gt;""),H91*'Summary Sheet'!$G$23,""))</f>
        <v/>
      </c>
      <c r="M91" s="154"/>
      <c r="N91" s="155">
        <f>SUM('Pay App 1:Pay App 37'!L91)+SUM('Pay App 1:Pay App 37'!M91)</f>
        <v>0</v>
      </c>
    </row>
    <row r="92" spans="1:14" ht="11.25" customHeight="1" x14ac:dyDescent="0.25">
      <c r="A92" s="152">
        <v>36</v>
      </c>
      <c r="B92" s="174" t="str">
        <f>'Pay App 1'!B92</f>
        <v>07 90 00</v>
      </c>
      <c r="C92" s="179" t="str">
        <f>'Pay App 1'!C92</f>
        <v>Joint Sealants</v>
      </c>
      <c r="D92" s="155">
        <f>'Pay App 1'!D92</f>
        <v>0</v>
      </c>
      <c r="E92" s="155">
        <f>VLOOKUP(B92,'Graph Data'!$O$2:$BX$88,39,FALSE)</f>
        <v>0</v>
      </c>
      <c r="F92" s="155">
        <f>IFERROR(E92+'Pay App 36'!F92,"")</f>
        <v>0</v>
      </c>
      <c r="G92" s="155">
        <f>SUM('Pay App 1:Pay App 36'!H92)</f>
        <v>0</v>
      </c>
      <c r="H92" s="154"/>
      <c r="I92" s="155">
        <f t="shared" si="0"/>
        <v>0</v>
      </c>
      <c r="J92" s="156">
        <f t="shared" si="1"/>
        <v>0</v>
      </c>
      <c r="K92" s="155">
        <f t="shared" si="2"/>
        <v>0</v>
      </c>
      <c r="L92" s="155" t="str">
        <f>IF(AND('Summary Sheet'!$E$23="No",$H$33&gt;0,H92&gt;=1),"",IF(AND('Summary Sheet'!$E$23="Yes",H92&lt;&gt;""),H92*'Summary Sheet'!$G$23,""))</f>
        <v/>
      </c>
      <c r="M92" s="154"/>
      <c r="N92" s="155">
        <f>SUM('Pay App 1:Pay App 37'!L92)+SUM('Pay App 1:Pay App 37'!M92)</f>
        <v>0</v>
      </c>
    </row>
    <row r="93" spans="1:14" ht="11.25" customHeight="1" x14ac:dyDescent="0.25">
      <c r="A93" s="152">
        <v>37</v>
      </c>
      <c r="B93" s="174" t="str">
        <f>'Pay App 1'!B93</f>
        <v>07 95 00</v>
      </c>
      <c r="C93" s="179" t="str">
        <f>'Pay App 1'!C93</f>
        <v>Expansion Joints</v>
      </c>
      <c r="D93" s="155">
        <f>'Pay App 1'!D93</f>
        <v>0</v>
      </c>
      <c r="E93" s="155">
        <f>VLOOKUP(B93,'Graph Data'!$O$2:$BX$88,39,FALSE)</f>
        <v>0</v>
      </c>
      <c r="F93" s="155">
        <f>IFERROR(E93+'Pay App 36'!F93,"")</f>
        <v>0</v>
      </c>
      <c r="G93" s="155">
        <f>SUM('Pay App 1:Pay App 36'!H93)</f>
        <v>0</v>
      </c>
      <c r="H93" s="154"/>
      <c r="I93" s="155">
        <f t="shared" si="0"/>
        <v>0</v>
      </c>
      <c r="J93" s="156">
        <f t="shared" si="1"/>
        <v>0</v>
      </c>
      <c r="K93" s="155">
        <f t="shared" si="2"/>
        <v>0</v>
      </c>
      <c r="L93" s="155" t="str">
        <f>IF(AND('Summary Sheet'!$E$23="No",$H$33&gt;0,H93&gt;=1),"",IF(AND('Summary Sheet'!$E$23="Yes",H93&lt;&gt;""),H93*'Summary Sheet'!$G$23,""))</f>
        <v/>
      </c>
      <c r="M93" s="154"/>
      <c r="N93" s="155">
        <f>SUM('Pay App 1:Pay App 37'!L93)+SUM('Pay App 1:Pay App 37'!M93)</f>
        <v>0</v>
      </c>
    </row>
    <row r="94" spans="1:14" ht="11.25" customHeight="1" x14ac:dyDescent="0.25">
      <c r="A94" s="152">
        <v>38</v>
      </c>
      <c r="B94" s="175" t="str">
        <f>'Pay App 1'!B94</f>
        <v>08 10 00</v>
      </c>
      <c r="C94" s="180" t="str">
        <f>'Pay App 1'!C94</f>
        <v>Doors, Frames &amp; Hardware</v>
      </c>
      <c r="D94" s="155">
        <f>'Pay App 1'!D94</f>
        <v>0</v>
      </c>
      <c r="E94" s="155">
        <f>VLOOKUP(B94,'Graph Data'!$O$2:$BX$88,39,FALSE)</f>
        <v>0</v>
      </c>
      <c r="F94" s="155">
        <f>IFERROR(E94+'Pay App 36'!F94,"")</f>
        <v>0</v>
      </c>
      <c r="G94" s="155">
        <f>SUM('Pay App 1:Pay App 36'!H94)</f>
        <v>0</v>
      </c>
      <c r="H94" s="154"/>
      <c r="I94" s="155">
        <f t="shared" si="0"/>
        <v>0</v>
      </c>
      <c r="J94" s="156">
        <f t="shared" si="1"/>
        <v>0</v>
      </c>
      <c r="K94" s="155">
        <f t="shared" si="2"/>
        <v>0</v>
      </c>
      <c r="L94" s="155" t="str">
        <f>IF(AND('Summary Sheet'!$E$23="No",$H$33&gt;0,H94&gt;=1),"",IF(AND('Summary Sheet'!$E$23="Yes",H94&lt;&gt;""),H94*'Summary Sheet'!$G$23,""))</f>
        <v/>
      </c>
      <c r="M94" s="154"/>
      <c r="N94" s="155">
        <f>SUM('Pay App 1:Pay App 37'!L94)+SUM('Pay App 1:Pay App 37'!M94)</f>
        <v>0</v>
      </c>
    </row>
    <row r="95" spans="1:14" ht="11.25" customHeight="1" x14ac:dyDescent="0.25">
      <c r="A95" s="152">
        <v>39</v>
      </c>
      <c r="B95" s="175" t="str">
        <f>'Pay App 1'!B95</f>
        <v>08 30 00</v>
      </c>
      <c r="C95" s="180" t="str">
        <f>'Pay App 1'!C95</f>
        <v>Specialty Doors</v>
      </c>
      <c r="D95" s="155">
        <f>'Pay App 1'!D95</f>
        <v>0</v>
      </c>
      <c r="E95" s="155">
        <f>VLOOKUP(B95,'Graph Data'!$O$2:$BX$88,39,FALSE)</f>
        <v>0</v>
      </c>
      <c r="F95" s="155">
        <f>IFERROR(E95+'Pay App 36'!F95,"")</f>
        <v>0</v>
      </c>
      <c r="G95" s="155">
        <f>SUM('Pay App 1:Pay App 36'!H95)</f>
        <v>0</v>
      </c>
      <c r="H95" s="154"/>
      <c r="I95" s="155">
        <f t="shared" si="0"/>
        <v>0</v>
      </c>
      <c r="J95" s="156">
        <f t="shared" si="1"/>
        <v>0</v>
      </c>
      <c r="K95" s="155">
        <f t="shared" si="2"/>
        <v>0</v>
      </c>
      <c r="L95" s="155" t="str">
        <f>IF(AND('Summary Sheet'!$E$23="No",$H$33&gt;0,H95&gt;=1),"",IF(AND('Summary Sheet'!$E$23="Yes",H95&lt;&gt;""),H95*'Summary Sheet'!$G$23,""))</f>
        <v/>
      </c>
      <c r="M95" s="154"/>
      <c r="N95" s="155">
        <f>SUM('Pay App 1:Pay App 37'!L95)+SUM('Pay App 1:Pay App 37'!M95)</f>
        <v>0</v>
      </c>
    </row>
    <row r="96" spans="1:14" ht="11.25" customHeight="1" x14ac:dyDescent="0.25">
      <c r="A96" s="152">
        <v>40</v>
      </c>
      <c r="B96" s="175" t="str">
        <f>'Pay App 1'!B96</f>
        <v>08 33 00</v>
      </c>
      <c r="C96" s="180" t="str">
        <f>'Pay App 1'!C96</f>
        <v>Overhead Doors/Coiling Doors</v>
      </c>
      <c r="D96" s="155">
        <f>'Pay App 1'!D96</f>
        <v>0</v>
      </c>
      <c r="E96" s="155">
        <f>VLOOKUP(B96,'Graph Data'!$O$2:$BX$88,39,FALSE)</f>
        <v>0</v>
      </c>
      <c r="F96" s="155">
        <f>IFERROR(E96+'Pay App 36'!F96,"")</f>
        <v>0</v>
      </c>
      <c r="G96" s="155">
        <f>SUM('Pay App 1:Pay App 36'!H96)</f>
        <v>0</v>
      </c>
      <c r="H96" s="154"/>
      <c r="I96" s="155">
        <f t="shared" si="0"/>
        <v>0</v>
      </c>
      <c r="J96" s="156">
        <f t="shared" si="1"/>
        <v>0</v>
      </c>
      <c r="K96" s="155">
        <f t="shared" si="2"/>
        <v>0</v>
      </c>
      <c r="L96" s="155" t="str">
        <f>IF(AND('Summary Sheet'!$E$23="No",$H$33&gt;0,H96&gt;=1),"",IF(AND('Summary Sheet'!$E$23="Yes",H96&lt;&gt;""),H96*'Summary Sheet'!$G$23,""))</f>
        <v/>
      </c>
      <c r="M96" s="154"/>
      <c r="N96" s="155">
        <f>SUM('Pay App 1:Pay App 37'!L96)+SUM('Pay App 1:Pay App 37'!M96)</f>
        <v>0</v>
      </c>
    </row>
    <row r="97" spans="1:15" ht="11.25" customHeight="1" x14ac:dyDescent="0.25">
      <c r="A97" s="152">
        <v>41</v>
      </c>
      <c r="B97" s="175" t="str">
        <f>'Pay App 1'!B97</f>
        <v>08 40 00</v>
      </c>
      <c r="C97" s="180" t="str">
        <f>'Pay App 1'!C97</f>
        <v>Curtain Wall, Glass &amp; Glazing</v>
      </c>
      <c r="D97" s="155">
        <f>'Pay App 1'!D97</f>
        <v>0</v>
      </c>
      <c r="E97" s="155">
        <f>VLOOKUP(B97,'Graph Data'!$O$2:$BX$88,39,FALSE)</f>
        <v>0</v>
      </c>
      <c r="F97" s="155">
        <f>IFERROR(E97+'Pay App 36'!F97,"")</f>
        <v>0</v>
      </c>
      <c r="G97" s="155">
        <f>SUM('Pay App 1:Pay App 36'!H97)</f>
        <v>0</v>
      </c>
      <c r="H97" s="154"/>
      <c r="I97" s="155">
        <f t="shared" si="0"/>
        <v>0</v>
      </c>
      <c r="J97" s="156">
        <f t="shared" si="1"/>
        <v>0</v>
      </c>
      <c r="K97" s="155">
        <f t="shared" si="2"/>
        <v>0</v>
      </c>
      <c r="L97" s="155" t="str">
        <f>IF(AND('Summary Sheet'!$E$23="No",$H$33&gt;0,H97&gt;=1),"",IF(AND('Summary Sheet'!$E$23="Yes",H97&lt;&gt;""),H97*'Summary Sheet'!$G$23,""))</f>
        <v/>
      </c>
      <c r="M97" s="154"/>
      <c r="N97" s="155">
        <f>SUM('Pay App 1:Pay App 37'!L97)+SUM('Pay App 1:Pay App 37'!M97)</f>
        <v>0</v>
      </c>
    </row>
    <row r="98" spans="1:15" ht="10.9" customHeight="1" x14ac:dyDescent="0.25">
      <c r="A98" s="152">
        <v>42</v>
      </c>
      <c r="B98" s="175" t="str">
        <f>'Pay App 1'!B98</f>
        <v>08 60 00</v>
      </c>
      <c r="C98" s="180" t="str">
        <f>'Pay App 1'!C98</f>
        <v>Skylights</v>
      </c>
      <c r="D98" s="155">
        <f>'Pay App 1'!D98</f>
        <v>0</v>
      </c>
      <c r="E98" s="155">
        <f>VLOOKUP(B98,'Graph Data'!$O$2:$BX$88,39,FALSE)</f>
        <v>0</v>
      </c>
      <c r="F98" s="155">
        <f>IFERROR(E98+'Pay App 36'!F98,"")</f>
        <v>0</v>
      </c>
      <c r="G98" s="155">
        <f>SUM('Pay App 1:Pay App 36'!H98)</f>
        <v>0</v>
      </c>
      <c r="H98" s="154"/>
      <c r="I98" s="155">
        <f t="shared" si="0"/>
        <v>0</v>
      </c>
      <c r="J98" s="156">
        <f t="shared" si="1"/>
        <v>0</v>
      </c>
      <c r="K98" s="155">
        <f t="shared" si="2"/>
        <v>0</v>
      </c>
      <c r="L98" s="155" t="str">
        <f>IF(AND('Summary Sheet'!$E$23="No",$H$33&gt;0,H98&gt;=1),"",IF(AND('Summary Sheet'!$E$23="Yes",H98&lt;&gt;""),H98*'Summary Sheet'!$G$23,""))</f>
        <v/>
      </c>
      <c r="M98" s="154"/>
      <c r="N98" s="155">
        <f>SUM('Pay App 1:Pay App 37'!L98)+SUM('Pay App 1:Pay App 37'!M98)</f>
        <v>0</v>
      </c>
    </row>
    <row r="99" spans="1:15" ht="10.9" customHeight="1" x14ac:dyDescent="0.25">
      <c r="A99" s="152">
        <v>43</v>
      </c>
      <c r="B99" s="175" t="str">
        <f>'Pay App 1'!B99</f>
        <v>08 90 00</v>
      </c>
      <c r="C99" s="180" t="str">
        <f>'Pay App 1'!C99</f>
        <v>Louvers &amp; Vents</v>
      </c>
      <c r="D99" s="155">
        <f>'Pay App 1'!D99</f>
        <v>0</v>
      </c>
      <c r="E99" s="155">
        <f>VLOOKUP(B99,'Graph Data'!$O$2:$BX$88,39,FALSE)</f>
        <v>0</v>
      </c>
      <c r="F99" s="155">
        <f>IFERROR(E99+'Pay App 36'!F99,"")</f>
        <v>0</v>
      </c>
      <c r="G99" s="155">
        <f>SUM('Pay App 1:Pay App 36'!H99)</f>
        <v>0</v>
      </c>
      <c r="H99" s="154"/>
      <c r="I99" s="155">
        <f t="shared" si="0"/>
        <v>0</v>
      </c>
      <c r="J99" s="156">
        <f t="shared" si="1"/>
        <v>0</v>
      </c>
      <c r="K99" s="155">
        <f t="shared" si="2"/>
        <v>0</v>
      </c>
      <c r="L99" s="155" t="str">
        <f>IF(AND('Summary Sheet'!$E$23="No",$H$33&gt;0,H99&gt;=1),"",IF(AND('Summary Sheet'!$E$23="Yes",H99&lt;&gt;""),H99*'Summary Sheet'!$G$23,""))</f>
        <v/>
      </c>
      <c r="M99" s="154"/>
      <c r="N99" s="155">
        <f>SUM('Pay App 1:Pay App 37'!L99)+SUM('Pay App 1:Pay App 37'!M99)</f>
        <v>0</v>
      </c>
    </row>
    <row r="100" spans="1:15" ht="11.25" customHeight="1" x14ac:dyDescent="0.25">
      <c r="A100" s="153">
        <v>44</v>
      </c>
      <c r="B100" s="176" t="str">
        <f>'Pay App 1'!B100</f>
        <v>09 20 00</v>
      </c>
      <c r="C100" s="181" t="str">
        <f>'Pay App 1'!C100</f>
        <v>Gypsum Board Systems</v>
      </c>
      <c r="D100" s="155">
        <f>'Pay App 1'!D100</f>
        <v>0</v>
      </c>
      <c r="E100" s="155">
        <f>VLOOKUP(B100,'Graph Data'!$O$2:$BX$88,39,FALSE)</f>
        <v>0</v>
      </c>
      <c r="F100" s="155">
        <f>IFERROR(E100+'Pay App 36'!F100,"")</f>
        <v>0</v>
      </c>
      <c r="G100" s="155">
        <f>SUM('Pay App 1:Pay App 36'!H100)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37'!L100)+SUM('Pay App 1:Pay App 37'!M100)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37.200000000000003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Data'!$O$2:$BX$88,39,FALSE)</f>
        <v>0</v>
      </c>
      <c r="F106" s="155">
        <f>IFERROR(E106+'Pay App 36'!F106,"")</f>
        <v>0</v>
      </c>
      <c r="G106" s="155">
        <f>SUM('Pay App 1:Pay App 36'!H106)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37'!L106)+SUM('Pay App 1:Pay App 37'!M106)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Data'!$O$2:$BX$88,39,FALSE)</f>
        <v>0</v>
      </c>
      <c r="F107" s="155">
        <f>IFERROR(E107+'Pay App 36'!F107,"")</f>
        <v>0</v>
      </c>
      <c r="G107" s="155">
        <f>SUM('Pay App 1:Pay App 36'!H107)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37'!L107)+SUM('Pay App 1:Pay App 37'!M107)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Data'!$O$2:$BX$88,39,FALSE)</f>
        <v>0</v>
      </c>
      <c r="F108" s="155">
        <f>IFERROR(E108+'Pay App 36'!F108,"")</f>
        <v>0</v>
      </c>
      <c r="G108" s="155">
        <f>SUM('Pay App 1:Pay App 36'!H108)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37'!L108)+SUM('Pay App 1:Pay App 37'!M108)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Data'!$O$2:$BX$88,39,FALSE)</f>
        <v>0</v>
      </c>
      <c r="F109" s="155">
        <f>IFERROR(E109+'Pay App 36'!F109,"")</f>
        <v>0</v>
      </c>
      <c r="G109" s="155">
        <f>SUM('Pay App 1:Pay App 36'!H109)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37'!L109)+SUM('Pay App 1:Pay App 37'!M109)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Data'!$O$2:$BX$88,39,FALSE)</f>
        <v>0</v>
      </c>
      <c r="F110" s="155">
        <f>IFERROR(E110+'Pay App 36'!F110,"")</f>
        <v>0</v>
      </c>
      <c r="G110" s="155">
        <f>SUM('Pay App 1:Pay App 36'!H110)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37'!L110)+SUM('Pay App 1:Pay App 37'!M110)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Data'!$O$2:$BX$88,39,FALSE)</f>
        <v>0</v>
      </c>
      <c r="F111" s="155">
        <f>IFERROR(E111+'Pay App 36'!F111,"")</f>
        <v>0</v>
      </c>
      <c r="G111" s="155">
        <f>SUM('Pay App 1:Pay App 36'!H111)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37'!L111)+SUM('Pay App 1:Pay App 37'!M111)</f>
        <v>0</v>
      </c>
    </row>
    <row r="112" spans="1:15" ht="11.25" customHeight="1" x14ac:dyDescent="0.25">
      <c r="A112" s="152">
        <f t="shared" si="3"/>
        <v>51</v>
      </c>
      <c r="B112" s="148" t="str">
        <f>'Pay App 1'!B112</f>
        <v>09 90 00</v>
      </c>
      <c r="C112" s="143" t="str">
        <f>'Pay App 1'!C112</f>
        <v>Painting</v>
      </c>
      <c r="D112" s="155">
        <f>'Pay App 1'!D112</f>
        <v>0</v>
      </c>
      <c r="E112" s="155">
        <f>VLOOKUP(B112,'Graph Data'!$O$2:$BX$88,39,FALSE)</f>
        <v>0</v>
      </c>
      <c r="F112" s="155">
        <f>IFERROR(E112+'Pay App 36'!F112,"")</f>
        <v>0</v>
      </c>
      <c r="G112" s="155">
        <f>SUM('Pay App 1:Pay App 36'!H112)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37'!L112)+SUM('Pay App 1:Pay App 37'!M112)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Data'!$O$2:$BX$88,39,FALSE)</f>
        <v>0</v>
      </c>
      <c r="F113" s="155">
        <f>IFERROR(E113+'Pay App 36'!F113,"")</f>
        <v>0</v>
      </c>
      <c r="G113" s="155">
        <f>SUM('Pay App 1:Pay App 36'!H113)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37'!L113)+SUM('Pay App 1:Pay App 37'!M113)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Data'!$O$2:$BX$88,39,FALSE)</f>
        <v>0</v>
      </c>
      <c r="F114" s="155">
        <f>IFERROR(E114+'Pay App 36'!F114,"")</f>
        <v>0</v>
      </c>
      <c r="G114" s="155">
        <f>SUM('Pay App 1:Pay App 36'!H114)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37'!L114)+SUM('Pay App 1:Pay App 37'!M114)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Data'!$O$2:$BX$88,39,FALSE)</f>
        <v>0</v>
      </c>
      <c r="F115" s="155">
        <f>IFERROR(E115+'Pay App 36'!F115,"")</f>
        <v>0</v>
      </c>
      <c r="G115" s="155">
        <f>SUM('Pay App 1:Pay App 36'!H115)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37'!L115)+SUM('Pay App 1:Pay App 37'!M115)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Data'!$O$2:$BX$88,39,FALSE)</f>
        <v>0</v>
      </c>
      <c r="F116" s="155">
        <f>IFERROR(E116+'Pay App 36'!F116,"")</f>
        <v>0</v>
      </c>
      <c r="G116" s="155">
        <f>SUM('Pay App 1:Pay App 36'!H116)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37'!L116)+SUM('Pay App 1:Pay App 37'!M116)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Data'!$O$2:$BX$88,39,FALSE)</f>
        <v>0</v>
      </c>
      <c r="F117" s="155">
        <f>IFERROR(E117+'Pay App 36'!F117,"")</f>
        <v>0</v>
      </c>
      <c r="G117" s="155">
        <f>SUM('Pay App 1:Pay App 36'!H117)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37'!L117)+SUM('Pay App 1:Pay App 37'!M117)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Data'!$O$2:$BX$88,39,FALSE)</f>
        <v>0</v>
      </c>
      <c r="F118" s="155">
        <f>IFERROR(E118+'Pay App 36'!F118,"")</f>
        <v>0</v>
      </c>
      <c r="G118" s="155">
        <f>SUM('Pay App 1:Pay App 36'!H118)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37'!L118)+SUM('Pay App 1:Pay App 37'!M118)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Data'!$O$2:$BX$88,39,FALSE)</f>
        <v>0</v>
      </c>
      <c r="F119" s="155">
        <f>IFERROR(E119+'Pay App 36'!F119,"")</f>
        <v>0</v>
      </c>
      <c r="G119" s="155">
        <f>SUM('Pay App 1:Pay App 36'!H119)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37'!L119)+SUM('Pay App 1:Pay App 37'!M119)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Data'!$O$2:$BX$88,39,FALSE)</f>
        <v>0</v>
      </c>
      <c r="F120" s="155">
        <f>IFERROR(E120+'Pay App 36'!F120,"")</f>
        <v>0</v>
      </c>
      <c r="G120" s="155">
        <f>SUM('Pay App 1:Pay App 36'!H120)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37'!L120)+SUM('Pay App 1:Pay App 37'!M120)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Data'!$O$2:$BX$88,39,FALSE)</f>
        <v>0</v>
      </c>
      <c r="F121" s="155">
        <f>IFERROR(E121+'Pay App 36'!F121,"")</f>
        <v>0</v>
      </c>
      <c r="G121" s="155">
        <f>SUM('Pay App 1:Pay App 36'!H121)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37'!L121)+SUM('Pay App 1:Pay App 37'!M121)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Data'!$O$2:$BX$88,39,FALSE)</f>
        <v>0</v>
      </c>
      <c r="F122" s="155">
        <f>IFERROR(E122+'Pay App 36'!F122,"")</f>
        <v>0</v>
      </c>
      <c r="G122" s="155">
        <f>SUM('Pay App 1:Pay App 36'!H122)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37'!L122)+SUM('Pay App 1:Pay App 37'!M122)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Data'!$O$2:$BX$88,39,FALSE)</f>
        <v>0</v>
      </c>
      <c r="F123" s="155">
        <f>IFERROR(E123+'Pay App 36'!F123,"")</f>
        <v>0</v>
      </c>
      <c r="G123" s="155">
        <f>SUM('Pay App 1:Pay App 36'!H123)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37'!L123)+SUM('Pay App 1:Pay App 37'!M123)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Data'!$O$2:$BX$88,39,FALSE)</f>
        <v>0</v>
      </c>
      <c r="F124" s="155">
        <f>IFERROR(E124+'Pay App 36'!F124,"")</f>
        <v>0</v>
      </c>
      <c r="G124" s="155">
        <f>SUM('Pay App 1:Pay App 36'!H124)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37'!L124)+SUM('Pay App 1:Pay App 37'!M124)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Data'!$O$2:$BX$88,39,FALSE)</f>
        <v>0</v>
      </c>
      <c r="F125" s="155">
        <f>IFERROR(E125+'Pay App 36'!F125,"")</f>
        <v>0</v>
      </c>
      <c r="G125" s="155">
        <f>SUM('Pay App 1:Pay App 36'!H125)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37'!L125)+SUM('Pay App 1:Pay App 37'!M125)</f>
        <v>0</v>
      </c>
    </row>
    <row r="126" spans="1:14" ht="11.25" customHeight="1" x14ac:dyDescent="0.25">
      <c r="A126" s="152">
        <f t="shared" si="3"/>
        <v>65</v>
      </c>
      <c r="B126" s="188" t="str">
        <f>'Pay App 1'!B126</f>
        <v>14 20 00</v>
      </c>
      <c r="C126" s="194" t="str">
        <f>'Pay App 1'!C126</f>
        <v>Elevator</v>
      </c>
      <c r="D126" s="155">
        <f>'Pay App 1'!D126</f>
        <v>0</v>
      </c>
      <c r="E126" s="155">
        <f>VLOOKUP(B126,'Graph Data'!$O$2:$BX$88,39,FALSE)</f>
        <v>0</v>
      </c>
      <c r="F126" s="155">
        <f>IFERROR(E126+'Pay App 36'!F126,"")</f>
        <v>0</v>
      </c>
      <c r="G126" s="155">
        <f>SUM('Pay App 1:Pay App 36'!H126)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37'!L126)+SUM('Pay App 1:Pay App 37'!M126)</f>
        <v>0</v>
      </c>
    </row>
    <row r="127" spans="1:14" ht="11.25" customHeight="1" x14ac:dyDescent="0.25">
      <c r="A127" s="152">
        <f t="shared" si="3"/>
        <v>66</v>
      </c>
      <c r="B127" s="188" t="str">
        <f>'Pay App 1'!B127</f>
        <v>14 40 00</v>
      </c>
      <c r="C127" s="194" t="str">
        <f>'Pay App 1'!C127</f>
        <v>Lifts</v>
      </c>
      <c r="D127" s="155">
        <f>'Pay App 1'!D127</f>
        <v>0</v>
      </c>
      <c r="E127" s="155">
        <f>VLOOKUP(B127,'Graph Data'!$O$2:$BX$88,39,FALSE)</f>
        <v>0</v>
      </c>
      <c r="F127" s="155">
        <f>IFERROR(E127+'Pay App 36'!F127,"")</f>
        <v>0</v>
      </c>
      <c r="G127" s="155">
        <f>SUM('Pay App 1:Pay App 36'!H127)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37'!L127)+SUM('Pay App 1:Pay App 37'!M127)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Data'!$O$2:$BX$88,39,FALSE)</f>
        <v>0</v>
      </c>
      <c r="F128" s="155">
        <f>IFERROR(E128+'Pay App 36'!F128,"")</f>
        <v>0</v>
      </c>
      <c r="G128" s="155">
        <f>SUM('Pay App 1:Pay App 36'!H128)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37'!L128)+SUM('Pay App 1:Pay App 37'!M128)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Data'!$O$2:$BX$88,39,FALSE)</f>
        <v>0</v>
      </c>
      <c r="F129" s="155">
        <f>IFERROR(E129+'Pay App 36'!F129,"")</f>
        <v>0</v>
      </c>
      <c r="G129" s="155">
        <f>SUM('Pay App 1:Pay App 36'!H129)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37'!L129)+SUM('Pay App 1:Pay App 37'!M129)</f>
        <v>0</v>
      </c>
    </row>
    <row r="130" spans="1:14" ht="11.25" customHeight="1" x14ac:dyDescent="0.25">
      <c r="A130" s="152">
        <f t="shared" si="3"/>
        <v>69</v>
      </c>
      <c r="B130" s="185" t="str">
        <f>'Pay App 1'!B130</f>
        <v>22 00 00</v>
      </c>
      <c r="C130" s="191" t="str">
        <f>'Pay App 1'!C130</f>
        <v>Plumbing</v>
      </c>
      <c r="D130" s="155">
        <f>'Pay App 1'!D130</f>
        <v>0</v>
      </c>
      <c r="E130" s="155">
        <f>VLOOKUP(B130,'Graph Data'!$O$2:$BX$88,39,FALSE)</f>
        <v>0</v>
      </c>
      <c r="F130" s="155">
        <f>IFERROR(E130+'Pay App 36'!F130,"")</f>
        <v>0</v>
      </c>
      <c r="G130" s="155">
        <f>SUM('Pay App 1:Pay App 36'!H130)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37'!L130)+SUM('Pay App 1:Pay App 37'!M130)</f>
        <v>0</v>
      </c>
    </row>
    <row r="131" spans="1:14" ht="11.25" customHeight="1" x14ac:dyDescent="0.25">
      <c r="A131" s="152">
        <f t="shared" si="3"/>
        <v>70</v>
      </c>
      <c r="B131" s="186" t="str">
        <f>'Pay App 1'!B131</f>
        <v>23 00 00</v>
      </c>
      <c r="C131" s="192" t="str">
        <f>'Pay App 1'!C131</f>
        <v>HVAC</v>
      </c>
      <c r="D131" s="155">
        <f>'Pay App 1'!D131</f>
        <v>0</v>
      </c>
      <c r="E131" s="155">
        <f>VLOOKUP(B131,'Graph Data'!$O$2:$BX$88,39,FALSE)</f>
        <v>0</v>
      </c>
      <c r="F131" s="155">
        <f>IFERROR(E131+'Pay App 36'!F131,"")</f>
        <v>0</v>
      </c>
      <c r="G131" s="155">
        <f>SUM('Pay App 1:Pay App 36'!H131)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37'!L131)+SUM('Pay App 1:Pay App 37'!M131)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Data'!$O$2:$BX$88,39,FALSE)</f>
        <v>0</v>
      </c>
      <c r="F132" s="155">
        <f>IFERROR(E132+'Pay App 36'!F132,"")</f>
        <v>0</v>
      </c>
      <c r="G132" s="155">
        <f>SUM('Pay App 1:Pay App 36'!H132)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37'!L132)+SUM('Pay App 1:Pay App 37'!M132)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Data'!$O$2:$BX$88,39,FALSE)</f>
        <v>0</v>
      </c>
      <c r="F133" s="155">
        <f>IFERROR(E133+'Pay App 36'!F133,"")</f>
        <v>0</v>
      </c>
      <c r="G133" s="155">
        <f>SUM('Pay App 1:Pay App 36'!H133)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37'!L133)+SUM('Pay App 1:Pay App 37'!M133)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Data'!$O$2:$BX$88,39,FALSE)</f>
        <v>0</v>
      </c>
      <c r="F134" s="155">
        <f>IFERROR(E134+'Pay App 36'!F134,"")</f>
        <v>0</v>
      </c>
      <c r="G134" s="155">
        <f>SUM('Pay App 1:Pay App 36'!H134)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37'!L134)+SUM('Pay App 1:Pay App 37'!M134)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Data'!$O$2:$BX$88,39,FALSE)</f>
        <v>0</v>
      </c>
      <c r="F135" s="155">
        <f>IFERROR(E135+'Pay App 36'!F135,"")</f>
        <v>0</v>
      </c>
      <c r="G135" s="155">
        <f>SUM('Pay App 1:Pay App 36'!H135)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37'!L135)+SUM('Pay App 1:Pay App 37'!M135)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Data'!$O$2:$BX$88,39,FALSE)</f>
        <v>0</v>
      </c>
      <c r="F136" s="155">
        <f>IFERROR(E136+'Pay App 36'!F136,"")</f>
        <v>0</v>
      </c>
      <c r="G136" s="155">
        <f>SUM('Pay App 1:Pay App 36'!H136)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37'!L136)+SUM('Pay App 1:Pay App 37'!M136)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Data'!$O$2:$BX$88,39,FALSE)</f>
        <v>0</v>
      </c>
      <c r="F137" s="155">
        <f>IFERROR(E137+'Pay App 36'!F137,"")</f>
        <v>0</v>
      </c>
      <c r="G137" s="155">
        <f>SUM('Pay App 1:Pay App 36'!H137)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37'!L137)+SUM('Pay App 1:Pay App 37'!M137)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Data'!$O$2:$BX$88,39,FALSE)</f>
        <v>0</v>
      </c>
      <c r="F138" s="155">
        <f>IFERROR(E138+'Pay App 36'!F138,"")</f>
        <v>0</v>
      </c>
      <c r="G138" s="155">
        <f>SUM('Pay App 1:Pay App 36'!H138)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37'!L138)+SUM('Pay App 1:Pay App 37'!M138)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Data'!$O$2:$BX$88,39,FALSE)</f>
        <v>0</v>
      </c>
      <c r="F139" s="155">
        <f>IFERROR(E139+'Pay App 36'!F139,"")</f>
        <v>0</v>
      </c>
      <c r="G139" s="155">
        <f>SUM('Pay App 1:Pay App 36'!H139)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37'!L139)+SUM('Pay App 1:Pay App 37'!M139)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Data'!$O$2:$BX$88,39,FALSE)</f>
        <v>0</v>
      </c>
      <c r="F140" s="155">
        <f>IFERROR(E140+'Pay App 36'!F140,"")</f>
        <v>0</v>
      </c>
      <c r="G140" s="155">
        <f>SUM('Pay App 1:Pay App 36'!H140)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37'!L140)+SUM('Pay App 1:Pay App 37'!M140)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Data'!$O$2:$BX$88,39,FALSE)</f>
        <v>0</v>
      </c>
      <c r="F141" s="155">
        <f>IFERROR(E141+'Pay App 36'!F141,"")</f>
        <v>0</v>
      </c>
      <c r="G141" s="155">
        <f>SUM('Pay App 1:Pay App 36'!H141)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37'!L141)+SUM('Pay App 1:Pay App 37'!M141)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Data'!$O$2:$BX$88,39,FALSE)</f>
        <v>0</v>
      </c>
      <c r="F142" s="155">
        <f>IFERROR(E142+'Pay App 36'!F142,"")</f>
        <v>0</v>
      </c>
      <c r="G142" s="155">
        <f>SUM('Pay App 1:Pay App 36'!H142)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37'!L142)+SUM('Pay App 1:Pay App 37'!M142)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Data'!$O$2:$BX$88,39,FALSE)</f>
        <v>0</v>
      </c>
      <c r="F143" s="155">
        <f>IFERROR(E143+'Pay App 36'!F143,"")</f>
        <v>0</v>
      </c>
      <c r="G143" s="155">
        <f>SUM('Pay App 1:Pay App 36'!H143)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37'!L143)+SUM('Pay App 1:Pay App 37'!M143)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Data'!$O$2:$BX$88,39,FALSE)</f>
        <v>0</v>
      </c>
      <c r="F144" s="155">
        <f>IFERROR(E144+'Pay App 36'!F144,"")</f>
        <v>0</v>
      </c>
      <c r="G144" s="155">
        <f>SUM('Pay App 1:Pay App 36'!H144)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37'!L144)+SUM('Pay App 1:Pay App 37'!M144)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Data'!$O$2:$BX$88,39,FALSE)</f>
        <v>0</v>
      </c>
      <c r="F145" s="155">
        <f>IFERROR(E145+'Pay App 36'!F145,"")</f>
        <v>0</v>
      </c>
      <c r="G145" s="155">
        <f>SUM('Pay App 1:Pay App 36'!H145)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37'!L145)+SUM('Pay App 1:Pay App 37'!M145)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Data'!$O$2:$BX$88,39,FALSE)</f>
        <v>0</v>
      </c>
      <c r="F146" s="155">
        <f>IFERROR(E146+'Pay App 36'!F146,"")</f>
        <v>0</v>
      </c>
      <c r="G146" s="155">
        <f>SUM('Pay App 1:Pay App 36'!H146)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37'!L146)+SUM('Pay App 1:Pay App 37'!M146)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Data'!$O$2:$BX$88,39,FALSE)</f>
        <v>0</v>
      </c>
      <c r="F147" s="155">
        <f>IFERROR(E147+'Pay App 36'!F147,"")</f>
        <v>0</v>
      </c>
      <c r="G147" s="155">
        <f>SUM('Pay App 1:Pay App 36'!H147)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37'!L147)+SUM('Pay App 1:Pay App 37'!M147)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Data'!$O$2:$BX$88,39,FALSE)</f>
        <v>0</v>
      </c>
      <c r="F148" s="155">
        <f>IFERROR(E148+'Pay App 36'!F148,"")</f>
        <v>0</v>
      </c>
      <c r="G148" s="155">
        <f>SUM('Pay App 1:Pay App 36'!H148)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37'!L148)+SUM('Pay App 1:Pay App 37'!M148)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wiWwkL7L2lbPjzZux9VF8NskHXqs9fTOUdQgknNTLfQmG8mqbK3y+eJBnUuoyhUCSUI9q0K8EomD5tX9UldetA==" saltValue="mQmasM1gSCAs4thNPctVW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63" priority="2" operator="equal">
      <formula>0</formula>
    </cfRule>
  </conditionalFormatting>
  <conditionalFormatting sqref="D106:G148">
    <cfRule type="cellIs" dxfId="262" priority="1" operator="equal">
      <formula>0</formula>
    </cfRule>
  </conditionalFormatting>
  <conditionalFormatting sqref="D10:H10 D12:H14 D19:H21">
    <cfRule type="cellIs" dxfId="261" priority="6" operator="equal">
      <formula>0</formula>
    </cfRule>
  </conditionalFormatting>
  <conditionalFormatting sqref="H51">
    <cfRule type="cellIs" dxfId="260" priority="9" operator="lessThan">
      <formula>0</formula>
    </cfRule>
  </conditionalFormatting>
  <conditionalFormatting sqref="I57:I100 K57:K100 I106:I148 K106:K148 N106:N148">
    <cfRule type="cellIs" dxfId="259" priority="14" operator="equal">
      <formula>0</formula>
    </cfRule>
  </conditionalFormatting>
  <conditionalFormatting sqref="J57:J100 J106:J149">
    <cfRule type="cellIs" dxfId="258" priority="11" operator="greaterThan">
      <formula>1</formula>
    </cfRule>
    <cfRule type="cellIs" dxfId="257" priority="12" operator="equal">
      <formula>0</formula>
    </cfRule>
  </conditionalFormatting>
  <conditionalFormatting sqref="K57:K100 K106:K148">
    <cfRule type="cellIs" dxfId="256" priority="10" operator="lessThan">
      <formula>0</formula>
    </cfRule>
  </conditionalFormatting>
  <conditionalFormatting sqref="M57:M100">
    <cfRule type="cellIs" dxfId="255" priority="13" operator="lessThan">
      <formula>0</formula>
    </cfRule>
  </conditionalFormatting>
  <conditionalFormatting sqref="M106:M148">
    <cfRule type="cellIs" dxfId="254" priority="8" operator="lessThan">
      <formula>0</formula>
    </cfRule>
  </conditionalFormatting>
  <conditionalFormatting sqref="N57:N100">
    <cfRule type="cellIs" dxfId="25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F4CEFA3-9B7D-492B-9536-15E74FE9A5D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228FF5E-4584-4780-86E3-5E7B3CDE24B6}">
          <x14:formula1>
            <xm:f>'Graph Data'!$M$74:$M$76</xm:f>
          </x14:formula1>
          <xm:sqref>G17</xm:sqref>
        </x14:dataValidation>
      </x14:dataValidation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19A2-1DFA-4ABD-B432-DBB7A7A7E47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38.1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Data'!$O$2:$BX$88,40,FALSE)</f>
        <v>0</v>
      </c>
      <c r="F57" s="155">
        <f>IFERROR(E57+'Pay App 37'!F57,"")</f>
        <v>0</v>
      </c>
      <c r="G57" s="155">
        <f>SUM('Pay App 1:Pay App 37'!H57)</f>
        <v>0</v>
      </c>
      <c r="H57" s="154"/>
      <c r="I57" s="155">
        <f>G57+H57</f>
        <v>0</v>
      </c>
      <c r="J57" s="156">
        <f>IFERROR(I57/F57,0)</f>
        <v>0</v>
      </c>
      <c r="K57" s="155">
        <f>IFERROR(F57-I57,"")</f>
        <v>0</v>
      </c>
      <c r="L57" s="155" t="str">
        <f>IF(AND('Summary Sheet'!$E$23="No",$H$33&gt;0,H57&gt;=1),"",IF(AND('Summary Sheet'!$E$23="Yes",H57&lt;&gt;""),H57*'Summary Sheet'!$G$23,""))</f>
        <v/>
      </c>
      <c r="M57" s="154"/>
      <c r="N57" s="155">
        <f>SUM('Pay App 1:Pay App 38'!L57)+SUM('Pay App 1:Pay App 38'!M57)</f>
        <v>0</v>
      </c>
    </row>
    <row r="58" spans="1:16" ht="11.25" customHeight="1" x14ac:dyDescent="0.25">
      <c r="A58" s="152">
        <v>2</v>
      </c>
      <c r="B58" s="145" t="str">
        <f>'Pay App 1'!B58</f>
        <v>00 02 00</v>
      </c>
      <c r="C58" s="134" t="str">
        <f>'Pay App 1'!C58</f>
        <v>Preconstruction Services</v>
      </c>
      <c r="D58" s="155">
        <f>'Pay App 1'!D58</f>
        <v>0</v>
      </c>
      <c r="E58" s="155">
        <f>VLOOKUP(B58,'Graph Data'!$O$2:$BX$88,40,FALSE)</f>
        <v>0</v>
      </c>
      <c r="F58" s="155">
        <f>IFERROR(E58+'Pay App 37'!F58,"")</f>
        <v>0</v>
      </c>
      <c r="G58" s="155">
        <f>SUM('Pay App 1:Pay App 37'!H58)</f>
        <v>0</v>
      </c>
      <c r="H58" s="154"/>
      <c r="I58" s="155">
        <f>G58+H58</f>
        <v>0</v>
      </c>
      <c r="J58" s="156">
        <f>IFERROR(I58/F58,0)</f>
        <v>0</v>
      </c>
      <c r="K58" s="155">
        <f>IFERROR(F58-I58,"")</f>
        <v>0</v>
      </c>
      <c r="L58" s="155" t="str">
        <f>IF(AND('Summary Sheet'!$E$23="No",$H$33&gt;0,H58&gt;=1),"",IF(AND('Summary Sheet'!$E$23="Yes",H58&lt;&gt;""),H58*'Summary Sheet'!$G$23,""))</f>
        <v/>
      </c>
      <c r="M58" s="154"/>
      <c r="N58" s="155">
        <f>SUM('Pay App 1:Pay App 38'!L58)+SUM('Pay App 1:Pay App 38'!M58)</f>
        <v>0</v>
      </c>
    </row>
    <row r="59" spans="1:16" ht="11.25" customHeight="1" x14ac:dyDescent="0.25">
      <c r="A59" s="152">
        <v>3</v>
      </c>
      <c r="B59" s="174" t="str">
        <f>'Pay App 1'!B59</f>
        <v>01 00 00</v>
      </c>
      <c r="C59" s="179" t="str">
        <f>'Pay App 1'!C59</f>
        <v>General Conditions/Requirements</v>
      </c>
      <c r="D59" s="155">
        <f>'Pay App 1'!D59</f>
        <v>0</v>
      </c>
      <c r="E59" s="155">
        <f>VLOOKUP(B59,'Graph Data'!$O$2:$BX$88,40,FALSE)</f>
        <v>0</v>
      </c>
      <c r="F59" s="155">
        <f>IFERROR(E59+'Pay App 37'!F59,"")</f>
        <v>0</v>
      </c>
      <c r="G59" s="155">
        <f>SUM('Pay App 1:Pay App 37'!H59)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38'!L59)+SUM('Pay App 1:Pay App 38'!M59)</f>
        <v>0</v>
      </c>
    </row>
    <row r="60" spans="1:16" ht="11.25" customHeight="1" x14ac:dyDescent="0.25">
      <c r="A60" s="152">
        <v>4</v>
      </c>
      <c r="B60" s="174" t="str">
        <f>'Pay App 1'!B60</f>
        <v>01 13 41</v>
      </c>
      <c r="C60" s="179" t="str">
        <f>'Pay App 1'!C60</f>
        <v>Temp. Scaffolding and Platforms</v>
      </c>
      <c r="D60" s="155">
        <f>'Pay App 1'!D60</f>
        <v>0</v>
      </c>
      <c r="E60" s="155">
        <f>VLOOKUP(B60,'Graph Data'!$O$2:$BX$88,40,FALSE)</f>
        <v>0</v>
      </c>
      <c r="F60" s="155">
        <f>IFERROR(E60+'Pay App 37'!F60,"")</f>
        <v>0</v>
      </c>
      <c r="G60" s="155">
        <f>SUM('Pay App 1:Pay App 37'!H60)</f>
        <v>0</v>
      </c>
      <c r="H60" s="154"/>
      <c r="I60" s="155">
        <f t="shared" si="0"/>
        <v>0</v>
      </c>
      <c r="J60" s="156">
        <f t="shared" si="1"/>
        <v>0</v>
      </c>
      <c r="K60" s="155">
        <f t="shared" si="2"/>
        <v>0</v>
      </c>
      <c r="L60" s="155" t="str">
        <f>IF(AND('Summary Sheet'!$E$23="No",$H$33&gt;0,H60&gt;=1),"",IF(AND('Summary Sheet'!$E$23="Yes",H60&lt;&gt;""),H60*'Summary Sheet'!$G$23,""))</f>
        <v/>
      </c>
      <c r="M60" s="154"/>
      <c r="N60" s="155">
        <f>SUM('Pay App 1:Pay App 38'!L60)+SUM('Pay App 1:Pay App 38'!M60)</f>
        <v>0</v>
      </c>
    </row>
    <row r="61" spans="1:16" ht="11.25" customHeight="1" x14ac:dyDescent="0.25">
      <c r="A61" s="152">
        <v>5</v>
      </c>
      <c r="B61" s="174" t="str">
        <f>'Pay App 1'!B61</f>
        <v>01 13 60</v>
      </c>
      <c r="C61" s="179" t="str">
        <f>'Pay App 1'!C61</f>
        <v>SWPPP</v>
      </c>
      <c r="D61" s="155">
        <f>'Pay App 1'!D61</f>
        <v>0</v>
      </c>
      <c r="E61" s="155">
        <f>VLOOKUP(B61,'Graph Data'!$O$2:$BX$88,40,FALSE)</f>
        <v>0</v>
      </c>
      <c r="F61" s="155">
        <f>IFERROR(E61+'Pay App 37'!F61,"")</f>
        <v>0</v>
      </c>
      <c r="G61" s="155">
        <f>SUM('Pay App 1:Pay App 37'!H61)</f>
        <v>0</v>
      </c>
      <c r="H61" s="154"/>
      <c r="I61" s="155">
        <f t="shared" si="0"/>
        <v>0</v>
      </c>
      <c r="J61" s="156">
        <f t="shared" si="1"/>
        <v>0</v>
      </c>
      <c r="K61" s="155">
        <f t="shared" si="2"/>
        <v>0</v>
      </c>
      <c r="L61" s="155" t="str">
        <f>IF(AND('Summary Sheet'!$E$23="No",$H$33&gt;0,H61&gt;=1),"",IF(AND('Summary Sheet'!$E$23="Yes",H61&lt;&gt;""),H61*'Summary Sheet'!$G$23,""))</f>
        <v/>
      </c>
      <c r="M61" s="154"/>
      <c r="N61" s="155">
        <f>SUM('Pay App 1:Pay App 38'!L61)+SUM('Pay App 1:Pay App 38'!M61)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Data'!$O$2:$BX$88,40,FALSE)</f>
        <v>0</v>
      </c>
      <c r="F62" s="155">
        <f>IFERROR(E62+'Pay App 37'!F62,"")</f>
        <v>0</v>
      </c>
      <c r="G62" s="155">
        <f>SUM('Pay App 1:Pay App 37'!H62)</f>
        <v>0</v>
      </c>
      <c r="H62" s="154"/>
      <c r="I62" s="155">
        <f t="shared" si="0"/>
        <v>0</v>
      </c>
      <c r="J62" s="156">
        <f t="shared" si="1"/>
        <v>0</v>
      </c>
      <c r="K62" s="155">
        <f t="shared" si="2"/>
        <v>0</v>
      </c>
      <c r="L62" s="155" t="str">
        <f>IF(AND('Summary Sheet'!$E$23="No",$H$33&gt;0,H62&gt;=1),"",IF(AND('Summary Sheet'!$E$23="Yes",H62&lt;&gt;""),H62*'Summary Sheet'!$G$23,""))</f>
        <v/>
      </c>
      <c r="M62" s="154"/>
      <c r="N62" s="155">
        <f>SUM('Pay App 1:Pay App 38'!L62)+SUM('Pay App 1:Pay App 38'!M62)</f>
        <v>0</v>
      </c>
    </row>
    <row r="63" spans="1:16" ht="11.25" customHeight="1" x14ac:dyDescent="0.25">
      <c r="A63" s="152">
        <v>7</v>
      </c>
      <c r="B63" s="174" t="str">
        <f>'Pay App 1'!B63</f>
        <v>01 31 00</v>
      </c>
      <c r="C63" s="179" t="str">
        <f>'Pay App 1'!C63</f>
        <v>Contractor's Supervision</v>
      </c>
      <c r="D63" s="155">
        <f>'Pay App 1'!D63</f>
        <v>0</v>
      </c>
      <c r="E63" s="155">
        <f>VLOOKUP(B63,'Graph Data'!$O$2:$BX$88,40,FALSE)</f>
        <v>0</v>
      </c>
      <c r="F63" s="155">
        <f>IFERROR(E63+'Pay App 37'!F63,"")</f>
        <v>0</v>
      </c>
      <c r="G63" s="155">
        <f>SUM('Pay App 1:Pay App 37'!H63)</f>
        <v>0</v>
      </c>
      <c r="H63" s="154"/>
      <c r="I63" s="155">
        <f t="shared" si="0"/>
        <v>0</v>
      </c>
      <c r="J63" s="156">
        <f t="shared" si="1"/>
        <v>0</v>
      </c>
      <c r="K63" s="155">
        <f t="shared" si="2"/>
        <v>0</v>
      </c>
      <c r="L63" s="155" t="str">
        <f>IF(AND('Summary Sheet'!$E$23="No",$H$33&gt;0,H63&gt;=1),"",IF(AND('Summary Sheet'!$E$23="Yes",H63&lt;&gt;""),H63*'Summary Sheet'!$G$23,""))</f>
        <v/>
      </c>
      <c r="M63" s="154"/>
      <c r="N63" s="155">
        <f>SUM('Pay App 1:Pay App 38'!L63)+SUM('Pay App 1:Pay App 38'!M63)</f>
        <v>0</v>
      </c>
    </row>
    <row r="64" spans="1:16" ht="11.25" customHeight="1" x14ac:dyDescent="0.25">
      <c r="A64" s="152">
        <v>8</v>
      </c>
      <c r="B64" s="174" t="str">
        <f>'Pay App 1'!B64</f>
        <v>01 32 00</v>
      </c>
      <c r="C64" s="179" t="str">
        <f>'Pay App 1'!C64</f>
        <v>General Liability Insurance</v>
      </c>
      <c r="D64" s="155">
        <f>'Pay App 1'!D64</f>
        <v>0</v>
      </c>
      <c r="E64" s="155">
        <f>VLOOKUP(B64,'Graph Data'!$O$2:$BX$88,40,FALSE)</f>
        <v>0</v>
      </c>
      <c r="F64" s="155">
        <f>IFERROR(E64+'Pay App 37'!F64,"")</f>
        <v>0</v>
      </c>
      <c r="G64" s="155">
        <f>SUM('Pay App 1:Pay App 37'!H64)</f>
        <v>0</v>
      </c>
      <c r="H64" s="154"/>
      <c r="I64" s="155">
        <f t="shared" si="0"/>
        <v>0</v>
      </c>
      <c r="J64" s="156">
        <f t="shared" si="1"/>
        <v>0</v>
      </c>
      <c r="K64" s="155">
        <f t="shared" si="2"/>
        <v>0</v>
      </c>
      <c r="L64" s="155" t="str">
        <f>IF(AND('Summary Sheet'!$E$23="No",$H$33&gt;0,H64&gt;=1),"",IF(AND('Summary Sheet'!$E$23="Yes",H64&lt;&gt;""),H64*'Summary Sheet'!$G$23,""))</f>
        <v/>
      </c>
      <c r="M64" s="154"/>
      <c r="N64" s="155">
        <f>SUM('Pay App 1:Pay App 38'!L64)+SUM('Pay App 1:Pay App 38'!M64)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Data'!$O$2:$BX$88,40,FALSE)</f>
        <v>0</v>
      </c>
      <c r="F65" s="155">
        <f>IFERROR(E65+'Pay App 37'!F65,"")</f>
        <v>0</v>
      </c>
      <c r="G65" s="155">
        <f>SUM('Pay App 1:Pay App 37'!H65)</f>
        <v>0</v>
      </c>
      <c r="H65" s="154"/>
      <c r="I65" s="155">
        <f t="shared" si="0"/>
        <v>0</v>
      </c>
      <c r="J65" s="156">
        <f t="shared" si="1"/>
        <v>0</v>
      </c>
      <c r="K65" s="155">
        <f t="shared" si="2"/>
        <v>0</v>
      </c>
      <c r="L65" s="155" t="str">
        <f>IF(AND('Summary Sheet'!$E$23="No",$H$33&gt;0,H65&gt;=1),"",IF(AND('Summary Sheet'!$E$23="Yes",H65&lt;&gt;""),H65*'Summary Sheet'!$G$23,""))</f>
        <v/>
      </c>
      <c r="M65" s="154"/>
      <c r="N65" s="155">
        <f>SUM('Pay App 1:Pay App 38'!L65)+SUM('Pay App 1:Pay App 38'!M65)</f>
        <v>0</v>
      </c>
    </row>
    <row r="66" spans="1:17" ht="11.25" customHeight="1" x14ac:dyDescent="0.25">
      <c r="A66" s="152">
        <v>10</v>
      </c>
      <c r="B66" s="174" t="str">
        <f>'Pay App 1'!B66</f>
        <v>01 34 00</v>
      </c>
      <c r="C66" s="179" t="str">
        <f>'Pay App 1'!C66</f>
        <v>Subcontractor Default Insurance</v>
      </c>
      <c r="D66" s="155">
        <f>'Pay App 1'!D66</f>
        <v>0</v>
      </c>
      <c r="E66" s="155">
        <f>VLOOKUP(B66,'Graph Data'!$O$2:$BX$88,40,FALSE)</f>
        <v>0</v>
      </c>
      <c r="F66" s="155">
        <f>IFERROR(E66+'Pay App 37'!F66,"")</f>
        <v>0</v>
      </c>
      <c r="G66" s="155">
        <f>SUM('Pay App 1:Pay App 37'!H66)</f>
        <v>0</v>
      </c>
      <c r="H66" s="154"/>
      <c r="I66" s="155">
        <f t="shared" si="0"/>
        <v>0</v>
      </c>
      <c r="J66" s="156">
        <f t="shared" si="1"/>
        <v>0</v>
      </c>
      <c r="K66" s="155">
        <f t="shared" si="2"/>
        <v>0</v>
      </c>
      <c r="L66" s="155" t="str">
        <f>IF(AND('Summary Sheet'!$E$23="No",$H$33&gt;0,H66&gt;=1),"",IF(AND('Summary Sheet'!$E$23="Yes",H66&lt;&gt;""),H66*'Summary Sheet'!$G$23,""))</f>
        <v/>
      </c>
      <c r="M66" s="154"/>
      <c r="N66" s="155">
        <f>SUM('Pay App 1:Pay App 38'!L66)+SUM('Pay App 1:Pay App 38'!M66)</f>
        <v>0</v>
      </c>
    </row>
    <row r="67" spans="1:17" ht="11.25" customHeight="1" x14ac:dyDescent="0.25">
      <c r="A67" s="152">
        <v>11</v>
      </c>
      <c r="B67" s="174" t="str">
        <f>'Pay App 1'!B67</f>
        <v>01 35 00</v>
      </c>
      <c r="C67" s="179" t="str">
        <f>'Pay App 1'!C67</f>
        <v>Construction Management Fee</v>
      </c>
      <c r="D67" s="155">
        <f>'Pay App 1'!D67</f>
        <v>0</v>
      </c>
      <c r="E67" s="155">
        <f>VLOOKUP(B67,'Graph Data'!$O$2:$BX$88,40,FALSE)</f>
        <v>0</v>
      </c>
      <c r="F67" s="155">
        <f>IFERROR(E67+'Pay App 37'!F67,"")</f>
        <v>0</v>
      </c>
      <c r="G67" s="155">
        <f>SUM('Pay App 1:Pay App 37'!H67)</f>
        <v>0</v>
      </c>
      <c r="H67" s="154"/>
      <c r="I67" s="155">
        <f t="shared" si="0"/>
        <v>0</v>
      </c>
      <c r="J67" s="156">
        <f t="shared" si="1"/>
        <v>0</v>
      </c>
      <c r="K67" s="155">
        <f t="shared" si="2"/>
        <v>0</v>
      </c>
      <c r="L67" s="155" t="str">
        <f>IF(AND('Summary Sheet'!$E$23="No",$H$33&gt;0,H67&gt;=1),"",IF(AND('Summary Sheet'!$E$23="Yes",H67&lt;&gt;""),H67*'Summary Sheet'!$G$23,""))</f>
        <v/>
      </c>
      <c r="M67" s="154"/>
      <c r="N67" s="155">
        <f>SUM('Pay App 1:Pay App 38'!L67)+SUM('Pay App 1:Pay App 38'!M67)</f>
        <v>0</v>
      </c>
    </row>
    <row r="68" spans="1:17" ht="11.25" customHeight="1" x14ac:dyDescent="0.25">
      <c r="A68" s="152">
        <v>12</v>
      </c>
      <c r="B68" s="174" t="str">
        <f>'Pay App 1'!B68</f>
        <v>01 36 00</v>
      </c>
      <c r="C68" s="179" t="str">
        <f>'Pay App 1'!C68</f>
        <v>Contingency</v>
      </c>
      <c r="D68" s="155">
        <f>'Pay App 1'!D68</f>
        <v>0</v>
      </c>
      <c r="E68" s="155">
        <f>VLOOKUP(B68,'Graph Data'!$O$2:$BX$88,40,FALSE)</f>
        <v>0</v>
      </c>
      <c r="F68" s="155">
        <f>IFERROR(E68+'Pay App 37'!F68,"")</f>
        <v>0</v>
      </c>
      <c r="G68" s="155">
        <f>SUM('Pay App 1:Pay App 37'!H68)</f>
        <v>0</v>
      </c>
      <c r="H68" s="154"/>
      <c r="I68" s="155">
        <f t="shared" si="0"/>
        <v>0</v>
      </c>
      <c r="J68" s="156">
        <f t="shared" si="1"/>
        <v>0</v>
      </c>
      <c r="K68" s="155">
        <f t="shared" si="2"/>
        <v>0</v>
      </c>
      <c r="L68" s="155" t="str">
        <f>IF(AND('Summary Sheet'!$E$23="No",$H$33&gt;0,H68&gt;=1),"",IF(AND('Summary Sheet'!$E$23="Yes",H68&lt;&gt;""),H68*'Summary Sheet'!$G$23,""))</f>
        <v/>
      </c>
      <c r="M68" s="154"/>
      <c r="N68" s="155">
        <f>SUM('Pay App 1:Pay App 38'!L68)+SUM('Pay App 1:Pay App 38'!M68)</f>
        <v>0</v>
      </c>
    </row>
    <row r="69" spans="1:17" ht="11.25" customHeight="1" x14ac:dyDescent="0.25">
      <c r="A69" s="152">
        <v>13</v>
      </c>
      <c r="B69" s="174" t="str">
        <f>'Pay App 1'!B69</f>
        <v>01 37 00</v>
      </c>
      <c r="C69" s="179" t="str">
        <f>'Pay App 1'!C69</f>
        <v>Weather Allowance (All Trades)</v>
      </c>
      <c r="D69" s="155">
        <f>'Pay App 1'!D69</f>
        <v>0</v>
      </c>
      <c r="E69" s="155">
        <f>VLOOKUP(B69,'Graph Data'!$O$2:$BX$88,40,FALSE)</f>
        <v>0</v>
      </c>
      <c r="F69" s="155">
        <f>IFERROR(E69+'Pay App 37'!F69,"")</f>
        <v>0</v>
      </c>
      <c r="G69" s="155">
        <f>SUM('Pay App 1:Pay App 37'!H69)</f>
        <v>0</v>
      </c>
      <c r="H69" s="154"/>
      <c r="I69" s="155">
        <f t="shared" si="0"/>
        <v>0</v>
      </c>
      <c r="J69" s="156">
        <f t="shared" si="1"/>
        <v>0</v>
      </c>
      <c r="K69" s="155">
        <f t="shared" si="2"/>
        <v>0</v>
      </c>
      <c r="L69" s="155" t="str">
        <f>IF(AND('Summary Sheet'!$E$23="No",$H$33&gt;0,H69&gt;=1),"",IF(AND('Summary Sheet'!$E$23="Yes",H69&lt;&gt;""),H69*'Summary Sheet'!$G$23,""))</f>
        <v/>
      </c>
      <c r="M69" s="154"/>
      <c r="N69" s="155">
        <f>SUM('Pay App 1:Pay App 38'!L69)+SUM('Pay App 1:Pay App 38'!M69)</f>
        <v>0</v>
      </c>
    </row>
    <row r="70" spans="1:17" ht="11.25" customHeight="1" x14ac:dyDescent="0.25">
      <c r="A70" s="152">
        <v>14</v>
      </c>
      <c r="B70" s="174" t="str">
        <f>'Pay App 1'!B70</f>
        <v>01 74 23</v>
      </c>
      <c r="C70" s="179" t="str">
        <f>'Pay App 1'!C70</f>
        <v>Cleaning (Final)</v>
      </c>
      <c r="D70" s="155">
        <f>'Pay App 1'!D70</f>
        <v>0</v>
      </c>
      <c r="E70" s="155">
        <f>VLOOKUP(B70,'Graph Data'!$O$2:$BX$88,40,FALSE)</f>
        <v>0</v>
      </c>
      <c r="F70" s="155">
        <f>IFERROR(E70+'Pay App 37'!F70,"")</f>
        <v>0</v>
      </c>
      <c r="G70" s="155">
        <f>SUM('Pay App 1:Pay App 37'!H70)</f>
        <v>0</v>
      </c>
      <c r="H70" s="154"/>
      <c r="I70" s="155">
        <f t="shared" si="0"/>
        <v>0</v>
      </c>
      <c r="J70" s="156">
        <f t="shared" si="1"/>
        <v>0</v>
      </c>
      <c r="K70" s="155">
        <f t="shared" si="2"/>
        <v>0</v>
      </c>
      <c r="L70" s="155" t="str">
        <f>IF(AND('Summary Sheet'!$E$23="No",$H$33&gt;0,H70&gt;=1),"",IF(AND('Summary Sheet'!$E$23="Yes",H70&lt;&gt;""),H70*'Summary Sheet'!$G$23,""))</f>
        <v/>
      </c>
      <c r="M70" s="154"/>
      <c r="N70" s="155">
        <f>SUM('Pay App 1:Pay App 38'!L70)+SUM('Pay App 1:Pay App 38'!M70)</f>
        <v>0</v>
      </c>
    </row>
    <row r="71" spans="1:17" ht="11.25" customHeight="1" x14ac:dyDescent="0.25">
      <c r="A71" s="152">
        <v>15</v>
      </c>
      <c r="B71" s="175" t="str">
        <f>'Pay App 1'!B71</f>
        <v>02 21 00</v>
      </c>
      <c r="C71" s="180" t="str">
        <f>'Pay App 1'!C71</f>
        <v>Survey/Engineering</v>
      </c>
      <c r="D71" s="155">
        <f>'Pay App 1'!D71</f>
        <v>0</v>
      </c>
      <c r="E71" s="155">
        <f>VLOOKUP(B71,'Graph Data'!$O$2:$BX$88,40,FALSE)</f>
        <v>0</v>
      </c>
      <c r="F71" s="155">
        <f>IFERROR(E71+'Pay App 37'!F71,"")</f>
        <v>0</v>
      </c>
      <c r="G71" s="155">
        <f>SUM('Pay App 1:Pay App 37'!H71)</f>
        <v>0</v>
      </c>
      <c r="H71" s="154"/>
      <c r="I71" s="155">
        <f t="shared" si="0"/>
        <v>0</v>
      </c>
      <c r="J71" s="156">
        <f t="shared" si="1"/>
        <v>0</v>
      </c>
      <c r="K71" s="155">
        <f t="shared" si="2"/>
        <v>0</v>
      </c>
      <c r="L71" s="155" t="str">
        <f>IF(AND('Summary Sheet'!$E$23="No",$H$33&gt;0,H71&gt;=1),"",IF(AND('Summary Sheet'!$E$23="Yes",H71&lt;&gt;""),H71*'Summary Sheet'!$G$23,""))</f>
        <v/>
      </c>
      <c r="M71" s="154"/>
      <c r="N71" s="155">
        <f>SUM('Pay App 1:Pay App 38'!L71)+SUM('Pay App 1:Pay App 38'!M71)</f>
        <v>0</v>
      </c>
      <c r="Q71" s="28"/>
    </row>
    <row r="72" spans="1:17" ht="11.25" customHeight="1" x14ac:dyDescent="0.25">
      <c r="A72" s="152">
        <v>16</v>
      </c>
      <c r="B72" s="175" t="str">
        <f>'Pay App 1'!B72</f>
        <v>02 41 00</v>
      </c>
      <c r="C72" s="180" t="str">
        <f>'Pay App 1'!C72</f>
        <v>Demolition</v>
      </c>
      <c r="D72" s="155">
        <f>'Pay App 1'!D72</f>
        <v>0</v>
      </c>
      <c r="E72" s="155">
        <f>VLOOKUP(B72,'Graph Data'!$O$2:$BX$88,40,FALSE)</f>
        <v>0</v>
      </c>
      <c r="F72" s="155">
        <f>IFERROR(E72+'Pay App 37'!F72,"")</f>
        <v>0</v>
      </c>
      <c r="G72" s="155">
        <f>SUM('Pay App 1:Pay App 37'!H72)</f>
        <v>0</v>
      </c>
      <c r="H72" s="154"/>
      <c r="I72" s="155">
        <f t="shared" si="0"/>
        <v>0</v>
      </c>
      <c r="J72" s="156">
        <f t="shared" si="1"/>
        <v>0</v>
      </c>
      <c r="K72" s="155">
        <f t="shared" si="2"/>
        <v>0</v>
      </c>
      <c r="L72" s="155" t="str">
        <f>IF(AND('Summary Sheet'!$E$23="No",$H$33&gt;0,H72&gt;=1),"",IF(AND('Summary Sheet'!$E$23="Yes",H72&lt;&gt;""),H72*'Summary Sheet'!$G$23,""))</f>
        <v/>
      </c>
      <c r="M72" s="154"/>
      <c r="N72" s="155">
        <f>SUM('Pay App 1:Pay App 38'!L72)+SUM('Pay App 1:Pay App 38'!M72)</f>
        <v>0</v>
      </c>
      <c r="Q72" s="28"/>
    </row>
    <row r="73" spans="1:17" ht="11.25" customHeight="1" x14ac:dyDescent="0.25">
      <c r="A73" s="152">
        <v>17</v>
      </c>
      <c r="B73" s="175" t="str">
        <f>'Pay App 1'!B73</f>
        <v>02 82 00</v>
      </c>
      <c r="C73" s="180" t="str">
        <f>'Pay App 1'!C73</f>
        <v>Asbestos Abatement</v>
      </c>
      <c r="D73" s="155">
        <f>'Pay App 1'!D73</f>
        <v>0</v>
      </c>
      <c r="E73" s="155">
        <f>VLOOKUP(B73,'Graph Data'!$O$2:$BX$88,40,FALSE)</f>
        <v>0</v>
      </c>
      <c r="F73" s="155">
        <f>IFERROR(E73+'Pay App 37'!F73,"")</f>
        <v>0</v>
      </c>
      <c r="G73" s="155">
        <f>SUM('Pay App 1:Pay App 37'!H73)</f>
        <v>0</v>
      </c>
      <c r="H73" s="154"/>
      <c r="I73" s="155">
        <f t="shared" si="0"/>
        <v>0</v>
      </c>
      <c r="J73" s="156">
        <f t="shared" si="1"/>
        <v>0</v>
      </c>
      <c r="K73" s="155">
        <f t="shared" si="2"/>
        <v>0</v>
      </c>
      <c r="L73" s="155" t="str">
        <f>IF(AND('Summary Sheet'!$E$23="No",$H$33&gt;0,H73&gt;=1),"",IF(AND('Summary Sheet'!$E$23="Yes",H73&lt;&gt;""),H73*'Summary Sheet'!$G$23,""))</f>
        <v/>
      </c>
      <c r="M73" s="154"/>
      <c r="N73" s="155">
        <f>SUM('Pay App 1:Pay App 38'!L73)+SUM('Pay App 1:Pay App 38'!M73)</f>
        <v>0</v>
      </c>
    </row>
    <row r="74" spans="1:17" ht="11.25" customHeight="1" x14ac:dyDescent="0.25">
      <c r="A74" s="152">
        <v>18</v>
      </c>
      <c r="B74" s="176" t="str">
        <f>'Pay App 1'!B74</f>
        <v>03 00 00</v>
      </c>
      <c r="C74" s="181" t="str">
        <f>'Pay App 1'!C74</f>
        <v>Building Concrete</v>
      </c>
      <c r="D74" s="155">
        <f>'Pay App 1'!D74</f>
        <v>0</v>
      </c>
      <c r="E74" s="155">
        <f>VLOOKUP(B74,'Graph Data'!$O$2:$BX$88,40,FALSE)</f>
        <v>0</v>
      </c>
      <c r="F74" s="155">
        <f>IFERROR(E74+'Pay App 37'!F74,"")</f>
        <v>0</v>
      </c>
      <c r="G74" s="155">
        <f>SUM('Pay App 1:Pay App 37'!H74)</f>
        <v>0</v>
      </c>
      <c r="H74" s="154"/>
      <c r="I74" s="155">
        <f t="shared" si="0"/>
        <v>0</v>
      </c>
      <c r="J74" s="156">
        <f t="shared" si="1"/>
        <v>0</v>
      </c>
      <c r="K74" s="155">
        <f t="shared" si="2"/>
        <v>0</v>
      </c>
      <c r="L74" s="155" t="str">
        <f>IF(AND('Summary Sheet'!$E$23="No",$H$33&gt;0,H74&gt;=1),"",IF(AND('Summary Sheet'!$E$23="Yes",H74&lt;&gt;""),H74*'Summary Sheet'!$G$23,""))</f>
        <v/>
      </c>
      <c r="M74" s="154"/>
      <c r="N74" s="155">
        <f>SUM('Pay App 1:Pay App 38'!L74)+SUM('Pay App 1:Pay App 38'!M74)</f>
        <v>0</v>
      </c>
    </row>
    <row r="75" spans="1:17" ht="11.25" customHeight="1" x14ac:dyDescent="0.25">
      <c r="A75" s="152">
        <v>19</v>
      </c>
      <c r="B75" s="176" t="str">
        <f>'Pay App 1'!B75</f>
        <v>03 20 00</v>
      </c>
      <c r="C75" s="181" t="str">
        <f>'Pay App 1'!C75</f>
        <v>Building Concrete Reinforcing</v>
      </c>
      <c r="D75" s="155">
        <f>'Pay App 1'!D75</f>
        <v>0</v>
      </c>
      <c r="E75" s="155">
        <f>VLOOKUP(B75,'Graph Data'!$O$2:$BX$88,40,FALSE)</f>
        <v>0</v>
      </c>
      <c r="F75" s="155">
        <f>IFERROR(E75+'Pay App 37'!F75,"")</f>
        <v>0</v>
      </c>
      <c r="G75" s="155">
        <f>SUM('Pay App 1:Pay App 37'!H75)</f>
        <v>0</v>
      </c>
      <c r="H75" s="154"/>
      <c r="I75" s="155">
        <f t="shared" si="0"/>
        <v>0</v>
      </c>
      <c r="J75" s="156">
        <f t="shared" si="1"/>
        <v>0</v>
      </c>
      <c r="K75" s="155">
        <f t="shared" si="2"/>
        <v>0</v>
      </c>
      <c r="L75" s="155" t="str">
        <f>IF(AND('Summary Sheet'!$E$23="No",$H$33&gt;0,H75&gt;=1),"",IF(AND('Summary Sheet'!$E$23="Yes",H75&lt;&gt;""),H75*'Summary Sheet'!$G$23,""))</f>
        <v/>
      </c>
      <c r="M75" s="154"/>
      <c r="N75" s="155">
        <f>SUM('Pay App 1:Pay App 38'!L75)+SUM('Pay App 1:Pay App 38'!M75)</f>
        <v>0</v>
      </c>
    </row>
    <row r="76" spans="1:17" ht="11.25" customHeight="1" x14ac:dyDescent="0.25">
      <c r="A76" s="152">
        <v>20</v>
      </c>
      <c r="B76" s="176" t="str">
        <f>'Pay App 1'!B76</f>
        <v>03 40 00</v>
      </c>
      <c r="C76" s="181" t="str">
        <f>'Pay App 1'!C76</f>
        <v>Precast</v>
      </c>
      <c r="D76" s="155">
        <f>'Pay App 1'!D76</f>
        <v>0</v>
      </c>
      <c r="E76" s="155">
        <f>VLOOKUP(B76,'Graph Data'!$O$2:$BX$88,40,FALSE)</f>
        <v>0</v>
      </c>
      <c r="F76" s="155">
        <f>IFERROR(E76+'Pay App 37'!F76,"")</f>
        <v>0</v>
      </c>
      <c r="G76" s="155">
        <f>SUM('Pay App 1:Pay App 37'!H76)</f>
        <v>0</v>
      </c>
      <c r="H76" s="154"/>
      <c r="I76" s="155">
        <f t="shared" si="0"/>
        <v>0</v>
      </c>
      <c r="J76" s="156">
        <f t="shared" si="1"/>
        <v>0</v>
      </c>
      <c r="K76" s="155">
        <f t="shared" si="2"/>
        <v>0</v>
      </c>
      <c r="L76" s="155" t="str">
        <f>IF(AND('Summary Sheet'!$E$23="No",$H$33&gt;0,H76&gt;=1),"",IF(AND('Summary Sheet'!$E$23="Yes",H76&lt;&gt;""),H76*'Summary Sheet'!$G$23,""))</f>
        <v/>
      </c>
      <c r="M76" s="154"/>
      <c r="N76" s="155">
        <f>SUM('Pay App 1:Pay App 38'!L76)+SUM('Pay App 1:Pay App 38'!M76)</f>
        <v>0</v>
      </c>
    </row>
    <row r="77" spans="1:17" ht="11.25" customHeight="1" x14ac:dyDescent="0.25">
      <c r="A77" s="152">
        <v>21</v>
      </c>
      <c r="B77" s="177" t="str">
        <f>'Pay App 1'!B77</f>
        <v>04 00 00</v>
      </c>
      <c r="C77" s="182" t="str">
        <f>'Pay App 1'!C77</f>
        <v>Masonry</v>
      </c>
      <c r="D77" s="155">
        <f>'Pay App 1'!D77</f>
        <v>0</v>
      </c>
      <c r="E77" s="155">
        <f>VLOOKUP(B77,'Graph Data'!$O$2:$BX$88,40,FALSE)</f>
        <v>0</v>
      </c>
      <c r="F77" s="155">
        <f>IFERROR(E77+'Pay App 37'!F77,"")</f>
        <v>0</v>
      </c>
      <c r="G77" s="155">
        <f>SUM('Pay App 1:Pay App 37'!H77)</f>
        <v>0</v>
      </c>
      <c r="H77" s="154"/>
      <c r="I77" s="155">
        <f t="shared" si="0"/>
        <v>0</v>
      </c>
      <c r="J77" s="156">
        <f t="shared" si="1"/>
        <v>0</v>
      </c>
      <c r="K77" s="155">
        <f t="shared" si="2"/>
        <v>0</v>
      </c>
      <c r="L77" s="155" t="str">
        <f>IF(AND('Summary Sheet'!$E$23="No",$H$33&gt;0,H77&gt;=1),"",IF(AND('Summary Sheet'!$E$23="Yes",H77&lt;&gt;""),H77*'Summary Sheet'!$G$23,""))</f>
        <v/>
      </c>
      <c r="M77" s="154"/>
      <c r="N77" s="155">
        <f>SUM('Pay App 1:Pay App 38'!L77)+SUM('Pay App 1:Pay App 38'!M77)</f>
        <v>0</v>
      </c>
    </row>
    <row r="78" spans="1:17" ht="11.25" customHeight="1" x14ac:dyDescent="0.25">
      <c r="A78" s="152">
        <v>22</v>
      </c>
      <c r="B78" s="177" t="str">
        <f>'Pay App 1'!B78</f>
        <v>04 05 19</v>
      </c>
      <c r="C78" s="182" t="str">
        <f>'Pay App 1'!C78</f>
        <v>Masonry Reinforcing</v>
      </c>
      <c r="D78" s="155">
        <f>'Pay App 1'!D78</f>
        <v>0</v>
      </c>
      <c r="E78" s="155">
        <f>VLOOKUP(B78,'Graph Data'!$O$2:$BX$88,40,FALSE)</f>
        <v>0</v>
      </c>
      <c r="F78" s="155">
        <f>IFERROR(E78+'Pay App 37'!F78,"")</f>
        <v>0</v>
      </c>
      <c r="G78" s="155">
        <f>SUM('Pay App 1:Pay App 37'!H78)</f>
        <v>0</v>
      </c>
      <c r="H78" s="154"/>
      <c r="I78" s="155">
        <f t="shared" si="0"/>
        <v>0</v>
      </c>
      <c r="J78" s="156">
        <f t="shared" si="1"/>
        <v>0</v>
      </c>
      <c r="K78" s="155">
        <f t="shared" si="2"/>
        <v>0</v>
      </c>
      <c r="L78" s="155" t="str">
        <f>IF(AND('Summary Sheet'!$E$23="No",$H$33&gt;0,H78&gt;=1),"",IF(AND('Summary Sheet'!$E$23="Yes",H78&lt;&gt;""),H78*'Summary Sheet'!$G$23,""))</f>
        <v/>
      </c>
      <c r="M78" s="154"/>
      <c r="N78" s="155">
        <f>SUM('Pay App 1:Pay App 38'!L78)+SUM('Pay App 1:Pay App 38'!M78)</f>
        <v>0</v>
      </c>
    </row>
    <row r="79" spans="1:17" ht="11.25" customHeight="1" x14ac:dyDescent="0.25">
      <c r="A79" s="152">
        <v>23</v>
      </c>
      <c r="B79" s="178" t="str">
        <f>'Pay App 1'!B79</f>
        <v>05 10 00</v>
      </c>
      <c r="C79" s="183" t="str">
        <f>'Pay App 1'!C79</f>
        <v>Structural Steel/Misc. Steel Fab</v>
      </c>
      <c r="D79" s="155">
        <f>'Pay App 1'!D79</f>
        <v>0</v>
      </c>
      <c r="E79" s="155">
        <f>VLOOKUP(B79,'Graph Data'!$O$2:$BX$88,40,FALSE)</f>
        <v>0</v>
      </c>
      <c r="F79" s="155">
        <f>IFERROR(E79+'Pay App 37'!F79,"")</f>
        <v>0</v>
      </c>
      <c r="G79" s="155">
        <f>SUM('Pay App 1:Pay App 37'!H79)</f>
        <v>0</v>
      </c>
      <c r="H79" s="154"/>
      <c r="I79" s="155">
        <f t="shared" si="0"/>
        <v>0</v>
      </c>
      <c r="J79" s="156">
        <f t="shared" si="1"/>
        <v>0</v>
      </c>
      <c r="K79" s="155">
        <f t="shared" si="2"/>
        <v>0</v>
      </c>
      <c r="L79" s="155" t="str">
        <f>IF(AND('Summary Sheet'!$E$23="No",$H$33&gt;0,H79&gt;=1),"",IF(AND('Summary Sheet'!$E$23="Yes",H79&lt;&gt;""),H79*'Summary Sheet'!$G$23,""))</f>
        <v/>
      </c>
      <c r="M79" s="154"/>
      <c r="N79" s="155">
        <f>SUM('Pay App 1:Pay App 38'!L79)+SUM('Pay App 1:Pay App 38'!M79)</f>
        <v>0</v>
      </c>
    </row>
    <row r="80" spans="1:17" ht="11.25" customHeight="1" x14ac:dyDescent="0.25">
      <c r="A80" s="152">
        <v>24</v>
      </c>
      <c r="B80" s="178" t="str">
        <f>'Pay App 1'!B80</f>
        <v>05 20 00</v>
      </c>
      <c r="C80" s="183" t="str">
        <f>'Pay App 1'!C80</f>
        <v>Joists &amp; Deck</v>
      </c>
      <c r="D80" s="155">
        <f>'Pay App 1'!D80</f>
        <v>0</v>
      </c>
      <c r="E80" s="155">
        <f>VLOOKUP(B80,'Graph Data'!$O$2:$BX$88,40,FALSE)</f>
        <v>0</v>
      </c>
      <c r="F80" s="155">
        <f>IFERROR(E80+'Pay App 37'!F80,"")</f>
        <v>0</v>
      </c>
      <c r="G80" s="155">
        <f>SUM('Pay App 1:Pay App 37'!H80)</f>
        <v>0</v>
      </c>
      <c r="H80" s="154"/>
      <c r="I80" s="155">
        <f t="shared" si="0"/>
        <v>0</v>
      </c>
      <c r="J80" s="156">
        <f t="shared" si="1"/>
        <v>0</v>
      </c>
      <c r="K80" s="155">
        <f t="shared" si="2"/>
        <v>0</v>
      </c>
      <c r="L80" s="155" t="str">
        <f>IF(AND('Summary Sheet'!$E$23="No",$H$33&gt;0,H80&gt;=1),"",IF(AND('Summary Sheet'!$E$23="Yes",H80&lt;&gt;""),H80*'Summary Sheet'!$G$23,""))</f>
        <v/>
      </c>
      <c r="M80" s="154"/>
      <c r="N80" s="155">
        <f>SUM('Pay App 1:Pay App 38'!L80)+SUM('Pay App 1:Pay App 38'!M80)</f>
        <v>0</v>
      </c>
    </row>
    <row r="81" spans="1:14" ht="11.25" customHeight="1" x14ac:dyDescent="0.25">
      <c r="A81" s="152">
        <v>25</v>
      </c>
      <c r="B81" s="178" t="str">
        <f>'Pay App 1'!B81</f>
        <v>05 70 00</v>
      </c>
      <c r="C81" s="183" t="str">
        <f>'Pay App 1'!C81</f>
        <v>Ornamental Metal</v>
      </c>
      <c r="D81" s="155">
        <f>'Pay App 1'!D81</f>
        <v>0</v>
      </c>
      <c r="E81" s="155">
        <f>VLOOKUP(B81,'Graph Data'!$O$2:$BX$88,40,FALSE)</f>
        <v>0</v>
      </c>
      <c r="F81" s="155">
        <f>IFERROR(E81+'Pay App 37'!F81,"")</f>
        <v>0</v>
      </c>
      <c r="G81" s="155">
        <f>SUM('Pay App 1:Pay App 37'!H81)</f>
        <v>0</v>
      </c>
      <c r="H81" s="154"/>
      <c r="I81" s="155">
        <f t="shared" si="0"/>
        <v>0</v>
      </c>
      <c r="J81" s="156">
        <f t="shared" si="1"/>
        <v>0</v>
      </c>
      <c r="K81" s="155">
        <f t="shared" si="2"/>
        <v>0</v>
      </c>
      <c r="L81" s="155" t="str">
        <f>IF(AND('Summary Sheet'!$E$23="No",$H$33&gt;0,H81&gt;=1),"",IF(AND('Summary Sheet'!$E$23="Yes",H81&lt;&gt;""),H81*'Summary Sheet'!$G$23,""))</f>
        <v/>
      </c>
      <c r="M81" s="154"/>
      <c r="N81" s="155">
        <f>SUM('Pay App 1:Pay App 38'!L81)+SUM('Pay App 1:Pay App 38'!M81)</f>
        <v>0</v>
      </c>
    </row>
    <row r="82" spans="1:14" ht="11.25" customHeight="1" x14ac:dyDescent="0.25">
      <c r="A82" s="152">
        <v>26</v>
      </c>
      <c r="B82" s="145" t="str">
        <f>'Pay App 1'!B82</f>
        <v>06 10 00</v>
      </c>
      <c r="C82" s="134" t="str">
        <f>'Pay App 1'!C82</f>
        <v>Rough Carpentry</v>
      </c>
      <c r="D82" s="155">
        <f>'Pay App 1'!D82</f>
        <v>0</v>
      </c>
      <c r="E82" s="155">
        <f>VLOOKUP(B82,'Graph Data'!$O$2:$BX$88,40,FALSE)</f>
        <v>0</v>
      </c>
      <c r="F82" s="155">
        <f>IFERROR(E82+'Pay App 37'!F82,"")</f>
        <v>0</v>
      </c>
      <c r="G82" s="155">
        <f>SUM('Pay App 1:Pay App 37'!H82)</f>
        <v>0</v>
      </c>
      <c r="H82" s="154"/>
      <c r="I82" s="155">
        <f t="shared" si="0"/>
        <v>0</v>
      </c>
      <c r="J82" s="156">
        <f t="shared" si="1"/>
        <v>0</v>
      </c>
      <c r="K82" s="155">
        <f t="shared" si="2"/>
        <v>0</v>
      </c>
      <c r="L82" s="155" t="str">
        <f>IF(AND('Summary Sheet'!$E$23="No",$H$33&gt;0,H82&gt;=1),"",IF(AND('Summary Sheet'!$E$23="Yes",H82&lt;&gt;""),H82*'Summary Sheet'!$G$23,""))</f>
        <v/>
      </c>
      <c r="M82" s="154"/>
      <c r="N82" s="155">
        <f>SUM('Pay App 1:Pay App 38'!L82)+SUM('Pay App 1:Pay App 38'!M82)</f>
        <v>0</v>
      </c>
    </row>
    <row r="83" spans="1:14" ht="11.25" customHeight="1" x14ac:dyDescent="0.25">
      <c r="A83" s="152">
        <v>27</v>
      </c>
      <c r="B83" s="145" t="str">
        <f>'Pay App 1'!B83</f>
        <v>06 40 00</v>
      </c>
      <c r="C83" s="134" t="str">
        <f>'Pay App 1'!C83</f>
        <v>Arch. Woodwork &amp; Finish Carp.</v>
      </c>
      <c r="D83" s="155">
        <f>'Pay App 1'!D83</f>
        <v>0</v>
      </c>
      <c r="E83" s="155">
        <f>VLOOKUP(B83,'Graph Data'!$O$2:$BX$88,40,FALSE)</f>
        <v>0</v>
      </c>
      <c r="F83" s="155">
        <f>IFERROR(E83+'Pay App 37'!F83,"")</f>
        <v>0</v>
      </c>
      <c r="G83" s="155">
        <f>SUM('Pay App 1:Pay App 37'!H83)</f>
        <v>0</v>
      </c>
      <c r="H83" s="154"/>
      <c r="I83" s="155">
        <f t="shared" si="0"/>
        <v>0</v>
      </c>
      <c r="J83" s="156">
        <f t="shared" si="1"/>
        <v>0</v>
      </c>
      <c r="K83" s="155">
        <f t="shared" si="2"/>
        <v>0</v>
      </c>
      <c r="L83" s="155" t="str">
        <f>IF(AND('Summary Sheet'!$E$23="No",$H$33&gt;0,H83&gt;=1),"",IF(AND('Summary Sheet'!$E$23="Yes",H83&lt;&gt;""),H83*'Summary Sheet'!$G$23,""))</f>
        <v/>
      </c>
      <c r="M83" s="154"/>
      <c r="N83" s="155">
        <f>SUM('Pay App 1:Pay App 38'!L83)+SUM('Pay App 1:Pay App 38'!M83)</f>
        <v>0</v>
      </c>
    </row>
    <row r="84" spans="1:14" ht="11.25" customHeight="1" x14ac:dyDescent="0.25">
      <c r="A84" s="152">
        <v>28</v>
      </c>
      <c r="B84" s="174" t="str">
        <f>'Pay App 1'!B84</f>
        <v>07 10 00</v>
      </c>
      <c r="C84" s="179" t="str">
        <f>'Pay App 1'!C84</f>
        <v>Waterproofing/Water Repellents</v>
      </c>
      <c r="D84" s="155">
        <f>'Pay App 1'!D84</f>
        <v>0</v>
      </c>
      <c r="E84" s="155">
        <f>VLOOKUP(B84,'Graph Data'!$O$2:$BX$88,40,FALSE)</f>
        <v>0</v>
      </c>
      <c r="F84" s="155">
        <f>IFERROR(E84+'Pay App 37'!F84,"")</f>
        <v>0</v>
      </c>
      <c r="G84" s="155">
        <f>SUM('Pay App 1:Pay App 37'!H84)</f>
        <v>0</v>
      </c>
      <c r="H84" s="154"/>
      <c r="I84" s="155">
        <f t="shared" si="0"/>
        <v>0</v>
      </c>
      <c r="J84" s="156">
        <f t="shared" si="1"/>
        <v>0</v>
      </c>
      <c r="K84" s="155">
        <f t="shared" si="2"/>
        <v>0</v>
      </c>
      <c r="L84" s="155" t="str">
        <f>IF(AND('Summary Sheet'!$E$23="No",$H$33&gt;0,H84&gt;=1),"",IF(AND('Summary Sheet'!$E$23="Yes",H84&lt;&gt;""),H84*'Summary Sheet'!$G$23,""))</f>
        <v/>
      </c>
      <c r="M84" s="154"/>
      <c r="N84" s="155">
        <f>SUM('Pay App 1:Pay App 38'!L84)+SUM('Pay App 1:Pay App 38'!M84)</f>
        <v>0</v>
      </c>
    </row>
    <row r="85" spans="1:14" ht="11.25" customHeight="1" x14ac:dyDescent="0.25">
      <c r="A85" s="152">
        <v>29</v>
      </c>
      <c r="B85" s="174" t="str">
        <f>'Pay App 1'!B85</f>
        <v>07 20 00</v>
      </c>
      <c r="C85" s="179" t="str">
        <f>'Pay App 1'!C85</f>
        <v>Insulation</v>
      </c>
      <c r="D85" s="155">
        <f>'Pay App 1'!D85</f>
        <v>0</v>
      </c>
      <c r="E85" s="155">
        <f>VLOOKUP(B85,'Graph Data'!$O$2:$BX$88,40,FALSE)</f>
        <v>0</v>
      </c>
      <c r="F85" s="155">
        <f>IFERROR(E85+'Pay App 37'!F85,"")</f>
        <v>0</v>
      </c>
      <c r="G85" s="155">
        <f>SUM('Pay App 1:Pay App 37'!H85)</f>
        <v>0</v>
      </c>
      <c r="H85" s="154"/>
      <c r="I85" s="155">
        <f t="shared" si="0"/>
        <v>0</v>
      </c>
      <c r="J85" s="156">
        <f t="shared" si="1"/>
        <v>0</v>
      </c>
      <c r="K85" s="155">
        <f t="shared" si="2"/>
        <v>0</v>
      </c>
      <c r="L85" s="155" t="str">
        <f>IF(AND('Summary Sheet'!$E$23="No",$H$33&gt;0,H85&gt;=1),"",IF(AND('Summary Sheet'!$E$23="Yes",H85&lt;&gt;""),H85*'Summary Sheet'!$G$23,""))</f>
        <v/>
      </c>
      <c r="M85" s="154"/>
      <c r="N85" s="155">
        <f>SUM('Pay App 1:Pay App 38'!L85)+SUM('Pay App 1:Pay App 38'!M85)</f>
        <v>0</v>
      </c>
    </row>
    <row r="86" spans="1:14" ht="11.25" customHeight="1" x14ac:dyDescent="0.25">
      <c r="A86" s="152">
        <v>30</v>
      </c>
      <c r="B86" s="174" t="str">
        <f>'Pay App 1'!B86</f>
        <v>07 24 00</v>
      </c>
      <c r="C86" s="179" t="str">
        <f>'Pay App 1'!C86</f>
        <v>EIFS</v>
      </c>
      <c r="D86" s="155">
        <f>'Pay App 1'!D86</f>
        <v>0</v>
      </c>
      <c r="E86" s="155">
        <f>VLOOKUP(B86,'Graph Data'!$O$2:$BX$88,40,FALSE)</f>
        <v>0</v>
      </c>
      <c r="F86" s="155">
        <f>IFERROR(E86+'Pay App 37'!F86,"")</f>
        <v>0</v>
      </c>
      <c r="G86" s="155">
        <f>SUM('Pay App 1:Pay App 37'!H86)</f>
        <v>0</v>
      </c>
      <c r="H86" s="154"/>
      <c r="I86" s="155">
        <f t="shared" si="0"/>
        <v>0</v>
      </c>
      <c r="J86" s="156">
        <f t="shared" si="1"/>
        <v>0</v>
      </c>
      <c r="K86" s="155">
        <f t="shared" si="2"/>
        <v>0</v>
      </c>
      <c r="L86" s="155" t="str">
        <f>IF(AND('Summary Sheet'!$E$23="No",$H$33&gt;0,H86&gt;=1),"",IF(AND('Summary Sheet'!$E$23="Yes",H86&lt;&gt;""),H86*'Summary Sheet'!$G$23,""))</f>
        <v/>
      </c>
      <c r="M86" s="154"/>
      <c r="N86" s="155">
        <f>SUM('Pay App 1:Pay App 38'!L86)+SUM('Pay App 1:Pay App 38'!M86)</f>
        <v>0</v>
      </c>
    </row>
    <row r="87" spans="1:14" ht="11.25" customHeight="1" x14ac:dyDescent="0.25">
      <c r="A87" s="152">
        <v>31</v>
      </c>
      <c r="B87" s="174" t="str">
        <f>'Pay App 1'!B87</f>
        <v>07 26 00</v>
      </c>
      <c r="C87" s="179" t="str">
        <f>'Pay App 1'!C87</f>
        <v>Vapor Retarders</v>
      </c>
      <c r="D87" s="155">
        <f>'Pay App 1'!D87</f>
        <v>0</v>
      </c>
      <c r="E87" s="155">
        <f>VLOOKUP(B87,'Graph Data'!$O$2:$BX$88,40,FALSE)</f>
        <v>0</v>
      </c>
      <c r="F87" s="155">
        <f>IFERROR(E87+'Pay App 37'!F87,"")</f>
        <v>0</v>
      </c>
      <c r="G87" s="155">
        <f>SUM('Pay App 1:Pay App 37'!H87)</f>
        <v>0</v>
      </c>
      <c r="H87" s="154"/>
      <c r="I87" s="155">
        <f t="shared" si="0"/>
        <v>0</v>
      </c>
      <c r="J87" s="156">
        <f t="shared" si="1"/>
        <v>0</v>
      </c>
      <c r="K87" s="155">
        <f t="shared" si="2"/>
        <v>0</v>
      </c>
      <c r="L87" s="155" t="str">
        <f>IF(AND('Summary Sheet'!$E$23="No",$H$33&gt;0,H87&gt;=1),"",IF(AND('Summary Sheet'!$E$23="Yes",H87&lt;&gt;""),H87*'Summary Sheet'!$G$23,""))</f>
        <v/>
      </c>
      <c r="M87" s="154"/>
      <c r="N87" s="155">
        <f>SUM('Pay App 1:Pay App 38'!L87)+SUM('Pay App 1:Pay App 38'!M87)</f>
        <v>0</v>
      </c>
    </row>
    <row r="88" spans="1:14" ht="11.25" customHeight="1" x14ac:dyDescent="0.25">
      <c r="A88" s="152">
        <v>32</v>
      </c>
      <c r="B88" s="174" t="str">
        <f>'Pay App 1'!B88</f>
        <v>07 41 00</v>
      </c>
      <c r="C88" s="179" t="str">
        <f>'Pay App 1'!C88</f>
        <v>Roofing</v>
      </c>
      <c r="D88" s="155">
        <f>'Pay App 1'!D88</f>
        <v>0</v>
      </c>
      <c r="E88" s="155">
        <f>VLOOKUP(B88,'Graph Data'!$O$2:$BX$88,40,FALSE)</f>
        <v>0</v>
      </c>
      <c r="F88" s="155">
        <f>IFERROR(E88+'Pay App 37'!F88,"")</f>
        <v>0</v>
      </c>
      <c r="G88" s="155">
        <f>SUM('Pay App 1:Pay App 37'!H88)</f>
        <v>0</v>
      </c>
      <c r="H88" s="154"/>
      <c r="I88" s="155">
        <f t="shared" si="0"/>
        <v>0</v>
      </c>
      <c r="J88" s="156">
        <f t="shared" si="1"/>
        <v>0</v>
      </c>
      <c r="K88" s="155">
        <f t="shared" si="2"/>
        <v>0</v>
      </c>
      <c r="L88" s="155" t="str">
        <f>IF(AND('Summary Sheet'!$E$23="No",$H$33&gt;0,H88&gt;=1),"",IF(AND('Summary Sheet'!$E$23="Yes",H88&lt;&gt;""),H88*'Summary Sheet'!$G$23,""))</f>
        <v/>
      </c>
      <c r="M88" s="154"/>
      <c r="N88" s="155">
        <f>SUM('Pay App 1:Pay App 38'!L88)+SUM('Pay App 1:Pay App 38'!M88)</f>
        <v>0</v>
      </c>
    </row>
    <row r="89" spans="1:14" ht="11.25" customHeight="1" x14ac:dyDescent="0.25">
      <c r="A89" s="152">
        <v>33</v>
      </c>
      <c r="B89" s="174" t="str">
        <f>'Pay App 1'!B89</f>
        <v>07 42 00</v>
      </c>
      <c r="C89" s="179" t="str">
        <f>'Pay App 1'!C89</f>
        <v>Metal Panels</v>
      </c>
      <c r="D89" s="155">
        <f>'Pay App 1'!D89</f>
        <v>0</v>
      </c>
      <c r="E89" s="155">
        <f>VLOOKUP(B89,'Graph Data'!$O$2:$BX$88,40,FALSE)</f>
        <v>0</v>
      </c>
      <c r="F89" s="155">
        <f>IFERROR(E89+'Pay App 37'!F89,"")</f>
        <v>0</v>
      </c>
      <c r="G89" s="155">
        <f>SUM('Pay App 1:Pay App 37'!H89)</f>
        <v>0</v>
      </c>
      <c r="H89" s="154"/>
      <c r="I89" s="155">
        <f t="shared" si="0"/>
        <v>0</v>
      </c>
      <c r="J89" s="156">
        <f t="shared" si="1"/>
        <v>0</v>
      </c>
      <c r="K89" s="155">
        <f t="shared" si="2"/>
        <v>0</v>
      </c>
      <c r="L89" s="155" t="str">
        <f>IF(AND('Summary Sheet'!$E$23="No",$H$33&gt;0,H89&gt;=1),"",IF(AND('Summary Sheet'!$E$23="Yes",H89&lt;&gt;""),H89*'Summary Sheet'!$G$23,""))</f>
        <v/>
      </c>
      <c r="M89" s="154"/>
      <c r="N89" s="155">
        <f>SUM('Pay App 1:Pay App 38'!L89)+SUM('Pay App 1:Pay App 38'!M89)</f>
        <v>0</v>
      </c>
    </row>
    <row r="90" spans="1:14" ht="11.25" customHeight="1" x14ac:dyDescent="0.25">
      <c r="A90" s="152">
        <v>34</v>
      </c>
      <c r="B90" s="174" t="str">
        <f>'Pay App 1'!B90</f>
        <v>07 60 00</v>
      </c>
      <c r="C90" s="179" t="str">
        <f>'Pay App 1'!C90</f>
        <v>Sheet Metal Flashing &amp; Trim</v>
      </c>
      <c r="D90" s="155">
        <f>'Pay App 1'!D90</f>
        <v>0</v>
      </c>
      <c r="E90" s="155">
        <f>VLOOKUP(B90,'Graph Data'!$O$2:$BX$88,40,FALSE)</f>
        <v>0</v>
      </c>
      <c r="F90" s="155">
        <f>IFERROR(E90+'Pay App 37'!F90,"")</f>
        <v>0</v>
      </c>
      <c r="G90" s="155">
        <f>SUM('Pay App 1:Pay App 37'!H90)</f>
        <v>0</v>
      </c>
      <c r="H90" s="154"/>
      <c r="I90" s="155">
        <f t="shared" si="0"/>
        <v>0</v>
      </c>
      <c r="J90" s="156">
        <f t="shared" si="1"/>
        <v>0</v>
      </c>
      <c r="K90" s="155">
        <f t="shared" si="2"/>
        <v>0</v>
      </c>
      <c r="L90" s="155" t="str">
        <f>IF(AND('Summary Sheet'!$E$23="No",$H$33&gt;0,H90&gt;=1),"",IF(AND('Summary Sheet'!$E$23="Yes",H90&lt;&gt;""),H90*'Summary Sheet'!$G$23,""))</f>
        <v/>
      </c>
      <c r="M90" s="154"/>
      <c r="N90" s="155">
        <f>SUM('Pay App 1:Pay App 38'!L90)+SUM('Pay App 1:Pay App 38'!M90)</f>
        <v>0</v>
      </c>
    </row>
    <row r="91" spans="1:14" ht="11.25" customHeight="1" x14ac:dyDescent="0.25">
      <c r="A91" s="152">
        <v>35</v>
      </c>
      <c r="B91" s="174" t="str">
        <f>'Pay App 1'!B91</f>
        <v>07 80 00</v>
      </c>
      <c r="C91" s="179" t="str">
        <f>'Pay App 1'!C91</f>
        <v>Fireproofing</v>
      </c>
      <c r="D91" s="155">
        <f>'Pay App 1'!D91</f>
        <v>0</v>
      </c>
      <c r="E91" s="155">
        <f>VLOOKUP(B91,'Graph Data'!$O$2:$BX$88,40,FALSE)</f>
        <v>0</v>
      </c>
      <c r="F91" s="155">
        <f>IFERROR(E91+'Pay App 37'!F91,"")</f>
        <v>0</v>
      </c>
      <c r="G91" s="155">
        <f>SUM('Pay App 1:Pay App 37'!H91)</f>
        <v>0</v>
      </c>
      <c r="H91" s="154"/>
      <c r="I91" s="155">
        <f t="shared" si="0"/>
        <v>0</v>
      </c>
      <c r="J91" s="156">
        <f t="shared" si="1"/>
        <v>0</v>
      </c>
      <c r="K91" s="155">
        <f t="shared" si="2"/>
        <v>0</v>
      </c>
      <c r="L91" s="155" t="str">
        <f>IF(AND('Summary Sheet'!$E$23="No",$H$33&gt;0,H91&gt;=1),"",IF(AND('Summary Sheet'!$E$23="Yes",H91&lt;&gt;""),H91*'Summary Sheet'!$G$23,""))</f>
        <v/>
      </c>
      <c r="M91" s="154"/>
      <c r="N91" s="155">
        <f>SUM('Pay App 1:Pay App 38'!L91)+SUM('Pay App 1:Pay App 38'!M91)</f>
        <v>0</v>
      </c>
    </row>
    <row r="92" spans="1:14" ht="11.25" customHeight="1" x14ac:dyDescent="0.25">
      <c r="A92" s="152">
        <v>36</v>
      </c>
      <c r="B92" s="174" t="str">
        <f>'Pay App 1'!B92</f>
        <v>07 90 00</v>
      </c>
      <c r="C92" s="179" t="str">
        <f>'Pay App 1'!C92</f>
        <v>Joint Sealants</v>
      </c>
      <c r="D92" s="155">
        <f>'Pay App 1'!D92</f>
        <v>0</v>
      </c>
      <c r="E92" s="155">
        <f>VLOOKUP(B92,'Graph Data'!$O$2:$BX$88,40,FALSE)</f>
        <v>0</v>
      </c>
      <c r="F92" s="155">
        <f>IFERROR(E92+'Pay App 37'!F92,"")</f>
        <v>0</v>
      </c>
      <c r="G92" s="155">
        <f>SUM('Pay App 1:Pay App 37'!H92)</f>
        <v>0</v>
      </c>
      <c r="H92" s="154"/>
      <c r="I92" s="155">
        <f t="shared" si="0"/>
        <v>0</v>
      </c>
      <c r="J92" s="156">
        <f t="shared" si="1"/>
        <v>0</v>
      </c>
      <c r="K92" s="155">
        <f t="shared" si="2"/>
        <v>0</v>
      </c>
      <c r="L92" s="155" t="str">
        <f>IF(AND('Summary Sheet'!$E$23="No",$H$33&gt;0,H92&gt;=1),"",IF(AND('Summary Sheet'!$E$23="Yes",H92&lt;&gt;""),H92*'Summary Sheet'!$G$23,""))</f>
        <v/>
      </c>
      <c r="M92" s="154"/>
      <c r="N92" s="155">
        <f>SUM('Pay App 1:Pay App 38'!L92)+SUM('Pay App 1:Pay App 38'!M92)</f>
        <v>0</v>
      </c>
    </row>
    <row r="93" spans="1:14" ht="11.25" customHeight="1" x14ac:dyDescent="0.25">
      <c r="A93" s="152">
        <v>37</v>
      </c>
      <c r="B93" s="174" t="str">
        <f>'Pay App 1'!B93</f>
        <v>07 95 00</v>
      </c>
      <c r="C93" s="179" t="str">
        <f>'Pay App 1'!C93</f>
        <v>Expansion Joints</v>
      </c>
      <c r="D93" s="155">
        <f>'Pay App 1'!D93</f>
        <v>0</v>
      </c>
      <c r="E93" s="155">
        <f>VLOOKUP(B93,'Graph Data'!$O$2:$BX$88,40,FALSE)</f>
        <v>0</v>
      </c>
      <c r="F93" s="155">
        <f>IFERROR(E93+'Pay App 37'!F93,"")</f>
        <v>0</v>
      </c>
      <c r="G93" s="155">
        <f>SUM('Pay App 1:Pay App 37'!H93)</f>
        <v>0</v>
      </c>
      <c r="H93" s="154"/>
      <c r="I93" s="155">
        <f t="shared" si="0"/>
        <v>0</v>
      </c>
      <c r="J93" s="156">
        <f t="shared" si="1"/>
        <v>0</v>
      </c>
      <c r="K93" s="155">
        <f t="shared" si="2"/>
        <v>0</v>
      </c>
      <c r="L93" s="155" t="str">
        <f>IF(AND('Summary Sheet'!$E$23="No",$H$33&gt;0,H93&gt;=1),"",IF(AND('Summary Sheet'!$E$23="Yes",H93&lt;&gt;""),H93*'Summary Sheet'!$G$23,""))</f>
        <v/>
      </c>
      <c r="M93" s="154"/>
      <c r="N93" s="155">
        <f>SUM('Pay App 1:Pay App 38'!L93)+SUM('Pay App 1:Pay App 38'!M93)</f>
        <v>0</v>
      </c>
    </row>
    <row r="94" spans="1:14" ht="11.25" customHeight="1" x14ac:dyDescent="0.25">
      <c r="A94" s="152">
        <v>38</v>
      </c>
      <c r="B94" s="175" t="str">
        <f>'Pay App 1'!B94</f>
        <v>08 10 00</v>
      </c>
      <c r="C94" s="180" t="str">
        <f>'Pay App 1'!C94</f>
        <v>Doors, Frames &amp; Hardware</v>
      </c>
      <c r="D94" s="155">
        <f>'Pay App 1'!D94</f>
        <v>0</v>
      </c>
      <c r="E94" s="155">
        <f>VLOOKUP(B94,'Graph Data'!$O$2:$BX$88,40,FALSE)</f>
        <v>0</v>
      </c>
      <c r="F94" s="155">
        <f>IFERROR(E94+'Pay App 37'!F94,"")</f>
        <v>0</v>
      </c>
      <c r="G94" s="155">
        <f>SUM('Pay App 1:Pay App 37'!H94)</f>
        <v>0</v>
      </c>
      <c r="H94" s="154"/>
      <c r="I94" s="155">
        <f t="shared" si="0"/>
        <v>0</v>
      </c>
      <c r="J94" s="156">
        <f t="shared" si="1"/>
        <v>0</v>
      </c>
      <c r="K94" s="155">
        <f t="shared" si="2"/>
        <v>0</v>
      </c>
      <c r="L94" s="155" t="str">
        <f>IF(AND('Summary Sheet'!$E$23="No",$H$33&gt;0,H94&gt;=1),"",IF(AND('Summary Sheet'!$E$23="Yes",H94&lt;&gt;""),H94*'Summary Sheet'!$G$23,""))</f>
        <v/>
      </c>
      <c r="M94" s="154"/>
      <c r="N94" s="155">
        <f>SUM('Pay App 1:Pay App 38'!L94)+SUM('Pay App 1:Pay App 38'!M94)</f>
        <v>0</v>
      </c>
    </row>
    <row r="95" spans="1:14" ht="11.25" customHeight="1" x14ac:dyDescent="0.25">
      <c r="A95" s="152">
        <v>39</v>
      </c>
      <c r="B95" s="175" t="str">
        <f>'Pay App 1'!B95</f>
        <v>08 30 00</v>
      </c>
      <c r="C95" s="180" t="str">
        <f>'Pay App 1'!C95</f>
        <v>Specialty Doors</v>
      </c>
      <c r="D95" s="155">
        <f>'Pay App 1'!D95</f>
        <v>0</v>
      </c>
      <c r="E95" s="155">
        <f>VLOOKUP(B95,'Graph Data'!$O$2:$BX$88,40,FALSE)</f>
        <v>0</v>
      </c>
      <c r="F95" s="155">
        <f>IFERROR(E95+'Pay App 37'!F95,"")</f>
        <v>0</v>
      </c>
      <c r="G95" s="155">
        <f>SUM('Pay App 1:Pay App 37'!H95)</f>
        <v>0</v>
      </c>
      <c r="H95" s="154"/>
      <c r="I95" s="155">
        <f t="shared" si="0"/>
        <v>0</v>
      </c>
      <c r="J95" s="156">
        <f t="shared" si="1"/>
        <v>0</v>
      </c>
      <c r="K95" s="155">
        <f t="shared" si="2"/>
        <v>0</v>
      </c>
      <c r="L95" s="155" t="str">
        <f>IF(AND('Summary Sheet'!$E$23="No",$H$33&gt;0,H95&gt;=1),"",IF(AND('Summary Sheet'!$E$23="Yes",H95&lt;&gt;""),H95*'Summary Sheet'!$G$23,""))</f>
        <v/>
      </c>
      <c r="M95" s="154"/>
      <c r="N95" s="155">
        <f>SUM('Pay App 1:Pay App 38'!L95)+SUM('Pay App 1:Pay App 38'!M95)</f>
        <v>0</v>
      </c>
    </row>
    <row r="96" spans="1:14" ht="11.25" customHeight="1" x14ac:dyDescent="0.25">
      <c r="A96" s="152">
        <v>40</v>
      </c>
      <c r="B96" s="175" t="str">
        <f>'Pay App 1'!B96</f>
        <v>08 33 00</v>
      </c>
      <c r="C96" s="180" t="str">
        <f>'Pay App 1'!C96</f>
        <v>Overhead Doors/Coiling Doors</v>
      </c>
      <c r="D96" s="155">
        <f>'Pay App 1'!D96</f>
        <v>0</v>
      </c>
      <c r="E96" s="155">
        <f>VLOOKUP(B96,'Graph Data'!$O$2:$BX$88,40,FALSE)</f>
        <v>0</v>
      </c>
      <c r="F96" s="155">
        <f>IFERROR(E96+'Pay App 37'!F96,"")</f>
        <v>0</v>
      </c>
      <c r="G96" s="155">
        <f>SUM('Pay App 1:Pay App 37'!H96)</f>
        <v>0</v>
      </c>
      <c r="H96" s="154"/>
      <c r="I96" s="155">
        <f t="shared" si="0"/>
        <v>0</v>
      </c>
      <c r="J96" s="156">
        <f t="shared" si="1"/>
        <v>0</v>
      </c>
      <c r="K96" s="155">
        <f t="shared" si="2"/>
        <v>0</v>
      </c>
      <c r="L96" s="155" t="str">
        <f>IF(AND('Summary Sheet'!$E$23="No",$H$33&gt;0,H96&gt;=1),"",IF(AND('Summary Sheet'!$E$23="Yes",H96&lt;&gt;""),H96*'Summary Sheet'!$G$23,""))</f>
        <v/>
      </c>
      <c r="M96" s="154"/>
      <c r="N96" s="155">
        <f>SUM('Pay App 1:Pay App 38'!L96)+SUM('Pay App 1:Pay App 38'!M96)</f>
        <v>0</v>
      </c>
    </row>
    <row r="97" spans="1:15" ht="11.25" customHeight="1" x14ac:dyDescent="0.25">
      <c r="A97" s="152">
        <v>41</v>
      </c>
      <c r="B97" s="175" t="str">
        <f>'Pay App 1'!B97</f>
        <v>08 40 00</v>
      </c>
      <c r="C97" s="180" t="str">
        <f>'Pay App 1'!C97</f>
        <v>Curtain Wall, Glass &amp; Glazing</v>
      </c>
      <c r="D97" s="155">
        <f>'Pay App 1'!D97</f>
        <v>0</v>
      </c>
      <c r="E97" s="155">
        <f>VLOOKUP(B97,'Graph Data'!$O$2:$BX$88,40,FALSE)</f>
        <v>0</v>
      </c>
      <c r="F97" s="155">
        <f>IFERROR(E97+'Pay App 37'!F97,"")</f>
        <v>0</v>
      </c>
      <c r="G97" s="155">
        <f>SUM('Pay App 1:Pay App 37'!H97)</f>
        <v>0</v>
      </c>
      <c r="H97" s="154"/>
      <c r="I97" s="155">
        <f t="shared" si="0"/>
        <v>0</v>
      </c>
      <c r="J97" s="156">
        <f t="shared" si="1"/>
        <v>0</v>
      </c>
      <c r="K97" s="155">
        <f t="shared" si="2"/>
        <v>0</v>
      </c>
      <c r="L97" s="155" t="str">
        <f>IF(AND('Summary Sheet'!$E$23="No",$H$33&gt;0,H97&gt;=1),"",IF(AND('Summary Sheet'!$E$23="Yes",H97&lt;&gt;""),H97*'Summary Sheet'!$G$23,""))</f>
        <v/>
      </c>
      <c r="M97" s="154"/>
      <c r="N97" s="155">
        <f>SUM('Pay App 1:Pay App 38'!L97)+SUM('Pay App 1:Pay App 38'!M97)</f>
        <v>0</v>
      </c>
    </row>
    <row r="98" spans="1:15" ht="10.9" customHeight="1" x14ac:dyDescent="0.25">
      <c r="A98" s="152">
        <v>42</v>
      </c>
      <c r="B98" s="175" t="str">
        <f>'Pay App 1'!B98</f>
        <v>08 60 00</v>
      </c>
      <c r="C98" s="180" t="str">
        <f>'Pay App 1'!C98</f>
        <v>Skylights</v>
      </c>
      <c r="D98" s="155">
        <f>'Pay App 1'!D98</f>
        <v>0</v>
      </c>
      <c r="E98" s="155">
        <f>VLOOKUP(B98,'Graph Data'!$O$2:$BX$88,40,FALSE)</f>
        <v>0</v>
      </c>
      <c r="F98" s="155">
        <f>IFERROR(E98+'Pay App 37'!F98,"")</f>
        <v>0</v>
      </c>
      <c r="G98" s="155">
        <f>SUM('Pay App 1:Pay App 37'!H98)</f>
        <v>0</v>
      </c>
      <c r="H98" s="154"/>
      <c r="I98" s="155">
        <f t="shared" si="0"/>
        <v>0</v>
      </c>
      <c r="J98" s="156">
        <f t="shared" si="1"/>
        <v>0</v>
      </c>
      <c r="K98" s="155">
        <f t="shared" si="2"/>
        <v>0</v>
      </c>
      <c r="L98" s="155" t="str">
        <f>IF(AND('Summary Sheet'!$E$23="No",$H$33&gt;0,H98&gt;=1),"",IF(AND('Summary Sheet'!$E$23="Yes",H98&lt;&gt;""),H98*'Summary Sheet'!$G$23,""))</f>
        <v/>
      </c>
      <c r="M98" s="154"/>
      <c r="N98" s="155">
        <f>SUM('Pay App 1:Pay App 38'!L98)+SUM('Pay App 1:Pay App 38'!M98)</f>
        <v>0</v>
      </c>
    </row>
    <row r="99" spans="1:15" ht="10.9" customHeight="1" x14ac:dyDescent="0.25">
      <c r="A99" s="152">
        <v>43</v>
      </c>
      <c r="B99" s="175" t="str">
        <f>'Pay App 1'!B99</f>
        <v>08 90 00</v>
      </c>
      <c r="C99" s="180" t="str">
        <f>'Pay App 1'!C99</f>
        <v>Louvers &amp; Vents</v>
      </c>
      <c r="D99" s="155">
        <f>'Pay App 1'!D99</f>
        <v>0</v>
      </c>
      <c r="E99" s="155">
        <f>VLOOKUP(B99,'Graph Data'!$O$2:$BX$88,40,FALSE)</f>
        <v>0</v>
      </c>
      <c r="F99" s="155">
        <f>IFERROR(E99+'Pay App 37'!F99,"")</f>
        <v>0</v>
      </c>
      <c r="G99" s="155">
        <f>SUM('Pay App 1:Pay App 37'!H99)</f>
        <v>0</v>
      </c>
      <c r="H99" s="154"/>
      <c r="I99" s="155">
        <f t="shared" si="0"/>
        <v>0</v>
      </c>
      <c r="J99" s="156">
        <f t="shared" si="1"/>
        <v>0</v>
      </c>
      <c r="K99" s="155">
        <f t="shared" si="2"/>
        <v>0</v>
      </c>
      <c r="L99" s="155" t="str">
        <f>IF(AND('Summary Sheet'!$E$23="No",$H$33&gt;0,H99&gt;=1),"",IF(AND('Summary Sheet'!$E$23="Yes",H99&lt;&gt;""),H99*'Summary Sheet'!$G$23,""))</f>
        <v/>
      </c>
      <c r="M99" s="154"/>
      <c r="N99" s="155">
        <f>SUM('Pay App 1:Pay App 38'!L99)+SUM('Pay App 1:Pay App 38'!M99)</f>
        <v>0</v>
      </c>
    </row>
    <row r="100" spans="1:15" ht="11.25" customHeight="1" x14ac:dyDescent="0.25">
      <c r="A100" s="153">
        <v>44</v>
      </c>
      <c r="B100" s="176" t="str">
        <f>'Pay App 1'!B100</f>
        <v>09 20 00</v>
      </c>
      <c r="C100" s="181" t="str">
        <f>'Pay App 1'!C100</f>
        <v>Gypsum Board Systems</v>
      </c>
      <c r="D100" s="155">
        <f>'Pay App 1'!D100</f>
        <v>0</v>
      </c>
      <c r="E100" s="155">
        <f>VLOOKUP(B100,'Graph Data'!$O$2:$BX$88,40,FALSE)</f>
        <v>0</v>
      </c>
      <c r="F100" s="155">
        <f>IFERROR(E100+'Pay App 37'!F100,"")</f>
        <v>0</v>
      </c>
      <c r="G100" s="155">
        <f>SUM('Pay App 1:Pay App 37'!H100)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38'!L100)+SUM('Pay App 1:Pay App 38'!M100)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38.200000000000003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Data'!$O$2:$BX$88,40,FALSE)</f>
        <v>0</v>
      </c>
      <c r="F106" s="155">
        <f>IFERROR(E106+'Pay App 37'!F106,"")</f>
        <v>0</v>
      </c>
      <c r="G106" s="155">
        <f>SUM('Pay App 1:Pay App 37'!H106)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38'!L106)+SUM('Pay App 1:Pay App 38'!M106)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Data'!$O$2:$BX$88,40,FALSE)</f>
        <v>0</v>
      </c>
      <c r="F107" s="155">
        <f>IFERROR(E107+'Pay App 37'!F107,"")</f>
        <v>0</v>
      </c>
      <c r="G107" s="155">
        <f>SUM('Pay App 1:Pay App 37'!H107)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38'!L107)+SUM('Pay App 1:Pay App 38'!M107)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Data'!$O$2:$BX$88,40,FALSE)</f>
        <v>0</v>
      </c>
      <c r="F108" s="155">
        <f>IFERROR(E108+'Pay App 37'!F108,"")</f>
        <v>0</v>
      </c>
      <c r="G108" s="155">
        <f>SUM('Pay App 1:Pay App 37'!H108)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38'!L108)+SUM('Pay App 1:Pay App 38'!M108)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Data'!$O$2:$BX$88,40,FALSE)</f>
        <v>0</v>
      </c>
      <c r="F109" s="155">
        <f>IFERROR(E109+'Pay App 37'!F109,"")</f>
        <v>0</v>
      </c>
      <c r="G109" s="155">
        <f>SUM('Pay App 1:Pay App 37'!H109)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38'!L109)+SUM('Pay App 1:Pay App 38'!M109)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Data'!$O$2:$BX$88,40,FALSE)</f>
        <v>0</v>
      </c>
      <c r="F110" s="155">
        <f>IFERROR(E110+'Pay App 37'!F110,"")</f>
        <v>0</v>
      </c>
      <c r="G110" s="155">
        <f>SUM('Pay App 1:Pay App 37'!H110)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38'!L110)+SUM('Pay App 1:Pay App 38'!M110)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Data'!$O$2:$BX$88,40,FALSE)</f>
        <v>0</v>
      </c>
      <c r="F111" s="155">
        <f>IFERROR(E111+'Pay App 37'!F111,"")</f>
        <v>0</v>
      </c>
      <c r="G111" s="155">
        <f>SUM('Pay App 1:Pay App 37'!H111)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38'!L111)+SUM('Pay App 1:Pay App 38'!M111)</f>
        <v>0</v>
      </c>
    </row>
    <row r="112" spans="1:15" ht="11.25" customHeight="1" x14ac:dyDescent="0.25">
      <c r="A112" s="152">
        <f t="shared" si="3"/>
        <v>51</v>
      </c>
      <c r="B112" s="148" t="str">
        <f>'Pay App 1'!B112</f>
        <v>09 90 00</v>
      </c>
      <c r="C112" s="143" t="str">
        <f>'Pay App 1'!C112</f>
        <v>Painting</v>
      </c>
      <c r="D112" s="155">
        <f>'Pay App 1'!D112</f>
        <v>0</v>
      </c>
      <c r="E112" s="155">
        <f>VLOOKUP(B112,'Graph Data'!$O$2:$BX$88,40,FALSE)</f>
        <v>0</v>
      </c>
      <c r="F112" s="155">
        <f>IFERROR(E112+'Pay App 37'!F112,"")</f>
        <v>0</v>
      </c>
      <c r="G112" s="155">
        <f>SUM('Pay App 1:Pay App 37'!H112)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38'!L112)+SUM('Pay App 1:Pay App 38'!M112)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Data'!$O$2:$BX$88,40,FALSE)</f>
        <v>0</v>
      </c>
      <c r="F113" s="155">
        <f>IFERROR(E113+'Pay App 37'!F113,"")</f>
        <v>0</v>
      </c>
      <c r="G113" s="155">
        <f>SUM('Pay App 1:Pay App 37'!H113)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38'!L113)+SUM('Pay App 1:Pay App 38'!M113)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Data'!$O$2:$BX$88,40,FALSE)</f>
        <v>0</v>
      </c>
      <c r="F114" s="155">
        <f>IFERROR(E114+'Pay App 37'!F114,"")</f>
        <v>0</v>
      </c>
      <c r="G114" s="155">
        <f>SUM('Pay App 1:Pay App 37'!H114)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38'!L114)+SUM('Pay App 1:Pay App 38'!M114)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Data'!$O$2:$BX$88,40,FALSE)</f>
        <v>0</v>
      </c>
      <c r="F115" s="155">
        <f>IFERROR(E115+'Pay App 37'!F115,"")</f>
        <v>0</v>
      </c>
      <c r="G115" s="155">
        <f>SUM('Pay App 1:Pay App 37'!H115)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38'!L115)+SUM('Pay App 1:Pay App 38'!M115)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Data'!$O$2:$BX$88,40,FALSE)</f>
        <v>0</v>
      </c>
      <c r="F116" s="155">
        <f>IFERROR(E116+'Pay App 37'!F116,"")</f>
        <v>0</v>
      </c>
      <c r="G116" s="155">
        <f>SUM('Pay App 1:Pay App 37'!H116)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38'!L116)+SUM('Pay App 1:Pay App 38'!M116)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Data'!$O$2:$BX$88,40,FALSE)</f>
        <v>0</v>
      </c>
      <c r="F117" s="155">
        <f>IFERROR(E117+'Pay App 37'!F117,"")</f>
        <v>0</v>
      </c>
      <c r="G117" s="155">
        <f>SUM('Pay App 1:Pay App 37'!H117)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38'!L117)+SUM('Pay App 1:Pay App 38'!M117)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Data'!$O$2:$BX$88,40,FALSE)</f>
        <v>0</v>
      </c>
      <c r="F118" s="155">
        <f>IFERROR(E118+'Pay App 37'!F118,"")</f>
        <v>0</v>
      </c>
      <c r="G118" s="155">
        <f>SUM('Pay App 1:Pay App 37'!H118)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38'!L118)+SUM('Pay App 1:Pay App 38'!M118)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Data'!$O$2:$BX$88,40,FALSE)</f>
        <v>0</v>
      </c>
      <c r="F119" s="155">
        <f>IFERROR(E119+'Pay App 37'!F119,"")</f>
        <v>0</v>
      </c>
      <c r="G119" s="155">
        <f>SUM('Pay App 1:Pay App 37'!H119)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38'!L119)+SUM('Pay App 1:Pay App 38'!M119)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Data'!$O$2:$BX$88,40,FALSE)</f>
        <v>0</v>
      </c>
      <c r="F120" s="155">
        <f>IFERROR(E120+'Pay App 37'!F120,"")</f>
        <v>0</v>
      </c>
      <c r="G120" s="155">
        <f>SUM('Pay App 1:Pay App 37'!H120)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38'!L120)+SUM('Pay App 1:Pay App 38'!M120)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Data'!$O$2:$BX$88,40,FALSE)</f>
        <v>0</v>
      </c>
      <c r="F121" s="155">
        <f>IFERROR(E121+'Pay App 37'!F121,"")</f>
        <v>0</v>
      </c>
      <c r="G121" s="155">
        <f>SUM('Pay App 1:Pay App 37'!H121)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38'!L121)+SUM('Pay App 1:Pay App 38'!M121)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Data'!$O$2:$BX$88,40,FALSE)</f>
        <v>0</v>
      </c>
      <c r="F122" s="155">
        <f>IFERROR(E122+'Pay App 37'!F122,"")</f>
        <v>0</v>
      </c>
      <c r="G122" s="155">
        <f>SUM('Pay App 1:Pay App 37'!H122)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38'!L122)+SUM('Pay App 1:Pay App 38'!M122)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Data'!$O$2:$BX$88,40,FALSE)</f>
        <v>0</v>
      </c>
      <c r="F123" s="155">
        <f>IFERROR(E123+'Pay App 37'!F123,"")</f>
        <v>0</v>
      </c>
      <c r="G123" s="155">
        <f>SUM('Pay App 1:Pay App 37'!H123)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38'!L123)+SUM('Pay App 1:Pay App 38'!M123)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Data'!$O$2:$BX$88,40,FALSE)</f>
        <v>0</v>
      </c>
      <c r="F124" s="155">
        <f>IFERROR(E124+'Pay App 37'!F124,"")</f>
        <v>0</v>
      </c>
      <c r="G124" s="155">
        <f>SUM('Pay App 1:Pay App 37'!H124)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38'!L124)+SUM('Pay App 1:Pay App 38'!M124)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Data'!$O$2:$BX$88,40,FALSE)</f>
        <v>0</v>
      </c>
      <c r="F125" s="155">
        <f>IFERROR(E125+'Pay App 37'!F125,"")</f>
        <v>0</v>
      </c>
      <c r="G125" s="155">
        <f>SUM('Pay App 1:Pay App 37'!H125)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38'!L125)+SUM('Pay App 1:Pay App 38'!M125)</f>
        <v>0</v>
      </c>
    </row>
    <row r="126" spans="1:14" ht="11.25" customHeight="1" x14ac:dyDescent="0.25">
      <c r="A126" s="152">
        <f t="shared" si="3"/>
        <v>65</v>
      </c>
      <c r="B126" s="188" t="str">
        <f>'Pay App 1'!B126</f>
        <v>14 20 00</v>
      </c>
      <c r="C126" s="194" t="str">
        <f>'Pay App 1'!C126</f>
        <v>Elevator</v>
      </c>
      <c r="D126" s="155">
        <f>'Pay App 1'!D126</f>
        <v>0</v>
      </c>
      <c r="E126" s="155">
        <f>VLOOKUP(B126,'Graph Data'!$O$2:$BX$88,40,FALSE)</f>
        <v>0</v>
      </c>
      <c r="F126" s="155">
        <f>IFERROR(E126+'Pay App 37'!F126,"")</f>
        <v>0</v>
      </c>
      <c r="G126" s="155">
        <f>SUM('Pay App 1:Pay App 37'!H126)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38'!L126)+SUM('Pay App 1:Pay App 38'!M126)</f>
        <v>0</v>
      </c>
    </row>
    <row r="127" spans="1:14" ht="11.25" customHeight="1" x14ac:dyDescent="0.25">
      <c r="A127" s="152">
        <f t="shared" si="3"/>
        <v>66</v>
      </c>
      <c r="B127" s="188" t="str">
        <f>'Pay App 1'!B127</f>
        <v>14 40 00</v>
      </c>
      <c r="C127" s="194" t="str">
        <f>'Pay App 1'!C127</f>
        <v>Lifts</v>
      </c>
      <c r="D127" s="155">
        <f>'Pay App 1'!D127</f>
        <v>0</v>
      </c>
      <c r="E127" s="155">
        <f>VLOOKUP(B127,'Graph Data'!$O$2:$BX$88,40,FALSE)</f>
        <v>0</v>
      </c>
      <c r="F127" s="155">
        <f>IFERROR(E127+'Pay App 37'!F127,"")</f>
        <v>0</v>
      </c>
      <c r="G127" s="155">
        <f>SUM('Pay App 1:Pay App 37'!H127)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38'!L127)+SUM('Pay App 1:Pay App 38'!M127)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Data'!$O$2:$BX$88,40,FALSE)</f>
        <v>0</v>
      </c>
      <c r="F128" s="155">
        <f>IFERROR(E128+'Pay App 37'!F128,"")</f>
        <v>0</v>
      </c>
      <c r="G128" s="155">
        <f>SUM('Pay App 1:Pay App 37'!H128)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38'!L128)+SUM('Pay App 1:Pay App 38'!M128)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Data'!$O$2:$BX$88,40,FALSE)</f>
        <v>0</v>
      </c>
      <c r="F129" s="155">
        <f>IFERROR(E129+'Pay App 37'!F129,"")</f>
        <v>0</v>
      </c>
      <c r="G129" s="155">
        <f>SUM('Pay App 1:Pay App 37'!H129)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38'!L129)+SUM('Pay App 1:Pay App 38'!M129)</f>
        <v>0</v>
      </c>
    </row>
    <row r="130" spans="1:14" ht="11.25" customHeight="1" x14ac:dyDescent="0.25">
      <c r="A130" s="152">
        <f t="shared" si="3"/>
        <v>69</v>
      </c>
      <c r="B130" s="185" t="str">
        <f>'Pay App 1'!B130</f>
        <v>22 00 00</v>
      </c>
      <c r="C130" s="191" t="str">
        <f>'Pay App 1'!C130</f>
        <v>Plumbing</v>
      </c>
      <c r="D130" s="155">
        <f>'Pay App 1'!D130</f>
        <v>0</v>
      </c>
      <c r="E130" s="155">
        <f>VLOOKUP(B130,'Graph Data'!$O$2:$BX$88,40,FALSE)</f>
        <v>0</v>
      </c>
      <c r="F130" s="155">
        <f>IFERROR(E130+'Pay App 37'!F130,"")</f>
        <v>0</v>
      </c>
      <c r="G130" s="155">
        <f>SUM('Pay App 1:Pay App 37'!H130)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38'!L130)+SUM('Pay App 1:Pay App 38'!M130)</f>
        <v>0</v>
      </c>
    </row>
    <row r="131" spans="1:14" ht="11.25" customHeight="1" x14ac:dyDescent="0.25">
      <c r="A131" s="152">
        <f t="shared" si="3"/>
        <v>70</v>
      </c>
      <c r="B131" s="186" t="str">
        <f>'Pay App 1'!B131</f>
        <v>23 00 00</v>
      </c>
      <c r="C131" s="192" t="str">
        <f>'Pay App 1'!C131</f>
        <v>HVAC</v>
      </c>
      <c r="D131" s="155">
        <f>'Pay App 1'!D131</f>
        <v>0</v>
      </c>
      <c r="E131" s="155">
        <f>VLOOKUP(B131,'Graph Data'!$O$2:$BX$88,40,FALSE)</f>
        <v>0</v>
      </c>
      <c r="F131" s="155">
        <f>IFERROR(E131+'Pay App 37'!F131,"")</f>
        <v>0</v>
      </c>
      <c r="G131" s="155">
        <f>SUM('Pay App 1:Pay App 37'!H131)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38'!L131)+SUM('Pay App 1:Pay App 38'!M131)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Data'!$O$2:$BX$88,40,FALSE)</f>
        <v>0</v>
      </c>
      <c r="F132" s="155">
        <f>IFERROR(E132+'Pay App 37'!F132,"")</f>
        <v>0</v>
      </c>
      <c r="G132" s="155">
        <f>SUM('Pay App 1:Pay App 37'!H132)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38'!L132)+SUM('Pay App 1:Pay App 38'!M132)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Data'!$O$2:$BX$88,40,FALSE)</f>
        <v>0</v>
      </c>
      <c r="F133" s="155">
        <f>IFERROR(E133+'Pay App 37'!F133,"")</f>
        <v>0</v>
      </c>
      <c r="G133" s="155">
        <f>SUM('Pay App 1:Pay App 37'!H133)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38'!L133)+SUM('Pay App 1:Pay App 38'!M133)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Data'!$O$2:$BX$88,40,FALSE)</f>
        <v>0</v>
      </c>
      <c r="F134" s="155">
        <f>IFERROR(E134+'Pay App 37'!F134,"")</f>
        <v>0</v>
      </c>
      <c r="G134" s="155">
        <f>SUM('Pay App 1:Pay App 37'!H134)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38'!L134)+SUM('Pay App 1:Pay App 38'!M134)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Data'!$O$2:$BX$88,40,FALSE)</f>
        <v>0</v>
      </c>
      <c r="F135" s="155">
        <f>IFERROR(E135+'Pay App 37'!F135,"")</f>
        <v>0</v>
      </c>
      <c r="G135" s="155">
        <f>SUM('Pay App 1:Pay App 37'!H135)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38'!L135)+SUM('Pay App 1:Pay App 38'!M135)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Data'!$O$2:$BX$88,40,FALSE)</f>
        <v>0</v>
      </c>
      <c r="F136" s="155">
        <f>IFERROR(E136+'Pay App 37'!F136,"")</f>
        <v>0</v>
      </c>
      <c r="G136" s="155">
        <f>SUM('Pay App 1:Pay App 37'!H136)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38'!L136)+SUM('Pay App 1:Pay App 38'!M136)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Data'!$O$2:$BX$88,40,FALSE)</f>
        <v>0</v>
      </c>
      <c r="F137" s="155">
        <f>IFERROR(E137+'Pay App 37'!F137,"")</f>
        <v>0</v>
      </c>
      <c r="G137" s="155">
        <f>SUM('Pay App 1:Pay App 37'!H137)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38'!L137)+SUM('Pay App 1:Pay App 38'!M137)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Data'!$O$2:$BX$88,40,FALSE)</f>
        <v>0</v>
      </c>
      <c r="F138" s="155">
        <f>IFERROR(E138+'Pay App 37'!F138,"")</f>
        <v>0</v>
      </c>
      <c r="G138" s="155">
        <f>SUM('Pay App 1:Pay App 37'!H138)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38'!L138)+SUM('Pay App 1:Pay App 38'!M138)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Data'!$O$2:$BX$88,40,FALSE)</f>
        <v>0</v>
      </c>
      <c r="F139" s="155">
        <f>IFERROR(E139+'Pay App 37'!F139,"")</f>
        <v>0</v>
      </c>
      <c r="G139" s="155">
        <f>SUM('Pay App 1:Pay App 37'!H139)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38'!L139)+SUM('Pay App 1:Pay App 38'!M139)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Data'!$O$2:$BX$88,40,FALSE)</f>
        <v>0</v>
      </c>
      <c r="F140" s="155">
        <f>IFERROR(E140+'Pay App 37'!F140,"")</f>
        <v>0</v>
      </c>
      <c r="G140" s="155">
        <f>SUM('Pay App 1:Pay App 37'!H140)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38'!L140)+SUM('Pay App 1:Pay App 38'!M140)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Data'!$O$2:$BX$88,40,FALSE)</f>
        <v>0</v>
      </c>
      <c r="F141" s="155">
        <f>IFERROR(E141+'Pay App 37'!F141,"")</f>
        <v>0</v>
      </c>
      <c r="G141" s="155">
        <f>SUM('Pay App 1:Pay App 37'!H141)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38'!L141)+SUM('Pay App 1:Pay App 38'!M141)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Data'!$O$2:$BX$88,40,FALSE)</f>
        <v>0</v>
      </c>
      <c r="F142" s="155">
        <f>IFERROR(E142+'Pay App 37'!F142,"")</f>
        <v>0</v>
      </c>
      <c r="G142" s="155">
        <f>SUM('Pay App 1:Pay App 37'!H142)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38'!L142)+SUM('Pay App 1:Pay App 38'!M142)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Data'!$O$2:$BX$88,40,FALSE)</f>
        <v>0</v>
      </c>
      <c r="F143" s="155">
        <f>IFERROR(E143+'Pay App 37'!F143,"")</f>
        <v>0</v>
      </c>
      <c r="G143" s="155">
        <f>SUM('Pay App 1:Pay App 37'!H143)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38'!L143)+SUM('Pay App 1:Pay App 38'!M143)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Data'!$O$2:$BX$88,40,FALSE)</f>
        <v>0</v>
      </c>
      <c r="F144" s="155">
        <f>IFERROR(E144+'Pay App 37'!F144,"")</f>
        <v>0</v>
      </c>
      <c r="G144" s="155">
        <f>SUM('Pay App 1:Pay App 37'!H144)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38'!L144)+SUM('Pay App 1:Pay App 38'!M144)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Data'!$O$2:$BX$88,40,FALSE)</f>
        <v>0</v>
      </c>
      <c r="F145" s="155">
        <f>IFERROR(E145+'Pay App 37'!F145,"")</f>
        <v>0</v>
      </c>
      <c r="G145" s="155">
        <f>SUM('Pay App 1:Pay App 37'!H145)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38'!L145)+SUM('Pay App 1:Pay App 38'!M145)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Data'!$O$2:$BX$88,40,FALSE)</f>
        <v>0</v>
      </c>
      <c r="F146" s="155">
        <f>IFERROR(E146+'Pay App 37'!F146,"")</f>
        <v>0</v>
      </c>
      <c r="G146" s="155">
        <f>SUM('Pay App 1:Pay App 37'!H146)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38'!L146)+SUM('Pay App 1:Pay App 38'!M146)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Data'!$O$2:$BX$88,40,FALSE)</f>
        <v>0</v>
      </c>
      <c r="F147" s="155">
        <f>IFERROR(E147+'Pay App 37'!F147,"")</f>
        <v>0</v>
      </c>
      <c r="G147" s="155">
        <f>SUM('Pay App 1:Pay App 37'!H147)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38'!L147)+SUM('Pay App 1:Pay App 38'!M147)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Data'!$O$2:$BX$88,40,FALSE)</f>
        <v>0</v>
      </c>
      <c r="F148" s="155">
        <f>IFERROR(E148+'Pay App 37'!F148,"")</f>
        <v>0</v>
      </c>
      <c r="G148" s="155">
        <f>SUM('Pay App 1:Pay App 37'!H148)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38'!L148)+SUM('Pay App 1:Pay App 38'!M148)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jT2bh2BF3/V+/LpRr8j4dRveGzgMjAvI5YzxOAMUlmHNU9jJIvS9ON2Mplq0Ba118H3JdUZstQPe5VRvrEDDmw==" saltValue="QZSqMgWVuzr8gXmt/5riW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52" priority="2" operator="equal">
      <formula>0</formula>
    </cfRule>
  </conditionalFormatting>
  <conditionalFormatting sqref="D106:G148">
    <cfRule type="cellIs" dxfId="251" priority="1" operator="equal">
      <formula>0</formula>
    </cfRule>
  </conditionalFormatting>
  <conditionalFormatting sqref="D10:H10 D12:H14 D19:H21">
    <cfRule type="cellIs" dxfId="250" priority="6" operator="equal">
      <formula>0</formula>
    </cfRule>
  </conditionalFormatting>
  <conditionalFormatting sqref="H51">
    <cfRule type="cellIs" dxfId="249" priority="9" operator="lessThan">
      <formula>0</formula>
    </cfRule>
  </conditionalFormatting>
  <conditionalFormatting sqref="I57:I100 K57:K100 I106:I148 K106:K148 N106:N148">
    <cfRule type="cellIs" dxfId="248" priority="14" operator="equal">
      <formula>0</formula>
    </cfRule>
  </conditionalFormatting>
  <conditionalFormatting sqref="J57:J100 J106:J149">
    <cfRule type="cellIs" dxfId="247" priority="11" operator="greaterThan">
      <formula>1</formula>
    </cfRule>
    <cfRule type="cellIs" dxfId="246" priority="12" operator="equal">
      <formula>0</formula>
    </cfRule>
  </conditionalFormatting>
  <conditionalFormatting sqref="K57:K100 K106:K148">
    <cfRule type="cellIs" dxfId="245" priority="10" operator="lessThan">
      <formula>0</formula>
    </cfRule>
  </conditionalFormatting>
  <conditionalFormatting sqref="M57:M100">
    <cfRule type="cellIs" dxfId="244" priority="13" operator="lessThan">
      <formula>0</formula>
    </cfRule>
  </conditionalFormatting>
  <conditionalFormatting sqref="M106:M148">
    <cfRule type="cellIs" dxfId="243" priority="8" operator="lessThan">
      <formula>0</formula>
    </cfRule>
  </conditionalFormatting>
  <conditionalFormatting sqref="N57:N100">
    <cfRule type="cellIs" dxfId="24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4DA74A8-A736-4ACF-AC7A-92875EE24E94}">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0BF955F-D5A8-4332-9BBF-55CB4F93D7B5}">
          <x14:formula1>
            <xm:f>'Graph Data'!$M$74:$M$76</xm:f>
          </x14:formula1>
          <xm:sqref>G17</xm:sqref>
        </x14:dataValidation>
      </x14:dataValidation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2D262-29A0-4631-B3EA-34D5DDD85DF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39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75"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39'!E149)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39'!G41)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39.1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Data'!$O$2:$BX$88,41,FALSE)</f>
        <v>0</v>
      </c>
      <c r="F57" s="155">
        <f>IFERROR(E57+'Pay App 38'!F57,"")</f>
        <v>0</v>
      </c>
      <c r="G57" s="155">
        <f>SUM('Pay App 1:Pay App 38'!H57)</f>
        <v>0</v>
      </c>
      <c r="H57" s="154"/>
      <c r="I57" s="155">
        <f>G57+H57</f>
        <v>0</v>
      </c>
      <c r="J57" s="156">
        <f>IFERROR(I57/F57,0)</f>
        <v>0</v>
      </c>
      <c r="K57" s="155">
        <f>IFERROR(F57-I57,"")</f>
        <v>0</v>
      </c>
      <c r="L57" s="155" t="str">
        <f>IF(AND('Summary Sheet'!$E$23="No",$H$33&gt;0,H57&gt;=1),"",IF(AND('Summary Sheet'!$E$23="Yes",H57&lt;&gt;""),H57*'Summary Sheet'!$G$23,""))</f>
        <v/>
      </c>
      <c r="M57" s="154"/>
      <c r="N57" s="155">
        <f>SUM('Pay App 1:Pay App 39'!L57)+SUM('Pay App 1:Pay App 39'!M57)</f>
        <v>0</v>
      </c>
    </row>
    <row r="58" spans="1:16" ht="11.25" customHeight="1" x14ac:dyDescent="0.25">
      <c r="A58" s="152">
        <v>2</v>
      </c>
      <c r="B58" s="145" t="str">
        <f>'Pay App 1'!B58</f>
        <v>00 02 00</v>
      </c>
      <c r="C58" s="134" t="str">
        <f>'Pay App 1'!C58</f>
        <v>Preconstruction Services</v>
      </c>
      <c r="D58" s="155">
        <f>'Pay App 1'!D58</f>
        <v>0</v>
      </c>
      <c r="E58" s="155">
        <f>VLOOKUP(B58,'Graph Data'!$O$2:$BX$88,41,FALSE)</f>
        <v>0</v>
      </c>
      <c r="F58" s="155">
        <f>IFERROR(E58+'Pay App 38'!F58,"")</f>
        <v>0</v>
      </c>
      <c r="G58" s="155">
        <f>SUM('Pay App 1:Pay App 38'!H58)</f>
        <v>0</v>
      </c>
      <c r="H58" s="154"/>
      <c r="I58" s="155">
        <f>G58+H58</f>
        <v>0</v>
      </c>
      <c r="J58" s="156">
        <f>IFERROR(I58/F58,0)</f>
        <v>0</v>
      </c>
      <c r="K58" s="155">
        <f>IFERROR(F58-I58,"")</f>
        <v>0</v>
      </c>
      <c r="L58" s="155" t="str">
        <f>IF(AND('Summary Sheet'!$E$23="No",$H$33&gt;0,H58&gt;=1),"",IF(AND('Summary Sheet'!$E$23="Yes",H58&lt;&gt;""),H58*'Summary Sheet'!$G$23,""))</f>
        <v/>
      </c>
      <c r="M58" s="154"/>
      <c r="N58" s="155">
        <f>SUM('Pay App 1:Pay App 39'!L58)+SUM('Pay App 1:Pay App 39'!M58)</f>
        <v>0</v>
      </c>
    </row>
    <row r="59" spans="1:16" ht="11.25" customHeight="1" x14ac:dyDescent="0.25">
      <c r="A59" s="152">
        <v>3</v>
      </c>
      <c r="B59" s="174" t="str">
        <f>'Pay App 1'!B59</f>
        <v>01 00 00</v>
      </c>
      <c r="C59" s="179" t="str">
        <f>'Pay App 1'!C59</f>
        <v>General Conditions/Requirements</v>
      </c>
      <c r="D59" s="155">
        <f>'Pay App 1'!D59</f>
        <v>0</v>
      </c>
      <c r="E59" s="155">
        <f>VLOOKUP(B59,'Graph Data'!$O$2:$BX$88,41,FALSE)</f>
        <v>0</v>
      </c>
      <c r="F59" s="155">
        <f>IFERROR(E59+'Pay App 38'!F59,"")</f>
        <v>0</v>
      </c>
      <c r="G59" s="155">
        <f>SUM('Pay App 1:Pay App 38'!H59)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39'!L59)+SUM('Pay App 1:Pay App 39'!M59)</f>
        <v>0</v>
      </c>
    </row>
    <row r="60" spans="1:16" ht="11.25" customHeight="1" x14ac:dyDescent="0.25">
      <c r="A60" s="152">
        <v>4</v>
      </c>
      <c r="B60" s="174" t="str">
        <f>'Pay App 1'!B60</f>
        <v>01 13 41</v>
      </c>
      <c r="C60" s="179" t="str">
        <f>'Pay App 1'!C60</f>
        <v>Temp. Scaffolding and Platforms</v>
      </c>
      <c r="D60" s="155">
        <f>'Pay App 1'!D60</f>
        <v>0</v>
      </c>
      <c r="E60" s="155">
        <f>VLOOKUP(B60,'Graph Data'!$O$2:$BX$88,41,FALSE)</f>
        <v>0</v>
      </c>
      <c r="F60" s="155">
        <f>IFERROR(E60+'Pay App 38'!F60,"")</f>
        <v>0</v>
      </c>
      <c r="G60" s="155">
        <f>SUM('Pay App 1:Pay App 38'!H60)</f>
        <v>0</v>
      </c>
      <c r="H60" s="154"/>
      <c r="I60" s="155">
        <f t="shared" si="0"/>
        <v>0</v>
      </c>
      <c r="J60" s="156">
        <f t="shared" si="1"/>
        <v>0</v>
      </c>
      <c r="K60" s="155">
        <f t="shared" si="2"/>
        <v>0</v>
      </c>
      <c r="L60" s="155" t="str">
        <f>IF(AND('Summary Sheet'!$E$23="No",$H$33&gt;0,H60&gt;=1),"",IF(AND('Summary Sheet'!$E$23="Yes",H60&lt;&gt;""),H60*'Summary Sheet'!$G$23,""))</f>
        <v/>
      </c>
      <c r="M60" s="154"/>
      <c r="N60" s="155">
        <f>SUM('Pay App 1:Pay App 39'!L60)+SUM('Pay App 1:Pay App 39'!M60)</f>
        <v>0</v>
      </c>
    </row>
    <row r="61" spans="1:16" ht="11.25" customHeight="1" x14ac:dyDescent="0.25">
      <c r="A61" s="152">
        <v>5</v>
      </c>
      <c r="B61" s="174" t="str">
        <f>'Pay App 1'!B61</f>
        <v>01 13 60</v>
      </c>
      <c r="C61" s="179" t="str">
        <f>'Pay App 1'!C61</f>
        <v>SWPPP</v>
      </c>
      <c r="D61" s="155">
        <f>'Pay App 1'!D61</f>
        <v>0</v>
      </c>
      <c r="E61" s="155">
        <f>VLOOKUP(B61,'Graph Data'!$O$2:$BX$88,41,FALSE)</f>
        <v>0</v>
      </c>
      <c r="F61" s="155">
        <f>IFERROR(E61+'Pay App 38'!F61,"")</f>
        <v>0</v>
      </c>
      <c r="G61" s="155">
        <f>SUM('Pay App 1:Pay App 38'!H61)</f>
        <v>0</v>
      </c>
      <c r="H61" s="154"/>
      <c r="I61" s="155">
        <f t="shared" si="0"/>
        <v>0</v>
      </c>
      <c r="J61" s="156">
        <f t="shared" si="1"/>
        <v>0</v>
      </c>
      <c r="K61" s="155">
        <f t="shared" si="2"/>
        <v>0</v>
      </c>
      <c r="L61" s="155" t="str">
        <f>IF(AND('Summary Sheet'!$E$23="No",$H$33&gt;0,H61&gt;=1),"",IF(AND('Summary Sheet'!$E$23="Yes",H61&lt;&gt;""),H61*'Summary Sheet'!$G$23,""))</f>
        <v/>
      </c>
      <c r="M61" s="154"/>
      <c r="N61" s="155">
        <f>SUM('Pay App 1:Pay App 39'!L61)+SUM('Pay App 1:Pay App 39'!M61)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Data'!$O$2:$BX$88,41,FALSE)</f>
        <v>0</v>
      </c>
      <c r="F62" s="155">
        <f>IFERROR(E62+'Pay App 38'!F62,"")</f>
        <v>0</v>
      </c>
      <c r="G62" s="155">
        <f>SUM('Pay App 1:Pay App 38'!H62)</f>
        <v>0</v>
      </c>
      <c r="H62" s="154"/>
      <c r="I62" s="155">
        <f t="shared" si="0"/>
        <v>0</v>
      </c>
      <c r="J62" s="156">
        <f t="shared" si="1"/>
        <v>0</v>
      </c>
      <c r="K62" s="155">
        <f t="shared" si="2"/>
        <v>0</v>
      </c>
      <c r="L62" s="155" t="str">
        <f>IF(AND('Summary Sheet'!$E$23="No",$H$33&gt;0,H62&gt;=1),"",IF(AND('Summary Sheet'!$E$23="Yes",H62&lt;&gt;""),H62*'Summary Sheet'!$G$23,""))</f>
        <v/>
      </c>
      <c r="M62" s="154"/>
      <c r="N62" s="155">
        <f>SUM('Pay App 1:Pay App 39'!L62)+SUM('Pay App 1:Pay App 39'!M62)</f>
        <v>0</v>
      </c>
    </row>
    <row r="63" spans="1:16" ht="11.25" customHeight="1" x14ac:dyDescent="0.25">
      <c r="A63" s="152">
        <v>7</v>
      </c>
      <c r="B63" s="174" t="str">
        <f>'Pay App 1'!B63</f>
        <v>01 31 00</v>
      </c>
      <c r="C63" s="179" t="str">
        <f>'Pay App 1'!C63</f>
        <v>Contractor's Supervision</v>
      </c>
      <c r="D63" s="155">
        <f>'Pay App 1'!D63</f>
        <v>0</v>
      </c>
      <c r="E63" s="155">
        <f>VLOOKUP(B63,'Graph Data'!$O$2:$BX$88,41,FALSE)</f>
        <v>0</v>
      </c>
      <c r="F63" s="155">
        <f>IFERROR(E63+'Pay App 38'!F63,"")</f>
        <v>0</v>
      </c>
      <c r="G63" s="155">
        <f>SUM('Pay App 1:Pay App 38'!H63)</f>
        <v>0</v>
      </c>
      <c r="H63" s="154"/>
      <c r="I63" s="155">
        <f t="shared" si="0"/>
        <v>0</v>
      </c>
      <c r="J63" s="156">
        <f t="shared" si="1"/>
        <v>0</v>
      </c>
      <c r="K63" s="155">
        <f t="shared" si="2"/>
        <v>0</v>
      </c>
      <c r="L63" s="155" t="str">
        <f>IF(AND('Summary Sheet'!$E$23="No",$H$33&gt;0,H63&gt;=1),"",IF(AND('Summary Sheet'!$E$23="Yes",H63&lt;&gt;""),H63*'Summary Sheet'!$G$23,""))</f>
        <v/>
      </c>
      <c r="M63" s="154"/>
      <c r="N63" s="155">
        <f>SUM('Pay App 1:Pay App 39'!L63)+SUM('Pay App 1:Pay App 39'!M63)</f>
        <v>0</v>
      </c>
    </row>
    <row r="64" spans="1:16" ht="11.25" customHeight="1" x14ac:dyDescent="0.25">
      <c r="A64" s="152">
        <v>8</v>
      </c>
      <c r="B64" s="174" t="str">
        <f>'Pay App 1'!B64</f>
        <v>01 32 00</v>
      </c>
      <c r="C64" s="179" t="str">
        <f>'Pay App 1'!C64</f>
        <v>General Liability Insurance</v>
      </c>
      <c r="D64" s="155">
        <f>'Pay App 1'!D64</f>
        <v>0</v>
      </c>
      <c r="E64" s="155">
        <f>VLOOKUP(B64,'Graph Data'!$O$2:$BX$88,41,FALSE)</f>
        <v>0</v>
      </c>
      <c r="F64" s="155">
        <f>IFERROR(E64+'Pay App 38'!F64,"")</f>
        <v>0</v>
      </c>
      <c r="G64" s="155">
        <f>SUM('Pay App 1:Pay App 38'!H64)</f>
        <v>0</v>
      </c>
      <c r="H64" s="154"/>
      <c r="I64" s="155">
        <f t="shared" si="0"/>
        <v>0</v>
      </c>
      <c r="J64" s="156">
        <f t="shared" si="1"/>
        <v>0</v>
      </c>
      <c r="K64" s="155">
        <f t="shared" si="2"/>
        <v>0</v>
      </c>
      <c r="L64" s="155" t="str">
        <f>IF(AND('Summary Sheet'!$E$23="No",$H$33&gt;0,H64&gt;=1),"",IF(AND('Summary Sheet'!$E$23="Yes",H64&lt;&gt;""),H64*'Summary Sheet'!$G$23,""))</f>
        <v/>
      </c>
      <c r="M64" s="154"/>
      <c r="N64" s="155">
        <f>SUM('Pay App 1:Pay App 39'!L64)+SUM('Pay App 1:Pay App 39'!M64)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Data'!$O$2:$BX$88,41,FALSE)</f>
        <v>0</v>
      </c>
      <c r="F65" s="155">
        <f>IFERROR(E65+'Pay App 38'!F65,"")</f>
        <v>0</v>
      </c>
      <c r="G65" s="155">
        <f>SUM('Pay App 1:Pay App 38'!H65)</f>
        <v>0</v>
      </c>
      <c r="H65" s="154"/>
      <c r="I65" s="155">
        <f t="shared" si="0"/>
        <v>0</v>
      </c>
      <c r="J65" s="156">
        <f t="shared" si="1"/>
        <v>0</v>
      </c>
      <c r="K65" s="155">
        <f t="shared" si="2"/>
        <v>0</v>
      </c>
      <c r="L65" s="155" t="str">
        <f>IF(AND('Summary Sheet'!$E$23="No",$H$33&gt;0,H65&gt;=1),"",IF(AND('Summary Sheet'!$E$23="Yes",H65&lt;&gt;""),H65*'Summary Sheet'!$G$23,""))</f>
        <v/>
      </c>
      <c r="M65" s="154"/>
      <c r="N65" s="155">
        <f>SUM('Pay App 1:Pay App 39'!L65)+SUM('Pay App 1:Pay App 39'!M65)</f>
        <v>0</v>
      </c>
    </row>
    <row r="66" spans="1:17" ht="11.25" customHeight="1" x14ac:dyDescent="0.25">
      <c r="A66" s="152">
        <v>10</v>
      </c>
      <c r="B66" s="174" t="str">
        <f>'Pay App 1'!B66</f>
        <v>01 34 00</v>
      </c>
      <c r="C66" s="179" t="str">
        <f>'Pay App 1'!C66</f>
        <v>Subcontractor Default Insurance</v>
      </c>
      <c r="D66" s="155">
        <f>'Pay App 1'!D66</f>
        <v>0</v>
      </c>
      <c r="E66" s="155">
        <f>VLOOKUP(B66,'Graph Data'!$O$2:$BX$88,41,FALSE)</f>
        <v>0</v>
      </c>
      <c r="F66" s="155">
        <f>IFERROR(E66+'Pay App 38'!F66,"")</f>
        <v>0</v>
      </c>
      <c r="G66" s="155">
        <f>SUM('Pay App 1:Pay App 38'!H66)</f>
        <v>0</v>
      </c>
      <c r="H66" s="154"/>
      <c r="I66" s="155">
        <f t="shared" si="0"/>
        <v>0</v>
      </c>
      <c r="J66" s="156">
        <f t="shared" si="1"/>
        <v>0</v>
      </c>
      <c r="K66" s="155">
        <f t="shared" si="2"/>
        <v>0</v>
      </c>
      <c r="L66" s="155" t="str">
        <f>IF(AND('Summary Sheet'!$E$23="No",$H$33&gt;0,H66&gt;=1),"",IF(AND('Summary Sheet'!$E$23="Yes",H66&lt;&gt;""),H66*'Summary Sheet'!$G$23,""))</f>
        <v/>
      </c>
      <c r="M66" s="154"/>
      <c r="N66" s="155">
        <f>SUM('Pay App 1:Pay App 39'!L66)+SUM('Pay App 1:Pay App 39'!M66)</f>
        <v>0</v>
      </c>
    </row>
    <row r="67" spans="1:17" ht="11.25" customHeight="1" x14ac:dyDescent="0.25">
      <c r="A67" s="152">
        <v>11</v>
      </c>
      <c r="B67" s="174" t="str">
        <f>'Pay App 1'!B67</f>
        <v>01 35 00</v>
      </c>
      <c r="C67" s="179" t="str">
        <f>'Pay App 1'!C67</f>
        <v>Construction Management Fee</v>
      </c>
      <c r="D67" s="155">
        <f>'Pay App 1'!D67</f>
        <v>0</v>
      </c>
      <c r="E67" s="155">
        <f>VLOOKUP(B67,'Graph Data'!$O$2:$BX$88,41,FALSE)</f>
        <v>0</v>
      </c>
      <c r="F67" s="155">
        <f>IFERROR(E67+'Pay App 38'!F67,"")</f>
        <v>0</v>
      </c>
      <c r="G67" s="155">
        <f>SUM('Pay App 1:Pay App 38'!H67)</f>
        <v>0</v>
      </c>
      <c r="H67" s="154"/>
      <c r="I67" s="155">
        <f t="shared" si="0"/>
        <v>0</v>
      </c>
      <c r="J67" s="156">
        <f t="shared" si="1"/>
        <v>0</v>
      </c>
      <c r="K67" s="155">
        <f t="shared" si="2"/>
        <v>0</v>
      </c>
      <c r="L67" s="155" t="str">
        <f>IF(AND('Summary Sheet'!$E$23="No",$H$33&gt;0,H67&gt;=1),"",IF(AND('Summary Sheet'!$E$23="Yes",H67&lt;&gt;""),H67*'Summary Sheet'!$G$23,""))</f>
        <v/>
      </c>
      <c r="M67" s="154"/>
      <c r="N67" s="155">
        <f>SUM('Pay App 1:Pay App 39'!L67)+SUM('Pay App 1:Pay App 39'!M67)</f>
        <v>0</v>
      </c>
    </row>
    <row r="68" spans="1:17" ht="11.25" customHeight="1" x14ac:dyDescent="0.25">
      <c r="A68" s="152">
        <v>12</v>
      </c>
      <c r="B68" s="174" t="str">
        <f>'Pay App 1'!B68</f>
        <v>01 36 00</v>
      </c>
      <c r="C68" s="179" t="str">
        <f>'Pay App 1'!C68</f>
        <v>Contingency</v>
      </c>
      <c r="D68" s="155">
        <f>'Pay App 1'!D68</f>
        <v>0</v>
      </c>
      <c r="E68" s="155">
        <f>VLOOKUP(B68,'Graph Data'!$O$2:$BX$88,41,FALSE)</f>
        <v>0</v>
      </c>
      <c r="F68" s="155">
        <f>IFERROR(E68+'Pay App 38'!F68,"")</f>
        <v>0</v>
      </c>
      <c r="G68" s="155">
        <f>SUM('Pay App 1:Pay App 38'!H68)</f>
        <v>0</v>
      </c>
      <c r="H68" s="154"/>
      <c r="I68" s="155">
        <f t="shared" si="0"/>
        <v>0</v>
      </c>
      <c r="J68" s="156">
        <f t="shared" si="1"/>
        <v>0</v>
      </c>
      <c r="K68" s="155">
        <f t="shared" si="2"/>
        <v>0</v>
      </c>
      <c r="L68" s="155" t="str">
        <f>IF(AND('Summary Sheet'!$E$23="No",$H$33&gt;0,H68&gt;=1),"",IF(AND('Summary Sheet'!$E$23="Yes",H68&lt;&gt;""),H68*'Summary Sheet'!$G$23,""))</f>
        <v/>
      </c>
      <c r="M68" s="154"/>
      <c r="N68" s="155">
        <f>SUM('Pay App 1:Pay App 39'!L68)+SUM('Pay App 1:Pay App 39'!M68)</f>
        <v>0</v>
      </c>
    </row>
    <row r="69" spans="1:17" ht="11.25" customHeight="1" x14ac:dyDescent="0.25">
      <c r="A69" s="152">
        <v>13</v>
      </c>
      <c r="B69" s="174" t="str">
        <f>'Pay App 1'!B69</f>
        <v>01 37 00</v>
      </c>
      <c r="C69" s="179" t="str">
        <f>'Pay App 1'!C69</f>
        <v>Weather Allowance (All Trades)</v>
      </c>
      <c r="D69" s="155">
        <f>'Pay App 1'!D69</f>
        <v>0</v>
      </c>
      <c r="E69" s="155">
        <f>VLOOKUP(B69,'Graph Data'!$O$2:$BX$88,41,FALSE)</f>
        <v>0</v>
      </c>
      <c r="F69" s="155">
        <f>IFERROR(E69+'Pay App 38'!F69,"")</f>
        <v>0</v>
      </c>
      <c r="G69" s="155">
        <f>SUM('Pay App 1:Pay App 38'!H69)</f>
        <v>0</v>
      </c>
      <c r="H69" s="154"/>
      <c r="I69" s="155">
        <f t="shared" si="0"/>
        <v>0</v>
      </c>
      <c r="J69" s="156">
        <f t="shared" si="1"/>
        <v>0</v>
      </c>
      <c r="K69" s="155">
        <f t="shared" si="2"/>
        <v>0</v>
      </c>
      <c r="L69" s="155" t="str">
        <f>IF(AND('Summary Sheet'!$E$23="No",$H$33&gt;0,H69&gt;=1),"",IF(AND('Summary Sheet'!$E$23="Yes",H69&lt;&gt;""),H69*'Summary Sheet'!$G$23,""))</f>
        <v/>
      </c>
      <c r="M69" s="154"/>
      <c r="N69" s="155">
        <f>SUM('Pay App 1:Pay App 39'!L69)+SUM('Pay App 1:Pay App 39'!M69)</f>
        <v>0</v>
      </c>
    </row>
    <row r="70" spans="1:17" ht="11.25" customHeight="1" x14ac:dyDescent="0.25">
      <c r="A70" s="152">
        <v>14</v>
      </c>
      <c r="B70" s="174" t="str">
        <f>'Pay App 1'!B70</f>
        <v>01 74 23</v>
      </c>
      <c r="C70" s="179" t="str">
        <f>'Pay App 1'!C70</f>
        <v>Cleaning (Final)</v>
      </c>
      <c r="D70" s="155">
        <f>'Pay App 1'!D70</f>
        <v>0</v>
      </c>
      <c r="E70" s="155">
        <f>VLOOKUP(B70,'Graph Data'!$O$2:$BX$88,41,FALSE)</f>
        <v>0</v>
      </c>
      <c r="F70" s="155">
        <f>IFERROR(E70+'Pay App 38'!F70,"")</f>
        <v>0</v>
      </c>
      <c r="G70" s="155">
        <f>SUM('Pay App 1:Pay App 38'!H70)</f>
        <v>0</v>
      </c>
      <c r="H70" s="154"/>
      <c r="I70" s="155">
        <f t="shared" si="0"/>
        <v>0</v>
      </c>
      <c r="J70" s="156">
        <f t="shared" si="1"/>
        <v>0</v>
      </c>
      <c r="K70" s="155">
        <f t="shared" si="2"/>
        <v>0</v>
      </c>
      <c r="L70" s="155" t="str">
        <f>IF(AND('Summary Sheet'!$E$23="No",$H$33&gt;0,H70&gt;=1),"",IF(AND('Summary Sheet'!$E$23="Yes",H70&lt;&gt;""),H70*'Summary Sheet'!$G$23,""))</f>
        <v/>
      </c>
      <c r="M70" s="154"/>
      <c r="N70" s="155">
        <f>SUM('Pay App 1:Pay App 39'!L70)+SUM('Pay App 1:Pay App 39'!M70)</f>
        <v>0</v>
      </c>
    </row>
    <row r="71" spans="1:17" ht="11.25" customHeight="1" x14ac:dyDescent="0.25">
      <c r="A71" s="152">
        <v>15</v>
      </c>
      <c r="B71" s="175" t="str">
        <f>'Pay App 1'!B71</f>
        <v>02 21 00</v>
      </c>
      <c r="C71" s="180" t="str">
        <f>'Pay App 1'!C71</f>
        <v>Survey/Engineering</v>
      </c>
      <c r="D71" s="155">
        <f>'Pay App 1'!D71</f>
        <v>0</v>
      </c>
      <c r="E71" s="155">
        <f>VLOOKUP(B71,'Graph Data'!$O$2:$BX$88,41,FALSE)</f>
        <v>0</v>
      </c>
      <c r="F71" s="155">
        <f>IFERROR(E71+'Pay App 38'!F71,"")</f>
        <v>0</v>
      </c>
      <c r="G71" s="155">
        <f>SUM('Pay App 1:Pay App 38'!H71)</f>
        <v>0</v>
      </c>
      <c r="H71" s="154"/>
      <c r="I71" s="155">
        <f t="shared" si="0"/>
        <v>0</v>
      </c>
      <c r="J71" s="156">
        <f t="shared" si="1"/>
        <v>0</v>
      </c>
      <c r="K71" s="155">
        <f t="shared" si="2"/>
        <v>0</v>
      </c>
      <c r="L71" s="155" t="str">
        <f>IF(AND('Summary Sheet'!$E$23="No",$H$33&gt;0,H71&gt;=1),"",IF(AND('Summary Sheet'!$E$23="Yes",H71&lt;&gt;""),H71*'Summary Sheet'!$G$23,""))</f>
        <v/>
      </c>
      <c r="M71" s="154"/>
      <c r="N71" s="155">
        <f>SUM('Pay App 1:Pay App 39'!L71)+SUM('Pay App 1:Pay App 39'!M71)</f>
        <v>0</v>
      </c>
      <c r="Q71" s="28"/>
    </row>
    <row r="72" spans="1:17" ht="11.25" customHeight="1" x14ac:dyDescent="0.25">
      <c r="A72" s="152">
        <v>16</v>
      </c>
      <c r="B72" s="175" t="str">
        <f>'Pay App 1'!B72</f>
        <v>02 41 00</v>
      </c>
      <c r="C72" s="180" t="str">
        <f>'Pay App 1'!C72</f>
        <v>Demolition</v>
      </c>
      <c r="D72" s="155">
        <f>'Pay App 1'!D72</f>
        <v>0</v>
      </c>
      <c r="E72" s="155">
        <f>VLOOKUP(B72,'Graph Data'!$O$2:$BX$88,41,FALSE)</f>
        <v>0</v>
      </c>
      <c r="F72" s="155">
        <f>IFERROR(E72+'Pay App 38'!F72,"")</f>
        <v>0</v>
      </c>
      <c r="G72" s="155">
        <f>SUM('Pay App 1:Pay App 38'!H72)</f>
        <v>0</v>
      </c>
      <c r="H72" s="154"/>
      <c r="I72" s="155">
        <f t="shared" si="0"/>
        <v>0</v>
      </c>
      <c r="J72" s="156">
        <f t="shared" si="1"/>
        <v>0</v>
      </c>
      <c r="K72" s="155">
        <f t="shared" si="2"/>
        <v>0</v>
      </c>
      <c r="L72" s="155" t="str">
        <f>IF(AND('Summary Sheet'!$E$23="No",$H$33&gt;0,H72&gt;=1),"",IF(AND('Summary Sheet'!$E$23="Yes",H72&lt;&gt;""),H72*'Summary Sheet'!$G$23,""))</f>
        <v/>
      </c>
      <c r="M72" s="154"/>
      <c r="N72" s="155">
        <f>SUM('Pay App 1:Pay App 39'!L72)+SUM('Pay App 1:Pay App 39'!M72)</f>
        <v>0</v>
      </c>
      <c r="Q72" s="28"/>
    </row>
    <row r="73" spans="1:17" ht="11.25" customHeight="1" x14ac:dyDescent="0.25">
      <c r="A73" s="152">
        <v>17</v>
      </c>
      <c r="B73" s="175" t="str">
        <f>'Pay App 1'!B73</f>
        <v>02 82 00</v>
      </c>
      <c r="C73" s="180" t="str">
        <f>'Pay App 1'!C73</f>
        <v>Asbestos Abatement</v>
      </c>
      <c r="D73" s="155">
        <f>'Pay App 1'!D73</f>
        <v>0</v>
      </c>
      <c r="E73" s="155">
        <f>VLOOKUP(B73,'Graph Data'!$O$2:$BX$88,41,FALSE)</f>
        <v>0</v>
      </c>
      <c r="F73" s="155">
        <f>IFERROR(E73+'Pay App 38'!F73,"")</f>
        <v>0</v>
      </c>
      <c r="G73" s="155">
        <f>SUM('Pay App 1:Pay App 38'!H73)</f>
        <v>0</v>
      </c>
      <c r="H73" s="154"/>
      <c r="I73" s="155">
        <f t="shared" si="0"/>
        <v>0</v>
      </c>
      <c r="J73" s="156">
        <f t="shared" si="1"/>
        <v>0</v>
      </c>
      <c r="K73" s="155">
        <f t="shared" si="2"/>
        <v>0</v>
      </c>
      <c r="L73" s="155" t="str">
        <f>IF(AND('Summary Sheet'!$E$23="No",$H$33&gt;0,H73&gt;=1),"",IF(AND('Summary Sheet'!$E$23="Yes",H73&lt;&gt;""),H73*'Summary Sheet'!$G$23,""))</f>
        <v/>
      </c>
      <c r="M73" s="154"/>
      <c r="N73" s="155">
        <f>SUM('Pay App 1:Pay App 39'!L73)+SUM('Pay App 1:Pay App 39'!M73)</f>
        <v>0</v>
      </c>
    </row>
    <row r="74" spans="1:17" ht="11.25" customHeight="1" x14ac:dyDescent="0.25">
      <c r="A74" s="152">
        <v>18</v>
      </c>
      <c r="B74" s="176" t="str">
        <f>'Pay App 1'!B74</f>
        <v>03 00 00</v>
      </c>
      <c r="C74" s="181" t="str">
        <f>'Pay App 1'!C74</f>
        <v>Building Concrete</v>
      </c>
      <c r="D74" s="155">
        <f>'Pay App 1'!D74</f>
        <v>0</v>
      </c>
      <c r="E74" s="155">
        <f>VLOOKUP(B74,'Graph Data'!$O$2:$BX$88,41,FALSE)</f>
        <v>0</v>
      </c>
      <c r="F74" s="155">
        <f>IFERROR(E74+'Pay App 38'!F74,"")</f>
        <v>0</v>
      </c>
      <c r="G74" s="155">
        <f>SUM('Pay App 1:Pay App 38'!H74)</f>
        <v>0</v>
      </c>
      <c r="H74" s="154"/>
      <c r="I74" s="155">
        <f t="shared" si="0"/>
        <v>0</v>
      </c>
      <c r="J74" s="156">
        <f t="shared" si="1"/>
        <v>0</v>
      </c>
      <c r="K74" s="155">
        <f t="shared" si="2"/>
        <v>0</v>
      </c>
      <c r="L74" s="155" t="str">
        <f>IF(AND('Summary Sheet'!$E$23="No",$H$33&gt;0,H74&gt;=1),"",IF(AND('Summary Sheet'!$E$23="Yes",H74&lt;&gt;""),H74*'Summary Sheet'!$G$23,""))</f>
        <v/>
      </c>
      <c r="M74" s="154"/>
      <c r="N74" s="155">
        <f>SUM('Pay App 1:Pay App 39'!L74)+SUM('Pay App 1:Pay App 39'!M74)</f>
        <v>0</v>
      </c>
    </row>
    <row r="75" spans="1:17" ht="11.25" customHeight="1" x14ac:dyDescent="0.25">
      <c r="A75" s="152">
        <v>19</v>
      </c>
      <c r="B75" s="176" t="str">
        <f>'Pay App 1'!B75</f>
        <v>03 20 00</v>
      </c>
      <c r="C75" s="181" t="str">
        <f>'Pay App 1'!C75</f>
        <v>Building Concrete Reinforcing</v>
      </c>
      <c r="D75" s="155">
        <f>'Pay App 1'!D75</f>
        <v>0</v>
      </c>
      <c r="E75" s="155">
        <f>VLOOKUP(B75,'Graph Data'!$O$2:$BX$88,41,FALSE)</f>
        <v>0</v>
      </c>
      <c r="F75" s="155">
        <f>IFERROR(E75+'Pay App 38'!F75,"")</f>
        <v>0</v>
      </c>
      <c r="G75" s="155">
        <f>SUM('Pay App 1:Pay App 38'!H75)</f>
        <v>0</v>
      </c>
      <c r="H75" s="154"/>
      <c r="I75" s="155">
        <f t="shared" si="0"/>
        <v>0</v>
      </c>
      <c r="J75" s="156">
        <f t="shared" si="1"/>
        <v>0</v>
      </c>
      <c r="K75" s="155">
        <f t="shared" si="2"/>
        <v>0</v>
      </c>
      <c r="L75" s="155" t="str">
        <f>IF(AND('Summary Sheet'!$E$23="No",$H$33&gt;0,H75&gt;=1),"",IF(AND('Summary Sheet'!$E$23="Yes",H75&lt;&gt;""),H75*'Summary Sheet'!$G$23,""))</f>
        <v/>
      </c>
      <c r="M75" s="154"/>
      <c r="N75" s="155">
        <f>SUM('Pay App 1:Pay App 39'!L75)+SUM('Pay App 1:Pay App 39'!M75)</f>
        <v>0</v>
      </c>
    </row>
    <row r="76" spans="1:17" ht="11.25" customHeight="1" x14ac:dyDescent="0.25">
      <c r="A76" s="152">
        <v>20</v>
      </c>
      <c r="B76" s="176" t="str">
        <f>'Pay App 1'!B76</f>
        <v>03 40 00</v>
      </c>
      <c r="C76" s="181" t="str">
        <f>'Pay App 1'!C76</f>
        <v>Precast</v>
      </c>
      <c r="D76" s="155">
        <f>'Pay App 1'!D76</f>
        <v>0</v>
      </c>
      <c r="E76" s="155">
        <f>VLOOKUP(B76,'Graph Data'!$O$2:$BX$88,41,FALSE)</f>
        <v>0</v>
      </c>
      <c r="F76" s="155">
        <f>IFERROR(E76+'Pay App 38'!F76,"")</f>
        <v>0</v>
      </c>
      <c r="G76" s="155">
        <f>SUM('Pay App 1:Pay App 38'!H76)</f>
        <v>0</v>
      </c>
      <c r="H76" s="154"/>
      <c r="I76" s="155">
        <f t="shared" si="0"/>
        <v>0</v>
      </c>
      <c r="J76" s="156">
        <f t="shared" si="1"/>
        <v>0</v>
      </c>
      <c r="K76" s="155">
        <f t="shared" si="2"/>
        <v>0</v>
      </c>
      <c r="L76" s="155" t="str">
        <f>IF(AND('Summary Sheet'!$E$23="No",$H$33&gt;0,H76&gt;=1),"",IF(AND('Summary Sheet'!$E$23="Yes",H76&lt;&gt;""),H76*'Summary Sheet'!$G$23,""))</f>
        <v/>
      </c>
      <c r="M76" s="154"/>
      <c r="N76" s="155">
        <f>SUM('Pay App 1:Pay App 39'!L76)+SUM('Pay App 1:Pay App 39'!M76)</f>
        <v>0</v>
      </c>
    </row>
    <row r="77" spans="1:17" ht="11.25" customHeight="1" x14ac:dyDescent="0.25">
      <c r="A77" s="152">
        <v>21</v>
      </c>
      <c r="B77" s="177" t="str">
        <f>'Pay App 1'!B77</f>
        <v>04 00 00</v>
      </c>
      <c r="C77" s="182" t="str">
        <f>'Pay App 1'!C77</f>
        <v>Masonry</v>
      </c>
      <c r="D77" s="155">
        <f>'Pay App 1'!D77</f>
        <v>0</v>
      </c>
      <c r="E77" s="155">
        <f>VLOOKUP(B77,'Graph Data'!$O$2:$BX$88,41,FALSE)</f>
        <v>0</v>
      </c>
      <c r="F77" s="155">
        <f>IFERROR(E77+'Pay App 38'!F77,"")</f>
        <v>0</v>
      </c>
      <c r="G77" s="155">
        <f>SUM('Pay App 1:Pay App 38'!H77)</f>
        <v>0</v>
      </c>
      <c r="H77" s="154"/>
      <c r="I77" s="155">
        <f t="shared" si="0"/>
        <v>0</v>
      </c>
      <c r="J77" s="156">
        <f t="shared" si="1"/>
        <v>0</v>
      </c>
      <c r="K77" s="155">
        <f t="shared" si="2"/>
        <v>0</v>
      </c>
      <c r="L77" s="155" t="str">
        <f>IF(AND('Summary Sheet'!$E$23="No",$H$33&gt;0,H77&gt;=1),"",IF(AND('Summary Sheet'!$E$23="Yes",H77&lt;&gt;""),H77*'Summary Sheet'!$G$23,""))</f>
        <v/>
      </c>
      <c r="M77" s="154"/>
      <c r="N77" s="155">
        <f>SUM('Pay App 1:Pay App 39'!L77)+SUM('Pay App 1:Pay App 39'!M77)</f>
        <v>0</v>
      </c>
    </row>
    <row r="78" spans="1:17" ht="11.25" customHeight="1" x14ac:dyDescent="0.25">
      <c r="A78" s="152">
        <v>22</v>
      </c>
      <c r="B78" s="177" t="str">
        <f>'Pay App 1'!B78</f>
        <v>04 05 19</v>
      </c>
      <c r="C78" s="182" t="str">
        <f>'Pay App 1'!C78</f>
        <v>Masonry Reinforcing</v>
      </c>
      <c r="D78" s="155">
        <f>'Pay App 1'!D78</f>
        <v>0</v>
      </c>
      <c r="E78" s="155">
        <f>VLOOKUP(B78,'Graph Data'!$O$2:$BX$88,41,FALSE)</f>
        <v>0</v>
      </c>
      <c r="F78" s="155">
        <f>IFERROR(E78+'Pay App 38'!F78,"")</f>
        <v>0</v>
      </c>
      <c r="G78" s="155">
        <f>SUM('Pay App 1:Pay App 38'!H78)</f>
        <v>0</v>
      </c>
      <c r="H78" s="154"/>
      <c r="I78" s="155">
        <f t="shared" si="0"/>
        <v>0</v>
      </c>
      <c r="J78" s="156">
        <f t="shared" si="1"/>
        <v>0</v>
      </c>
      <c r="K78" s="155">
        <f t="shared" si="2"/>
        <v>0</v>
      </c>
      <c r="L78" s="155" t="str">
        <f>IF(AND('Summary Sheet'!$E$23="No",$H$33&gt;0,H78&gt;=1),"",IF(AND('Summary Sheet'!$E$23="Yes",H78&lt;&gt;""),H78*'Summary Sheet'!$G$23,""))</f>
        <v/>
      </c>
      <c r="M78" s="154"/>
      <c r="N78" s="155">
        <f>SUM('Pay App 1:Pay App 39'!L78)+SUM('Pay App 1:Pay App 39'!M78)</f>
        <v>0</v>
      </c>
    </row>
    <row r="79" spans="1:17" ht="11.25" customHeight="1" x14ac:dyDescent="0.25">
      <c r="A79" s="152">
        <v>23</v>
      </c>
      <c r="B79" s="178" t="str">
        <f>'Pay App 1'!B79</f>
        <v>05 10 00</v>
      </c>
      <c r="C79" s="183" t="str">
        <f>'Pay App 1'!C79</f>
        <v>Structural Steel/Misc. Steel Fab</v>
      </c>
      <c r="D79" s="155">
        <f>'Pay App 1'!D79</f>
        <v>0</v>
      </c>
      <c r="E79" s="155">
        <f>VLOOKUP(B79,'Graph Data'!$O$2:$BX$88,41,FALSE)</f>
        <v>0</v>
      </c>
      <c r="F79" s="155">
        <f>IFERROR(E79+'Pay App 38'!F79,"")</f>
        <v>0</v>
      </c>
      <c r="G79" s="155">
        <f>SUM('Pay App 1:Pay App 38'!H79)</f>
        <v>0</v>
      </c>
      <c r="H79" s="154"/>
      <c r="I79" s="155">
        <f t="shared" si="0"/>
        <v>0</v>
      </c>
      <c r="J79" s="156">
        <f t="shared" si="1"/>
        <v>0</v>
      </c>
      <c r="K79" s="155">
        <f t="shared" si="2"/>
        <v>0</v>
      </c>
      <c r="L79" s="155" t="str">
        <f>IF(AND('Summary Sheet'!$E$23="No",$H$33&gt;0,H79&gt;=1),"",IF(AND('Summary Sheet'!$E$23="Yes",H79&lt;&gt;""),H79*'Summary Sheet'!$G$23,""))</f>
        <v/>
      </c>
      <c r="M79" s="154"/>
      <c r="N79" s="155">
        <f>SUM('Pay App 1:Pay App 39'!L79)+SUM('Pay App 1:Pay App 39'!M79)</f>
        <v>0</v>
      </c>
    </row>
    <row r="80" spans="1:17" ht="11.25" customHeight="1" x14ac:dyDescent="0.25">
      <c r="A80" s="152">
        <v>24</v>
      </c>
      <c r="B80" s="178" t="str">
        <f>'Pay App 1'!B80</f>
        <v>05 20 00</v>
      </c>
      <c r="C80" s="183" t="str">
        <f>'Pay App 1'!C80</f>
        <v>Joists &amp; Deck</v>
      </c>
      <c r="D80" s="155">
        <f>'Pay App 1'!D80</f>
        <v>0</v>
      </c>
      <c r="E80" s="155">
        <f>VLOOKUP(B80,'Graph Data'!$O$2:$BX$88,41,FALSE)</f>
        <v>0</v>
      </c>
      <c r="F80" s="155">
        <f>IFERROR(E80+'Pay App 38'!F80,"")</f>
        <v>0</v>
      </c>
      <c r="G80" s="155">
        <f>SUM('Pay App 1:Pay App 38'!H80)</f>
        <v>0</v>
      </c>
      <c r="H80" s="154"/>
      <c r="I80" s="155">
        <f t="shared" si="0"/>
        <v>0</v>
      </c>
      <c r="J80" s="156">
        <f t="shared" si="1"/>
        <v>0</v>
      </c>
      <c r="K80" s="155">
        <f t="shared" si="2"/>
        <v>0</v>
      </c>
      <c r="L80" s="155" t="str">
        <f>IF(AND('Summary Sheet'!$E$23="No",$H$33&gt;0,H80&gt;=1),"",IF(AND('Summary Sheet'!$E$23="Yes",H80&lt;&gt;""),H80*'Summary Sheet'!$G$23,""))</f>
        <v/>
      </c>
      <c r="M80" s="154"/>
      <c r="N80" s="155">
        <f>SUM('Pay App 1:Pay App 39'!L80)+SUM('Pay App 1:Pay App 39'!M80)</f>
        <v>0</v>
      </c>
    </row>
    <row r="81" spans="1:14" ht="11.25" customHeight="1" x14ac:dyDescent="0.25">
      <c r="A81" s="152">
        <v>25</v>
      </c>
      <c r="B81" s="178" t="str">
        <f>'Pay App 1'!B81</f>
        <v>05 70 00</v>
      </c>
      <c r="C81" s="183" t="str">
        <f>'Pay App 1'!C81</f>
        <v>Ornamental Metal</v>
      </c>
      <c r="D81" s="155">
        <f>'Pay App 1'!D81</f>
        <v>0</v>
      </c>
      <c r="E81" s="155">
        <f>VLOOKUP(B81,'Graph Data'!$O$2:$BX$88,41,FALSE)</f>
        <v>0</v>
      </c>
      <c r="F81" s="155">
        <f>IFERROR(E81+'Pay App 38'!F81,"")</f>
        <v>0</v>
      </c>
      <c r="G81" s="155">
        <f>SUM('Pay App 1:Pay App 38'!H81)</f>
        <v>0</v>
      </c>
      <c r="H81" s="154"/>
      <c r="I81" s="155">
        <f t="shared" si="0"/>
        <v>0</v>
      </c>
      <c r="J81" s="156">
        <f t="shared" si="1"/>
        <v>0</v>
      </c>
      <c r="K81" s="155">
        <f t="shared" si="2"/>
        <v>0</v>
      </c>
      <c r="L81" s="155" t="str">
        <f>IF(AND('Summary Sheet'!$E$23="No",$H$33&gt;0,H81&gt;=1),"",IF(AND('Summary Sheet'!$E$23="Yes",H81&lt;&gt;""),H81*'Summary Sheet'!$G$23,""))</f>
        <v/>
      </c>
      <c r="M81" s="154"/>
      <c r="N81" s="155">
        <f>SUM('Pay App 1:Pay App 39'!L81)+SUM('Pay App 1:Pay App 39'!M81)</f>
        <v>0</v>
      </c>
    </row>
    <row r="82" spans="1:14" ht="11.25" customHeight="1" x14ac:dyDescent="0.25">
      <c r="A82" s="152">
        <v>26</v>
      </c>
      <c r="B82" s="145" t="str">
        <f>'Pay App 1'!B82</f>
        <v>06 10 00</v>
      </c>
      <c r="C82" s="134" t="str">
        <f>'Pay App 1'!C82</f>
        <v>Rough Carpentry</v>
      </c>
      <c r="D82" s="155">
        <f>'Pay App 1'!D82</f>
        <v>0</v>
      </c>
      <c r="E82" s="155">
        <f>VLOOKUP(B82,'Graph Data'!$O$2:$BX$88,41,FALSE)</f>
        <v>0</v>
      </c>
      <c r="F82" s="155">
        <f>IFERROR(E82+'Pay App 38'!F82,"")</f>
        <v>0</v>
      </c>
      <c r="G82" s="155">
        <f>SUM('Pay App 1:Pay App 38'!H82)</f>
        <v>0</v>
      </c>
      <c r="H82" s="154"/>
      <c r="I82" s="155">
        <f t="shared" si="0"/>
        <v>0</v>
      </c>
      <c r="J82" s="156">
        <f t="shared" si="1"/>
        <v>0</v>
      </c>
      <c r="K82" s="155">
        <f t="shared" si="2"/>
        <v>0</v>
      </c>
      <c r="L82" s="155" t="str">
        <f>IF(AND('Summary Sheet'!$E$23="No",$H$33&gt;0,H82&gt;=1),"",IF(AND('Summary Sheet'!$E$23="Yes",H82&lt;&gt;""),H82*'Summary Sheet'!$G$23,""))</f>
        <v/>
      </c>
      <c r="M82" s="154"/>
      <c r="N82" s="155">
        <f>SUM('Pay App 1:Pay App 39'!L82)+SUM('Pay App 1:Pay App 39'!M82)</f>
        <v>0</v>
      </c>
    </row>
    <row r="83" spans="1:14" ht="11.25" customHeight="1" x14ac:dyDescent="0.25">
      <c r="A83" s="152">
        <v>27</v>
      </c>
      <c r="B83" s="145" t="str">
        <f>'Pay App 1'!B83</f>
        <v>06 40 00</v>
      </c>
      <c r="C83" s="134" t="str">
        <f>'Pay App 1'!C83</f>
        <v>Arch. Woodwork &amp; Finish Carp.</v>
      </c>
      <c r="D83" s="155">
        <f>'Pay App 1'!D83</f>
        <v>0</v>
      </c>
      <c r="E83" s="155">
        <f>VLOOKUP(B83,'Graph Data'!$O$2:$BX$88,41,FALSE)</f>
        <v>0</v>
      </c>
      <c r="F83" s="155">
        <f>IFERROR(E83+'Pay App 38'!F83,"")</f>
        <v>0</v>
      </c>
      <c r="G83" s="155">
        <f>SUM('Pay App 1:Pay App 38'!H83)</f>
        <v>0</v>
      </c>
      <c r="H83" s="154"/>
      <c r="I83" s="155">
        <f t="shared" si="0"/>
        <v>0</v>
      </c>
      <c r="J83" s="156">
        <f t="shared" si="1"/>
        <v>0</v>
      </c>
      <c r="K83" s="155">
        <f t="shared" si="2"/>
        <v>0</v>
      </c>
      <c r="L83" s="155" t="str">
        <f>IF(AND('Summary Sheet'!$E$23="No",$H$33&gt;0,H83&gt;=1),"",IF(AND('Summary Sheet'!$E$23="Yes",H83&lt;&gt;""),H83*'Summary Sheet'!$G$23,""))</f>
        <v/>
      </c>
      <c r="M83" s="154"/>
      <c r="N83" s="155">
        <f>SUM('Pay App 1:Pay App 39'!L83)+SUM('Pay App 1:Pay App 39'!M83)</f>
        <v>0</v>
      </c>
    </row>
    <row r="84" spans="1:14" ht="11.25" customHeight="1" x14ac:dyDescent="0.25">
      <c r="A84" s="152">
        <v>28</v>
      </c>
      <c r="B84" s="174" t="str">
        <f>'Pay App 1'!B84</f>
        <v>07 10 00</v>
      </c>
      <c r="C84" s="179" t="str">
        <f>'Pay App 1'!C84</f>
        <v>Waterproofing/Water Repellents</v>
      </c>
      <c r="D84" s="155">
        <f>'Pay App 1'!D84</f>
        <v>0</v>
      </c>
      <c r="E84" s="155">
        <f>VLOOKUP(B84,'Graph Data'!$O$2:$BX$88,41,FALSE)</f>
        <v>0</v>
      </c>
      <c r="F84" s="155">
        <f>IFERROR(E84+'Pay App 38'!F84,"")</f>
        <v>0</v>
      </c>
      <c r="G84" s="155">
        <f>SUM('Pay App 1:Pay App 38'!H84)</f>
        <v>0</v>
      </c>
      <c r="H84" s="154"/>
      <c r="I84" s="155">
        <f t="shared" si="0"/>
        <v>0</v>
      </c>
      <c r="J84" s="156">
        <f t="shared" si="1"/>
        <v>0</v>
      </c>
      <c r="K84" s="155">
        <f t="shared" si="2"/>
        <v>0</v>
      </c>
      <c r="L84" s="155" t="str">
        <f>IF(AND('Summary Sheet'!$E$23="No",$H$33&gt;0,H84&gt;=1),"",IF(AND('Summary Sheet'!$E$23="Yes",H84&lt;&gt;""),H84*'Summary Sheet'!$G$23,""))</f>
        <v/>
      </c>
      <c r="M84" s="154"/>
      <c r="N84" s="155">
        <f>SUM('Pay App 1:Pay App 39'!L84)+SUM('Pay App 1:Pay App 39'!M84)</f>
        <v>0</v>
      </c>
    </row>
    <row r="85" spans="1:14" ht="11.25" customHeight="1" x14ac:dyDescent="0.25">
      <c r="A85" s="152">
        <v>29</v>
      </c>
      <c r="B85" s="174" t="str">
        <f>'Pay App 1'!B85</f>
        <v>07 20 00</v>
      </c>
      <c r="C85" s="179" t="str">
        <f>'Pay App 1'!C85</f>
        <v>Insulation</v>
      </c>
      <c r="D85" s="155">
        <f>'Pay App 1'!D85</f>
        <v>0</v>
      </c>
      <c r="E85" s="155">
        <f>VLOOKUP(B85,'Graph Data'!$O$2:$BX$88,41,FALSE)</f>
        <v>0</v>
      </c>
      <c r="F85" s="155">
        <f>IFERROR(E85+'Pay App 38'!F85,"")</f>
        <v>0</v>
      </c>
      <c r="G85" s="155">
        <f>SUM('Pay App 1:Pay App 38'!H85)</f>
        <v>0</v>
      </c>
      <c r="H85" s="154"/>
      <c r="I85" s="155">
        <f t="shared" si="0"/>
        <v>0</v>
      </c>
      <c r="J85" s="156">
        <f t="shared" si="1"/>
        <v>0</v>
      </c>
      <c r="K85" s="155">
        <f t="shared" si="2"/>
        <v>0</v>
      </c>
      <c r="L85" s="155" t="str">
        <f>IF(AND('Summary Sheet'!$E$23="No",$H$33&gt;0,H85&gt;=1),"",IF(AND('Summary Sheet'!$E$23="Yes",H85&lt;&gt;""),H85*'Summary Sheet'!$G$23,""))</f>
        <v/>
      </c>
      <c r="M85" s="154"/>
      <c r="N85" s="155">
        <f>SUM('Pay App 1:Pay App 39'!L85)+SUM('Pay App 1:Pay App 39'!M85)</f>
        <v>0</v>
      </c>
    </row>
    <row r="86" spans="1:14" ht="11.25" customHeight="1" x14ac:dyDescent="0.25">
      <c r="A86" s="152">
        <v>30</v>
      </c>
      <c r="B86" s="174" t="str">
        <f>'Pay App 1'!B86</f>
        <v>07 24 00</v>
      </c>
      <c r="C86" s="179" t="str">
        <f>'Pay App 1'!C86</f>
        <v>EIFS</v>
      </c>
      <c r="D86" s="155">
        <f>'Pay App 1'!D86</f>
        <v>0</v>
      </c>
      <c r="E86" s="155">
        <f>VLOOKUP(B86,'Graph Data'!$O$2:$BX$88,41,FALSE)</f>
        <v>0</v>
      </c>
      <c r="F86" s="155">
        <f>IFERROR(E86+'Pay App 38'!F86,"")</f>
        <v>0</v>
      </c>
      <c r="G86" s="155">
        <f>SUM('Pay App 1:Pay App 38'!H86)</f>
        <v>0</v>
      </c>
      <c r="H86" s="154"/>
      <c r="I86" s="155">
        <f t="shared" si="0"/>
        <v>0</v>
      </c>
      <c r="J86" s="156">
        <f t="shared" si="1"/>
        <v>0</v>
      </c>
      <c r="K86" s="155">
        <f t="shared" si="2"/>
        <v>0</v>
      </c>
      <c r="L86" s="155" t="str">
        <f>IF(AND('Summary Sheet'!$E$23="No",$H$33&gt;0,H86&gt;=1),"",IF(AND('Summary Sheet'!$E$23="Yes",H86&lt;&gt;""),H86*'Summary Sheet'!$G$23,""))</f>
        <v/>
      </c>
      <c r="M86" s="154"/>
      <c r="N86" s="155">
        <f>SUM('Pay App 1:Pay App 39'!L86)+SUM('Pay App 1:Pay App 39'!M86)</f>
        <v>0</v>
      </c>
    </row>
    <row r="87" spans="1:14" ht="11.25" customHeight="1" x14ac:dyDescent="0.25">
      <c r="A87" s="152">
        <v>31</v>
      </c>
      <c r="B87" s="174" t="str">
        <f>'Pay App 1'!B87</f>
        <v>07 26 00</v>
      </c>
      <c r="C87" s="179" t="str">
        <f>'Pay App 1'!C87</f>
        <v>Vapor Retarders</v>
      </c>
      <c r="D87" s="155">
        <f>'Pay App 1'!D87</f>
        <v>0</v>
      </c>
      <c r="E87" s="155">
        <f>VLOOKUP(B87,'Graph Data'!$O$2:$BX$88,41,FALSE)</f>
        <v>0</v>
      </c>
      <c r="F87" s="155">
        <f>IFERROR(E87+'Pay App 38'!F87,"")</f>
        <v>0</v>
      </c>
      <c r="G87" s="155">
        <f>SUM('Pay App 1:Pay App 38'!H87)</f>
        <v>0</v>
      </c>
      <c r="H87" s="154"/>
      <c r="I87" s="155">
        <f t="shared" si="0"/>
        <v>0</v>
      </c>
      <c r="J87" s="156">
        <f t="shared" si="1"/>
        <v>0</v>
      </c>
      <c r="K87" s="155">
        <f t="shared" si="2"/>
        <v>0</v>
      </c>
      <c r="L87" s="155" t="str">
        <f>IF(AND('Summary Sheet'!$E$23="No",$H$33&gt;0,H87&gt;=1),"",IF(AND('Summary Sheet'!$E$23="Yes",H87&lt;&gt;""),H87*'Summary Sheet'!$G$23,""))</f>
        <v/>
      </c>
      <c r="M87" s="154"/>
      <c r="N87" s="155">
        <f>SUM('Pay App 1:Pay App 39'!L87)+SUM('Pay App 1:Pay App 39'!M87)</f>
        <v>0</v>
      </c>
    </row>
    <row r="88" spans="1:14" ht="11.25" customHeight="1" x14ac:dyDescent="0.25">
      <c r="A88" s="152">
        <v>32</v>
      </c>
      <c r="B88" s="174" t="str">
        <f>'Pay App 1'!B88</f>
        <v>07 41 00</v>
      </c>
      <c r="C88" s="179" t="str">
        <f>'Pay App 1'!C88</f>
        <v>Roofing</v>
      </c>
      <c r="D88" s="155">
        <f>'Pay App 1'!D88</f>
        <v>0</v>
      </c>
      <c r="E88" s="155">
        <f>VLOOKUP(B88,'Graph Data'!$O$2:$BX$88,41,FALSE)</f>
        <v>0</v>
      </c>
      <c r="F88" s="155">
        <f>IFERROR(E88+'Pay App 38'!F88,"")</f>
        <v>0</v>
      </c>
      <c r="G88" s="155">
        <f>SUM('Pay App 1:Pay App 38'!H88)</f>
        <v>0</v>
      </c>
      <c r="H88" s="154"/>
      <c r="I88" s="155">
        <f t="shared" si="0"/>
        <v>0</v>
      </c>
      <c r="J88" s="156">
        <f t="shared" si="1"/>
        <v>0</v>
      </c>
      <c r="K88" s="155">
        <f t="shared" si="2"/>
        <v>0</v>
      </c>
      <c r="L88" s="155" t="str">
        <f>IF(AND('Summary Sheet'!$E$23="No",$H$33&gt;0,H88&gt;=1),"",IF(AND('Summary Sheet'!$E$23="Yes",H88&lt;&gt;""),H88*'Summary Sheet'!$G$23,""))</f>
        <v/>
      </c>
      <c r="M88" s="154"/>
      <c r="N88" s="155">
        <f>SUM('Pay App 1:Pay App 39'!L88)+SUM('Pay App 1:Pay App 39'!M88)</f>
        <v>0</v>
      </c>
    </row>
    <row r="89" spans="1:14" ht="11.25" customHeight="1" x14ac:dyDescent="0.25">
      <c r="A89" s="152">
        <v>33</v>
      </c>
      <c r="B89" s="174" t="str">
        <f>'Pay App 1'!B89</f>
        <v>07 42 00</v>
      </c>
      <c r="C89" s="179" t="str">
        <f>'Pay App 1'!C89</f>
        <v>Metal Panels</v>
      </c>
      <c r="D89" s="155">
        <f>'Pay App 1'!D89</f>
        <v>0</v>
      </c>
      <c r="E89" s="155">
        <f>VLOOKUP(B89,'Graph Data'!$O$2:$BX$88,41,FALSE)</f>
        <v>0</v>
      </c>
      <c r="F89" s="155">
        <f>IFERROR(E89+'Pay App 38'!F89,"")</f>
        <v>0</v>
      </c>
      <c r="G89" s="155">
        <f>SUM('Pay App 1:Pay App 38'!H89)</f>
        <v>0</v>
      </c>
      <c r="H89" s="154"/>
      <c r="I89" s="155">
        <f t="shared" si="0"/>
        <v>0</v>
      </c>
      <c r="J89" s="156">
        <f t="shared" si="1"/>
        <v>0</v>
      </c>
      <c r="K89" s="155">
        <f t="shared" si="2"/>
        <v>0</v>
      </c>
      <c r="L89" s="155" t="str">
        <f>IF(AND('Summary Sheet'!$E$23="No",$H$33&gt;0,H89&gt;=1),"",IF(AND('Summary Sheet'!$E$23="Yes",H89&lt;&gt;""),H89*'Summary Sheet'!$G$23,""))</f>
        <v/>
      </c>
      <c r="M89" s="154"/>
      <c r="N89" s="155">
        <f>SUM('Pay App 1:Pay App 39'!L89)+SUM('Pay App 1:Pay App 39'!M89)</f>
        <v>0</v>
      </c>
    </row>
    <row r="90" spans="1:14" ht="11.25" customHeight="1" x14ac:dyDescent="0.25">
      <c r="A90" s="152">
        <v>34</v>
      </c>
      <c r="B90" s="174" t="str">
        <f>'Pay App 1'!B90</f>
        <v>07 60 00</v>
      </c>
      <c r="C90" s="179" t="str">
        <f>'Pay App 1'!C90</f>
        <v>Sheet Metal Flashing &amp; Trim</v>
      </c>
      <c r="D90" s="155">
        <f>'Pay App 1'!D90</f>
        <v>0</v>
      </c>
      <c r="E90" s="155">
        <f>VLOOKUP(B90,'Graph Data'!$O$2:$BX$88,41,FALSE)</f>
        <v>0</v>
      </c>
      <c r="F90" s="155">
        <f>IFERROR(E90+'Pay App 38'!F90,"")</f>
        <v>0</v>
      </c>
      <c r="G90" s="155">
        <f>SUM('Pay App 1:Pay App 38'!H90)</f>
        <v>0</v>
      </c>
      <c r="H90" s="154"/>
      <c r="I90" s="155">
        <f t="shared" si="0"/>
        <v>0</v>
      </c>
      <c r="J90" s="156">
        <f t="shared" si="1"/>
        <v>0</v>
      </c>
      <c r="K90" s="155">
        <f t="shared" si="2"/>
        <v>0</v>
      </c>
      <c r="L90" s="155" t="str">
        <f>IF(AND('Summary Sheet'!$E$23="No",$H$33&gt;0,H90&gt;=1),"",IF(AND('Summary Sheet'!$E$23="Yes",H90&lt;&gt;""),H90*'Summary Sheet'!$G$23,""))</f>
        <v/>
      </c>
      <c r="M90" s="154"/>
      <c r="N90" s="155">
        <f>SUM('Pay App 1:Pay App 39'!L90)+SUM('Pay App 1:Pay App 39'!M90)</f>
        <v>0</v>
      </c>
    </row>
    <row r="91" spans="1:14" ht="11.25" customHeight="1" x14ac:dyDescent="0.25">
      <c r="A91" s="152">
        <v>35</v>
      </c>
      <c r="B91" s="174" t="str">
        <f>'Pay App 1'!B91</f>
        <v>07 80 00</v>
      </c>
      <c r="C91" s="179" t="str">
        <f>'Pay App 1'!C91</f>
        <v>Fireproofing</v>
      </c>
      <c r="D91" s="155">
        <f>'Pay App 1'!D91</f>
        <v>0</v>
      </c>
      <c r="E91" s="155">
        <f>VLOOKUP(B91,'Graph Data'!$O$2:$BX$88,41,FALSE)</f>
        <v>0</v>
      </c>
      <c r="F91" s="155">
        <f>IFERROR(E91+'Pay App 38'!F91,"")</f>
        <v>0</v>
      </c>
      <c r="G91" s="155">
        <f>SUM('Pay App 1:Pay App 38'!H91)</f>
        <v>0</v>
      </c>
      <c r="H91" s="154"/>
      <c r="I91" s="155">
        <f t="shared" si="0"/>
        <v>0</v>
      </c>
      <c r="J91" s="156">
        <f t="shared" si="1"/>
        <v>0</v>
      </c>
      <c r="K91" s="155">
        <f t="shared" si="2"/>
        <v>0</v>
      </c>
      <c r="L91" s="155" t="str">
        <f>IF(AND('Summary Sheet'!$E$23="No",$H$33&gt;0,H91&gt;=1),"",IF(AND('Summary Sheet'!$E$23="Yes",H91&lt;&gt;""),H91*'Summary Sheet'!$G$23,""))</f>
        <v/>
      </c>
      <c r="M91" s="154"/>
      <c r="N91" s="155">
        <f>SUM('Pay App 1:Pay App 39'!L91)+SUM('Pay App 1:Pay App 39'!M91)</f>
        <v>0</v>
      </c>
    </row>
    <row r="92" spans="1:14" ht="11.25" customHeight="1" x14ac:dyDescent="0.25">
      <c r="A92" s="152">
        <v>36</v>
      </c>
      <c r="B92" s="174" t="str">
        <f>'Pay App 1'!B92</f>
        <v>07 90 00</v>
      </c>
      <c r="C92" s="179" t="str">
        <f>'Pay App 1'!C92</f>
        <v>Joint Sealants</v>
      </c>
      <c r="D92" s="155">
        <f>'Pay App 1'!D92</f>
        <v>0</v>
      </c>
      <c r="E92" s="155">
        <f>VLOOKUP(B92,'Graph Data'!$O$2:$BX$88,41,FALSE)</f>
        <v>0</v>
      </c>
      <c r="F92" s="155">
        <f>IFERROR(E92+'Pay App 38'!F92,"")</f>
        <v>0</v>
      </c>
      <c r="G92" s="155">
        <f>SUM('Pay App 1:Pay App 38'!H92)</f>
        <v>0</v>
      </c>
      <c r="H92" s="154"/>
      <c r="I92" s="155">
        <f t="shared" si="0"/>
        <v>0</v>
      </c>
      <c r="J92" s="156">
        <f t="shared" si="1"/>
        <v>0</v>
      </c>
      <c r="K92" s="155">
        <f t="shared" si="2"/>
        <v>0</v>
      </c>
      <c r="L92" s="155" t="str">
        <f>IF(AND('Summary Sheet'!$E$23="No",$H$33&gt;0,H92&gt;=1),"",IF(AND('Summary Sheet'!$E$23="Yes",H92&lt;&gt;""),H92*'Summary Sheet'!$G$23,""))</f>
        <v/>
      </c>
      <c r="M92" s="154"/>
      <c r="N92" s="155">
        <f>SUM('Pay App 1:Pay App 39'!L92)+SUM('Pay App 1:Pay App 39'!M92)</f>
        <v>0</v>
      </c>
    </row>
    <row r="93" spans="1:14" ht="11.25" customHeight="1" x14ac:dyDescent="0.25">
      <c r="A93" s="152">
        <v>37</v>
      </c>
      <c r="B93" s="174" t="str">
        <f>'Pay App 1'!B93</f>
        <v>07 95 00</v>
      </c>
      <c r="C93" s="179" t="str">
        <f>'Pay App 1'!C93</f>
        <v>Expansion Joints</v>
      </c>
      <c r="D93" s="155">
        <f>'Pay App 1'!D93</f>
        <v>0</v>
      </c>
      <c r="E93" s="155">
        <f>VLOOKUP(B93,'Graph Data'!$O$2:$BX$88,41,FALSE)</f>
        <v>0</v>
      </c>
      <c r="F93" s="155">
        <f>IFERROR(E93+'Pay App 38'!F93,"")</f>
        <v>0</v>
      </c>
      <c r="G93" s="155">
        <f>SUM('Pay App 1:Pay App 38'!H93)</f>
        <v>0</v>
      </c>
      <c r="H93" s="154"/>
      <c r="I93" s="155">
        <f t="shared" si="0"/>
        <v>0</v>
      </c>
      <c r="J93" s="156">
        <f t="shared" si="1"/>
        <v>0</v>
      </c>
      <c r="K93" s="155">
        <f t="shared" si="2"/>
        <v>0</v>
      </c>
      <c r="L93" s="155" t="str">
        <f>IF(AND('Summary Sheet'!$E$23="No",$H$33&gt;0,H93&gt;=1),"",IF(AND('Summary Sheet'!$E$23="Yes",H93&lt;&gt;""),H93*'Summary Sheet'!$G$23,""))</f>
        <v/>
      </c>
      <c r="M93" s="154"/>
      <c r="N93" s="155">
        <f>SUM('Pay App 1:Pay App 39'!L93)+SUM('Pay App 1:Pay App 39'!M93)</f>
        <v>0</v>
      </c>
    </row>
    <row r="94" spans="1:14" ht="11.25" customHeight="1" x14ac:dyDescent="0.25">
      <c r="A94" s="152">
        <v>38</v>
      </c>
      <c r="B94" s="175" t="str">
        <f>'Pay App 1'!B94</f>
        <v>08 10 00</v>
      </c>
      <c r="C94" s="180" t="str">
        <f>'Pay App 1'!C94</f>
        <v>Doors, Frames &amp; Hardware</v>
      </c>
      <c r="D94" s="155">
        <f>'Pay App 1'!D94</f>
        <v>0</v>
      </c>
      <c r="E94" s="155">
        <f>VLOOKUP(B94,'Graph Data'!$O$2:$BX$88,41,FALSE)</f>
        <v>0</v>
      </c>
      <c r="F94" s="155">
        <f>IFERROR(E94+'Pay App 38'!F94,"")</f>
        <v>0</v>
      </c>
      <c r="G94" s="155">
        <f>SUM('Pay App 1:Pay App 38'!H94)</f>
        <v>0</v>
      </c>
      <c r="H94" s="154"/>
      <c r="I94" s="155">
        <f t="shared" si="0"/>
        <v>0</v>
      </c>
      <c r="J94" s="156">
        <f t="shared" si="1"/>
        <v>0</v>
      </c>
      <c r="K94" s="155">
        <f t="shared" si="2"/>
        <v>0</v>
      </c>
      <c r="L94" s="155" t="str">
        <f>IF(AND('Summary Sheet'!$E$23="No",$H$33&gt;0,H94&gt;=1),"",IF(AND('Summary Sheet'!$E$23="Yes",H94&lt;&gt;""),H94*'Summary Sheet'!$G$23,""))</f>
        <v/>
      </c>
      <c r="M94" s="154"/>
      <c r="N94" s="155">
        <f>SUM('Pay App 1:Pay App 39'!L94)+SUM('Pay App 1:Pay App 39'!M94)</f>
        <v>0</v>
      </c>
    </row>
    <row r="95" spans="1:14" ht="11.25" customHeight="1" x14ac:dyDescent="0.25">
      <c r="A95" s="152">
        <v>39</v>
      </c>
      <c r="B95" s="175" t="str">
        <f>'Pay App 1'!B95</f>
        <v>08 30 00</v>
      </c>
      <c r="C95" s="180" t="str">
        <f>'Pay App 1'!C95</f>
        <v>Specialty Doors</v>
      </c>
      <c r="D95" s="155">
        <f>'Pay App 1'!D95</f>
        <v>0</v>
      </c>
      <c r="E95" s="155">
        <f>VLOOKUP(B95,'Graph Data'!$O$2:$BX$88,41,FALSE)</f>
        <v>0</v>
      </c>
      <c r="F95" s="155">
        <f>IFERROR(E95+'Pay App 38'!F95,"")</f>
        <v>0</v>
      </c>
      <c r="G95" s="155">
        <f>SUM('Pay App 1:Pay App 38'!H95)</f>
        <v>0</v>
      </c>
      <c r="H95" s="154"/>
      <c r="I95" s="155">
        <f t="shared" si="0"/>
        <v>0</v>
      </c>
      <c r="J95" s="156">
        <f t="shared" si="1"/>
        <v>0</v>
      </c>
      <c r="K95" s="155">
        <f t="shared" si="2"/>
        <v>0</v>
      </c>
      <c r="L95" s="155" t="str">
        <f>IF(AND('Summary Sheet'!$E$23="No",$H$33&gt;0,H95&gt;=1),"",IF(AND('Summary Sheet'!$E$23="Yes",H95&lt;&gt;""),H95*'Summary Sheet'!$G$23,""))</f>
        <v/>
      </c>
      <c r="M95" s="154"/>
      <c r="N95" s="155">
        <f>SUM('Pay App 1:Pay App 39'!L95)+SUM('Pay App 1:Pay App 39'!M95)</f>
        <v>0</v>
      </c>
    </row>
    <row r="96" spans="1:14" ht="11.25" customHeight="1" x14ac:dyDescent="0.25">
      <c r="A96" s="152">
        <v>40</v>
      </c>
      <c r="B96" s="175" t="str">
        <f>'Pay App 1'!B96</f>
        <v>08 33 00</v>
      </c>
      <c r="C96" s="180" t="str">
        <f>'Pay App 1'!C96</f>
        <v>Overhead Doors/Coiling Doors</v>
      </c>
      <c r="D96" s="155">
        <f>'Pay App 1'!D96</f>
        <v>0</v>
      </c>
      <c r="E96" s="155">
        <f>VLOOKUP(B96,'Graph Data'!$O$2:$BX$88,41,FALSE)</f>
        <v>0</v>
      </c>
      <c r="F96" s="155">
        <f>IFERROR(E96+'Pay App 38'!F96,"")</f>
        <v>0</v>
      </c>
      <c r="G96" s="155">
        <f>SUM('Pay App 1:Pay App 38'!H96)</f>
        <v>0</v>
      </c>
      <c r="H96" s="154"/>
      <c r="I96" s="155">
        <f t="shared" si="0"/>
        <v>0</v>
      </c>
      <c r="J96" s="156">
        <f t="shared" si="1"/>
        <v>0</v>
      </c>
      <c r="K96" s="155">
        <f t="shared" si="2"/>
        <v>0</v>
      </c>
      <c r="L96" s="155" t="str">
        <f>IF(AND('Summary Sheet'!$E$23="No",$H$33&gt;0,H96&gt;=1),"",IF(AND('Summary Sheet'!$E$23="Yes",H96&lt;&gt;""),H96*'Summary Sheet'!$G$23,""))</f>
        <v/>
      </c>
      <c r="M96" s="154"/>
      <c r="N96" s="155">
        <f>SUM('Pay App 1:Pay App 39'!L96)+SUM('Pay App 1:Pay App 39'!M96)</f>
        <v>0</v>
      </c>
    </row>
    <row r="97" spans="1:15" ht="11.25" customHeight="1" x14ac:dyDescent="0.25">
      <c r="A97" s="152">
        <v>41</v>
      </c>
      <c r="B97" s="175" t="str">
        <f>'Pay App 1'!B97</f>
        <v>08 40 00</v>
      </c>
      <c r="C97" s="180" t="str">
        <f>'Pay App 1'!C97</f>
        <v>Curtain Wall, Glass &amp; Glazing</v>
      </c>
      <c r="D97" s="155">
        <f>'Pay App 1'!D97</f>
        <v>0</v>
      </c>
      <c r="E97" s="155">
        <f>VLOOKUP(B97,'Graph Data'!$O$2:$BX$88,41,FALSE)</f>
        <v>0</v>
      </c>
      <c r="F97" s="155">
        <f>IFERROR(E97+'Pay App 38'!F97,"")</f>
        <v>0</v>
      </c>
      <c r="G97" s="155">
        <f>SUM('Pay App 1:Pay App 38'!H97)</f>
        <v>0</v>
      </c>
      <c r="H97" s="154"/>
      <c r="I97" s="155">
        <f t="shared" si="0"/>
        <v>0</v>
      </c>
      <c r="J97" s="156">
        <f t="shared" si="1"/>
        <v>0</v>
      </c>
      <c r="K97" s="155">
        <f t="shared" si="2"/>
        <v>0</v>
      </c>
      <c r="L97" s="155" t="str">
        <f>IF(AND('Summary Sheet'!$E$23="No",$H$33&gt;0,H97&gt;=1),"",IF(AND('Summary Sheet'!$E$23="Yes",H97&lt;&gt;""),H97*'Summary Sheet'!$G$23,""))</f>
        <v/>
      </c>
      <c r="M97" s="154"/>
      <c r="N97" s="155">
        <f>SUM('Pay App 1:Pay App 39'!L97)+SUM('Pay App 1:Pay App 39'!M97)</f>
        <v>0</v>
      </c>
    </row>
    <row r="98" spans="1:15" ht="10.9" customHeight="1" x14ac:dyDescent="0.25">
      <c r="A98" s="152">
        <v>42</v>
      </c>
      <c r="B98" s="175" t="str">
        <f>'Pay App 1'!B98</f>
        <v>08 60 00</v>
      </c>
      <c r="C98" s="180" t="str">
        <f>'Pay App 1'!C98</f>
        <v>Skylights</v>
      </c>
      <c r="D98" s="155">
        <f>'Pay App 1'!D98</f>
        <v>0</v>
      </c>
      <c r="E98" s="155">
        <f>VLOOKUP(B98,'Graph Data'!$O$2:$BX$88,41,FALSE)</f>
        <v>0</v>
      </c>
      <c r="F98" s="155">
        <f>IFERROR(E98+'Pay App 38'!F98,"")</f>
        <v>0</v>
      </c>
      <c r="G98" s="155">
        <f>SUM('Pay App 1:Pay App 38'!H98)</f>
        <v>0</v>
      </c>
      <c r="H98" s="154"/>
      <c r="I98" s="155">
        <f t="shared" si="0"/>
        <v>0</v>
      </c>
      <c r="J98" s="156">
        <f t="shared" si="1"/>
        <v>0</v>
      </c>
      <c r="K98" s="155">
        <f t="shared" si="2"/>
        <v>0</v>
      </c>
      <c r="L98" s="155" t="str">
        <f>IF(AND('Summary Sheet'!$E$23="No",$H$33&gt;0,H98&gt;=1),"",IF(AND('Summary Sheet'!$E$23="Yes",H98&lt;&gt;""),H98*'Summary Sheet'!$G$23,""))</f>
        <v/>
      </c>
      <c r="M98" s="154"/>
      <c r="N98" s="155">
        <f>SUM('Pay App 1:Pay App 39'!L98)+SUM('Pay App 1:Pay App 39'!M98)</f>
        <v>0</v>
      </c>
    </row>
    <row r="99" spans="1:15" ht="10.9" customHeight="1" x14ac:dyDescent="0.25">
      <c r="A99" s="152">
        <v>43</v>
      </c>
      <c r="B99" s="175" t="str">
        <f>'Pay App 1'!B99</f>
        <v>08 90 00</v>
      </c>
      <c r="C99" s="180" t="str">
        <f>'Pay App 1'!C99</f>
        <v>Louvers &amp; Vents</v>
      </c>
      <c r="D99" s="155">
        <f>'Pay App 1'!D99</f>
        <v>0</v>
      </c>
      <c r="E99" s="155">
        <f>VLOOKUP(B99,'Graph Data'!$O$2:$BX$88,41,FALSE)</f>
        <v>0</v>
      </c>
      <c r="F99" s="155">
        <f>IFERROR(E99+'Pay App 38'!F99,"")</f>
        <v>0</v>
      </c>
      <c r="G99" s="155">
        <f>SUM('Pay App 1:Pay App 38'!H99)</f>
        <v>0</v>
      </c>
      <c r="H99" s="154"/>
      <c r="I99" s="155">
        <f t="shared" si="0"/>
        <v>0</v>
      </c>
      <c r="J99" s="156">
        <f t="shared" si="1"/>
        <v>0</v>
      </c>
      <c r="K99" s="155">
        <f t="shared" si="2"/>
        <v>0</v>
      </c>
      <c r="L99" s="155" t="str">
        <f>IF(AND('Summary Sheet'!$E$23="No",$H$33&gt;0,H99&gt;=1),"",IF(AND('Summary Sheet'!$E$23="Yes",H99&lt;&gt;""),H99*'Summary Sheet'!$G$23,""))</f>
        <v/>
      </c>
      <c r="M99" s="154"/>
      <c r="N99" s="155">
        <f>SUM('Pay App 1:Pay App 39'!L99)+SUM('Pay App 1:Pay App 39'!M99)</f>
        <v>0</v>
      </c>
    </row>
    <row r="100" spans="1:15" ht="11.25" customHeight="1" x14ac:dyDescent="0.25">
      <c r="A100" s="153">
        <v>44</v>
      </c>
      <c r="B100" s="176" t="str">
        <f>'Pay App 1'!B100</f>
        <v>09 20 00</v>
      </c>
      <c r="C100" s="181" t="str">
        <f>'Pay App 1'!C100</f>
        <v>Gypsum Board Systems</v>
      </c>
      <c r="D100" s="155">
        <f>'Pay App 1'!D100</f>
        <v>0</v>
      </c>
      <c r="E100" s="155">
        <f>VLOOKUP(B100,'Graph Data'!$O$2:$BX$88,41,FALSE)</f>
        <v>0</v>
      </c>
      <c r="F100" s="155">
        <f>IFERROR(E100+'Pay App 38'!F100,"")</f>
        <v>0</v>
      </c>
      <c r="G100" s="155">
        <f>SUM('Pay App 1:Pay App 38'!H100)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39'!L100)+SUM('Pay App 1:Pay App 39'!M100)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39.200000000000003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Data'!$O$2:$BX$88,41,FALSE)</f>
        <v>0</v>
      </c>
      <c r="F106" s="155">
        <f>IFERROR(E106+'Pay App 38'!F106,"")</f>
        <v>0</v>
      </c>
      <c r="G106" s="155">
        <f>SUM('Pay App 1:Pay App 38'!H106)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39'!L106)+SUM('Pay App 1:Pay App 39'!M106)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Data'!$O$2:$BX$88,41,FALSE)</f>
        <v>0</v>
      </c>
      <c r="F107" s="155">
        <f>IFERROR(E107+'Pay App 38'!F107,"")</f>
        <v>0</v>
      </c>
      <c r="G107" s="155">
        <f>SUM('Pay App 1:Pay App 38'!H107)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39'!L107)+SUM('Pay App 1:Pay App 39'!M107)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Data'!$O$2:$BX$88,41,FALSE)</f>
        <v>0</v>
      </c>
      <c r="F108" s="155">
        <f>IFERROR(E108+'Pay App 38'!F108,"")</f>
        <v>0</v>
      </c>
      <c r="G108" s="155">
        <f>SUM('Pay App 1:Pay App 38'!H108)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39'!L108)+SUM('Pay App 1:Pay App 39'!M108)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Data'!$O$2:$BX$88,41,FALSE)</f>
        <v>0</v>
      </c>
      <c r="F109" s="155">
        <f>IFERROR(E109+'Pay App 38'!F109,"")</f>
        <v>0</v>
      </c>
      <c r="G109" s="155">
        <f>SUM('Pay App 1:Pay App 38'!H109)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39'!L109)+SUM('Pay App 1:Pay App 39'!M109)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Data'!$O$2:$BX$88,41,FALSE)</f>
        <v>0</v>
      </c>
      <c r="F110" s="155">
        <f>IFERROR(E110+'Pay App 38'!F110,"")</f>
        <v>0</v>
      </c>
      <c r="G110" s="155">
        <f>SUM('Pay App 1:Pay App 38'!H110)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39'!L110)+SUM('Pay App 1:Pay App 39'!M110)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Data'!$O$2:$BX$88,41,FALSE)</f>
        <v>0</v>
      </c>
      <c r="F111" s="155">
        <f>IFERROR(E111+'Pay App 38'!F111,"")</f>
        <v>0</v>
      </c>
      <c r="G111" s="155">
        <f>SUM('Pay App 1:Pay App 38'!H111)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39'!L111)+SUM('Pay App 1:Pay App 39'!M111)</f>
        <v>0</v>
      </c>
    </row>
    <row r="112" spans="1:15" ht="11.25" customHeight="1" x14ac:dyDescent="0.25">
      <c r="A112" s="152">
        <f t="shared" si="3"/>
        <v>51</v>
      </c>
      <c r="B112" s="148" t="str">
        <f>'Pay App 1'!B112</f>
        <v>09 90 00</v>
      </c>
      <c r="C112" s="143" t="str">
        <f>'Pay App 1'!C112</f>
        <v>Painting</v>
      </c>
      <c r="D112" s="155">
        <f>'Pay App 1'!D112</f>
        <v>0</v>
      </c>
      <c r="E112" s="155">
        <f>VLOOKUP(B112,'Graph Data'!$O$2:$BX$88,41,FALSE)</f>
        <v>0</v>
      </c>
      <c r="F112" s="155">
        <f>IFERROR(E112+'Pay App 38'!F112,"")</f>
        <v>0</v>
      </c>
      <c r="G112" s="155">
        <f>SUM('Pay App 1:Pay App 38'!H112)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39'!L112)+SUM('Pay App 1:Pay App 39'!M112)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Data'!$O$2:$BX$88,41,FALSE)</f>
        <v>0</v>
      </c>
      <c r="F113" s="155">
        <f>IFERROR(E113+'Pay App 38'!F113,"")</f>
        <v>0</v>
      </c>
      <c r="G113" s="155">
        <f>SUM('Pay App 1:Pay App 38'!H113)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39'!L113)+SUM('Pay App 1:Pay App 39'!M113)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Data'!$O$2:$BX$88,41,FALSE)</f>
        <v>0</v>
      </c>
      <c r="F114" s="155">
        <f>IFERROR(E114+'Pay App 38'!F114,"")</f>
        <v>0</v>
      </c>
      <c r="G114" s="155">
        <f>SUM('Pay App 1:Pay App 38'!H114)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39'!L114)+SUM('Pay App 1:Pay App 39'!M114)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Data'!$O$2:$BX$88,41,FALSE)</f>
        <v>0</v>
      </c>
      <c r="F115" s="155">
        <f>IFERROR(E115+'Pay App 38'!F115,"")</f>
        <v>0</v>
      </c>
      <c r="G115" s="155">
        <f>SUM('Pay App 1:Pay App 38'!H115)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39'!L115)+SUM('Pay App 1:Pay App 39'!M115)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Data'!$O$2:$BX$88,41,FALSE)</f>
        <v>0</v>
      </c>
      <c r="F116" s="155">
        <f>IFERROR(E116+'Pay App 38'!F116,"")</f>
        <v>0</v>
      </c>
      <c r="G116" s="155">
        <f>SUM('Pay App 1:Pay App 38'!H116)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39'!L116)+SUM('Pay App 1:Pay App 39'!M116)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Data'!$O$2:$BX$88,41,FALSE)</f>
        <v>0</v>
      </c>
      <c r="F117" s="155">
        <f>IFERROR(E117+'Pay App 38'!F117,"")</f>
        <v>0</v>
      </c>
      <c r="G117" s="155">
        <f>SUM('Pay App 1:Pay App 38'!H117)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39'!L117)+SUM('Pay App 1:Pay App 39'!M117)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Data'!$O$2:$BX$88,41,FALSE)</f>
        <v>0</v>
      </c>
      <c r="F118" s="155">
        <f>IFERROR(E118+'Pay App 38'!F118,"")</f>
        <v>0</v>
      </c>
      <c r="G118" s="155">
        <f>SUM('Pay App 1:Pay App 38'!H118)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39'!L118)+SUM('Pay App 1:Pay App 39'!M118)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Data'!$O$2:$BX$88,41,FALSE)</f>
        <v>0</v>
      </c>
      <c r="F119" s="155">
        <f>IFERROR(E119+'Pay App 38'!F119,"")</f>
        <v>0</v>
      </c>
      <c r="G119" s="155">
        <f>SUM('Pay App 1:Pay App 38'!H119)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39'!L119)+SUM('Pay App 1:Pay App 39'!M119)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Data'!$O$2:$BX$88,41,FALSE)</f>
        <v>0</v>
      </c>
      <c r="F120" s="155">
        <f>IFERROR(E120+'Pay App 38'!F120,"")</f>
        <v>0</v>
      </c>
      <c r="G120" s="155">
        <f>SUM('Pay App 1:Pay App 38'!H120)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39'!L120)+SUM('Pay App 1:Pay App 39'!M120)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Data'!$O$2:$BX$88,41,FALSE)</f>
        <v>0</v>
      </c>
      <c r="F121" s="155">
        <f>IFERROR(E121+'Pay App 38'!F121,"")</f>
        <v>0</v>
      </c>
      <c r="G121" s="155">
        <f>SUM('Pay App 1:Pay App 38'!H121)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39'!L121)+SUM('Pay App 1:Pay App 39'!M121)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Data'!$O$2:$BX$88,41,FALSE)</f>
        <v>0</v>
      </c>
      <c r="F122" s="155">
        <f>IFERROR(E122+'Pay App 38'!F122,"")</f>
        <v>0</v>
      </c>
      <c r="G122" s="155">
        <f>SUM('Pay App 1:Pay App 38'!H122)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39'!L122)+SUM('Pay App 1:Pay App 39'!M122)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Data'!$O$2:$BX$88,41,FALSE)</f>
        <v>0</v>
      </c>
      <c r="F123" s="155">
        <f>IFERROR(E123+'Pay App 38'!F123,"")</f>
        <v>0</v>
      </c>
      <c r="G123" s="155">
        <f>SUM('Pay App 1:Pay App 38'!H123)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39'!L123)+SUM('Pay App 1:Pay App 39'!M123)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Data'!$O$2:$BX$88,41,FALSE)</f>
        <v>0</v>
      </c>
      <c r="F124" s="155">
        <f>IFERROR(E124+'Pay App 38'!F124,"")</f>
        <v>0</v>
      </c>
      <c r="G124" s="155">
        <f>SUM('Pay App 1:Pay App 38'!H124)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39'!L124)+SUM('Pay App 1:Pay App 39'!M124)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Data'!$O$2:$BX$88,41,FALSE)</f>
        <v>0</v>
      </c>
      <c r="F125" s="155">
        <f>IFERROR(E125+'Pay App 38'!F125,"")</f>
        <v>0</v>
      </c>
      <c r="G125" s="155">
        <f>SUM('Pay App 1:Pay App 38'!H125)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39'!L125)+SUM('Pay App 1:Pay App 39'!M125)</f>
        <v>0</v>
      </c>
    </row>
    <row r="126" spans="1:14" ht="11.25" customHeight="1" x14ac:dyDescent="0.25">
      <c r="A126" s="152">
        <f t="shared" si="3"/>
        <v>65</v>
      </c>
      <c r="B126" s="188" t="str">
        <f>'Pay App 1'!B126</f>
        <v>14 20 00</v>
      </c>
      <c r="C126" s="194" t="str">
        <f>'Pay App 1'!C126</f>
        <v>Elevator</v>
      </c>
      <c r="D126" s="155">
        <f>'Pay App 1'!D126</f>
        <v>0</v>
      </c>
      <c r="E126" s="155">
        <f>VLOOKUP(B126,'Graph Data'!$O$2:$BX$88,41,FALSE)</f>
        <v>0</v>
      </c>
      <c r="F126" s="155">
        <f>IFERROR(E126+'Pay App 38'!F126,"")</f>
        <v>0</v>
      </c>
      <c r="G126" s="155">
        <f>SUM('Pay App 1:Pay App 38'!H126)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39'!L126)+SUM('Pay App 1:Pay App 39'!M126)</f>
        <v>0</v>
      </c>
    </row>
    <row r="127" spans="1:14" ht="11.25" customHeight="1" x14ac:dyDescent="0.25">
      <c r="A127" s="152">
        <f t="shared" si="3"/>
        <v>66</v>
      </c>
      <c r="B127" s="188" t="str">
        <f>'Pay App 1'!B127</f>
        <v>14 40 00</v>
      </c>
      <c r="C127" s="194" t="str">
        <f>'Pay App 1'!C127</f>
        <v>Lifts</v>
      </c>
      <c r="D127" s="155">
        <f>'Pay App 1'!D127</f>
        <v>0</v>
      </c>
      <c r="E127" s="155">
        <f>VLOOKUP(B127,'Graph Data'!$O$2:$BX$88,41,FALSE)</f>
        <v>0</v>
      </c>
      <c r="F127" s="155">
        <f>IFERROR(E127+'Pay App 38'!F127,"")</f>
        <v>0</v>
      </c>
      <c r="G127" s="155">
        <f>SUM('Pay App 1:Pay App 38'!H127)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39'!L127)+SUM('Pay App 1:Pay App 39'!M127)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Data'!$O$2:$BX$88,41,FALSE)</f>
        <v>0</v>
      </c>
      <c r="F128" s="155">
        <f>IFERROR(E128+'Pay App 38'!F128,"")</f>
        <v>0</v>
      </c>
      <c r="G128" s="155">
        <f>SUM('Pay App 1:Pay App 38'!H128)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39'!L128)+SUM('Pay App 1:Pay App 39'!M128)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Data'!$O$2:$BX$88,41,FALSE)</f>
        <v>0</v>
      </c>
      <c r="F129" s="155">
        <f>IFERROR(E129+'Pay App 38'!F129,"")</f>
        <v>0</v>
      </c>
      <c r="G129" s="155">
        <f>SUM('Pay App 1:Pay App 38'!H129)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39'!L129)+SUM('Pay App 1:Pay App 39'!M129)</f>
        <v>0</v>
      </c>
    </row>
    <row r="130" spans="1:14" ht="11.25" customHeight="1" x14ac:dyDescent="0.25">
      <c r="A130" s="152">
        <f t="shared" si="3"/>
        <v>69</v>
      </c>
      <c r="B130" s="185" t="str">
        <f>'Pay App 1'!B130</f>
        <v>22 00 00</v>
      </c>
      <c r="C130" s="191" t="str">
        <f>'Pay App 1'!C130</f>
        <v>Plumbing</v>
      </c>
      <c r="D130" s="155">
        <f>'Pay App 1'!D130</f>
        <v>0</v>
      </c>
      <c r="E130" s="155">
        <f>VLOOKUP(B130,'Graph Data'!$O$2:$BX$88,41,FALSE)</f>
        <v>0</v>
      </c>
      <c r="F130" s="155">
        <f>IFERROR(E130+'Pay App 38'!F130,"")</f>
        <v>0</v>
      </c>
      <c r="G130" s="155">
        <f>SUM('Pay App 1:Pay App 38'!H130)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39'!L130)+SUM('Pay App 1:Pay App 39'!M130)</f>
        <v>0</v>
      </c>
    </row>
    <row r="131" spans="1:14" ht="11.25" customHeight="1" x14ac:dyDescent="0.25">
      <c r="A131" s="152">
        <f t="shared" si="3"/>
        <v>70</v>
      </c>
      <c r="B131" s="186" t="str">
        <f>'Pay App 1'!B131</f>
        <v>23 00 00</v>
      </c>
      <c r="C131" s="192" t="str">
        <f>'Pay App 1'!C131</f>
        <v>HVAC</v>
      </c>
      <c r="D131" s="155">
        <f>'Pay App 1'!D131</f>
        <v>0</v>
      </c>
      <c r="E131" s="155">
        <f>VLOOKUP(B131,'Graph Data'!$O$2:$BX$88,41,FALSE)</f>
        <v>0</v>
      </c>
      <c r="F131" s="155">
        <f>IFERROR(E131+'Pay App 38'!F131,"")</f>
        <v>0</v>
      </c>
      <c r="G131" s="155">
        <f>SUM('Pay App 1:Pay App 38'!H131)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39'!L131)+SUM('Pay App 1:Pay App 39'!M131)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Data'!$O$2:$BX$88,41,FALSE)</f>
        <v>0</v>
      </c>
      <c r="F132" s="155">
        <f>IFERROR(E132+'Pay App 38'!F132,"")</f>
        <v>0</v>
      </c>
      <c r="G132" s="155">
        <f>SUM('Pay App 1:Pay App 38'!H132)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39'!L132)+SUM('Pay App 1:Pay App 39'!M132)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Data'!$O$2:$BX$88,41,FALSE)</f>
        <v>0</v>
      </c>
      <c r="F133" s="155">
        <f>IFERROR(E133+'Pay App 38'!F133,"")</f>
        <v>0</v>
      </c>
      <c r="G133" s="155">
        <f>SUM('Pay App 1:Pay App 38'!H133)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39'!L133)+SUM('Pay App 1:Pay App 39'!M133)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Data'!$O$2:$BX$88,41,FALSE)</f>
        <v>0</v>
      </c>
      <c r="F134" s="155">
        <f>IFERROR(E134+'Pay App 38'!F134,"")</f>
        <v>0</v>
      </c>
      <c r="G134" s="155">
        <f>SUM('Pay App 1:Pay App 38'!H134)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39'!L134)+SUM('Pay App 1:Pay App 39'!M134)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Data'!$O$2:$BX$88,41,FALSE)</f>
        <v>0</v>
      </c>
      <c r="F135" s="155">
        <f>IFERROR(E135+'Pay App 38'!F135,"")</f>
        <v>0</v>
      </c>
      <c r="G135" s="155">
        <f>SUM('Pay App 1:Pay App 38'!H135)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39'!L135)+SUM('Pay App 1:Pay App 39'!M135)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Data'!$O$2:$BX$88,41,FALSE)</f>
        <v>0</v>
      </c>
      <c r="F136" s="155">
        <f>IFERROR(E136+'Pay App 38'!F136,"")</f>
        <v>0</v>
      </c>
      <c r="G136" s="155">
        <f>SUM('Pay App 1:Pay App 38'!H136)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39'!L136)+SUM('Pay App 1:Pay App 39'!M136)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Data'!$O$2:$BX$88,41,FALSE)</f>
        <v>0</v>
      </c>
      <c r="F137" s="155">
        <f>IFERROR(E137+'Pay App 38'!F137,"")</f>
        <v>0</v>
      </c>
      <c r="G137" s="155">
        <f>SUM('Pay App 1:Pay App 38'!H137)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39'!L137)+SUM('Pay App 1:Pay App 39'!M137)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Data'!$O$2:$BX$88,41,FALSE)</f>
        <v>0</v>
      </c>
      <c r="F138" s="155">
        <f>IFERROR(E138+'Pay App 38'!F138,"")</f>
        <v>0</v>
      </c>
      <c r="G138" s="155">
        <f>SUM('Pay App 1:Pay App 38'!H138)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39'!L138)+SUM('Pay App 1:Pay App 39'!M138)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Data'!$O$2:$BX$88,41,FALSE)</f>
        <v>0</v>
      </c>
      <c r="F139" s="155">
        <f>IFERROR(E139+'Pay App 38'!F139,"")</f>
        <v>0</v>
      </c>
      <c r="G139" s="155">
        <f>SUM('Pay App 1:Pay App 38'!H139)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39'!L139)+SUM('Pay App 1:Pay App 39'!M139)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Data'!$O$2:$BX$88,41,FALSE)</f>
        <v>0</v>
      </c>
      <c r="F140" s="155">
        <f>IFERROR(E140+'Pay App 38'!F140,"")</f>
        <v>0</v>
      </c>
      <c r="G140" s="155">
        <f>SUM('Pay App 1:Pay App 38'!H140)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39'!L140)+SUM('Pay App 1:Pay App 39'!M140)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Data'!$O$2:$BX$88,41,FALSE)</f>
        <v>0</v>
      </c>
      <c r="F141" s="155">
        <f>IFERROR(E141+'Pay App 38'!F141,"")</f>
        <v>0</v>
      </c>
      <c r="G141" s="155">
        <f>SUM('Pay App 1:Pay App 38'!H141)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39'!L141)+SUM('Pay App 1:Pay App 39'!M141)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Data'!$O$2:$BX$88,41,FALSE)</f>
        <v>0</v>
      </c>
      <c r="F142" s="155">
        <f>IFERROR(E142+'Pay App 38'!F142,"")</f>
        <v>0</v>
      </c>
      <c r="G142" s="155">
        <f>SUM('Pay App 1:Pay App 38'!H142)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39'!L142)+SUM('Pay App 1:Pay App 39'!M142)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Data'!$O$2:$BX$88,41,FALSE)</f>
        <v>0</v>
      </c>
      <c r="F143" s="155">
        <f>IFERROR(E143+'Pay App 38'!F143,"")</f>
        <v>0</v>
      </c>
      <c r="G143" s="155">
        <f>SUM('Pay App 1:Pay App 38'!H143)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39'!L143)+SUM('Pay App 1:Pay App 39'!M143)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Data'!$O$2:$BX$88,41,FALSE)</f>
        <v>0</v>
      </c>
      <c r="F144" s="155">
        <f>IFERROR(E144+'Pay App 38'!F144,"")</f>
        <v>0</v>
      </c>
      <c r="G144" s="155">
        <f>SUM('Pay App 1:Pay App 38'!H144)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39'!L144)+SUM('Pay App 1:Pay App 39'!M144)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Data'!$O$2:$BX$88,41,FALSE)</f>
        <v>0</v>
      </c>
      <c r="F145" s="155">
        <f>IFERROR(E145+'Pay App 38'!F145,"")</f>
        <v>0</v>
      </c>
      <c r="G145" s="155">
        <f>SUM('Pay App 1:Pay App 38'!H145)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39'!L145)+SUM('Pay App 1:Pay App 39'!M145)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Data'!$O$2:$BX$88,41,FALSE)</f>
        <v>0</v>
      </c>
      <c r="F146" s="155">
        <f>IFERROR(E146+'Pay App 38'!F146,"")</f>
        <v>0</v>
      </c>
      <c r="G146" s="155">
        <f>SUM('Pay App 1:Pay App 38'!H146)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39'!L146)+SUM('Pay App 1:Pay App 39'!M146)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Data'!$O$2:$BX$88,41,FALSE)</f>
        <v>0</v>
      </c>
      <c r="F147" s="155">
        <f>IFERROR(E147+'Pay App 38'!F147,"")</f>
        <v>0</v>
      </c>
      <c r="G147" s="155">
        <f>SUM('Pay App 1:Pay App 38'!H147)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39'!L147)+SUM('Pay App 1:Pay App 39'!M147)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Data'!$O$2:$BX$88,41,FALSE)</f>
        <v>0</v>
      </c>
      <c r="F148" s="155">
        <f>IFERROR(E148+'Pay App 38'!F148,"")</f>
        <v>0</v>
      </c>
      <c r="G148" s="155">
        <f>SUM('Pay App 1:Pay App 38'!H148)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39'!L148)+SUM('Pay App 1:Pay App 39'!M148)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h5denWAou9YDYsPA+Pm2BDY5WLdMci5YOAtbNF9dK2KUkJ2np4zGUkcjWa58oGpcWO3mKmYGsOKQp0kBTDs/tw==" saltValue="hWNBc7zGyhVy9dOIpb4Rz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41" priority="2" operator="equal">
      <formula>0</formula>
    </cfRule>
  </conditionalFormatting>
  <conditionalFormatting sqref="D106:G148">
    <cfRule type="cellIs" dxfId="240" priority="1" operator="equal">
      <formula>0</formula>
    </cfRule>
  </conditionalFormatting>
  <conditionalFormatting sqref="D10:H10 D12:H14 D19:H21">
    <cfRule type="cellIs" dxfId="239" priority="6" operator="equal">
      <formula>0</formula>
    </cfRule>
  </conditionalFormatting>
  <conditionalFormatting sqref="H51">
    <cfRule type="cellIs" dxfId="238" priority="9" operator="lessThan">
      <formula>0</formula>
    </cfRule>
  </conditionalFormatting>
  <conditionalFormatting sqref="I57:I100 K57:K100 I106:I148 K106:K148 N106:N148">
    <cfRule type="cellIs" dxfId="237" priority="14" operator="equal">
      <formula>0</formula>
    </cfRule>
  </conditionalFormatting>
  <conditionalFormatting sqref="J57:J100 J106:J149">
    <cfRule type="cellIs" dxfId="236" priority="11" operator="greaterThan">
      <formula>1</formula>
    </cfRule>
    <cfRule type="cellIs" dxfId="235" priority="12" operator="equal">
      <formula>0</formula>
    </cfRule>
  </conditionalFormatting>
  <conditionalFormatting sqref="K57:K100 K106:K148">
    <cfRule type="cellIs" dxfId="234" priority="10" operator="lessThan">
      <formula>0</formula>
    </cfRule>
  </conditionalFormatting>
  <conditionalFormatting sqref="M57:M100">
    <cfRule type="cellIs" dxfId="233" priority="13" operator="lessThan">
      <formula>0</formula>
    </cfRule>
  </conditionalFormatting>
  <conditionalFormatting sqref="M106:M148">
    <cfRule type="cellIs" dxfId="232" priority="8" operator="lessThan">
      <formula>0</formula>
    </cfRule>
  </conditionalFormatting>
  <conditionalFormatting sqref="N57:N100">
    <cfRule type="cellIs" dxfId="23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F4185D41-5D0D-4541-AE42-2C266F419B9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39B5DFB-E601-41CB-808F-F2E56A6D8713}">
          <x14:formula1>
            <xm:f>'Graph Data'!$M$74:$M$76</xm:f>
          </x14:formula1>
          <xm:sqref>G17</xm:sqref>
        </x14:dataValidation>
      </x14:dataValidation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9C141-BE77-4A54-8776-3E0F6E101AB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39'!H49)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Data'!$O$2:$BX$88,42,FALSE)</f>
        <v>0</v>
      </c>
      <c r="F57" s="155">
        <f>IFERROR(E57+'Pay App 39'!F57,"")</f>
        <v>0</v>
      </c>
      <c r="G57" s="155">
        <f>SUM('Pay App 1:Pay App 39'!H57)</f>
        <v>0</v>
      </c>
      <c r="H57" s="154"/>
      <c r="I57" s="155">
        <f>G57+H57</f>
        <v>0</v>
      </c>
      <c r="J57" s="156">
        <f>IFERROR(I57/F57,0)</f>
        <v>0</v>
      </c>
      <c r="K57" s="155">
        <f>IFERROR(F57-I57,"")</f>
        <v>0</v>
      </c>
      <c r="L57" s="155" t="str">
        <f>IF(AND('Summary Sheet'!$E$23="No",$H$33&gt;0,H57&gt;=1),"",IF(AND('Summary Sheet'!$E$23="Yes",H57&lt;&gt;""),H57*'Summary Sheet'!$G$23,""))</f>
        <v/>
      </c>
      <c r="M57" s="154"/>
      <c r="N57" s="155">
        <f>SUM('Pay App 1:Pay App 40'!L57)+SUM('Pay App 1:Pay App 40'!M57)</f>
        <v>0</v>
      </c>
    </row>
    <row r="58" spans="1:16" ht="11.25" customHeight="1" x14ac:dyDescent="0.25">
      <c r="A58" s="152">
        <v>2</v>
      </c>
      <c r="B58" s="145" t="str">
        <f>'Pay App 1'!B58</f>
        <v>00 02 00</v>
      </c>
      <c r="C58" s="134" t="str">
        <f>'Pay App 1'!C58</f>
        <v>Preconstruction Services</v>
      </c>
      <c r="D58" s="155">
        <f>'Pay App 1'!D58</f>
        <v>0</v>
      </c>
      <c r="E58" s="155">
        <f>VLOOKUP(B58,'Graph Data'!$O$2:$BX$88,42,FALSE)</f>
        <v>0</v>
      </c>
      <c r="F58" s="155">
        <f>IFERROR(E58+'Pay App 39'!F58,"")</f>
        <v>0</v>
      </c>
      <c r="G58" s="155">
        <f>SUM('Pay App 1:Pay App 39'!H58)</f>
        <v>0</v>
      </c>
      <c r="H58" s="154"/>
      <c r="I58" s="155">
        <f>G58+H58</f>
        <v>0</v>
      </c>
      <c r="J58" s="156">
        <f>IFERROR(I58/F58,0)</f>
        <v>0</v>
      </c>
      <c r="K58" s="155">
        <f>IFERROR(F58-I58,"")</f>
        <v>0</v>
      </c>
      <c r="L58" s="155" t="str">
        <f>IF(AND('Summary Sheet'!$E$23="No",$H$33&gt;0,H58&gt;=1),"",IF(AND('Summary Sheet'!$E$23="Yes",H58&lt;&gt;""),H58*'Summary Sheet'!$G$23,""))</f>
        <v/>
      </c>
      <c r="M58" s="154"/>
      <c r="N58" s="155">
        <f>SUM('Pay App 1:Pay App 40'!L58)+SUM('Pay App 1:Pay App 40'!M58)</f>
        <v>0</v>
      </c>
    </row>
    <row r="59" spans="1:16" ht="11.25" customHeight="1" x14ac:dyDescent="0.25">
      <c r="A59" s="152">
        <v>3</v>
      </c>
      <c r="B59" s="174" t="str">
        <f>'Pay App 1'!B59</f>
        <v>01 00 00</v>
      </c>
      <c r="C59" s="179" t="str">
        <f>'Pay App 1'!C59</f>
        <v>General Conditions/Requirements</v>
      </c>
      <c r="D59" s="155">
        <f>'Pay App 1'!D59</f>
        <v>0</v>
      </c>
      <c r="E59" s="155">
        <f>VLOOKUP(B59,'Graph Data'!$O$2:$BX$88,42,FALSE)</f>
        <v>0</v>
      </c>
      <c r="F59" s="155">
        <f>IFERROR(E59+'Pay App 39'!F59,"")</f>
        <v>0</v>
      </c>
      <c r="G59" s="155">
        <f>SUM('Pay App 1:Pay App 39'!H59)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40'!L59)+SUM('Pay App 1:Pay App 40'!M59)</f>
        <v>0</v>
      </c>
    </row>
    <row r="60" spans="1:16" ht="11.25" customHeight="1" x14ac:dyDescent="0.25">
      <c r="A60" s="152">
        <v>4</v>
      </c>
      <c r="B60" s="174" t="str">
        <f>'Pay App 1'!B60</f>
        <v>01 13 41</v>
      </c>
      <c r="C60" s="179" t="str">
        <f>'Pay App 1'!C60</f>
        <v>Temp. Scaffolding and Platforms</v>
      </c>
      <c r="D60" s="155">
        <f>'Pay App 1'!D60</f>
        <v>0</v>
      </c>
      <c r="E60" s="155">
        <f>VLOOKUP(B60,'Graph Data'!$O$2:$BX$88,42,FALSE)</f>
        <v>0</v>
      </c>
      <c r="F60" s="155">
        <f>IFERROR(E60+'Pay App 39'!F60,"")</f>
        <v>0</v>
      </c>
      <c r="G60" s="155">
        <f>SUM('Pay App 1:Pay App 39'!H60)</f>
        <v>0</v>
      </c>
      <c r="H60" s="154"/>
      <c r="I60" s="155">
        <f t="shared" si="0"/>
        <v>0</v>
      </c>
      <c r="J60" s="156">
        <f t="shared" si="1"/>
        <v>0</v>
      </c>
      <c r="K60" s="155">
        <f t="shared" si="2"/>
        <v>0</v>
      </c>
      <c r="L60" s="155" t="str">
        <f>IF(AND('Summary Sheet'!$E$23="No",$H$33&gt;0,H60&gt;=1),"",IF(AND('Summary Sheet'!$E$23="Yes",H60&lt;&gt;""),H60*'Summary Sheet'!$G$23,""))</f>
        <v/>
      </c>
      <c r="M60" s="154"/>
      <c r="N60" s="155">
        <f>SUM('Pay App 1:Pay App 40'!L60)+SUM('Pay App 1:Pay App 40'!M60)</f>
        <v>0</v>
      </c>
    </row>
    <row r="61" spans="1:16" ht="11.25" customHeight="1" x14ac:dyDescent="0.25">
      <c r="A61" s="152">
        <v>5</v>
      </c>
      <c r="B61" s="174" t="str">
        <f>'Pay App 1'!B61</f>
        <v>01 13 60</v>
      </c>
      <c r="C61" s="179" t="str">
        <f>'Pay App 1'!C61</f>
        <v>SWPPP</v>
      </c>
      <c r="D61" s="155">
        <f>'Pay App 1'!D61</f>
        <v>0</v>
      </c>
      <c r="E61" s="155">
        <f>VLOOKUP(B61,'Graph Data'!$O$2:$BX$88,42,FALSE)</f>
        <v>0</v>
      </c>
      <c r="F61" s="155">
        <f>IFERROR(E61+'Pay App 39'!F61,"")</f>
        <v>0</v>
      </c>
      <c r="G61" s="155">
        <f>SUM('Pay App 1:Pay App 39'!H61)</f>
        <v>0</v>
      </c>
      <c r="H61" s="154"/>
      <c r="I61" s="155">
        <f t="shared" si="0"/>
        <v>0</v>
      </c>
      <c r="J61" s="156">
        <f t="shared" si="1"/>
        <v>0</v>
      </c>
      <c r="K61" s="155">
        <f t="shared" si="2"/>
        <v>0</v>
      </c>
      <c r="L61" s="155" t="str">
        <f>IF(AND('Summary Sheet'!$E$23="No",$H$33&gt;0,H61&gt;=1),"",IF(AND('Summary Sheet'!$E$23="Yes",H61&lt;&gt;""),H61*'Summary Sheet'!$G$23,""))</f>
        <v/>
      </c>
      <c r="M61" s="154"/>
      <c r="N61" s="155">
        <f>SUM('Pay App 1:Pay App 40'!L61)+SUM('Pay App 1:Pay App 40'!M61)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Data'!$O$2:$BX$88,42,FALSE)</f>
        <v>0</v>
      </c>
      <c r="F62" s="155">
        <f>IFERROR(E62+'Pay App 39'!F62,"")</f>
        <v>0</v>
      </c>
      <c r="G62" s="155">
        <f>SUM('Pay App 1:Pay App 39'!H62)</f>
        <v>0</v>
      </c>
      <c r="H62" s="154"/>
      <c r="I62" s="155">
        <f t="shared" si="0"/>
        <v>0</v>
      </c>
      <c r="J62" s="156">
        <f t="shared" si="1"/>
        <v>0</v>
      </c>
      <c r="K62" s="155">
        <f t="shared" si="2"/>
        <v>0</v>
      </c>
      <c r="L62" s="155" t="str">
        <f>IF(AND('Summary Sheet'!$E$23="No",$H$33&gt;0,H62&gt;=1),"",IF(AND('Summary Sheet'!$E$23="Yes",H62&lt;&gt;""),H62*'Summary Sheet'!$G$23,""))</f>
        <v/>
      </c>
      <c r="M62" s="154"/>
      <c r="N62" s="155">
        <f>SUM('Pay App 1:Pay App 40'!L62)+SUM('Pay App 1:Pay App 40'!M62)</f>
        <v>0</v>
      </c>
    </row>
    <row r="63" spans="1:16" ht="11.25" customHeight="1" x14ac:dyDescent="0.25">
      <c r="A63" s="152">
        <v>7</v>
      </c>
      <c r="B63" s="174" t="str">
        <f>'Pay App 1'!B63</f>
        <v>01 31 00</v>
      </c>
      <c r="C63" s="179" t="str">
        <f>'Pay App 1'!C63</f>
        <v>Contractor's Supervision</v>
      </c>
      <c r="D63" s="155">
        <f>'Pay App 1'!D63</f>
        <v>0</v>
      </c>
      <c r="E63" s="155">
        <f>VLOOKUP(B63,'Graph Data'!$O$2:$BX$88,42,FALSE)</f>
        <v>0</v>
      </c>
      <c r="F63" s="155">
        <f>IFERROR(E63+'Pay App 39'!F63,"")</f>
        <v>0</v>
      </c>
      <c r="G63" s="155">
        <f>SUM('Pay App 1:Pay App 39'!H63)</f>
        <v>0</v>
      </c>
      <c r="H63" s="154"/>
      <c r="I63" s="155">
        <f t="shared" si="0"/>
        <v>0</v>
      </c>
      <c r="J63" s="156">
        <f t="shared" si="1"/>
        <v>0</v>
      </c>
      <c r="K63" s="155">
        <f t="shared" si="2"/>
        <v>0</v>
      </c>
      <c r="L63" s="155" t="str">
        <f>IF(AND('Summary Sheet'!$E$23="No",$H$33&gt;0,H63&gt;=1),"",IF(AND('Summary Sheet'!$E$23="Yes",H63&lt;&gt;""),H63*'Summary Sheet'!$G$23,""))</f>
        <v/>
      </c>
      <c r="M63" s="154"/>
      <c r="N63" s="155">
        <f>SUM('Pay App 1:Pay App 40'!L63)+SUM('Pay App 1:Pay App 40'!M63)</f>
        <v>0</v>
      </c>
    </row>
    <row r="64" spans="1:16" ht="11.25" customHeight="1" x14ac:dyDescent="0.25">
      <c r="A64" s="152">
        <v>8</v>
      </c>
      <c r="B64" s="174" t="str">
        <f>'Pay App 1'!B64</f>
        <v>01 32 00</v>
      </c>
      <c r="C64" s="179" t="str">
        <f>'Pay App 1'!C64</f>
        <v>General Liability Insurance</v>
      </c>
      <c r="D64" s="155">
        <f>'Pay App 1'!D64</f>
        <v>0</v>
      </c>
      <c r="E64" s="155">
        <f>VLOOKUP(B64,'Graph Data'!$O$2:$BX$88,42,FALSE)</f>
        <v>0</v>
      </c>
      <c r="F64" s="155">
        <f>IFERROR(E64+'Pay App 39'!F64,"")</f>
        <v>0</v>
      </c>
      <c r="G64" s="155">
        <f>SUM('Pay App 1:Pay App 39'!H64)</f>
        <v>0</v>
      </c>
      <c r="H64" s="154"/>
      <c r="I64" s="155">
        <f t="shared" si="0"/>
        <v>0</v>
      </c>
      <c r="J64" s="156">
        <f t="shared" si="1"/>
        <v>0</v>
      </c>
      <c r="K64" s="155">
        <f t="shared" si="2"/>
        <v>0</v>
      </c>
      <c r="L64" s="155" t="str">
        <f>IF(AND('Summary Sheet'!$E$23="No",$H$33&gt;0,H64&gt;=1),"",IF(AND('Summary Sheet'!$E$23="Yes",H64&lt;&gt;""),H64*'Summary Sheet'!$G$23,""))</f>
        <v/>
      </c>
      <c r="M64" s="154"/>
      <c r="N64" s="155">
        <f>SUM('Pay App 1:Pay App 40'!L64)+SUM('Pay App 1:Pay App 40'!M64)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Data'!$O$2:$BX$88,42,FALSE)</f>
        <v>0</v>
      </c>
      <c r="F65" s="155">
        <f>IFERROR(E65+'Pay App 39'!F65,"")</f>
        <v>0</v>
      </c>
      <c r="G65" s="155">
        <f>SUM('Pay App 1:Pay App 39'!H65)</f>
        <v>0</v>
      </c>
      <c r="H65" s="154"/>
      <c r="I65" s="155">
        <f t="shared" si="0"/>
        <v>0</v>
      </c>
      <c r="J65" s="156">
        <f t="shared" si="1"/>
        <v>0</v>
      </c>
      <c r="K65" s="155">
        <f t="shared" si="2"/>
        <v>0</v>
      </c>
      <c r="L65" s="155" t="str">
        <f>IF(AND('Summary Sheet'!$E$23="No",$H$33&gt;0,H65&gt;=1),"",IF(AND('Summary Sheet'!$E$23="Yes",H65&lt;&gt;""),H65*'Summary Sheet'!$G$23,""))</f>
        <v/>
      </c>
      <c r="M65" s="154"/>
      <c r="N65" s="155">
        <f>SUM('Pay App 1:Pay App 40'!L65)+SUM('Pay App 1:Pay App 40'!M65)</f>
        <v>0</v>
      </c>
    </row>
    <row r="66" spans="1:17" ht="11.25" customHeight="1" x14ac:dyDescent="0.25">
      <c r="A66" s="152">
        <v>10</v>
      </c>
      <c r="B66" s="174" t="str">
        <f>'Pay App 1'!B66</f>
        <v>01 34 00</v>
      </c>
      <c r="C66" s="179" t="str">
        <f>'Pay App 1'!C66</f>
        <v>Subcontractor Default Insurance</v>
      </c>
      <c r="D66" s="155">
        <f>'Pay App 1'!D66</f>
        <v>0</v>
      </c>
      <c r="E66" s="155">
        <f>VLOOKUP(B66,'Graph Data'!$O$2:$BX$88,42,FALSE)</f>
        <v>0</v>
      </c>
      <c r="F66" s="155">
        <f>IFERROR(E66+'Pay App 39'!F66,"")</f>
        <v>0</v>
      </c>
      <c r="G66" s="155">
        <f>SUM('Pay App 1:Pay App 39'!H66)</f>
        <v>0</v>
      </c>
      <c r="H66" s="154"/>
      <c r="I66" s="155">
        <f t="shared" si="0"/>
        <v>0</v>
      </c>
      <c r="J66" s="156">
        <f t="shared" si="1"/>
        <v>0</v>
      </c>
      <c r="K66" s="155">
        <f t="shared" si="2"/>
        <v>0</v>
      </c>
      <c r="L66" s="155" t="str">
        <f>IF(AND('Summary Sheet'!$E$23="No",$H$33&gt;0,H66&gt;=1),"",IF(AND('Summary Sheet'!$E$23="Yes",H66&lt;&gt;""),H66*'Summary Sheet'!$G$23,""))</f>
        <v/>
      </c>
      <c r="M66" s="154"/>
      <c r="N66" s="155">
        <f>SUM('Pay App 1:Pay App 40'!L66)+SUM('Pay App 1:Pay App 40'!M66)</f>
        <v>0</v>
      </c>
    </row>
    <row r="67" spans="1:17" ht="11.25" customHeight="1" x14ac:dyDescent="0.25">
      <c r="A67" s="152">
        <v>11</v>
      </c>
      <c r="B67" s="174" t="str">
        <f>'Pay App 1'!B67</f>
        <v>01 35 00</v>
      </c>
      <c r="C67" s="179" t="str">
        <f>'Pay App 1'!C67</f>
        <v>Construction Management Fee</v>
      </c>
      <c r="D67" s="155">
        <f>'Pay App 1'!D67</f>
        <v>0</v>
      </c>
      <c r="E67" s="155">
        <f>VLOOKUP(B67,'Graph Data'!$O$2:$BX$88,42,FALSE)</f>
        <v>0</v>
      </c>
      <c r="F67" s="155">
        <f>IFERROR(E67+'Pay App 39'!F67,"")</f>
        <v>0</v>
      </c>
      <c r="G67" s="155">
        <f>SUM('Pay App 1:Pay App 39'!H67)</f>
        <v>0</v>
      </c>
      <c r="H67" s="154"/>
      <c r="I67" s="155">
        <f t="shared" si="0"/>
        <v>0</v>
      </c>
      <c r="J67" s="156">
        <f t="shared" si="1"/>
        <v>0</v>
      </c>
      <c r="K67" s="155">
        <f t="shared" si="2"/>
        <v>0</v>
      </c>
      <c r="L67" s="155" t="str">
        <f>IF(AND('Summary Sheet'!$E$23="No",$H$33&gt;0,H67&gt;=1),"",IF(AND('Summary Sheet'!$E$23="Yes",H67&lt;&gt;""),H67*'Summary Sheet'!$G$23,""))</f>
        <v/>
      </c>
      <c r="M67" s="154"/>
      <c r="N67" s="155">
        <f>SUM('Pay App 1:Pay App 40'!L67)+SUM('Pay App 1:Pay App 40'!M67)</f>
        <v>0</v>
      </c>
    </row>
    <row r="68" spans="1:17" ht="11.25" customHeight="1" x14ac:dyDescent="0.25">
      <c r="A68" s="152">
        <v>12</v>
      </c>
      <c r="B68" s="174" t="str">
        <f>'Pay App 1'!B68</f>
        <v>01 36 00</v>
      </c>
      <c r="C68" s="179" t="str">
        <f>'Pay App 1'!C68</f>
        <v>Contingency</v>
      </c>
      <c r="D68" s="155">
        <f>'Pay App 1'!D68</f>
        <v>0</v>
      </c>
      <c r="E68" s="155">
        <f>VLOOKUP(B68,'Graph Data'!$O$2:$BX$88,42,FALSE)</f>
        <v>0</v>
      </c>
      <c r="F68" s="155">
        <f>IFERROR(E68+'Pay App 39'!F68,"")</f>
        <v>0</v>
      </c>
      <c r="G68" s="155">
        <f>SUM('Pay App 1:Pay App 39'!H68)</f>
        <v>0</v>
      </c>
      <c r="H68" s="154"/>
      <c r="I68" s="155">
        <f t="shared" si="0"/>
        <v>0</v>
      </c>
      <c r="J68" s="156">
        <f t="shared" si="1"/>
        <v>0</v>
      </c>
      <c r="K68" s="155">
        <f t="shared" si="2"/>
        <v>0</v>
      </c>
      <c r="L68" s="155" t="str">
        <f>IF(AND('Summary Sheet'!$E$23="No",$H$33&gt;0,H68&gt;=1),"",IF(AND('Summary Sheet'!$E$23="Yes",H68&lt;&gt;""),H68*'Summary Sheet'!$G$23,""))</f>
        <v/>
      </c>
      <c r="M68" s="154"/>
      <c r="N68" s="155">
        <f>SUM('Pay App 1:Pay App 40'!L68)+SUM('Pay App 1:Pay App 40'!M68)</f>
        <v>0</v>
      </c>
    </row>
    <row r="69" spans="1:17" ht="11.25" customHeight="1" x14ac:dyDescent="0.25">
      <c r="A69" s="152">
        <v>13</v>
      </c>
      <c r="B69" s="174" t="str">
        <f>'Pay App 1'!B69</f>
        <v>01 37 00</v>
      </c>
      <c r="C69" s="179" t="str">
        <f>'Pay App 1'!C69</f>
        <v>Weather Allowance (All Trades)</v>
      </c>
      <c r="D69" s="155">
        <f>'Pay App 1'!D69</f>
        <v>0</v>
      </c>
      <c r="E69" s="155">
        <f>VLOOKUP(B69,'Graph Data'!$O$2:$BX$88,42,FALSE)</f>
        <v>0</v>
      </c>
      <c r="F69" s="155">
        <f>IFERROR(E69+'Pay App 39'!F69,"")</f>
        <v>0</v>
      </c>
      <c r="G69" s="155">
        <f>SUM('Pay App 1:Pay App 39'!H69)</f>
        <v>0</v>
      </c>
      <c r="H69" s="154"/>
      <c r="I69" s="155">
        <f t="shared" si="0"/>
        <v>0</v>
      </c>
      <c r="J69" s="156">
        <f t="shared" si="1"/>
        <v>0</v>
      </c>
      <c r="K69" s="155">
        <f t="shared" si="2"/>
        <v>0</v>
      </c>
      <c r="L69" s="155" t="str">
        <f>IF(AND('Summary Sheet'!$E$23="No",$H$33&gt;0,H69&gt;=1),"",IF(AND('Summary Sheet'!$E$23="Yes",H69&lt;&gt;""),H69*'Summary Sheet'!$G$23,""))</f>
        <v/>
      </c>
      <c r="M69" s="154"/>
      <c r="N69" s="155">
        <f>SUM('Pay App 1:Pay App 40'!L69)+SUM('Pay App 1:Pay App 40'!M69)</f>
        <v>0</v>
      </c>
    </row>
    <row r="70" spans="1:17" ht="11.25" customHeight="1" x14ac:dyDescent="0.25">
      <c r="A70" s="152">
        <v>14</v>
      </c>
      <c r="B70" s="174" t="str">
        <f>'Pay App 1'!B70</f>
        <v>01 74 23</v>
      </c>
      <c r="C70" s="179" t="str">
        <f>'Pay App 1'!C70</f>
        <v>Cleaning (Final)</v>
      </c>
      <c r="D70" s="155">
        <f>'Pay App 1'!D70</f>
        <v>0</v>
      </c>
      <c r="E70" s="155">
        <f>VLOOKUP(B70,'Graph Data'!$O$2:$BX$88,42,FALSE)</f>
        <v>0</v>
      </c>
      <c r="F70" s="155">
        <f>IFERROR(E70+'Pay App 39'!F70,"")</f>
        <v>0</v>
      </c>
      <c r="G70" s="155">
        <f>SUM('Pay App 1:Pay App 39'!H70)</f>
        <v>0</v>
      </c>
      <c r="H70" s="154"/>
      <c r="I70" s="155">
        <f t="shared" si="0"/>
        <v>0</v>
      </c>
      <c r="J70" s="156">
        <f t="shared" si="1"/>
        <v>0</v>
      </c>
      <c r="K70" s="155">
        <f t="shared" si="2"/>
        <v>0</v>
      </c>
      <c r="L70" s="155" t="str">
        <f>IF(AND('Summary Sheet'!$E$23="No",$H$33&gt;0,H70&gt;=1),"",IF(AND('Summary Sheet'!$E$23="Yes",H70&lt;&gt;""),H70*'Summary Sheet'!$G$23,""))</f>
        <v/>
      </c>
      <c r="M70" s="154"/>
      <c r="N70" s="155">
        <f>SUM('Pay App 1:Pay App 40'!L70)+SUM('Pay App 1:Pay App 40'!M70)</f>
        <v>0</v>
      </c>
    </row>
    <row r="71" spans="1:17" ht="11.25" customHeight="1" x14ac:dyDescent="0.25">
      <c r="A71" s="152">
        <v>15</v>
      </c>
      <c r="B71" s="175" t="str">
        <f>'Pay App 1'!B71</f>
        <v>02 21 00</v>
      </c>
      <c r="C71" s="180" t="str">
        <f>'Pay App 1'!C71</f>
        <v>Survey/Engineering</v>
      </c>
      <c r="D71" s="155">
        <f>'Pay App 1'!D71</f>
        <v>0</v>
      </c>
      <c r="E71" s="155">
        <f>VLOOKUP(B71,'Graph Data'!$O$2:$BX$88,42,FALSE)</f>
        <v>0</v>
      </c>
      <c r="F71" s="155">
        <f>IFERROR(E71+'Pay App 39'!F71,"")</f>
        <v>0</v>
      </c>
      <c r="G71" s="155">
        <f>SUM('Pay App 1:Pay App 39'!H71)</f>
        <v>0</v>
      </c>
      <c r="H71" s="154"/>
      <c r="I71" s="155">
        <f t="shared" si="0"/>
        <v>0</v>
      </c>
      <c r="J71" s="156">
        <f t="shared" si="1"/>
        <v>0</v>
      </c>
      <c r="K71" s="155">
        <f t="shared" si="2"/>
        <v>0</v>
      </c>
      <c r="L71" s="155" t="str">
        <f>IF(AND('Summary Sheet'!$E$23="No",$H$33&gt;0,H71&gt;=1),"",IF(AND('Summary Sheet'!$E$23="Yes",H71&lt;&gt;""),H71*'Summary Sheet'!$G$23,""))</f>
        <v/>
      </c>
      <c r="M71" s="154"/>
      <c r="N71" s="155">
        <f>SUM('Pay App 1:Pay App 40'!L71)+SUM('Pay App 1:Pay App 40'!M71)</f>
        <v>0</v>
      </c>
      <c r="Q71" s="28"/>
    </row>
    <row r="72" spans="1:17" ht="11.25" customHeight="1" x14ac:dyDescent="0.25">
      <c r="A72" s="152">
        <v>16</v>
      </c>
      <c r="B72" s="175" t="str">
        <f>'Pay App 1'!B72</f>
        <v>02 41 00</v>
      </c>
      <c r="C72" s="180" t="str">
        <f>'Pay App 1'!C72</f>
        <v>Demolition</v>
      </c>
      <c r="D72" s="155">
        <f>'Pay App 1'!D72</f>
        <v>0</v>
      </c>
      <c r="E72" s="155">
        <f>VLOOKUP(B72,'Graph Data'!$O$2:$BX$88,42,FALSE)</f>
        <v>0</v>
      </c>
      <c r="F72" s="155">
        <f>IFERROR(E72+'Pay App 39'!F72,"")</f>
        <v>0</v>
      </c>
      <c r="G72" s="155">
        <f>SUM('Pay App 1:Pay App 39'!H72)</f>
        <v>0</v>
      </c>
      <c r="H72" s="154"/>
      <c r="I72" s="155">
        <f t="shared" si="0"/>
        <v>0</v>
      </c>
      <c r="J72" s="156">
        <f t="shared" si="1"/>
        <v>0</v>
      </c>
      <c r="K72" s="155">
        <f t="shared" si="2"/>
        <v>0</v>
      </c>
      <c r="L72" s="155" t="str">
        <f>IF(AND('Summary Sheet'!$E$23="No",$H$33&gt;0,H72&gt;=1),"",IF(AND('Summary Sheet'!$E$23="Yes",H72&lt;&gt;""),H72*'Summary Sheet'!$G$23,""))</f>
        <v/>
      </c>
      <c r="M72" s="154"/>
      <c r="N72" s="155">
        <f>SUM('Pay App 1:Pay App 40'!L72)+SUM('Pay App 1:Pay App 40'!M72)</f>
        <v>0</v>
      </c>
      <c r="Q72" s="28"/>
    </row>
    <row r="73" spans="1:17" ht="11.25" customHeight="1" x14ac:dyDescent="0.25">
      <c r="A73" s="152">
        <v>17</v>
      </c>
      <c r="B73" s="175" t="str">
        <f>'Pay App 1'!B73</f>
        <v>02 82 00</v>
      </c>
      <c r="C73" s="180" t="str">
        <f>'Pay App 1'!C73</f>
        <v>Asbestos Abatement</v>
      </c>
      <c r="D73" s="155">
        <f>'Pay App 1'!D73</f>
        <v>0</v>
      </c>
      <c r="E73" s="155">
        <f>VLOOKUP(B73,'Graph Data'!$O$2:$BX$88,42,FALSE)</f>
        <v>0</v>
      </c>
      <c r="F73" s="155">
        <f>IFERROR(E73+'Pay App 39'!F73,"")</f>
        <v>0</v>
      </c>
      <c r="G73" s="155">
        <f>SUM('Pay App 1:Pay App 39'!H73)</f>
        <v>0</v>
      </c>
      <c r="H73" s="154"/>
      <c r="I73" s="155">
        <f t="shared" si="0"/>
        <v>0</v>
      </c>
      <c r="J73" s="156">
        <f t="shared" si="1"/>
        <v>0</v>
      </c>
      <c r="K73" s="155">
        <f t="shared" si="2"/>
        <v>0</v>
      </c>
      <c r="L73" s="155" t="str">
        <f>IF(AND('Summary Sheet'!$E$23="No",$H$33&gt;0,H73&gt;=1),"",IF(AND('Summary Sheet'!$E$23="Yes",H73&lt;&gt;""),H73*'Summary Sheet'!$G$23,""))</f>
        <v/>
      </c>
      <c r="M73" s="154"/>
      <c r="N73" s="155">
        <f>SUM('Pay App 1:Pay App 40'!L73)+SUM('Pay App 1:Pay App 40'!M73)</f>
        <v>0</v>
      </c>
    </row>
    <row r="74" spans="1:17" ht="11.25" customHeight="1" x14ac:dyDescent="0.25">
      <c r="A74" s="152">
        <v>18</v>
      </c>
      <c r="B74" s="176" t="str">
        <f>'Pay App 1'!B74</f>
        <v>03 00 00</v>
      </c>
      <c r="C74" s="181" t="str">
        <f>'Pay App 1'!C74</f>
        <v>Building Concrete</v>
      </c>
      <c r="D74" s="155">
        <f>'Pay App 1'!D74</f>
        <v>0</v>
      </c>
      <c r="E74" s="155">
        <f>VLOOKUP(B74,'Graph Data'!$O$2:$BX$88,42,FALSE)</f>
        <v>0</v>
      </c>
      <c r="F74" s="155">
        <f>IFERROR(E74+'Pay App 39'!F74,"")</f>
        <v>0</v>
      </c>
      <c r="G74" s="155">
        <f>SUM('Pay App 1:Pay App 39'!H74)</f>
        <v>0</v>
      </c>
      <c r="H74" s="154"/>
      <c r="I74" s="155">
        <f t="shared" si="0"/>
        <v>0</v>
      </c>
      <c r="J74" s="156">
        <f t="shared" si="1"/>
        <v>0</v>
      </c>
      <c r="K74" s="155">
        <f t="shared" si="2"/>
        <v>0</v>
      </c>
      <c r="L74" s="155" t="str">
        <f>IF(AND('Summary Sheet'!$E$23="No",$H$33&gt;0,H74&gt;=1),"",IF(AND('Summary Sheet'!$E$23="Yes",H74&lt;&gt;""),H74*'Summary Sheet'!$G$23,""))</f>
        <v/>
      </c>
      <c r="M74" s="154"/>
      <c r="N74" s="155">
        <f>SUM('Pay App 1:Pay App 40'!L74)+SUM('Pay App 1:Pay App 40'!M74)</f>
        <v>0</v>
      </c>
    </row>
    <row r="75" spans="1:17" ht="11.25" customHeight="1" x14ac:dyDescent="0.25">
      <c r="A75" s="152">
        <v>19</v>
      </c>
      <c r="B75" s="176" t="str">
        <f>'Pay App 1'!B75</f>
        <v>03 20 00</v>
      </c>
      <c r="C75" s="181" t="str">
        <f>'Pay App 1'!C75</f>
        <v>Building Concrete Reinforcing</v>
      </c>
      <c r="D75" s="155">
        <f>'Pay App 1'!D75</f>
        <v>0</v>
      </c>
      <c r="E75" s="155">
        <f>VLOOKUP(B75,'Graph Data'!$O$2:$BX$88,42,FALSE)</f>
        <v>0</v>
      </c>
      <c r="F75" s="155">
        <f>IFERROR(E75+'Pay App 39'!F75,"")</f>
        <v>0</v>
      </c>
      <c r="G75" s="155">
        <f>SUM('Pay App 1:Pay App 39'!H75)</f>
        <v>0</v>
      </c>
      <c r="H75" s="154"/>
      <c r="I75" s="155">
        <f t="shared" si="0"/>
        <v>0</v>
      </c>
      <c r="J75" s="156">
        <f t="shared" si="1"/>
        <v>0</v>
      </c>
      <c r="K75" s="155">
        <f t="shared" si="2"/>
        <v>0</v>
      </c>
      <c r="L75" s="155" t="str">
        <f>IF(AND('Summary Sheet'!$E$23="No",$H$33&gt;0,H75&gt;=1),"",IF(AND('Summary Sheet'!$E$23="Yes",H75&lt;&gt;""),H75*'Summary Sheet'!$G$23,""))</f>
        <v/>
      </c>
      <c r="M75" s="154"/>
      <c r="N75" s="155">
        <f>SUM('Pay App 1:Pay App 40'!L75)+SUM('Pay App 1:Pay App 40'!M75)</f>
        <v>0</v>
      </c>
    </row>
    <row r="76" spans="1:17" ht="11.25" customHeight="1" x14ac:dyDescent="0.25">
      <c r="A76" s="152">
        <v>20</v>
      </c>
      <c r="B76" s="176" t="str">
        <f>'Pay App 1'!B76</f>
        <v>03 40 00</v>
      </c>
      <c r="C76" s="181" t="str">
        <f>'Pay App 1'!C76</f>
        <v>Precast</v>
      </c>
      <c r="D76" s="155">
        <f>'Pay App 1'!D76</f>
        <v>0</v>
      </c>
      <c r="E76" s="155">
        <f>VLOOKUP(B76,'Graph Data'!$O$2:$BX$88,42,FALSE)</f>
        <v>0</v>
      </c>
      <c r="F76" s="155">
        <f>IFERROR(E76+'Pay App 39'!F76,"")</f>
        <v>0</v>
      </c>
      <c r="G76" s="155">
        <f>SUM('Pay App 1:Pay App 39'!H76)</f>
        <v>0</v>
      </c>
      <c r="H76" s="154"/>
      <c r="I76" s="155">
        <f t="shared" si="0"/>
        <v>0</v>
      </c>
      <c r="J76" s="156">
        <f t="shared" si="1"/>
        <v>0</v>
      </c>
      <c r="K76" s="155">
        <f t="shared" si="2"/>
        <v>0</v>
      </c>
      <c r="L76" s="155" t="str">
        <f>IF(AND('Summary Sheet'!$E$23="No",$H$33&gt;0,H76&gt;=1),"",IF(AND('Summary Sheet'!$E$23="Yes",H76&lt;&gt;""),H76*'Summary Sheet'!$G$23,""))</f>
        <v/>
      </c>
      <c r="M76" s="154"/>
      <c r="N76" s="155">
        <f>SUM('Pay App 1:Pay App 40'!L76)+SUM('Pay App 1:Pay App 40'!M76)</f>
        <v>0</v>
      </c>
    </row>
    <row r="77" spans="1:17" ht="11.25" customHeight="1" x14ac:dyDescent="0.25">
      <c r="A77" s="152">
        <v>21</v>
      </c>
      <c r="B77" s="177" t="str">
        <f>'Pay App 1'!B77</f>
        <v>04 00 00</v>
      </c>
      <c r="C77" s="182" t="str">
        <f>'Pay App 1'!C77</f>
        <v>Masonry</v>
      </c>
      <c r="D77" s="155">
        <f>'Pay App 1'!D77</f>
        <v>0</v>
      </c>
      <c r="E77" s="155">
        <f>VLOOKUP(B77,'Graph Data'!$O$2:$BX$88,42,FALSE)</f>
        <v>0</v>
      </c>
      <c r="F77" s="155">
        <f>IFERROR(E77+'Pay App 39'!F77,"")</f>
        <v>0</v>
      </c>
      <c r="G77" s="155">
        <f>SUM('Pay App 1:Pay App 39'!H77)</f>
        <v>0</v>
      </c>
      <c r="H77" s="154"/>
      <c r="I77" s="155">
        <f t="shared" si="0"/>
        <v>0</v>
      </c>
      <c r="J77" s="156">
        <f t="shared" si="1"/>
        <v>0</v>
      </c>
      <c r="K77" s="155">
        <f t="shared" si="2"/>
        <v>0</v>
      </c>
      <c r="L77" s="155" t="str">
        <f>IF(AND('Summary Sheet'!$E$23="No",$H$33&gt;0,H77&gt;=1),"",IF(AND('Summary Sheet'!$E$23="Yes",H77&lt;&gt;""),H77*'Summary Sheet'!$G$23,""))</f>
        <v/>
      </c>
      <c r="M77" s="154"/>
      <c r="N77" s="155">
        <f>SUM('Pay App 1:Pay App 40'!L77)+SUM('Pay App 1:Pay App 40'!M77)</f>
        <v>0</v>
      </c>
    </row>
    <row r="78" spans="1:17" ht="11.25" customHeight="1" x14ac:dyDescent="0.25">
      <c r="A78" s="152">
        <v>22</v>
      </c>
      <c r="B78" s="177" t="str">
        <f>'Pay App 1'!B78</f>
        <v>04 05 19</v>
      </c>
      <c r="C78" s="182" t="str">
        <f>'Pay App 1'!C78</f>
        <v>Masonry Reinforcing</v>
      </c>
      <c r="D78" s="155">
        <f>'Pay App 1'!D78</f>
        <v>0</v>
      </c>
      <c r="E78" s="155">
        <f>VLOOKUP(B78,'Graph Data'!$O$2:$BX$88,42,FALSE)</f>
        <v>0</v>
      </c>
      <c r="F78" s="155">
        <f>IFERROR(E78+'Pay App 39'!F78,"")</f>
        <v>0</v>
      </c>
      <c r="G78" s="155">
        <f>SUM('Pay App 1:Pay App 39'!H78)</f>
        <v>0</v>
      </c>
      <c r="H78" s="154"/>
      <c r="I78" s="155">
        <f t="shared" si="0"/>
        <v>0</v>
      </c>
      <c r="J78" s="156">
        <f t="shared" si="1"/>
        <v>0</v>
      </c>
      <c r="K78" s="155">
        <f t="shared" si="2"/>
        <v>0</v>
      </c>
      <c r="L78" s="155" t="str">
        <f>IF(AND('Summary Sheet'!$E$23="No",$H$33&gt;0,H78&gt;=1),"",IF(AND('Summary Sheet'!$E$23="Yes",H78&lt;&gt;""),H78*'Summary Sheet'!$G$23,""))</f>
        <v/>
      </c>
      <c r="M78" s="154"/>
      <c r="N78" s="155">
        <f>SUM('Pay App 1:Pay App 40'!L78)+SUM('Pay App 1:Pay App 40'!M78)</f>
        <v>0</v>
      </c>
    </row>
    <row r="79" spans="1:17" ht="11.25" customHeight="1" x14ac:dyDescent="0.25">
      <c r="A79" s="152">
        <v>23</v>
      </c>
      <c r="B79" s="178" t="str">
        <f>'Pay App 1'!B79</f>
        <v>05 10 00</v>
      </c>
      <c r="C79" s="183" t="str">
        <f>'Pay App 1'!C79</f>
        <v>Structural Steel/Misc. Steel Fab</v>
      </c>
      <c r="D79" s="155">
        <f>'Pay App 1'!D79</f>
        <v>0</v>
      </c>
      <c r="E79" s="155">
        <f>VLOOKUP(B79,'Graph Data'!$O$2:$BX$88,42,FALSE)</f>
        <v>0</v>
      </c>
      <c r="F79" s="155">
        <f>IFERROR(E79+'Pay App 39'!F79,"")</f>
        <v>0</v>
      </c>
      <c r="G79" s="155">
        <f>SUM('Pay App 1:Pay App 39'!H79)</f>
        <v>0</v>
      </c>
      <c r="H79" s="154"/>
      <c r="I79" s="155">
        <f t="shared" si="0"/>
        <v>0</v>
      </c>
      <c r="J79" s="156">
        <f t="shared" si="1"/>
        <v>0</v>
      </c>
      <c r="K79" s="155">
        <f t="shared" si="2"/>
        <v>0</v>
      </c>
      <c r="L79" s="155" t="str">
        <f>IF(AND('Summary Sheet'!$E$23="No",$H$33&gt;0,H79&gt;=1),"",IF(AND('Summary Sheet'!$E$23="Yes",H79&lt;&gt;""),H79*'Summary Sheet'!$G$23,""))</f>
        <v/>
      </c>
      <c r="M79" s="154"/>
      <c r="N79" s="155">
        <f>SUM('Pay App 1:Pay App 40'!L79)+SUM('Pay App 1:Pay App 40'!M79)</f>
        <v>0</v>
      </c>
    </row>
    <row r="80" spans="1:17" ht="11.25" customHeight="1" x14ac:dyDescent="0.25">
      <c r="A80" s="152">
        <v>24</v>
      </c>
      <c r="B80" s="178" t="str">
        <f>'Pay App 1'!B80</f>
        <v>05 20 00</v>
      </c>
      <c r="C80" s="183" t="str">
        <f>'Pay App 1'!C80</f>
        <v>Joists &amp; Deck</v>
      </c>
      <c r="D80" s="155">
        <f>'Pay App 1'!D80</f>
        <v>0</v>
      </c>
      <c r="E80" s="155">
        <f>VLOOKUP(B80,'Graph Data'!$O$2:$BX$88,42,FALSE)</f>
        <v>0</v>
      </c>
      <c r="F80" s="155">
        <f>IFERROR(E80+'Pay App 39'!F80,"")</f>
        <v>0</v>
      </c>
      <c r="G80" s="155">
        <f>SUM('Pay App 1:Pay App 39'!H80)</f>
        <v>0</v>
      </c>
      <c r="H80" s="154"/>
      <c r="I80" s="155">
        <f t="shared" si="0"/>
        <v>0</v>
      </c>
      <c r="J80" s="156">
        <f t="shared" si="1"/>
        <v>0</v>
      </c>
      <c r="K80" s="155">
        <f t="shared" si="2"/>
        <v>0</v>
      </c>
      <c r="L80" s="155" t="str">
        <f>IF(AND('Summary Sheet'!$E$23="No",$H$33&gt;0,H80&gt;=1),"",IF(AND('Summary Sheet'!$E$23="Yes",H80&lt;&gt;""),H80*'Summary Sheet'!$G$23,""))</f>
        <v/>
      </c>
      <c r="M80" s="154"/>
      <c r="N80" s="155">
        <f>SUM('Pay App 1:Pay App 40'!L80)+SUM('Pay App 1:Pay App 40'!M80)</f>
        <v>0</v>
      </c>
    </row>
    <row r="81" spans="1:14" ht="11.25" customHeight="1" x14ac:dyDescent="0.25">
      <c r="A81" s="152">
        <v>25</v>
      </c>
      <c r="B81" s="178" t="str">
        <f>'Pay App 1'!B81</f>
        <v>05 70 00</v>
      </c>
      <c r="C81" s="183" t="str">
        <f>'Pay App 1'!C81</f>
        <v>Ornamental Metal</v>
      </c>
      <c r="D81" s="155">
        <f>'Pay App 1'!D81</f>
        <v>0</v>
      </c>
      <c r="E81" s="155">
        <f>VLOOKUP(B81,'Graph Data'!$O$2:$BX$88,42,FALSE)</f>
        <v>0</v>
      </c>
      <c r="F81" s="155">
        <f>IFERROR(E81+'Pay App 39'!F81,"")</f>
        <v>0</v>
      </c>
      <c r="G81" s="155">
        <f>SUM('Pay App 1:Pay App 39'!H81)</f>
        <v>0</v>
      </c>
      <c r="H81" s="154"/>
      <c r="I81" s="155">
        <f t="shared" si="0"/>
        <v>0</v>
      </c>
      <c r="J81" s="156">
        <f t="shared" si="1"/>
        <v>0</v>
      </c>
      <c r="K81" s="155">
        <f t="shared" si="2"/>
        <v>0</v>
      </c>
      <c r="L81" s="155" t="str">
        <f>IF(AND('Summary Sheet'!$E$23="No",$H$33&gt;0,H81&gt;=1),"",IF(AND('Summary Sheet'!$E$23="Yes",H81&lt;&gt;""),H81*'Summary Sheet'!$G$23,""))</f>
        <v/>
      </c>
      <c r="M81" s="154"/>
      <c r="N81" s="155">
        <f>SUM('Pay App 1:Pay App 40'!L81)+SUM('Pay App 1:Pay App 40'!M81)</f>
        <v>0</v>
      </c>
    </row>
    <row r="82" spans="1:14" ht="11.25" customHeight="1" x14ac:dyDescent="0.25">
      <c r="A82" s="152">
        <v>26</v>
      </c>
      <c r="B82" s="145" t="str">
        <f>'Pay App 1'!B82</f>
        <v>06 10 00</v>
      </c>
      <c r="C82" s="134" t="str">
        <f>'Pay App 1'!C82</f>
        <v>Rough Carpentry</v>
      </c>
      <c r="D82" s="155">
        <f>'Pay App 1'!D82</f>
        <v>0</v>
      </c>
      <c r="E82" s="155">
        <f>VLOOKUP(B82,'Graph Data'!$O$2:$BX$88,42,FALSE)</f>
        <v>0</v>
      </c>
      <c r="F82" s="155">
        <f>IFERROR(E82+'Pay App 39'!F82,"")</f>
        <v>0</v>
      </c>
      <c r="G82" s="155">
        <f>SUM('Pay App 1:Pay App 39'!H82)</f>
        <v>0</v>
      </c>
      <c r="H82" s="154"/>
      <c r="I82" s="155">
        <f t="shared" si="0"/>
        <v>0</v>
      </c>
      <c r="J82" s="156">
        <f t="shared" si="1"/>
        <v>0</v>
      </c>
      <c r="K82" s="155">
        <f t="shared" si="2"/>
        <v>0</v>
      </c>
      <c r="L82" s="155" t="str">
        <f>IF(AND('Summary Sheet'!$E$23="No",$H$33&gt;0,H82&gt;=1),"",IF(AND('Summary Sheet'!$E$23="Yes",H82&lt;&gt;""),H82*'Summary Sheet'!$G$23,""))</f>
        <v/>
      </c>
      <c r="M82" s="154"/>
      <c r="N82" s="155">
        <f>SUM('Pay App 1:Pay App 40'!L82)+SUM('Pay App 1:Pay App 40'!M82)</f>
        <v>0</v>
      </c>
    </row>
    <row r="83" spans="1:14" ht="11.25" customHeight="1" x14ac:dyDescent="0.25">
      <c r="A83" s="152">
        <v>27</v>
      </c>
      <c r="B83" s="145" t="str">
        <f>'Pay App 1'!B83</f>
        <v>06 40 00</v>
      </c>
      <c r="C83" s="134" t="str">
        <f>'Pay App 1'!C83</f>
        <v>Arch. Woodwork &amp; Finish Carp.</v>
      </c>
      <c r="D83" s="155">
        <f>'Pay App 1'!D83</f>
        <v>0</v>
      </c>
      <c r="E83" s="155">
        <f>VLOOKUP(B83,'Graph Data'!$O$2:$BX$88,42,FALSE)</f>
        <v>0</v>
      </c>
      <c r="F83" s="155">
        <f>IFERROR(E83+'Pay App 39'!F83,"")</f>
        <v>0</v>
      </c>
      <c r="G83" s="155">
        <f>SUM('Pay App 1:Pay App 39'!H83)</f>
        <v>0</v>
      </c>
      <c r="H83" s="154"/>
      <c r="I83" s="155">
        <f t="shared" si="0"/>
        <v>0</v>
      </c>
      <c r="J83" s="156">
        <f t="shared" si="1"/>
        <v>0</v>
      </c>
      <c r="K83" s="155">
        <f t="shared" si="2"/>
        <v>0</v>
      </c>
      <c r="L83" s="155" t="str">
        <f>IF(AND('Summary Sheet'!$E$23="No",$H$33&gt;0,H83&gt;=1),"",IF(AND('Summary Sheet'!$E$23="Yes",H83&lt;&gt;""),H83*'Summary Sheet'!$G$23,""))</f>
        <v/>
      </c>
      <c r="M83" s="154"/>
      <c r="N83" s="155">
        <f>SUM('Pay App 1:Pay App 40'!L83)+SUM('Pay App 1:Pay App 40'!M83)</f>
        <v>0</v>
      </c>
    </row>
    <row r="84" spans="1:14" ht="11.25" customHeight="1" x14ac:dyDescent="0.25">
      <c r="A84" s="152">
        <v>28</v>
      </c>
      <c r="B84" s="174" t="str">
        <f>'Pay App 1'!B84</f>
        <v>07 10 00</v>
      </c>
      <c r="C84" s="179" t="str">
        <f>'Pay App 1'!C84</f>
        <v>Waterproofing/Water Repellents</v>
      </c>
      <c r="D84" s="155">
        <f>'Pay App 1'!D84</f>
        <v>0</v>
      </c>
      <c r="E84" s="155">
        <f>VLOOKUP(B84,'Graph Data'!$O$2:$BX$88,42,FALSE)</f>
        <v>0</v>
      </c>
      <c r="F84" s="155">
        <f>IFERROR(E84+'Pay App 39'!F84,"")</f>
        <v>0</v>
      </c>
      <c r="G84" s="155">
        <f>SUM('Pay App 1:Pay App 39'!H84)</f>
        <v>0</v>
      </c>
      <c r="H84" s="154"/>
      <c r="I84" s="155">
        <f t="shared" si="0"/>
        <v>0</v>
      </c>
      <c r="J84" s="156">
        <f t="shared" si="1"/>
        <v>0</v>
      </c>
      <c r="K84" s="155">
        <f t="shared" si="2"/>
        <v>0</v>
      </c>
      <c r="L84" s="155" t="str">
        <f>IF(AND('Summary Sheet'!$E$23="No",$H$33&gt;0,H84&gt;=1),"",IF(AND('Summary Sheet'!$E$23="Yes",H84&lt;&gt;""),H84*'Summary Sheet'!$G$23,""))</f>
        <v/>
      </c>
      <c r="M84" s="154"/>
      <c r="N84" s="155">
        <f>SUM('Pay App 1:Pay App 40'!L84)+SUM('Pay App 1:Pay App 40'!M84)</f>
        <v>0</v>
      </c>
    </row>
    <row r="85" spans="1:14" ht="11.25" customHeight="1" x14ac:dyDescent="0.25">
      <c r="A85" s="152">
        <v>29</v>
      </c>
      <c r="B85" s="174" t="str">
        <f>'Pay App 1'!B85</f>
        <v>07 20 00</v>
      </c>
      <c r="C85" s="179" t="str">
        <f>'Pay App 1'!C85</f>
        <v>Insulation</v>
      </c>
      <c r="D85" s="155">
        <f>'Pay App 1'!D85</f>
        <v>0</v>
      </c>
      <c r="E85" s="155">
        <f>VLOOKUP(B85,'Graph Data'!$O$2:$BX$88,42,FALSE)</f>
        <v>0</v>
      </c>
      <c r="F85" s="155">
        <f>IFERROR(E85+'Pay App 39'!F85,"")</f>
        <v>0</v>
      </c>
      <c r="G85" s="155">
        <f>SUM('Pay App 1:Pay App 39'!H85)</f>
        <v>0</v>
      </c>
      <c r="H85" s="154"/>
      <c r="I85" s="155">
        <f t="shared" si="0"/>
        <v>0</v>
      </c>
      <c r="J85" s="156">
        <f t="shared" si="1"/>
        <v>0</v>
      </c>
      <c r="K85" s="155">
        <f t="shared" si="2"/>
        <v>0</v>
      </c>
      <c r="L85" s="155" t="str">
        <f>IF(AND('Summary Sheet'!$E$23="No",$H$33&gt;0,H85&gt;=1),"",IF(AND('Summary Sheet'!$E$23="Yes",H85&lt;&gt;""),H85*'Summary Sheet'!$G$23,""))</f>
        <v/>
      </c>
      <c r="M85" s="154"/>
      <c r="N85" s="155">
        <f>SUM('Pay App 1:Pay App 40'!L85)+SUM('Pay App 1:Pay App 40'!M85)</f>
        <v>0</v>
      </c>
    </row>
    <row r="86" spans="1:14" ht="11.25" customHeight="1" x14ac:dyDescent="0.25">
      <c r="A86" s="152">
        <v>30</v>
      </c>
      <c r="B86" s="174" t="str">
        <f>'Pay App 1'!B86</f>
        <v>07 24 00</v>
      </c>
      <c r="C86" s="179" t="str">
        <f>'Pay App 1'!C86</f>
        <v>EIFS</v>
      </c>
      <c r="D86" s="155">
        <f>'Pay App 1'!D86</f>
        <v>0</v>
      </c>
      <c r="E86" s="155">
        <f>VLOOKUP(B86,'Graph Data'!$O$2:$BX$88,42,FALSE)</f>
        <v>0</v>
      </c>
      <c r="F86" s="155">
        <f>IFERROR(E86+'Pay App 39'!F86,"")</f>
        <v>0</v>
      </c>
      <c r="G86" s="155">
        <f>SUM('Pay App 1:Pay App 39'!H86)</f>
        <v>0</v>
      </c>
      <c r="H86" s="154"/>
      <c r="I86" s="155">
        <f t="shared" si="0"/>
        <v>0</v>
      </c>
      <c r="J86" s="156">
        <f t="shared" si="1"/>
        <v>0</v>
      </c>
      <c r="K86" s="155">
        <f t="shared" si="2"/>
        <v>0</v>
      </c>
      <c r="L86" s="155" t="str">
        <f>IF(AND('Summary Sheet'!$E$23="No",$H$33&gt;0,H86&gt;=1),"",IF(AND('Summary Sheet'!$E$23="Yes",H86&lt;&gt;""),H86*'Summary Sheet'!$G$23,""))</f>
        <v/>
      </c>
      <c r="M86" s="154"/>
      <c r="N86" s="155">
        <f>SUM('Pay App 1:Pay App 40'!L86)+SUM('Pay App 1:Pay App 40'!M86)</f>
        <v>0</v>
      </c>
    </row>
    <row r="87" spans="1:14" ht="11.25" customHeight="1" x14ac:dyDescent="0.25">
      <c r="A87" s="152">
        <v>31</v>
      </c>
      <c r="B87" s="174" t="str">
        <f>'Pay App 1'!B87</f>
        <v>07 26 00</v>
      </c>
      <c r="C87" s="179" t="str">
        <f>'Pay App 1'!C87</f>
        <v>Vapor Retarders</v>
      </c>
      <c r="D87" s="155">
        <f>'Pay App 1'!D87</f>
        <v>0</v>
      </c>
      <c r="E87" s="155">
        <f>VLOOKUP(B87,'Graph Data'!$O$2:$BX$88,42,FALSE)</f>
        <v>0</v>
      </c>
      <c r="F87" s="155">
        <f>IFERROR(E87+'Pay App 39'!F87,"")</f>
        <v>0</v>
      </c>
      <c r="G87" s="155">
        <f>SUM('Pay App 1:Pay App 39'!H87)</f>
        <v>0</v>
      </c>
      <c r="H87" s="154"/>
      <c r="I87" s="155">
        <f t="shared" si="0"/>
        <v>0</v>
      </c>
      <c r="J87" s="156">
        <f t="shared" si="1"/>
        <v>0</v>
      </c>
      <c r="K87" s="155">
        <f t="shared" si="2"/>
        <v>0</v>
      </c>
      <c r="L87" s="155" t="str">
        <f>IF(AND('Summary Sheet'!$E$23="No",$H$33&gt;0,H87&gt;=1),"",IF(AND('Summary Sheet'!$E$23="Yes",H87&lt;&gt;""),H87*'Summary Sheet'!$G$23,""))</f>
        <v/>
      </c>
      <c r="M87" s="154"/>
      <c r="N87" s="155">
        <f>SUM('Pay App 1:Pay App 40'!L87)+SUM('Pay App 1:Pay App 40'!M87)</f>
        <v>0</v>
      </c>
    </row>
    <row r="88" spans="1:14" ht="11.25" customHeight="1" x14ac:dyDescent="0.25">
      <c r="A88" s="152">
        <v>32</v>
      </c>
      <c r="B88" s="174" t="str">
        <f>'Pay App 1'!B88</f>
        <v>07 41 00</v>
      </c>
      <c r="C88" s="179" t="str">
        <f>'Pay App 1'!C88</f>
        <v>Roofing</v>
      </c>
      <c r="D88" s="155">
        <f>'Pay App 1'!D88</f>
        <v>0</v>
      </c>
      <c r="E88" s="155">
        <f>VLOOKUP(B88,'Graph Data'!$O$2:$BX$88,42,FALSE)</f>
        <v>0</v>
      </c>
      <c r="F88" s="155">
        <f>IFERROR(E88+'Pay App 39'!F88,"")</f>
        <v>0</v>
      </c>
      <c r="G88" s="155">
        <f>SUM('Pay App 1:Pay App 39'!H88)</f>
        <v>0</v>
      </c>
      <c r="H88" s="154"/>
      <c r="I88" s="155">
        <f t="shared" si="0"/>
        <v>0</v>
      </c>
      <c r="J88" s="156">
        <f t="shared" si="1"/>
        <v>0</v>
      </c>
      <c r="K88" s="155">
        <f t="shared" si="2"/>
        <v>0</v>
      </c>
      <c r="L88" s="155" t="str">
        <f>IF(AND('Summary Sheet'!$E$23="No",$H$33&gt;0,H88&gt;=1),"",IF(AND('Summary Sheet'!$E$23="Yes",H88&lt;&gt;""),H88*'Summary Sheet'!$G$23,""))</f>
        <v/>
      </c>
      <c r="M88" s="154"/>
      <c r="N88" s="155">
        <f>SUM('Pay App 1:Pay App 40'!L88)+SUM('Pay App 1:Pay App 40'!M88)</f>
        <v>0</v>
      </c>
    </row>
    <row r="89" spans="1:14" ht="11.25" customHeight="1" x14ac:dyDescent="0.25">
      <c r="A89" s="152">
        <v>33</v>
      </c>
      <c r="B89" s="174" t="str">
        <f>'Pay App 1'!B89</f>
        <v>07 42 00</v>
      </c>
      <c r="C89" s="179" t="str">
        <f>'Pay App 1'!C89</f>
        <v>Metal Panels</v>
      </c>
      <c r="D89" s="155">
        <f>'Pay App 1'!D89</f>
        <v>0</v>
      </c>
      <c r="E89" s="155">
        <f>VLOOKUP(B89,'Graph Data'!$O$2:$BX$88,42,FALSE)</f>
        <v>0</v>
      </c>
      <c r="F89" s="155">
        <f>IFERROR(E89+'Pay App 39'!F89,"")</f>
        <v>0</v>
      </c>
      <c r="G89" s="155">
        <f>SUM('Pay App 1:Pay App 39'!H89)</f>
        <v>0</v>
      </c>
      <c r="H89" s="154"/>
      <c r="I89" s="155">
        <f t="shared" si="0"/>
        <v>0</v>
      </c>
      <c r="J89" s="156">
        <f t="shared" si="1"/>
        <v>0</v>
      </c>
      <c r="K89" s="155">
        <f t="shared" si="2"/>
        <v>0</v>
      </c>
      <c r="L89" s="155" t="str">
        <f>IF(AND('Summary Sheet'!$E$23="No",$H$33&gt;0,H89&gt;=1),"",IF(AND('Summary Sheet'!$E$23="Yes",H89&lt;&gt;""),H89*'Summary Sheet'!$G$23,""))</f>
        <v/>
      </c>
      <c r="M89" s="154"/>
      <c r="N89" s="155">
        <f>SUM('Pay App 1:Pay App 40'!L89)+SUM('Pay App 1:Pay App 40'!M89)</f>
        <v>0</v>
      </c>
    </row>
    <row r="90" spans="1:14" ht="11.25" customHeight="1" x14ac:dyDescent="0.25">
      <c r="A90" s="152">
        <v>34</v>
      </c>
      <c r="B90" s="174" t="str">
        <f>'Pay App 1'!B90</f>
        <v>07 60 00</v>
      </c>
      <c r="C90" s="179" t="str">
        <f>'Pay App 1'!C90</f>
        <v>Sheet Metal Flashing &amp; Trim</v>
      </c>
      <c r="D90" s="155">
        <f>'Pay App 1'!D90</f>
        <v>0</v>
      </c>
      <c r="E90" s="155">
        <f>VLOOKUP(B90,'Graph Data'!$O$2:$BX$88,42,FALSE)</f>
        <v>0</v>
      </c>
      <c r="F90" s="155">
        <f>IFERROR(E90+'Pay App 39'!F90,"")</f>
        <v>0</v>
      </c>
      <c r="G90" s="155">
        <f>SUM('Pay App 1:Pay App 39'!H90)</f>
        <v>0</v>
      </c>
      <c r="H90" s="154"/>
      <c r="I90" s="155">
        <f t="shared" si="0"/>
        <v>0</v>
      </c>
      <c r="J90" s="156">
        <f t="shared" si="1"/>
        <v>0</v>
      </c>
      <c r="K90" s="155">
        <f t="shared" si="2"/>
        <v>0</v>
      </c>
      <c r="L90" s="155" t="str">
        <f>IF(AND('Summary Sheet'!$E$23="No",$H$33&gt;0,H90&gt;=1),"",IF(AND('Summary Sheet'!$E$23="Yes",H90&lt;&gt;""),H90*'Summary Sheet'!$G$23,""))</f>
        <v/>
      </c>
      <c r="M90" s="154"/>
      <c r="N90" s="155">
        <f>SUM('Pay App 1:Pay App 40'!L90)+SUM('Pay App 1:Pay App 40'!M90)</f>
        <v>0</v>
      </c>
    </row>
    <row r="91" spans="1:14" ht="11.25" customHeight="1" x14ac:dyDescent="0.25">
      <c r="A91" s="152">
        <v>35</v>
      </c>
      <c r="B91" s="174" t="str">
        <f>'Pay App 1'!B91</f>
        <v>07 80 00</v>
      </c>
      <c r="C91" s="179" t="str">
        <f>'Pay App 1'!C91</f>
        <v>Fireproofing</v>
      </c>
      <c r="D91" s="155">
        <f>'Pay App 1'!D91</f>
        <v>0</v>
      </c>
      <c r="E91" s="155">
        <f>VLOOKUP(B91,'Graph Data'!$O$2:$BX$88,42,FALSE)</f>
        <v>0</v>
      </c>
      <c r="F91" s="155">
        <f>IFERROR(E91+'Pay App 39'!F91,"")</f>
        <v>0</v>
      </c>
      <c r="G91" s="155">
        <f>SUM('Pay App 1:Pay App 39'!H91)</f>
        <v>0</v>
      </c>
      <c r="H91" s="154"/>
      <c r="I91" s="155">
        <f t="shared" si="0"/>
        <v>0</v>
      </c>
      <c r="J91" s="156">
        <f t="shared" si="1"/>
        <v>0</v>
      </c>
      <c r="K91" s="155">
        <f t="shared" si="2"/>
        <v>0</v>
      </c>
      <c r="L91" s="155" t="str">
        <f>IF(AND('Summary Sheet'!$E$23="No",$H$33&gt;0,H91&gt;=1),"",IF(AND('Summary Sheet'!$E$23="Yes",H91&lt;&gt;""),H91*'Summary Sheet'!$G$23,""))</f>
        <v/>
      </c>
      <c r="M91" s="154"/>
      <c r="N91" s="155">
        <f>SUM('Pay App 1:Pay App 40'!L91)+SUM('Pay App 1:Pay App 40'!M91)</f>
        <v>0</v>
      </c>
    </row>
    <row r="92" spans="1:14" ht="11.25" customHeight="1" x14ac:dyDescent="0.25">
      <c r="A92" s="152">
        <v>36</v>
      </c>
      <c r="B92" s="174" t="str">
        <f>'Pay App 1'!B92</f>
        <v>07 90 00</v>
      </c>
      <c r="C92" s="179" t="str">
        <f>'Pay App 1'!C92</f>
        <v>Joint Sealants</v>
      </c>
      <c r="D92" s="155">
        <f>'Pay App 1'!D92</f>
        <v>0</v>
      </c>
      <c r="E92" s="155">
        <f>VLOOKUP(B92,'Graph Data'!$O$2:$BX$88,42,FALSE)</f>
        <v>0</v>
      </c>
      <c r="F92" s="155">
        <f>IFERROR(E92+'Pay App 39'!F92,"")</f>
        <v>0</v>
      </c>
      <c r="G92" s="155">
        <f>SUM('Pay App 1:Pay App 39'!H92)</f>
        <v>0</v>
      </c>
      <c r="H92" s="154"/>
      <c r="I92" s="155">
        <f t="shared" si="0"/>
        <v>0</v>
      </c>
      <c r="J92" s="156">
        <f t="shared" si="1"/>
        <v>0</v>
      </c>
      <c r="K92" s="155">
        <f t="shared" si="2"/>
        <v>0</v>
      </c>
      <c r="L92" s="155" t="str">
        <f>IF(AND('Summary Sheet'!$E$23="No",$H$33&gt;0,H92&gt;=1),"",IF(AND('Summary Sheet'!$E$23="Yes",H92&lt;&gt;""),H92*'Summary Sheet'!$G$23,""))</f>
        <v/>
      </c>
      <c r="M92" s="154"/>
      <c r="N92" s="155">
        <f>SUM('Pay App 1:Pay App 40'!L92)+SUM('Pay App 1:Pay App 40'!M92)</f>
        <v>0</v>
      </c>
    </row>
    <row r="93" spans="1:14" ht="11.25" customHeight="1" x14ac:dyDescent="0.25">
      <c r="A93" s="152">
        <v>37</v>
      </c>
      <c r="B93" s="174" t="str">
        <f>'Pay App 1'!B93</f>
        <v>07 95 00</v>
      </c>
      <c r="C93" s="179" t="str">
        <f>'Pay App 1'!C93</f>
        <v>Expansion Joints</v>
      </c>
      <c r="D93" s="155">
        <f>'Pay App 1'!D93</f>
        <v>0</v>
      </c>
      <c r="E93" s="155">
        <f>VLOOKUP(B93,'Graph Data'!$O$2:$BX$88,42,FALSE)</f>
        <v>0</v>
      </c>
      <c r="F93" s="155">
        <f>IFERROR(E93+'Pay App 39'!F93,"")</f>
        <v>0</v>
      </c>
      <c r="G93" s="155">
        <f>SUM('Pay App 1:Pay App 39'!H93)</f>
        <v>0</v>
      </c>
      <c r="H93" s="154"/>
      <c r="I93" s="155">
        <f t="shared" si="0"/>
        <v>0</v>
      </c>
      <c r="J93" s="156">
        <f t="shared" si="1"/>
        <v>0</v>
      </c>
      <c r="K93" s="155">
        <f t="shared" si="2"/>
        <v>0</v>
      </c>
      <c r="L93" s="155" t="str">
        <f>IF(AND('Summary Sheet'!$E$23="No",$H$33&gt;0,H93&gt;=1),"",IF(AND('Summary Sheet'!$E$23="Yes",H93&lt;&gt;""),H93*'Summary Sheet'!$G$23,""))</f>
        <v/>
      </c>
      <c r="M93" s="154"/>
      <c r="N93" s="155">
        <f>SUM('Pay App 1:Pay App 40'!L93)+SUM('Pay App 1:Pay App 40'!M93)</f>
        <v>0</v>
      </c>
    </row>
    <row r="94" spans="1:14" ht="11.25" customHeight="1" x14ac:dyDescent="0.25">
      <c r="A94" s="152">
        <v>38</v>
      </c>
      <c r="B94" s="175" t="str">
        <f>'Pay App 1'!B94</f>
        <v>08 10 00</v>
      </c>
      <c r="C94" s="180" t="str">
        <f>'Pay App 1'!C94</f>
        <v>Doors, Frames &amp; Hardware</v>
      </c>
      <c r="D94" s="155">
        <f>'Pay App 1'!D94</f>
        <v>0</v>
      </c>
      <c r="E94" s="155">
        <f>VLOOKUP(B94,'Graph Data'!$O$2:$BX$88,42,FALSE)</f>
        <v>0</v>
      </c>
      <c r="F94" s="155">
        <f>IFERROR(E94+'Pay App 39'!F94,"")</f>
        <v>0</v>
      </c>
      <c r="G94" s="155">
        <f>SUM('Pay App 1:Pay App 39'!H94)</f>
        <v>0</v>
      </c>
      <c r="H94" s="154"/>
      <c r="I94" s="155">
        <f t="shared" si="0"/>
        <v>0</v>
      </c>
      <c r="J94" s="156">
        <f t="shared" si="1"/>
        <v>0</v>
      </c>
      <c r="K94" s="155">
        <f t="shared" si="2"/>
        <v>0</v>
      </c>
      <c r="L94" s="155" t="str">
        <f>IF(AND('Summary Sheet'!$E$23="No",$H$33&gt;0,H94&gt;=1),"",IF(AND('Summary Sheet'!$E$23="Yes",H94&lt;&gt;""),H94*'Summary Sheet'!$G$23,""))</f>
        <v/>
      </c>
      <c r="M94" s="154"/>
      <c r="N94" s="155">
        <f>SUM('Pay App 1:Pay App 40'!L94)+SUM('Pay App 1:Pay App 40'!M94)</f>
        <v>0</v>
      </c>
    </row>
    <row r="95" spans="1:14" ht="11.25" customHeight="1" x14ac:dyDescent="0.25">
      <c r="A95" s="152">
        <v>39</v>
      </c>
      <c r="B95" s="175" t="str">
        <f>'Pay App 1'!B95</f>
        <v>08 30 00</v>
      </c>
      <c r="C95" s="180" t="str">
        <f>'Pay App 1'!C95</f>
        <v>Specialty Doors</v>
      </c>
      <c r="D95" s="155">
        <f>'Pay App 1'!D95</f>
        <v>0</v>
      </c>
      <c r="E95" s="155">
        <f>VLOOKUP(B95,'Graph Data'!$O$2:$BX$88,42,FALSE)</f>
        <v>0</v>
      </c>
      <c r="F95" s="155">
        <f>IFERROR(E95+'Pay App 39'!F95,"")</f>
        <v>0</v>
      </c>
      <c r="G95" s="155">
        <f>SUM('Pay App 1:Pay App 39'!H95)</f>
        <v>0</v>
      </c>
      <c r="H95" s="154"/>
      <c r="I95" s="155">
        <f t="shared" si="0"/>
        <v>0</v>
      </c>
      <c r="J95" s="156">
        <f t="shared" si="1"/>
        <v>0</v>
      </c>
      <c r="K95" s="155">
        <f t="shared" si="2"/>
        <v>0</v>
      </c>
      <c r="L95" s="155" t="str">
        <f>IF(AND('Summary Sheet'!$E$23="No",$H$33&gt;0,H95&gt;=1),"",IF(AND('Summary Sheet'!$E$23="Yes",H95&lt;&gt;""),H95*'Summary Sheet'!$G$23,""))</f>
        <v/>
      </c>
      <c r="M95" s="154"/>
      <c r="N95" s="155">
        <f>SUM('Pay App 1:Pay App 40'!L95)+SUM('Pay App 1:Pay App 40'!M95)</f>
        <v>0</v>
      </c>
    </row>
    <row r="96" spans="1:14" ht="11.25" customHeight="1" x14ac:dyDescent="0.25">
      <c r="A96" s="152">
        <v>40</v>
      </c>
      <c r="B96" s="175" t="str">
        <f>'Pay App 1'!B96</f>
        <v>08 33 00</v>
      </c>
      <c r="C96" s="180" t="str">
        <f>'Pay App 1'!C96</f>
        <v>Overhead Doors/Coiling Doors</v>
      </c>
      <c r="D96" s="155">
        <f>'Pay App 1'!D96</f>
        <v>0</v>
      </c>
      <c r="E96" s="155">
        <f>VLOOKUP(B96,'Graph Data'!$O$2:$BX$88,42,FALSE)</f>
        <v>0</v>
      </c>
      <c r="F96" s="155">
        <f>IFERROR(E96+'Pay App 39'!F96,"")</f>
        <v>0</v>
      </c>
      <c r="G96" s="155">
        <f>SUM('Pay App 1:Pay App 39'!H96)</f>
        <v>0</v>
      </c>
      <c r="H96" s="154"/>
      <c r="I96" s="155">
        <f t="shared" si="0"/>
        <v>0</v>
      </c>
      <c r="J96" s="156">
        <f t="shared" si="1"/>
        <v>0</v>
      </c>
      <c r="K96" s="155">
        <f t="shared" si="2"/>
        <v>0</v>
      </c>
      <c r="L96" s="155" t="str">
        <f>IF(AND('Summary Sheet'!$E$23="No",$H$33&gt;0,H96&gt;=1),"",IF(AND('Summary Sheet'!$E$23="Yes",H96&lt;&gt;""),H96*'Summary Sheet'!$G$23,""))</f>
        <v/>
      </c>
      <c r="M96" s="154"/>
      <c r="N96" s="155">
        <f>SUM('Pay App 1:Pay App 40'!L96)+SUM('Pay App 1:Pay App 40'!M96)</f>
        <v>0</v>
      </c>
    </row>
    <row r="97" spans="1:15" ht="11.25" customHeight="1" x14ac:dyDescent="0.25">
      <c r="A97" s="152">
        <v>41</v>
      </c>
      <c r="B97" s="175" t="str">
        <f>'Pay App 1'!B97</f>
        <v>08 40 00</v>
      </c>
      <c r="C97" s="180" t="str">
        <f>'Pay App 1'!C97</f>
        <v>Curtain Wall, Glass &amp; Glazing</v>
      </c>
      <c r="D97" s="155">
        <f>'Pay App 1'!D97</f>
        <v>0</v>
      </c>
      <c r="E97" s="155">
        <f>VLOOKUP(B97,'Graph Data'!$O$2:$BX$88,42,FALSE)</f>
        <v>0</v>
      </c>
      <c r="F97" s="155">
        <f>IFERROR(E97+'Pay App 39'!F97,"")</f>
        <v>0</v>
      </c>
      <c r="G97" s="155">
        <f>SUM('Pay App 1:Pay App 39'!H97)</f>
        <v>0</v>
      </c>
      <c r="H97" s="154"/>
      <c r="I97" s="155">
        <f t="shared" si="0"/>
        <v>0</v>
      </c>
      <c r="J97" s="156">
        <f t="shared" si="1"/>
        <v>0</v>
      </c>
      <c r="K97" s="155">
        <f t="shared" si="2"/>
        <v>0</v>
      </c>
      <c r="L97" s="155" t="str">
        <f>IF(AND('Summary Sheet'!$E$23="No",$H$33&gt;0,H97&gt;=1),"",IF(AND('Summary Sheet'!$E$23="Yes",H97&lt;&gt;""),H97*'Summary Sheet'!$G$23,""))</f>
        <v/>
      </c>
      <c r="M97" s="154"/>
      <c r="N97" s="155">
        <f>SUM('Pay App 1:Pay App 40'!L97)+SUM('Pay App 1:Pay App 40'!M97)</f>
        <v>0</v>
      </c>
    </row>
    <row r="98" spans="1:15" ht="10.9" customHeight="1" x14ac:dyDescent="0.25">
      <c r="A98" s="152">
        <v>42</v>
      </c>
      <c r="B98" s="175" t="str">
        <f>'Pay App 1'!B98</f>
        <v>08 60 00</v>
      </c>
      <c r="C98" s="180" t="str">
        <f>'Pay App 1'!C98</f>
        <v>Skylights</v>
      </c>
      <c r="D98" s="155">
        <f>'Pay App 1'!D98</f>
        <v>0</v>
      </c>
      <c r="E98" s="155">
        <f>VLOOKUP(B98,'Graph Data'!$O$2:$BX$88,42,FALSE)</f>
        <v>0</v>
      </c>
      <c r="F98" s="155">
        <f>IFERROR(E98+'Pay App 39'!F98,"")</f>
        <v>0</v>
      </c>
      <c r="G98" s="155">
        <f>SUM('Pay App 1:Pay App 39'!H98)</f>
        <v>0</v>
      </c>
      <c r="H98" s="154"/>
      <c r="I98" s="155">
        <f t="shared" si="0"/>
        <v>0</v>
      </c>
      <c r="J98" s="156">
        <f t="shared" si="1"/>
        <v>0</v>
      </c>
      <c r="K98" s="155">
        <f t="shared" si="2"/>
        <v>0</v>
      </c>
      <c r="L98" s="155" t="str">
        <f>IF(AND('Summary Sheet'!$E$23="No",$H$33&gt;0,H98&gt;=1),"",IF(AND('Summary Sheet'!$E$23="Yes",H98&lt;&gt;""),H98*'Summary Sheet'!$G$23,""))</f>
        <v/>
      </c>
      <c r="M98" s="154"/>
      <c r="N98" s="155">
        <f>SUM('Pay App 1:Pay App 40'!L98)+SUM('Pay App 1:Pay App 40'!M98)</f>
        <v>0</v>
      </c>
    </row>
    <row r="99" spans="1:15" ht="10.9" customHeight="1" x14ac:dyDescent="0.25">
      <c r="A99" s="152">
        <v>43</v>
      </c>
      <c r="B99" s="175" t="str">
        <f>'Pay App 1'!B99</f>
        <v>08 90 00</v>
      </c>
      <c r="C99" s="180" t="str">
        <f>'Pay App 1'!C99</f>
        <v>Louvers &amp; Vents</v>
      </c>
      <c r="D99" s="155">
        <f>'Pay App 1'!D99</f>
        <v>0</v>
      </c>
      <c r="E99" s="155">
        <f>VLOOKUP(B99,'Graph Data'!$O$2:$BX$88,42,FALSE)</f>
        <v>0</v>
      </c>
      <c r="F99" s="155">
        <f>IFERROR(E99+'Pay App 39'!F99,"")</f>
        <v>0</v>
      </c>
      <c r="G99" s="155">
        <f>SUM('Pay App 1:Pay App 39'!H99)</f>
        <v>0</v>
      </c>
      <c r="H99" s="154"/>
      <c r="I99" s="155">
        <f t="shared" si="0"/>
        <v>0</v>
      </c>
      <c r="J99" s="156">
        <f t="shared" si="1"/>
        <v>0</v>
      </c>
      <c r="K99" s="155">
        <f t="shared" si="2"/>
        <v>0</v>
      </c>
      <c r="L99" s="155" t="str">
        <f>IF(AND('Summary Sheet'!$E$23="No",$H$33&gt;0,H99&gt;=1),"",IF(AND('Summary Sheet'!$E$23="Yes",H99&lt;&gt;""),H99*'Summary Sheet'!$G$23,""))</f>
        <v/>
      </c>
      <c r="M99" s="154"/>
      <c r="N99" s="155">
        <f>SUM('Pay App 1:Pay App 40'!L99)+SUM('Pay App 1:Pay App 40'!M99)</f>
        <v>0</v>
      </c>
    </row>
    <row r="100" spans="1:15" ht="11.25" customHeight="1" x14ac:dyDescent="0.25">
      <c r="A100" s="153">
        <v>44</v>
      </c>
      <c r="B100" s="176" t="str">
        <f>'Pay App 1'!B100</f>
        <v>09 20 00</v>
      </c>
      <c r="C100" s="181" t="str">
        <f>'Pay App 1'!C100</f>
        <v>Gypsum Board Systems</v>
      </c>
      <c r="D100" s="155">
        <f>'Pay App 1'!D100</f>
        <v>0</v>
      </c>
      <c r="E100" s="155">
        <f>VLOOKUP(B100,'Graph Data'!$O$2:$BX$88,42,FALSE)</f>
        <v>0</v>
      </c>
      <c r="F100" s="155">
        <f>IFERROR(E100+'Pay App 39'!F100,"")</f>
        <v>0</v>
      </c>
      <c r="G100" s="155">
        <f>SUM('Pay App 1:Pay App 39'!H100)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40'!L100)+SUM('Pay App 1:Pay App 40'!M100)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40.200000000000003</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Data'!$O$2:$BX$88,42,FALSE)</f>
        <v>0</v>
      </c>
      <c r="F106" s="155">
        <f>IFERROR(E106+'Pay App 39'!F106,"")</f>
        <v>0</v>
      </c>
      <c r="G106" s="155">
        <f>SUM('Pay App 1:Pay App 39'!H106)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40'!L106)+SUM('Pay App 1:Pay App 40'!M106)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Data'!$O$2:$BX$88,42,FALSE)</f>
        <v>0</v>
      </c>
      <c r="F107" s="155">
        <f>IFERROR(E107+'Pay App 39'!F107,"")</f>
        <v>0</v>
      </c>
      <c r="G107" s="155">
        <f>SUM('Pay App 1:Pay App 39'!H107)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40'!L107)+SUM('Pay App 1:Pay App 40'!M107)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Data'!$O$2:$BX$88,42,FALSE)</f>
        <v>0</v>
      </c>
      <c r="F108" s="155">
        <f>IFERROR(E108+'Pay App 39'!F108,"")</f>
        <v>0</v>
      </c>
      <c r="G108" s="155">
        <f>SUM('Pay App 1:Pay App 39'!H108)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40'!L108)+SUM('Pay App 1:Pay App 40'!M108)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Data'!$O$2:$BX$88,42,FALSE)</f>
        <v>0</v>
      </c>
      <c r="F109" s="155">
        <f>IFERROR(E109+'Pay App 39'!F109,"")</f>
        <v>0</v>
      </c>
      <c r="G109" s="155">
        <f>SUM('Pay App 1:Pay App 39'!H109)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40'!L109)+SUM('Pay App 1:Pay App 40'!M109)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Data'!$O$2:$BX$88,42,FALSE)</f>
        <v>0</v>
      </c>
      <c r="F110" s="155">
        <f>IFERROR(E110+'Pay App 39'!F110,"")</f>
        <v>0</v>
      </c>
      <c r="G110" s="155">
        <f>SUM('Pay App 1:Pay App 39'!H110)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40'!L110)+SUM('Pay App 1:Pay App 40'!M110)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Data'!$O$2:$BX$88,42,FALSE)</f>
        <v>0</v>
      </c>
      <c r="F111" s="155">
        <f>IFERROR(E111+'Pay App 39'!F111,"")</f>
        <v>0</v>
      </c>
      <c r="G111" s="155">
        <f>SUM('Pay App 1:Pay App 39'!H111)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40'!L111)+SUM('Pay App 1:Pay App 40'!M111)</f>
        <v>0</v>
      </c>
    </row>
    <row r="112" spans="1:15" ht="11.25" customHeight="1" x14ac:dyDescent="0.25">
      <c r="A112" s="152">
        <f t="shared" si="3"/>
        <v>51</v>
      </c>
      <c r="B112" s="148" t="str">
        <f>'Pay App 1'!B112</f>
        <v>09 90 00</v>
      </c>
      <c r="C112" s="143" t="str">
        <f>'Pay App 1'!C112</f>
        <v>Painting</v>
      </c>
      <c r="D112" s="155">
        <f>'Pay App 1'!D112</f>
        <v>0</v>
      </c>
      <c r="E112" s="155">
        <f>VLOOKUP(B112,'Graph Data'!$O$2:$BX$88,42,FALSE)</f>
        <v>0</v>
      </c>
      <c r="F112" s="155">
        <f>IFERROR(E112+'Pay App 39'!F112,"")</f>
        <v>0</v>
      </c>
      <c r="G112" s="155">
        <f>SUM('Pay App 1:Pay App 39'!H112)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40'!L112)+SUM('Pay App 1:Pay App 40'!M112)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Data'!$O$2:$BX$88,42,FALSE)</f>
        <v>0</v>
      </c>
      <c r="F113" s="155">
        <f>IFERROR(E113+'Pay App 39'!F113,"")</f>
        <v>0</v>
      </c>
      <c r="G113" s="155">
        <f>SUM('Pay App 1:Pay App 39'!H113)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40'!L113)+SUM('Pay App 1:Pay App 40'!M113)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Data'!$O$2:$BX$88,42,FALSE)</f>
        <v>0</v>
      </c>
      <c r="F114" s="155">
        <f>IFERROR(E114+'Pay App 39'!F114,"")</f>
        <v>0</v>
      </c>
      <c r="G114" s="155">
        <f>SUM('Pay App 1:Pay App 39'!H114)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40'!L114)+SUM('Pay App 1:Pay App 40'!M114)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Data'!$O$2:$BX$88,42,FALSE)</f>
        <v>0</v>
      </c>
      <c r="F115" s="155">
        <f>IFERROR(E115+'Pay App 39'!F115,"")</f>
        <v>0</v>
      </c>
      <c r="G115" s="155">
        <f>SUM('Pay App 1:Pay App 39'!H115)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40'!L115)+SUM('Pay App 1:Pay App 40'!M115)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Data'!$O$2:$BX$88,42,FALSE)</f>
        <v>0</v>
      </c>
      <c r="F116" s="155">
        <f>IFERROR(E116+'Pay App 39'!F116,"")</f>
        <v>0</v>
      </c>
      <c r="G116" s="155">
        <f>SUM('Pay App 1:Pay App 39'!H116)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40'!L116)+SUM('Pay App 1:Pay App 40'!M116)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Data'!$O$2:$BX$88,42,FALSE)</f>
        <v>0</v>
      </c>
      <c r="F117" s="155">
        <f>IFERROR(E117+'Pay App 39'!F117,"")</f>
        <v>0</v>
      </c>
      <c r="G117" s="155">
        <f>SUM('Pay App 1:Pay App 39'!H117)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40'!L117)+SUM('Pay App 1:Pay App 40'!M117)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Data'!$O$2:$BX$88,42,FALSE)</f>
        <v>0</v>
      </c>
      <c r="F118" s="155">
        <f>IFERROR(E118+'Pay App 39'!F118,"")</f>
        <v>0</v>
      </c>
      <c r="G118" s="155">
        <f>SUM('Pay App 1:Pay App 39'!H118)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40'!L118)+SUM('Pay App 1:Pay App 40'!M118)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Data'!$O$2:$BX$88,42,FALSE)</f>
        <v>0</v>
      </c>
      <c r="F119" s="155">
        <f>IFERROR(E119+'Pay App 39'!F119,"")</f>
        <v>0</v>
      </c>
      <c r="G119" s="155">
        <f>SUM('Pay App 1:Pay App 39'!H119)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40'!L119)+SUM('Pay App 1:Pay App 40'!M119)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Data'!$O$2:$BX$88,42,FALSE)</f>
        <v>0</v>
      </c>
      <c r="F120" s="155">
        <f>IFERROR(E120+'Pay App 39'!F120,"")</f>
        <v>0</v>
      </c>
      <c r="G120" s="155">
        <f>SUM('Pay App 1:Pay App 39'!H120)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40'!L120)+SUM('Pay App 1:Pay App 40'!M120)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Data'!$O$2:$BX$88,42,FALSE)</f>
        <v>0</v>
      </c>
      <c r="F121" s="155">
        <f>IFERROR(E121+'Pay App 39'!F121,"")</f>
        <v>0</v>
      </c>
      <c r="G121" s="155">
        <f>SUM('Pay App 1:Pay App 39'!H121)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40'!L121)+SUM('Pay App 1:Pay App 40'!M121)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Data'!$O$2:$BX$88,42,FALSE)</f>
        <v>0</v>
      </c>
      <c r="F122" s="155">
        <f>IFERROR(E122+'Pay App 39'!F122,"")</f>
        <v>0</v>
      </c>
      <c r="G122" s="155">
        <f>SUM('Pay App 1:Pay App 39'!H122)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40'!L122)+SUM('Pay App 1:Pay App 40'!M122)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Data'!$O$2:$BX$88,42,FALSE)</f>
        <v>0</v>
      </c>
      <c r="F123" s="155">
        <f>IFERROR(E123+'Pay App 39'!F123,"")</f>
        <v>0</v>
      </c>
      <c r="G123" s="155">
        <f>SUM('Pay App 1:Pay App 39'!H123)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40'!L123)+SUM('Pay App 1:Pay App 40'!M123)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Data'!$O$2:$BX$88,42,FALSE)</f>
        <v>0</v>
      </c>
      <c r="F124" s="155">
        <f>IFERROR(E124+'Pay App 39'!F124,"")</f>
        <v>0</v>
      </c>
      <c r="G124" s="155">
        <f>SUM('Pay App 1:Pay App 39'!H124)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40'!L124)+SUM('Pay App 1:Pay App 40'!M124)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Data'!$O$2:$BX$88,42,FALSE)</f>
        <v>0</v>
      </c>
      <c r="F125" s="155">
        <f>IFERROR(E125+'Pay App 39'!F125,"")</f>
        <v>0</v>
      </c>
      <c r="G125" s="155">
        <f>SUM('Pay App 1:Pay App 39'!H125)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40'!L125)+SUM('Pay App 1:Pay App 40'!M125)</f>
        <v>0</v>
      </c>
    </row>
    <row r="126" spans="1:14" ht="11.25" customHeight="1" x14ac:dyDescent="0.25">
      <c r="A126" s="152">
        <f t="shared" si="3"/>
        <v>65</v>
      </c>
      <c r="B126" s="188" t="str">
        <f>'Pay App 1'!B126</f>
        <v>14 20 00</v>
      </c>
      <c r="C126" s="194" t="str">
        <f>'Pay App 1'!C126</f>
        <v>Elevator</v>
      </c>
      <c r="D126" s="155">
        <f>'Pay App 1'!D126</f>
        <v>0</v>
      </c>
      <c r="E126" s="155">
        <f>VLOOKUP(B126,'Graph Data'!$O$2:$BX$88,42,FALSE)</f>
        <v>0</v>
      </c>
      <c r="F126" s="155">
        <f>IFERROR(E126+'Pay App 39'!F126,"")</f>
        <v>0</v>
      </c>
      <c r="G126" s="155">
        <f>SUM('Pay App 1:Pay App 39'!H126)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40'!L126)+SUM('Pay App 1:Pay App 40'!M126)</f>
        <v>0</v>
      </c>
    </row>
    <row r="127" spans="1:14" ht="11.25" customHeight="1" x14ac:dyDescent="0.25">
      <c r="A127" s="152">
        <f t="shared" si="3"/>
        <v>66</v>
      </c>
      <c r="B127" s="188" t="str">
        <f>'Pay App 1'!B127</f>
        <v>14 40 00</v>
      </c>
      <c r="C127" s="194" t="str">
        <f>'Pay App 1'!C127</f>
        <v>Lifts</v>
      </c>
      <c r="D127" s="155">
        <f>'Pay App 1'!D127</f>
        <v>0</v>
      </c>
      <c r="E127" s="155">
        <f>VLOOKUP(B127,'Graph Data'!$O$2:$BX$88,42,FALSE)</f>
        <v>0</v>
      </c>
      <c r="F127" s="155">
        <f>IFERROR(E127+'Pay App 39'!F127,"")</f>
        <v>0</v>
      </c>
      <c r="G127" s="155">
        <f>SUM('Pay App 1:Pay App 39'!H127)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40'!L127)+SUM('Pay App 1:Pay App 40'!M127)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Data'!$O$2:$BX$88,42,FALSE)</f>
        <v>0</v>
      </c>
      <c r="F128" s="155">
        <f>IFERROR(E128+'Pay App 39'!F128,"")</f>
        <v>0</v>
      </c>
      <c r="G128" s="155">
        <f>SUM('Pay App 1:Pay App 39'!H128)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40'!L128)+SUM('Pay App 1:Pay App 40'!M128)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Data'!$O$2:$BX$88,42,FALSE)</f>
        <v>0</v>
      </c>
      <c r="F129" s="155">
        <f>IFERROR(E129+'Pay App 39'!F129,"")</f>
        <v>0</v>
      </c>
      <c r="G129" s="155">
        <f>SUM('Pay App 1:Pay App 39'!H129)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40'!L129)+SUM('Pay App 1:Pay App 40'!M129)</f>
        <v>0</v>
      </c>
    </row>
    <row r="130" spans="1:14" ht="11.25" customHeight="1" x14ac:dyDescent="0.25">
      <c r="A130" s="152">
        <f t="shared" si="3"/>
        <v>69</v>
      </c>
      <c r="B130" s="185" t="str">
        <f>'Pay App 1'!B130</f>
        <v>22 00 00</v>
      </c>
      <c r="C130" s="191" t="str">
        <f>'Pay App 1'!C130</f>
        <v>Plumbing</v>
      </c>
      <c r="D130" s="155">
        <f>'Pay App 1'!D130</f>
        <v>0</v>
      </c>
      <c r="E130" s="155">
        <f>VLOOKUP(B130,'Graph Data'!$O$2:$BX$88,42,FALSE)</f>
        <v>0</v>
      </c>
      <c r="F130" s="155">
        <f>IFERROR(E130+'Pay App 39'!F130,"")</f>
        <v>0</v>
      </c>
      <c r="G130" s="155">
        <f>SUM('Pay App 1:Pay App 39'!H130)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40'!L130)+SUM('Pay App 1:Pay App 40'!M130)</f>
        <v>0</v>
      </c>
    </row>
    <row r="131" spans="1:14" ht="11.25" customHeight="1" x14ac:dyDescent="0.25">
      <c r="A131" s="152">
        <f t="shared" si="3"/>
        <v>70</v>
      </c>
      <c r="B131" s="186" t="str">
        <f>'Pay App 1'!B131</f>
        <v>23 00 00</v>
      </c>
      <c r="C131" s="192" t="str">
        <f>'Pay App 1'!C131</f>
        <v>HVAC</v>
      </c>
      <c r="D131" s="155">
        <f>'Pay App 1'!D131</f>
        <v>0</v>
      </c>
      <c r="E131" s="155">
        <f>VLOOKUP(B131,'Graph Data'!$O$2:$BX$88,42,FALSE)</f>
        <v>0</v>
      </c>
      <c r="F131" s="155">
        <f>IFERROR(E131+'Pay App 39'!F131,"")</f>
        <v>0</v>
      </c>
      <c r="G131" s="155">
        <f>SUM('Pay App 1:Pay App 39'!H131)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40'!L131)+SUM('Pay App 1:Pay App 40'!M131)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Data'!$O$2:$BX$88,42,FALSE)</f>
        <v>0</v>
      </c>
      <c r="F132" s="155">
        <f>IFERROR(E132+'Pay App 39'!F132,"")</f>
        <v>0</v>
      </c>
      <c r="G132" s="155">
        <f>SUM('Pay App 1:Pay App 39'!H132)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40'!L132)+SUM('Pay App 1:Pay App 40'!M132)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Data'!$O$2:$BX$88,42,FALSE)</f>
        <v>0</v>
      </c>
      <c r="F133" s="155">
        <f>IFERROR(E133+'Pay App 39'!F133,"")</f>
        <v>0</v>
      </c>
      <c r="G133" s="155">
        <f>SUM('Pay App 1:Pay App 39'!H133)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40'!L133)+SUM('Pay App 1:Pay App 40'!M133)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Data'!$O$2:$BX$88,42,FALSE)</f>
        <v>0</v>
      </c>
      <c r="F134" s="155">
        <f>IFERROR(E134+'Pay App 39'!F134,"")</f>
        <v>0</v>
      </c>
      <c r="G134" s="155">
        <f>SUM('Pay App 1:Pay App 39'!H134)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40'!L134)+SUM('Pay App 1:Pay App 40'!M134)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Data'!$O$2:$BX$88,42,FALSE)</f>
        <v>0</v>
      </c>
      <c r="F135" s="155">
        <f>IFERROR(E135+'Pay App 39'!F135,"")</f>
        <v>0</v>
      </c>
      <c r="G135" s="155">
        <f>SUM('Pay App 1:Pay App 39'!H135)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40'!L135)+SUM('Pay App 1:Pay App 40'!M135)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Data'!$O$2:$BX$88,42,FALSE)</f>
        <v>0</v>
      </c>
      <c r="F136" s="155">
        <f>IFERROR(E136+'Pay App 39'!F136,"")</f>
        <v>0</v>
      </c>
      <c r="G136" s="155">
        <f>SUM('Pay App 1:Pay App 39'!H136)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40'!L136)+SUM('Pay App 1:Pay App 40'!M136)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Data'!$O$2:$BX$88,42,FALSE)</f>
        <v>0</v>
      </c>
      <c r="F137" s="155">
        <f>IFERROR(E137+'Pay App 39'!F137,"")</f>
        <v>0</v>
      </c>
      <c r="G137" s="155">
        <f>SUM('Pay App 1:Pay App 39'!H137)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40'!L137)+SUM('Pay App 1:Pay App 40'!M137)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Data'!$O$2:$BX$88,42,FALSE)</f>
        <v>0</v>
      </c>
      <c r="F138" s="155">
        <f>IFERROR(E138+'Pay App 39'!F138,"")</f>
        <v>0</v>
      </c>
      <c r="G138" s="155">
        <f>SUM('Pay App 1:Pay App 39'!H138)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40'!L138)+SUM('Pay App 1:Pay App 40'!M138)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Data'!$O$2:$BX$88,42,FALSE)</f>
        <v>0</v>
      </c>
      <c r="F139" s="155">
        <f>IFERROR(E139+'Pay App 39'!F139,"")</f>
        <v>0</v>
      </c>
      <c r="G139" s="155">
        <f>SUM('Pay App 1:Pay App 39'!H139)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40'!L139)+SUM('Pay App 1:Pay App 40'!M139)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Data'!$O$2:$BX$88,42,FALSE)</f>
        <v>0</v>
      </c>
      <c r="F140" s="155">
        <f>IFERROR(E140+'Pay App 39'!F140,"")</f>
        <v>0</v>
      </c>
      <c r="G140" s="155">
        <f>SUM('Pay App 1:Pay App 39'!H140)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40'!L140)+SUM('Pay App 1:Pay App 40'!M140)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Data'!$O$2:$BX$88,42,FALSE)</f>
        <v>0</v>
      </c>
      <c r="F141" s="155">
        <f>IFERROR(E141+'Pay App 39'!F141,"")</f>
        <v>0</v>
      </c>
      <c r="G141" s="155">
        <f>SUM('Pay App 1:Pay App 39'!H141)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40'!L141)+SUM('Pay App 1:Pay App 40'!M141)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Data'!$O$2:$BX$88,42,FALSE)</f>
        <v>0</v>
      </c>
      <c r="F142" s="155">
        <f>IFERROR(E142+'Pay App 39'!F142,"")</f>
        <v>0</v>
      </c>
      <c r="G142" s="155">
        <f>SUM('Pay App 1:Pay App 39'!H142)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40'!L142)+SUM('Pay App 1:Pay App 40'!M142)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Data'!$O$2:$BX$88,42,FALSE)</f>
        <v>0</v>
      </c>
      <c r="F143" s="155">
        <f>IFERROR(E143+'Pay App 39'!F143,"")</f>
        <v>0</v>
      </c>
      <c r="G143" s="155">
        <f>SUM('Pay App 1:Pay App 39'!H143)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40'!L143)+SUM('Pay App 1:Pay App 40'!M143)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Data'!$O$2:$BX$88,42,FALSE)</f>
        <v>0</v>
      </c>
      <c r="F144" s="155">
        <f>IFERROR(E144+'Pay App 39'!F144,"")</f>
        <v>0</v>
      </c>
      <c r="G144" s="155">
        <f>SUM('Pay App 1:Pay App 39'!H144)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40'!L144)+SUM('Pay App 1:Pay App 40'!M144)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Data'!$O$2:$BX$88,42,FALSE)</f>
        <v>0</v>
      </c>
      <c r="F145" s="155">
        <f>IFERROR(E145+'Pay App 39'!F145,"")</f>
        <v>0</v>
      </c>
      <c r="G145" s="155">
        <f>SUM('Pay App 1:Pay App 39'!H145)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40'!L145)+SUM('Pay App 1:Pay App 40'!M145)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Data'!$O$2:$BX$88,42,FALSE)</f>
        <v>0</v>
      </c>
      <c r="F146" s="155">
        <f>IFERROR(E146+'Pay App 39'!F146,"")</f>
        <v>0</v>
      </c>
      <c r="G146" s="155">
        <f>SUM('Pay App 1:Pay App 39'!H146)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40'!L146)+SUM('Pay App 1:Pay App 40'!M146)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Data'!$O$2:$BX$88,42,FALSE)</f>
        <v>0</v>
      </c>
      <c r="F147" s="155">
        <f>IFERROR(E147+'Pay App 39'!F147,"")</f>
        <v>0</v>
      </c>
      <c r="G147" s="155">
        <f>SUM('Pay App 1:Pay App 39'!H147)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40'!L147)+SUM('Pay App 1:Pay App 40'!M147)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Data'!$O$2:$BX$88,42,FALSE)</f>
        <v>0</v>
      </c>
      <c r="F148" s="155">
        <f>IFERROR(E148+'Pay App 39'!F148,"")</f>
        <v>0</v>
      </c>
      <c r="G148" s="155">
        <f>SUM('Pay App 1:Pay App 39'!H148)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40'!L148)+SUM('Pay App 1:Pay App 40'!M148)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8ta5epZsYv3X7k2v+CAAye2XjDromvhYQdDok24qxXvsH3LdFQxYLduCeKqELBWJLHUlzeho9wdM4ZKWTWLKSA==" saltValue="Opa576SQrgRdDnv0upOJo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30" priority="2" operator="equal">
      <formula>0</formula>
    </cfRule>
  </conditionalFormatting>
  <conditionalFormatting sqref="D106:G148">
    <cfRule type="cellIs" dxfId="229" priority="1" operator="equal">
      <formula>0</formula>
    </cfRule>
  </conditionalFormatting>
  <conditionalFormatting sqref="D10:H10 D12:H14 D19:H21">
    <cfRule type="cellIs" dxfId="228" priority="6" operator="equal">
      <formula>0</formula>
    </cfRule>
  </conditionalFormatting>
  <conditionalFormatting sqref="H51">
    <cfRule type="cellIs" dxfId="227" priority="9" operator="lessThan">
      <formula>0</formula>
    </cfRule>
  </conditionalFormatting>
  <conditionalFormatting sqref="I57:I100 K57:K100 I106:I148 K106:K148 N106:N148">
    <cfRule type="cellIs" dxfId="226" priority="14" operator="equal">
      <formula>0</formula>
    </cfRule>
  </conditionalFormatting>
  <conditionalFormatting sqref="J57:J100 J106:J149">
    <cfRule type="cellIs" dxfId="225" priority="11" operator="greaterThan">
      <formula>1</formula>
    </cfRule>
    <cfRule type="cellIs" dxfId="224" priority="12" operator="equal">
      <formula>0</formula>
    </cfRule>
  </conditionalFormatting>
  <conditionalFormatting sqref="K57:K100 K106:K148">
    <cfRule type="cellIs" dxfId="223" priority="10" operator="lessThan">
      <formula>0</formula>
    </cfRule>
  </conditionalFormatting>
  <conditionalFormatting sqref="M57:M100">
    <cfRule type="cellIs" dxfId="222" priority="13" operator="lessThan">
      <formula>0</formula>
    </cfRule>
  </conditionalFormatting>
  <conditionalFormatting sqref="M106:M148">
    <cfRule type="cellIs" dxfId="221" priority="8" operator="lessThan">
      <formula>0</formula>
    </cfRule>
  </conditionalFormatting>
  <conditionalFormatting sqref="N57:N100">
    <cfRule type="cellIs" dxfId="22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2935D6BF-999F-41A7-B5D3-7793B89D1CE9}">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57F206B-CD29-4CC3-A64B-8DD3980C2AE4}">
          <x14:formula1>
            <xm:f>'Graph Data'!$M$74:$M$76</xm:f>
          </x14:formula1>
          <xm:sqref>G17</xm:sqref>
        </x14:dataValidation>
      </x14:dataValidation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7E546-90F5-414A-B1CD-4CAAD476C88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41</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41'!E149)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41'!G41)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40'!H49)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41.1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Data'!$O$2:$BX$88,43,FALSE)</f>
        <v>0</v>
      </c>
      <c r="F57" s="155">
        <f>IFERROR(E57+'Pay App 40'!F57,"")</f>
        <v>0</v>
      </c>
      <c r="G57" s="155">
        <f>SUM('Pay App 1:Pay App 40'!H57)</f>
        <v>0</v>
      </c>
      <c r="H57" s="154"/>
      <c r="I57" s="155">
        <f>G57+H57</f>
        <v>0</v>
      </c>
      <c r="J57" s="156">
        <f>IFERROR(I57/F57,0)</f>
        <v>0</v>
      </c>
      <c r="K57" s="155">
        <f>IFERROR(F57-I57,"")</f>
        <v>0</v>
      </c>
      <c r="L57" s="155" t="str">
        <f>IF(AND('Summary Sheet'!$E$23="No",$H$33&gt;0,H57&gt;=1),"",IF(AND('Summary Sheet'!$E$23="Yes",H57&lt;&gt;""),H57*'Summary Sheet'!$G$23,""))</f>
        <v/>
      </c>
      <c r="M57" s="154"/>
      <c r="N57" s="155">
        <f>SUM('Pay App 1:Pay App 41'!L57)+SUM('Pay App 1:Pay App 41'!M57)</f>
        <v>0</v>
      </c>
    </row>
    <row r="58" spans="1:16" ht="11.25" customHeight="1" x14ac:dyDescent="0.25">
      <c r="A58" s="152">
        <v>2</v>
      </c>
      <c r="B58" s="145" t="str">
        <f>'Pay App 1'!B58</f>
        <v>00 02 00</v>
      </c>
      <c r="C58" s="134" t="str">
        <f>'Pay App 1'!C58</f>
        <v>Preconstruction Services</v>
      </c>
      <c r="D58" s="155">
        <f>'Pay App 1'!D58</f>
        <v>0</v>
      </c>
      <c r="E58" s="155">
        <f>VLOOKUP(B58,'Graph Data'!$O$2:$BX$88,43,FALSE)</f>
        <v>0</v>
      </c>
      <c r="F58" s="155">
        <f>IFERROR(E58+'Pay App 40'!F58,"")</f>
        <v>0</v>
      </c>
      <c r="G58" s="155">
        <f>SUM('Pay App 1:Pay App 40'!H58)</f>
        <v>0</v>
      </c>
      <c r="H58" s="154"/>
      <c r="I58" s="155">
        <f>G58+H58</f>
        <v>0</v>
      </c>
      <c r="J58" s="156">
        <f>IFERROR(I58/F58,0)</f>
        <v>0</v>
      </c>
      <c r="K58" s="155">
        <f>IFERROR(F58-I58,"")</f>
        <v>0</v>
      </c>
      <c r="L58" s="155" t="str">
        <f>IF(AND('Summary Sheet'!$E$23="No",$H$33&gt;0,H58&gt;=1),"",IF(AND('Summary Sheet'!$E$23="Yes",H58&lt;&gt;""),H58*'Summary Sheet'!$G$23,""))</f>
        <v/>
      </c>
      <c r="M58" s="154"/>
      <c r="N58" s="155">
        <f>SUM('Pay App 1:Pay App 41'!L58)+SUM('Pay App 1:Pay App 41'!M58)</f>
        <v>0</v>
      </c>
    </row>
    <row r="59" spans="1:16" ht="11.25" customHeight="1" x14ac:dyDescent="0.25">
      <c r="A59" s="152">
        <v>3</v>
      </c>
      <c r="B59" s="174" t="str">
        <f>'Pay App 1'!B59</f>
        <v>01 00 00</v>
      </c>
      <c r="C59" s="179" t="str">
        <f>'Pay App 1'!C59</f>
        <v>General Conditions/Requirements</v>
      </c>
      <c r="D59" s="155">
        <f>'Pay App 1'!D59</f>
        <v>0</v>
      </c>
      <c r="E59" s="155">
        <f>VLOOKUP(B59,'Graph Data'!$O$2:$BX$88,43,FALSE)</f>
        <v>0</v>
      </c>
      <c r="F59" s="155">
        <f>IFERROR(E59+'Pay App 40'!F59,"")</f>
        <v>0</v>
      </c>
      <c r="G59" s="155">
        <f>SUM('Pay App 1:Pay App 40'!H59)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41'!L59)+SUM('Pay App 1:Pay App 41'!M59)</f>
        <v>0</v>
      </c>
    </row>
    <row r="60" spans="1:16" ht="11.25" customHeight="1" x14ac:dyDescent="0.25">
      <c r="A60" s="152">
        <v>4</v>
      </c>
      <c r="B60" s="174" t="str">
        <f>'Pay App 1'!B60</f>
        <v>01 13 41</v>
      </c>
      <c r="C60" s="179" t="str">
        <f>'Pay App 1'!C60</f>
        <v>Temp. Scaffolding and Platforms</v>
      </c>
      <c r="D60" s="155">
        <f>'Pay App 1'!D60</f>
        <v>0</v>
      </c>
      <c r="E60" s="155">
        <f>VLOOKUP(B60,'Graph Data'!$O$2:$BX$88,43,FALSE)</f>
        <v>0</v>
      </c>
      <c r="F60" s="155">
        <f>IFERROR(E60+'Pay App 40'!F60,"")</f>
        <v>0</v>
      </c>
      <c r="G60" s="155">
        <f>SUM('Pay App 1:Pay App 40'!H60)</f>
        <v>0</v>
      </c>
      <c r="H60" s="154"/>
      <c r="I60" s="155">
        <f t="shared" si="0"/>
        <v>0</v>
      </c>
      <c r="J60" s="156">
        <f t="shared" si="1"/>
        <v>0</v>
      </c>
      <c r="K60" s="155">
        <f t="shared" si="2"/>
        <v>0</v>
      </c>
      <c r="L60" s="155" t="str">
        <f>IF(AND('Summary Sheet'!$E$23="No",$H$33&gt;0,H60&gt;=1),"",IF(AND('Summary Sheet'!$E$23="Yes",H60&lt;&gt;""),H60*'Summary Sheet'!$G$23,""))</f>
        <v/>
      </c>
      <c r="M60" s="154"/>
      <c r="N60" s="155">
        <f>SUM('Pay App 1:Pay App 41'!L60)+SUM('Pay App 1:Pay App 41'!M60)</f>
        <v>0</v>
      </c>
    </row>
    <row r="61" spans="1:16" ht="11.25" customHeight="1" x14ac:dyDescent="0.25">
      <c r="A61" s="152">
        <v>5</v>
      </c>
      <c r="B61" s="174" t="str">
        <f>'Pay App 1'!B61</f>
        <v>01 13 60</v>
      </c>
      <c r="C61" s="179" t="str">
        <f>'Pay App 1'!C61</f>
        <v>SWPPP</v>
      </c>
      <c r="D61" s="155">
        <f>'Pay App 1'!D61</f>
        <v>0</v>
      </c>
      <c r="E61" s="155">
        <f>VLOOKUP(B61,'Graph Data'!$O$2:$BX$88,43,FALSE)</f>
        <v>0</v>
      </c>
      <c r="F61" s="155">
        <f>IFERROR(E61+'Pay App 40'!F61,"")</f>
        <v>0</v>
      </c>
      <c r="G61" s="155">
        <f>SUM('Pay App 1:Pay App 40'!H61)</f>
        <v>0</v>
      </c>
      <c r="H61" s="154"/>
      <c r="I61" s="155">
        <f t="shared" si="0"/>
        <v>0</v>
      </c>
      <c r="J61" s="156">
        <f t="shared" si="1"/>
        <v>0</v>
      </c>
      <c r="K61" s="155">
        <f t="shared" si="2"/>
        <v>0</v>
      </c>
      <c r="L61" s="155" t="str">
        <f>IF(AND('Summary Sheet'!$E$23="No",$H$33&gt;0,H61&gt;=1),"",IF(AND('Summary Sheet'!$E$23="Yes",H61&lt;&gt;""),H61*'Summary Sheet'!$G$23,""))</f>
        <v/>
      </c>
      <c r="M61" s="154"/>
      <c r="N61" s="155">
        <f>SUM('Pay App 1:Pay App 41'!L61)+SUM('Pay App 1:Pay App 41'!M61)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Data'!$O$2:$BX$88,43,FALSE)</f>
        <v>0</v>
      </c>
      <c r="F62" s="155">
        <f>IFERROR(E62+'Pay App 40'!F62,"")</f>
        <v>0</v>
      </c>
      <c r="G62" s="155">
        <f>SUM('Pay App 1:Pay App 40'!H62)</f>
        <v>0</v>
      </c>
      <c r="H62" s="154"/>
      <c r="I62" s="155">
        <f t="shared" si="0"/>
        <v>0</v>
      </c>
      <c r="J62" s="156">
        <f t="shared" si="1"/>
        <v>0</v>
      </c>
      <c r="K62" s="155">
        <f t="shared" si="2"/>
        <v>0</v>
      </c>
      <c r="L62" s="155" t="str">
        <f>IF(AND('Summary Sheet'!$E$23="No",$H$33&gt;0,H62&gt;=1),"",IF(AND('Summary Sheet'!$E$23="Yes",H62&lt;&gt;""),H62*'Summary Sheet'!$G$23,""))</f>
        <v/>
      </c>
      <c r="M62" s="154"/>
      <c r="N62" s="155">
        <f>SUM('Pay App 1:Pay App 41'!L62)+SUM('Pay App 1:Pay App 41'!M62)</f>
        <v>0</v>
      </c>
    </row>
    <row r="63" spans="1:16" ht="11.25" customHeight="1" x14ac:dyDescent="0.25">
      <c r="A63" s="152">
        <v>7</v>
      </c>
      <c r="B63" s="174" t="str">
        <f>'Pay App 1'!B63</f>
        <v>01 31 00</v>
      </c>
      <c r="C63" s="179" t="str">
        <f>'Pay App 1'!C63</f>
        <v>Contractor's Supervision</v>
      </c>
      <c r="D63" s="155">
        <f>'Pay App 1'!D63</f>
        <v>0</v>
      </c>
      <c r="E63" s="155">
        <f>VLOOKUP(B63,'Graph Data'!$O$2:$BX$88,43,FALSE)</f>
        <v>0</v>
      </c>
      <c r="F63" s="155">
        <f>IFERROR(E63+'Pay App 40'!F63,"")</f>
        <v>0</v>
      </c>
      <c r="G63" s="155">
        <f>SUM('Pay App 1:Pay App 40'!H63)</f>
        <v>0</v>
      </c>
      <c r="H63" s="154"/>
      <c r="I63" s="155">
        <f t="shared" si="0"/>
        <v>0</v>
      </c>
      <c r="J63" s="156">
        <f t="shared" si="1"/>
        <v>0</v>
      </c>
      <c r="K63" s="155">
        <f t="shared" si="2"/>
        <v>0</v>
      </c>
      <c r="L63" s="155" t="str">
        <f>IF(AND('Summary Sheet'!$E$23="No",$H$33&gt;0,H63&gt;=1),"",IF(AND('Summary Sheet'!$E$23="Yes",H63&lt;&gt;""),H63*'Summary Sheet'!$G$23,""))</f>
        <v/>
      </c>
      <c r="M63" s="154"/>
      <c r="N63" s="155">
        <f>SUM('Pay App 1:Pay App 41'!L63)+SUM('Pay App 1:Pay App 41'!M63)</f>
        <v>0</v>
      </c>
    </row>
    <row r="64" spans="1:16" ht="11.25" customHeight="1" x14ac:dyDescent="0.25">
      <c r="A64" s="152">
        <v>8</v>
      </c>
      <c r="B64" s="174" t="str">
        <f>'Pay App 1'!B64</f>
        <v>01 32 00</v>
      </c>
      <c r="C64" s="179" t="str">
        <f>'Pay App 1'!C64</f>
        <v>General Liability Insurance</v>
      </c>
      <c r="D64" s="155">
        <f>'Pay App 1'!D64</f>
        <v>0</v>
      </c>
      <c r="E64" s="155">
        <f>VLOOKUP(B64,'Graph Data'!$O$2:$BX$88,43,FALSE)</f>
        <v>0</v>
      </c>
      <c r="F64" s="155">
        <f>IFERROR(E64+'Pay App 40'!F64,"")</f>
        <v>0</v>
      </c>
      <c r="G64" s="155">
        <f>SUM('Pay App 1:Pay App 40'!H64)</f>
        <v>0</v>
      </c>
      <c r="H64" s="154"/>
      <c r="I64" s="155">
        <f t="shared" si="0"/>
        <v>0</v>
      </c>
      <c r="J64" s="156">
        <f t="shared" si="1"/>
        <v>0</v>
      </c>
      <c r="K64" s="155">
        <f t="shared" si="2"/>
        <v>0</v>
      </c>
      <c r="L64" s="155" t="str">
        <f>IF(AND('Summary Sheet'!$E$23="No",$H$33&gt;0,H64&gt;=1),"",IF(AND('Summary Sheet'!$E$23="Yes",H64&lt;&gt;""),H64*'Summary Sheet'!$G$23,""))</f>
        <v/>
      </c>
      <c r="M64" s="154"/>
      <c r="N64" s="155">
        <f>SUM('Pay App 1:Pay App 41'!L64)+SUM('Pay App 1:Pay App 41'!M64)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Data'!$O$2:$BX$88,43,FALSE)</f>
        <v>0</v>
      </c>
      <c r="F65" s="155">
        <f>IFERROR(E65+'Pay App 40'!F65,"")</f>
        <v>0</v>
      </c>
      <c r="G65" s="155">
        <f>SUM('Pay App 1:Pay App 40'!H65)</f>
        <v>0</v>
      </c>
      <c r="H65" s="154"/>
      <c r="I65" s="155">
        <f t="shared" si="0"/>
        <v>0</v>
      </c>
      <c r="J65" s="156">
        <f t="shared" si="1"/>
        <v>0</v>
      </c>
      <c r="K65" s="155">
        <f t="shared" si="2"/>
        <v>0</v>
      </c>
      <c r="L65" s="155" t="str">
        <f>IF(AND('Summary Sheet'!$E$23="No",$H$33&gt;0,H65&gt;=1),"",IF(AND('Summary Sheet'!$E$23="Yes",H65&lt;&gt;""),H65*'Summary Sheet'!$G$23,""))</f>
        <v/>
      </c>
      <c r="M65" s="154"/>
      <c r="N65" s="155">
        <f>SUM('Pay App 1:Pay App 41'!L65)+SUM('Pay App 1:Pay App 41'!M65)</f>
        <v>0</v>
      </c>
    </row>
    <row r="66" spans="1:17" ht="11.25" customHeight="1" x14ac:dyDescent="0.25">
      <c r="A66" s="152">
        <v>10</v>
      </c>
      <c r="B66" s="174" t="str">
        <f>'Pay App 1'!B66</f>
        <v>01 34 00</v>
      </c>
      <c r="C66" s="179" t="str">
        <f>'Pay App 1'!C66</f>
        <v>Subcontractor Default Insurance</v>
      </c>
      <c r="D66" s="155">
        <f>'Pay App 1'!D66</f>
        <v>0</v>
      </c>
      <c r="E66" s="155">
        <f>VLOOKUP(B66,'Graph Data'!$O$2:$BX$88,43,FALSE)</f>
        <v>0</v>
      </c>
      <c r="F66" s="155">
        <f>IFERROR(E66+'Pay App 40'!F66,"")</f>
        <v>0</v>
      </c>
      <c r="G66" s="155">
        <f>SUM('Pay App 1:Pay App 40'!H66)</f>
        <v>0</v>
      </c>
      <c r="H66" s="154"/>
      <c r="I66" s="155">
        <f t="shared" si="0"/>
        <v>0</v>
      </c>
      <c r="J66" s="156">
        <f t="shared" si="1"/>
        <v>0</v>
      </c>
      <c r="K66" s="155">
        <f t="shared" si="2"/>
        <v>0</v>
      </c>
      <c r="L66" s="155" t="str">
        <f>IF(AND('Summary Sheet'!$E$23="No",$H$33&gt;0,H66&gt;=1),"",IF(AND('Summary Sheet'!$E$23="Yes",H66&lt;&gt;""),H66*'Summary Sheet'!$G$23,""))</f>
        <v/>
      </c>
      <c r="M66" s="154"/>
      <c r="N66" s="155">
        <f>SUM('Pay App 1:Pay App 41'!L66)+SUM('Pay App 1:Pay App 41'!M66)</f>
        <v>0</v>
      </c>
    </row>
    <row r="67" spans="1:17" ht="11.25" customHeight="1" x14ac:dyDescent="0.25">
      <c r="A67" s="152">
        <v>11</v>
      </c>
      <c r="B67" s="174" t="str">
        <f>'Pay App 1'!B67</f>
        <v>01 35 00</v>
      </c>
      <c r="C67" s="179" t="str">
        <f>'Pay App 1'!C67</f>
        <v>Construction Management Fee</v>
      </c>
      <c r="D67" s="155">
        <f>'Pay App 1'!D67</f>
        <v>0</v>
      </c>
      <c r="E67" s="155">
        <f>VLOOKUP(B67,'Graph Data'!$O$2:$BX$88,43,FALSE)</f>
        <v>0</v>
      </c>
      <c r="F67" s="155">
        <f>IFERROR(E67+'Pay App 40'!F67,"")</f>
        <v>0</v>
      </c>
      <c r="G67" s="155">
        <f>SUM('Pay App 1:Pay App 40'!H67)</f>
        <v>0</v>
      </c>
      <c r="H67" s="154"/>
      <c r="I67" s="155">
        <f t="shared" si="0"/>
        <v>0</v>
      </c>
      <c r="J67" s="156">
        <f t="shared" si="1"/>
        <v>0</v>
      </c>
      <c r="K67" s="155">
        <f t="shared" si="2"/>
        <v>0</v>
      </c>
      <c r="L67" s="155" t="str">
        <f>IF(AND('Summary Sheet'!$E$23="No",$H$33&gt;0,H67&gt;=1),"",IF(AND('Summary Sheet'!$E$23="Yes",H67&lt;&gt;""),H67*'Summary Sheet'!$G$23,""))</f>
        <v/>
      </c>
      <c r="M67" s="154"/>
      <c r="N67" s="155">
        <f>SUM('Pay App 1:Pay App 41'!L67)+SUM('Pay App 1:Pay App 41'!M67)</f>
        <v>0</v>
      </c>
    </row>
    <row r="68" spans="1:17" ht="11.25" customHeight="1" x14ac:dyDescent="0.25">
      <c r="A68" s="152">
        <v>12</v>
      </c>
      <c r="B68" s="174" t="str">
        <f>'Pay App 1'!B68</f>
        <v>01 36 00</v>
      </c>
      <c r="C68" s="179" t="str">
        <f>'Pay App 1'!C68</f>
        <v>Contingency</v>
      </c>
      <c r="D68" s="155">
        <f>'Pay App 1'!D68</f>
        <v>0</v>
      </c>
      <c r="E68" s="155">
        <f>VLOOKUP(B68,'Graph Data'!$O$2:$BX$88,43,FALSE)</f>
        <v>0</v>
      </c>
      <c r="F68" s="155">
        <f>IFERROR(E68+'Pay App 40'!F68,"")</f>
        <v>0</v>
      </c>
      <c r="G68" s="155">
        <f>SUM('Pay App 1:Pay App 40'!H68)</f>
        <v>0</v>
      </c>
      <c r="H68" s="154"/>
      <c r="I68" s="155">
        <f t="shared" si="0"/>
        <v>0</v>
      </c>
      <c r="J68" s="156">
        <f t="shared" si="1"/>
        <v>0</v>
      </c>
      <c r="K68" s="155">
        <f t="shared" si="2"/>
        <v>0</v>
      </c>
      <c r="L68" s="155" t="str">
        <f>IF(AND('Summary Sheet'!$E$23="No",$H$33&gt;0,H68&gt;=1),"",IF(AND('Summary Sheet'!$E$23="Yes",H68&lt;&gt;""),H68*'Summary Sheet'!$G$23,""))</f>
        <v/>
      </c>
      <c r="M68" s="154"/>
      <c r="N68" s="155">
        <f>SUM('Pay App 1:Pay App 41'!L68)+SUM('Pay App 1:Pay App 41'!M68)</f>
        <v>0</v>
      </c>
    </row>
    <row r="69" spans="1:17" ht="11.25" customHeight="1" x14ac:dyDescent="0.25">
      <c r="A69" s="152">
        <v>13</v>
      </c>
      <c r="B69" s="174" t="str">
        <f>'Pay App 1'!B69</f>
        <v>01 37 00</v>
      </c>
      <c r="C69" s="179" t="str">
        <f>'Pay App 1'!C69</f>
        <v>Weather Allowance (All Trades)</v>
      </c>
      <c r="D69" s="155">
        <f>'Pay App 1'!D69</f>
        <v>0</v>
      </c>
      <c r="E69" s="155">
        <f>VLOOKUP(B69,'Graph Data'!$O$2:$BX$88,43,FALSE)</f>
        <v>0</v>
      </c>
      <c r="F69" s="155">
        <f>IFERROR(E69+'Pay App 40'!F69,"")</f>
        <v>0</v>
      </c>
      <c r="G69" s="155">
        <f>SUM('Pay App 1:Pay App 40'!H69)</f>
        <v>0</v>
      </c>
      <c r="H69" s="154"/>
      <c r="I69" s="155">
        <f t="shared" si="0"/>
        <v>0</v>
      </c>
      <c r="J69" s="156">
        <f t="shared" si="1"/>
        <v>0</v>
      </c>
      <c r="K69" s="155">
        <f t="shared" si="2"/>
        <v>0</v>
      </c>
      <c r="L69" s="155" t="str">
        <f>IF(AND('Summary Sheet'!$E$23="No",$H$33&gt;0,H69&gt;=1),"",IF(AND('Summary Sheet'!$E$23="Yes",H69&lt;&gt;""),H69*'Summary Sheet'!$G$23,""))</f>
        <v/>
      </c>
      <c r="M69" s="154"/>
      <c r="N69" s="155">
        <f>SUM('Pay App 1:Pay App 41'!L69)+SUM('Pay App 1:Pay App 41'!M69)</f>
        <v>0</v>
      </c>
    </row>
    <row r="70" spans="1:17" ht="11.25" customHeight="1" x14ac:dyDescent="0.25">
      <c r="A70" s="152">
        <v>14</v>
      </c>
      <c r="B70" s="174" t="str">
        <f>'Pay App 1'!B70</f>
        <v>01 74 23</v>
      </c>
      <c r="C70" s="179" t="str">
        <f>'Pay App 1'!C70</f>
        <v>Cleaning (Final)</v>
      </c>
      <c r="D70" s="155">
        <f>'Pay App 1'!D70</f>
        <v>0</v>
      </c>
      <c r="E70" s="155">
        <f>VLOOKUP(B70,'Graph Data'!$O$2:$BX$88,43,FALSE)</f>
        <v>0</v>
      </c>
      <c r="F70" s="155">
        <f>IFERROR(E70+'Pay App 40'!F70,"")</f>
        <v>0</v>
      </c>
      <c r="G70" s="155">
        <f>SUM('Pay App 1:Pay App 40'!H70)</f>
        <v>0</v>
      </c>
      <c r="H70" s="154"/>
      <c r="I70" s="155">
        <f t="shared" si="0"/>
        <v>0</v>
      </c>
      <c r="J70" s="156">
        <f t="shared" si="1"/>
        <v>0</v>
      </c>
      <c r="K70" s="155">
        <f t="shared" si="2"/>
        <v>0</v>
      </c>
      <c r="L70" s="155" t="str">
        <f>IF(AND('Summary Sheet'!$E$23="No",$H$33&gt;0,H70&gt;=1),"",IF(AND('Summary Sheet'!$E$23="Yes",H70&lt;&gt;""),H70*'Summary Sheet'!$G$23,""))</f>
        <v/>
      </c>
      <c r="M70" s="154"/>
      <c r="N70" s="155">
        <f>SUM('Pay App 1:Pay App 41'!L70)+SUM('Pay App 1:Pay App 41'!M70)</f>
        <v>0</v>
      </c>
    </row>
    <row r="71" spans="1:17" ht="11.25" customHeight="1" x14ac:dyDescent="0.25">
      <c r="A71" s="152">
        <v>15</v>
      </c>
      <c r="B71" s="175" t="str">
        <f>'Pay App 1'!B71</f>
        <v>02 21 00</v>
      </c>
      <c r="C71" s="180" t="str">
        <f>'Pay App 1'!C71</f>
        <v>Survey/Engineering</v>
      </c>
      <c r="D71" s="155">
        <f>'Pay App 1'!D71</f>
        <v>0</v>
      </c>
      <c r="E71" s="155">
        <f>VLOOKUP(B71,'Graph Data'!$O$2:$BX$88,43,FALSE)</f>
        <v>0</v>
      </c>
      <c r="F71" s="155">
        <f>IFERROR(E71+'Pay App 40'!F71,"")</f>
        <v>0</v>
      </c>
      <c r="G71" s="155">
        <f>SUM('Pay App 1:Pay App 40'!H71)</f>
        <v>0</v>
      </c>
      <c r="H71" s="154"/>
      <c r="I71" s="155">
        <f t="shared" si="0"/>
        <v>0</v>
      </c>
      <c r="J71" s="156">
        <f t="shared" si="1"/>
        <v>0</v>
      </c>
      <c r="K71" s="155">
        <f t="shared" si="2"/>
        <v>0</v>
      </c>
      <c r="L71" s="155" t="str">
        <f>IF(AND('Summary Sheet'!$E$23="No",$H$33&gt;0,H71&gt;=1),"",IF(AND('Summary Sheet'!$E$23="Yes",H71&lt;&gt;""),H71*'Summary Sheet'!$G$23,""))</f>
        <v/>
      </c>
      <c r="M71" s="154"/>
      <c r="N71" s="155">
        <f>SUM('Pay App 1:Pay App 41'!L71)+SUM('Pay App 1:Pay App 41'!M71)</f>
        <v>0</v>
      </c>
      <c r="Q71" s="28"/>
    </row>
    <row r="72" spans="1:17" ht="11.25" customHeight="1" x14ac:dyDescent="0.25">
      <c r="A72" s="152">
        <v>16</v>
      </c>
      <c r="B72" s="175" t="str">
        <f>'Pay App 1'!B72</f>
        <v>02 41 00</v>
      </c>
      <c r="C72" s="180" t="str">
        <f>'Pay App 1'!C72</f>
        <v>Demolition</v>
      </c>
      <c r="D72" s="155">
        <f>'Pay App 1'!D72</f>
        <v>0</v>
      </c>
      <c r="E72" s="155">
        <f>VLOOKUP(B72,'Graph Data'!$O$2:$BX$88,43,FALSE)</f>
        <v>0</v>
      </c>
      <c r="F72" s="155">
        <f>IFERROR(E72+'Pay App 40'!F72,"")</f>
        <v>0</v>
      </c>
      <c r="G72" s="155">
        <f>SUM('Pay App 1:Pay App 40'!H72)</f>
        <v>0</v>
      </c>
      <c r="H72" s="154"/>
      <c r="I72" s="155">
        <f t="shared" si="0"/>
        <v>0</v>
      </c>
      <c r="J72" s="156">
        <f t="shared" si="1"/>
        <v>0</v>
      </c>
      <c r="K72" s="155">
        <f t="shared" si="2"/>
        <v>0</v>
      </c>
      <c r="L72" s="155" t="str">
        <f>IF(AND('Summary Sheet'!$E$23="No",$H$33&gt;0,H72&gt;=1),"",IF(AND('Summary Sheet'!$E$23="Yes",H72&lt;&gt;""),H72*'Summary Sheet'!$G$23,""))</f>
        <v/>
      </c>
      <c r="M72" s="154"/>
      <c r="N72" s="155">
        <f>SUM('Pay App 1:Pay App 41'!L72)+SUM('Pay App 1:Pay App 41'!M72)</f>
        <v>0</v>
      </c>
      <c r="Q72" s="28"/>
    </row>
    <row r="73" spans="1:17" ht="11.25" customHeight="1" x14ac:dyDescent="0.25">
      <c r="A73" s="152">
        <v>17</v>
      </c>
      <c r="B73" s="175" t="str">
        <f>'Pay App 1'!B73</f>
        <v>02 82 00</v>
      </c>
      <c r="C73" s="180" t="str">
        <f>'Pay App 1'!C73</f>
        <v>Asbestos Abatement</v>
      </c>
      <c r="D73" s="155">
        <f>'Pay App 1'!D73</f>
        <v>0</v>
      </c>
      <c r="E73" s="155">
        <f>VLOOKUP(B73,'Graph Data'!$O$2:$BX$88,43,FALSE)</f>
        <v>0</v>
      </c>
      <c r="F73" s="155">
        <f>IFERROR(E73+'Pay App 40'!F73,"")</f>
        <v>0</v>
      </c>
      <c r="G73" s="155">
        <f>SUM('Pay App 1:Pay App 40'!H73)</f>
        <v>0</v>
      </c>
      <c r="H73" s="154"/>
      <c r="I73" s="155">
        <f t="shared" si="0"/>
        <v>0</v>
      </c>
      <c r="J73" s="156">
        <f t="shared" si="1"/>
        <v>0</v>
      </c>
      <c r="K73" s="155">
        <f t="shared" si="2"/>
        <v>0</v>
      </c>
      <c r="L73" s="155" t="str">
        <f>IF(AND('Summary Sheet'!$E$23="No",$H$33&gt;0,H73&gt;=1),"",IF(AND('Summary Sheet'!$E$23="Yes",H73&lt;&gt;""),H73*'Summary Sheet'!$G$23,""))</f>
        <v/>
      </c>
      <c r="M73" s="154"/>
      <c r="N73" s="155">
        <f>SUM('Pay App 1:Pay App 41'!L73)+SUM('Pay App 1:Pay App 41'!M73)</f>
        <v>0</v>
      </c>
    </row>
    <row r="74" spans="1:17" ht="11.25" customHeight="1" x14ac:dyDescent="0.25">
      <c r="A74" s="152">
        <v>18</v>
      </c>
      <c r="B74" s="176" t="str">
        <f>'Pay App 1'!B74</f>
        <v>03 00 00</v>
      </c>
      <c r="C74" s="181" t="str">
        <f>'Pay App 1'!C74</f>
        <v>Building Concrete</v>
      </c>
      <c r="D74" s="155">
        <f>'Pay App 1'!D74</f>
        <v>0</v>
      </c>
      <c r="E74" s="155">
        <f>VLOOKUP(B74,'Graph Data'!$O$2:$BX$88,43,FALSE)</f>
        <v>0</v>
      </c>
      <c r="F74" s="155">
        <f>IFERROR(E74+'Pay App 40'!F74,"")</f>
        <v>0</v>
      </c>
      <c r="G74" s="155">
        <f>SUM('Pay App 1:Pay App 40'!H74)</f>
        <v>0</v>
      </c>
      <c r="H74" s="154"/>
      <c r="I74" s="155">
        <f t="shared" si="0"/>
        <v>0</v>
      </c>
      <c r="J74" s="156">
        <f t="shared" si="1"/>
        <v>0</v>
      </c>
      <c r="K74" s="155">
        <f t="shared" si="2"/>
        <v>0</v>
      </c>
      <c r="L74" s="155" t="str">
        <f>IF(AND('Summary Sheet'!$E$23="No",$H$33&gt;0,H74&gt;=1),"",IF(AND('Summary Sheet'!$E$23="Yes",H74&lt;&gt;""),H74*'Summary Sheet'!$G$23,""))</f>
        <v/>
      </c>
      <c r="M74" s="154"/>
      <c r="N74" s="155">
        <f>SUM('Pay App 1:Pay App 41'!L74)+SUM('Pay App 1:Pay App 41'!M74)</f>
        <v>0</v>
      </c>
    </row>
    <row r="75" spans="1:17" ht="11.25" customHeight="1" x14ac:dyDescent="0.25">
      <c r="A75" s="152">
        <v>19</v>
      </c>
      <c r="B75" s="176" t="str">
        <f>'Pay App 1'!B75</f>
        <v>03 20 00</v>
      </c>
      <c r="C75" s="181" t="str">
        <f>'Pay App 1'!C75</f>
        <v>Building Concrete Reinforcing</v>
      </c>
      <c r="D75" s="155">
        <f>'Pay App 1'!D75</f>
        <v>0</v>
      </c>
      <c r="E75" s="155">
        <f>VLOOKUP(B75,'Graph Data'!$O$2:$BX$88,43,FALSE)</f>
        <v>0</v>
      </c>
      <c r="F75" s="155">
        <f>IFERROR(E75+'Pay App 40'!F75,"")</f>
        <v>0</v>
      </c>
      <c r="G75" s="155">
        <f>SUM('Pay App 1:Pay App 40'!H75)</f>
        <v>0</v>
      </c>
      <c r="H75" s="154"/>
      <c r="I75" s="155">
        <f t="shared" si="0"/>
        <v>0</v>
      </c>
      <c r="J75" s="156">
        <f t="shared" si="1"/>
        <v>0</v>
      </c>
      <c r="K75" s="155">
        <f t="shared" si="2"/>
        <v>0</v>
      </c>
      <c r="L75" s="155" t="str">
        <f>IF(AND('Summary Sheet'!$E$23="No",$H$33&gt;0,H75&gt;=1),"",IF(AND('Summary Sheet'!$E$23="Yes",H75&lt;&gt;""),H75*'Summary Sheet'!$G$23,""))</f>
        <v/>
      </c>
      <c r="M75" s="154"/>
      <c r="N75" s="155">
        <f>SUM('Pay App 1:Pay App 41'!L75)+SUM('Pay App 1:Pay App 41'!M75)</f>
        <v>0</v>
      </c>
    </row>
    <row r="76" spans="1:17" ht="11.25" customHeight="1" x14ac:dyDescent="0.25">
      <c r="A76" s="152">
        <v>20</v>
      </c>
      <c r="B76" s="176" t="str">
        <f>'Pay App 1'!B76</f>
        <v>03 40 00</v>
      </c>
      <c r="C76" s="181" t="str">
        <f>'Pay App 1'!C76</f>
        <v>Precast</v>
      </c>
      <c r="D76" s="155">
        <f>'Pay App 1'!D76</f>
        <v>0</v>
      </c>
      <c r="E76" s="155">
        <f>VLOOKUP(B76,'Graph Data'!$O$2:$BX$88,43,FALSE)</f>
        <v>0</v>
      </c>
      <c r="F76" s="155">
        <f>IFERROR(E76+'Pay App 40'!F76,"")</f>
        <v>0</v>
      </c>
      <c r="G76" s="155">
        <f>SUM('Pay App 1:Pay App 40'!H76)</f>
        <v>0</v>
      </c>
      <c r="H76" s="154"/>
      <c r="I76" s="155">
        <f t="shared" si="0"/>
        <v>0</v>
      </c>
      <c r="J76" s="156">
        <f t="shared" si="1"/>
        <v>0</v>
      </c>
      <c r="K76" s="155">
        <f t="shared" si="2"/>
        <v>0</v>
      </c>
      <c r="L76" s="155" t="str">
        <f>IF(AND('Summary Sheet'!$E$23="No",$H$33&gt;0,H76&gt;=1),"",IF(AND('Summary Sheet'!$E$23="Yes",H76&lt;&gt;""),H76*'Summary Sheet'!$G$23,""))</f>
        <v/>
      </c>
      <c r="M76" s="154"/>
      <c r="N76" s="155">
        <f>SUM('Pay App 1:Pay App 41'!L76)+SUM('Pay App 1:Pay App 41'!M76)</f>
        <v>0</v>
      </c>
    </row>
    <row r="77" spans="1:17" ht="11.25" customHeight="1" x14ac:dyDescent="0.25">
      <c r="A77" s="152">
        <v>21</v>
      </c>
      <c r="B77" s="177" t="str">
        <f>'Pay App 1'!B77</f>
        <v>04 00 00</v>
      </c>
      <c r="C77" s="182" t="str">
        <f>'Pay App 1'!C77</f>
        <v>Masonry</v>
      </c>
      <c r="D77" s="155">
        <f>'Pay App 1'!D77</f>
        <v>0</v>
      </c>
      <c r="E77" s="155">
        <f>VLOOKUP(B77,'Graph Data'!$O$2:$BX$88,43,FALSE)</f>
        <v>0</v>
      </c>
      <c r="F77" s="155">
        <f>IFERROR(E77+'Pay App 40'!F77,"")</f>
        <v>0</v>
      </c>
      <c r="G77" s="155">
        <f>SUM('Pay App 1:Pay App 40'!H77)</f>
        <v>0</v>
      </c>
      <c r="H77" s="154"/>
      <c r="I77" s="155">
        <f t="shared" si="0"/>
        <v>0</v>
      </c>
      <c r="J77" s="156">
        <f t="shared" si="1"/>
        <v>0</v>
      </c>
      <c r="K77" s="155">
        <f t="shared" si="2"/>
        <v>0</v>
      </c>
      <c r="L77" s="155" t="str">
        <f>IF(AND('Summary Sheet'!$E$23="No",$H$33&gt;0,H77&gt;=1),"",IF(AND('Summary Sheet'!$E$23="Yes",H77&lt;&gt;""),H77*'Summary Sheet'!$G$23,""))</f>
        <v/>
      </c>
      <c r="M77" s="154"/>
      <c r="N77" s="155">
        <f>SUM('Pay App 1:Pay App 41'!L77)+SUM('Pay App 1:Pay App 41'!M77)</f>
        <v>0</v>
      </c>
    </row>
    <row r="78" spans="1:17" ht="11.25" customHeight="1" x14ac:dyDescent="0.25">
      <c r="A78" s="152">
        <v>22</v>
      </c>
      <c r="B78" s="177" t="str">
        <f>'Pay App 1'!B78</f>
        <v>04 05 19</v>
      </c>
      <c r="C78" s="182" t="str">
        <f>'Pay App 1'!C78</f>
        <v>Masonry Reinforcing</v>
      </c>
      <c r="D78" s="155">
        <f>'Pay App 1'!D78</f>
        <v>0</v>
      </c>
      <c r="E78" s="155">
        <f>VLOOKUP(B78,'Graph Data'!$O$2:$BX$88,43,FALSE)</f>
        <v>0</v>
      </c>
      <c r="F78" s="155">
        <f>IFERROR(E78+'Pay App 40'!F78,"")</f>
        <v>0</v>
      </c>
      <c r="G78" s="155">
        <f>SUM('Pay App 1:Pay App 40'!H78)</f>
        <v>0</v>
      </c>
      <c r="H78" s="154"/>
      <c r="I78" s="155">
        <f t="shared" si="0"/>
        <v>0</v>
      </c>
      <c r="J78" s="156">
        <f t="shared" si="1"/>
        <v>0</v>
      </c>
      <c r="K78" s="155">
        <f t="shared" si="2"/>
        <v>0</v>
      </c>
      <c r="L78" s="155" t="str">
        <f>IF(AND('Summary Sheet'!$E$23="No",$H$33&gt;0,H78&gt;=1),"",IF(AND('Summary Sheet'!$E$23="Yes",H78&lt;&gt;""),H78*'Summary Sheet'!$G$23,""))</f>
        <v/>
      </c>
      <c r="M78" s="154"/>
      <c r="N78" s="155">
        <f>SUM('Pay App 1:Pay App 41'!L78)+SUM('Pay App 1:Pay App 41'!M78)</f>
        <v>0</v>
      </c>
    </row>
    <row r="79" spans="1:17" ht="11.25" customHeight="1" x14ac:dyDescent="0.25">
      <c r="A79" s="152">
        <v>23</v>
      </c>
      <c r="B79" s="178" t="str">
        <f>'Pay App 1'!B79</f>
        <v>05 10 00</v>
      </c>
      <c r="C79" s="183" t="str">
        <f>'Pay App 1'!C79</f>
        <v>Structural Steel/Misc. Steel Fab</v>
      </c>
      <c r="D79" s="155">
        <f>'Pay App 1'!D79</f>
        <v>0</v>
      </c>
      <c r="E79" s="155">
        <f>VLOOKUP(B79,'Graph Data'!$O$2:$BX$88,43,FALSE)</f>
        <v>0</v>
      </c>
      <c r="F79" s="155">
        <f>IFERROR(E79+'Pay App 40'!F79,"")</f>
        <v>0</v>
      </c>
      <c r="G79" s="155">
        <f>SUM('Pay App 1:Pay App 40'!H79)</f>
        <v>0</v>
      </c>
      <c r="H79" s="154"/>
      <c r="I79" s="155">
        <f t="shared" si="0"/>
        <v>0</v>
      </c>
      <c r="J79" s="156">
        <f t="shared" si="1"/>
        <v>0</v>
      </c>
      <c r="K79" s="155">
        <f t="shared" si="2"/>
        <v>0</v>
      </c>
      <c r="L79" s="155" t="str">
        <f>IF(AND('Summary Sheet'!$E$23="No",$H$33&gt;0,H79&gt;=1),"",IF(AND('Summary Sheet'!$E$23="Yes",H79&lt;&gt;""),H79*'Summary Sheet'!$G$23,""))</f>
        <v/>
      </c>
      <c r="M79" s="154"/>
      <c r="N79" s="155">
        <f>SUM('Pay App 1:Pay App 41'!L79)+SUM('Pay App 1:Pay App 41'!M79)</f>
        <v>0</v>
      </c>
    </row>
    <row r="80" spans="1:17" ht="11.25" customHeight="1" x14ac:dyDescent="0.25">
      <c r="A80" s="152">
        <v>24</v>
      </c>
      <c r="B80" s="178" t="str">
        <f>'Pay App 1'!B80</f>
        <v>05 20 00</v>
      </c>
      <c r="C80" s="183" t="str">
        <f>'Pay App 1'!C80</f>
        <v>Joists &amp; Deck</v>
      </c>
      <c r="D80" s="155">
        <f>'Pay App 1'!D80</f>
        <v>0</v>
      </c>
      <c r="E80" s="155">
        <f>VLOOKUP(B80,'Graph Data'!$O$2:$BX$88,43,FALSE)</f>
        <v>0</v>
      </c>
      <c r="F80" s="155">
        <f>IFERROR(E80+'Pay App 40'!F80,"")</f>
        <v>0</v>
      </c>
      <c r="G80" s="155">
        <f>SUM('Pay App 1:Pay App 40'!H80)</f>
        <v>0</v>
      </c>
      <c r="H80" s="154"/>
      <c r="I80" s="155">
        <f t="shared" si="0"/>
        <v>0</v>
      </c>
      <c r="J80" s="156">
        <f t="shared" si="1"/>
        <v>0</v>
      </c>
      <c r="K80" s="155">
        <f t="shared" si="2"/>
        <v>0</v>
      </c>
      <c r="L80" s="155" t="str">
        <f>IF(AND('Summary Sheet'!$E$23="No",$H$33&gt;0,H80&gt;=1),"",IF(AND('Summary Sheet'!$E$23="Yes",H80&lt;&gt;""),H80*'Summary Sheet'!$G$23,""))</f>
        <v/>
      </c>
      <c r="M80" s="154"/>
      <c r="N80" s="155">
        <f>SUM('Pay App 1:Pay App 41'!L80)+SUM('Pay App 1:Pay App 41'!M80)</f>
        <v>0</v>
      </c>
    </row>
    <row r="81" spans="1:14" ht="11.25" customHeight="1" x14ac:dyDescent="0.25">
      <c r="A81" s="152">
        <v>25</v>
      </c>
      <c r="B81" s="178" t="str">
        <f>'Pay App 1'!B81</f>
        <v>05 70 00</v>
      </c>
      <c r="C81" s="183" t="str">
        <f>'Pay App 1'!C81</f>
        <v>Ornamental Metal</v>
      </c>
      <c r="D81" s="155">
        <f>'Pay App 1'!D81</f>
        <v>0</v>
      </c>
      <c r="E81" s="155">
        <f>VLOOKUP(B81,'Graph Data'!$O$2:$BX$88,43,FALSE)</f>
        <v>0</v>
      </c>
      <c r="F81" s="155">
        <f>IFERROR(E81+'Pay App 40'!F81,"")</f>
        <v>0</v>
      </c>
      <c r="G81" s="155">
        <f>SUM('Pay App 1:Pay App 40'!H81)</f>
        <v>0</v>
      </c>
      <c r="H81" s="154"/>
      <c r="I81" s="155">
        <f t="shared" si="0"/>
        <v>0</v>
      </c>
      <c r="J81" s="156">
        <f t="shared" si="1"/>
        <v>0</v>
      </c>
      <c r="K81" s="155">
        <f t="shared" si="2"/>
        <v>0</v>
      </c>
      <c r="L81" s="155" t="str">
        <f>IF(AND('Summary Sheet'!$E$23="No",$H$33&gt;0,H81&gt;=1),"",IF(AND('Summary Sheet'!$E$23="Yes",H81&lt;&gt;""),H81*'Summary Sheet'!$G$23,""))</f>
        <v/>
      </c>
      <c r="M81" s="154"/>
      <c r="N81" s="155">
        <f>SUM('Pay App 1:Pay App 41'!L81)+SUM('Pay App 1:Pay App 41'!M81)</f>
        <v>0</v>
      </c>
    </row>
    <row r="82" spans="1:14" ht="11.25" customHeight="1" x14ac:dyDescent="0.25">
      <c r="A82" s="152">
        <v>26</v>
      </c>
      <c r="B82" s="145" t="str">
        <f>'Pay App 1'!B82</f>
        <v>06 10 00</v>
      </c>
      <c r="C82" s="134" t="str">
        <f>'Pay App 1'!C82</f>
        <v>Rough Carpentry</v>
      </c>
      <c r="D82" s="155">
        <f>'Pay App 1'!D82</f>
        <v>0</v>
      </c>
      <c r="E82" s="155">
        <f>VLOOKUP(B82,'Graph Data'!$O$2:$BX$88,43,FALSE)</f>
        <v>0</v>
      </c>
      <c r="F82" s="155">
        <f>IFERROR(E82+'Pay App 40'!F82,"")</f>
        <v>0</v>
      </c>
      <c r="G82" s="155">
        <f>SUM('Pay App 1:Pay App 40'!H82)</f>
        <v>0</v>
      </c>
      <c r="H82" s="154"/>
      <c r="I82" s="155">
        <f t="shared" si="0"/>
        <v>0</v>
      </c>
      <c r="J82" s="156">
        <f t="shared" si="1"/>
        <v>0</v>
      </c>
      <c r="K82" s="155">
        <f t="shared" si="2"/>
        <v>0</v>
      </c>
      <c r="L82" s="155" t="str">
        <f>IF(AND('Summary Sheet'!$E$23="No",$H$33&gt;0,H82&gt;=1),"",IF(AND('Summary Sheet'!$E$23="Yes",H82&lt;&gt;""),H82*'Summary Sheet'!$G$23,""))</f>
        <v/>
      </c>
      <c r="M82" s="154"/>
      <c r="N82" s="155">
        <f>SUM('Pay App 1:Pay App 41'!L82)+SUM('Pay App 1:Pay App 41'!M82)</f>
        <v>0</v>
      </c>
    </row>
    <row r="83" spans="1:14" ht="11.25" customHeight="1" x14ac:dyDescent="0.25">
      <c r="A83" s="152">
        <v>27</v>
      </c>
      <c r="B83" s="145" t="str">
        <f>'Pay App 1'!B83</f>
        <v>06 40 00</v>
      </c>
      <c r="C83" s="134" t="str">
        <f>'Pay App 1'!C83</f>
        <v>Arch. Woodwork &amp; Finish Carp.</v>
      </c>
      <c r="D83" s="155">
        <f>'Pay App 1'!D83</f>
        <v>0</v>
      </c>
      <c r="E83" s="155">
        <f>VLOOKUP(B83,'Graph Data'!$O$2:$BX$88,43,FALSE)</f>
        <v>0</v>
      </c>
      <c r="F83" s="155">
        <f>IFERROR(E83+'Pay App 40'!F83,"")</f>
        <v>0</v>
      </c>
      <c r="G83" s="155">
        <f>SUM('Pay App 1:Pay App 40'!H83)</f>
        <v>0</v>
      </c>
      <c r="H83" s="154"/>
      <c r="I83" s="155">
        <f t="shared" si="0"/>
        <v>0</v>
      </c>
      <c r="J83" s="156">
        <f t="shared" si="1"/>
        <v>0</v>
      </c>
      <c r="K83" s="155">
        <f t="shared" si="2"/>
        <v>0</v>
      </c>
      <c r="L83" s="155" t="str">
        <f>IF(AND('Summary Sheet'!$E$23="No",$H$33&gt;0,H83&gt;=1),"",IF(AND('Summary Sheet'!$E$23="Yes",H83&lt;&gt;""),H83*'Summary Sheet'!$G$23,""))</f>
        <v/>
      </c>
      <c r="M83" s="154"/>
      <c r="N83" s="155">
        <f>SUM('Pay App 1:Pay App 41'!L83)+SUM('Pay App 1:Pay App 41'!M83)</f>
        <v>0</v>
      </c>
    </row>
    <row r="84" spans="1:14" ht="11.25" customHeight="1" x14ac:dyDescent="0.25">
      <c r="A84" s="152">
        <v>28</v>
      </c>
      <c r="B84" s="174" t="str">
        <f>'Pay App 1'!B84</f>
        <v>07 10 00</v>
      </c>
      <c r="C84" s="179" t="str">
        <f>'Pay App 1'!C84</f>
        <v>Waterproofing/Water Repellents</v>
      </c>
      <c r="D84" s="155">
        <f>'Pay App 1'!D84</f>
        <v>0</v>
      </c>
      <c r="E84" s="155">
        <f>VLOOKUP(B84,'Graph Data'!$O$2:$BX$88,43,FALSE)</f>
        <v>0</v>
      </c>
      <c r="F84" s="155">
        <f>IFERROR(E84+'Pay App 40'!F84,"")</f>
        <v>0</v>
      </c>
      <c r="G84" s="155">
        <f>SUM('Pay App 1:Pay App 40'!H84)</f>
        <v>0</v>
      </c>
      <c r="H84" s="154"/>
      <c r="I84" s="155">
        <f t="shared" si="0"/>
        <v>0</v>
      </c>
      <c r="J84" s="156">
        <f t="shared" si="1"/>
        <v>0</v>
      </c>
      <c r="K84" s="155">
        <f t="shared" si="2"/>
        <v>0</v>
      </c>
      <c r="L84" s="155" t="str">
        <f>IF(AND('Summary Sheet'!$E$23="No",$H$33&gt;0,H84&gt;=1),"",IF(AND('Summary Sheet'!$E$23="Yes",H84&lt;&gt;""),H84*'Summary Sheet'!$G$23,""))</f>
        <v/>
      </c>
      <c r="M84" s="154"/>
      <c r="N84" s="155">
        <f>SUM('Pay App 1:Pay App 41'!L84)+SUM('Pay App 1:Pay App 41'!M84)</f>
        <v>0</v>
      </c>
    </row>
    <row r="85" spans="1:14" ht="11.25" customHeight="1" x14ac:dyDescent="0.25">
      <c r="A85" s="152">
        <v>29</v>
      </c>
      <c r="B85" s="174" t="str">
        <f>'Pay App 1'!B85</f>
        <v>07 20 00</v>
      </c>
      <c r="C85" s="179" t="str">
        <f>'Pay App 1'!C85</f>
        <v>Insulation</v>
      </c>
      <c r="D85" s="155">
        <f>'Pay App 1'!D85</f>
        <v>0</v>
      </c>
      <c r="E85" s="155">
        <f>VLOOKUP(B85,'Graph Data'!$O$2:$BX$88,43,FALSE)</f>
        <v>0</v>
      </c>
      <c r="F85" s="155">
        <f>IFERROR(E85+'Pay App 40'!F85,"")</f>
        <v>0</v>
      </c>
      <c r="G85" s="155">
        <f>SUM('Pay App 1:Pay App 40'!H85)</f>
        <v>0</v>
      </c>
      <c r="H85" s="154"/>
      <c r="I85" s="155">
        <f t="shared" si="0"/>
        <v>0</v>
      </c>
      <c r="J85" s="156">
        <f t="shared" si="1"/>
        <v>0</v>
      </c>
      <c r="K85" s="155">
        <f t="shared" si="2"/>
        <v>0</v>
      </c>
      <c r="L85" s="155" t="str">
        <f>IF(AND('Summary Sheet'!$E$23="No",$H$33&gt;0,H85&gt;=1),"",IF(AND('Summary Sheet'!$E$23="Yes",H85&lt;&gt;""),H85*'Summary Sheet'!$G$23,""))</f>
        <v/>
      </c>
      <c r="M85" s="154"/>
      <c r="N85" s="155">
        <f>SUM('Pay App 1:Pay App 41'!L85)+SUM('Pay App 1:Pay App 41'!M85)</f>
        <v>0</v>
      </c>
    </row>
    <row r="86" spans="1:14" ht="11.25" customHeight="1" x14ac:dyDescent="0.25">
      <c r="A86" s="152">
        <v>30</v>
      </c>
      <c r="B86" s="174" t="str">
        <f>'Pay App 1'!B86</f>
        <v>07 24 00</v>
      </c>
      <c r="C86" s="179" t="str">
        <f>'Pay App 1'!C86</f>
        <v>EIFS</v>
      </c>
      <c r="D86" s="155">
        <f>'Pay App 1'!D86</f>
        <v>0</v>
      </c>
      <c r="E86" s="155">
        <f>VLOOKUP(B86,'Graph Data'!$O$2:$BX$88,43,FALSE)</f>
        <v>0</v>
      </c>
      <c r="F86" s="155">
        <f>IFERROR(E86+'Pay App 40'!F86,"")</f>
        <v>0</v>
      </c>
      <c r="G86" s="155">
        <f>SUM('Pay App 1:Pay App 40'!H86)</f>
        <v>0</v>
      </c>
      <c r="H86" s="154"/>
      <c r="I86" s="155">
        <f t="shared" si="0"/>
        <v>0</v>
      </c>
      <c r="J86" s="156">
        <f t="shared" si="1"/>
        <v>0</v>
      </c>
      <c r="K86" s="155">
        <f t="shared" si="2"/>
        <v>0</v>
      </c>
      <c r="L86" s="155" t="str">
        <f>IF(AND('Summary Sheet'!$E$23="No",$H$33&gt;0,H86&gt;=1),"",IF(AND('Summary Sheet'!$E$23="Yes",H86&lt;&gt;""),H86*'Summary Sheet'!$G$23,""))</f>
        <v/>
      </c>
      <c r="M86" s="154"/>
      <c r="N86" s="155">
        <f>SUM('Pay App 1:Pay App 41'!L86)+SUM('Pay App 1:Pay App 41'!M86)</f>
        <v>0</v>
      </c>
    </row>
    <row r="87" spans="1:14" ht="11.25" customHeight="1" x14ac:dyDescent="0.25">
      <c r="A87" s="152">
        <v>31</v>
      </c>
      <c r="B87" s="174" t="str">
        <f>'Pay App 1'!B87</f>
        <v>07 26 00</v>
      </c>
      <c r="C87" s="179" t="str">
        <f>'Pay App 1'!C87</f>
        <v>Vapor Retarders</v>
      </c>
      <c r="D87" s="155">
        <f>'Pay App 1'!D87</f>
        <v>0</v>
      </c>
      <c r="E87" s="155">
        <f>VLOOKUP(B87,'Graph Data'!$O$2:$BX$88,43,FALSE)</f>
        <v>0</v>
      </c>
      <c r="F87" s="155">
        <f>IFERROR(E87+'Pay App 40'!F87,"")</f>
        <v>0</v>
      </c>
      <c r="G87" s="155">
        <f>SUM('Pay App 1:Pay App 40'!H87)</f>
        <v>0</v>
      </c>
      <c r="H87" s="154"/>
      <c r="I87" s="155">
        <f t="shared" si="0"/>
        <v>0</v>
      </c>
      <c r="J87" s="156">
        <f t="shared" si="1"/>
        <v>0</v>
      </c>
      <c r="K87" s="155">
        <f t="shared" si="2"/>
        <v>0</v>
      </c>
      <c r="L87" s="155" t="str">
        <f>IF(AND('Summary Sheet'!$E$23="No",$H$33&gt;0,H87&gt;=1),"",IF(AND('Summary Sheet'!$E$23="Yes",H87&lt;&gt;""),H87*'Summary Sheet'!$G$23,""))</f>
        <v/>
      </c>
      <c r="M87" s="154"/>
      <c r="N87" s="155">
        <f>SUM('Pay App 1:Pay App 41'!L87)+SUM('Pay App 1:Pay App 41'!M87)</f>
        <v>0</v>
      </c>
    </row>
    <row r="88" spans="1:14" ht="11.25" customHeight="1" x14ac:dyDescent="0.25">
      <c r="A88" s="152">
        <v>32</v>
      </c>
      <c r="B88" s="174" t="str">
        <f>'Pay App 1'!B88</f>
        <v>07 41 00</v>
      </c>
      <c r="C88" s="179" t="str">
        <f>'Pay App 1'!C88</f>
        <v>Roofing</v>
      </c>
      <c r="D88" s="155">
        <f>'Pay App 1'!D88</f>
        <v>0</v>
      </c>
      <c r="E88" s="155">
        <f>VLOOKUP(B88,'Graph Data'!$O$2:$BX$88,43,FALSE)</f>
        <v>0</v>
      </c>
      <c r="F88" s="155">
        <f>IFERROR(E88+'Pay App 40'!F88,"")</f>
        <v>0</v>
      </c>
      <c r="G88" s="155">
        <f>SUM('Pay App 1:Pay App 40'!H88)</f>
        <v>0</v>
      </c>
      <c r="H88" s="154"/>
      <c r="I88" s="155">
        <f t="shared" si="0"/>
        <v>0</v>
      </c>
      <c r="J88" s="156">
        <f t="shared" si="1"/>
        <v>0</v>
      </c>
      <c r="K88" s="155">
        <f t="shared" si="2"/>
        <v>0</v>
      </c>
      <c r="L88" s="155" t="str">
        <f>IF(AND('Summary Sheet'!$E$23="No",$H$33&gt;0,H88&gt;=1),"",IF(AND('Summary Sheet'!$E$23="Yes",H88&lt;&gt;""),H88*'Summary Sheet'!$G$23,""))</f>
        <v/>
      </c>
      <c r="M88" s="154"/>
      <c r="N88" s="155">
        <f>SUM('Pay App 1:Pay App 41'!L88)+SUM('Pay App 1:Pay App 41'!M88)</f>
        <v>0</v>
      </c>
    </row>
    <row r="89" spans="1:14" ht="11.25" customHeight="1" x14ac:dyDescent="0.25">
      <c r="A89" s="152">
        <v>33</v>
      </c>
      <c r="B89" s="174" t="str">
        <f>'Pay App 1'!B89</f>
        <v>07 42 00</v>
      </c>
      <c r="C89" s="179" t="str">
        <f>'Pay App 1'!C89</f>
        <v>Metal Panels</v>
      </c>
      <c r="D89" s="155">
        <f>'Pay App 1'!D89</f>
        <v>0</v>
      </c>
      <c r="E89" s="155">
        <f>VLOOKUP(B89,'Graph Data'!$O$2:$BX$88,43,FALSE)</f>
        <v>0</v>
      </c>
      <c r="F89" s="155">
        <f>IFERROR(E89+'Pay App 40'!F89,"")</f>
        <v>0</v>
      </c>
      <c r="G89" s="155">
        <f>SUM('Pay App 1:Pay App 40'!H89)</f>
        <v>0</v>
      </c>
      <c r="H89" s="154"/>
      <c r="I89" s="155">
        <f t="shared" si="0"/>
        <v>0</v>
      </c>
      <c r="J89" s="156">
        <f t="shared" si="1"/>
        <v>0</v>
      </c>
      <c r="K89" s="155">
        <f t="shared" si="2"/>
        <v>0</v>
      </c>
      <c r="L89" s="155" t="str">
        <f>IF(AND('Summary Sheet'!$E$23="No",$H$33&gt;0,H89&gt;=1),"",IF(AND('Summary Sheet'!$E$23="Yes",H89&lt;&gt;""),H89*'Summary Sheet'!$G$23,""))</f>
        <v/>
      </c>
      <c r="M89" s="154"/>
      <c r="N89" s="155">
        <f>SUM('Pay App 1:Pay App 41'!L89)+SUM('Pay App 1:Pay App 41'!M89)</f>
        <v>0</v>
      </c>
    </row>
    <row r="90" spans="1:14" ht="11.25" customHeight="1" x14ac:dyDescent="0.25">
      <c r="A90" s="152">
        <v>34</v>
      </c>
      <c r="B90" s="174" t="str">
        <f>'Pay App 1'!B90</f>
        <v>07 60 00</v>
      </c>
      <c r="C90" s="179" t="str">
        <f>'Pay App 1'!C90</f>
        <v>Sheet Metal Flashing &amp; Trim</v>
      </c>
      <c r="D90" s="155">
        <f>'Pay App 1'!D90</f>
        <v>0</v>
      </c>
      <c r="E90" s="155">
        <f>VLOOKUP(B90,'Graph Data'!$O$2:$BX$88,43,FALSE)</f>
        <v>0</v>
      </c>
      <c r="F90" s="155">
        <f>IFERROR(E90+'Pay App 40'!F90,"")</f>
        <v>0</v>
      </c>
      <c r="G90" s="155">
        <f>SUM('Pay App 1:Pay App 40'!H90)</f>
        <v>0</v>
      </c>
      <c r="H90" s="154"/>
      <c r="I90" s="155">
        <f t="shared" si="0"/>
        <v>0</v>
      </c>
      <c r="J90" s="156">
        <f t="shared" si="1"/>
        <v>0</v>
      </c>
      <c r="K90" s="155">
        <f t="shared" si="2"/>
        <v>0</v>
      </c>
      <c r="L90" s="155" t="str">
        <f>IF(AND('Summary Sheet'!$E$23="No",$H$33&gt;0,H90&gt;=1),"",IF(AND('Summary Sheet'!$E$23="Yes",H90&lt;&gt;""),H90*'Summary Sheet'!$G$23,""))</f>
        <v/>
      </c>
      <c r="M90" s="154"/>
      <c r="N90" s="155">
        <f>SUM('Pay App 1:Pay App 41'!L90)+SUM('Pay App 1:Pay App 41'!M90)</f>
        <v>0</v>
      </c>
    </row>
    <row r="91" spans="1:14" ht="11.25" customHeight="1" x14ac:dyDescent="0.25">
      <c r="A91" s="152">
        <v>35</v>
      </c>
      <c r="B91" s="174" t="str">
        <f>'Pay App 1'!B91</f>
        <v>07 80 00</v>
      </c>
      <c r="C91" s="179" t="str">
        <f>'Pay App 1'!C91</f>
        <v>Fireproofing</v>
      </c>
      <c r="D91" s="155">
        <f>'Pay App 1'!D91</f>
        <v>0</v>
      </c>
      <c r="E91" s="155">
        <f>VLOOKUP(B91,'Graph Data'!$O$2:$BX$88,43,FALSE)</f>
        <v>0</v>
      </c>
      <c r="F91" s="155">
        <f>IFERROR(E91+'Pay App 40'!F91,"")</f>
        <v>0</v>
      </c>
      <c r="G91" s="155">
        <f>SUM('Pay App 1:Pay App 40'!H91)</f>
        <v>0</v>
      </c>
      <c r="H91" s="154"/>
      <c r="I91" s="155">
        <f t="shared" si="0"/>
        <v>0</v>
      </c>
      <c r="J91" s="156">
        <f t="shared" si="1"/>
        <v>0</v>
      </c>
      <c r="K91" s="155">
        <f t="shared" si="2"/>
        <v>0</v>
      </c>
      <c r="L91" s="155" t="str">
        <f>IF(AND('Summary Sheet'!$E$23="No",$H$33&gt;0,H91&gt;=1),"",IF(AND('Summary Sheet'!$E$23="Yes",H91&lt;&gt;""),H91*'Summary Sheet'!$G$23,""))</f>
        <v/>
      </c>
      <c r="M91" s="154"/>
      <c r="N91" s="155">
        <f>SUM('Pay App 1:Pay App 41'!L91)+SUM('Pay App 1:Pay App 41'!M91)</f>
        <v>0</v>
      </c>
    </row>
    <row r="92" spans="1:14" ht="11.25" customHeight="1" x14ac:dyDescent="0.25">
      <c r="A92" s="152">
        <v>36</v>
      </c>
      <c r="B92" s="174" t="str">
        <f>'Pay App 1'!B92</f>
        <v>07 90 00</v>
      </c>
      <c r="C92" s="179" t="str">
        <f>'Pay App 1'!C92</f>
        <v>Joint Sealants</v>
      </c>
      <c r="D92" s="155">
        <f>'Pay App 1'!D92</f>
        <v>0</v>
      </c>
      <c r="E92" s="155">
        <f>VLOOKUP(B92,'Graph Data'!$O$2:$BX$88,43,FALSE)</f>
        <v>0</v>
      </c>
      <c r="F92" s="155">
        <f>IFERROR(E92+'Pay App 40'!F92,"")</f>
        <v>0</v>
      </c>
      <c r="G92" s="155">
        <f>SUM('Pay App 1:Pay App 40'!H92)</f>
        <v>0</v>
      </c>
      <c r="H92" s="154"/>
      <c r="I92" s="155">
        <f t="shared" si="0"/>
        <v>0</v>
      </c>
      <c r="J92" s="156">
        <f t="shared" si="1"/>
        <v>0</v>
      </c>
      <c r="K92" s="155">
        <f t="shared" si="2"/>
        <v>0</v>
      </c>
      <c r="L92" s="155" t="str">
        <f>IF(AND('Summary Sheet'!$E$23="No",$H$33&gt;0,H92&gt;=1),"",IF(AND('Summary Sheet'!$E$23="Yes",H92&lt;&gt;""),H92*'Summary Sheet'!$G$23,""))</f>
        <v/>
      </c>
      <c r="M92" s="154"/>
      <c r="N92" s="155">
        <f>SUM('Pay App 1:Pay App 41'!L92)+SUM('Pay App 1:Pay App 41'!M92)</f>
        <v>0</v>
      </c>
    </row>
    <row r="93" spans="1:14" ht="11.25" customHeight="1" x14ac:dyDescent="0.25">
      <c r="A93" s="152">
        <v>37</v>
      </c>
      <c r="B93" s="174" t="str">
        <f>'Pay App 1'!B93</f>
        <v>07 95 00</v>
      </c>
      <c r="C93" s="179" t="str">
        <f>'Pay App 1'!C93</f>
        <v>Expansion Joints</v>
      </c>
      <c r="D93" s="155">
        <f>'Pay App 1'!D93</f>
        <v>0</v>
      </c>
      <c r="E93" s="155">
        <f>VLOOKUP(B93,'Graph Data'!$O$2:$BX$88,43,FALSE)</f>
        <v>0</v>
      </c>
      <c r="F93" s="155">
        <f>IFERROR(E93+'Pay App 40'!F93,"")</f>
        <v>0</v>
      </c>
      <c r="G93" s="155">
        <f>SUM('Pay App 1:Pay App 40'!H93)</f>
        <v>0</v>
      </c>
      <c r="H93" s="154"/>
      <c r="I93" s="155">
        <f t="shared" si="0"/>
        <v>0</v>
      </c>
      <c r="J93" s="156">
        <f t="shared" si="1"/>
        <v>0</v>
      </c>
      <c r="K93" s="155">
        <f t="shared" si="2"/>
        <v>0</v>
      </c>
      <c r="L93" s="155" t="str">
        <f>IF(AND('Summary Sheet'!$E$23="No",$H$33&gt;0,H93&gt;=1),"",IF(AND('Summary Sheet'!$E$23="Yes",H93&lt;&gt;""),H93*'Summary Sheet'!$G$23,""))</f>
        <v/>
      </c>
      <c r="M93" s="154"/>
      <c r="N93" s="155">
        <f>SUM('Pay App 1:Pay App 41'!L93)+SUM('Pay App 1:Pay App 41'!M93)</f>
        <v>0</v>
      </c>
    </row>
    <row r="94" spans="1:14" ht="11.25" customHeight="1" x14ac:dyDescent="0.25">
      <c r="A94" s="152">
        <v>38</v>
      </c>
      <c r="B94" s="175" t="str">
        <f>'Pay App 1'!B94</f>
        <v>08 10 00</v>
      </c>
      <c r="C94" s="180" t="str">
        <f>'Pay App 1'!C94</f>
        <v>Doors, Frames &amp; Hardware</v>
      </c>
      <c r="D94" s="155">
        <f>'Pay App 1'!D94</f>
        <v>0</v>
      </c>
      <c r="E94" s="155">
        <f>VLOOKUP(B94,'Graph Data'!$O$2:$BX$88,43,FALSE)</f>
        <v>0</v>
      </c>
      <c r="F94" s="155">
        <f>IFERROR(E94+'Pay App 40'!F94,"")</f>
        <v>0</v>
      </c>
      <c r="G94" s="155">
        <f>SUM('Pay App 1:Pay App 40'!H94)</f>
        <v>0</v>
      </c>
      <c r="H94" s="154"/>
      <c r="I94" s="155">
        <f t="shared" si="0"/>
        <v>0</v>
      </c>
      <c r="J94" s="156">
        <f t="shared" si="1"/>
        <v>0</v>
      </c>
      <c r="K94" s="155">
        <f t="shared" si="2"/>
        <v>0</v>
      </c>
      <c r="L94" s="155" t="str">
        <f>IF(AND('Summary Sheet'!$E$23="No",$H$33&gt;0,H94&gt;=1),"",IF(AND('Summary Sheet'!$E$23="Yes",H94&lt;&gt;""),H94*'Summary Sheet'!$G$23,""))</f>
        <v/>
      </c>
      <c r="M94" s="154"/>
      <c r="N94" s="155">
        <f>SUM('Pay App 1:Pay App 41'!L94)+SUM('Pay App 1:Pay App 41'!M94)</f>
        <v>0</v>
      </c>
    </row>
    <row r="95" spans="1:14" ht="11.25" customHeight="1" x14ac:dyDescent="0.25">
      <c r="A95" s="152">
        <v>39</v>
      </c>
      <c r="B95" s="175" t="str">
        <f>'Pay App 1'!B95</f>
        <v>08 30 00</v>
      </c>
      <c r="C95" s="180" t="str">
        <f>'Pay App 1'!C95</f>
        <v>Specialty Doors</v>
      </c>
      <c r="D95" s="155">
        <f>'Pay App 1'!D95</f>
        <v>0</v>
      </c>
      <c r="E95" s="155">
        <f>VLOOKUP(B95,'Graph Data'!$O$2:$BX$88,43,FALSE)</f>
        <v>0</v>
      </c>
      <c r="F95" s="155">
        <f>IFERROR(E95+'Pay App 40'!F95,"")</f>
        <v>0</v>
      </c>
      <c r="G95" s="155">
        <f>SUM('Pay App 1:Pay App 40'!H95)</f>
        <v>0</v>
      </c>
      <c r="H95" s="154"/>
      <c r="I95" s="155">
        <f t="shared" si="0"/>
        <v>0</v>
      </c>
      <c r="J95" s="156">
        <f t="shared" si="1"/>
        <v>0</v>
      </c>
      <c r="K95" s="155">
        <f t="shared" si="2"/>
        <v>0</v>
      </c>
      <c r="L95" s="155" t="str">
        <f>IF(AND('Summary Sheet'!$E$23="No",$H$33&gt;0,H95&gt;=1),"",IF(AND('Summary Sheet'!$E$23="Yes",H95&lt;&gt;""),H95*'Summary Sheet'!$G$23,""))</f>
        <v/>
      </c>
      <c r="M95" s="154"/>
      <c r="N95" s="155">
        <f>SUM('Pay App 1:Pay App 41'!L95)+SUM('Pay App 1:Pay App 41'!M95)</f>
        <v>0</v>
      </c>
    </row>
    <row r="96" spans="1:14" ht="11.25" customHeight="1" x14ac:dyDescent="0.25">
      <c r="A96" s="152">
        <v>40</v>
      </c>
      <c r="B96" s="175" t="str">
        <f>'Pay App 1'!B96</f>
        <v>08 33 00</v>
      </c>
      <c r="C96" s="180" t="str">
        <f>'Pay App 1'!C96</f>
        <v>Overhead Doors/Coiling Doors</v>
      </c>
      <c r="D96" s="155">
        <f>'Pay App 1'!D96</f>
        <v>0</v>
      </c>
      <c r="E96" s="155">
        <f>VLOOKUP(B96,'Graph Data'!$O$2:$BX$88,43,FALSE)</f>
        <v>0</v>
      </c>
      <c r="F96" s="155">
        <f>IFERROR(E96+'Pay App 40'!F96,"")</f>
        <v>0</v>
      </c>
      <c r="G96" s="155">
        <f>SUM('Pay App 1:Pay App 40'!H96)</f>
        <v>0</v>
      </c>
      <c r="H96" s="154"/>
      <c r="I96" s="155">
        <f t="shared" si="0"/>
        <v>0</v>
      </c>
      <c r="J96" s="156">
        <f t="shared" si="1"/>
        <v>0</v>
      </c>
      <c r="K96" s="155">
        <f t="shared" si="2"/>
        <v>0</v>
      </c>
      <c r="L96" s="155" t="str">
        <f>IF(AND('Summary Sheet'!$E$23="No",$H$33&gt;0,H96&gt;=1),"",IF(AND('Summary Sheet'!$E$23="Yes",H96&lt;&gt;""),H96*'Summary Sheet'!$G$23,""))</f>
        <v/>
      </c>
      <c r="M96" s="154"/>
      <c r="N96" s="155">
        <f>SUM('Pay App 1:Pay App 41'!L96)+SUM('Pay App 1:Pay App 41'!M96)</f>
        <v>0</v>
      </c>
    </row>
    <row r="97" spans="1:15" ht="11.25" customHeight="1" x14ac:dyDescent="0.25">
      <c r="A97" s="152">
        <v>41</v>
      </c>
      <c r="B97" s="175" t="str">
        <f>'Pay App 1'!B97</f>
        <v>08 40 00</v>
      </c>
      <c r="C97" s="180" t="str">
        <f>'Pay App 1'!C97</f>
        <v>Curtain Wall, Glass &amp; Glazing</v>
      </c>
      <c r="D97" s="155">
        <f>'Pay App 1'!D97</f>
        <v>0</v>
      </c>
      <c r="E97" s="155">
        <f>VLOOKUP(B97,'Graph Data'!$O$2:$BX$88,43,FALSE)</f>
        <v>0</v>
      </c>
      <c r="F97" s="155">
        <f>IFERROR(E97+'Pay App 40'!F97,"")</f>
        <v>0</v>
      </c>
      <c r="G97" s="155">
        <f>SUM('Pay App 1:Pay App 40'!H97)</f>
        <v>0</v>
      </c>
      <c r="H97" s="154"/>
      <c r="I97" s="155">
        <f t="shared" si="0"/>
        <v>0</v>
      </c>
      <c r="J97" s="156">
        <f t="shared" si="1"/>
        <v>0</v>
      </c>
      <c r="K97" s="155">
        <f t="shared" si="2"/>
        <v>0</v>
      </c>
      <c r="L97" s="155" t="str">
        <f>IF(AND('Summary Sheet'!$E$23="No",$H$33&gt;0,H97&gt;=1),"",IF(AND('Summary Sheet'!$E$23="Yes",H97&lt;&gt;""),H97*'Summary Sheet'!$G$23,""))</f>
        <v/>
      </c>
      <c r="M97" s="154"/>
      <c r="N97" s="155">
        <f>SUM('Pay App 1:Pay App 41'!L97)+SUM('Pay App 1:Pay App 41'!M97)</f>
        <v>0</v>
      </c>
    </row>
    <row r="98" spans="1:15" ht="10.9" customHeight="1" x14ac:dyDescent="0.25">
      <c r="A98" s="152">
        <v>42</v>
      </c>
      <c r="B98" s="175" t="str">
        <f>'Pay App 1'!B98</f>
        <v>08 60 00</v>
      </c>
      <c r="C98" s="180" t="str">
        <f>'Pay App 1'!C98</f>
        <v>Skylights</v>
      </c>
      <c r="D98" s="155">
        <f>'Pay App 1'!D98</f>
        <v>0</v>
      </c>
      <c r="E98" s="155">
        <f>VLOOKUP(B98,'Graph Data'!$O$2:$BX$88,43,FALSE)</f>
        <v>0</v>
      </c>
      <c r="F98" s="155">
        <f>IFERROR(E98+'Pay App 40'!F98,"")</f>
        <v>0</v>
      </c>
      <c r="G98" s="155">
        <f>SUM('Pay App 1:Pay App 40'!H98)</f>
        <v>0</v>
      </c>
      <c r="H98" s="154"/>
      <c r="I98" s="155">
        <f t="shared" si="0"/>
        <v>0</v>
      </c>
      <c r="J98" s="156">
        <f t="shared" si="1"/>
        <v>0</v>
      </c>
      <c r="K98" s="155">
        <f t="shared" si="2"/>
        <v>0</v>
      </c>
      <c r="L98" s="155" t="str">
        <f>IF(AND('Summary Sheet'!$E$23="No",$H$33&gt;0,H98&gt;=1),"",IF(AND('Summary Sheet'!$E$23="Yes",H98&lt;&gt;""),H98*'Summary Sheet'!$G$23,""))</f>
        <v/>
      </c>
      <c r="M98" s="154"/>
      <c r="N98" s="155">
        <f>SUM('Pay App 1:Pay App 41'!L98)+SUM('Pay App 1:Pay App 41'!M98)</f>
        <v>0</v>
      </c>
    </row>
    <row r="99" spans="1:15" ht="10.9" customHeight="1" x14ac:dyDescent="0.25">
      <c r="A99" s="152">
        <v>43</v>
      </c>
      <c r="B99" s="175" t="str">
        <f>'Pay App 1'!B99</f>
        <v>08 90 00</v>
      </c>
      <c r="C99" s="180" t="str">
        <f>'Pay App 1'!C99</f>
        <v>Louvers &amp; Vents</v>
      </c>
      <c r="D99" s="155">
        <f>'Pay App 1'!D99</f>
        <v>0</v>
      </c>
      <c r="E99" s="155">
        <f>VLOOKUP(B99,'Graph Data'!$O$2:$BX$88,43,FALSE)</f>
        <v>0</v>
      </c>
      <c r="F99" s="155">
        <f>IFERROR(E99+'Pay App 40'!F99,"")</f>
        <v>0</v>
      </c>
      <c r="G99" s="155">
        <f>SUM('Pay App 1:Pay App 40'!H99)</f>
        <v>0</v>
      </c>
      <c r="H99" s="154"/>
      <c r="I99" s="155">
        <f t="shared" si="0"/>
        <v>0</v>
      </c>
      <c r="J99" s="156">
        <f t="shared" si="1"/>
        <v>0</v>
      </c>
      <c r="K99" s="155">
        <f t="shared" si="2"/>
        <v>0</v>
      </c>
      <c r="L99" s="155" t="str">
        <f>IF(AND('Summary Sheet'!$E$23="No",$H$33&gt;0,H99&gt;=1),"",IF(AND('Summary Sheet'!$E$23="Yes",H99&lt;&gt;""),H99*'Summary Sheet'!$G$23,""))</f>
        <v/>
      </c>
      <c r="M99" s="154"/>
      <c r="N99" s="155">
        <f>SUM('Pay App 1:Pay App 41'!L99)+SUM('Pay App 1:Pay App 41'!M99)</f>
        <v>0</v>
      </c>
    </row>
    <row r="100" spans="1:15" ht="11.25" customHeight="1" x14ac:dyDescent="0.25">
      <c r="A100" s="153">
        <v>44</v>
      </c>
      <c r="B100" s="176" t="str">
        <f>'Pay App 1'!B100</f>
        <v>09 20 00</v>
      </c>
      <c r="C100" s="181" t="str">
        <f>'Pay App 1'!C100</f>
        <v>Gypsum Board Systems</v>
      </c>
      <c r="D100" s="155">
        <f>'Pay App 1'!D100</f>
        <v>0</v>
      </c>
      <c r="E100" s="155">
        <f>VLOOKUP(B100,'Graph Data'!$O$2:$BX$88,43,FALSE)</f>
        <v>0</v>
      </c>
      <c r="F100" s="155">
        <f>IFERROR(E100+'Pay App 40'!F100,"")</f>
        <v>0</v>
      </c>
      <c r="G100" s="155">
        <f>SUM('Pay App 1:Pay App 40'!H100)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41'!L100)+SUM('Pay App 1:Pay App 41'!M100)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Data'!$O$2:$BX$88,43,FALSE)</f>
        <v>0</v>
      </c>
      <c r="F106" s="155">
        <f>IFERROR(E106+'Pay App 40'!F106,"")</f>
        <v>0</v>
      </c>
      <c r="G106" s="155">
        <f>SUM('Pay App 1:Pay App 40'!H106)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41'!L106)+SUM('Pay App 1:Pay App 41'!M106)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Data'!$O$2:$BX$88,43,FALSE)</f>
        <v>0</v>
      </c>
      <c r="F107" s="155">
        <f>IFERROR(E107+'Pay App 40'!F107,"")</f>
        <v>0</v>
      </c>
      <c r="G107" s="155">
        <f>SUM('Pay App 1:Pay App 40'!H107)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41'!L107)+SUM('Pay App 1:Pay App 41'!M107)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Data'!$O$2:$BX$88,43,FALSE)</f>
        <v>0</v>
      </c>
      <c r="F108" s="155">
        <f>IFERROR(E108+'Pay App 40'!F108,"")</f>
        <v>0</v>
      </c>
      <c r="G108" s="155">
        <f>SUM('Pay App 1:Pay App 40'!H108)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41'!L108)+SUM('Pay App 1:Pay App 41'!M108)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Data'!$O$2:$BX$88,43,FALSE)</f>
        <v>0</v>
      </c>
      <c r="F109" s="155">
        <f>IFERROR(E109+'Pay App 40'!F109,"")</f>
        <v>0</v>
      </c>
      <c r="G109" s="155">
        <f>SUM('Pay App 1:Pay App 40'!H109)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41'!L109)+SUM('Pay App 1:Pay App 41'!M109)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Data'!$O$2:$BX$88,43,FALSE)</f>
        <v>0</v>
      </c>
      <c r="F110" s="155">
        <f>IFERROR(E110+'Pay App 40'!F110,"")</f>
        <v>0</v>
      </c>
      <c r="G110" s="155">
        <f>SUM('Pay App 1:Pay App 40'!H110)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41'!L110)+SUM('Pay App 1:Pay App 41'!M110)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Data'!$O$2:$BX$88,43,FALSE)</f>
        <v>0</v>
      </c>
      <c r="F111" s="155">
        <f>IFERROR(E111+'Pay App 40'!F111,"")</f>
        <v>0</v>
      </c>
      <c r="G111" s="155">
        <f>SUM('Pay App 1:Pay App 40'!H111)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41'!L111)+SUM('Pay App 1:Pay App 41'!M111)</f>
        <v>0</v>
      </c>
    </row>
    <row r="112" spans="1:15" ht="11.25" customHeight="1" x14ac:dyDescent="0.25">
      <c r="A112" s="152">
        <f t="shared" si="3"/>
        <v>51</v>
      </c>
      <c r="B112" s="148" t="str">
        <f>'Pay App 1'!B112</f>
        <v>09 90 00</v>
      </c>
      <c r="C112" s="143" t="str">
        <f>'Pay App 1'!C112</f>
        <v>Painting</v>
      </c>
      <c r="D112" s="155">
        <f>'Pay App 1'!D112</f>
        <v>0</v>
      </c>
      <c r="E112" s="155">
        <f>VLOOKUP(B112,'Graph Data'!$O$2:$BX$88,43,FALSE)</f>
        <v>0</v>
      </c>
      <c r="F112" s="155">
        <f>IFERROR(E112+'Pay App 40'!F112,"")</f>
        <v>0</v>
      </c>
      <c r="G112" s="155">
        <f>SUM('Pay App 1:Pay App 40'!H112)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41'!L112)+SUM('Pay App 1:Pay App 41'!M112)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Data'!$O$2:$BX$88,43,FALSE)</f>
        <v>0</v>
      </c>
      <c r="F113" s="155">
        <f>IFERROR(E113+'Pay App 40'!F113,"")</f>
        <v>0</v>
      </c>
      <c r="G113" s="155">
        <f>SUM('Pay App 1:Pay App 40'!H113)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41'!L113)+SUM('Pay App 1:Pay App 41'!M113)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Data'!$O$2:$BX$88,43,FALSE)</f>
        <v>0</v>
      </c>
      <c r="F114" s="155">
        <f>IFERROR(E114+'Pay App 40'!F114,"")</f>
        <v>0</v>
      </c>
      <c r="G114" s="155">
        <f>SUM('Pay App 1:Pay App 40'!H114)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41'!L114)+SUM('Pay App 1:Pay App 41'!M114)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Data'!$O$2:$BX$88,43,FALSE)</f>
        <v>0</v>
      </c>
      <c r="F115" s="155">
        <f>IFERROR(E115+'Pay App 40'!F115,"")</f>
        <v>0</v>
      </c>
      <c r="G115" s="155">
        <f>SUM('Pay App 1:Pay App 40'!H115)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41'!L115)+SUM('Pay App 1:Pay App 41'!M115)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Data'!$O$2:$BX$88,43,FALSE)</f>
        <v>0</v>
      </c>
      <c r="F116" s="155">
        <f>IFERROR(E116+'Pay App 40'!F116,"")</f>
        <v>0</v>
      </c>
      <c r="G116" s="155">
        <f>SUM('Pay App 1:Pay App 40'!H116)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41'!L116)+SUM('Pay App 1:Pay App 41'!M116)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Data'!$O$2:$BX$88,43,FALSE)</f>
        <v>0</v>
      </c>
      <c r="F117" s="155">
        <f>IFERROR(E117+'Pay App 40'!F117,"")</f>
        <v>0</v>
      </c>
      <c r="G117" s="155">
        <f>SUM('Pay App 1:Pay App 40'!H117)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41'!L117)+SUM('Pay App 1:Pay App 41'!M117)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Data'!$O$2:$BX$88,43,FALSE)</f>
        <v>0</v>
      </c>
      <c r="F118" s="155">
        <f>IFERROR(E118+'Pay App 40'!F118,"")</f>
        <v>0</v>
      </c>
      <c r="G118" s="155">
        <f>SUM('Pay App 1:Pay App 40'!H118)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41'!L118)+SUM('Pay App 1:Pay App 41'!M118)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Data'!$O$2:$BX$88,43,FALSE)</f>
        <v>0</v>
      </c>
      <c r="F119" s="155">
        <f>IFERROR(E119+'Pay App 40'!F119,"")</f>
        <v>0</v>
      </c>
      <c r="G119" s="155">
        <f>SUM('Pay App 1:Pay App 40'!H119)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41'!L119)+SUM('Pay App 1:Pay App 41'!M119)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Data'!$O$2:$BX$88,43,FALSE)</f>
        <v>0</v>
      </c>
      <c r="F120" s="155">
        <f>IFERROR(E120+'Pay App 40'!F120,"")</f>
        <v>0</v>
      </c>
      <c r="G120" s="155">
        <f>SUM('Pay App 1:Pay App 40'!H120)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41'!L120)+SUM('Pay App 1:Pay App 41'!M120)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Data'!$O$2:$BX$88,43,FALSE)</f>
        <v>0</v>
      </c>
      <c r="F121" s="155">
        <f>IFERROR(E121+'Pay App 40'!F121,"")</f>
        <v>0</v>
      </c>
      <c r="G121" s="155">
        <f>SUM('Pay App 1:Pay App 40'!H121)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41'!L121)+SUM('Pay App 1:Pay App 41'!M121)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Data'!$O$2:$BX$88,43,FALSE)</f>
        <v>0</v>
      </c>
      <c r="F122" s="155">
        <f>IFERROR(E122+'Pay App 40'!F122,"")</f>
        <v>0</v>
      </c>
      <c r="G122" s="155">
        <f>SUM('Pay App 1:Pay App 40'!H122)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41'!L122)+SUM('Pay App 1:Pay App 41'!M122)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Data'!$O$2:$BX$88,43,FALSE)</f>
        <v>0</v>
      </c>
      <c r="F123" s="155">
        <f>IFERROR(E123+'Pay App 40'!F123,"")</f>
        <v>0</v>
      </c>
      <c r="G123" s="155">
        <f>SUM('Pay App 1:Pay App 40'!H123)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41'!L123)+SUM('Pay App 1:Pay App 41'!M123)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Data'!$O$2:$BX$88,43,FALSE)</f>
        <v>0</v>
      </c>
      <c r="F124" s="155">
        <f>IFERROR(E124+'Pay App 40'!F124,"")</f>
        <v>0</v>
      </c>
      <c r="G124" s="155">
        <f>SUM('Pay App 1:Pay App 40'!H124)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41'!L124)+SUM('Pay App 1:Pay App 41'!M124)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Data'!$O$2:$BX$88,43,FALSE)</f>
        <v>0</v>
      </c>
      <c r="F125" s="155">
        <f>IFERROR(E125+'Pay App 40'!F125,"")</f>
        <v>0</v>
      </c>
      <c r="G125" s="155">
        <f>SUM('Pay App 1:Pay App 40'!H125)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41'!L125)+SUM('Pay App 1:Pay App 41'!M125)</f>
        <v>0</v>
      </c>
    </row>
    <row r="126" spans="1:14" ht="11.25" customHeight="1" x14ac:dyDescent="0.25">
      <c r="A126" s="152">
        <f t="shared" si="3"/>
        <v>65</v>
      </c>
      <c r="B126" s="188" t="str">
        <f>'Pay App 1'!B126</f>
        <v>14 20 00</v>
      </c>
      <c r="C126" s="194" t="str">
        <f>'Pay App 1'!C126</f>
        <v>Elevator</v>
      </c>
      <c r="D126" s="155">
        <f>'Pay App 1'!D126</f>
        <v>0</v>
      </c>
      <c r="E126" s="155">
        <f>VLOOKUP(B126,'Graph Data'!$O$2:$BX$88,43,FALSE)</f>
        <v>0</v>
      </c>
      <c r="F126" s="155">
        <f>IFERROR(E126+'Pay App 40'!F126,"")</f>
        <v>0</v>
      </c>
      <c r="G126" s="155">
        <f>SUM('Pay App 1:Pay App 40'!H126)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41'!L126)+SUM('Pay App 1:Pay App 41'!M126)</f>
        <v>0</v>
      </c>
    </row>
    <row r="127" spans="1:14" ht="11.25" customHeight="1" x14ac:dyDescent="0.25">
      <c r="A127" s="152">
        <f t="shared" si="3"/>
        <v>66</v>
      </c>
      <c r="B127" s="188" t="str">
        <f>'Pay App 1'!B127</f>
        <v>14 40 00</v>
      </c>
      <c r="C127" s="194" t="str">
        <f>'Pay App 1'!C127</f>
        <v>Lifts</v>
      </c>
      <c r="D127" s="155">
        <f>'Pay App 1'!D127</f>
        <v>0</v>
      </c>
      <c r="E127" s="155">
        <f>VLOOKUP(B127,'Graph Data'!$O$2:$BX$88,43,FALSE)</f>
        <v>0</v>
      </c>
      <c r="F127" s="155">
        <f>IFERROR(E127+'Pay App 40'!F127,"")</f>
        <v>0</v>
      </c>
      <c r="G127" s="155">
        <f>SUM('Pay App 1:Pay App 40'!H127)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41'!L127)+SUM('Pay App 1:Pay App 41'!M127)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Data'!$O$2:$BX$88,43,FALSE)</f>
        <v>0</v>
      </c>
      <c r="F128" s="155">
        <f>IFERROR(E128+'Pay App 40'!F128,"")</f>
        <v>0</v>
      </c>
      <c r="G128" s="155">
        <f>SUM('Pay App 1:Pay App 40'!H128)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41'!L128)+SUM('Pay App 1:Pay App 41'!M128)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Data'!$O$2:$BX$88,43,FALSE)</f>
        <v>0</v>
      </c>
      <c r="F129" s="155">
        <f>IFERROR(E129+'Pay App 40'!F129,"")</f>
        <v>0</v>
      </c>
      <c r="G129" s="155">
        <f>SUM('Pay App 1:Pay App 40'!H129)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41'!L129)+SUM('Pay App 1:Pay App 41'!M129)</f>
        <v>0</v>
      </c>
    </row>
    <row r="130" spans="1:14" ht="11.25" customHeight="1" x14ac:dyDescent="0.25">
      <c r="A130" s="152">
        <f t="shared" si="3"/>
        <v>69</v>
      </c>
      <c r="B130" s="185" t="str">
        <f>'Pay App 1'!B130</f>
        <v>22 00 00</v>
      </c>
      <c r="C130" s="191" t="str">
        <f>'Pay App 1'!C130</f>
        <v>Plumbing</v>
      </c>
      <c r="D130" s="155">
        <f>'Pay App 1'!D130</f>
        <v>0</v>
      </c>
      <c r="E130" s="155">
        <f>VLOOKUP(B130,'Graph Data'!$O$2:$BX$88,43,FALSE)</f>
        <v>0</v>
      </c>
      <c r="F130" s="155">
        <f>IFERROR(E130+'Pay App 40'!F130,"")</f>
        <v>0</v>
      </c>
      <c r="G130" s="155">
        <f>SUM('Pay App 1:Pay App 40'!H130)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41'!L130)+SUM('Pay App 1:Pay App 41'!M130)</f>
        <v>0</v>
      </c>
    </row>
    <row r="131" spans="1:14" ht="11.25" customHeight="1" x14ac:dyDescent="0.25">
      <c r="A131" s="152">
        <f t="shared" si="3"/>
        <v>70</v>
      </c>
      <c r="B131" s="186" t="str">
        <f>'Pay App 1'!B131</f>
        <v>23 00 00</v>
      </c>
      <c r="C131" s="192" t="str">
        <f>'Pay App 1'!C131</f>
        <v>HVAC</v>
      </c>
      <c r="D131" s="155">
        <f>'Pay App 1'!D131</f>
        <v>0</v>
      </c>
      <c r="E131" s="155">
        <f>VLOOKUP(B131,'Graph Data'!$O$2:$BX$88,43,FALSE)</f>
        <v>0</v>
      </c>
      <c r="F131" s="155">
        <f>IFERROR(E131+'Pay App 40'!F131,"")</f>
        <v>0</v>
      </c>
      <c r="G131" s="155">
        <f>SUM('Pay App 1:Pay App 40'!H131)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41'!L131)+SUM('Pay App 1:Pay App 41'!M131)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Data'!$O$2:$BX$88,43,FALSE)</f>
        <v>0</v>
      </c>
      <c r="F132" s="155">
        <f>IFERROR(E132+'Pay App 40'!F132,"")</f>
        <v>0</v>
      </c>
      <c r="G132" s="155">
        <f>SUM('Pay App 1:Pay App 40'!H132)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41'!L132)+SUM('Pay App 1:Pay App 41'!M132)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Data'!$O$2:$BX$88,43,FALSE)</f>
        <v>0</v>
      </c>
      <c r="F133" s="155">
        <f>IFERROR(E133+'Pay App 40'!F133,"")</f>
        <v>0</v>
      </c>
      <c r="G133" s="155">
        <f>SUM('Pay App 1:Pay App 40'!H133)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41'!L133)+SUM('Pay App 1:Pay App 41'!M133)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Data'!$O$2:$BX$88,43,FALSE)</f>
        <v>0</v>
      </c>
      <c r="F134" s="155">
        <f>IFERROR(E134+'Pay App 40'!F134,"")</f>
        <v>0</v>
      </c>
      <c r="G134" s="155">
        <f>SUM('Pay App 1:Pay App 40'!H134)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41'!L134)+SUM('Pay App 1:Pay App 41'!M134)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Data'!$O$2:$BX$88,43,FALSE)</f>
        <v>0</v>
      </c>
      <c r="F135" s="155">
        <f>IFERROR(E135+'Pay App 40'!F135,"")</f>
        <v>0</v>
      </c>
      <c r="G135" s="155">
        <f>SUM('Pay App 1:Pay App 40'!H135)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41'!L135)+SUM('Pay App 1:Pay App 41'!M135)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Data'!$O$2:$BX$88,43,FALSE)</f>
        <v>0</v>
      </c>
      <c r="F136" s="155">
        <f>IFERROR(E136+'Pay App 40'!F136,"")</f>
        <v>0</v>
      </c>
      <c r="G136" s="155">
        <f>SUM('Pay App 1:Pay App 40'!H136)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41'!L136)+SUM('Pay App 1:Pay App 41'!M136)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Data'!$O$2:$BX$88,43,FALSE)</f>
        <v>0</v>
      </c>
      <c r="F137" s="155">
        <f>IFERROR(E137+'Pay App 40'!F137,"")</f>
        <v>0</v>
      </c>
      <c r="G137" s="155">
        <f>SUM('Pay App 1:Pay App 40'!H137)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41'!L137)+SUM('Pay App 1:Pay App 41'!M137)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Data'!$O$2:$BX$88,43,FALSE)</f>
        <v>0</v>
      </c>
      <c r="F138" s="155">
        <f>IFERROR(E138+'Pay App 40'!F138,"")</f>
        <v>0</v>
      </c>
      <c r="G138" s="155">
        <f>SUM('Pay App 1:Pay App 40'!H138)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41'!L138)+SUM('Pay App 1:Pay App 41'!M138)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Data'!$O$2:$BX$88,43,FALSE)</f>
        <v>0</v>
      </c>
      <c r="F139" s="155">
        <f>IFERROR(E139+'Pay App 40'!F139,"")</f>
        <v>0</v>
      </c>
      <c r="G139" s="155">
        <f>SUM('Pay App 1:Pay App 40'!H139)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41'!L139)+SUM('Pay App 1:Pay App 41'!M139)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Data'!$O$2:$BX$88,43,FALSE)</f>
        <v>0</v>
      </c>
      <c r="F140" s="155">
        <f>IFERROR(E140+'Pay App 40'!F140,"")</f>
        <v>0</v>
      </c>
      <c r="G140" s="155">
        <f>SUM('Pay App 1:Pay App 40'!H140)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41'!L140)+SUM('Pay App 1:Pay App 41'!M140)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Data'!$O$2:$BX$88,43,FALSE)</f>
        <v>0</v>
      </c>
      <c r="F141" s="155">
        <f>IFERROR(E141+'Pay App 40'!F141,"")</f>
        <v>0</v>
      </c>
      <c r="G141" s="155">
        <f>SUM('Pay App 1:Pay App 40'!H141)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41'!L141)+SUM('Pay App 1:Pay App 41'!M141)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Data'!$O$2:$BX$88,43,FALSE)</f>
        <v>0</v>
      </c>
      <c r="F142" s="155">
        <f>IFERROR(E142+'Pay App 40'!F142,"")</f>
        <v>0</v>
      </c>
      <c r="G142" s="155">
        <f>SUM('Pay App 1:Pay App 40'!H142)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41'!L142)+SUM('Pay App 1:Pay App 41'!M142)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Data'!$O$2:$BX$88,43,FALSE)</f>
        <v>0</v>
      </c>
      <c r="F143" s="155">
        <f>IFERROR(E143+'Pay App 40'!F143,"")</f>
        <v>0</v>
      </c>
      <c r="G143" s="155">
        <f>SUM('Pay App 1:Pay App 40'!H143)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41'!L143)+SUM('Pay App 1:Pay App 41'!M143)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Data'!$O$2:$BX$88,43,FALSE)</f>
        <v>0</v>
      </c>
      <c r="F144" s="155">
        <f>IFERROR(E144+'Pay App 40'!F144,"")</f>
        <v>0</v>
      </c>
      <c r="G144" s="155">
        <f>SUM('Pay App 1:Pay App 40'!H144)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41'!L144)+SUM('Pay App 1:Pay App 41'!M144)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Data'!$O$2:$BX$88,43,FALSE)</f>
        <v>0</v>
      </c>
      <c r="F145" s="155">
        <f>IFERROR(E145+'Pay App 40'!F145,"")</f>
        <v>0</v>
      </c>
      <c r="G145" s="155">
        <f>SUM('Pay App 1:Pay App 40'!H145)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41'!L145)+SUM('Pay App 1:Pay App 41'!M145)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Data'!$O$2:$BX$88,43,FALSE)</f>
        <v>0</v>
      </c>
      <c r="F146" s="155">
        <f>IFERROR(E146+'Pay App 40'!F146,"")</f>
        <v>0</v>
      </c>
      <c r="G146" s="155">
        <f>SUM('Pay App 1:Pay App 40'!H146)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41'!L146)+SUM('Pay App 1:Pay App 41'!M146)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Data'!$O$2:$BX$88,43,FALSE)</f>
        <v>0</v>
      </c>
      <c r="F147" s="155">
        <f>IFERROR(E147+'Pay App 40'!F147,"")</f>
        <v>0</v>
      </c>
      <c r="G147" s="155">
        <f>SUM('Pay App 1:Pay App 40'!H147)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41'!L147)+SUM('Pay App 1:Pay App 41'!M147)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Data'!$O$2:$BX$88,43,FALSE)</f>
        <v>0</v>
      </c>
      <c r="F148" s="155">
        <f>IFERROR(E148+'Pay App 40'!F148,"")</f>
        <v>0</v>
      </c>
      <c r="G148" s="155">
        <f>SUM('Pay App 1:Pay App 40'!H148)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41'!L148)+SUM('Pay App 1:Pay App 41'!M148)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b2YSmZj2xMhitgGzNJ6isZHUbiFZFpffyLLKsAPRTimrddoZoG7sO23udotoUClHCUXMgUr97YRUZx6hf6azjw==" saltValue="AHFShjpTpard4jIp/+I/r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19" priority="2" operator="equal">
      <formula>0</formula>
    </cfRule>
  </conditionalFormatting>
  <conditionalFormatting sqref="D106:G148">
    <cfRule type="cellIs" dxfId="218" priority="1" operator="equal">
      <formula>0</formula>
    </cfRule>
  </conditionalFormatting>
  <conditionalFormatting sqref="D10:H10 D12:H14 D19:H21">
    <cfRule type="cellIs" dxfId="217" priority="6" operator="equal">
      <formula>0</formula>
    </cfRule>
  </conditionalFormatting>
  <conditionalFormatting sqref="H51">
    <cfRule type="cellIs" dxfId="216" priority="9" operator="lessThan">
      <formula>0</formula>
    </cfRule>
  </conditionalFormatting>
  <conditionalFormatting sqref="I57:I100 K57:K100 I106:I148 K106:K148 N106:N148">
    <cfRule type="cellIs" dxfId="215" priority="14" operator="equal">
      <formula>0</formula>
    </cfRule>
  </conditionalFormatting>
  <conditionalFormatting sqref="J57:J100 J106:J149">
    <cfRule type="cellIs" dxfId="214" priority="11" operator="greaterThan">
      <formula>1</formula>
    </cfRule>
    <cfRule type="cellIs" dxfId="213" priority="12" operator="equal">
      <formula>0</formula>
    </cfRule>
  </conditionalFormatting>
  <conditionalFormatting sqref="K57:K100 K106:K148">
    <cfRule type="cellIs" dxfId="212" priority="10" operator="lessThan">
      <formula>0</formula>
    </cfRule>
  </conditionalFormatting>
  <conditionalFormatting sqref="M57:M100">
    <cfRule type="cellIs" dxfId="211" priority="13" operator="lessThan">
      <formula>0</formula>
    </cfRule>
  </conditionalFormatting>
  <conditionalFormatting sqref="M106:M148">
    <cfRule type="cellIs" dxfId="210" priority="8" operator="lessThan">
      <formula>0</formula>
    </cfRule>
  </conditionalFormatting>
  <conditionalFormatting sqref="N57:N100">
    <cfRule type="cellIs" dxfId="209"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B00691FB-78E3-4A0C-9213-F6FB5FFEA4BC}">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42D66BC-502E-4F24-9017-0FF051EFD2FD}">
          <x14:formula1>
            <xm:f>'Graph Data'!$M$74:$M$76</xm:f>
          </x14:formula1>
          <xm:sqref>G17</xm:sqref>
        </x14:dataValidation>
      </x14:dataValidation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332C3-B895-4098-B850-3CADD1A0B768}">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937</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Data'!$O$2:$BX$88,44,FALSE)</f>
        <v>0</v>
      </c>
      <c r="F57" s="155">
        <f>IFERROR(E57+'Pay App 41'!F57,"")</f>
        <v>0</v>
      </c>
      <c r="G57" s="155">
        <f>SUM('Pay App 1:Pay App 41'!H57)</f>
        <v>0</v>
      </c>
      <c r="H57" s="154"/>
      <c r="I57" s="155">
        <f>G57+H57</f>
        <v>0</v>
      </c>
      <c r="J57" s="156">
        <f>IFERROR(I57/F57,0)</f>
        <v>0</v>
      </c>
      <c r="K57" s="155">
        <f>IFERROR(F57-I57,"")</f>
        <v>0</v>
      </c>
      <c r="L57" s="155" t="str">
        <f>IF(AND('Summary Sheet'!$E$23="No",$H$33&gt;0,H57&gt;=1),"",IF(AND('Summary Sheet'!$E$23="Yes",H57&lt;&gt;""),H57*'Summary Sheet'!$G$23,""))</f>
        <v/>
      </c>
      <c r="M57" s="154"/>
      <c r="N57" s="155">
        <f>SUM('Pay App 1:Pay App 42'!L57)+SUM('Pay App 1:Pay App 42'!M57)</f>
        <v>0</v>
      </c>
    </row>
    <row r="58" spans="1:16" ht="11.25" customHeight="1" x14ac:dyDescent="0.25">
      <c r="A58" s="152">
        <v>2</v>
      </c>
      <c r="B58" s="145" t="str">
        <f>'Pay App 1'!B58</f>
        <v>00 02 00</v>
      </c>
      <c r="C58" s="134" t="str">
        <f>'Pay App 1'!C58</f>
        <v>Preconstruction Services</v>
      </c>
      <c r="D58" s="155">
        <f>'Pay App 1'!D58</f>
        <v>0</v>
      </c>
      <c r="E58" s="155">
        <f>VLOOKUP(B58,'Graph Data'!$O$2:$BX$88,44,FALSE)</f>
        <v>0</v>
      </c>
      <c r="F58" s="155">
        <f>IFERROR(E58+'Pay App 41'!F58,"")</f>
        <v>0</v>
      </c>
      <c r="G58" s="155">
        <f>SUM('Pay App 1:Pay App 41'!H58)</f>
        <v>0</v>
      </c>
      <c r="H58" s="154"/>
      <c r="I58" s="155">
        <f>G58+H58</f>
        <v>0</v>
      </c>
      <c r="J58" s="156">
        <f>IFERROR(I58/F58,0)</f>
        <v>0</v>
      </c>
      <c r="K58" s="155">
        <f>IFERROR(F58-I58,"")</f>
        <v>0</v>
      </c>
      <c r="L58" s="155" t="str">
        <f>IF(AND('Summary Sheet'!$E$23="No",$H$33&gt;0,H58&gt;=1),"",IF(AND('Summary Sheet'!$E$23="Yes",H58&lt;&gt;""),H58*'Summary Sheet'!$G$23,""))</f>
        <v/>
      </c>
      <c r="M58" s="154"/>
      <c r="N58" s="155">
        <f>SUM('Pay App 1:Pay App 42'!L58)+SUM('Pay App 1:Pay App 42'!M58)</f>
        <v>0</v>
      </c>
    </row>
    <row r="59" spans="1:16" ht="11.25" customHeight="1" x14ac:dyDescent="0.25">
      <c r="A59" s="152">
        <v>3</v>
      </c>
      <c r="B59" s="174" t="str">
        <f>'Pay App 1'!B59</f>
        <v>01 00 00</v>
      </c>
      <c r="C59" s="179" t="str">
        <f>'Pay App 1'!C59</f>
        <v>General Conditions/Requirements</v>
      </c>
      <c r="D59" s="155">
        <f>'Pay App 1'!D59</f>
        <v>0</v>
      </c>
      <c r="E59" s="155">
        <f>VLOOKUP(B59,'Graph Data'!$O$2:$BX$88,44,FALSE)</f>
        <v>0</v>
      </c>
      <c r="F59" s="155">
        <f>IFERROR(E59+'Pay App 41'!F59,"")</f>
        <v>0</v>
      </c>
      <c r="G59" s="155">
        <f>SUM('Pay App 1:Pay App 41'!H59)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42'!L59)+SUM('Pay App 1:Pay App 42'!M59)</f>
        <v>0</v>
      </c>
    </row>
    <row r="60" spans="1:16" ht="11.25" customHeight="1" x14ac:dyDescent="0.25">
      <c r="A60" s="152">
        <v>4</v>
      </c>
      <c r="B60" s="174" t="str">
        <f>'Pay App 1'!B60</f>
        <v>01 13 41</v>
      </c>
      <c r="C60" s="179" t="str">
        <f>'Pay App 1'!C60</f>
        <v>Temp. Scaffolding and Platforms</v>
      </c>
      <c r="D60" s="155">
        <f>'Pay App 1'!D60</f>
        <v>0</v>
      </c>
      <c r="E60" s="155">
        <f>VLOOKUP(B60,'Graph Data'!$O$2:$BX$88,44,FALSE)</f>
        <v>0</v>
      </c>
      <c r="F60" s="155">
        <f>IFERROR(E60+'Pay App 41'!F60,"")</f>
        <v>0</v>
      </c>
      <c r="G60" s="155">
        <f>SUM('Pay App 1:Pay App 41'!H60)</f>
        <v>0</v>
      </c>
      <c r="H60" s="154"/>
      <c r="I60" s="155">
        <f t="shared" si="0"/>
        <v>0</v>
      </c>
      <c r="J60" s="156">
        <f t="shared" si="1"/>
        <v>0</v>
      </c>
      <c r="K60" s="155">
        <f t="shared" si="2"/>
        <v>0</v>
      </c>
      <c r="L60" s="155" t="str">
        <f>IF(AND('Summary Sheet'!$E$23="No",$H$33&gt;0,H60&gt;=1),"",IF(AND('Summary Sheet'!$E$23="Yes",H60&lt;&gt;""),H60*'Summary Sheet'!$G$23,""))</f>
        <v/>
      </c>
      <c r="M60" s="154"/>
      <c r="N60" s="155">
        <f>SUM('Pay App 1:Pay App 42'!L60)+SUM('Pay App 1:Pay App 42'!M60)</f>
        <v>0</v>
      </c>
    </row>
    <row r="61" spans="1:16" ht="11.25" customHeight="1" x14ac:dyDescent="0.25">
      <c r="A61" s="152">
        <v>5</v>
      </c>
      <c r="B61" s="174" t="str">
        <f>'Pay App 1'!B61</f>
        <v>01 13 60</v>
      </c>
      <c r="C61" s="179" t="str">
        <f>'Pay App 1'!C61</f>
        <v>SWPPP</v>
      </c>
      <c r="D61" s="155">
        <f>'Pay App 1'!D61</f>
        <v>0</v>
      </c>
      <c r="E61" s="155">
        <f>VLOOKUP(B61,'Graph Data'!$O$2:$BX$88,44,FALSE)</f>
        <v>0</v>
      </c>
      <c r="F61" s="155">
        <f>IFERROR(E61+'Pay App 41'!F61,"")</f>
        <v>0</v>
      </c>
      <c r="G61" s="155">
        <f>SUM('Pay App 1:Pay App 41'!H61)</f>
        <v>0</v>
      </c>
      <c r="H61" s="154"/>
      <c r="I61" s="155">
        <f t="shared" si="0"/>
        <v>0</v>
      </c>
      <c r="J61" s="156">
        <f t="shared" si="1"/>
        <v>0</v>
      </c>
      <c r="K61" s="155">
        <f t="shared" si="2"/>
        <v>0</v>
      </c>
      <c r="L61" s="155" t="str">
        <f>IF(AND('Summary Sheet'!$E$23="No",$H$33&gt;0,H61&gt;=1),"",IF(AND('Summary Sheet'!$E$23="Yes",H61&lt;&gt;""),H61*'Summary Sheet'!$G$23,""))</f>
        <v/>
      </c>
      <c r="M61" s="154"/>
      <c r="N61" s="155">
        <f>SUM('Pay App 1:Pay App 42'!L61)+SUM('Pay App 1:Pay App 42'!M61)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Data'!$O$2:$BX$88,44,FALSE)</f>
        <v>0</v>
      </c>
      <c r="F62" s="155">
        <f>IFERROR(E62+'Pay App 41'!F62,"")</f>
        <v>0</v>
      </c>
      <c r="G62" s="155">
        <f>SUM('Pay App 1:Pay App 41'!H62)</f>
        <v>0</v>
      </c>
      <c r="H62" s="154"/>
      <c r="I62" s="155">
        <f t="shared" si="0"/>
        <v>0</v>
      </c>
      <c r="J62" s="156">
        <f t="shared" si="1"/>
        <v>0</v>
      </c>
      <c r="K62" s="155">
        <f t="shared" si="2"/>
        <v>0</v>
      </c>
      <c r="L62" s="155" t="str">
        <f>IF(AND('Summary Sheet'!$E$23="No",$H$33&gt;0,H62&gt;=1),"",IF(AND('Summary Sheet'!$E$23="Yes",H62&lt;&gt;""),H62*'Summary Sheet'!$G$23,""))</f>
        <v/>
      </c>
      <c r="M62" s="154"/>
      <c r="N62" s="155">
        <f>SUM('Pay App 1:Pay App 42'!L62)+SUM('Pay App 1:Pay App 42'!M62)</f>
        <v>0</v>
      </c>
    </row>
    <row r="63" spans="1:16" ht="11.25" customHeight="1" x14ac:dyDescent="0.25">
      <c r="A63" s="152">
        <v>7</v>
      </c>
      <c r="B63" s="174" t="str">
        <f>'Pay App 1'!B63</f>
        <v>01 31 00</v>
      </c>
      <c r="C63" s="179" t="str">
        <f>'Pay App 1'!C63</f>
        <v>Contractor's Supervision</v>
      </c>
      <c r="D63" s="155">
        <f>'Pay App 1'!D63</f>
        <v>0</v>
      </c>
      <c r="E63" s="155">
        <f>VLOOKUP(B63,'Graph Data'!$O$2:$BX$88,44,FALSE)</f>
        <v>0</v>
      </c>
      <c r="F63" s="155">
        <f>IFERROR(E63+'Pay App 41'!F63,"")</f>
        <v>0</v>
      </c>
      <c r="G63" s="155">
        <f>SUM('Pay App 1:Pay App 41'!H63)</f>
        <v>0</v>
      </c>
      <c r="H63" s="154"/>
      <c r="I63" s="155">
        <f t="shared" si="0"/>
        <v>0</v>
      </c>
      <c r="J63" s="156">
        <f t="shared" si="1"/>
        <v>0</v>
      </c>
      <c r="K63" s="155">
        <f t="shared" si="2"/>
        <v>0</v>
      </c>
      <c r="L63" s="155" t="str">
        <f>IF(AND('Summary Sheet'!$E$23="No",$H$33&gt;0,H63&gt;=1),"",IF(AND('Summary Sheet'!$E$23="Yes",H63&lt;&gt;""),H63*'Summary Sheet'!$G$23,""))</f>
        <v/>
      </c>
      <c r="M63" s="154"/>
      <c r="N63" s="155">
        <f>SUM('Pay App 1:Pay App 42'!L63)+SUM('Pay App 1:Pay App 42'!M63)</f>
        <v>0</v>
      </c>
    </row>
    <row r="64" spans="1:16" ht="11.25" customHeight="1" x14ac:dyDescent="0.25">
      <c r="A64" s="152">
        <v>8</v>
      </c>
      <c r="B64" s="174" t="str">
        <f>'Pay App 1'!B64</f>
        <v>01 32 00</v>
      </c>
      <c r="C64" s="179" t="str">
        <f>'Pay App 1'!C64</f>
        <v>General Liability Insurance</v>
      </c>
      <c r="D64" s="155">
        <f>'Pay App 1'!D64</f>
        <v>0</v>
      </c>
      <c r="E64" s="155">
        <f>VLOOKUP(B64,'Graph Data'!$O$2:$BX$88,44,FALSE)</f>
        <v>0</v>
      </c>
      <c r="F64" s="155">
        <f>IFERROR(E64+'Pay App 41'!F64,"")</f>
        <v>0</v>
      </c>
      <c r="G64" s="155">
        <f>SUM('Pay App 1:Pay App 41'!H64)</f>
        <v>0</v>
      </c>
      <c r="H64" s="154"/>
      <c r="I64" s="155">
        <f t="shared" si="0"/>
        <v>0</v>
      </c>
      <c r="J64" s="156">
        <f t="shared" si="1"/>
        <v>0</v>
      </c>
      <c r="K64" s="155">
        <f t="shared" si="2"/>
        <v>0</v>
      </c>
      <c r="L64" s="155" t="str">
        <f>IF(AND('Summary Sheet'!$E$23="No",$H$33&gt;0,H64&gt;=1),"",IF(AND('Summary Sheet'!$E$23="Yes",H64&lt;&gt;""),H64*'Summary Sheet'!$G$23,""))</f>
        <v/>
      </c>
      <c r="M64" s="154"/>
      <c r="N64" s="155">
        <f>SUM('Pay App 1:Pay App 42'!L64)+SUM('Pay App 1:Pay App 42'!M64)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Data'!$O$2:$BX$88,44,FALSE)</f>
        <v>0</v>
      </c>
      <c r="F65" s="155">
        <f>IFERROR(E65+'Pay App 41'!F65,"")</f>
        <v>0</v>
      </c>
      <c r="G65" s="155">
        <f>SUM('Pay App 1:Pay App 41'!H65)</f>
        <v>0</v>
      </c>
      <c r="H65" s="154"/>
      <c r="I65" s="155">
        <f t="shared" si="0"/>
        <v>0</v>
      </c>
      <c r="J65" s="156">
        <f t="shared" si="1"/>
        <v>0</v>
      </c>
      <c r="K65" s="155">
        <f t="shared" si="2"/>
        <v>0</v>
      </c>
      <c r="L65" s="155" t="str">
        <f>IF(AND('Summary Sheet'!$E$23="No",$H$33&gt;0,H65&gt;=1),"",IF(AND('Summary Sheet'!$E$23="Yes",H65&lt;&gt;""),H65*'Summary Sheet'!$G$23,""))</f>
        <v/>
      </c>
      <c r="M65" s="154"/>
      <c r="N65" s="155">
        <f>SUM('Pay App 1:Pay App 42'!L65)+SUM('Pay App 1:Pay App 42'!M65)</f>
        <v>0</v>
      </c>
    </row>
    <row r="66" spans="1:17" ht="11.25" customHeight="1" x14ac:dyDescent="0.25">
      <c r="A66" s="152">
        <v>10</v>
      </c>
      <c r="B66" s="174" t="str">
        <f>'Pay App 1'!B66</f>
        <v>01 34 00</v>
      </c>
      <c r="C66" s="179" t="str">
        <f>'Pay App 1'!C66</f>
        <v>Subcontractor Default Insurance</v>
      </c>
      <c r="D66" s="155">
        <f>'Pay App 1'!D66</f>
        <v>0</v>
      </c>
      <c r="E66" s="155">
        <f>VLOOKUP(B66,'Graph Data'!$O$2:$BX$88,44,FALSE)</f>
        <v>0</v>
      </c>
      <c r="F66" s="155">
        <f>IFERROR(E66+'Pay App 41'!F66,"")</f>
        <v>0</v>
      </c>
      <c r="G66" s="155">
        <f>SUM('Pay App 1:Pay App 41'!H66)</f>
        <v>0</v>
      </c>
      <c r="H66" s="154"/>
      <c r="I66" s="155">
        <f t="shared" si="0"/>
        <v>0</v>
      </c>
      <c r="J66" s="156">
        <f t="shared" si="1"/>
        <v>0</v>
      </c>
      <c r="K66" s="155">
        <f t="shared" si="2"/>
        <v>0</v>
      </c>
      <c r="L66" s="155" t="str">
        <f>IF(AND('Summary Sheet'!$E$23="No",$H$33&gt;0,H66&gt;=1),"",IF(AND('Summary Sheet'!$E$23="Yes",H66&lt;&gt;""),H66*'Summary Sheet'!$G$23,""))</f>
        <v/>
      </c>
      <c r="M66" s="154"/>
      <c r="N66" s="155">
        <f>SUM('Pay App 1:Pay App 42'!L66)+SUM('Pay App 1:Pay App 42'!M66)</f>
        <v>0</v>
      </c>
    </row>
    <row r="67" spans="1:17" ht="11.25" customHeight="1" x14ac:dyDescent="0.25">
      <c r="A67" s="152">
        <v>11</v>
      </c>
      <c r="B67" s="174" t="str">
        <f>'Pay App 1'!B67</f>
        <v>01 35 00</v>
      </c>
      <c r="C67" s="179" t="str">
        <f>'Pay App 1'!C67</f>
        <v>Construction Management Fee</v>
      </c>
      <c r="D67" s="155">
        <f>'Pay App 1'!D67</f>
        <v>0</v>
      </c>
      <c r="E67" s="155">
        <f>VLOOKUP(B67,'Graph Data'!$O$2:$BX$88,44,FALSE)</f>
        <v>0</v>
      </c>
      <c r="F67" s="155">
        <f>IFERROR(E67+'Pay App 41'!F67,"")</f>
        <v>0</v>
      </c>
      <c r="G67" s="155">
        <f>SUM('Pay App 1:Pay App 41'!H67)</f>
        <v>0</v>
      </c>
      <c r="H67" s="154"/>
      <c r="I67" s="155">
        <f t="shared" si="0"/>
        <v>0</v>
      </c>
      <c r="J67" s="156">
        <f t="shared" si="1"/>
        <v>0</v>
      </c>
      <c r="K67" s="155">
        <f t="shared" si="2"/>
        <v>0</v>
      </c>
      <c r="L67" s="155" t="str">
        <f>IF(AND('Summary Sheet'!$E$23="No",$H$33&gt;0,H67&gt;=1),"",IF(AND('Summary Sheet'!$E$23="Yes",H67&lt;&gt;""),H67*'Summary Sheet'!$G$23,""))</f>
        <v/>
      </c>
      <c r="M67" s="154"/>
      <c r="N67" s="155">
        <f>SUM('Pay App 1:Pay App 42'!L67)+SUM('Pay App 1:Pay App 42'!M67)</f>
        <v>0</v>
      </c>
    </row>
    <row r="68" spans="1:17" ht="11.25" customHeight="1" x14ac:dyDescent="0.25">
      <c r="A68" s="152">
        <v>12</v>
      </c>
      <c r="B68" s="174" t="str">
        <f>'Pay App 1'!B68</f>
        <v>01 36 00</v>
      </c>
      <c r="C68" s="179" t="str">
        <f>'Pay App 1'!C68</f>
        <v>Contingency</v>
      </c>
      <c r="D68" s="155">
        <f>'Pay App 1'!D68</f>
        <v>0</v>
      </c>
      <c r="E68" s="155">
        <f>VLOOKUP(B68,'Graph Data'!$O$2:$BX$88,44,FALSE)</f>
        <v>0</v>
      </c>
      <c r="F68" s="155">
        <f>IFERROR(E68+'Pay App 41'!F68,"")</f>
        <v>0</v>
      </c>
      <c r="G68" s="155">
        <f>SUM('Pay App 1:Pay App 41'!H68)</f>
        <v>0</v>
      </c>
      <c r="H68" s="154"/>
      <c r="I68" s="155">
        <f t="shared" si="0"/>
        <v>0</v>
      </c>
      <c r="J68" s="156">
        <f t="shared" si="1"/>
        <v>0</v>
      </c>
      <c r="K68" s="155">
        <f t="shared" si="2"/>
        <v>0</v>
      </c>
      <c r="L68" s="155" t="str">
        <f>IF(AND('Summary Sheet'!$E$23="No",$H$33&gt;0,H68&gt;=1),"",IF(AND('Summary Sheet'!$E$23="Yes",H68&lt;&gt;""),H68*'Summary Sheet'!$G$23,""))</f>
        <v/>
      </c>
      <c r="M68" s="154"/>
      <c r="N68" s="155">
        <f>SUM('Pay App 1:Pay App 42'!L68)+SUM('Pay App 1:Pay App 42'!M68)</f>
        <v>0</v>
      </c>
    </row>
    <row r="69" spans="1:17" ht="11.25" customHeight="1" x14ac:dyDescent="0.25">
      <c r="A69" s="152">
        <v>13</v>
      </c>
      <c r="B69" s="174" t="str">
        <f>'Pay App 1'!B69</f>
        <v>01 37 00</v>
      </c>
      <c r="C69" s="179" t="str">
        <f>'Pay App 1'!C69</f>
        <v>Weather Allowance (All Trades)</v>
      </c>
      <c r="D69" s="155">
        <f>'Pay App 1'!D69</f>
        <v>0</v>
      </c>
      <c r="E69" s="155">
        <f>VLOOKUP(B69,'Graph Data'!$O$2:$BX$88,44,FALSE)</f>
        <v>0</v>
      </c>
      <c r="F69" s="155">
        <f>IFERROR(E69+'Pay App 41'!F69,"")</f>
        <v>0</v>
      </c>
      <c r="G69" s="155">
        <f>SUM('Pay App 1:Pay App 41'!H69)</f>
        <v>0</v>
      </c>
      <c r="H69" s="154"/>
      <c r="I69" s="155">
        <f t="shared" si="0"/>
        <v>0</v>
      </c>
      <c r="J69" s="156">
        <f t="shared" si="1"/>
        <v>0</v>
      </c>
      <c r="K69" s="155">
        <f t="shared" si="2"/>
        <v>0</v>
      </c>
      <c r="L69" s="155" t="str">
        <f>IF(AND('Summary Sheet'!$E$23="No",$H$33&gt;0,H69&gt;=1),"",IF(AND('Summary Sheet'!$E$23="Yes",H69&lt;&gt;""),H69*'Summary Sheet'!$G$23,""))</f>
        <v/>
      </c>
      <c r="M69" s="154"/>
      <c r="N69" s="155">
        <f>SUM('Pay App 1:Pay App 42'!L69)+SUM('Pay App 1:Pay App 42'!M69)</f>
        <v>0</v>
      </c>
    </row>
    <row r="70" spans="1:17" ht="11.25" customHeight="1" x14ac:dyDescent="0.25">
      <c r="A70" s="152">
        <v>14</v>
      </c>
      <c r="B70" s="174" t="str">
        <f>'Pay App 1'!B70</f>
        <v>01 74 23</v>
      </c>
      <c r="C70" s="179" t="str">
        <f>'Pay App 1'!C70</f>
        <v>Cleaning (Final)</v>
      </c>
      <c r="D70" s="155">
        <f>'Pay App 1'!D70</f>
        <v>0</v>
      </c>
      <c r="E70" s="155">
        <f>VLOOKUP(B70,'Graph Data'!$O$2:$BX$88,44,FALSE)</f>
        <v>0</v>
      </c>
      <c r="F70" s="155">
        <f>IFERROR(E70+'Pay App 41'!F70,"")</f>
        <v>0</v>
      </c>
      <c r="G70" s="155">
        <f>SUM('Pay App 1:Pay App 41'!H70)</f>
        <v>0</v>
      </c>
      <c r="H70" s="154"/>
      <c r="I70" s="155">
        <f t="shared" si="0"/>
        <v>0</v>
      </c>
      <c r="J70" s="156">
        <f t="shared" si="1"/>
        <v>0</v>
      </c>
      <c r="K70" s="155">
        <f t="shared" si="2"/>
        <v>0</v>
      </c>
      <c r="L70" s="155" t="str">
        <f>IF(AND('Summary Sheet'!$E$23="No",$H$33&gt;0,H70&gt;=1),"",IF(AND('Summary Sheet'!$E$23="Yes",H70&lt;&gt;""),H70*'Summary Sheet'!$G$23,""))</f>
        <v/>
      </c>
      <c r="M70" s="154"/>
      <c r="N70" s="155">
        <f>SUM('Pay App 1:Pay App 42'!L70)+SUM('Pay App 1:Pay App 42'!M70)</f>
        <v>0</v>
      </c>
    </row>
    <row r="71" spans="1:17" ht="11.25" customHeight="1" x14ac:dyDescent="0.25">
      <c r="A71" s="152">
        <v>15</v>
      </c>
      <c r="B71" s="175" t="str">
        <f>'Pay App 1'!B71</f>
        <v>02 21 00</v>
      </c>
      <c r="C71" s="180" t="str">
        <f>'Pay App 1'!C71</f>
        <v>Survey/Engineering</v>
      </c>
      <c r="D71" s="155">
        <f>'Pay App 1'!D71</f>
        <v>0</v>
      </c>
      <c r="E71" s="155">
        <f>VLOOKUP(B71,'Graph Data'!$O$2:$BX$88,44,FALSE)</f>
        <v>0</v>
      </c>
      <c r="F71" s="155">
        <f>IFERROR(E71+'Pay App 41'!F71,"")</f>
        <v>0</v>
      </c>
      <c r="G71" s="155">
        <f>SUM('Pay App 1:Pay App 41'!H71)</f>
        <v>0</v>
      </c>
      <c r="H71" s="154"/>
      <c r="I71" s="155">
        <f t="shared" si="0"/>
        <v>0</v>
      </c>
      <c r="J71" s="156">
        <f t="shared" si="1"/>
        <v>0</v>
      </c>
      <c r="K71" s="155">
        <f t="shared" si="2"/>
        <v>0</v>
      </c>
      <c r="L71" s="155" t="str">
        <f>IF(AND('Summary Sheet'!$E$23="No",$H$33&gt;0,H71&gt;=1),"",IF(AND('Summary Sheet'!$E$23="Yes",H71&lt;&gt;""),H71*'Summary Sheet'!$G$23,""))</f>
        <v/>
      </c>
      <c r="M71" s="154"/>
      <c r="N71" s="155">
        <f>SUM('Pay App 1:Pay App 42'!L71)+SUM('Pay App 1:Pay App 42'!M71)</f>
        <v>0</v>
      </c>
      <c r="Q71" s="28"/>
    </row>
    <row r="72" spans="1:17" ht="11.25" customHeight="1" x14ac:dyDescent="0.25">
      <c r="A72" s="152">
        <v>16</v>
      </c>
      <c r="B72" s="175" t="str">
        <f>'Pay App 1'!B72</f>
        <v>02 41 00</v>
      </c>
      <c r="C72" s="180" t="str">
        <f>'Pay App 1'!C72</f>
        <v>Demolition</v>
      </c>
      <c r="D72" s="155">
        <f>'Pay App 1'!D72</f>
        <v>0</v>
      </c>
      <c r="E72" s="155">
        <f>VLOOKUP(B72,'Graph Data'!$O$2:$BX$88,44,FALSE)</f>
        <v>0</v>
      </c>
      <c r="F72" s="155">
        <f>IFERROR(E72+'Pay App 41'!F72,"")</f>
        <v>0</v>
      </c>
      <c r="G72" s="155">
        <f>SUM('Pay App 1:Pay App 41'!H72)</f>
        <v>0</v>
      </c>
      <c r="H72" s="154"/>
      <c r="I72" s="155">
        <f t="shared" si="0"/>
        <v>0</v>
      </c>
      <c r="J72" s="156">
        <f t="shared" si="1"/>
        <v>0</v>
      </c>
      <c r="K72" s="155">
        <f t="shared" si="2"/>
        <v>0</v>
      </c>
      <c r="L72" s="155" t="str">
        <f>IF(AND('Summary Sheet'!$E$23="No",$H$33&gt;0,H72&gt;=1),"",IF(AND('Summary Sheet'!$E$23="Yes",H72&lt;&gt;""),H72*'Summary Sheet'!$G$23,""))</f>
        <v/>
      </c>
      <c r="M72" s="154"/>
      <c r="N72" s="155">
        <f>SUM('Pay App 1:Pay App 42'!L72)+SUM('Pay App 1:Pay App 42'!M72)</f>
        <v>0</v>
      </c>
      <c r="Q72" s="28"/>
    </row>
    <row r="73" spans="1:17" ht="11.25" customHeight="1" x14ac:dyDescent="0.25">
      <c r="A73" s="152">
        <v>17</v>
      </c>
      <c r="B73" s="175" t="str">
        <f>'Pay App 1'!B73</f>
        <v>02 82 00</v>
      </c>
      <c r="C73" s="180" t="str">
        <f>'Pay App 1'!C73</f>
        <v>Asbestos Abatement</v>
      </c>
      <c r="D73" s="155">
        <f>'Pay App 1'!D73</f>
        <v>0</v>
      </c>
      <c r="E73" s="155">
        <f>VLOOKUP(B73,'Graph Data'!$O$2:$BX$88,44,FALSE)</f>
        <v>0</v>
      </c>
      <c r="F73" s="155">
        <f>IFERROR(E73+'Pay App 41'!F73,"")</f>
        <v>0</v>
      </c>
      <c r="G73" s="155">
        <f>SUM('Pay App 1:Pay App 41'!H73)</f>
        <v>0</v>
      </c>
      <c r="H73" s="154"/>
      <c r="I73" s="155">
        <f t="shared" si="0"/>
        <v>0</v>
      </c>
      <c r="J73" s="156">
        <f t="shared" si="1"/>
        <v>0</v>
      </c>
      <c r="K73" s="155">
        <f t="shared" si="2"/>
        <v>0</v>
      </c>
      <c r="L73" s="155" t="str">
        <f>IF(AND('Summary Sheet'!$E$23="No",$H$33&gt;0,H73&gt;=1),"",IF(AND('Summary Sheet'!$E$23="Yes",H73&lt;&gt;""),H73*'Summary Sheet'!$G$23,""))</f>
        <v/>
      </c>
      <c r="M73" s="154"/>
      <c r="N73" s="155">
        <f>SUM('Pay App 1:Pay App 42'!L73)+SUM('Pay App 1:Pay App 42'!M73)</f>
        <v>0</v>
      </c>
    </row>
    <row r="74" spans="1:17" ht="11.25" customHeight="1" x14ac:dyDescent="0.25">
      <c r="A74" s="152">
        <v>18</v>
      </c>
      <c r="B74" s="176" t="str">
        <f>'Pay App 1'!B74</f>
        <v>03 00 00</v>
      </c>
      <c r="C74" s="181" t="str">
        <f>'Pay App 1'!C74</f>
        <v>Building Concrete</v>
      </c>
      <c r="D74" s="155">
        <f>'Pay App 1'!D74</f>
        <v>0</v>
      </c>
      <c r="E74" s="155">
        <f>VLOOKUP(B74,'Graph Data'!$O$2:$BX$88,44,FALSE)</f>
        <v>0</v>
      </c>
      <c r="F74" s="155">
        <f>IFERROR(E74+'Pay App 41'!F74,"")</f>
        <v>0</v>
      </c>
      <c r="G74" s="155">
        <f>SUM('Pay App 1:Pay App 41'!H74)</f>
        <v>0</v>
      </c>
      <c r="H74" s="154"/>
      <c r="I74" s="155">
        <f t="shared" si="0"/>
        <v>0</v>
      </c>
      <c r="J74" s="156">
        <f t="shared" si="1"/>
        <v>0</v>
      </c>
      <c r="K74" s="155">
        <f t="shared" si="2"/>
        <v>0</v>
      </c>
      <c r="L74" s="155" t="str">
        <f>IF(AND('Summary Sheet'!$E$23="No",$H$33&gt;0,H74&gt;=1),"",IF(AND('Summary Sheet'!$E$23="Yes",H74&lt;&gt;""),H74*'Summary Sheet'!$G$23,""))</f>
        <v/>
      </c>
      <c r="M74" s="154"/>
      <c r="N74" s="155">
        <f>SUM('Pay App 1:Pay App 42'!L74)+SUM('Pay App 1:Pay App 42'!M74)</f>
        <v>0</v>
      </c>
    </row>
    <row r="75" spans="1:17" ht="11.25" customHeight="1" x14ac:dyDescent="0.25">
      <c r="A75" s="152">
        <v>19</v>
      </c>
      <c r="B75" s="176" t="str">
        <f>'Pay App 1'!B75</f>
        <v>03 20 00</v>
      </c>
      <c r="C75" s="181" t="str">
        <f>'Pay App 1'!C75</f>
        <v>Building Concrete Reinforcing</v>
      </c>
      <c r="D75" s="155">
        <f>'Pay App 1'!D75</f>
        <v>0</v>
      </c>
      <c r="E75" s="155">
        <f>VLOOKUP(B75,'Graph Data'!$O$2:$BX$88,44,FALSE)</f>
        <v>0</v>
      </c>
      <c r="F75" s="155">
        <f>IFERROR(E75+'Pay App 41'!F75,"")</f>
        <v>0</v>
      </c>
      <c r="G75" s="155">
        <f>SUM('Pay App 1:Pay App 41'!H75)</f>
        <v>0</v>
      </c>
      <c r="H75" s="154"/>
      <c r="I75" s="155">
        <f t="shared" si="0"/>
        <v>0</v>
      </c>
      <c r="J75" s="156">
        <f t="shared" si="1"/>
        <v>0</v>
      </c>
      <c r="K75" s="155">
        <f t="shared" si="2"/>
        <v>0</v>
      </c>
      <c r="L75" s="155" t="str">
        <f>IF(AND('Summary Sheet'!$E$23="No",$H$33&gt;0,H75&gt;=1),"",IF(AND('Summary Sheet'!$E$23="Yes",H75&lt;&gt;""),H75*'Summary Sheet'!$G$23,""))</f>
        <v/>
      </c>
      <c r="M75" s="154"/>
      <c r="N75" s="155">
        <f>SUM('Pay App 1:Pay App 42'!L75)+SUM('Pay App 1:Pay App 42'!M75)</f>
        <v>0</v>
      </c>
    </row>
    <row r="76" spans="1:17" ht="11.25" customHeight="1" x14ac:dyDescent="0.25">
      <c r="A76" s="152">
        <v>20</v>
      </c>
      <c r="B76" s="176" t="str">
        <f>'Pay App 1'!B76</f>
        <v>03 40 00</v>
      </c>
      <c r="C76" s="181" t="str">
        <f>'Pay App 1'!C76</f>
        <v>Precast</v>
      </c>
      <c r="D76" s="155">
        <f>'Pay App 1'!D76</f>
        <v>0</v>
      </c>
      <c r="E76" s="155">
        <f>VLOOKUP(B76,'Graph Data'!$O$2:$BX$88,44,FALSE)</f>
        <v>0</v>
      </c>
      <c r="F76" s="155">
        <f>IFERROR(E76+'Pay App 41'!F76,"")</f>
        <v>0</v>
      </c>
      <c r="G76" s="155">
        <f>SUM('Pay App 1:Pay App 41'!H76)</f>
        <v>0</v>
      </c>
      <c r="H76" s="154"/>
      <c r="I76" s="155">
        <f t="shared" si="0"/>
        <v>0</v>
      </c>
      <c r="J76" s="156">
        <f t="shared" si="1"/>
        <v>0</v>
      </c>
      <c r="K76" s="155">
        <f t="shared" si="2"/>
        <v>0</v>
      </c>
      <c r="L76" s="155" t="str">
        <f>IF(AND('Summary Sheet'!$E$23="No",$H$33&gt;0,H76&gt;=1),"",IF(AND('Summary Sheet'!$E$23="Yes",H76&lt;&gt;""),H76*'Summary Sheet'!$G$23,""))</f>
        <v/>
      </c>
      <c r="M76" s="154"/>
      <c r="N76" s="155">
        <f>SUM('Pay App 1:Pay App 42'!L76)+SUM('Pay App 1:Pay App 42'!M76)</f>
        <v>0</v>
      </c>
    </row>
    <row r="77" spans="1:17" ht="11.25" customHeight="1" x14ac:dyDescent="0.25">
      <c r="A77" s="152">
        <v>21</v>
      </c>
      <c r="B77" s="177" t="str">
        <f>'Pay App 1'!B77</f>
        <v>04 00 00</v>
      </c>
      <c r="C77" s="182" t="str">
        <f>'Pay App 1'!C77</f>
        <v>Masonry</v>
      </c>
      <c r="D77" s="155">
        <f>'Pay App 1'!D77</f>
        <v>0</v>
      </c>
      <c r="E77" s="155">
        <f>VLOOKUP(B77,'Graph Data'!$O$2:$BX$88,44,FALSE)</f>
        <v>0</v>
      </c>
      <c r="F77" s="155">
        <f>IFERROR(E77+'Pay App 41'!F77,"")</f>
        <v>0</v>
      </c>
      <c r="G77" s="155">
        <f>SUM('Pay App 1:Pay App 41'!H77)</f>
        <v>0</v>
      </c>
      <c r="H77" s="154"/>
      <c r="I77" s="155">
        <f t="shared" si="0"/>
        <v>0</v>
      </c>
      <c r="J77" s="156">
        <f t="shared" si="1"/>
        <v>0</v>
      </c>
      <c r="K77" s="155">
        <f t="shared" si="2"/>
        <v>0</v>
      </c>
      <c r="L77" s="155" t="str">
        <f>IF(AND('Summary Sheet'!$E$23="No",$H$33&gt;0,H77&gt;=1),"",IF(AND('Summary Sheet'!$E$23="Yes",H77&lt;&gt;""),H77*'Summary Sheet'!$G$23,""))</f>
        <v/>
      </c>
      <c r="M77" s="154"/>
      <c r="N77" s="155">
        <f>SUM('Pay App 1:Pay App 42'!L77)+SUM('Pay App 1:Pay App 42'!M77)</f>
        <v>0</v>
      </c>
    </row>
    <row r="78" spans="1:17" ht="11.25" customHeight="1" x14ac:dyDescent="0.25">
      <c r="A78" s="152">
        <v>22</v>
      </c>
      <c r="B78" s="177" t="str">
        <f>'Pay App 1'!B78</f>
        <v>04 05 19</v>
      </c>
      <c r="C78" s="182" t="str">
        <f>'Pay App 1'!C78</f>
        <v>Masonry Reinforcing</v>
      </c>
      <c r="D78" s="155">
        <f>'Pay App 1'!D78</f>
        <v>0</v>
      </c>
      <c r="E78" s="155">
        <f>VLOOKUP(B78,'Graph Data'!$O$2:$BX$88,44,FALSE)</f>
        <v>0</v>
      </c>
      <c r="F78" s="155">
        <f>IFERROR(E78+'Pay App 41'!F78,"")</f>
        <v>0</v>
      </c>
      <c r="G78" s="155">
        <f>SUM('Pay App 1:Pay App 41'!H78)</f>
        <v>0</v>
      </c>
      <c r="H78" s="154"/>
      <c r="I78" s="155">
        <f t="shared" si="0"/>
        <v>0</v>
      </c>
      <c r="J78" s="156">
        <f t="shared" si="1"/>
        <v>0</v>
      </c>
      <c r="K78" s="155">
        <f t="shared" si="2"/>
        <v>0</v>
      </c>
      <c r="L78" s="155" t="str">
        <f>IF(AND('Summary Sheet'!$E$23="No",$H$33&gt;0,H78&gt;=1),"",IF(AND('Summary Sheet'!$E$23="Yes",H78&lt;&gt;""),H78*'Summary Sheet'!$G$23,""))</f>
        <v/>
      </c>
      <c r="M78" s="154"/>
      <c r="N78" s="155">
        <f>SUM('Pay App 1:Pay App 42'!L78)+SUM('Pay App 1:Pay App 42'!M78)</f>
        <v>0</v>
      </c>
    </row>
    <row r="79" spans="1:17" ht="11.25" customHeight="1" x14ac:dyDescent="0.25">
      <c r="A79" s="152">
        <v>23</v>
      </c>
      <c r="B79" s="178" t="str">
        <f>'Pay App 1'!B79</f>
        <v>05 10 00</v>
      </c>
      <c r="C79" s="183" t="str">
        <f>'Pay App 1'!C79</f>
        <v>Structural Steel/Misc. Steel Fab</v>
      </c>
      <c r="D79" s="155">
        <f>'Pay App 1'!D79</f>
        <v>0</v>
      </c>
      <c r="E79" s="155">
        <f>VLOOKUP(B79,'Graph Data'!$O$2:$BX$88,44,FALSE)</f>
        <v>0</v>
      </c>
      <c r="F79" s="155">
        <f>IFERROR(E79+'Pay App 41'!F79,"")</f>
        <v>0</v>
      </c>
      <c r="G79" s="155">
        <f>SUM('Pay App 1:Pay App 41'!H79)</f>
        <v>0</v>
      </c>
      <c r="H79" s="154"/>
      <c r="I79" s="155">
        <f t="shared" si="0"/>
        <v>0</v>
      </c>
      <c r="J79" s="156">
        <f t="shared" si="1"/>
        <v>0</v>
      </c>
      <c r="K79" s="155">
        <f t="shared" si="2"/>
        <v>0</v>
      </c>
      <c r="L79" s="155" t="str">
        <f>IF(AND('Summary Sheet'!$E$23="No",$H$33&gt;0,H79&gt;=1),"",IF(AND('Summary Sheet'!$E$23="Yes",H79&lt;&gt;""),H79*'Summary Sheet'!$G$23,""))</f>
        <v/>
      </c>
      <c r="M79" s="154"/>
      <c r="N79" s="155">
        <f>SUM('Pay App 1:Pay App 42'!L79)+SUM('Pay App 1:Pay App 42'!M79)</f>
        <v>0</v>
      </c>
    </row>
    <row r="80" spans="1:17" ht="11.25" customHeight="1" x14ac:dyDescent="0.25">
      <c r="A80" s="152">
        <v>24</v>
      </c>
      <c r="B80" s="178" t="str">
        <f>'Pay App 1'!B80</f>
        <v>05 20 00</v>
      </c>
      <c r="C80" s="183" t="str">
        <f>'Pay App 1'!C80</f>
        <v>Joists &amp; Deck</v>
      </c>
      <c r="D80" s="155">
        <f>'Pay App 1'!D80</f>
        <v>0</v>
      </c>
      <c r="E80" s="155">
        <f>VLOOKUP(B80,'Graph Data'!$O$2:$BX$88,44,FALSE)</f>
        <v>0</v>
      </c>
      <c r="F80" s="155">
        <f>IFERROR(E80+'Pay App 41'!F80,"")</f>
        <v>0</v>
      </c>
      <c r="G80" s="155">
        <f>SUM('Pay App 1:Pay App 41'!H80)</f>
        <v>0</v>
      </c>
      <c r="H80" s="154"/>
      <c r="I80" s="155">
        <f t="shared" si="0"/>
        <v>0</v>
      </c>
      <c r="J80" s="156">
        <f t="shared" si="1"/>
        <v>0</v>
      </c>
      <c r="K80" s="155">
        <f t="shared" si="2"/>
        <v>0</v>
      </c>
      <c r="L80" s="155" t="str">
        <f>IF(AND('Summary Sheet'!$E$23="No",$H$33&gt;0,H80&gt;=1),"",IF(AND('Summary Sheet'!$E$23="Yes",H80&lt;&gt;""),H80*'Summary Sheet'!$G$23,""))</f>
        <v/>
      </c>
      <c r="M80" s="154"/>
      <c r="N80" s="155">
        <f>SUM('Pay App 1:Pay App 42'!L80)+SUM('Pay App 1:Pay App 42'!M80)</f>
        <v>0</v>
      </c>
    </row>
    <row r="81" spans="1:14" ht="11.25" customHeight="1" x14ac:dyDescent="0.25">
      <c r="A81" s="152">
        <v>25</v>
      </c>
      <c r="B81" s="178" t="str">
        <f>'Pay App 1'!B81</f>
        <v>05 70 00</v>
      </c>
      <c r="C81" s="183" t="str">
        <f>'Pay App 1'!C81</f>
        <v>Ornamental Metal</v>
      </c>
      <c r="D81" s="155">
        <f>'Pay App 1'!D81</f>
        <v>0</v>
      </c>
      <c r="E81" s="155">
        <f>VLOOKUP(B81,'Graph Data'!$O$2:$BX$88,44,FALSE)</f>
        <v>0</v>
      </c>
      <c r="F81" s="155">
        <f>IFERROR(E81+'Pay App 41'!F81,"")</f>
        <v>0</v>
      </c>
      <c r="G81" s="155">
        <f>SUM('Pay App 1:Pay App 41'!H81)</f>
        <v>0</v>
      </c>
      <c r="H81" s="154"/>
      <c r="I81" s="155">
        <f t="shared" si="0"/>
        <v>0</v>
      </c>
      <c r="J81" s="156">
        <f t="shared" si="1"/>
        <v>0</v>
      </c>
      <c r="K81" s="155">
        <f t="shared" si="2"/>
        <v>0</v>
      </c>
      <c r="L81" s="155" t="str">
        <f>IF(AND('Summary Sheet'!$E$23="No",$H$33&gt;0,H81&gt;=1),"",IF(AND('Summary Sheet'!$E$23="Yes",H81&lt;&gt;""),H81*'Summary Sheet'!$G$23,""))</f>
        <v/>
      </c>
      <c r="M81" s="154"/>
      <c r="N81" s="155">
        <f>SUM('Pay App 1:Pay App 42'!L81)+SUM('Pay App 1:Pay App 42'!M81)</f>
        <v>0</v>
      </c>
    </row>
    <row r="82" spans="1:14" ht="11.25" customHeight="1" x14ac:dyDescent="0.25">
      <c r="A82" s="152">
        <v>26</v>
      </c>
      <c r="B82" s="145" t="str">
        <f>'Pay App 1'!B82</f>
        <v>06 10 00</v>
      </c>
      <c r="C82" s="134" t="str">
        <f>'Pay App 1'!C82</f>
        <v>Rough Carpentry</v>
      </c>
      <c r="D82" s="155">
        <f>'Pay App 1'!D82</f>
        <v>0</v>
      </c>
      <c r="E82" s="155">
        <f>VLOOKUP(B82,'Graph Data'!$O$2:$BX$88,44,FALSE)</f>
        <v>0</v>
      </c>
      <c r="F82" s="155">
        <f>IFERROR(E82+'Pay App 41'!F82,"")</f>
        <v>0</v>
      </c>
      <c r="G82" s="155">
        <f>SUM('Pay App 1:Pay App 41'!H82)</f>
        <v>0</v>
      </c>
      <c r="H82" s="154"/>
      <c r="I82" s="155">
        <f t="shared" si="0"/>
        <v>0</v>
      </c>
      <c r="J82" s="156">
        <f t="shared" si="1"/>
        <v>0</v>
      </c>
      <c r="K82" s="155">
        <f t="shared" si="2"/>
        <v>0</v>
      </c>
      <c r="L82" s="155" t="str">
        <f>IF(AND('Summary Sheet'!$E$23="No",$H$33&gt;0,H82&gt;=1),"",IF(AND('Summary Sheet'!$E$23="Yes",H82&lt;&gt;""),H82*'Summary Sheet'!$G$23,""))</f>
        <v/>
      </c>
      <c r="M82" s="154"/>
      <c r="N82" s="155">
        <f>SUM('Pay App 1:Pay App 42'!L82)+SUM('Pay App 1:Pay App 42'!M82)</f>
        <v>0</v>
      </c>
    </row>
    <row r="83" spans="1:14" ht="11.25" customHeight="1" x14ac:dyDescent="0.25">
      <c r="A83" s="152">
        <v>27</v>
      </c>
      <c r="B83" s="145" t="str">
        <f>'Pay App 1'!B83</f>
        <v>06 40 00</v>
      </c>
      <c r="C83" s="134" t="str">
        <f>'Pay App 1'!C83</f>
        <v>Arch. Woodwork &amp; Finish Carp.</v>
      </c>
      <c r="D83" s="155">
        <f>'Pay App 1'!D83</f>
        <v>0</v>
      </c>
      <c r="E83" s="155">
        <f>VLOOKUP(B83,'Graph Data'!$O$2:$BX$88,44,FALSE)</f>
        <v>0</v>
      </c>
      <c r="F83" s="155">
        <f>IFERROR(E83+'Pay App 41'!F83,"")</f>
        <v>0</v>
      </c>
      <c r="G83" s="155">
        <f>SUM('Pay App 1:Pay App 41'!H83)</f>
        <v>0</v>
      </c>
      <c r="H83" s="154"/>
      <c r="I83" s="155">
        <f t="shared" si="0"/>
        <v>0</v>
      </c>
      <c r="J83" s="156">
        <f t="shared" si="1"/>
        <v>0</v>
      </c>
      <c r="K83" s="155">
        <f t="shared" si="2"/>
        <v>0</v>
      </c>
      <c r="L83" s="155" t="str">
        <f>IF(AND('Summary Sheet'!$E$23="No",$H$33&gt;0,H83&gt;=1),"",IF(AND('Summary Sheet'!$E$23="Yes",H83&lt;&gt;""),H83*'Summary Sheet'!$G$23,""))</f>
        <v/>
      </c>
      <c r="M83" s="154"/>
      <c r="N83" s="155">
        <f>SUM('Pay App 1:Pay App 42'!L83)+SUM('Pay App 1:Pay App 42'!M83)</f>
        <v>0</v>
      </c>
    </row>
    <row r="84" spans="1:14" ht="11.25" customHeight="1" x14ac:dyDescent="0.25">
      <c r="A84" s="152">
        <v>28</v>
      </c>
      <c r="B84" s="174" t="str">
        <f>'Pay App 1'!B84</f>
        <v>07 10 00</v>
      </c>
      <c r="C84" s="179" t="str">
        <f>'Pay App 1'!C84</f>
        <v>Waterproofing/Water Repellents</v>
      </c>
      <c r="D84" s="155">
        <f>'Pay App 1'!D84</f>
        <v>0</v>
      </c>
      <c r="E84" s="155">
        <f>VLOOKUP(B84,'Graph Data'!$O$2:$BX$88,44,FALSE)</f>
        <v>0</v>
      </c>
      <c r="F84" s="155">
        <f>IFERROR(E84+'Pay App 41'!F84,"")</f>
        <v>0</v>
      </c>
      <c r="G84" s="155">
        <f>SUM('Pay App 1:Pay App 41'!H84)</f>
        <v>0</v>
      </c>
      <c r="H84" s="154"/>
      <c r="I84" s="155">
        <f t="shared" si="0"/>
        <v>0</v>
      </c>
      <c r="J84" s="156">
        <f t="shared" si="1"/>
        <v>0</v>
      </c>
      <c r="K84" s="155">
        <f t="shared" si="2"/>
        <v>0</v>
      </c>
      <c r="L84" s="155" t="str">
        <f>IF(AND('Summary Sheet'!$E$23="No",$H$33&gt;0,H84&gt;=1),"",IF(AND('Summary Sheet'!$E$23="Yes",H84&lt;&gt;""),H84*'Summary Sheet'!$G$23,""))</f>
        <v/>
      </c>
      <c r="M84" s="154"/>
      <c r="N84" s="155">
        <f>SUM('Pay App 1:Pay App 42'!L84)+SUM('Pay App 1:Pay App 42'!M84)</f>
        <v>0</v>
      </c>
    </row>
    <row r="85" spans="1:14" ht="11.25" customHeight="1" x14ac:dyDescent="0.25">
      <c r="A85" s="152">
        <v>29</v>
      </c>
      <c r="B85" s="174" t="str">
        <f>'Pay App 1'!B85</f>
        <v>07 20 00</v>
      </c>
      <c r="C85" s="179" t="str">
        <f>'Pay App 1'!C85</f>
        <v>Insulation</v>
      </c>
      <c r="D85" s="155">
        <f>'Pay App 1'!D85</f>
        <v>0</v>
      </c>
      <c r="E85" s="155">
        <f>VLOOKUP(B85,'Graph Data'!$O$2:$BX$88,44,FALSE)</f>
        <v>0</v>
      </c>
      <c r="F85" s="155">
        <f>IFERROR(E85+'Pay App 41'!F85,"")</f>
        <v>0</v>
      </c>
      <c r="G85" s="155">
        <f>SUM('Pay App 1:Pay App 41'!H85)</f>
        <v>0</v>
      </c>
      <c r="H85" s="154"/>
      <c r="I85" s="155">
        <f t="shared" si="0"/>
        <v>0</v>
      </c>
      <c r="J85" s="156">
        <f t="shared" si="1"/>
        <v>0</v>
      </c>
      <c r="K85" s="155">
        <f t="shared" si="2"/>
        <v>0</v>
      </c>
      <c r="L85" s="155" t="str">
        <f>IF(AND('Summary Sheet'!$E$23="No",$H$33&gt;0,H85&gt;=1),"",IF(AND('Summary Sheet'!$E$23="Yes",H85&lt;&gt;""),H85*'Summary Sheet'!$G$23,""))</f>
        <v/>
      </c>
      <c r="M85" s="154"/>
      <c r="N85" s="155">
        <f>SUM('Pay App 1:Pay App 42'!L85)+SUM('Pay App 1:Pay App 42'!M85)</f>
        <v>0</v>
      </c>
    </row>
    <row r="86" spans="1:14" ht="11.25" customHeight="1" x14ac:dyDescent="0.25">
      <c r="A86" s="152">
        <v>30</v>
      </c>
      <c r="B86" s="174" t="str">
        <f>'Pay App 1'!B86</f>
        <v>07 24 00</v>
      </c>
      <c r="C86" s="179" t="str">
        <f>'Pay App 1'!C86</f>
        <v>EIFS</v>
      </c>
      <c r="D86" s="155">
        <f>'Pay App 1'!D86</f>
        <v>0</v>
      </c>
      <c r="E86" s="155">
        <f>VLOOKUP(B86,'Graph Data'!$O$2:$BX$88,44,FALSE)</f>
        <v>0</v>
      </c>
      <c r="F86" s="155">
        <f>IFERROR(E86+'Pay App 41'!F86,"")</f>
        <v>0</v>
      </c>
      <c r="G86" s="155">
        <f>SUM('Pay App 1:Pay App 41'!H86)</f>
        <v>0</v>
      </c>
      <c r="H86" s="154"/>
      <c r="I86" s="155">
        <f t="shared" si="0"/>
        <v>0</v>
      </c>
      <c r="J86" s="156">
        <f t="shared" si="1"/>
        <v>0</v>
      </c>
      <c r="K86" s="155">
        <f t="shared" si="2"/>
        <v>0</v>
      </c>
      <c r="L86" s="155" t="str">
        <f>IF(AND('Summary Sheet'!$E$23="No",$H$33&gt;0,H86&gt;=1),"",IF(AND('Summary Sheet'!$E$23="Yes",H86&lt;&gt;""),H86*'Summary Sheet'!$G$23,""))</f>
        <v/>
      </c>
      <c r="M86" s="154"/>
      <c r="N86" s="155">
        <f>SUM('Pay App 1:Pay App 42'!L86)+SUM('Pay App 1:Pay App 42'!M86)</f>
        <v>0</v>
      </c>
    </row>
    <row r="87" spans="1:14" ht="11.25" customHeight="1" x14ac:dyDescent="0.25">
      <c r="A87" s="152">
        <v>31</v>
      </c>
      <c r="B87" s="174" t="str">
        <f>'Pay App 1'!B87</f>
        <v>07 26 00</v>
      </c>
      <c r="C87" s="179" t="str">
        <f>'Pay App 1'!C87</f>
        <v>Vapor Retarders</v>
      </c>
      <c r="D87" s="155">
        <f>'Pay App 1'!D87</f>
        <v>0</v>
      </c>
      <c r="E87" s="155">
        <f>VLOOKUP(B87,'Graph Data'!$O$2:$BX$88,44,FALSE)</f>
        <v>0</v>
      </c>
      <c r="F87" s="155">
        <f>IFERROR(E87+'Pay App 41'!F87,"")</f>
        <v>0</v>
      </c>
      <c r="G87" s="155">
        <f>SUM('Pay App 1:Pay App 41'!H87)</f>
        <v>0</v>
      </c>
      <c r="H87" s="154"/>
      <c r="I87" s="155">
        <f t="shared" si="0"/>
        <v>0</v>
      </c>
      <c r="J87" s="156">
        <f t="shared" si="1"/>
        <v>0</v>
      </c>
      <c r="K87" s="155">
        <f t="shared" si="2"/>
        <v>0</v>
      </c>
      <c r="L87" s="155" t="str">
        <f>IF(AND('Summary Sheet'!$E$23="No",$H$33&gt;0,H87&gt;=1),"",IF(AND('Summary Sheet'!$E$23="Yes",H87&lt;&gt;""),H87*'Summary Sheet'!$G$23,""))</f>
        <v/>
      </c>
      <c r="M87" s="154"/>
      <c r="N87" s="155">
        <f>SUM('Pay App 1:Pay App 42'!L87)+SUM('Pay App 1:Pay App 42'!M87)</f>
        <v>0</v>
      </c>
    </row>
    <row r="88" spans="1:14" ht="11.25" customHeight="1" x14ac:dyDescent="0.25">
      <c r="A88" s="152">
        <v>32</v>
      </c>
      <c r="B88" s="174" t="str">
        <f>'Pay App 1'!B88</f>
        <v>07 41 00</v>
      </c>
      <c r="C88" s="179" t="str">
        <f>'Pay App 1'!C88</f>
        <v>Roofing</v>
      </c>
      <c r="D88" s="155">
        <f>'Pay App 1'!D88</f>
        <v>0</v>
      </c>
      <c r="E88" s="155">
        <f>VLOOKUP(B88,'Graph Data'!$O$2:$BX$88,44,FALSE)</f>
        <v>0</v>
      </c>
      <c r="F88" s="155">
        <f>IFERROR(E88+'Pay App 41'!F88,"")</f>
        <v>0</v>
      </c>
      <c r="G88" s="155">
        <f>SUM('Pay App 1:Pay App 41'!H88)</f>
        <v>0</v>
      </c>
      <c r="H88" s="154"/>
      <c r="I88" s="155">
        <f t="shared" si="0"/>
        <v>0</v>
      </c>
      <c r="J88" s="156">
        <f t="shared" si="1"/>
        <v>0</v>
      </c>
      <c r="K88" s="155">
        <f t="shared" si="2"/>
        <v>0</v>
      </c>
      <c r="L88" s="155" t="str">
        <f>IF(AND('Summary Sheet'!$E$23="No",$H$33&gt;0,H88&gt;=1),"",IF(AND('Summary Sheet'!$E$23="Yes",H88&lt;&gt;""),H88*'Summary Sheet'!$G$23,""))</f>
        <v/>
      </c>
      <c r="M88" s="154"/>
      <c r="N88" s="155">
        <f>SUM('Pay App 1:Pay App 42'!L88)+SUM('Pay App 1:Pay App 42'!M88)</f>
        <v>0</v>
      </c>
    </row>
    <row r="89" spans="1:14" ht="11.25" customHeight="1" x14ac:dyDescent="0.25">
      <c r="A89" s="152">
        <v>33</v>
      </c>
      <c r="B89" s="174" t="str">
        <f>'Pay App 1'!B89</f>
        <v>07 42 00</v>
      </c>
      <c r="C89" s="179" t="str">
        <f>'Pay App 1'!C89</f>
        <v>Metal Panels</v>
      </c>
      <c r="D89" s="155">
        <f>'Pay App 1'!D89</f>
        <v>0</v>
      </c>
      <c r="E89" s="155">
        <f>VLOOKUP(B89,'Graph Data'!$O$2:$BX$88,44,FALSE)</f>
        <v>0</v>
      </c>
      <c r="F89" s="155">
        <f>IFERROR(E89+'Pay App 41'!F89,"")</f>
        <v>0</v>
      </c>
      <c r="G89" s="155">
        <f>SUM('Pay App 1:Pay App 41'!H89)</f>
        <v>0</v>
      </c>
      <c r="H89" s="154"/>
      <c r="I89" s="155">
        <f t="shared" si="0"/>
        <v>0</v>
      </c>
      <c r="J89" s="156">
        <f t="shared" si="1"/>
        <v>0</v>
      </c>
      <c r="K89" s="155">
        <f t="shared" si="2"/>
        <v>0</v>
      </c>
      <c r="L89" s="155" t="str">
        <f>IF(AND('Summary Sheet'!$E$23="No",$H$33&gt;0,H89&gt;=1),"",IF(AND('Summary Sheet'!$E$23="Yes",H89&lt;&gt;""),H89*'Summary Sheet'!$G$23,""))</f>
        <v/>
      </c>
      <c r="M89" s="154"/>
      <c r="N89" s="155">
        <f>SUM('Pay App 1:Pay App 42'!L89)+SUM('Pay App 1:Pay App 42'!M89)</f>
        <v>0</v>
      </c>
    </row>
    <row r="90" spans="1:14" ht="11.25" customHeight="1" x14ac:dyDescent="0.25">
      <c r="A90" s="152">
        <v>34</v>
      </c>
      <c r="B90" s="174" t="str">
        <f>'Pay App 1'!B90</f>
        <v>07 60 00</v>
      </c>
      <c r="C90" s="179" t="str">
        <f>'Pay App 1'!C90</f>
        <v>Sheet Metal Flashing &amp; Trim</v>
      </c>
      <c r="D90" s="155">
        <f>'Pay App 1'!D90</f>
        <v>0</v>
      </c>
      <c r="E90" s="155">
        <f>VLOOKUP(B90,'Graph Data'!$O$2:$BX$88,44,FALSE)</f>
        <v>0</v>
      </c>
      <c r="F90" s="155">
        <f>IFERROR(E90+'Pay App 41'!F90,"")</f>
        <v>0</v>
      </c>
      <c r="G90" s="155">
        <f>SUM('Pay App 1:Pay App 41'!H90)</f>
        <v>0</v>
      </c>
      <c r="H90" s="154"/>
      <c r="I90" s="155">
        <f t="shared" si="0"/>
        <v>0</v>
      </c>
      <c r="J90" s="156">
        <f t="shared" si="1"/>
        <v>0</v>
      </c>
      <c r="K90" s="155">
        <f t="shared" si="2"/>
        <v>0</v>
      </c>
      <c r="L90" s="155" t="str">
        <f>IF(AND('Summary Sheet'!$E$23="No",$H$33&gt;0,H90&gt;=1),"",IF(AND('Summary Sheet'!$E$23="Yes",H90&lt;&gt;""),H90*'Summary Sheet'!$G$23,""))</f>
        <v/>
      </c>
      <c r="M90" s="154"/>
      <c r="N90" s="155">
        <f>SUM('Pay App 1:Pay App 42'!L90)+SUM('Pay App 1:Pay App 42'!M90)</f>
        <v>0</v>
      </c>
    </row>
    <row r="91" spans="1:14" ht="11.25" customHeight="1" x14ac:dyDescent="0.25">
      <c r="A91" s="152">
        <v>35</v>
      </c>
      <c r="B91" s="174" t="str">
        <f>'Pay App 1'!B91</f>
        <v>07 80 00</v>
      </c>
      <c r="C91" s="179" t="str">
        <f>'Pay App 1'!C91</f>
        <v>Fireproofing</v>
      </c>
      <c r="D91" s="155">
        <f>'Pay App 1'!D91</f>
        <v>0</v>
      </c>
      <c r="E91" s="155">
        <f>VLOOKUP(B91,'Graph Data'!$O$2:$BX$88,44,FALSE)</f>
        <v>0</v>
      </c>
      <c r="F91" s="155">
        <f>IFERROR(E91+'Pay App 41'!F91,"")</f>
        <v>0</v>
      </c>
      <c r="G91" s="155">
        <f>SUM('Pay App 1:Pay App 41'!H91)</f>
        <v>0</v>
      </c>
      <c r="H91" s="154"/>
      <c r="I91" s="155">
        <f t="shared" si="0"/>
        <v>0</v>
      </c>
      <c r="J91" s="156">
        <f t="shared" si="1"/>
        <v>0</v>
      </c>
      <c r="K91" s="155">
        <f t="shared" si="2"/>
        <v>0</v>
      </c>
      <c r="L91" s="155" t="str">
        <f>IF(AND('Summary Sheet'!$E$23="No",$H$33&gt;0,H91&gt;=1),"",IF(AND('Summary Sheet'!$E$23="Yes",H91&lt;&gt;""),H91*'Summary Sheet'!$G$23,""))</f>
        <v/>
      </c>
      <c r="M91" s="154"/>
      <c r="N91" s="155">
        <f>SUM('Pay App 1:Pay App 42'!L91)+SUM('Pay App 1:Pay App 42'!M91)</f>
        <v>0</v>
      </c>
    </row>
    <row r="92" spans="1:14" ht="11.25" customHeight="1" x14ac:dyDescent="0.25">
      <c r="A92" s="152">
        <v>36</v>
      </c>
      <c r="B92" s="174" t="str">
        <f>'Pay App 1'!B92</f>
        <v>07 90 00</v>
      </c>
      <c r="C92" s="179" t="str">
        <f>'Pay App 1'!C92</f>
        <v>Joint Sealants</v>
      </c>
      <c r="D92" s="155">
        <f>'Pay App 1'!D92</f>
        <v>0</v>
      </c>
      <c r="E92" s="155">
        <f>VLOOKUP(B92,'Graph Data'!$O$2:$BX$88,44,FALSE)</f>
        <v>0</v>
      </c>
      <c r="F92" s="155">
        <f>IFERROR(E92+'Pay App 41'!F92,"")</f>
        <v>0</v>
      </c>
      <c r="G92" s="155">
        <f>SUM('Pay App 1:Pay App 41'!H92)</f>
        <v>0</v>
      </c>
      <c r="H92" s="154"/>
      <c r="I92" s="155">
        <f t="shared" si="0"/>
        <v>0</v>
      </c>
      <c r="J92" s="156">
        <f t="shared" si="1"/>
        <v>0</v>
      </c>
      <c r="K92" s="155">
        <f t="shared" si="2"/>
        <v>0</v>
      </c>
      <c r="L92" s="155" t="str">
        <f>IF(AND('Summary Sheet'!$E$23="No",$H$33&gt;0,H92&gt;=1),"",IF(AND('Summary Sheet'!$E$23="Yes",H92&lt;&gt;""),H92*'Summary Sheet'!$G$23,""))</f>
        <v/>
      </c>
      <c r="M92" s="154"/>
      <c r="N92" s="155">
        <f>SUM('Pay App 1:Pay App 42'!L92)+SUM('Pay App 1:Pay App 42'!M92)</f>
        <v>0</v>
      </c>
    </row>
    <row r="93" spans="1:14" ht="11.25" customHeight="1" x14ac:dyDescent="0.25">
      <c r="A93" s="152">
        <v>37</v>
      </c>
      <c r="B93" s="174" t="str">
        <f>'Pay App 1'!B93</f>
        <v>07 95 00</v>
      </c>
      <c r="C93" s="179" t="str">
        <f>'Pay App 1'!C93</f>
        <v>Expansion Joints</v>
      </c>
      <c r="D93" s="155">
        <f>'Pay App 1'!D93</f>
        <v>0</v>
      </c>
      <c r="E93" s="155">
        <f>VLOOKUP(B93,'Graph Data'!$O$2:$BX$88,44,FALSE)</f>
        <v>0</v>
      </c>
      <c r="F93" s="155">
        <f>IFERROR(E93+'Pay App 41'!F93,"")</f>
        <v>0</v>
      </c>
      <c r="G93" s="155">
        <f>SUM('Pay App 1:Pay App 41'!H93)</f>
        <v>0</v>
      </c>
      <c r="H93" s="154"/>
      <c r="I93" s="155">
        <f t="shared" si="0"/>
        <v>0</v>
      </c>
      <c r="J93" s="156">
        <f t="shared" si="1"/>
        <v>0</v>
      </c>
      <c r="K93" s="155">
        <f t="shared" si="2"/>
        <v>0</v>
      </c>
      <c r="L93" s="155" t="str">
        <f>IF(AND('Summary Sheet'!$E$23="No",$H$33&gt;0,H93&gt;=1),"",IF(AND('Summary Sheet'!$E$23="Yes",H93&lt;&gt;""),H93*'Summary Sheet'!$G$23,""))</f>
        <v/>
      </c>
      <c r="M93" s="154"/>
      <c r="N93" s="155">
        <f>SUM('Pay App 1:Pay App 42'!L93)+SUM('Pay App 1:Pay App 42'!M93)</f>
        <v>0</v>
      </c>
    </row>
    <row r="94" spans="1:14" ht="11.25" customHeight="1" x14ac:dyDescent="0.25">
      <c r="A94" s="152">
        <v>38</v>
      </c>
      <c r="B94" s="175" t="str">
        <f>'Pay App 1'!B94</f>
        <v>08 10 00</v>
      </c>
      <c r="C94" s="180" t="str">
        <f>'Pay App 1'!C94</f>
        <v>Doors, Frames &amp; Hardware</v>
      </c>
      <c r="D94" s="155">
        <f>'Pay App 1'!D94</f>
        <v>0</v>
      </c>
      <c r="E94" s="155">
        <f>VLOOKUP(B94,'Graph Data'!$O$2:$BX$88,44,FALSE)</f>
        <v>0</v>
      </c>
      <c r="F94" s="155">
        <f>IFERROR(E94+'Pay App 41'!F94,"")</f>
        <v>0</v>
      </c>
      <c r="G94" s="155">
        <f>SUM('Pay App 1:Pay App 41'!H94)</f>
        <v>0</v>
      </c>
      <c r="H94" s="154"/>
      <c r="I94" s="155">
        <f t="shared" si="0"/>
        <v>0</v>
      </c>
      <c r="J94" s="156">
        <f t="shared" si="1"/>
        <v>0</v>
      </c>
      <c r="K94" s="155">
        <f t="shared" si="2"/>
        <v>0</v>
      </c>
      <c r="L94" s="155" t="str">
        <f>IF(AND('Summary Sheet'!$E$23="No",$H$33&gt;0,H94&gt;=1),"",IF(AND('Summary Sheet'!$E$23="Yes",H94&lt;&gt;""),H94*'Summary Sheet'!$G$23,""))</f>
        <v/>
      </c>
      <c r="M94" s="154"/>
      <c r="N94" s="155">
        <f>SUM('Pay App 1:Pay App 42'!L94)+SUM('Pay App 1:Pay App 42'!M94)</f>
        <v>0</v>
      </c>
    </row>
    <row r="95" spans="1:14" ht="11.25" customHeight="1" x14ac:dyDescent="0.25">
      <c r="A95" s="152">
        <v>39</v>
      </c>
      <c r="B95" s="175" t="str">
        <f>'Pay App 1'!B95</f>
        <v>08 30 00</v>
      </c>
      <c r="C95" s="180" t="str">
        <f>'Pay App 1'!C95</f>
        <v>Specialty Doors</v>
      </c>
      <c r="D95" s="155">
        <f>'Pay App 1'!D95</f>
        <v>0</v>
      </c>
      <c r="E95" s="155">
        <f>VLOOKUP(B95,'Graph Data'!$O$2:$BX$88,44,FALSE)</f>
        <v>0</v>
      </c>
      <c r="F95" s="155">
        <f>IFERROR(E95+'Pay App 41'!F95,"")</f>
        <v>0</v>
      </c>
      <c r="G95" s="155">
        <f>SUM('Pay App 1:Pay App 41'!H95)</f>
        <v>0</v>
      </c>
      <c r="H95" s="154"/>
      <c r="I95" s="155">
        <f t="shared" si="0"/>
        <v>0</v>
      </c>
      <c r="J95" s="156">
        <f t="shared" si="1"/>
        <v>0</v>
      </c>
      <c r="K95" s="155">
        <f t="shared" si="2"/>
        <v>0</v>
      </c>
      <c r="L95" s="155" t="str">
        <f>IF(AND('Summary Sheet'!$E$23="No",$H$33&gt;0,H95&gt;=1),"",IF(AND('Summary Sheet'!$E$23="Yes",H95&lt;&gt;""),H95*'Summary Sheet'!$G$23,""))</f>
        <v/>
      </c>
      <c r="M95" s="154"/>
      <c r="N95" s="155">
        <f>SUM('Pay App 1:Pay App 42'!L95)+SUM('Pay App 1:Pay App 42'!M95)</f>
        <v>0</v>
      </c>
    </row>
    <row r="96" spans="1:14" ht="11.25" customHeight="1" x14ac:dyDescent="0.25">
      <c r="A96" s="152">
        <v>40</v>
      </c>
      <c r="B96" s="175" t="str">
        <f>'Pay App 1'!B96</f>
        <v>08 33 00</v>
      </c>
      <c r="C96" s="180" t="str">
        <f>'Pay App 1'!C96</f>
        <v>Overhead Doors/Coiling Doors</v>
      </c>
      <c r="D96" s="155">
        <f>'Pay App 1'!D96</f>
        <v>0</v>
      </c>
      <c r="E96" s="155">
        <f>VLOOKUP(B96,'Graph Data'!$O$2:$BX$88,44,FALSE)</f>
        <v>0</v>
      </c>
      <c r="F96" s="155">
        <f>IFERROR(E96+'Pay App 41'!F96,"")</f>
        <v>0</v>
      </c>
      <c r="G96" s="155">
        <f>SUM('Pay App 1:Pay App 41'!H96)</f>
        <v>0</v>
      </c>
      <c r="H96" s="154"/>
      <c r="I96" s="155">
        <f t="shared" si="0"/>
        <v>0</v>
      </c>
      <c r="J96" s="156">
        <f t="shared" si="1"/>
        <v>0</v>
      </c>
      <c r="K96" s="155">
        <f t="shared" si="2"/>
        <v>0</v>
      </c>
      <c r="L96" s="155" t="str">
        <f>IF(AND('Summary Sheet'!$E$23="No",$H$33&gt;0,H96&gt;=1),"",IF(AND('Summary Sheet'!$E$23="Yes",H96&lt;&gt;""),H96*'Summary Sheet'!$G$23,""))</f>
        <v/>
      </c>
      <c r="M96" s="154"/>
      <c r="N96" s="155">
        <f>SUM('Pay App 1:Pay App 42'!L96)+SUM('Pay App 1:Pay App 42'!M96)</f>
        <v>0</v>
      </c>
    </row>
    <row r="97" spans="1:15" ht="11.25" customHeight="1" x14ac:dyDescent="0.25">
      <c r="A97" s="152">
        <v>41</v>
      </c>
      <c r="B97" s="175" t="str">
        <f>'Pay App 1'!B97</f>
        <v>08 40 00</v>
      </c>
      <c r="C97" s="180" t="str">
        <f>'Pay App 1'!C97</f>
        <v>Curtain Wall, Glass &amp; Glazing</v>
      </c>
      <c r="D97" s="155">
        <f>'Pay App 1'!D97</f>
        <v>0</v>
      </c>
      <c r="E97" s="155">
        <f>VLOOKUP(B97,'Graph Data'!$O$2:$BX$88,44,FALSE)</f>
        <v>0</v>
      </c>
      <c r="F97" s="155">
        <f>IFERROR(E97+'Pay App 41'!F97,"")</f>
        <v>0</v>
      </c>
      <c r="G97" s="155">
        <f>SUM('Pay App 1:Pay App 41'!H97)</f>
        <v>0</v>
      </c>
      <c r="H97" s="154"/>
      <c r="I97" s="155">
        <f t="shared" si="0"/>
        <v>0</v>
      </c>
      <c r="J97" s="156">
        <f t="shared" si="1"/>
        <v>0</v>
      </c>
      <c r="K97" s="155">
        <f t="shared" si="2"/>
        <v>0</v>
      </c>
      <c r="L97" s="155" t="str">
        <f>IF(AND('Summary Sheet'!$E$23="No",$H$33&gt;0,H97&gt;=1),"",IF(AND('Summary Sheet'!$E$23="Yes",H97&lt;&gt;""),H97*'Summary Sheet'!$G$23,""))</f>
        <v/>
      </c>
      <c r="M97" s="154"/>
      <c r="N97" s="155">
        <f>SUM('Pay App 1:Pay App 42'!L97)+SUM('Pay App 1:Pay App 42'!M97)</f>
        <v>0</v>
      </c>
    </row>
    <row r="98" spans="1:15" ht="10.9" customHeight="1" x14ac:dyDescent="0.25">
      <c r="A98" s="152">
        <v>42</v>
      </c>
      <c r="B98" s="175" t="str">
        <f>'Pay App 1'!B98</f>
        <v>08 60 00</v>
      </c>
      <c r="C98" s="180" t="str">
        <f>'Pay App 1'!C98</f>
        <v>Skylights</v>
      </c>
      <c r="D98" s="155">
        <f>'Pay App 1'!D98</f>
        <v>0</v>
      </c>
      <c r="E98" s="155">
        <f>VLOOKUP(B98,'Graph Data'!$O$2:$BX$88,44,FALSE)</f>
        <v>0</v>
      </c>
      <c r="F98" s="155">
        <f>IFERROR(E98+'Pay App 41'!F98,"")</f>
        <v>0</v>
      </c>
      <c r="G98" s="155">
        <f>SUM('Pay App 1:Pay App 41'!H98)</f>
        <v>0</v>
      </c>
      <c r="H98" s="154"/>
      <c r="I98" s="155">
        <f t="shared" si="0"/>
        <v>0</v>
      </c>
      <c r="J98" s="156">
        <f t="shared" si="1"/>
        <v>0</v>
      </c>
      <c r="K98" s="155">
        <f t="shared" si="2"/>
        <v>0</v>
      </c>
      <c r="L98" s="155" t="str">
        <f>IF(AND('Summary Sheet'!$E$23="No",$H$33&gt;0,H98&gt;=1),"",IF(AND('Summary Sheet'!$E$23="Yes",H98&lt;&gt;""),H98*'Summary Sheet'!$G$23,""))</f>
        <v/>
      </c>
      <c r="M98" s="154"/>
      <c r="N98" s="155">
        <f>SUM('Pay App 1:Pay App 42'!L98)+SUM('Pay App 1:Pay App 42'!M98)</f>
        <v>0</v>
      </c>
    </row>
    <row r="99" spans="1:15" ht="10.9" customHeight="1" x14ac:dyDescent="0.25">
      <c r="A99" s="152">
        <v>43</v>
      </c>
      <c r="B99" s="175" t="str">
        <f>'Pay App 1'!B99</f>
        <v>08 90 00</v>
      </c>
      <c r="C99" s="180" t="str">
        <f>'Pay App 1'!C99</f>
        <v>Louvers &amp; Vents</v>
      </c>
      <c r="D99" s="155">
        <f>'Pay App 1'!D99</f>
        <v>0</v>
      </c>
      <c r="E99" s="155">
        <f>VLOOKUP(B99,'Graph Data'!$O$2:$BX$88,44,FALSE)</f>
        <v>0</v>
      </c>
      <c r="F99" s="155">
        <f>IFERROR(E99+'Pay App 41'!F99,"")</f>
        <v>0</v>
      </c>
      <c r="G99" s="155">
        <f>SUM('Pay App 1:Pay App 41'!H99)</f>
        <v>0</v>
      </c>
      <c r="H99" s="154"/>
      <c r="I99" s="155">
        <f t="shared" si="0"/>
        <v>0</v>
      </c>
      <c r="J99" s="156">
        <f t="shared" si="1"/>
        <v>0</v>
      </c>
      <c r="K99" s="155">
        <f t="shared" si="2"/>
        <v>0</v>
      </c>
      <c r="L99" s="155" t="str">
        <f>IF(AND('Summary Sheet'!$E$23="No",$H$33&gt;0,H99&gt;=1),"",IF(AND('Summary Sheet'!$E$23="Yes",H99&lt;&gt;""),H99*'Summary Sheet'!$G$23,""))</f>
        <v/>
      </c>
      <c r="M99" s="154"/>
      <c r="N99" s="155">
        <f>SUM('Pay App 1:Pay App 42'!L99)+SUM('Pay App 1:Pay App 42'!M99)</f>
        <v>0</v>
      </c>
    </row>
    <row r="100" spans="1:15" ht="11.25" customHeight="1" x14ac:dyDescent="0.25">
      <c r="A100" s="153">
        <v>44</v>
      </c>
      <c r="B100" s="176" t="str">
        <f>'Pay App 1'!B100</f>
        <v>09 20 00</v>
      </c>
      <c r="C100" s="181" t="str">
        <f>'Pay App 1'!C100</f>
        <v>Gypsum Board Systems</v>
      </c>
      <c r="D100" s="155">
        <f>'Pay App 1'!D100</f>
        <v>0</v>
      </c>
      <c r="E100" s="155">
        <f>VLOOKUP(B100,'Graph Data'!$O$2:$BX$88,44,FALSE)</f>
        <v>0</v>
      </c>
      <c r="F100" s="155">
        <f>IFERROR(E100+'Pay App 41'!F100,"")</f>
        <v>0</v>
      </c>
      <c r="G100" s="155">
        <f>SUM('Pay App 1:Pay App 41'!H100)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42'!L100)+SUM('Pay App 1:Pay App 42'!M100)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42.2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Data'!$O$2:$BX$88,44,FALSE)</f>
        <v>0</v>
      </c>
      <c r="F106" s="155">
        <f>IFERROR(E106+'Pay App 41'!F106,"")</f>
        <v>0</v>
      </c>
      <c r="G106" s="155">
        <f>SUM('Pay App 1:Pay App 41'!H106)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42'!L106)+SUM('Pay App 1:Pay App 42'!M106)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Data'!$O$2:$BX$88,44,FALSE)</f>
        <v>0</v>
      </c>
      <c r="F107" s="155">
        <f>IFERROR(E107+'Pay App 41'!F107,"")</f>
        <v>0</v>
      </c>
      <c r="G107" s="155">
        <f>SUM('Pay App 1:Pay App 41'!H107)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42'!L107)+SUM('Pay App 1:Pay App 42'!M107)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Data'!$O$2:$BX$88,44,FALSE)</f>
        <v>0</v>
      </c>
      <c r="F108" s="155">
        <f>IFERROR(E108+'Pay App 41'!F108,"")</f>
        <v>0</v>
      </c>
      <c r="G108" s="155">
        <f>SUM('Pay App 1:Pay App 41'!H108)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42'!L108)+SUM('Pay App 1:Pay App 42'!M108)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Data'!$O$2:$BX$88,44,FALSE)</f>
        <v>0</v>
      </c>
      <c r="F109" s="155">
        <f>IFERROR(E109+'Pay App 41'!F109,"")</f>
        <v>0</v>
      </c>
      <c r="G109" s="155">
        <f>SUM('Pay App 1:Pay App 41'!H109)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42'!L109)+SUM('Pay App 1:Pay App 42'!M109)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Data'!$O$2:$BX$88,44,FALSE)</f>
        <v>0</v>
      </c>
      <c r="F110" s="155">
        <f>IFERROR(E110+'Pay App 41'!F110,"")</f>
        <v>0</v>
      </c>
      <c r="G110" s="155">
        <f>SUM('Pay App 1:Pay App 41'!H110)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42'!L110)+SUM('Pay App 1:Pay App 42'!M110)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Data'!$O$2:$BX$88,44,FALSE)</f>
        <v>0</v>
      </c>
      <c r="F111" s="155">
        <f>IFERROR(E111+'Pay App 41'!F111,"")</f>
        <v>0</v>
      </c>
      <c r="G111" s="155">
        <f>SUM('Pay App 1:Pay App 41'!H111)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42'!L111)+SUM('Pay App 1:Pay App 42'!M111)</f>
        <v>0</v>
      </c>
    </row>
    <row r="112" spans="1:15" ht="11.25" customHeight="1" x14ac:dyDescent="0.25">
      <c r="A112" s="152">
        <f t="shared" si="3"/>
        <v>51</v>
      </c>
      <c r="B112" s="148" t="str">
        <f>'Pay App 1'!B112</f>
        <v>09 90 00</v>
      </c>
      <c r="C112" s="143" t="str">
        <f>'Pay App 1'!C112</f>
        <v>Painting</v>
      </c>
      <c r="D112" s="155">
        <f>'Pay App 1'!D112</f>
        <v>0</v>
      </c>
      <c r="E112" s="155">
        <f>VLOOKUP(B112,'Graph Data'!$O$2:$BX$88,44,FALSE)</f>
        <v>0</v>
      </c>
      <c r="F112" s="155">
        <f>IFERROR(E112+'Pay App 41'!F112,"")</f>
        <v>0</v>
      </c>
      <c r="G112" s="155">
        <f>SUM('Pay App 1:Pay App 41'!H112)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42'!L112)+SUM('Pay App 1:Pay App 42'!M112)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Data'!$O$2:$BX$88,44,FALSE)</f>
        <v>0</v>
      </c>
      <c r="F113" s="155">
        <f>IFERROR(E113+'Pay App 41'!F113,"")</f>
        <v>0</v>
      </c>
      <c r="G113" s="155">
        <f>SUM('Pay App 1:Pay App 41'!H113)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42'!L113)+SUM('Pay App 1:Pay App 42'!M113)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Data'!$O$2:$BX$88,44,FALSE)</f>
        <v>0</v>
      </c>
      <c r="F114" s="155">
        <f>IFERROR(E114+'Pay App 41'!F114,"")</f>
        <v>0</v>
      </c>
      <c r="G114" s="155">
        <f>SUM('Pay App 1:Pay App 41'!H114)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42'!L114)+SUM('Pay App 1:Pay App 42'!M114)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Data'!$O$2:$BX$88,44,FALSE)</f>
        <v>0</v>
      </c>
      <c r="F115" s="155">
        <f>IFERROR(E115+'Pay App 41'!F115,"")</f>
        <v>0</v>
      </c>
      <c r="G115" s="155">
        <f>SUM('Pay App 1:Pay App 41'!H115)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42'!L115)+SUM('Pay App 1:Pay App 42'!M115)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Data'!$O$2:$BX$88,44,FALSE)</f>
        <v>0</v>
      </c>
      <c r="F116" s="155">
        <f>IFERROR(E116+'Pay App 41'!F116,"")</f>
        <v>0</v>
      </c>
      <c r="G116" s="155">
        <f>SUM('Pay App 1:Pay App 41'!H116)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42'!L116)+SUM('Pay App 1:Pay App 42'!M116)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Data'!$O$2:$BX$88,44,FALSE)</f>
        <v>0</v>
      </c>
      <c r="F117" s="155">
        <f>IFERROR(E117+'Pay App 41'!F117,"")</f>
        <v>0</v>
      </c>
      <c r="G117" s="155">
        <f>SUM('Pay App 1:Pay App 41'!H117)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42'!L117)+SUM('Pay App 1:Pay App 42'!M117)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Data'!$O$2:$BX$88,44,FALSE)</f>
        <v>0</v>
      </c>
      <c r="F118" s="155">
        <f>IFERROR(E118+'Pay App 41'!F118,"")</f>
        <v>0</v>
      </c>
      <c r="G118" s="155">
        <f>SUM('Pay App 1:Pay App 41'!H118)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42'!L118)+SUM('Pay App 1:Pay App 42'!M118)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Data'!$O$2:$BX$88,44,FALSE)</f>
        <v>0</v>
      </c>
      <c r="F119" s="155">
        <f>IFERROR(E119+'Pay App 41'!F119,"")</f>
        <v>0</v>
      </c>
      <c r="G119" s="155">
        <f>SUM('Pay App 1:Pay App 41'!H119)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42'!L119)+SUM('Pay App 1:Pay App 42'!M119)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Data'!$O$2:$BX$88,44,FALSE)</f>
        <v>0</v>
      </c>
      <c r="F120" s="155">
        <f>IFERROR(E120+'Pay App 41'!F120,"")</f>
        <v>0</v>
      </c>
      <c r="G120" s="155">
        <f>SUM('Pay App 1:Pay App 41'!H120)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42'!L120)+SUM('Pay App 1:Pay App 42'!M120)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Data'!$O$2:$BX$88,44,FALSE)</f>
        <v>0</v>
      </c>
      <c r="F121" s="155">
        <f>IFERROR(E121+'Pay App 41'!F121,"")</f>
        <v>0</v>
      </c>
      <c r="G121" s="155">
        <f>SUM('Pay App 1:Pay App 41'!H121)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42'!L121)+SUM('Pay App 1:Pay App 42'!M121)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Data'!$O$2:$BX$88,44,FALSE)</f>
        <v>0</v>
      </c>
      <c r="F122" s="155">
        <f>IFERROR(E122+'Pay App 41'!F122,"")</f>
        <v>0</v>
      </c>
      <c r="G122" s="155">
        <f>SUM('Pay App 1:Pay App 41'!H122)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42'!L122)+SUM('Pay App 1:Pay App 42'!M122)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Data'!$O$2:$BX$88,44,FALSE)</f>
        <v>0</v>
      </c>
      <c r="F123" s="155">
        <f>IFERROR(E123+'Pay App 41'!F123,"")</f>
        <v>0</v>
      </c>
      <c r="G123" s="155">
        <f>SUM('Pay App 1:Pay App 41'!H123)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42'!L123)+SUM('Pay App 1:Pay App 42'!M123)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Data'!$O$2:$BX$88,44,FALSE)</f>
        <v>0</v>
      </c>
      <c r="F124" s="155">
        <f>IFERROR(E124+'Pay App 41'!F124,"")</f>
        <v>0</v>
      </c>
      <c r="G124" s="155">
        <f>SUM('Pay App 1:Pay App 41'!H124)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42'!L124)+SUM('Pay App 1:Pay App 42'!M124)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Data'!$O$2:$BX$88,44,FALSE)</f>
        <v>0</v>
      </c>
      <c r="F125" s="155">
        <f>IFERROR(E125+'Pay App 41'!F125,"")</f>
        <v>0</v>
      </c>
      <c r="G125" s="155">
        <f>SUM('Pay App 1:Pay App 41'!H125)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42'!L125)+SUM('Pay App 1:Pay App 42'!M125)</f>
        <v>0</v>
      </c>
    </row>
    <row r="126" spans="1:14" ht="11.25" customHeight="1" x14ac:dyDescent="0.25">
      <c r="A126" s="152">
        <f t="shared" si="3"/>
        <v>65</v>
      </c>
      <c r="B126" s="188" t="str">
        <f>'Pay App 1'!B126</f>
        <v>14 20 00</v>
      </c>
      <c r="C126" s="194" t="str">
        <f>'Pay App 1'!C126</f>
        <v>Elevator</v>
      </c>
      <c r="D126" s="155">
        <f>'Pay App 1'!D126</f>
        <v>0</v>
      </c>
      <c r="E126" s="155">
        <f>VLOOKUP(B126,'Graph Data'!$O$2:$BX$88,44,FALSE)</f>
        <v>0</v>
      </c>
      <c r="F126" s="155">
        <f>IFERROR(E126+'Pay App 41'!F126,"")</f>
        <v>0</v>
      </c>
      <c r="G126" s="155">
        <f>SUM('Pay App 1:Pay App 41'!H126)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42'!L126)+SUM('Pay App 1:Pay App 42'!M126)</f>
        <v>0</v>
      </c>
    </row>
    <row r="127" spans="1:14" ht="11.25" customHeight="1" x14ac:dyDescent="0.25">
      <c r="A127" s="152">
        <f t="shared" si="3"/>
        <v>66</v>
      </c>
      <c r="B127" s="188" t="str">
        <f>'Pay App 1'!B127</f>
        <v>14 40 00</v>
      </c>
      <c r="C127" s="194" t="str">
        <f>'Pay App 1'!C127</f>
        <v>Lifts</v>
      </c>
      <c r="D127" s="155">
        <f>'Pay App 1'!D127</f>
        <v>0</v>
      </c>
      <c r="E127" s="155">
        <f>VLOOKUP(B127,'Graph Data'!$O$2:$BX$88,44,FALSE)</f>
        <v>0</v>
      </c>
      <c r="F127" s="155">
        <f>IFERROR(E127+'Pay App 41'!F127,"")</f>
        <v>0</v>
      </c>
      <c r="G127" s="155">
        <f>SUM('Pay App 1:Pay App 41'!H127)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42'!L127)+SUM('Pay App 1:Pay App 42'!M127)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Data'!$O$2:$BX$88,44,FALSE)</f>
        <v>0</v>
      </c>
      <c r="F128" s="155">
        <f>IFERROR(E128+'Pay App 41'!F128,"")</f>
        <v>0</v>
      </c>
      <c r="G128" s="155">
        <f>SUM('Pay App 1:Pay App 41'!H128)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42'!L128)+SUM('Pay App 1:Pay App 42'!M128)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Data'!$O$2:$BX$88,44,FALSE)</f>
        <v>0</v>
      </c>
      <c r="F129" s="155">
        <f>IFERROR(E129+'Pay App 41'!F129,"")</f>
        <v>0</v>
      </c>
      <c r="G129" s="155">
        <f>SUM('Pay App 1:Pay App 41'!H129)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42'!L129)+SUM('Pay App 1:Pay App 42'!M129)</f>
        <v>0</v>
      </c>
    </row>
    <row r="130" spans="1:14" ht="11.25" customHeight="1" x14ac:dyDescent="0.25">
      <c r="A130" s="152">
        <f t="shared" si="3"/>
        <v>69</v>
      </c>
      <c r="B130" s="185" t="str">
        <f>'Pay App 1'!B130</f>
        <v>22 00 00</v>
      </c>
      <c r="C130" s="191" t="str">
        <f>'Pay App 1'!C130</f>
        <v>Plumbing</v>
      </c>
      <c r="D130" s="155">
        <f>'Pay App 1'!D130</f>
        <v>0</v>
      </c>
      <c r="E130" s="155">
        <f>VLOOKUP(B130,'Graph Data'!$O$2:$BX$88,44,FALSE)</f>
        <v>0</v>
      </c>
      <c r="F130" s="155">
        <f>IFERROR(E130+'Pay App 41'!F130,"")</f>
        <v>0</v>
      </c>
      <c r="G130" s="155">
        <f>SUM('Pay App 1:Pay App 41'!H130)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42'!L130)+SUM('Pay App 1:Pay App 42'!M130)</f>
        <v>0</v>
      </c>
    </row>
    <row r="131" spans="1:14" ht="11.25" customHeight="1" x14ac:dyDescent="0.25">
      <c r="A131" s="152">
        <f t="shared" si="3"/>
        <v>70</v>
      </c>
      <c r="B131" s="186" t="str">
        <f>'Pay App 1'!B131</f>
        <v>23 00 00</v>
      </c>
      <c r="C131" s="192" t="str">
        <f>'Pay App 1'!C131</f>
        <v>HVAC</v>
      </c>
      <c r="D131" s="155">
        <f>'Pay App 1'!D131</f>
        <v>0</v>
      </c>
      <c r="E131" s="155">
        <f>VLOOKUP(B131,'Graph Data'!$O$2:$BX$88,44,FALSE)</f>
        <v>0</v>
      </c>
      <c r="F131" s="155">
        <f>IFERROR(E131+'Pay App 41'!F131,"")</f>
        <v>0</v>
      </c>
      <c r="G131" s="155">
        <f>SUM('Pay App 1:Pay App 41'!H131)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42'!L131)+SUM('Pay App 1:Pay App 42'!M131)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Data'!$O$2:$BX$88,44,FALSE)</f>
        <v>0</v>
      </c>
      <c r="F132" s="155">
        <f>IFERROR(E132+'Pay App 41'!F132,"")</f>
        <v>0</v>
      </c>
      <c r="G132" s="155">
        <f>SUM('Pay App 1:Pay App 41'!H132)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42'!L132)+SUM('Pay App 1:Pay App 42'!M132)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Data'!$O$2:$BX$88,44,FALSE)</f>
        <v>0</v>
      </c>
      <c r="F133" s="155">
        <f>IFERROR(E133+'Pay App 41'!F133,"")</f>
        <v>0</v>
      </c>
      <c r="G133" s="155">
        <f>SUM('Pay App 1:Pay App 41'!H133)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42'!L133)+SUM('Pay App 1:Pay App 42'!M133)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Data'!$O$2:$BX$88,44,FALSE)</f>
        <v>0</v>
      </c>
      <c r="F134" s="155">
        <f>IFERROR(E134+'Pay App 41'!F134,"")</f>
        <v>0</v>
      </c>
      <c r="G134" s="155">
        <f>SUM('Pay App 1:Pay App 41'!H134)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42'!L134)+SUM('Pay App 1:Pay App 42'!M134)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Data'!$O$2:$BX$88,44,FALSE)</f>
        <v>0</v>
      </c>
      <c r="F135" s="155">
        <f>IFERROR(E135+'Pay App 41'!F135,"")</f>
        <v>0</v>
      </c>
      <c r="G135" s="155">
        <f>SUM('Pay App 1:Pay App 41'!H135)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42'!L135)+SUM('Pay App 1:Pay App 42'!M135)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Data'!$O$2:$BX$88,44,FALSE)</f>
        <v>0</v>
      </c>
      <c r="F136" s="155">
        <f>IFERROR(E136+'Pay App 41'!F136,"")</f>
        <v>0</v>
      </c>
      <c r="G136" s="155">
        <f>SUM('Pay App 1:Pay App 41'!H136)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42'!L136)+SUM('Pay App 1:Pay App 42'!M136)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Data'!$O$2:$BX$88,44,FALSE)</f>
        <v>0</v>
      </c>
      <c r="F137" s="155">
        <f>IFERROR(E137+'Pay App 41'!F137,"")</f>
        <v>0</v>
      </c>
      <c r="G137" s="155">
        <f>SUM('Pay App 1:Pay App 41'!H137)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42'!L137)+SUM('Pay App 1:Pay App 42'!M137)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Data'!$O$2:$BX$88,44,FALSE)</f>
        <v>0</v>
      </c>
      <c r="F138" s="155">
        <f>IFERROR(E138+'Pay App 41'!F138,"")</f>
        <v>0</v>
      </c>
      <c r="G138" s="155">
        <f>SUM('Pay App 1:Pay App 41'!H138)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42'!L138)+SUM('Pay App 1:Pay App 42'!M138)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Data'!$O$2:$BX$88,44,FALSE)</f>
        <v>0</v>
      </c>
      <c r="F139" s="155">
        <f>IFERROR(E139+'Pay App 41'!F139,"")</f>
        <v>0</v>
      </c>
      <c r="G139" s="155">
        <f>SUM('Pay App 1:Pay App 41'!H139)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42'!L139)+SUM('Pay App 1:Pay App 42'!M139)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Data'!$O$2:$BX$88,44,FALSE)</f>
        <v>0</v>
      </c>
      <c r="F140" s="155">
        <f>IFERROR(E140+'Pay App 41'!F140,"")</f>
        <v>0</v>
      </c>
      <c r="G140" s="155">
        <f>SUM('Pay App 1:Pay App 41'!H140)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42'!L140)+SUM('Pay App 1:Pay App 42'!M140)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Data'!$O$2:$BX$88,44,FALSE)</f>
        <v>0</v>
      </c>
      <c r="F141" s="155">
        <f>IFERROR(E141+'Pay App 41'!F141,"")</f>
        <v>0</v>
      </c>
      <c r="G141" s="155">
        <f>SUM('Pay App 1:Pay App 41'!H141)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42'!L141)+SUM('Pay App 1:Pay App 42'!M141)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Data'!$O$2:$BX$88,44,FALSE)</f>
        <v>0</v>
      </c>
      <c r="F142" s="155">
        <f>IFERROR(E142+'Pay App 41'!F142,"")</f>
        <v>0</v>
      </c>
      <c r="G142" s="155">
        <f>SUM('Pay App 1:Pay App 41'!H142)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42'!L142)+SUM('Pay App 1:Pay App 42'!M142)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Data'!$O$2:$BX$88,44,FALSE)</f>
        <v>0</v>
      </c>
      <c r="F143" s="155">
        <f>IFERROR(E143+'Pay App 41'!F143,"")</f>
        <v>0</v>
      </c>
      <c r="G143" s="155">
        <f>SUM('Pay App 1:Pay App 41'!H143)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42'!L143)+SUM('Pay App 1:Pay App 42'!M143)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Data'!$O$2:$BX$88,44,FALSE)</f>
        <v>0</v>
      </c>
      <c r="F144" s="155">
        <f>IFERROR(E144+'Pay App 41'!F144,"")</f>
        <v>0</v>
      </c>
      <c r="G144" s="155">
        <f>SUM('Pay App 1:Pay App 41'!H144)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42'!L144)+SUM('Pay App 1:Pay App 42'!M144)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Data'!$O$2:$BX$88,44,FALSE)</f>
        <v>0</v>
      </c>
      <c r="F145" s="155">
        <f>IFERROR(E145+'Pay App 41'!F145,"")</f>
        <v>0</v>
      </c>
      <c r="G145" s="155">
        <f>SUM('Pay App 1:Pay App 41'!H145)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42'!L145)+SUM('Pay App 1:Pay App 42'!M145)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Data'!$O$2:$BX$88,44,FALSE)</f>
        <v>0</v>
      </c>
      <c r="F146" s="155">
        <f>IFERROR(E146+'Pay App 41'!F146,"")</f>
        <v>0</v>
      </c>
      <c r="G146" s="155">
        <f>SUM('Pay App 1:Pay App 41'!H146)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42'!L146)+SUM('Pay App 1:Pay App 42'!M146)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Data'!$O$2:$BX$88,44,FALSE)</f>
        <v>0</v>
      </c>
      <c r="F147" s="155">
        <f>IFERROR(E147+'Pay App 41'!F147,"")</f>
        <v>0</v>
      </c>
      <c r="G147" s="155">
        <f>SUM('Pay App 1:Pay App 41'!H147)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42'!L147)+SUM('Pay App 1:Pay App 42'!M147)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Data'!$O$2:$BX$88,44,FALSE)</f>
        <v>0</v>
      </c>
      <c r="F148" s="155">
        <f>IFERROR(E148+'Pay App 41'!F148,"")</f>
        <v>0</v>
      </c>
      <c r="G148" s="155">
        <f>SUM('Pay App 1:Pay App 41'!H148)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42'!L148)+SUM('Pay App 1:Pay App 42'!M148)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gGFGzJjNaT8ZD8I2iH3PFAfCXdjT2tsaUiKivSFAMe6dBVmEdpoO7+4NEv3p7LHwaOqIGzUU9Dw8pwvWR6w/Hw==" saltValue="OR6qGceZvI0q53qx7Gp/9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08" priority="2" operator="equal">
      <formula>0</formula>
    </cfRule>
  </conditionalFormatting>
  <conditionalFormatting sqref="D106:G148">
    <cfRule type="cellIs" dxfId="207" priority="1" operator="equal">
      <formula>0</formula>
    </cfRule>
  </conditionalFormatting>
  <conditionalFormatting sqref="D10:H10 D12:H14 D19:H21">
    <cfRule type="cellIs" dxfId="206" priority="6" operator="equal">
      <formula>0</formula>
    </cfRule>
  </conditionalFormatting>
  <conditionalFormatting sqref="H51">
    <cfRule type="cellIs" dxfId="205" priority="9" operator="lessThan">
      <formula>0</formula>
    </cfRule>
  </conditionalFormatting>
  <conditionalFormatting sqref="I57:I100 K57:K100 I106:I148 K106:K148 N106:N148">
    <cfRule type="cellIs" dxfId="204" priority="14" operator="equal">
      <formula>0</formula>
    </cfRule>
  </conditionalFormatting>
  <conditionalFormatting sqref="J57:J100 J106:J149">
    <cfRule type="cellIs" dxfId="203" priority="11" operator="greaterThan">
      <formula>1</formula>
    </cfRule>
    <cfRule type="cellIs" dxfId="202" priority="12" operator="equal">
      <formula>0</formula>
    </cfRule>
  </conditionalFormatting>
  <conditionalFormatting sqref="K57:K100 K106:K148">
    <cfRule type="cellIs" dxfId="201" priority="10" operator="lessThan">
      <formula>0</formula>
    </cfRule>
  </conditionalFormatting>
  <conditionalFormatting sqref="M57:M100">
    <cfRule type="cellIs" dxfId="200" priority="13" operator="lessThan">
      <formula>0</formula>
    </cfRule>
  </conditionalFormatting>
  <conditionalFormatting sqref="M106:M148">
    <cfRule type="cellIs" dxfId="199" priority="8" operator="lessThan">
      <formula>0</formula>
    </cfRule>
  </conditionalFormatting>
  <conditionalFormatting sqref="N57:N100">
    <cfRule type="cellIs" dxfId="198"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87CAE986-DE72-44AC-A985-C053FF4A580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13BD3F4-DE6B-41D9-AFDC-85DD08ACCA99}">
          <x14:formula1>
            <xm:f>'Graph Data'!$M$74:$M$76</xm:f>
          </x14:formula1>
          <xm:sqref>G17</xm:sqref>
        </x14:dataValidation>
      </x14:dataValidation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7D4DB4-AC2F-4B1D-A04E-106B3CE69AAA}">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Data'!$O$2:$BX$88,45,FALSE)</f>
        <v>0</v>
      </c>
      <c r="F57" s="155">
        <f>IFERROR(E57+'Pay App 42'!F57,"")</f>
        <v>0</v>
      </c>
      <c r="G57" s="155">
        <f>SUM('Pay App 1:Pay App 42'!H57)</f>
        <v>0</v>
      </c>
      <c r="H57" s="154"/>
      <c r="I57" s="155">
        <f>G57+H57</f>
        <v>0</v>
      </c>
      <c r="J57" s="156">
        <f>IFERROR(I57/F57,0)</f>
        <v>0</v>
      </c>
      <c r="K57" s="155">
        <f>IFERROR(F57-I57,"")</f>
        <v>0</v>
      </c>
      <c r="L57" s="155" t="str">
        <f>IF(AND('Summary Sheet'!$E$23="No",$H$33&gt;0,H57&gt;=1),"",IF(AND('Summary Sheet'!$E$23="Yes",H57&lt;&gt;""),H57*'Summary Sheet'!$G$23,""))</f>
        <v/>
      </c>
      <c r="M57" s="154"/>
      <c r="N57" s="155">
        <f>SUM('Pay App 1:Pay App 43'!L57)+SUM('Pay App 1:Pay App 43'!M57)</f>
        <v>0</v>
      </c>
    </row>
    <row r="58" spans="1:16" ht="11.25" customHeight="1" x14ac:dyDescent="0.25">
      <c r="A58" s="152">
        <v>2</v>
      </c>
      <c r="B58" s="145" t="str">
        <f>'Pay App 1'!B58</f>
        <v>00 02 00</v>
      </c>
      <c r="C58" s="134" t="str">
        <f>'Pay App 1'!C58</f>
        <v>Preconstruction Services</v>
      </c>
      <c r="D58" s="155">
        <f>'Pay App 1'!D58</f>
        <v>0</v>
      </c>
      <c r="E58" s="155">
        <f>VLOOKUP(B58,'Graph Data'!$O$2:$BX$88,45,FALSE)</f>
        <v>0</v>
      </c>
      <c r="F58" s="155">
        <f>IFERROR(E58+'Pay App 42'!F58,"")</f>
        <v>0</v>
      </c>
      <c r="G58" s="155">
        <f>SUM('Pay App 1:Pay App 42'!H58)</f>
        <v>0</v>
      </c>
      <c r="H58" s="154"/>
      <c r="I58" s="155">
        <f>G58+H58</f>
        <v>0</v>
      </c>
      <c r="J58" s="156">
        <f>IFERROR(I58/F58,0)</f>
        <v>0</v>
      </c>
      <c r="K58" s="155">
        <f>IFERROR(F58-I58,"")</f>
        <v>0</v>
      </c>
      <c r="L58" s="155" t="str">
        <f>IF(AND('Summary Sheet'!$E$23="No",$H$33&gt;0,H58&gt;=1),"",IF(AND('Summary Sheet'!$E$23="Yes",H58&lt;&gt;""),H58*'Summary Sheet'!$G$23,""))</f>
        <v/>
      </c>
      <c r="M58" s="154"/>
      <c r="N58" s="155">
        <f>SUM('Pay App 1:Pay App 43'!L58)+SUM('Pay App 1:Pay App 43'!M58)</f>
        <v>0</v>
      </c>
    </row>
    <row r="59" spans="1:16" ht="11.25" customHeight="1" x14ac:dyDescent="0.25">
      <c r="A59" s="152">
        <v>3</v>
      </c>
      <c r="B59" s="174" t="str">
        <f>'Pay App 1'!B59</f>
        <v>01 00 00</v>
      </c>
      <c r="C59" s="179" t="str">
        <f>'Pay App 1'!C59</f>
        <v>General Conditions/Requirements</v>
      </c>
      <c r="D59" s="155">
        <f>'Pay App 1'!D59</f>
        <v>0</v>
      </c>
      <c r="E59" s="155">
        <f>VLOOKUP(B59,'Graph Data'!$O$2:$BX$88,45,FALSE)</f>
        <v>0</v>
      </c>
      <c r="F59" s="155">
        <f>IFERROR(E59+'Pay App 42'!F59,"")</f>
        <v>0</v>
      </c>
      <c r="G59" s="155">
        <f>SUM('Pay App 1:Pay App 42'!H59)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43'!L59)+SUM('Pay App 1:Pay App 43'!M59)</f>
        <v>0</v>
      </c>
    </row>
    <row r="60" spans="1:16" ht="11.25" customHeight="1" x14ac:dyDescent="0.25">
      <c r="A60" s="152">
        <v>4</v>
      </c>
      <c r="B60" s="174" t="str">
        <f>'Pay App 1'!B60</f>
        <v>01 13 41</v>
      </c>
      <c r="C60" s="179" t="str">
        <f>'Pay App 1'!C60</f>
        <v>Temp. Scaffolding and Platforms</v>
      </c>
      <c r="D60" s="155">
        <f>'Pay App 1'!D60</f>
        <v>0</v>
      </c>
      <c r="E60" s="155">
        <f>VLOOKUP(B60,'Graph Data'!$O$2:$BX$88,45,FALSE)</f>
        <v>0</v>
      </c>
      <c r="F60" s="155">
        <f>IFERROR(E60+'Pay App 42'!F60,"")</f>
        <v>0</v>
      </c>
      <c r="G60" s="155">
        <f>SUM('Pay App 1:Pay App 42'!H60)</f>
        <v>0</v>
      </c>
      <c r="H60" s="154"/>
      <c r="I60" s="155">
        <f t="shared" si="0"/>
        <v>0</v>
      </c>
      <c r="J60" s="156">
        <f t="shared" si="1"/>
        <v>0</v>
      </c>
      <c r="K60" s="155">
        <f t="shared" si="2"/>
        <v>0</v>
      </c>
      <c r="L60" s="155" t="str">
        <f>IF(AND('Summary Sheet'!$E$23="No",$H$33&gt;0,H60&gt;=1),"",IF(AND('Summary Sheet'!$E$23="Yes",H60&lt;&gt;""),H60*'Summary Sheet'!$G$23,""))</f>
        <v/>
      </c>
      <c r="M60" s="154"/>
      <c r="N60" s="155">
        <f>SUM('Pay App 1:Pay App 43'!L60)+SUM('Pay App 1:Pay App 43'!M60)</f>
        <v>0</v>
      </c>
    </row>
    <row r="61" spans="1:16" ht="11.25" customHeight="1" x14ac:dyDescent="0.25">
      <c r="A61" s="152">
        <v>5</v>
      </c>
      <c r="B61" s="174" t="str">
        <f>'Pay App 1'!B61</f>
        <v>01 13 60</v>
      </c>
      <c r="C61" s="179" t="str">
        <f>'Pay App 1'!C61</f>
        <v>SWPPP</v>
      </c>
      <c r="D61" s="155">
        <f>'Pay App 1'!D61</f>
        <v>0</v>
      </c>
      <c r="E61" s="155">
        <f>VLOOKUP(B61,'Graph Data'!$O$2:$BX$88,45,FALSE)</f>
        <v>0</v>
      </c>
      <c r="F61" s="155">
        <f>IFERROR(E61+'Pay App 42'!F61,"")</f>
        <v>0</v>
      </c>
      <c r="G61" s="155">
        <f>SUM('Pay App 1:Pay App 42'!H61)</f>
        <v>0</v>
      </c>
      <c r="H61" s="154"/>
      <c r="I61" s="155">
        <f t="shared" si="0"/>
        <v>0</v>
      </c>
      <c r="J61" s="156">
        <f t="shared" si="1"/>
        <v>0</v>
      </c>
      <c r="K61" s="155">
        <f t="shared" si="2"/>
        <v>0</v>
      </c>
      <c r="L61" s="155" t="str">
        <f>IF(AND('Summary Sheet'!$E$23="No",$H$33&gt;0,H61&gt;=1),"",IF(AND('Summary Sheet'!$E$23="Yes",H61&lt;&gt;""),H61*'Summary Sheet'!$G$23,""))</f>
        <v/>
      </c>
      <c r="M61" s="154"/>
      <c r="N61" s="155">
        <f>SUM('Pay App 1:Pay App 43'!L61)+SUM('Pay App 1:Pay App 43'!M61)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Data'!$O$2:$BX$88,45,FALSE)</f>
        <v>0</v>
      </c>
      <c r="F62" s="155">
        <f>IFERROR(E62+'Pay App 42'!F62,"")</f>
        <v>0</v>
      </c>
      <c r="G62" s="155">
        <f>SUM('Pay App 1:Pay App 42'!H62)</f>
        <v>0</v>
      </c>
      <c r="H62" s="154"/>
      <c r="I62" s="155">
        <f t="shared" si="0"/>
        <v>0</v>
      </c>
      <c r="J62" s="156">
        <f t="shared" si="1"/>
        <v>0</v>
      </c>
      <c r="K62" s="155">
        <f t="shared" si="2"/>
        <v>0</v>
      </c>
      <c r="L62" s="155" t="str">
        <f>IF(AND('Summary Sheet'!$E$23="No",$H$33&gt;0,H62&gt;=1),"",IF(AND('Summary Sheet'!$E$23="Yes",H62&lt;&gt;""),H62*'Summary Sheet'!$G$23,""))</f>
        <v/>
      </c>
      <c r="M62" s="154"/>
      <c r="N62" s="155">
        <f>SUM('Pay App 1:Pay App 43'!L62)+SUM('Pay App 1:Pay App 43'!M62)</f>
        <v>0</v>
      </c>
    </row>
    <row r="63" spans="1:16" ht="11.25" customHeight="1" x14ac:dyDescent="0.25">
      <c r="A63" s="152">
        <v>7</v>
      </c>
      <c r="B63" s="174" t="str">
        <f>'Pay App 1'!B63</f>
        <v>01 31 00</v>
      </c>
      <c r="C63" s="179" t="str">
        <f>'Pay App 1'!C63</f>
        <v>Contractor's Supervision</v>
      </c>
      <c r="D63" s="155">
        <f>'Pay App 1'!D63</f>
        <v>0</v>
      </c>
      <c r="E63" s="155">
        <f>VLOOKUP(B63,'Graph Data'!$O$2:$BX$88,45,FALSE)</f>
        <v>0</v>
      </c>
      <c r="F63" s="155">
        <f>IFERROR(E63+'Pay App 42'!F63,"")</f>
        <v>0</v>
      </c>
      <c r="G63" s="155">
        <f>SUM('Pay App 1:Pay App 42'!H63)</f>
        <v>0</v>
      </c>
      <c r="H63" s="154"/>
      <c r="I63" s="155">
        <f t="shared" si="0"/>
        <v>0</v>
      </c>
      <c r="J63" s="156">
        <f t="shared" si="1"/>
        <v>0</v>
      </c>
      <c r="K63" s="155">
        <f t="shared" si="2"/>
        <v>0</v>
      </c>
      <c r="L63" s="155" t="str">
        <f>IF(AND('Summary Sheet'!$E$23="No",$H$33&gt;0,H63&gt;=1),"",IF(AND('Summary Sheet'!$E$23="Yes",H63&lt;&gt;""),H63*'Summary Sheet'!$G$23,""))</f>
        <v/>
      </c>
      <c r="M63" s="154"/>
      <c r="N63" s="155">
        <f>SUM('Pay App 1:Pay App 43'!L63)+SUM('Pay App 1:Pay App 43'!M63)</f>
        <v>0</v>
      </c>
    </row>
    <row r="64" spans="1:16" ht="11.25" customHeight="1" x14ac:dyDescent="0.25">
      <c r="A64" s="152">
        <v>8</v>
      </c>
      <c r="B64" s="174" t="str">
        <f>'Pay App 1'!B64</f>
        <v>01 32 00</v>
      </c>
      <c r="C64" s="179" t="str">
        <f>'Pay App 1'!C64</f>
        <v>General Liability Insurance</v>
      </c>
      <c r="D64" s="155">
        <f>'Pay App 1'!D64</f>
        <v>0</v>
      </c>
      <c r="E64" s="155">
        <f>VLOOKUP(B64,'Graph Data'!$O$2:$BX$88,45,FALSE)</f>
        <v>0</v>
      </c>
      <c r="F64" s="155">
        <f>IFERROR(E64+'Pay App 42'!F64,"")</f>
        <v>0</v>
      </c>
      <c r="G64" s="155">
        <f>SUM('Pay App 1:Pay App 42'!H64)</f>
        <v>0</v>
      </c>
      <c r="H64" s="154"/>
      <c r="I64" s="155">
        <f t="shared" si="0"/>
        <v>0</v>
      </c>
      <c r="J64" s="156">
        <f t="shared" si="1"/>
        <v>0</v>
      </c>
      <c r="K64" s="155">
        <f t="shared" si="2"/>
        <v>0</v>
      </c>
      <c r="L64" s="155" t="str">
        <f>IF(AND('Summary Sheet'!$E$23="No",$H$33&gt;0,H64&gt;=1),"",IF(AND('Summary Sheet'!$E$23="Yes",H64&lt;&gt;""),H64*'Summary Sheet'!$G$23,""))</f>
        <v/>
      </c>
      <c r="M64" s="154"/>
      <c r="N64" s="155">
        <f>SUM('Pay App 1:Pay App 43'!L64)+SUM('Pay App 1:Pay App 43'!M64)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Data'!$O$2:$BX$88,45,FALSE)</f>
        <v>0</v>
      </c>
      <c r="F65" s="155">
        <f>IFERROR(E65+'Pay App 42'!F65,"")</f>
        <v>0</v>
      </c>
      <c r="G65" s="155">
        <f>SUM('Pay App 1:Pay App 42'!H65)</f>
        <v>0</v>
      </c>
      <c r="H65" s="154"/>
      <c r="I65" s="155">
        <f t="shared" si="0"/>
        <v>0</v>
      </c>
      <c r="J65" s="156">
        <f t="shared" si="1"/>
        <v>0</v>
      </c>
      <c r="K65" s="155">
        <f t="shared" si="2"/>
        <v>0</v>
      </c>
      <c r="L65" s="155" t="str">
        <f>IF(AND('Summary Sheet'!$E$23="No",$H$33&gt;0,H65&gt;=1),"",IF(AND('Summary Sheet'!$E$23="Yes",H65&lt;&gt;""),H65*'Summary Sheet'!$G$23,""))</f>
        <v/>
      </c>
      <c r="M65" s="154"/>
      <c r="N65" s="155">
        <f>SUM('Pay App 1:Pay App 43'!L65)+SUM('Pay App 1:Pay App 43'!M65)</f>
        <v>0</v>
      </c>
    </row>
    <row r="66" spans="1:17" ht="11.25" customHeight="1" x14ac:dyDescent="0.25">
      <c r="A66" s="152">
        <v>10</v>
      </c>
      <c r="B66" s="174" t="str">
        <f>'Pay App 1'!B66</f>
        <v>01 34 00</v>
      </c>
      <c r="C66" s="179" t="str">
        <f>'Pay App 1'!C66</f>
        <v>Subcontractor Default Insurance</v>
      </c>
      <c r="D66" s="155">
        <f>'Pay App 1'!D66</f>
        <v>0</v>
      </c>
      <c r="E66" s="155">
        <f>VLOOKUP(B66,'Graph Data'!$O$2:$BX$88,45,FALSE)</f>
        <v>0</v>
      </c>
      <c r="F66" s="155">
        <f>IFERROR(E66+'Pay App 42'!F66,"")</f>
        <v>0</v>
      </c>
      <c r="G66" s="155">
        <f>SUM('Pay App 1:Pay App 42'!H66)</f>
        <v>0</v>
      </c>
      <c r="H66" s="154"/>
      <c r="I66" s="155">
        <f t="shared" si="0"/>
        <v>0</v>
      </c>
      <c r="J66" s="156">
        <f t="shared" si="1"/>
        <v>0</v>
      </c>
      <c r="K66" s="155">
        <f t="shared" si="2"/>
        <v>0</v>
      </c>
      <c r="L66" s="155" t="str">
        <f>IF(AND('Summary Sheet'!$E$23="No",$H$33&gt;0,H66&gt;=1),"",IF(AND('Summary Sheet'!$E$23="Yes",H66&lt;&gt;""),H66*'Summary Sheet'!$G$23,""))</f>
        <v/>
      </c>
      <c r="M66" s="154"/>
      <c r="N66" s="155">
        <f>SUM('Pay App 1:Pay App 43'!L66)+SUM('Pay App 1:Pay App 43'!M66)</f>
        <v>0</v>
      </c>
    </row>
    <row r="67" spans="1:17" ht="11.25" customHeight="1" x14ac:dyDescent="0.25">
      <c r="A67" s="152">
        <v>11</v>
      </c>
      <c r="B67" s="174" t="str">
        <f>'Pay App 1'!B67</f>
        <v>01 35 00</v>
      </c>
      <c r="C67" s="179" t="str">
        <f>'Pay App 1'!C67</f>
        <v>Construction Management Fee</v>
      </c>
      <c r="D67" s="155">
        <f>'Pay App 1'!D67</f>
        <v>0</v>
      </c>
      <c r="E67" s="155">
        <f>VLOOKUP(B67,'Graph Data'!$O$2:$BX$88,45,FALSE)</f>
        <v>0</v>
      </c>
      <c r="F67" s="155">
        <f>IFERROR(E67+'Pay App 42'!F67,"")</f>
        <v>0</v>
      </c>
      <c r="G67" s="155">
        <f>SUM('Pay App 1:Pay App 42'!H67)</f>
        <v>0</v>
      </c>
      <c r="H67" s="154"/>
      <c r="I67" s="155">
        <f t="shared" si="0"/>
        <v>0</v>
      </c>
      <c r="J67" s="156">
        <f t="shared" si="1"/>
        <v>0</v>
      </c>
      <c r="K67" s="155">
        <f t="shared" si="2"/>
        <v>0</v>
      </c>
      <c r="L67" s="155" t="str">
        <f>IF(AND('Summary Sheet'!$E$23="No",$H$33&gt;0,H67&gt;=1),"",IF(AND('Summary Sheet'!$E$23="Yes",H67&lt;&gt;""),H67*'Summary Sheet'!$G$23,""))</f>
        <v/>
      </c>
      <c r="M67" s="154"/>
      <c r="N67" s="155">
        <f>SUM('Pay App 1:Pay App 43'!L67)+SUM('Pay App 1:Pay App 43'!M67)</f>
        <v>0</v>
      </c>
    </row>
    <row r="68" spans="1:17" ht="11.25" customHeight="1" x14ac:dyDescent="0.25">
      <c r="A68" s="152">
        <v>12</v>
      </c>
      <c r="B68" s="174" t="str">
        <f>'Pay App 1'!B68</f>
        <v>01 36 00</v>
      </c>
      <c r="C68" s="179" t="str">
        <f>'Pay App 1'!C68</f>
        <v>Contingency</v>
      </c>
      <c r="D68" s="155">
        <f>'Pay App 1'!D68</f>
        <v>0</v>
      </c>
      <c r="E68" s="155">
        <f>VLOOKUP(B68,'Graph Data'!$O$2:$BX$88,45,FALSE)</f>
        <v>0</v>
      </c>
      <c r="F68" s="155">
        <f>IFERROR(E68+'Pay App 42'!F68,"")</f>
        <v>0</v>
      </c>
      <c r="G68" s="155">
        <f>SUM('Pay App 1:Pay App 42'!H68)</f>
        <v>0</v>
      </c>
      <c r="H68" s="154"/>
      <c r="I68" s="155">
        <f t="shared" si="0"/>
        <v>0</v>
      </c>
      <c r="J68" s="156">
        <f t="shared" si="1"/>
        <v>0</v>
      </c>
      <c r="K68" s="155">
        <f t="shared" si="2"/>
        <v>0</v>
      </c>
      <c r="L68" s="155" t="str">
        <f>IF(AND('Summary Sheet'!$E$23="No",$H$33&gt;0,H68&gt;=1),"",IF(AND('Summary Sheet'!$E$23="Yes",H68&lt;&gt;""),H68*'Summary Sheet'!$G$23,""))</f>
        <v/>
      </c>
      <c r="M68" s="154"/>
      <c r="N68" s="155">
        <f>SUM('Pay App 1:Pay App 43'!L68)+SUM('Pay App 1:Pay App 43'!M68)</f>
        <v>0</v>
      </c>
    </row>
    <row r="69" spans="1:17" ht="11.25" customHeight="1" x14ac:dyDescent="0.25">
      <c r="A69" s="152">
        <v>13</v>
      </c>
      <c r="B69" s="174" t="str">
        <f>'Pay App 1'!B69</f>
        <v>01 37 00</v>
      </c>
      <c r="C69" s="179" t="str">
        <f>'Pay App 1'!C69</f>
        <v>Weather Allowance (All Trades)</v>
      </c>
      <c r="D69" s="155">
        <f>'Pay App 1'!D69</f>
        <v>0</v>
      </c>
      <c r="E69" s="155">
        <f>VLOOKUP(B69,'Graph Data'!$O$2:$BX$88,45,FALSE)</f>
        <v>0</v>
      </c>
      <c r="F69" s="155">
        <f>IFERROR(E69+'Pay App 42'!F69,"")</f>
        <v>0</v>
      </c>
      <c r="G69" s="155">
        <f>SUM('Pay App 1:Pay App 42'!H69)</f>
        <v>0</v>
      </c>
      <c r="H69" s="154"/>
      <c r="I69" s="155">
        <f t="shared" si="0"/>
        <v>0</v>
      </c>
      <c r="J69" s="156">
        <f t="shared" si="1"/>
        <v>0</v>
      </c>
      <c r="K69" s="155">
        <f t="shared" si="2"/>
        <v>0</v>
      </c>
      <c r="L69" s="155" t="str">
        <f>IF(AND('Summary Sheet'!$E$23="No",$H$33&gt;0,H69&gt;=1),"",IF(AND('Summary Sheet'!$E$23="Yes",H69&lt;&gt;""),H69*'Summary Sheet'!$G$23,""))</f>
        <v/>
      </c>
      <c r="M69" s="154"/>
      <c r="N69" s="155">
        <f>SUM('Pay App 1:Pay App 43'!L69)+SUM('Pay App 1:Pay App 43'!M69)</f>
        <v>0</v>
      </c>
    </row>
    <row r="70" spans="1:17" ht="11.25" customHeight="1" x14ac:dyDescent="0.25">
      <c r="A70" s="152">
        <v>14</v>
      </c>
      <c r="B70" s="174" t="str">
        <f>'Pay App 1'!B70</f>
        <v>01 74 23</v>
      </c>
      <c r="C70" s="179" t="str">
        <f>'Pay App 1'!C70</f>
        <v>Cleaning (Final)</v>
      </c>
      <c r="D70" s="155">
        <f>'Pay App 1'!D70</f>
        <v>0</v>
      </c>
      <c r="E70" s="155">
        <f>VLOOKUP(B70,'Graph Data'!$O$2:$BX$88,45,FALSE)</f>
        <v>0</v>
      </c>
      <c r="F70" s="155">
        <f>IFERROR(E70+'Pay App 42'!F70,"")</f>
        <v>0</v>
      </c>
      <c r="G70" s="155">
        <f>SUM('Pay App 1:Pay App 42'!H70)</f>
        <v>0</v>
      </c>
      <c r="H70" s="154"/>
      <c r="I70" s="155">
        <f t="shared" si="0"/>
        <v>0</v>
      </c>
      <c r="J70" s="156">
        <f t="shared" si="1"/>
        <v>0</v>
      </c>
      <c r="K70" s="155">
        <f t="shared" si="2"/>
        <v>0</v>
      </c>
      <c r="L70" s="155" t="str">
        <f>IF(AND('Summary Sheet'!$E$23="No",$H$33&gt;0,H70&gt;=1),"",IF(AND('Summary Sheet'!$E$23="Yes",H70&lt;&gt;""),H70*'Summary Sheet'!$G$23,""))</f>
        <v/>
      </c>
      <c r="M70" s="154"/>
      <c r="N70" s="155">
        <f>SUM('Pay App 1:Pay App 43'!L70)+SUM('Pay App 1:Pay App 43'!M70)</f>
        <v>0</v>
      </c>
    </row>
    <row r="71" spans="1:17" ht="11.25" customHeight="1" x14ac:dyDescent="0.25">
      <c r="A71" s="152">
        <v>15</v>
      </c>
      <c r="B71" s="175" t="str">
        <f>'Pay App 1'!B71</f>
        <v>02 21 00</v>
      </c>
      <c r="C71" s="180" t="str">
        <f>'Pay App 1'!C71</f>
        <v>Survey/Engineering</v>
      </c>
      <c r="D71" s="155">
        <f>'Pay App 1'!D71</f>
        <v>0</v>
      </c>
      <c r="E71" s="155">
        <f>VLOOKUP(B71,'Graph Data'!$O$2:$BX$88,45,FALSE)</f>
        <v>0</v>
      </c>
      <c r="F71" s="155">
        <f>IFERROR(E71+'Pay App 42'!F71,"")</f>
        <v>0</v>
      </c>
      <c r="G71" s="155">
        <f>SUM('Pay App 1:Pay App 42'!H71)</f>
        <v>0</v>
      </c>
      <c r="H71" s="154"/>
      <c r="I71" s="155">
        <f t="shared" si="0"/>
        <v>0</v>
      </c>
      <c r="J71" s="156">
        <f t="shared" si="1"/>
        <v>0</v>
      </c>
      <c r="K71" s="155">
        <f t="shared" si="2"/>
        <v>0</v>
      </c>
      <c r="L71" s="155" t="str">
        <f>IF(AND('Summary Sheet'!$E$23="No",$H$33&gt;0,H71&gt;=1),"",IF(AND('Summary Sheet'!$E$23="Yes",H71&lt;&gt;""),H71*'Summary Sheet'!$G$23,""))</f>
        <v/>
      </c>
      <c r="M71" s="154"/>
      <c r="N71" s="155">
        <f>SUM('Pay App 1:Pay App 43'!L71)+SUM('Pay App 1:Pay App 43'!M71)</f>
        <v>0</v>
      </c>
      <c r="Q71" s="28"/>
    </row>
    <row r="72" spans="1:17" ht="11.25" customHeight="1" x14ac:dyDescent="0.25">
      <c r="A72" s="152">
        <v>16</v>
      </c>
      <c r="B72" s="175" t="str">
        <f>'Pay App 1'!B72</f>
        <v>02 41 00</v>
      </c>
      <c r="C72" s="180" t="str">
        <f>'Pay App 1'!C72</f>
        <v>Demolition</v>
      </c>
      <c r="D72" s="155">
        <f>'Pay App 1'!D72</f>
        <v>0</v>
      </c>
      <c r="E72" s="155">
        <f>VLOOKUP(B72,'Graph Data'!$O$2:$BX$88,45,FALSE)</f>
        <v>0</v>
      </c>
      <c r="F72" s="155">
        <f>IFERROR(E72+'Pay App 42'!F72,"")</f>
        <v>0</v>
      </c>
      <c r="G72" s="155">
        <f>SUM('Pay App 1:Pay App 42'!H72)</f>
        <v>0</v>
      </c>
      <c r="H72" s="154"/>
      <c r="I72" s="155">
        <f t="shared" si="0"/>
        <v>0</v>
      </c>
      <c r="J72" s="156">
        <f t="shared" si="1"/>
        <v>0</v>
      </c>
      <c r="K72" s="155">
        <f t="shared" si="2"/>
        <v>0</v>
      </c>
      <c r="L72" s="155" t="str">
        <f>IF(AND('Summary Sheet'!$E$23="No",$H$33&gt;0,H72&gt;=1),"",IF(AND('Summary Sheet'!$E$23="Yes",H72&lt;&gt;""),H72*'Summary Sheet'!$G$23,""))</f>
        <v/>
      </c>
      <c r="M72" s="154"/>
      <c r="N72" s="155">
        <f>SUM('Pay App 1:Pay App 43'!L72)+SUM('Pay App 1:Pay App 43'!M72)</f>
        <v>0</v>
      </c>
      <c r="Q72" s="28"/>
    </row>
    <row r="73" spans="1:17" ht="11.25" customHeight="1" x14ac:dyDescent="0.25">
      <c r="A73" s="152">
        <v>17</v>
      </c>
      <c r="B73" s="175" t="str">
        <f>'Pay App 1'!B73</f>
        <v>02 82 00</v>
      </c>
      <c r="C73" s="180" t="str">
        <f>'Pay App 1'!C73</f>
        <v>Asbestos Abatement</v>
      </c>
      <c r="D73" s="155">
        <f>'Pay App 1'!D73</f>
        <v>0</v>
      </c>
      <c r="E73" s="155">
        <f>VLOOKUP(B73,'Graph Data'!$O$2:$BX$88,45,FALSE)</f>
        <v>0</v>
      </c>
      <c r="F73" s="155">
        <f>IFERROR(E73+'Pay App 42'!F73,"")</f>
        <v>0</v>
      </c>
      <c r="G73" s="155">
        <f>SUM('Pay App 1:Pay App 42'!H73)</f>
        <v>0</v>
      </c>
      <c r="H73" s="154"/>
      <c r="I73" s="155">
        <f t="shared" si="0"/>
        <v>0</v>
      </c>
      <c r="J73" s="156">
        <f t="shared" si="1"/>
        <v>0</v>
      </c>
      <c r="K73" s="155">
        <f t="shared" si="2"/>
        <v>0</v>
      </c>
      <c r="L73" s="155" t="str">
        <f>IF(AND('Summary Sheet'!$E$23="No",$H$33&gt;0,H73&gt;=1),"",IF(AND('Summary Sheet'!$E$23="Yes",H73&lt;&gt;""),H73*'Summary Sheet'!$G$23,""))</f>
        <v/>
      </c>
      <c r="M73" s="154"/>
      <c r="N73" s="155">
        <f>SUM('Pay App 1:Pay App 43'!L73)+SUM('Pay App 1:Pay App 43'!M73)</f>
        <v>0</v>
      </c>
    </row>
    <row r="74" spans="1:17" ht="11.25" customHeight="1" x14ac:dyDescent="0.25">
      <c r="A74" s="152">
        <v>18</v>
      </c>
      <c r="B74" s="176" t="str">
        <f>'Pay App 1'!B74</f>
        <v>03 00 00</v>
      </c>
      <c r="C74" s="181" t="str">
        <f>'Pay App 1'!C74</f>
        <v>Building Concrete</v>
      </c>
      <c r="D74" s="155">
        <f>'Pay App 1'!D74</f>
        <v>0</v>
      </c>
      <c r="E74" s="155">
        <f>VLOOKUP(B74,'Graph Data'!$O$2:$BX$88,45,FALSE)</f>
        <v>0</v>
      </c>
      <c r="F74" s="155">
        <f>IFERROR(E74+'Pay App 42'!F74,"")</f>
        <v>0</v>
      </c>
      <c r="G74" s="155">
        <f>SUM('Pay App 1:Pay App 42'!H74)</f>
        <v>0</v>
      </c>
      <c r="H74" s="154"/>
      <c r="I74" s="155">
        <f t="shared" si="0"/>
        <v>0</v>
      </c>
      <c r="J74" s="156">
        <f t="shared" si="1"/>
        <v>0</v>
      </c>
      <c r="K74" s="155">
        <f t="shared" si="2"/>
        <v>0</v>
      </c>
      <c r="L74" s="155" t="str">
        <f>IF(AND('Summary Sheet'!$E$23="No",$H$33&gt;0,H74&gt;=1),"",IF(AND('Summary Sheet'!$E$23="Yes",H74&lt;&gt;""),H74*'Summary Sheet'!$G$23,""))</f>
        <v/>
      </c>
      <c r="M74" s="154"/>
      <c r="N74" s="155">
        <f>SUM('Pay App 1:Pay App 43'!L74)+SUM('Pay App 1:Pay App 43'!M74)</f>
        <v>0</v>
      </c>
    </row>
    <row r="75" spans="1:17" ht="11.25" customHeight="1" x14ac:dyDescent="0.25">
      <c r="A75" s="152">
        <v>19</v>
      </c>
      <c r="B75" s="176" t="str">
        <f>'Pay App 1'!B75</f>
        <v>03 20 00</v>
      </c>
      <c r="C75" s="181" t="str">
        <f>'Pay App 1'!C75</f>
        <v>Building Concrete Reinforcing</v>
      </c>
      <c r="D75" s="155">
        <f>'Pay App 1'!D75</f>
        <v>0</v>
      </c>
      <c r="E75" s="155">
        <f>VLOOKUP(B75,'Graph Data'!$O$2:$BX$88,45,FALSE)</f>
        <v>0</v>
      </c>
      <c r="F75" s="155">
        <f>IFERROR(E75+'Pay App 42'!F75,"")</f>
        <v>0</v>
      </c>
      <c r="G75" s="155">
        <f>SUM('Pay App 1:Pay App 42'!H75)</f>
        <v>0</v>
      </c>
      <c r="H75" s="154"/>
      <c r="I75" s="155">
        <f t="shared" si="0"/>
        <v>0</v>
      </c>
      <c r="J75" s="156">
        <f t="shared" si="1"/>
        <v>0</v>
      </c>
      <c r="K75" s="155">
        <f t="shared" si="2"/>
        <v>0</v>
      </c>
      <c r="L75" s="155" t="str">
        <f>IF(AND('Summary Sheet'!$E$23="No",$H$33&gt;0,H75&gt;=1),"",IF(AND('Summary Sheet'!$E$23="Yes",H75&lt;&gt;""),H75*'Summary Sheet'!$G$23,""))</f>
        <v/>
      </c>
      <c r="M75" s="154"/>
      <c r="N75" s="155">
        <f>SUM('Pay App 1:Pay App 43'!L75)+SUM('Pay App 1:Pay App 43'!M75)</f>
        <v>0</v>
      </c>
    </row>
    <row r="76" spans="1:17" ht="11.25" customHeight="1" x14ac:dyDescent="0.25">
      <c r="A76" s="152">
        <v>20</v>
      </c>
      <c r="B76" s="176" t="str">
        <f>'Pay App 1'!B76</f>
        <v>03 40 00</v>
      </c>
      <c r="C76" s="181" t="str">
        <f>'Pay App 1'!C76</f>
        <v>Precast</v>
      </c>
      <c r="D76" s="155">
        <f>'Pay App 1'!D76</f>
        <v>0</v>
      </c>
      <c r="E76" s="155">
        <f>VLOOKUP(B76,'Graph Data'!$O$2:$BX$88,45,FALSE)</f>
        <v>0</v>
      </c>
      <c r="F76" s="155">
        <f>IFERROR(E76+'Pay App 42'!F76,"")</f>
        <v>0</v>
      </c>
      <c r="G76" s="155">
        <f>SUM('Pay App 1:Pay App 42'!H76)</f>
        <v>0</v>
      </c>
      <c r="H76" s="154"/>
      <c r="I76" s="155">
        <f t="shared" si="0"/>
        <v>0</v>
      </c>
      <c r="J76" s="156">
        <f t="shared" si="1"/>
        <v>0</v>
      </c>
      <c r="K76" s="155">
        <f t="shared" si="2"/>
        <v>0</v>
      </c>
      <c r="L76" s="155" t="str">
        <f>IF(AND('Summary Sheet'!$E$23="No",$H$33&gt;0,H76&gt;=1),"",IF(AND('Summary Sheet'!$E$23="Yes",H76&lt;&gt;""),H76*'Summary Sheet'!$G$23,""))</f>
        <v/>
      </c>
      <c r="M76" s="154"/>
      <c r="N76" s="155">
        <f>SUM('Pay App 1:Pay App 43'!L76)+SUM('Pay App 1:Pay App 43'!M76)</f>
        <v>0</v>
      </c>
    </row>
    <row r="77" spans="1:17" ht="11.25" customHeight="1" x14ac:dyDescent="0.25">
      <c r="A77" s="152">
        <v>21</v>
      </c>
      <c r="B77" s="177" t="str">
        <f>'Pay App 1'!B77</f>
        <v>04 00 00</v>
      </c>
      <c r="C77" s="182" t="str">
        <f>'Pay App 1'!C77</f>
        <v>Masonry</v>
      </c>
      <c r="D77" s="155">
        <f>'Pay App 1'!D77</f>
        <v>0</v>
      </c>
      <c r="E77" s="155">
        <f>VLOOKUP(B77,'Graph Data'!$O$2:$BX$88,45,FALSE)</f>
        <v>0</v>
      </c>
      <c r="F77" s="155">
        <f>IFERROR(E77+'Pay App 42'!F77,"")</f>
        <v>0</v>
      </c>
      <c r="G77" s="155">
        <f>SUM('Pay App 1:Pay App 42'!H77)</f>
        <v>0</v>
      </c>
      <c r="H77" s="154"/>
      <c r="I77" s="155">
        <f t="shared" si="0"/>
        <v>0</v>
      </c>
      <c r="J77" s="156">
        <f t="shared" si="1"/>
        <v>0</v>
      </c>
      <c r="K77" s="155">
        <f t="shared" si="2"/>
        <v>0</v>
      </c>
      <c r="L77" s="155" t="str">
        <f>IF(AND('Summary Sheet'!$E$23="No",$H$33&gt;0,H77&gt;=1),"",IF(AND('Summary Sheet'!$E$23="Yes",H77&lt;&gt;""),H77*'Summary Sheet'!$G$23,""))</f>
        <v/>
      </c>
      <c r="M77" s="154"/>
      <c r="N77" s="155">
        <f>SUM('Pay App 1:Pay App 43'!L77)+SUM('Pay App 1:Pay App 43'!M77)</f>
        <v>0</v>
      </c>
    </row>
    <row r="78" spans="1:17" ht="11.25" customHeight="1" x14ac:dyDescent="0.25">
      <c r="A78" s="152">
        <v>22</v>
      </c>
      <c r="B78" s="177" t="str">
        <f>'Pay App 1'!B78</f>
        <v>04 05 19</v>
      </c>
      <c r="C78" s="182" t="str">
        <f>'Pay App 1'!C78</f>
        <v>Masonry Reinforcing</v>
      </c>
      <c r="D78" s="155">
        <f>'Pay App 1'!D78</f>
        <v>0</v>
      </c>
      <c r="E78" s="155">
        <f>VLOOKUP(B78,'Graph Data'!$O$2:$BX$88,45,FALSE)</f>
        <v>0</v>
      </c>
      <c r="F78" s="155">
        <f>IFERROR(E78+'Pay App 42'!F78,"")</f>
        <v>0</v>
      </c>
      <c r="G78" s="155">
        <f>SUM('Pay App 1:Pay App 42'!H78)</f>
        <v>0</v>
      </c>
      <c r="H78" s="154"/>
      <c r="I78" s="155">
        <f t="shared" si="0"/>
        <v>0</v>
      </c>
      <c r="J78" s="156">
        <f t="shared" si="1"/>
        <v>0</v>
      </c>
      <c r="K78" s="155">
        <f t="shared" si="2"/>
        <v>0</v>
      </c>
      <c r="L78" s="155" t="str">
        <f>IF(AND('Summary Sheet'!$E$23="No",$H$33&gt;0,H78&gt;=1),"",IF(AND('Summary Sheet'!$E$23="Yes",H78&lt;&gt;""),H78*'Summary Sheet'!$G$23,""))</f>
        <v/>
      </c>
      <c r="M78" s="154"/>
      <c r="N78" s="155">
        <f>SUM('Pay App 1:Pay App 43'!L78)+SUM('Pay App 1:Pay App 43'!M78)</f>
        <v>0</v>
      </c>
    </row>
    <row r="79" spans="1:17" ht="11.25" customHeight="1" x14ac:dyDescent="0.25">
      <c r="A79" s="152">
        <v>23</v>
      </c>
      <c r="B79" s="178" t="str">
        <f>'Pay App 1'!B79</f>
        <v>05 10 00</v>
      </c>
      <c r="C79" s="183" t="str">
        <f>'Pay App 1'!C79</f>
        <v>Structural Steel/Misc. Steel Fab</v>
      </c>
      <c r="D79" s="155">
        <f>'Pay App 1'!D79</f>
        <v>0</v>
      </c>
      <c r="E79" s="155">
        <f>VLOOKUP(B79,'Graph Data'!$O$2:$BX$88,45,FALSE)</f>
        <v>0</v>
      </c>
      <c r="F79" s="155">
        <f>IFERROR(E79+'Pay App 42'!F79,"")</f>
        <v>0</v>
      </c>
      <c r="G79" s="155">
        <f>SUM('Pay App 1:Pay App 42'!H79)</f>
        <v>0</v>
      </c>
      <c r="H79" s="154"/>
      <c r="I79" s="155">
        <f t="shared" si="0"/>
        <v>0</v>
      </c>
      <c r="J79" s="156">
        <f t="shared" si="1"/>
        <v>0</v>
      </c>
      <c r="K79" s="155">
        <f t="shared" si="2"/>
        <v>0</v>
      </c>
      <c r="L79" s="155" t="str">
        <f>IF(AND('Summary Sheet'!$E$23="No",$H$33&gt;0,H79&gt;=1),"",IF(AND('Summary Sheet'!$E$23="Yes",H79&lt;&gt;""),H79*'Summary Sheet'!$G$23,""))</f>
        <v/>
      </c>
      <c r="M79" s="154"/>
      <c r="N79" s="155">
        <f>SUM('Pay App 1:Pay App 43'!L79)+SUM('Pay App 1:Pay App 43'!M79)</f>
        <v>0</v>
      </c>
    </row>
    <row r="80" spans="1:17" ht="11.25" customHeight="1" x14ac:dyDescent="0.25">
      <c r="A80" s="152">
        <v>24</v>
      </c>
      <c r="B80" s="178" t="str">
        <f>'Pay App 1'!B80</f>
        <v>05 20 00</v>
      </c>
      <c r="C80" s="183" t="str">
        <f>'Pay App 1'!C80</f>
        <v>Joists &amp; Deck</v>
      </c>
      <c r="D80" s="155">
        <f>'Pay App 1'!D80</f>
        <v>0</v>
      </c>
      <c r="E80" s="155">
        <f>VLOOKUP(B80,'Graph Data'!$O$2:$BX$88,45,FALSE)</f>
        <v>0</v>
      </c>
      <c r="F80" s="155">
        <f>IFERROR(E80+'Pay App 42'!F80,"")</f>
        <v>0</v>
      </c>
      <c r="G80" s="155">
        <f>SUM('Pay App 1:Pay App 42'!H80)</f>
        <v>0</v>
      </c>
      <c r="H80" s="154"/>
      <c r="I80" s="155">
        <f t="shared" si="0"/>
        <v>0</v>
      </c>
      <c r="J80" s="156">
        <f t="shared" si="1"/>
        <v>0</v>
      </c>
      <c r="K80" s="155">
        <f t="shared" si="2"/>
        <v>0</v>
      </c>
      <c r="L80" s="155" t="str">
        <f>IF(AND('Summary Sheet'!$E$23="No",$H$33&gt;0,H80&gt;=1),"",IF(AND('Summary Sheet'!$E$23="Yes",H80&lt;&gt;""),H80*'Summary Sheet'!$G$23,""))</f>
        <v/>
      </c>
      <c r="M80" s="154"/>
      <c r="N80" s="155">
        <f>SUM('Pay App 1:Pay App 43'!L80)+SUM('Pay App 1:Pay App 43'!M80)</f>
        <v>0</v>
      </c>
    </row>
    <row r="81" spans="1:14" ht="11.25" customHeight="1" x14ac:dyDescent="0.25">
      <c r="A81" s="152">
        <v>25</v>
      </c>
      <c r="B81" s="178" t="str">
        <f>'Pay App 1'!B81</f>
        <v>05 70 00</v>
      </c>
      <c r="C81" s="183" t="str">
        <f>'Pay App 1'!C81</f>
        <v>Ornamental Metal</v>
      </c>
      <c r="D81" s="155">
        <f>'Pay App 1'!D81</f>
        <v>0</v>
      </c>
      <c r="E81" s="155">
        <f>VLOOKUP(B81,'Graph Data'!$O$2:$BX$88,45,FALSE)</f>
        <v>0</v>
      </c>
      <c r="F81" s="155">
        <f>IFERROR(E81+'Pay App 42'!F81,"")</f>
        <v>0</v>
      </c>
      <c r="G81" s="155">
        <f>SUM('Pay App 1:Pay App 42'!H81)</f>
        <v>0</v>
      </c>
      <c r="H81" s="154"/>
      <c r="I81" s="155">
        <f t="shared" si="0"/>
        <v>0</v>
      </c>
      <c r="J81" s="156">
        <f t="shared" si="1"/>
        <v>0</v>
      </c>
      <c r="K81" s="155">
        <f t="shared" si="2"/>
        <v>0</v>
      </c>
      <c r="L81" s="155" t="str">
        <f>IF(AND('Summary Sheet'!$E$23="No",$H$33&gt;0,H81&gt;=1),"",IF(AND('Summary Sheet'!$E$23="Yes",H81&lt;&gt;""),H81*'Summary Sheet'!$G$23,""))</f>
        <v/>
      </c>
      <c r="M81" s="154"/>
      <c r="N81" s="155">
        <f>SUM('Pay App 1:Pay App 43'!L81)+SUM('Pay App 1:Pay App 43'!M81)</f>
        <v>0</v>
      </c>
    </row>
    <row r="82" spans="1:14" ht="11.25" customHeight="1" x14ac:dyDescent="0.25">
      <c r="A82" s="152">
        <v>26</v>
      </c>
      <c r="B82" s="145" t="str">
        <f>'Pay App 1'!B82</f>
        <v>06 10 00</v>
      </c>
      <c r="C82" s="134" t="str">
        <f>'Pay App 1'!C82</f>
        <v>Rough Carpentry</v>
      </c>
      <c r="D82" s="155">
        <f>'Pay App 1'!D82</f>
        <v>0</v>
      </c>
      <c r="E82" s="155">
        <f>VLOOKUP(B82,'Graph Data'!$O$2:$BX$88,45,FALSE)</f>
        <v>0</v>
      </c>
      <c r="F82" s="155">
        <f>IFERROR(E82+'Pay App 42'!F82,"")</f>
        <v>0</v>
      </c>
      <c r="G82" s="155">
        <f>SUM('Pay App 1:Pay App 42'!H82)</f>
        <v>0</v>
      </c>
      <c r="H82" s="154"/>
      <c r="I82" s="155">
        <f t="shared" si="0"/>
        <v>0</v>
      </c>
      <c r="J82" s="156">
        <f t="shared" si="1"/>
        <v>0</v>
      </c>
      <c r="K82" s="155">
        <f t="shared" si="2"/>
        <v>0</v>
      </c>
      <c r="L82" s="155" t="str">
        <f>IF(AND('Summary Sheet'!$E$23="No",$H$33&gt;0,H82&gt;=1),"",IF(AND('Summary Sheet'!$E$23="Yes",H82&lt;&gt;""),H82*'Summary Sheet'!$G$23,""))</f>
        <v/>
      </c>
      <c r="M82" s="154"/>
      <c r="N82" s="155">
        <f>SUM('Pay App 1:Pay App 43'!L82)+SUM('Pay App 1:Pay App 43'!M82)</f>
        <v>0</v>
      </c>
    </row>
    <row r="83" spans="1:14" ht="11.25" customHeight="1" x14ac:dyDescent="0.25">
      <c r="A83" s="152">
        <v>27</v>
      </c>
      <c r="B83" s="145" t="str">
        <f>'Pay App 1'!B83</f>
        <v>06 40 00</v>
      </c>
      <c r="C83" s="134" t="str">
        <f>'Pay App 1'!C83</f>
        <v>Arch. Woodwork &amp; Finish Carp.</v>
      </c>
      <c r="D83" s="155">
        <f>'Pay App 1'!D83</f>
        <v>0</v>
      </c>
      <c r="E83" s="155">
        <f>VLOOKUP(B83,'Graph Data'!$O$2:$BX$88,45,FALSE)</f>
        <v>0</v>
      </c>
      <c r="F83" s="155">
        <f>IFERROR(E83+'Pay App 42'!F83,"")</f>
        <v>0</v>
      </c>
      <c r="G83" s="155">
        <f>SUM('Pay App 1:Pay App 42'!H83)</f>
        <v>0</v>
      </c>
      <c r="H83" s="154"/>
      <c r="I83" s="155">
        <f t="shared" si="0"/>
        <v>0</v>
      </c>
      <c r="J83" s="156">
        <f t="shared" si="1"/>
        <v>0</v>
      </c>
      <c r="K83" s="155">
        <f t="shared" si="2"/>
        <v>0</v>
      </c>
      <c r="L83" s="155" t="str">
        <f>IF(AND('Summary Sheet'!$E$23="No",$H$33&gt;0,H83&gt;=1),"",IF(AND('Summary Sheet'!$E$23="Yes",H83&lt;&gt;""),H83*'Summary Sheet'!$G$23,""))</f>
        <v/>
      </c>
      <c r="M83" s="154"/>
      <c r="N83" s="155">
        <f>SUM('Pay App 1:Pay App 43'!L83)+SUM('Pay App 1:Pay App 43'!M83)</f>
        <v>0</v>
      </c>
    </row>
    <row r="84" spans="1:14" ht="11.25" customHeight="1" x14ac:dyDescent="0.25">
      <c r="A84" s="152">
        <v>28</v>
      </c>
      <c r="B84" s="174" t="str">
        <f>'Pay App 1'!B84</f>
        <v>07 10 00</v>
      </c>
      <c r="C84" s="179" t="str">
        <f>'Pay App 1'!C84</f>
        <v>Waterproofing/Water Repellents</v>
      </c>
      <c r="D84" s="155">
        <f>'Pay App 1'!D84</f>
        <v>0</v>
      </c>
      <c r="E84" s="155">
        <f>VLOOKUP(B84,'Graph Data'!$O$2:$BX$88,45,FALSE)</f>
        <v>0</v>
      </c>
      <c r="F84" s="155">
        <f>IFERROR(E84+'Pay App 42'!F84,"")</f>
        <v>0</v>
      </c>
      <c r="G84" s="155">
        <f>SUM('Pay App 1:Pay App 42'!H84)</f>
        <v>0</v>
      </c>
      <c r="H84" s="154"/>
      <c r="I84" s="155">
        <f t="shared" si="0"/>
        <v>0</v>
      </c>
      <c r="J84" s="156">
        <f t="shared" si="1"/>
        <v>0</v>
      </c>
      <c r="K84" s="155">
        <f t="shared" si="2"/>
        <v>0</v>
      </c>
      <c r="L84" s="155" t="str">
        <f>IF(AND('Summary Sheet'!$E$23="No",$H$33&gt;0,H84&gt;=1),"",IF(AND('Summary Sheet'!$E$23="Yes",H84&lt;&gt;""),H84*'Summary Sheet'!$G$23,""))</f>
        <v/>
      </c>
      <c r="M84" s="154"/>
      <c r="N84" s="155">
        <f>SUM('Pay App 1:Pay App 43'!L84)+SUM('Pay App 1:Pay App 43'!M84)</f>
        <v>0</v>
      </c>
    </row>
    <row r="85" spans="1:14" ht="11.25" customHeight="1" x14ac:dyDescent="0.25">
      <c r="A85" s="152">
        <v>29</v>
      </c>
      <c r="B85" s="174" t="str">
        <f>'Pay App 1'!B85</f>
        <v>07 20 00</v>
      </c>
      <c r="C85" s="179" t="str">
        <f>'Pay App 1'!C85</f>
        <v>Insulation</v>
      </c>
      <c r="D85" s="155">
        <f>'Pay App 1'!D85</f>
        <v>0</v>
      </c>
      <c r="E85" s="155">
        <f>VLOOKUP(B85,'Graph Data'!$O$2:$BX$88,45,FALSE)</f>
        <v>0</v>
      </c>
      <c r="F85" s="155">
        <f>IFERROR(E85+'Pay App 42'!F85,"")</f>
        <v>0</v>
      </c>
      <c r="G85" s="155">
        <f>SUM('Pay App 1:Pay App 42'!H85)</f>
        <v>0</v>
      </c>
      <c r="H85" s="154"/>
      <c r="I85" s="155">
        <f t="shared" si="0"/>
        <v>0</v>
      </c>
      <c r="J85" s="156">
        <f t="shared" si="1"/>
        <v>0</v>
      </c>
      <c r="K85" s="155">
        <f t="shared" si="2"/>
        <v>0</v>
      </c>
      <c r="L85" s="155" t="str">
        <f>IF(AND('Summary Sheet'!$E$23="No",$H$33&gt;0,H85&gt;=1),"",IF(AND('Summary Sheet'!$E$23="Yes",H85&lt;&gt;""),H85*'Summary Sheet'!$G$23,""))</f>
        <v/>
      </c>
      <c r="M85" s="154"/>
      <c r="N85" s="155">
        <f>SUM('Pay App 1:Pay App 43'!L85)+SUM('Pay App 1:Pay App 43'!M85)</f>
        <v>0</v>
      </c>
    </row>
    <row r="86" spans="1:14" ht="11.25" customHeight="1" x14ac:dyDescent="0.25">
      <c r="A86" s="152">
        <v>30</v>
      </c>
      <c r="B86" s="174" t="str">
        <f>'Pay App 1'!B86</f>
        <v>07 24 00</v>
      </c>
      <c r="C86" s="179" t="str">
        <f>'Pay App 1'!C86</f>
        <v>EIFS</v>
      </c>
      <c r="D86" s="155">
        <f>'Pay App 1'!D86</f>
        <v>0</v>
      </c>
      <c r="E86" s="155">
        <f>VLOOKUP(B86,'Graph Data'!$O$2:$BX$88,45,FALSE)</f>
        <v>0</v>
      </c>
      <c r="F86" s="155">
        <f>IFERROR(E86+'Pay App 42'!F86,"")</f>
        <v>0</v>
      </c>
      <c r="G86" s="155">
        <f>SUM('Pay App 1:Pay App 42'!H86)</f>
        <v>0</v>
      </c>
      <c r="H86" s="154"/>
      <c r="I86" s="155">
        <f t="shared" si="0"/>
        <v>0</v>
      </c>
      <c r="J86" s="156">
        <f t="shared" si="1"/>
        <v>0</v>
      </c>
      <c r="K86" s="155">
        <f t="shared" si="2"/>
        <v>0</v>
      </c>
      <c r="L86" s="155" t="str">
        <f>IF(AND('Summary Sheet'!$E$23="No",$H$33&gt;0,H86&gt;=1),"",IF(AND('Summary Sheet'!$E$23="Yes",H86&lt;&gt;""),H86*'Summary Sheet'!$G$23,""))</f>
        <v/>
      </c>
      <c r="M86" s="154"/>
      <c r="N86" s="155">
        <f>SUM('Pay App 1:Pay App 43'!L86)+SUM('Pay App 1:Pay App 43'!M86)</f>
        <v>0</v>
      </c>
    </row>
    <row r="87" spans="1:14" ht="11.25" customHeight="1" x14ac:dyDescent="0.25">
      <c r="A87" s="152">
        <v>31</v>
      </c>
      <c r="B87" s="174" t="str">
        <f>'Pay App 1'!B87</f>
        <v>07 26 00</v>
      </c>
      <c r="C87" s="179" t="str">
        <f>'Pay App 1'!C87</f>
        <v>Vapor Retarders</v>
      </c>
      <c r="D87" s="155">
        <f>'Pay App 1'!D87</f>
        <v>0</v>
      </c>
      <c r="E87" s="155">
        <f>VLOOKUP(B87,'Graph Data'!$O$2:$BX$88,45,FALSE)</f>
        <v>0</v>
      </c>
      <c r="F87" s="155">
        <f>IFERROR(E87+'Pay App 42'!F87,"")</f>
        <v>0</v>
      </c>
      <c r="G87" s="155">
        <f>SUM('Pay App 1:Pay App 42'!H87)</f>
        <v>0</v>
      </c>
      <c r="H87" s="154"/>
      <c r="I87" s="155">
        <f t="shared" si="0"/>
        <v>0</v>
      </c>
      <c r="J87" s="156">
        <f t="shared" si="1"/>
        <v>0</v>
      </c>
      <c r="K87" s="155">
        <f t="shared" si="2"/>
        <v>0</v>
      </c>
      <c r="L87" s="155" t="str">
        <f>IF(AND('Summary Sheet'!$E$23="No",$H$33&gt;0,H87&gt;=1),"",IF(AND('Summary Sheet'!$E$23="Yes",H87&lt;&gt;""),H87*'Summary Sheet'!$G$23,""))</f>
        <v/>
      </c>
      <c r="M87" s="154"/>
      <c r="N87" s="155">
        <f>SUM('Pay App 1:Pay App 43'!L87)+SUM('Pay App 1:Pay App 43'!M87)</f>
        <v>0</v>
      </c>
    </row>
    <row r="88" spans="1:14" ht="11.25" customHeight="1" x14ac:dyDescent="0.25">
      <c r="A88" s="152">
        <v>32</v>
      </c>
      <c r="B88" s="174" t="str">
        <f>'Pay App 1'!B88</f>
        <v>07 41 00</v>
      </c>
      <c r="C88" s="179" t="str">
        <f>'Pay App 1'!C88</f>
        <v>Roofing</v>
      </c>
      <c r="D88" s="155">
        <f>'Pay App 1'!D88</f>
        <v>0</v>
      </c>
      <c r="E88" s="155">
        <f>VLOOKUP(B88,'Graph Data'!$O$2:$BX$88,45,FALSE)</f>
        <v>0</v>
      </c>
      <c r="F88" s="155">
        <f>IFERROR(E88+'Pay App 42'!F88,"")</f>
        <v>0</v>
      </c>
      <c r="G88" s="155">
        <f>SUM('Pay App 1:Pay App 42'!H88)</f>
        <v>0</v>
      </c>
      <c r="H88" s="154"/>
      <c r="I88" s="155">
        <f t="shared" si="0"/>
        <v>0</v>
      </c>
      <c r="J88" s="156">
        <f t="shared" si="1"/>
        <v>0</v>
      </c>
      <c r="K88" s="155">
        <f t="shared" si="2"/>
        <v>0</v>
      </c>
      <c r="L88" s="155" t="str">
        <f>IF(AND('Summary Sheet'!$E$23="No",$H$33&gt;0,H88&gt;=1),"",IF(AND('Summary Sheet'!$E$23="Yes",H88&lt;&gt;""),H88*'Summary Sheet'!$G$23,""))</f>
        <v/>
      </c>
      <c r="M88" s="154"/>
      <c r="N88" s="155">
        <f>SUM('Pay App 1:Pay App 43'!L88)+SUM('Pay App 1:Pay App 43'!M88)</f>
        <v>0</v>
      </c>
    </row>
    <row r="89" spans="1:14" ht="11.25" customHeight="1" x14ac:dyDescent="0.25">
      <c r="A89" s="152">
        <v>33</v>
      </c>
      <c r="B89" s="174" t="str">
        <f>'Pay App 1'!B89</f>
        <v>07 42 00</v>
      </c>
      <c r="C89" s="179" t="str">
        <f>'Pay App 1'!C89</f>
        <v>Metal Panels</v>
      </c>
      <c r="D89" s="155">
        <f>'Pay App 1'!D89</f>
        <v>0</v>
      </c>
      <c r="E89" s="155">
        <f>VLOOKUP(B89,'Graph Data'!$O$2:$BX$88,45,FALSE)</f>
        <v>0</v>
      </c>
      <c r="F89" s="155">
        <f>IFERROR(E89+'Pay App 42'!F89,"")</f>
        <v>0</v>
      </c>
      <c r="G89" s="155">
        <f>SUM('Pay App 1:Pay App 42'!H89)</f>
        <v>0</v>
      </c>
      <c r="H89" s="154"/>
      <c r="I89" s="155">
        <f t="shared" si="0"/>
        <v>0</v>
      </c>
      <c r="J89" s="156">
        <f t="shared" si="1"/>
        <v>0</v>
      </c>
      <c r="K89" s="155">
        <f t="shared" si="2"/>
        <v>0</v>
      </c>
      <c r="L89" s="155" t="str">
        <f>IF(AND('Summary Sheet'!$E$23="No",$H$33&gt;0,H89&gt;=1),"",IF(AND('Summary Sheet'!$E$23="Yes",H89&lt;&gt;""),H89*'Summary Sheet'!$G$23,""))</f>
        <v/>
      </c>
      <c r="M89" s="154"/>
      <c r="N89" s="155">
        <f>SUM('Pay App 1:Pay App 43'!L89)+SUM('Pay App 1:Pay App 43'!M89)</f>
        <v>0</v>
      </c>
    </row>
    <row r="90" spans="1:14" ht="11.25" customHeight="1" x14ac:dyDescent="0.25">
      <c r="A90" s="152">
        <v>34</v>
      </c>
      <c r="B90" s="174" t="str">
        <f>'Pay App 1'!B90</f>
        <v>07 60 00</v>
      </c>
      <c r="C90" s="179" t="str">
        <f>'Pay App 1'!C90</f>
        <v>Sheet Metal Flashing &amp; Trim</v>
      </c>
      <c r="D90" s="155">
        <f>'Pay App 1'!D90</f>
        <v>0</v>
      </c>
      <c r="E90" s="155">
        <f>VLOOKUP(B90,'Graph Data'!$O$2:$BX$88,45,FALSE)</f>
        <v>0</v>
      </c>
      <c r="F90" s="155">
        <f>IFERROR(E90+'Pay App 42'!F90,"")</f>
        <v>0</v>
      </c>
      <c r="G90" s="155">
        <f>SUM('Pay App 1:Pay App 42'!H90)</f>
        <v>0</v>
      </c>
      <c r="H90" s="154"/>
      <c r="I90" s="155">
        <f t="shared" si="0"/>
        <v>0</v>
      </c>
      <c r="J90" s="156">
        <f t="shared" si="1"/>
        <v>0</v>
      </c>
      <c r="K90" s="155">
        <f t="shared" si="2"/>
        <v>0</v>
      </c>
      <c r="L90" s="155" t="str">
        <f>IF(AND('Summary Sheet'!$E$23="No",$H$33&gt;0,H90&gt;=1),"",IF(AND('Summary Sheet'!$E$23="Yes",H90&lt;&gt;""),H90*'Summary Sheet'!$G$23,""))</f>
        <v/>
      </c>
      <c r="M90" s="154"/>
      <c r="N90" s="155">
        <f>SUM('Pay App 1:Pay App 43'!L90)+SUM('Pay App 1:Pay App 43'!M90)</f>
        <v>0</v>
      </c>
    </row>
    <row r="91" spans="1:14" ht="11.25" customHeight="1" x14ac:dyDescent="0.25">
      <c r="A91" s="152">
        <v>35</v>
      </c>
      <c r="B91" s="174" t="str">
        <f>'Pay App 1'!B91</f>
        <v>07 80 00</v>
      </c>
      <c r="C91" s="179" t="str">
        <f>'Pay App 1'!C91</f>
        <v>Fireproofing</v>
      </c>
      <c r="D91" s="155">
        <f>'Pay App 1'!D91</f>
        <v>0</v>
      </c>
      <c r="E91" s="155">
        <f>VLOOKUP(B91,'Graph Data'!$O$2:$BX$88,45,FALSE)</f>
        <v>0</v>
      </c>
      <c r="F91" s="155">
        <f>IFERROR(E91+'Pay App 42'!F91,"")</f>
        <v>0</v>
      </c>
      <c r="G91" s="155">
        <f>SUM('Pay App 1:Pay App 42'!H91)</f>
        <v>0</v>
      </c>
      <c r="H91" s="154"/>
      <c r="I91" s="155">
        <f t="shared" si="0"/>
        <v>0</v>
      </c>
      <c r="J91" s="156">
        <f t="shared" si="1"/>
        <v>0</v>
      </c>
      <c r="K91" s="155">
        <f t="shared" si="2"/>
        <v>0</v>
      </c>
      <c r="L91" s="155" t="str">
        <f>IF(AND('Summary Sheet'!$E$23="No",$H$33&gt;0,H91&gt;=1),"",IF(AND('Summary Sheet'!$E$23="Yes",H91&lt;&gt;""),H91*'Summary Sheet'!$G$23,""))</f>
        <v/>
      </c>
      <c r="M91" s="154"/>
      <c r="N91" s="155">
        <f>SUM('Pay App 1:Pay App 43'!L91)+SUM('Pay App 1:Pay App 43'!M91)</f>
        <v>0</v>
      </c>
    </row>
    <row r="92" spans="1:14" ht="11.25" customHeight="1" x14ac:dyDescent="0.25">
      <c r="A92" s="152">
        <v>36</v>
      </c>
      <c r="B92" s="174" t="str">
        <f>'Pay App 1'!B92</f>
        <v>07 90 00</v>
      </c>
      <c r="C92" s="179" t="str">
        <f>'Pay App 1'!C92</f>
        <v>Joint Sealants</v>
      </c>
      <c r="D92" s="155">
        <f>'Pay App 1'!D92</f>
        <v>0</v>
      </c>
      <c r="E92" s="155">
        <f>VLOOKUP(B92,'Graph Data'!$O$2:$BX$88,45,FALSE)</f>
        <v>0</v>
      </c>
      <c r="F92" s="155">
        <f>IFERROR(E92+'Pay App 42'!F92,"")</f>
        <v>0</v>
      </c>
      <c r="G92" s="155">
        <f>SUM('Pay App 1:Pay App 42'!H92)</f>
        <v>0</v>
      </c>
      <c r="H92" s="154"/>
      <c r="I92" s="155">
        <f t="shared" si="0"/>
        <v>0</v>
      </c>
      <c r="J92" s="156">
        <f t="shared" si="1"/>
        <v>0</v>
      </c>
      <c r="K92" s="155">
        <f t="shared" si="2"/>
        <v>0</v>
      </c>
      <c r="L92" s="155" t="str">
        <f>IF(AND('Summary Sheet'!$E$23="No",$H$33&gt;0,H92&gt;=1),"",IF(AND('Summary Sheet'!$E$23="Yes",H92&lt;&gt;""),H92*'Summary Sheet'!$G$23,""))</f>
        <v/>
      </c>
      <c r="M92" s="154"/>
      <c r="N92" s="155">
        <f>SUM('Pay App 1:Pay App 43'!L92)+SUM('Pay App 1:Pay App 43'!M92)</f>
        <v>0</v>
      </c>
    </row>
    <row r="93" spans="1:14" ht="11.25" customHeight="1" x14ac:dyDescent="0.25">
      <c r="A93" s="152">
        <v>37</v>
      </c>
      <c r="B93" s="174" t="str">
        <f>'Pay App 1'!B93</f>
        <v>07 95 00</v>
      </c>
      <c r="C93" s="179" t="str">
        <f>'Pay App 1'!C93</f>
        <v>Expansion Joints</v>
      </c>
      <c r="D93" s="155">
        <f>'Pay App 1'!D93</f>
        <v>0</v>
      </c>
      <c r="E93" s="155">
        <f>VLOOKUP(B93,'Graph Data'!$O$2:$BX$88,45,FALSE)</f>
        <v>0</v>
      </c>
      <c r="F93" s="155">
        <f>IFERROR(E93+'Pay App 42'!F93,"")</f>
        <v>0</v>
      </c>
      <c r="G93" s="155">
        <f>SUM('Pay App 1:Pay App 42'!H93)</f>
        <v>0</v>
      </c>
      <c r="H93" s="154"/>
      <c r="I93" s="155">
        <f t="shared" si="0"/>
        <v>0</v>
      </c>
      <c r="J93" s="156">
        <f t="shared" si="1"/>
        <v>0</v>
      </c>
      <c r="K93" s="155">
        <f t="shared" si="2"/>
        <v>0</v>
      </c>
      <c r="L93" s="155" t="str">
        <f>IF(AND('Summary Sheet'!$E$23="No",$H$33&gt;0,H93&gt;=1),"",IF(AND('Summary Sheet'!$E$23="Yes",H93&lt;&gt;""),H93*'Summary Sheet'!$G$23,""))</f>
        <v/>
      </c>
      <c r="M93" s="154"/>
      <c r="N93" s="155">
        <f>SUM('Pay App 1:Pay App 43'!L93)+SUM('Pay App 1:Pay App 43'!M93)</f>
        <v>0</v>
      </c>
    </row>
    <row r="94" spans="1:14" ht="11.25" customHeight="1" x14ac:dyDescent="0.25">
      <c r="A94" s="152">
        <v>38</v>
      </c>
      <c r="B94" s="175" t="str">
        <f>'Pay App 1'!B94</f>
        <v>08 10 00</v>
      </c>
      <c r="C94" s="180" t="str">
        <f>'Pay App 1'!C94</f>
        <v>Doors, Frames &amp; Hardware</v>
      </c>
      <c r="D94" s="155">
        <f>'Pay App 1'!D94</f>
        <v>0</v>
      </c>
      <c r="E94" s="155">
        <f>VLOOKUP(B94,'Graph Data'!$O$2:$BX$88,45,FALSE)</f>
        <v>0</v>
      </c>
      <c r="F94" s="155">
        <f>IFERROR(E94+'Pay App 42'!F94,"")</f>
        <v>0</v>
      </c>
      <c r="G94" s="155">
        <f>SUM('Pay App 1:Pay App 42'!H94)</f>
        <v>0</v>
      </c>
      <c r="H94" s="154"/>
      <c r="I94" s="155">
        <f t="shared" si="0"/>
        <v>0</v>
      </c>
      <c r="J94" s="156">
        <f t="shared" si="1"/>
        <v>0</v>
      </c>
      <c r="K94" s="155">
        <f t="shared" si="2"/>
        <v>0</v>
      </c>
      <c r="L94" s="155" t="str">
        <f>IF(AND('Summary Sheet'!$E$23="No",$H$33&gt;0,H94&gt;=1),"",IF(AND('Summary Sheet'!$E$23="Yes",H94&lt;&gt;""),H94*'Summary Sheet'!$G$23,""))</f>
        <v/>
      </c>
      <c r="M94" s="154"/>
      <c r="N94" s="155">
        <f>SUM('Pay App 1:Pay App 43'!L94)+SUM('Pay App 1:Pay App 43'!M94)</f>
        <v>0</v>
      </c>
    </row>
    <row r="95" spans="1:14" ht="11.25" customHeight="1" x14ac:dyDescent="0.25">
      <c r="A95" s="152">
        <v>39</v>
      </c>
      <c r="B95" s="175" t="str">
        <f>'Pay App 1'!B95</f>
        <v>08 30 00</v>
      </c>
      <c r="C95" s="180" t="str">
        <f>'Pay App 1'!C95</f>
        <v>Specialty Doors</v>
      </c>
      <c r="D95" s="155">
        <f>'Pay App 1'!D95</f>
        <v>0</v>
      </c>
      <c r="E95" s="155">
        <f>VLOOKUP(B95,'Graph Data'!$O$2:$BX$88,45,FALSE)</f>
        <v>0</v>
      </c>
      <c r="F95" s="155">
        <f>IFERROR(E95+'Pay App 42'!F95,"")</f>
        <v>0</v>
      </c>
      <c r="G95" s="155">
        <f>SUM('Pay App 1:Pay App 42'!H95)</f>
        <v>0</v>
      </c>
      <c r="H95" s="154"/>
      <c r="I95" s="155">
        <f t="shared" si="0"/>
        <v>0</v>
      </c>
      <c r="J95" s="156">
        <f t="shared" si="1"/>
        <v>0</v>
      </c>
      <c r="K95" s="155">
        <f t="shared" si="2"/>
        <v>0</v>
      </c>
      <c r="L95" s="155" t="str">
        <f>IF(AND('Summary Sheet'!$E$23="No",$H$33&gt;0,H95&gt;=1),"",IF(AND('Summary Sheet'!$E$23="Yes",H95&lt;&gt;""),H95*'Summary Sheet'!$G$23,""))</f>
        <v/>
      </c>
      <c r="M95" s="154"/>
      <c r="N95" s="155">
        <f>SUM('Pay App 1:Pay App 43'!L95)+SUM('Pay App 1:Pay App 43'!M95)</f>
        <v>0</v>
      </c>
    </row>
    <row r="96" spans="1:14" ht="11.25" customHeight="1" x14ac:dyDescent="0.25">
      <c r="A96" s="152">
        <v>40</v>
      </c>
      <c r="B96" s="175" t="str">
        <f>'Pay App 1'!B96</f>
        <v>08 33 00</v>
      </c>
      <c r="C96" s="180" t="str">
        <f>'Pay App 1'!C96</f>
        <v>Overhead Doors/Coiling Doors</v>
      </c>
      <c r="D96" s="155">
        <f>'Pay App 1'!D96</f>
        <v>0</v>
      </c>
      <c r="E96" s="155">
        <f>VLOOKUP(B96,'Graph Data'!$O$2:$BX$88,45,FALSE)</f>
        <v>0</v>
      </c>
      <c r="F96" s="155">
        <f>IFERROR(E96+'Pay App 42'!F96,"")</f>
        <v>0</v>
      </c>
      <c r="G96" s="155">
        <f>SUM('Pay App 1:Pay App 42'!H96)</f>
        <v>0</v>
      </c>
      <c r="H96" s="154"/>
      <c r="I96" s="155">
        <f t="shared" si="0"/>
        <v>0</v>
      </c>
      <c r="J96" s="156">
        <f t="shared" si="1"/>
        <v>0</v>
      </c>
      <c r="K96" s="155">
        <f t="shared" si="2"/>
        <v>0</v>
      </c>
      <c r="L96" s="155" t="str">
        <f>IF(AND('Summary Sheet'!$E$23="No",$H$33&gt;0,H96&gt;=1),"",IF(AND('Summary Sheet'!$E$23="Yes",H96&lt;&gt;""),H96*'Summary Sheet'!$G$23,""))</f>
        <v/>
      </c>
      <c r="M96" s="154"/>
      <c r="N96" s="155">
        <f>SUM('Pay App 1:Pay App 43'!L96)+SUM('Pay App 1:Pay App 43'!M96)</f>
        <v>0</v>
      </c>
    </row>
    <row r="97" spans="1:15" ht="11.25" customHeight="1" x14ac:dyDescent="0.25">
      <c r="A97" s="152">
        <v>41</v>
      </c>
      <c r="B97" s="175" t="str">
        <f>'Pay App 1'!B97</f>
        <v>08 40 00</v>
      </c>
      <c r="C97" s="180" t="str">
        <f>'Pay App 1'!C97</f>
        <v>Curtain Wall, Glass &amp; Glazing</v>
      </c>
      <c r="D97" s="155">
        <f>'Pay App 1'!D97</f>
        <v>0</v>
      </c>
      <c r="E97" s="155">
        <f>VLOOKUP(B97,'Graph Data'!$O$2:$BX$88,45,FALSE)</f>
        <v>0</v>
      </c>
      <c r="F97" s="155">
        <f>IFERROR(E97+'Pay App 42'!F97,"")</f>
        <v>0</v>
      </c>
      <c r="G97" s="155">
        <f>SUM('Pay App 1:Pay App 42'!H97)</f>
        <v>0</v>
      </c>
      <c r="H97" s="154"/>
      <c r="I97" s="155">
        <f t="shared" si="0"/>
        <v>0</v>
      </c>
      <c r="J97" s="156">
        <f t="shared" si="1"/>
        <v>0</v>
      </c>
      <c r="K97" s="155">
        <f t="shared" si="2"/>
        <v>0</v>
      </c>
      <c r="L97" s="155" t="str">
        <f>IF(AND('Summary Sheet'!$E$23="No",$H$33&gt;0,H97&gt;=1),"",IF(AND('Summary Sheet'!$E$23="Yes",H97&lt;&gt;""),H97*'Summary Sheet'!$G$23,""))</f>
        <v/>
      </c>
      <c r="M97" s="154"/>
      <c r="N97" s="155">
        <f>SUM('Pay App 1:Pay App 43'!L97)+SUM('Pay App 1:Pay App 43'!M97)</f>
        <v>0</v>
      </c>
    </row>
    <row r="98" spans="1:15" ht="10.9" customHeight="1" x14ac:dyDescent="0.25">
      <c r="A98" s="152">
        <v>42</v>
      </c>
      <c r="B98" s="175" t="str">
        <f>'Pay App 1'!B98</f>
        <v>08 60 00</v>
      </c>
      <c r="C98" s="180" t="str">
        <f>'Pay App 1'!C98</f>
        <v>Skylights</v>
      </c>
      <c r="D98" s="155">
        <f>'Pay App 1'!D98</f>
        <v>0</v>
      </c>
      <c r="E98" s="155">
        <f>VLOOKUP(B98,'Graph Data'!$O$2:$BX$88,45,FALSE)</f>
        <v>0</v>
      </c>
      <c r="F98" s="155">
        <f>IFERROR(E98+'Pay App 42'!F98,"")</f>
        <v>0</v>
      </c>
      <c r="G98" s="155">
        <f>SUM('Pay App 1:Pay App 42'!H98)</f>
        <v>0</v>
      </c>
      <c r="H98" s="154"/>
      <c r="I98" s="155">
        <f t="shared" si="0"/>
        <v>0</v>
      </c>
      <c r="J98" s="156">
        <f t="shared" si="1"/>
        <v>0</v>
      </c>
      <c r="K98" s="155">
        <f t="shared" si="2"/>
        <v>0</v>
      </c>
      <c r="L98" s="155" t="str">
        <f>IF(AND('Summary Sheet'!$E$23="No",$H$33&gt;0,H98&gt;=1),"",IF(AND('Summary Sheet'!$E$23="Yes",H98&lt;&gt;""),H98*'Summary Sheet'!$G$23,""))</f>
        <v/>
      </c>
      <c r="M98" s="154"/>
      <c r="N98" s="155">
        <f>SUM('Pay App 1:Pay App 43'!L98)+SUM('Pay App 1:Pay App 43'!M98)</f>
        <v>0</v>
      </c>
    </row>
    <row r="99" spans="1:15" ht="10.9" customHeight="1" x14ac:dyDescent="0.25">
      <c r="A99" s="152">
        <v>43</v>
      </c>
      <c r="B99" s="175" t="str">
        <f>'Pay App 1'!B99</f>
        <v>08 90 00</v>
      </c>
      <c r="C99" s="180" t="str">
        <f>'Pay App 1'!C99</f>
        <v>Louvers &amp; Vents</v>
      </c>
      <c r="D99" s="155">
        <f>'Pay App 1'!D99</f>
        <v>0</v>
      </c>
      <c r="E99" s="155">
        <f>VLOOKUP(B99,'Graph Data'!$O$2:$BX$88,45,FALSE)</f>
        <v>0</v>
      </c>
      <c r="F99" s="155">
        <f>IFERROR(E99+'Pay App 42'!F99,"")</f>
        <v>0</v>
      </c>
      <c r="G99" s="155">
        <f>SUM('Pay App 1:Pay App 42'!H99)</f>
        <v>0</v>
      </c>
      <c r="H99" s="154"/>
      <c r="I99" s="155">
        <f t="shared" si="0"/>
        <v>0</v>
      </c>
      <c r="J99" s="156">
        <f t="shared" si="1"/>
        <v>0</v>
      </c>
      <c r="K99" s="155">
        <f t="shared" si="2"/>
        <v>0</v>
      </c>
      <c r="L99" s="155" t="str">
        <f>IF(AND('Summary Sheet'!$E$23="No",$H$33&gt;0,H99&gt;=1),"",IF(AND('Summary Sheet'!$E$23="Yes",H99&lt;&gt;""),H99*'Summary Sheet'!$G$23,""))</f>
        <v/>
      </c>
      <c r="M99" s="154"/>
      <c r="N99" s="155">
        <f>SUM('Pay App 1:Pay App 43'!L99)+SUM('Pay App 1:Pay App 43'!M99)</f>
        <v>0</v>
      </c>
    </row>
    <row r="100" spans="1:15" ht="11.25" customHeight="1" x14ac:dyDescent="0.25">
      <c r="A100" s="153">
        <v>44</v>
      </c>
      <c r="B100" s="176" t="str">
        <f>'Pay App 1'!B100</f>
        <v>09 20 00</v>
      </c>
      <c r="C100" s="181" t="str">
        <f>'Pay App 1'!C100</f>
        <v>Gypsum Board Systems</v>
      </c>
      <c r="D100" s="155">
        <f>'Pay App 1'!D100</f>
        <v>0</v>
      </c>
      <c r="E100" s="155">
        <f>VLOOKUP(B100,'Graph Data'!$O$2:$BX$88,45,FALSE)</f>
        <v>0</v>
      </c>
      <c r="F100" s="155">
        <f>IFERROR(E100+'Pay App 42'!F100,"")</f>
        <v>0</v>
      </c>
      <c r="G100" s="155">
        <f>SUM('Pay App 1:Pay App 42'!H100)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43'!L100)+SUM('Pay App 1:Pay App 43'!M100)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43.2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Data'!$O$2:$BX$88,45,FALSE)</f>
        <v>0</v>
      </c>
      <c r="F106" s="155">
        <f>IFERROR(E106+'Pay App 42'!F106,"")</f>
        <v>0</v>
      </c>
      <c r="G106" s="155">
        <f>SUM('Pay App 1:Pay App 42'!H106)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43'!L106)+SUM('Pay App 1:Pay App 43'!M106)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Data'!$O$2:$BX$88,45,FALSE)</f>
        <v>0</v>
      </c>
      <c r="F107" s="155">
        <f>IFERROR(E107+'Pay App 42'!F107,"")</f>
        <v>0</v>
      </c>
      <c r="G107" s="155">
        <f>SUM('Pay App 1:Pay App 42'!H107)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43'!L107)+SUM('Pay App 1:Pay App 43'!M107)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Data'!$O$2:$BX$88,45,FALSE)</f>
        <v>0</v>
      </c>
      <c r="F108" s="155">
        <f>IFERROR(E108+'Pay App 42'!F108,"")</f>
        <v>0</v>
      </c>
      <c r="G108" s="155">
        <f>SUM('Pay App 1:Pay App 42'!H108)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43'!L108)+SUM('Pay App 1:Pay App 43'!M108)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Data'!$O$2:$BX$88,45,FALSE)</f>
        <v>0</v>
      </c>
      <c r="F109" s="155">
        <f>IFERROR(E109+'Pay App 42'!F109,"")</f>
        <v>0</v>
      </c>
      <c r="G109" s="155">
        <f>SUM('Pay App 1:Pay App 42'!H109)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43'!L109)+SUM('Pay App 1:Pay App 43'!M109)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Data'!$O$2:$BX$88,45,FALSE)</f>
        <v>0</v>
      </c>
      <c r="F110" s="155">
        <f>IFERROR(E110+'Pay App 42'!F110,"")</f>
        <v>0</v>
      </c>
      <c r="G110" s="155">
        <f>SUM('Pay App 1:Pay App 42'!H110)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43'!L110)+SUM('Pay App 1:Pay App 43'!M110)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Data'!$O$2:$BX$88,45,FALSE)</f>
        <v>0</v>
      </c>
      <c r="F111" s="155">
        <f>IFERROR(E111+'Pay App 42'!F111,"")</f>
        <v>0</v>
      </c>
      <c r="G111" s="155">
        <f>SUM('Pay App 1:Pay App 42'!H111)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43'!L111)+SUM('Pay App 1:Pay App 43'!M111)</f>
        <v>0</v>
      </c>
    </row>
    <row r="112" spans="1:15" ht="11.25" customHeight="1" x14ac:dyDescent="0.25">
      <c r="A112" s="152">
        <f t="shared" si="3"/>
        <v>51</v>
      </c>
      <c r="B112" s="148" t="str">
        <f>'Pay App 1'!B112</f>
        <v>09 90 00</v>
      </c>
      <c r="C112" s="143" t="str">
        <f>'Pay App 1'!C112</f>
        <v>Painting</v>
      </c>
      <c r="D112" s="155">
        <f>'Pay App 1'!D112</f>
        <v>0</v>
      </c>
      <c r="E112" s="155">
        <f>VLOOKUP(B112,'Graph Data'!$O$2:$BX$88,45,FALSE)</f>
        <v>0</v>
      </c>
      <c r="F112" s="155">
        <f>IFERROR(E112+'Pay App 42'!F112,"")</f>
        <v>0</v>
      </c>
      <c r="G112" s="155">
        <f>SUM('Pay App 1:Pay App 42'!H112)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43'!L112)+SUM('Pay App 1:Pay App 43'!M112)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Data'!$O$2:$BX$88,45,FALSE)</f>
        <v>0</v>
      </c>
      <c r="F113" s="155">
        <f>IFERROR(E113+'Pay App 42'!F113,"")</f>
        <v>0</v>
      </c>
      <c r="G113" s="155">
        <f>SUM('Pay App 1:Pay App 42'!H113)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43'!L113)+SUM('Pay App 1:Pay App 43'!M113)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Data'!$O$2:$BX$88,45,FALSE)</f>
        <v>0</v>
      </c>
      <c r="F114" s="155">
        <f>IFERROR(E114+'Pay App 42'!F114,"")</f>
        <v>0</v>
      </c>
      <c r="G114" s="155">
        <f>SUM('Pay App 1:Pay App 42'!H114)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43'!L114)+SUM('Pay App 1:Pay App 43'!M114)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Data'!$O$2:$BX$88,45,FALSE)</f>
        <v>0</v>
      </c>
      <c r="F115" s="155">
        <f>IFERROR(E115+'Pay App 42'!F115,"")</f>
        <v>0</v>
      </c>
      <c r="G115" s="155">
        <f>SUM('Pay App 1:Pay App 42'!H115)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43'!L115)+SUM('Pay App 1:Pay App 43'!M115)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Data'!$O$2:$BX$88,45,FALSE)</f>
        <v>0</v>
      </c>
      <c r="F116" s="155">
        <f>IFERROR(E116+'Pay App 42'!F116,"")</f>
        <v>0</v>
      </c>
      <c r="G116" s="155">
        <f>SUM('Pay App 1:Pay App 42'!H116)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43'!L116)+SUM('Pay App 1:Pay App 43'!M116)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Data'!$O$2:$BX$88,45,FALSE)</f>
        <v>0</v>
      </c>
      <c r="F117" s="155">
        <f>IFERROR(E117+'Pay App 42'!F117,"")</f>
        <v>0</v>
      </c>
      <c r="G117" s="155">
        <f>SUM('Pay App 1:Pay App 42'!H117)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43'!L117)+SUM('Pay App 1:Pay App 43'!M117)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Data'!$O$2:$BX$88,45,FALSE)</f>
        <v>0</v>
      </c>
      <c r="F118" s="155">
        <f>IFERROR(E118+'Pay App 42'!F118,"")</f>
        <v>0</v>
      </c>
      <c r="G118" s="155">
        <f>SUM('Pay App 1:Pay App 42'!H118)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43'!L118)+SUM('Pay App 1:Pay App 43'!M118)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Data'!$O$2:$BX$88,45,FALSE)</f>
        <v>0</v>
      </c>
      <c r="F119" s="155">
        <f>IFERROR(E119+'Pay App 42'!F119,"")</f>
        <v>0</v>
      </c>
      <c r="G119" s="155">
        <f>SUM('Pay App 1:Pay App 42'!H119)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43'!L119)+SUM('Pay App 1:Pay App 43'!M119)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Data'!$O$2:$BX$88,45,FALSE)</f>
        <v>0</v>
      </c>
      <c r="F120" s="155">
        <f>IFERROR(E120+'Pay App 42'!F120,"")</f>
        <v>0</v>
      </c>
      <c r="G120" s="155">
        <f>SUM('Pay App 1:Pay App 42'!H120)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43'!L120)+SUM('Pay App 1:Pay App 43'!M120)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Data'!$O$2:$BX$88,45,FALSE)</f>
        <v>0</v>
      </c>
      <c r="F121" s="155">
        <f>IFERROR(E121+'Pay App 42'!F121,"")</f>
        <v>0</v>
      </c>
      <c r="G121" s="155">
        <f>SUM('Pay App 1:Pay App 42'!H121)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43'!L121)+SUM('Pay App 1:Pay App 43'!M121)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Data'!$O$2:$BX$88,45,FALSE)</f>
        <v>0</v>
      </c>
      <c r="F122" s="155">
        <f>IFERROR(E122+'Pay App 42'!F122,"")</f>
        <v>0</v>
      </c>
      <c r="G122" s="155">
        <f>SUM('Pay App 1:Pay App 42'!H122)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43'!L122)+SUM('Pay App 1:Pay App 43'!M122)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Data'!$O$2:$BX$88,45,FALSE)</f>
        <v>0</v>
      </c>
      <c r="F123" s="155">
        <f>IFERROR(E123+'Pay App 42'!F123,"")</f>
        <v>0</v>
      </c>
      <c r="G123" s="155">
        <f>SUM('Pay App 1:Pay App 42'!H123)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43'!L123)+SUM('Pay App 1:Pay App 43'!M123)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Data'!$O$2:$BX$88,45,FALSE)</f>
        <v>0</v>
      </c>
      <c r="F124" s="155">
        <f>IFERROR(E124+'Pay App 42'!F124,"")</f>
        <v>0</v>
      </c>
      <c r="G124" s="155">
        <f>SUM('Pay App 1:Pay App 42'!H124)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43'!L124)+SUM('Pay App 1:Pay App 43'!M124)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Data'!$O$2:$BX$88,45,FALSE)</f>
        <v>0</v>
      </c>
      <c r="F125" s="155">
        <f>IFERROR(E125+'Pay App 42'!F125,"")</f>
        <v>0</v>
      </c>
      <c r="G125" s="155">
        <f>SUM('Pay App 1:Pay App 42'!H125)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43'!L125)+SUM('Pay App 1:Pay App 43'!M125)</f>
        <v>0</v>
      </c>
    </row>
    <row r="126" spans="1:14" ht="11.25" customHeight="1" x14ac:dyDescent="0.25">
      <c r="A126" s="152">
        <f t="shared" si="3"/>
        <v>65</v>
      </c>
      <c r="B126" s="188" t="str">
        <f>'Pay App 1'!B126</f>
        <v>14 20 00</v>
      </c>
      <c r="C126" s="194" t="str">
        <f>'Pay App 1'!C126</f>
        <v>Elevator</v>
      </c>
      <c r="D126" s="155">
        <f>'Pay App 1'!D126</f>
        <v>0</v>
      </c>
      <c r="E126" s="155">
        <f>VLOOKUP(B126,'Graph Data'!$O$2:$BX$88,45,FALSE)</f>
        <v>0</v>
      </c>
      <c r="F126" s="155">
        <f>IFERROR(E126+'Pay App 42'!F126,"")</f>
        <v>0</v>
      </c>
      <c r="G126" s="155">
        <f>SUM('Pay App 1:Pay App 42'!H126)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43'!L126)+SUM('Pay App 1:Pay App 43'!M126)</f>
        <v>0</v>
      </c>
    </row>
    <row r="127" spans="1:14" ht="11.25" customHeight="1" x14ac:dyDescent="0.25">
      <c r="A127" s="152">
        <f t="shared" si="3"/>
        <v>66</v>
      </c>
      <c r="B127" s="188" t="str">
        <f>'Pay App 1'!B127</f>
        <v>14 40 00</v>
      </c>
      <c r="C127" s="194" t="str">
        <f>'Pay App 1'!C127</f>
        <v>Lifts</v>
      </c>
      <c r="D127" s="155">
        <f>'Pay App 1'!D127</f>
        <v>0</v>
      </c>
      <c r="E127" s="155">
        <f>VLOOKUP(B127,'Graph Data'!$O$2:$BX$88,45,FALSE)</f>
        <v>0</v>
      </c>
      <c r="F127" s="155">
        <f>IFERROR(E127+'Pay App 42'!F127,"")</f>
        <v>0</v>
      </c>
      <c r="G127" s="155">
        <f>SUM('Pay App 1:Pay App 42'!H127)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43'!L127)+SUM('Pay App 1:Pay App 43'!M127)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Data'!$O$2:$BX$88,45,FALSE)</f>
        <v>0</v>
      </c>
      <c r="F128" s="155">
        <f>IFERROR(E128+'Pay App 42'!F128,"")</f>
        <v>0</v>
      </c>
      <c r="G128" s="155">
        <f>SUM('Pay App 1:Pay App 42'!H128)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43'!L128)+SUM('Pay App 1:Pay App 43'!M128)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Data'!$O$2:$BX$88,45,FALSE)</f>
        <v>0</v>
      </c>
      <c r="F129" s="155">
        <f>IFERROR(E129+'Pay App 42'!F129,"")</f>
        <v>0</v>
      </c>
      <c r="G129" s="155">
        <f>SUM('Pay App 1:Pay App 42'!H129)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43'!L129)+SUM('Pay App 1:Pay App 43'!M129)</f>
        <v>0</v>
      </c>
    </row>
    <row r="130" spans="1:14" ht="11.25" customHeight="1" x14ac:dyDescent="0.25">
      <c r="A130" s="152">
        <f t="shared" si="3"/>
        <v>69</v>
      </c>
      <c r="B130" s="185" t="str">
        <f>'Pay App 1'!B130</f>
        <v>22 00 00</v>
      </c>
      <c r="C130" s="191" t="str">
        <f>'Pay App 1'!C130</f>
        <v>Plumbing</v>
      </c>
      <c r="D130" s="155">
        <f>'Pay App 1'!D130</f>
        <v>0</v>
      </c>
      <c r="E130" s="155">
        <f>VLOOKUP(B130,'Graph Data'!$O$2:$BX$88,45,FALSE)</f>
        <v>0</v>
      </c>
      <c r="F130" s="155">
        <f>IFERROR(E130+'Pay App 42'!F130,"")</f>
        <v>0</v>
      </c>
      <c r="G130" s="155">
        <f>SUM('Pay App 1:Pay App 42'!H130)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43'!L130)+SUM('Pay App 1:Pay App 43'!M130)</f>
        <v>0</v>
      </c>
    </row>
    <row r="131" spans="1:14" ht="11.25" customHeight="1" x14ac:dyDescent="0.25">
      <c r="A131" s="152">
        <f t="shared" si="3"/>
        <v>70</v>
      </c>
      <c r="B131" s="186" t="str">
        <f>'Pay App 1'!B131</f>
        <v>23 00 00</v>
      </c>
      <c r="C131" s="192" t="str">
        <f>'Pay App 1'!C131</f>
        <v>HVAC</v>
      </c>
      <c r="D131" s="155">
        <f>'Pay App 1'!D131</f>
        <v>0</v>
      </c>
      <c r="E131" s="155">
        <f>VLOOKUP(B131,'Graph Data'!$O$2:$BX$88,45,FALSE)</f>
        <v>0</v>
      </c>
      <c r="F131" s="155">
        <f>IFERROR(E131+'Pay App 42'!F131,"")</f>
        <v>0</v>
      </c>
      <c r="G131" s="155">
        <f>SUM('Pay App 1:Pay App 42'!H131)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43'!L131)+SUM('Pay App 1:Pay App 43'!M131)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Data'!$O$2:$BX$88,45,FALSE)</f>
        <v>0</v>
      </c>
      <c r="F132" s="155">
        <f>IFERROR(E132+'Pay App 42'!F132,"")</f>
        <v>0</v>
      </c>
      <c r="G132" s="155">
        <f>SUM('Pay App 1:Pay App 42'!H132)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43'!L132)+SUM('Pay App 1:Pay App 43'!M132)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Data'!$O$2:$BX$88,45,FALSE)</f>
        <v>0</v>
      </c>
      <c r="F133" s="155">
        <f>IFERROR(E133+'Pay App 42'!F133,"")</f>
        <v>0</v>
      </c>
      <c r="G133" s="155">
        <f>SUM('Pay App 1:Pay App 42'!H133)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43'!L133)+SUM('Pay App 1:Pay App 43'!M133)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Data'!$O$2:$BX$88,45,FALSE)</f>
        <v>0</v>
      </c>
      <c r="F134" s="155">
        <f>IFERROR(E134+'Pay App 42'!F134,"")</f>
        <v>0</v>
      </c>
      <c r="G134" s="155">
        <f>SUM('Pay App 1:Pay App 42'!H134)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43'!L134)+SUM('Pay App 1:Pay App 43'!M134)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Data'!$O$2:$BX$88,45,FALSE)</f>
        <v>0</v>
      </c>
      <c r="F135" s="155">
        <f>IFERROR(E135+'Pay App 42'!F135,"")</f>
        <v>0</v>
      </c>
      <c r="G135" s="155">
        <f>SUM('Pay App 1:Pay App 42'!H135)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43'!L135)+SUM('Pay App 1:Pay App 43'!M135)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Data'!$O$2:$BX$88,45,FALSE)</f>
        <v>0</v>
      </c>
      <c r="F136" s="155">
        <f>IFERROR(E136+'Pay App 42'!F136,"")</f>
        <v>0</v>
      </c>
      <c r="G136" s="155">
        <f>SUM('Pay App 1:Pay App 42'!H136)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43'!L136)+SUM('Pay App 1:Pay App 43'!M136)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Data'!$O$2:$BX$88,45,FALSE)</f>
        <v>0</v>
      </c>
      <c r="F137" s="155">
        <f>IFERROR(E137+'Pay App 42'!F137,"")</f>
        <v>0</v>
      </c>
      <c r="G137" s="155">
        <f>SUM('Pay App 1:Pay App 42'!H137)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43'!L137)+SUM('Pay App 1:Pay App 43'!M137)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Data'!$O$2:$BX$88,45,FALSE)</f>
        <v>0</v>
      </c>
      <c r="F138" s="155">
        <f>IFERROR(E138+'Pay App 42'!F138,"")</f>
        <v>0</v>
      </c>
      <c r="G138" s="155">
        <f>SUM('Pay App 1:Pay App 42'!H138)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43'!L138)+SUM('Pay App 1:Pay App 43'!M138)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Data'!$O$2:$BX$88,45,FALSE)</f>
        <v>0</v>
      </c>
      <c r="F139" s="155">
        <f>IFERROR(E139+'Pay App 42'!F139,"")</f>
        <v>0</v>
      </c>
      <c r="G139" s="155">
        <f>SUM('Pay App 1:Pay App 42'!H139)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43'!L139)+SUM('Pay App 1:Pay App 43'!M139)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Data'!$O$2:$BX$88,45,FALSE)</f>
        <v>0</v>
      </c>
      <c r="F140" s="155">
        <f>IFERROR(E140+'Pay App 42'!F140,"")</f>
        <v>0</v>
      </c>
      <c r="G140" s="155">
        <f>SUM('Pay App 1:Pay App 42'!H140)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43'!L140)+SUM('Pay App 1:Pay App 43'!M140)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Data'!$O$2:$BX$88,45,FALSE)</f>
        <v>0</v>
      </c>
      <c r="F141" s="155">
        <f>IFERROR(E141+'Pay App 42'!F141,"")</f>
        <v>0</v>
      </c>
      <c r="G141" s="155">
        <f>SUM('Pay App 1:Pay App 42'!H141)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43'!L141)+SUM('Pay App 1:Pay App 43'!M141)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Data'!$O$2:$BX$88,45,FALSE)</f>
        <v>0</v>
      </c>
      <c r="F142" s="155">
        <f>IFERROR(E142+'Pay App 42'!F142,"")</f>
        <v>0</v>
      </c>
      <c r="G142" s="155">
        <f>SUM('Pay App 1:Pay App 42'!H142)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43'!L142)+SUM('Pay App 1:Pay App 43'!M142)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Data'!$O$2:$BX$88,45,FALSE)</f>
        <v>0</v>
      </c>
      <c r="F143" s="155">
        <f>IFERROR(E143+'Pay App 42'!F143,"")</f>
        <v>0</v>
      </c>
      <c r="G143" s="155">
        <f>SUM('Pay App 1:Pay App 42'!H143)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43'!L143)+SUM('Pay App 1:Pay App 43'!M143)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Data'!$O$2:$BX$88,45,FALSE)</f>
        <v>0</v>
      </c>
      <c r="F144" s="155">
        <f>IFERROR(E144+'Pay App 42'!F144,"")</f>
        <v>0</v>
      </c>
      <c r="G144" s="155">
        <f>SUM('Pay App 1:Pay App 42'!H144)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43'!L144)+SUM('Pay App 1:Pay App 43'!M144)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Data'!$O$2:$BX$88,45,FALSE)</f>
        <v>0</v>
      </c>
      <c r="F145" s="155">
        <f>IFERROR(E145+'Pay App 42'!F145,"")</f>
        <v>0</v>
      </c>
      <c r="G145" s="155">
        <f>SUM('Pay App 1:Pay App 42'!H145)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43'!L145)+SUM('Pay App 1:Pay App 43'!M145)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Data'!$O$2:$BX$88,45,FALSE)</f>
        <v>0</v>
      </c>
      <c r="F146" s="155">
        <f>IFERROR(E146+'Pay App 42'!F146,"")</f>
        <v>0</v>
      </c>
      <c r="G146" s="155">
        <f>SUM('Pay App 1:Pay App 42'!H146)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43'!L146)+SUM('Pay App 1:Pay App 43'!M146)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Data'!$O$2:$BX$88,45,FALSE)</f>
        <v>0</v>
      </c>
      <c r="F147" s="155">
        <f>IFERROR(E147+'Pay App 42'!F147,"")</f>
        <v>0</v>
      </c>
      <c r="G147" s="155">
        <f>SUM('Pay App 1:Pay App 42'!H147)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43'!L147)+SUM('Pay App 1:Pay App 43'!M147)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Data'!$O$2:$BX$88,45,FALSE)</f>
        <v>0</v>
      </c>
      <c r="F148" s="155">
        <f>IFERROR(E148+'Pay App 42'!F148,"")</f>
        <v>0</v>
      </c>
      <c r="G148" s="155">
        <f>SUM('Pay App 1:Pay App 42'!H148)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43'!L148)+SUM('Pay App 1:Pay App 43'!M148)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KauYAFEc04uPJ94izodhzGTbuq2adoMq/p8JJS31XKkUdb0nY0BEP9sJzydUBioPX2kUGpTSFKoydluqAhMN8g==" saltValue="QcJb++J9jdaoWqntFLUaq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97" priority="2" operator="equal">
      <formula>0</formula>
    </cfRule>
  </conditionalFormatting>
  <conditionalFormatting sqref="D106:G148">
    <cfRule type="cellIs" dxfId="196" priority="1" operator="equal">
      <formula>0</formula>
    </cfRule>
  </conditionalFormatting>
  <conditionalFormatting sqref="D10:H10 D12:H14 D19:H21">
    <cfRule type="cellIs" dxfId="195" priority="6" operator="equal">
      <formula>0</formula>
    </cfRule>
  </conditionalFormatting>
  <conditionalFormatting sqref="H51">
    <cfRule type="cellIs" dxfId="194" priority="9" operator="lessThan">
      <formula>0</formula>
    </cfRule>
  </conditionalFormatting>
  <conditionalFormatting sqref="I57:I100 K57:K100 I106:I148 K106:K148 N106:N148">
    <cfRule type="cellIs" dxfId="193" priority="14" operator="equal">
      <formula>0</formula>
    </cfRule>
  </conditionalFormatting>
  <conditionalFormatting sqref="J57:J100 J106:J149">
    <cfRule type="cellIs" dxfId="192" priority="11" operator="greaterThan">
      <formula>1</formula>
    </cfRule>
    <cfRule type="cellIs" dxfId="191" priority="12" operator="equal">
      <formula>0</formula>
    </cfRule>
  </conditionalFormatting>
  <conditionalFormatting sqref="K57:K100 K106:K148">
    <cfRule type="cellIs" dxfId="190" priority="10" operator="lessThan">
      <formula>0</formula>
    </cfRule>
  </conditionalFormatting>
  <conditionalFormatting sqref="M57:M100">
    <cfRule type="cellIs" dxfId="189" priority="13" operator="lessThan">
      <formula>0</formula>
    </cfRule>
  </conditionalFormatting>
  <conditionalFormatting sqref="M106:M148">
    <cfRule type="cellIs" dxfId="188" priority="8" operator="lessThan">
      <formula>0</formula>
    </cfRule>
  </conditionalFormatting>
  <conditionalFormatting sqref="N57:N100">
    <cfRule type="cellIs" dxfId="18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DA1C334E-57D4-4905-9640-6A421F8EF068}">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6243F07-D80A-4C70-94E9-BFDEE6C68C0B}">
          <x14:formula1>
            <xm:f>'Graph Data'!$M$74:$M$76</xm:f>
          </x14:formula1>
          <xm:sqref>G17</xm:sqref>
        </x14:dataValidation>
      </x14:dataValidation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F1F0D-D7D3-4C43-B0E5-492ED2D0CB1B}">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44.1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Data'!$O$2:$BX$88,46,FALSE)</f>
        <v>0</v>
      </c>
      <c r="F57" s="155">
        <f>IFERROR(E57+'Pay App 43'!F57,"")</f>
        <v>0</v>
      </c>
      <c r="G57" s="155">
        <f>SUM('Pay App 1:Pay App 43'!H57)</f>
        <v>0</v>
      </c>
      <c r="H57" s="154"/>
      <c r="I57" s="155">
        <f>G57+H57</f>
        <v>0</v>
      </c>
      <c r="J57" s="156">
        <f>IFERROR(I57/F57,0)</f>
        <v>0</v>
      </c>
      <c r="K57" s="155">
        <f>IFERROR(F57-I57,"")</f>
        <v>0</v>
      </c>
      <c r="L57" s="155" t="str">
        <f>IF(AND('Summary Sheet'!$E$23="No",$H$33&gt;0,H57&gt;=1),"",IF(AND('Summary Sheet'!$E$23="Yes",H57&lt;&gt;""),H57*'Summary Sheet'!$G$23,""))</f>
        <v/>
      </c>
      <c r="M57" s="154"/>
      <c r="N57" s="155">
        <f>SUM('Pay App 1:Pay App 44'!L57)+SUM('Pay App 1:Pay App 44'!M57)</f>
        <v>0</v>
      </c>
    </row>
    <row r="58" spans="1:16" ht="11.25" customHeight="1" x14ac:dyDescent="0.25">
      <c r="A58" s="152">
        <v>2</v>
      </c>
      <c r="B58" s="145" t="str">
        <f>'Pay App 1'!B58</f>
        <v>00 02 00</v>
      </c>
      <c r="C58" s="134" t="str">
        <f>'Pay App 1'!C58</f>
        <v>Preconstruction Services</v>
      </c>
      <c r="D58" s="155">
        <f>'Pay App 1'!D58</f>
        <v>0</v>
      </c>
      <c r="E58" s="155">
        <f>VLOOKUP(B58,'Graph Data'!$O$2:$BX$88,46,FALSE)</f>
        <v>0</v>
      </c>
      <c r="F58" s="155">
        <f>IFERROR(E58+'Pay App 43'!F58,"")</f>
        <v>0</v>
      </c>
      <c r="G58" s="155">
        <f>SUM('Pay App 1:Pay App 43'!H58)</f>
        <v>0</v>
      </c>
      <c r="H58" s="154"/>
      <c r="I58" s="155">
        <f>G58+H58</f>
        <v>0</v>
      </c>
      <c r="J58" s="156">
        <f>IFERROR(I58/F58,0)</f>
        <v>0</v>
      </c>
      <c r="K58" s="155">
        <f>IFERROR(F58-I58,"")</f>
        <v>0</v>
      </c>
      <c r="L58" s="155" t="str">
        <f>IF(AND('Summary Sheet'!$E$23="No",$H$33&gt;0,H58&gt;=1),"",IF(AND('Summary Sheet'!$E$23="Yes",H58&lt;&gt;""),H58*'Summary Sheet'!$G$23,""))</f>
        <v/>
      </c>
      <c r="M58" s="154"/>
      <c r="N58" s="155">
        <f>SUM('Pay App 1:Pay App 44'!L58)+SUM('Pay App 1:Pay App 44'!M58)</f>
        <v>0</v>
      </c>
    </row>
    <row r="59" spans="1:16" ht="11.25" customHeight="1" x14ac:dyDescent="0.25">
      <c r="A59" s="152">
        <v>3</v>
      </c>
      <c r="B59" s="174" t="str">
        <f>'Pay App 1'!B59</f>
        <v>01 00 00</v>
      </c>
      <c r="C59" s="179" t="str">
        <f>'Pay App 1'!C59</f>
        <v>General Conditions/Requirements</v>
      </c>
      <c r="D59" s="155">
        <f>'Pay App 1'!D59</f>
        <v>0</v>
      </c>
      <c r="E59" s="155">
        <f>VLOOKUP(B59,'Graph Data'!$O$2:$BX$88,46,FALSE)</f>
        <v>0</v>
      </c>
      <c r="F59" s="155">
        <f>IFERROR(E59+'Pay App 43'!F59,"")</f>
        <v>0</v>
      </c>
      <c r="G59" s="155">
        <f>SUM('Pay App 1:Pay App 43'!H59)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44'!L59)+SUM('Pay App 1:Pay App 44'!M59)</f>
        <v>0</v>
      </c>
    </row>
    <row r="60" spans="1:16" ht="11.25" customHeight="1" x14ac:dyDescent="0.25">
      <c r="A60" s="152">
        <v>4</v>
      </c>
      <c r="B60" s="174" t="str">
        <f>'Pay App 1'!B60</f>
        <v>01 13 41</v>
      </c>
      <c r="C60" s="179" t="str">
        <f>'Pay App 1'!C60</f>
        <v>Temp. Scaffolding and Platforms</v>
      </c>
      <c r="D60" s="155">
        <f>'Pay App 1'!D60</f>
        <v>0</v>
      </c>
      <c r="E60" s="155">
        <f>VLOOKUP(B60,'Graph Data'!$O$2:$BX$88,46,FALSE)</f>
        <v>0</v>
      </c>
      <c r="F60" s="155">
        <f>IFERROR(E60+'Pay App 43'!F60,"")</f>
        <v>0</v>
      </c>
      <c r="G60" s="155">
        <f>SUM('Pay App 1:Pay App 43'!H60)</f>
        <v>0</v>
      </c>
      <c r="H60" s="154"/>
      <c r="I60" s="155">
        <f t="shared" si="0"/>
        <v>0</v>
      </c>
      <c r="J60" s="156">
        <f t="shared" si="1"/>
        <v>0</v>
      </c>
      <c r="K60" s="155">
        <f t="shared" si="2"/>
        <v>0</v>
      </c>
      <c r="L60" s="155" t="str">
        <f>IF(AND('Summary Sheet'!$E$23="No",$H$33&gt;0,H60&gt;=1),"",IF(AND('Summary Sheet'!$E$23="Yes",H60&lt;&gt;""),H60*'Summary Sheet'!$G$23,""))</f>
        <v/>
      </c>
      <c r="M60" s="154"/>
      <c r="N60" s="155">
        <f>SUM('Pay App 1:Pay App 44'!L60)+SUM('Pay App 1:Pay App 44'!M60)</f>
        <v>0</v>
      </c>
    </row>
    <row r="61" spans="1:16" ht="11.25" customHeight="1" x14ac:dyDescent="0.25">
      <c r="A61" s="152">
        <v>5</v>
      </c>
      <c r="B61" s="174" t="str">
        <f>'Pay App 1'!B61</f>
        <v>01 13 60</v>
      </c>
      <c r="C61" s="179" t="str">
        <f>'Pay App 1'!C61</f>
        <v>SWPPP</v>
      </c>
      <c r="D61" s="155">
        <f>'Pay App 1'!D61</f>
        <v>0</v>
      </c>
      <c r="E61" s="155">
        <f>VLOOKUP(B61,'Graph Data'!$O$2:$BX$88,46,FALSE)</f>
        <v>0</v>
      </c>
      <c r="F61" s="155">
        <f>IFERROR(E61+'Pay App 43'!F61,"")</f>
        <v>0</v>
      </c>
      <c r="G61" s="155">
        <f>SUM('Pay App 1:Pay App 43'!H61)</f>
        <v>0</v>
      </c>
      <c r="H61" s="154"/>
      <c r="I61" s="155">
        <f t="shared" si="0"/>
        <v>0</v>
      </c>
      <c r="J61" s="156">
        <f t="shared" si="1"/>
        <v>0</v>
      </c>
      <c r="K61" s="155">
        <f t="shared" si="2"/>
        <v>0</v>
      </c>
      <c r="L61" s="155" t="str">
        <f>IF(AND('Summary Sheet'!$E$23="No",$H$33&gt;0,H61&gt;=1),"",IF(AND('Summary Sheet'!$E$23="Yes",H61&lt;&gt;""),H61*'Summary Sheet'!$G$23,""))</f>
        <v/>
      </c>
      <c r="M61" s="154"/>
      <c r="N61" s="155">
        <f>SUM('Pay App 1:Pay App 44'!L61)+SUM('Pay App 1:Pay App 44'!M61)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Data'!$O$2:$BX$88,46,FALSE)</f>
        <v>0</v>
      </c>
      <c r="F62" s="155">
        <f>IFERROR(E62+'Pay App 43'!F62,"")</f>
        <v>0</v>
      </c>
      <c r="G62" s="155">
        <f>SUM('Pay App 1:Pay App 43'!H62)</f>
        <v>0</v>
      </c>
      <c r="H62" s="154"/>
      <c r="I62" s="155">
        <f t="shared" si="0"/>
        <v>0</v>
      </c>
      <c r="J62" s="156">
        <f t="shared" si="1"/>
        <v>0</v>
      </c>
      <c r="K62" s="155">
        <f t="shared" si="2"/>
        <v>0</v>
      </c>
      <c r="L62" s="155" t="str">
        <f>IF(AND('Summary Sheet'!$E$23="No",$H$33&gt;0,H62&gt;=1),"",IF(AND('Summary Sheet'!$E$23="Yes",H62&lt;&gt;""),H62*'Summary Sheet'!$G$23,""))</f>
        <v/>
      </c>
      <c r="M62" s="154"/>
      <c r="N62" s="155">
        <f>SUM('Pay App 1:Pay App 44'!L62)+SUM('Pay App 1:Pay App 44'!M62)</f>
        <v>0</v>
      </c>
    </row>
    <row r="63" spans="1:16" ht="11.25" customHeight="1" x14ac:dyDescent="0.25">
      <c r="A63" s="152">
        <v>7</v>
      </c>
      <c r="B63" s="174" t="str">
        <f>'Pay App 1'!B63</f>
        <v>01 31 00</v>
      </c>
      <c r="C63" s="179" t="str">
        <f>'Pay App 1'!C63</f>
        <v>Contractor's Supervision</v>
      </c>
      <c r="D63" s="155">
        <f>'Pay App 1'!D63</f>
        <v>0</v>
      </c>
      <c r="E63" s="155">
        <f>VLOOKUP(B63,'Graph Data'!$O$2:$BX$88,46,FALSE)</f>
        <v>0</v>
      </c>
      <c r="F63" s="155">
        <f>IFERROR(E63+'Pay App 43'!F63,"")</f>
        <v>0</v>
      </c>
      <c r="G63" s="155">
        <f>SUM('Pay App 1:Pay App 43'!H63)</f>
        <v>0</v>
      </c>
      <c r="H63" s="154"/>
      <c r="I63" s="155">
        <f t="shared" si="0"/>
        <v>0</v>
      </c>
      <c r="J63" s="156">
        <f t="shared" si="1"/>
        <v>0</v>
      </c>
      <c r="K63" s="155">
        <f t="shared" si="2"/>
        <v>0</v>
      </c>
      <c r="L63" s="155" t="str">
        <f>IF(AND('Summary Sheet'!$E$23="No",$H$33&gt;0,H63&gt;=1),"",IF(AND('Summary Sheet'!$E$23="Yes",H63&lt;&gt;""),H63*'Summary Sheet'!$G$23,""))</f>
        <v/>
      </c>
      <c r="M63" s="154"/>
      <c r="N63" s="155">
        <f>SUM('Pay App 1:Pay App 44'!L63)+SUM('Pay App 1:Pay App 44'!M63)</f>
        <v>0</v>
      </c>
    </row>
    <row r="64" spans="1:16" ht="11.25" customHeight="1" x14ac:dyDescent="0.25">
      <c r="A64" s="152">
        <v>8</v>
      </c>
      <c r="B64" s="174" t="str">
        <f>'Pay App 1'!B64</f>
        <v>01 32 00</v>
      </c>
      <c r="C64" s="179" t="str">
        <f>'Pay App 1'!C64</f>
        <v>General Liability Insurance</v>
      </c>
      <c r="D64" s="155">
        <f>'Pay App 1'!D64</f>
        <v>0</v>
      </c>
      <c r="E64" s="155">
        <f>VLOOKUP(B64,'Graph Data'!$O$2:$BX$88,46,FALSE)</f>
        <v>0</v>
      </c>
      <c r="F64" s="155">
        <f>IFERROR(E64+'Pay App 43'!F64,"")</f>
        <v>0</v>
      </c>
      <c r="G64" s="155">
        <f>SUM('Pay App 1:Pay App 43'!H64)</f>
        <v>0</v>
      </c>
      <c r="H64" s="154"/>
      <c r="I64" s="155">
        <f t="shared" si="0"/>
        <v>0</v>
      </c>
      <c r="J64" s="156">
        <f t="shared" si="1"/>
        <v>0</v>
      </c>
      <c r="K64" s="155">
        <f t="shared" si="2"/>
        <v>0</v>
      </c>
      <c r="L64" s="155" t="str">
        <f>IF(AND('Summary Sheet'!$E$23="No",$H$33&gt;0,H64&gt;=1),"",IF(AND('Summary Sheet'!$E$23="Yes",H64&lt;&gt;""),H64*'Summary Sheet'!$G$23,""))</f>
        <v/>
      </c>
      <c r="M64" s="154"/>
      <c r="N64" s="155">
        <f>SUM('Pay App 1:Pay App 44'!L64)+SUM('Pay App 1:Pay App 44'!M64)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Data'!$O$2:$BX$88,46,FALSE)</f>
        <v>0</v>
      </c>
      <c r="F65" s="155">
        <f>IFERROR(E65+'Pay App 43'!F65,"")</f>
        <v>0</v>
      </c>
      <c r="G65" s="155">
        <f>SUM('Pay App 1:Pay App 43'!H65)</f>
        <v>0</v>
      </c>
      <c r="H65" s="154"/>
      <c r="I65" s="155">
        <f t="shared" si="0"/>
        <v>0</v>
      </c>
      <c r="J65" s="156">
        <f t="shared" si="1"/>
        <v>0</v>
      </c>
      <c r="K65" s="155">
        <f t="shared" si="2"/>
        <v>0</v>
      </c>
      <c r="L65" s="155" t="str">
        <f>IF(AND('Summary Sheet'!$E$23="No",$H$33&gt;0,H65&gt;=1),"",IF(AND('Summary Sheet'!$E$23="Yes",H65&lt;&gt;""),H65*'Summary Sheet'!$G$23,""))</f>
        <v/>
      </c>
      <c r="M65" s="154"/>
      <c r="N65" s="155">
        <f>SUM('Pay App 1:Pay App 44'!L65)+SUM('Pay App 1:Pay App 44'!M65)</f>
        <v>0</v>
      </c>
    </row>
    <row r="66" spans="1:17" ht="11.25" customHeight="1" x14ac:dyDescent="0.25">
      <c r="A66" s="152">
        <v>10</v>
      </c>
      <c r="B66" s="174" t="str">
        <f>'Pay App 1'!B66</f>
        <v>01 34 00</v>
      </c>
      <c r="C66" s="179" t="str">
        <f>'Pay App 1'!C66</f>
        <v>Subcontractor Default Insurance</v>
      </c>
      <c r="D66" s="155">
        <f>'Pay App 1'!D66</f>
        <v>0</v>
      </c>
      <c r="E66" s="155">
        <f>VLOOKUP(B66,'Graph Data'!$O$2:$BX$88,46,FALSE)</f>
        <v>0</v>
      </c>
      <c r="F66" s="155">
        <f>IFERROR(E66+'Pay App 43'!F66,"")</f>
        <v>0</v>
      </c>
      <c r="G66" s="155">
        <f>SUM('Pay App 1:Pay App 43'!H66)</f>
        <v>0</v>
      </c>
      <c r="H66" s="154"/>
      <c r="I66" s="155">
        <f t="shared" si="0"/>
        <v>0</v>
      </c>
      <c r="J66" s="156">
        <f t="shared" si="1"/>
        <v>0</v>
      </c>
      <c r="K66" s="155">
        <f t="shared" si="2"/>
        <v>0</v>
      </c>
      <c r="L66" s="155" t="str">
        <f>IF(AND('Summary Sheet'!$E$23="No",$H$33&gt;0,H66&gt;=1),"",IF(AND('Summary Sheet'!$E$23="Yes",H66&lt;&gt;""),H66*'Summary Sheet'!$G$23,""))</f>
        <v/>
      </c>
      <c r="M66" s="154"/>
      <c r="N66" s="155">
        <f>SUM('Pay App 1:Pay App 44'!L66)+SUM('Pay App 1:Pay App 44'!M66)</f>
        <v>0</v>
      </c>
    </row>
    <row r="67" spans="1:17" ht="11.25" customHeight="1" x14ac:dyDescent="0.25">
      <c r="A67" s="152">
        <v>11</v>
      </c>
      <c r="B67" s="174" t="str">
        <f>'Pay App 1'!B67</f>
        <v>01 35 00</v>
      </c>
      <c r="C67" s="179" t="str">
        <f>'Pay App 1'!C67</f>
        <v>Construction Management Fee</v>
      </c>
      <c r="D67" s="155">
        <f>'Pay App 1'!D67</f>
        <v>0</v>
      </c>
      <c r="E67" s="155">
        <f>VLOOKUP(B67,'Graph Data'!$O$2:$BX$88,46,FALSE)</f>
        <v>0</v>
      </c>
      <c r="F67" s="155">
        <f>IFERROR(E67+'Pay App 43'!F67,"")</f>
        <v>0</v>
      </c>
      <c r="G67" s="155">
        <f>SUM('Pay App 1:Pay App 43'!H67)</f>
        <v>0</v>
      </c>
      <c r="H67" s="154"/>
      <c r="I67" s="155">
        <f t="shared" si="0"/>
        <v>0</v>
      </c>
      <c r="J67" s="156">
        <f t="shared" si="1"/>
        <v>0</v>
      </c>
      <c r="K67" s="155">
        <f t="shared" si="2"/>
        <v>0</v>
      </c>
      <c r="L67" s="155" t="str">
        <f>IF(AND('Summary Sheet'!$E$23="No",$H$33&gt;0,H67&gt;=1),"",IF(AND('Summary Sheet'!$E$23="Yes",H67&lt;&gt;""),H67*'Summary Sheet'!$G$23,""))</f>
        <v/>
      </c>
      <c r="M67" s="154"/>
      <c r="N67" s="155">
        <f>SUM('Pay App 1:Pay App 44'!L67)+SUM('Pay App 1:Pay App 44'!M67)</f>
        <v>0</v>
      </c>
    </row>
    <row r="68" spans="1:17" ht="11.25" customHeight="1" x14ac:dyDescent="0.25">
      <c r="A68" s="152">
        <v>12</v>
      </c>
      <c r="B68" s="174" t="str">
        <f>'Pay App 1'!B68</f>
        <v>01 36 00</v>
      </c>
      <c r="C68" s="179" t="str">
        <f>'Pay App 1'!C68</f>
        <v>Contingency</v>
      </c>
      <c r="D68" s="155">
        <f>'Pay App 1'!D68</f>
        <v>0</v>
      </c>
      <c r="E68" s="155">
        <f>VLOOKUP(B68,'Graph Data'!$O$2:$BX$88,46,FALSE)</f>
        <v>0</v>
      </c>
      <c r="F68" s="155">
        <f>IFERROR(E68+'Pay App 43'!F68,"")</f>
        <v>0</v>
      </c>
      <c r="G68" s="155">
        <f>SUM('Pay App 1:Pay App 43'!H68)</f>
        <v>0</v>
      </c>
      <c r="H68" s="154"/>
      <c r="I68" s="155">
        <f t="shared" si="0"/>
        <v>0</v>
      </c>
      <c r="J68" s="156">
        <f t="shared" si="1"/>
        <v>0</v>
      </c>
      <c r="K68" s="155">
        <f t="shared" si="2"/>
        <v>0</v>
      </c>
      <c r="L68" s="155" t="str">
        <f>IF(AND('Summary Sheet'!$E$23="No",$H$33&gt;0,H68&gt;=1),"",IF(AND('Summary Sheet'!$E$23="Yes",H68&lt;&gt;""),H68*'Summary Sheet'!$G$23,""))</f>
        <v/>
      </c>
      <c r="M68" s="154"/>
      <c r="N68" s="155">
        <f>SUM('Pay App 1:Pay App 44'!L68)+SUM('Pay App 1:Pay App 44'!M68)</f>
        <v>0</v>
      </c>
    </row>
    <row r="69" spans="1:17" ht="11.25" customHeight="1" x14ac:dyDescent="0.25">
      <c r="A69" s="152">
        <v>13</v>
      </c>
      <c r="B69" s="174" t="str">
        <f>'Pay App 1'!B69</f>
        <v>01 37 00</v>
      </c>
      <c r="C69" s="179" t="str">
        <f>'Pay App 1'!C69</f>
        <v>Weather Allowance (All Trades)</v>
      </c>
      <c r="D69" s="155">
        <f>'Pay App 1'!D69</f>
        <v>0</v>
      </c>
      <c r="E69" s="155">
        <f>VLOOKUP(B69,'Graph Data'!$O$2:$BX$88,46,FALSE)</f>
        <v>0</v>
      </c>
      <c r="F69" s="155">
        <f>IFERROR(E69+'Pay App 43'!F69,"")</f>
        <v>0</v>
      </c>
      <c r="G69" s="155">
        <f>SUM('Pay App 1:Pay App 43'!H69)</f>
        <v>0</v>
      </c>
      <c r="H69" s="154"/>
      <c r="I69" s="155">
        <f t="shared" si="0"/>
        <v>0</v>
      </c>
      <c r="J69" s="156">
        <f t="shared" si="1"/>
        <v>0</v>
      </c>
      <c r="K69" s="155">
        <f t="shared" si="2"/>
        <v>0</v>
      </c>
      <c r="L69" s="155" t="str">
        <f>IF(AND('Summary Sheet'!$E$23="No",$H$33&gt;0,H69&gt;=1),"",IF(AND('Summary Sheet'!$E$23="Yes",H69&lt;&gt;""),H69*'Summary Sheet'!$G$23,""))</f>
        <v/>
      </c>
      <c r="M69" s="154"/>
      <c r="N69" s="155">
        <f>SUM('Pay App 1:Pay App 44'!L69)+SUM('Pay App 1:Pay App 44'!M69)</f>
        <v>0</v>
      </c>
    </row>
    <row r="70" spans="1:17" ht="11.25" customHeight="1" x14ac:dyDescent="0.25">
      <c r="A70" s="152">
        <v>14</v>
      </c>
      <c r="B70" s="174" t="str">
        <f>'Pay App 1'!B70</f>
        <v>01 74 23</v>
      </c>
      <c r="C70" s="179" t="str">
        <f>'Pay App 1'!C70</f>
        <v>Cleaning (Final)</v>
      </c>
      <c r="D70" s="155">
        <f>'Pay App 1'!D70</f>
        <v>0</v>
      </c>
      <c r="E70" s="155">
        <f>VLOOKUP(B70,'Graph Data'!$O$2:$BX$88,46,FALSE)</f>
        <v>0</v>
      </c>
      <c r="F70" s="155">
        <f>IFERROR(E70+'Pay App 43'!F70,"")</f>
        <v>0</v>
      </c>
      <c r="G70" s="155">
        <f>SUM('Pay App 1:Pay App 43'!H70)</f>
        <v>0</v>
      </c>
      <c r="H70" s="154"/>
      <c r="I70" s="155">
        <f t="shared" si="0"/>
        <v>0</v>
      </c>
      <c r="J70" s="156">
        <f t="shared" si="1"/>
        <v>0</v>
      </c>
      <c r="K70" s="155">
        <f t="shared" si="2"/>
        <v>0</v>
      </c>
      <c r="L70" s="155" t="str">
        <f>IF(AND('Summary Sheet'!$E$23="No",$H$33&gt;0,H70&gt;=1),"",IF(AND('Summary Sheet'!$E$23="Yes",H70&lt;&gt;""),H70*'Summary Sheet'!$G$23,""))</f>
        <v/>
      </c>
      <c r="M70" s="154"/>
      <c r="N70" s="155">
        <f>SUM('Pay App 1:Pay App 44'!L70)+SUM('Pay App 1:Pay App 44'!M70)</f>
        <v>0</v>
      </c>
    </row>
    <row r="71" spans="1:17" ht="11.25" customHeight="1" x14ac:dyDescent="0.25">
      <c r="A71" s="152">
        <v>15</v>
      </c>
      <c r="B71" s="175" t="str">
        <f>'Pay App 1'!B71</f>
        <v>02 21 00</v>
      </c>
      <c r="C71" s="180" t="str">
        <f>'Pay App 1'!C71</f>
        <v>Survey/Engineering</v>
      </c>
      <c r="D71" s="155">
        <f>'Pay App 1'!D71</f>
        <v>0</v>
      </c>
      <c r="E71" s="155">
        <f>VLOOKUP(B71,'Graph Data'!$O$2:$BX$88,46,FALSE)</f>
        <v>0</v>
      </c>
      <c r="F71" s="155">
        <f>IFERROR(E71+'Pay App 43'!F71,"")</f>
        <v>0</v>
      </c>
      <c r="G71" s="155">
        <f>SUM('Pay App 1:Pay App 43'!H71)</f>
        <v>0</v>
      </c>
      <c r="H71" s="154"/>
      <c r="I71" s="155">
        <f t="shared" si="0"/>
        <v>0</v>
      </c>
      <c r="J71" s="156">
        <f t="shared" si="1"/>
        <v>0</v>
      </c>
      <c r="K71" s="155">
        <f t="shared" si="2"/>
        <v>0</v>
      </c>
      <c r="L71" s="155" t="str">
        <f>IF(AND('Summary Sheet'!$E$23="No",$H$33&gt;0,H71&gt;=1),"",IF(AND('Summary Sheet'!$E$23="Yes",H71&lt;&gt;""),H71*'Summary Sheet'!$G$23,""))</f>
        <v/>
      </c>
      <c r="M71" s="154"/>
      <c r="N71" s="155">
        <f>SUM('Pay App 1:Pay App 44'!L71)+SUM('Pay App 1:Pay App 44'!M71)</f>
        <v>0</v>
      </c>
      <c r="Q71" s="28"/>
    </row>
    <row r="72" spans="1:17" ht="11.25" customHeight="1" x14ac:dyDescent="0.25">
      <c r="A72" s="152">
        <v>16</v>
      </c>
      <c r="B72" s="175" t="str">
        <f>'Pay App 1'!B72</f>
        <v>02 41 00</v>
      </c>
      <c r="C72" s="180" t="str">
        <f>'Pay App 1'!C72</f>
        <v>Demolition</v>
      </c>
      <c r="D72" s="155">
        <f>'Pay App 1'!D72</f>
        <v>0</v>
      </c>
      <c r="E72" s="155">
        <f>VLOOKUP(B72,'Graph Data'!$O$2:$BX$88,46,FALSE)</f>
        <v>0</v>
      </c>
      <c r="F72" s="155">
        <f>IFERROR(E72+'Pay App 43'!F72,"")</f>
        <v>0</v>
      </c>
      <c r="G72" s="155">
        <f>SUM('Pay App 1:Pay App 43'!H72)</f>
        <v>0</v>
      </c>
      <c r="H72" s="154"/>
      <c r="I72" s="155">
        <f t="shared" si="0"/>
        <v>0</v>
      </c>
      <c r="J72" s="156">
        <f t="shared" si="1"/>
        <v>0</v>
      </c>
      <c r="K72" s="155">
        <f t="shared" si="2"/>
        <v>0</v>
      </c>
      <c r="L72" s="155" t="str">
        <f>IF(AND('Summary Sheet'!$E$23="No",$H$33&gt;0,H72&gt;=1),"",IF(AND('Summary Sheet'!$E$23="Yes",H72&lt;&gt;""),H72*'Summary Sheet'!$G$23,""))</f>
        <v/>
      </c>
      <c r="M72" s="154"/>
      <c r="N72" s="155">
        <f>SUM('Pay App 1:Pay App 44'!L72)+SUM('Pay App 1:Pay App 44'!M72)</f>
        <v>0</v>
      </c>
      <c r="Q72" s="28"/>
    </row>
    <row r="73" spans="1:17" ht="11.25" customHeight="1" x14ac:dyDescent="0.25">
      <c r="A73" s="152">
        <v>17</v>
      </c>
      <c r="B73" s="175" t="str">
        <f>'Pay App 1'!B73</f>
        <v>02 82 00</v>
      </c>
      <c r="C73" s="180" t="str">
        <f>'Pay App 1'!C73</f>
        <v>Asbestos Abatement</v>
      </c>
      <c r="D73" s="155">
        <f>'Pay App 1'!D73</f>
        <v>0</v>
      </c>
      <c r="E73" s="155">
        <f>VLOOKUP(B73,'Graph Data'!$O$2:$BX$88,46,FALSE)</f>
        <v>0</v>
      </c>
      <c r="F73" s="155">
        <f>IFERROR(E73+'Pay App 43'!F73,"")</f>
        <v>0</v>
      </c>
      <c r="G73" s="155">
        <f>SUM('Pay App 1:Pay App 43'!H73)</f>
        <v>0</v>
      </c>
      <c r="H73" s="154"/>
      <c r="I73" s="155">
        <f t="shared" si="0"/>
        <v>0</v>
      </c>
      <c r="J73" s="156">
        <f t="shared" si="1"/>
        <v>0</v>
      </c>
      <c r="K73" s="155">
        <f t="shared" si="2"/>
        <v>0</v>
      </c>
      <c r="L73" s="155" t="str">
        <f>IF(AND('Summary Sheet'!$E$23="No",$H$33&gt;0,H73&gt;=1),"",IF(AND('Summary Sheet'!$E$23="Yes",H73&lt;&gt;""),H73*'Summary Sheet'!$G$23,""))</f>
        <v/>
      </c>
      <c r="M73" s="154"/>
      <c r="N73" s="155">
        <f>SUM('Pay App 1:Pay App 44'!L73)+SUM('Pay App 1:Pay App 44'!M73)</f>
        <v>0</v>
      </c>
    </row>
    <row r="74" spans="1:17" ht="11.25" customHeight="1" x14ac:dyDescent="0.25">
      <c r="A74" s="152">
        <v>18</v>
      </c>
      <c r="B74" s="176" t="str">
        <f>'Pay App 1'!B74</f>
        <v>03 00 00</v>
      </c>
      <c r="C74" s="181" t="str">
        <f>'Pay App 1'!C74</f>
        <v>Building Concrete</v>
      </c>
      <c r="D74" s="155">
        <f>'Pay App 1'!D74</f>
        <v>0</v>
      </c>
      <c r="E74" s="155">
        <f>VLOOKUP(B74,'Graph Data'!$O$2:$BX$88,46,FALSE)</f>
        <v>0</v>
      </c>
      <c r="F74" s="155">
        <f>IFERROR(E74+'Pay App 43'!F74,"")</f>
        <v>0</v>
      </c>
      <c r="G74" s="155">
        <f>SUM('Pay App 1:Pay App 43'!H74)</f>
        <v>0</v>
      </c>
      <c r="H74" s="154"/>
      <c r="I74" s="155">
        <f t="shared" si="0"/>
        <v>0</v>
      </c>
      <c r="J74" s="156">
        <f t="shared" si="1"/>
        <v>0</v>
      </c>
      <c r="K74" s="155">
        <f t="shared" si="2"/>
        <v>0</v>
      </c>
      <c r="L74" s="155" t="str">
        <f>IF(AND('Summary Sheet'!$E$23="No",$H$33&gt;0,H74&gt;=1),"",IF(AND('Summary Sheet'!$E$23="Yes",H74&lt;&gt;""),H74*'Summary Sheet'!$G$23,""))</f>
        <v/>
      </c>
      <c r="M74" s="154"/>
      <c r="N74" s="155">
        <f>SUM('Pay App 1:Pay App 44'!L74)+SUM('Pay App 1:Pay App 44'!M74)</f>
        <v>0</v>
      </c>
    </row>
    <row r="75" spans="1:17" ht="11.25" customHeight="1" x14ac:dyDescent="0.25">
      <c r="A75" s="152">
        <v>19</v>
      </c>
      <c r="B75" s="176" t="str">
        <f>'Pay App 1'!B75</f>
        <v>03 20 00</v>
      </c>
      <c r="C75" s="181" t="str">
        <f>'Pay App 1'!C75</f>
        <v>Building Concrete Reinforcing</v>
      </c>
      <c r="D75" s="155">
        <f>'Pay App 1'!D75</f>
        <v>0</v>
      </c>
      <c r="E75" s="155">
        <f>VLOOKUP(B75,'Graph Data'!$O$2:$BX$88,46,FALSE)</f>
        <v>0</v>
      </c>
      <c r="F75" s="155">
        <f>IFERROR(E75+'Pay App 43'!F75,"")</f>
        <v>0</v>
      </c>
      <c r="G75" s="155">
        <f>SUM('Pay App 1:Pay App 43'!H75)</f>
        <v>0</v>
      </c>
      <c r="H75" s="154"/>
      <c r="I75" s="155">
        <f t="shared" si="0"/>
        <v>0</v>
      </c>
      <c r="J75" s="156">
        <f t="shared" si="1"/>
        <v>0</v>
      </c>
      <c r="K75" s="155">
        <f t="shared" si="2"/>
        <v>0</v>
      </c>
      <c r="L75" s="155" t="str">
        <f>IF(AND('Summary Sheet'!$E$23="No",$H$33&gt;0,H75&gt;=1),"",IF(AND('Summary Sheet'!$E$23="Yes",H75&lt;&gt;""),H75*'Summary Sheet'!$G$23,""))</f>
        <v/>
      </c>
      <c r="M75" s="154"/>
      <c r="N75" s="155">
        <f>SUM('Pay App 1:Pay App 44'!L75)+SUM('Pay App 1:Pay App 44'!M75)</f>
        <v>0</v>
      </c>
    </row>
    <row r="76" spans="1:17" ht="11.25" customHeight="1" x14ac:dyDescent="0.25">
      <c r="A76" s="152">
        <v>20</v>
      </c>
      <c r="B76" s="176" t="str">
        <f>'Pay App 1'!B76</f>
        <v>03 40 00</v>
      </c>
      <c r="C76" s="181" t="str">
        <f>'Pay App 1'!C76</f>
        <v>Precast</v>
      </c>
      <c r="D76" s="155">
        <f>'Pay App 1'!D76</f>
        <v>0</v>
      </c>
      <c r="E76" s="155">
        <f>VLOOKUP(B76,'Graph Data'!$O$2:$BX$88,46,FALSE)</f>
        <v>0</v>
      </c>
      <c r="F76" s="155">
        <f>IFERROR(E76+'Pay App 43'!F76,"")</f>
        <v>0</v>
      </c>
      <c r="G76" s="155">
        <f>SUM('Pay App 1:Pay App 43'!H76)</f>
        <v>0</v>
      </c>
      <c r="H76" s="154"/>
      <c r="I76" s="155">
        <f t="shared" si="0"/>
        <v>0</v>
      </c>
      <c r="J76" s="156">
        <f t="shared" si="1"/>
        <v>0</v>
      </c>
      <c r="K76" s="155">
        <f t="shared" si="2"/>
        <v>0</v>
      </c>
      <c r="L76" s="155" t="str">
        <f>IF(AND('Summary Sheet'!$E$23="No",$H$33&gt;0,H76&gt;=1),"",IF(AND('Summary Sheet'!$E$23="Yes",H76&lt;&gt;""),H76*'Summary Sheet'!$G$23,""))</f>
        <v/>
      </c>
      <c r="M76" s="154"/>
      <c r="N76" s="155">
        <f>SUM('Pay App 1:Pay App 44'!L76)+SUM('Pay App 1:Pay App 44'!M76)</f>
        <v>0</v>
      </c>
    </row>
    <row r="77" spans="1:17" ht="11.25" customHeight="1" x14ac:dyDescent="0.25">
      <c r="A77" s="152">
        <v>21</v>
      </c>
      <c r="B77" s="177" t="str">
        <f>'Pay App 1'!B77</f>
        <v>04 00 00</v>
      </c>
      <c r="C77" s="182" t="str">
        <f>'Pay App 1'!C77</f>
        <v>Masonry</v>
      </c>
      <c r="D77" s="155">
        <f>'Pay App 1'!D77</f>
        <v>0</v>
      </c>
      <c r="E77" s="155">
        <f>VLOOKUP(B77,'Graph Data'!$O$2:$BX$88,46,FALSE)</f>
        <v>0</v>
      </c>
      <c r="F77" s="155">
        <f>IFERROR(E77+'Pay App 43'!F77,"")</f>
        <v>0</v>
      </c>
      <c r="G77" s="155">
        <f>SUM('Pay App 1:Pay App 43'!H77)</f>
        <v>0</v>
      </c>
      <c r="H77" s="154"/>
      <c r="I77" s="155">
        <f t="shared" si="0"/>
        <v>0</v>
      </c>
      <c r="J77" s="156">
        <f t="shared" si="1"/>
        <v>0</v>
      </c>
      <c r="K77" s="155">
        <f t="shared" si="2"/>
        <v>0</v>
      </c>
      <c r="L77" s="155" t="str">
        <f>IF(AND('Summary Sheet'!$E$23="No",$H$33&gt;0,H77&gt;=1),"",IF(AND('Summary Sheet'!$E$23="Yes",H77&lt;&gt;""),H77*'Summary Sheet'!$G$23,""))</f>
        <v/>
      </c>
      <c r="M77" s="154"/>
      <c r="N77" s="155">
        <f>SUM('Pay App 1:Pay App 44'!L77)+SUM('Pay App 1:Pay App 44'!M77)</f>
        <v>0</v>
      </c>
    </row>
    <row r="78" spans="1:17" ht="11.25" customHeight="1" x14ac:dyDescent="0.25">
      <c r="A78" s="152">
        <v>22</v>
      </c>
      <c r="B78" s="177" t="str">
        <f>'Pay App 1'!B78</f>
        <v>04 05 19</v>
      </c>
      <c r="C78" s="182" t="str">
        <f>'Pay App 1'!C78</f>
        <v>Masonry Reinforcing</v>
      </c>
      <c r="D78" s="155">
        <f>'Pay App 1'!D78</f>
        <v>0</v>
      </c>
      <c r="E78" s="155">
        <f>VLOOKUP(B78,'Graph Data'!$O$2:$BX$88,46,FALSE)</f>
        <v>0</v>
      </c>
      <c r="F78" s="155">
        <f>IFERROR(E78+'Pay App 43'!F78,"")</f>
        <v>0</v>
      </c>
      <c r="G78" s="155">
        <f>SUM('Pay App 1:Pay App 43'!H78)</f>
        <v>0</v>
      </c>
      <c r="H78" s="154"/>
      <c r="I78" s="155">
        <f t="shared" si="0"/>
        <v>0</v>
      </c>
      <c r="J78" s="156">
        <f t="shared" si="1"/>
        <v>0</v>
      </c>
      <c r="K78" s="155">
        <f t="shared" si="2"/>
        <v>0</v>
      </c>
      <c r="L78" s="155" t="str">
        <f>IF(AND('Summary Sheet'!$E$23="No",$H$33&gt;0,H78&gt;=1),"",IF(AND('Summary Sheet'!$E$23="Yes",H78&lt;&gt;""),H78*'Summary Sheet'!$G$23,""))</f>
        <v/>
      </c>
      <c r="M78" s="154"/>
      <c r="N78" s="155">
        <f>SUM('Pay App 1:Pay App 44'!L78)+SUM('Pay App 1:Pay App 44'!M78)</f>
        <v>0</v>
      </c>
    </row>
    <row r="79" spans="1:17" ht="11.25" customHeight="1" x14ac:dyDescent="0.25">
      <c r="A79" s="152">
        <v>23</v>
      </c>
      <c r="B79" s="178" t="str">
        <f>'Pay App 1'!B79</f>
        <v>05 10 00</v>
      </c>
      <c r="C79" s="183" t="str">
        <f>'Pay App 1'!C79</f>
        <v>Structural Steel/Misc. Steel Fab</v>
      </c>
      <c r="D79" s="155">
        <f>'Pay App 1'!D79</f>
        <v>0</v>
      </c>
      <c r="E79" s="155">
        <f>VLOOKUP(B79,'Graph Data'!$O$2:$BX$88,46,FALSE)</f>
        <v>0</v>
      </c>
      <c r="F79" s="155">
        <f>IFERROR(E79+'Pay App 43'!F79,"")</f>
        <v>0</v>
      </c>
      <c r="G79" s="155">
        <f>SUM('Pay App 1:Pay App 43'!H79)</f>
        <v>0</v>
      </c>
      <c r="H79" s="154"/>
      <c r="I79" s="155">
        <f t="shared" si="0"/>
        <v>0</v>
      </c>
      <c r="J79" s="156">
        <f t="shared" si="1"/>
        <v>0</v>
      </c>
      <c r="K79" s="155">
        <f t="shared" si="2"/>
        <v>0</v>
      </c>
      <c r="L79" s="155" t="str">
        <f>IF(AND('Summary Sheet'!$E$23="No",$H$33&gt;0,H79&gt;=1),"",IF(AND('Summary Sheet'!$E$23="Yes",H79&lt;&gt;""),H79*'Summary Sheet'!$G$23,""))</f>
        <v/>
      </c>
      <c r="M79" s="154"/>
      <c r="N79" s="155">
        <f>SUM('Pay App 1:Pay App 44'!L79)+SUM('Pay App 1:Pay App 44'!M79)</f>
        <v>0</v>
      </c>
    </row>
    <row r="80" spans="1:17" ht="11.25" customHeight="1" x14ac:dyDescent="0.25">
      <c r="A80" s="152">
        <v>24</v>
      </c>
      <c r="B80" s="178" t="str">
        <f>'Pay App 1'!B80</f>
        <v>05 20 00</v>
      </c>
      <c r="C80" s="183" t="str">
        <f>'Pay App 1'!C80</f>
        <v>Joists &amp; Deck</v>
      </c>
      <c r="D80" s="155">
        <f>'Pay App 1'!D80</f>
        <v>0</v>
      </c>
      <c r="E80" s="155">
        <f>VLOOKUP(B80,'Graph Data'!$O$2:$BX$88,46,FALSE)</f>
        <v>0</v>
      </c>
      <c r="F80" s="155">
        <f>IFERROR(E80+'Pay App 43'!F80,"")</f>
        <v>0</v>
      </c>
      <c r="G80" s="155">
        <f>SUM('Pay App 1:Pay App 43'!H80)</f>
        <v>0</v>
      </c>
      <c r="H80" s="154"/>
      <c r="I80" s="155">
        <f t="shared" si="0"/>
        <v>0</v>
      </c>
      <c r="J80" s="156">
        <f t="shared" si="1"/>
        <v>0</v>
      </c>
      <c r="K80" s="155">
        <f t="shared" si="2"/>
        <v>0</v>
      </c>
      <c r="L80" s="155" t="str">
        <f>IF(AND('Summary Sheet'!$E$23="No",$H$33&gt;0,H80&gt;=1),"",IF(AND('Summary Sheet'!$E$23="Yes",H80&lt;&gt;""),H80*'Summary Sheet'!$G$23,""))</f>
        <v/>
      </c>
      <c r="M80" s="154"/>
      <c r="N80" s="155">
        <f>SUM('Pay App 1:Pay App 44'!L80)+SUM('Pay App 1:Pay App 44'!M80)</f>
        <v>0</v>
      </c>
    </row>
    <row r="81" spans="1:14" ht="11.25" customHeight="1" x14ac:dyDescent="0.25">
      <c r="A81" s="152">
        <v>25</v>
      </c>
      <c r="B81" s="178" t="str">
        <f>'Pay App 1'!B81</f>
        <v>05 70 00</v>
      </c>
      <c r="C81" s="183" t="str">
        <f>'Pay App 1'!C81</f>
        <v>Ornamental Metal</v>
      </c>
      <c r="D81" s="155">
        <f>'Pay App 1'!D81</f>
        <v>0</v>
      </c>
      <c r="E81" s="155">
        <f>VLOOKUP(B81,'Graph Data'!$O$2:$BX$88,46,FALSE)</f>
        <v>0</v>
      </c>
      <c r="F81" s="155">
        <f>IFERROR(E81+'Pay App 43'!F81,"")</f>
        <v>0</v>
      </c>
      <c r="G81" s="155">
        <f>SUM('Pay App 1:Pay App 43'!H81)</f>
        <v>0</v>
      </c>
      <c r="H81" s="154"/>
      <c r="I81" s="155">
        <f t="shared" si="0"/>
        <v>0</v>
      </c>
      <c r="J81" s="156">
        <f t="shared" si="1"/>
        <v>0</v>
      </c>
      <c r="K81" s="155">
        <f t="shared" si="2"/>
        <v>0</v>
      </c>
      <c r="L81" s="155" t="str">
        <f>IF(AND('Summary Sheet'!$E$23="No",$H$33&gt;0,H81&gt;=1),"",IF(AND('Summary Sheet'!$E$23="Yes",H81&lt;&gt;""),H81*'Summary Sheet'!$G$23,""))</f>
        <v/>
      </c>
      <c r="M81" s="154"/>
      <c r="N81" s="155">
        <f>SUM('Pay App 1:Pay App 44'!L81)+SUM('Pay App 1:Pay App 44'!M81)</f>
        <v>0</v>
      </c>
    </row>
    <row r="82" spans="1:14" ht="11.25" customHeight="1" x14ac:dyDescent="0.25">
      <c r="A82" s="152">
        <v>26</v>
      </c>
      <c r="B82" s="145" t="str">
        <f>'Pay App 1'!B82</f>
        <v>06 10 00</v>
      </c>
      <c r="C82" s="134" t="str">
        <f>'Pay App 1'!C82</f>
        <v>Rough Carpentry</v>
      </c>
      <c r="D82" s="155">
        <f>'Pay App 1'!D82</f>
        <v>0</v>
      </c>
      <c r="E82" s="155">
        <f>VLOOKUP(B82,'Graph Data'!$O$2:$BX$88,46,FALSE)</f>
        <v>0</v>
      </c>
      <c r="F82" s="155">
        <f>IFERROR(E82+'Pay App 43'!F82,"")</f>
        <v>0</v>
      </c>
      <c r="G82" s="155">
        <f>SUM('Pay App 1:Pay App 43'!H82)</f>
        <v>0</v>
      </c>
      <c r="H82" s="154"/>
      <c r="I82" s="155">
        <f t="shared" si="0"/>
        <v>0</v>
      </c>
      <c r="J82" s="156">
        <f t="shared" si="1"/>
        <v>0</v>
      </c>
      <c r="K82" s="155">
        <f t="shared" si="2"/>
        <v>0</v>
      </c>
      <c r="L82" s="155" t="str">
        <f>IF(AND('Summary Sheet'!$E$23="No",$H$33&gt;0,H82&gt;=1),"",IF(AND('Summary Sheet'!$E$23="Yes",H82&lt;&gt;""),H82*'Summary Sheet'!$G$23,""))</f>
        <v/>
      </c>
      <c r="M82" s="154"/>
      <c r="N82" s="155">
        <f>SUM('Pay App 1:Pay App 44'!L82)+SUM('Pay App 1:Pay App 44'!M82)</f>
        <v>0</v>
      </c>
    </row>
    <row r="83" spans="1:14" ht="11.25" customHeight="1" x14ac:dyDescent="0.25">
      <c r="A83" s="152">
        <v>27</v>
      </c>
      <c r="B83" s="145" t="str">
        <f>'Pay App 1'!B83</f>
        <v>06 40 00</v>
      </c>
      <c r="C83" s="134" t="str">
        <f>'Pay App 1'!C83</f>
        <v>Arch. Woodwork &amp; Finish Carp.</v>
      </c>
      <c r="D83" s="155">
        <f>'Pay App 1'!D83</f>
        <v>0</v>
      </c>
      <c r="E83" s="155">
        <f>VLOOKUP(B83,'Graph Data'!$O$2:$BX$88,46,FALSE)</f>
        <v>0</v>
      </c>
      <c r="F83" s="155">
        <f>IFERROR(E83+'Pay App 43'!F83,"")</f>
        <v>0</v>
      </c>
      <c r="G83" s="155">
        <f>SUM('Pay App 1:Pay App 43'!H83)</f>
        <v>0</v>
      </c>
      <c r="H83" s="154"/>
      <c r="I83" s="155">
        <f t="shared" si="0"/>
        <v>0</v>
      </c>
      <c r="J83" s="156">
        <f t="shared" si="1"/>
        <v>0</v>
      </c>
      <c r="K83" s="155">
        <f t="shared" si="2"/>
        <v>0</v>
      </c>
      <c r="L83" s="155" t="str">
        <f>IF(AND('Summary Sheet'!$E$23="No",$H$33&gt;0,H83&gt;=1),"",IF(AND('Summary Sheet'!$E$23="Yes",H83&lt;&gt;""),H83*'Summary Sheet'!$G$23,""))</f>
        <v/>
      </c>
      <c r="M83" s="154"/>
      <c r="N83" s="155">
        <f>SUM('Pay App 1:Pay App 44'!L83)+SUM('Pay App 1:Pay App 44'!M83)</f>
        <v>0</v>
      </c>
    </row>
    <row r="84" spans="1:14" ht="11.25" customHeight="1" x14ac:dyDescent="0.25">
      <c r="A84" s="152">
        <v>28</v>
      </c>
      <c r="B84" s="174" t="str">
        <f>'Pay App 1'!B84</f>
        <v>07 10 00</v>
      </c>
      <c r="C84" s="179" t="str">
        <f>'Pay App 1'!C84</f>
        <v>Waterproofing/Water Repellents</v>
      </c>
      <c r="D84" s="155">
        <f>'Pay App 1'!D84</f>
        <v>0</v>
      </c>
      <c r="E84" s="155">
        <f>VLOOKUP(B84,'Graph Data'!$O$2:$BX$88,46,FALSE)</f>
        <v>0</v>
      </c>
      <c r="F84" s="155">
        <f>IFERROR(E84+'Pay App 43'!F84,"")</f>
        <v>0</v>
      </c>
      <c r="G84" s="155">
        <f>SUM('Pay App 1:Pay App 43'!H84)</f>
        <v>0</v>
      </c>
      <c r="H84" s="154"/>
      <c r="I84" s="155">
        <f t="shared" si="0"/>
        <v>0</v>
      </c>
      <c r="J84" s="156">
        <f t="shared" si="1"/>
        <v>0</v>
      </c>
      <c r="K84" s="155">
        <f t="shared" si="2"/>
        <v>0</v>
      </c>
      <c r="L84" s="155" t="str">
        <f>IF(AND('Summary Sheet'!$E$23="No",$H$33&gt;0,H84&gt;=1),"",IF(AND('Summary Sheet'!$E$23="Yes",H84&lt;&gt;""),H84*'Summary Sheet'!$G$23,""))</f>
        <v/>
      </c>
      <c r="M84" s="154"/>
      <c r="N84" s="155">
        <f>SUM('Pay App 1:Pay App 44'!L84)+SUM('Pay App 1:Pay App 44'!M84)</f>
        <v>0</v>
      </c>
    </row>
    <row r="85" spans="1:14" ht="11.25" customHeight="1" x14ac:dyDescent="0.25">
      <c r="A85" s="152">
        <v>29</v>
      </c>
      <c r="B85" s="174" t="str">
        <f>'Pay App 1'!B85</f>
        <v>07 20 00</v>
      </c>
      <c r="C85" s="179" t="str">
        <f>'Pay App 1'!C85</f>
        <v>Insulation</v>
      </c>
      <c r="D85" s="155">
        <f>'Pay App 1'!D85</f>
        <v>0</v>
      </c>
      <c r="E85" s="155">
        <f>VLOOKUP(B85,'Graph Data'!$O$2:$BX$88,46,FALSE)</f>
        <v>0</v>
      </c>
      <c r="F85" s="155">
        <f>IFERROR(E85+'Pay App 43'!F85,"")</f>
        <v>0</v>
      </c>
      <c r="G85" s="155">
        <f>SUM('Pay App 1:Pay App 43'!H85)</f>
        <v>0</v>
      </c>
      <c r="H85" s="154"/>
      <c r="I85" s="155">
        <f t="shared" si="0"/>
        <v>0</v>
      </c>
      <c r="J85" s="156">
        <f t="shared" si="1"/>
        <v>0</v>
      </c>
      <c r="K85" s="155">
        <f t="shared" si="2"/>
        <v>0</v>
      </c>
      <c r="L85" s="155" t="str">
        <f>IF(AND('Summary Sheet'!$E$23="No",$H$33&gt;0,H85&gt;=1),"",IF(AND('Summary Sheet'!$E$23="Yes",H85&lt;&gt;""),H85*'Summary Sheet'!$G$23,""))</f>
        <v/>
      </c>
      <c r="M85" s="154"/>
      <c r="N85" s="155">
        <f>SUM('Pay App 1:Pay App 44'!L85)+SUM('Pay App 1:Pay App 44'!M85)</f>
        <v>0</v>
      </c>
    </row>
    <row r="86" spans="1:14" ht="11.25" customHeight="1" x14ac:dyDescent="0.25">
      <c r="A86" s="152">
        <v>30</v>
      </c>
      <c r="B86" s="174" t="str">
        <f>'Pay App 1'!B86</f>
        <v>07 24 00</v>
      </c>
      <c r="C86" s="179" t="str">
        <f>'Pay App 1'!C86</f>
        <v>EIFS</v>
      </c>
      <c r="D86" s="155">
        <f>'Pay App 1'!D86</f>
        <v>0</v>
      </c>
      <c r="E86" s="155">
        <f>VLOOKUP(B86,'Graph Data'!$O$2:$BX$88,46,FALSE)</f>
        <v>0</v>
      </c>
      <c r="F86" s="155">
        <f>IFERROR(E86+'Pay App 43'!F86,"")</f>
        <v>0</v>
      </c>
      <c r="G86" s="155">
        <f>SUM('Pay App 1:Pay App 43'!H86)</f>
        <v>0</v>
      </c>
      <c r="H86" s="154"/>
      <c r="I86" s="155">
        <f t="shared" si="0"/>
        <v>0</v>
      </c>
      <c r="J86" s="156">
        <f t="shared" si="1"/>
        <v>0</v>
      </c>
      <c r="K86" s="155">
        <f t="shared" si="2"/>
        <v>0</v>
      </c>
      <c r="L86" s="155" t="str">
        <f>IF(AND('Summary Sheet'!$E$23="No",$H$33&gt;0,H86&gt;=1),"",IF(AND('Summary Sheet'!$E$23="Yes",H86&lt;&gt;""),H86*'Summary Sheet'!$G$23,""))</f>
        <v/>
      </c>
      <c r="M86" s="154"/>
      <c r="N86" s="155">
        <f>SUM('Pay App 1:Pay App 44'!L86)+SUM('Pay App 1:Pay App 44'!M86)</f>
        <v>0</v>
      </c>
    </row>
    <row r="87" spans="1:14" ht="11.25" customHeight="1" x14ac:dyDescent="0.25">
      <c r="A87" s="152">
        <v>31</v>
      </c>
      <c r="B87" s="174" t="str">
        <f>'Pay App 1'!B87</f>
        <v>07 26 00</v>
      </c>
      <c r="C87" s="179" t="str">
        <f>'Pay App 1'!C87</f>
        <v>Vapor Retarders</v>
      </c>
      <c r="D87" s="155">
        <f>'Pay App 1'!D87</f>
        <v>0</v>
      </c>
      <c r="E87" s="155">
        <f>VLOOKUP(B87,'Graph Data'!$O$2:$BX$88,46,FALSE)</f>
        <v>0</v>
      </c>
      <c r="F87" s="155">
        <f>IFERROR(E87+'Pay App 43'!F87,"")</f>
        <v>0</v>
      </c>
      <c r="G87" s="155">
        <f>SUM('Pay App 1:Pay App 43'!H87)</f>
        <v>0</v>
      </c>
      <c r="H87" s="154"/>
      <c r="I87" s="155">
        <f t="shared" si="0"/>
        <v>0</v>
      </c>
      <c r="J87" s="156">
        <f t="shared" si="1"/>
        <v>0</v>
      </c>
      <c r="K87" s="155">
        <f t="shared" si="2"/>
        <v>0</v>
      </c>
      <c r="L87" s="155" t="str">
        <f>IF(AND('Summary Sheet'!$E$23="No",$H$33&gt;0,H87&gt;=1),"",IF(AND('Summary Sheet'!$E$23="Yes",H87&lt;&gt;""),H87*'Summary Sheet'!$G$23,""))</f>
        <v/>
      </c>
      <c r="M87" s="154"/>
      <c r="N87" s="155">
        <f>SUM('Pay App 1:Pay App 44'!L87)+SUM('Pay App 1:Pay App 44'!M87)</f>
        <v>0</v>
      </c>
    </row>
    <row r="88" spans="1:14" ht="11.25" customHeight="1" x14ac:dyDescent="0.25">
      <c r="A88" s="152">
        <v>32</v>
      </c>
      <c r="B88" s="174" t="str">
        <f>'Pay App 1'!B88</f>
        <v>07 41 00</v>
      </c>
      <c r="C88" s="179" t="str">
        <f>'Pay App 1'!C88</f>
        <v>Roofing</v>
      </c>
      <c r="D88" s="155">
        <f>'Pay App 1'!D88</f>
        <v>0</v>
      </c>
      <c r="E88" s="155">
        <f>VLOOKUP(B88,'Graph Data'!$O$2:$BX$88,46,FALSE)</f>
        <v>0</v>
      </c>
      <c r="F88" s="155">
        <f>IFERROR(E88+'Pay App 43'!F88,"")</f>
        <v>0</v>
      </c>
      <c r="G88" s="155">
        <f>SUM('Pay App 1:Pay App 43'!H88)</f>
        <v>0</v>
      </c>
      <c r="H88" s="154"/>
      <c r="I88" s="155">
        <f t="shared" si="0"/>
        <v>0</v>
      </c>
      <c r="J88" s="156">
        <f t="shared" si="1"/>
        <v>0</v>
      </c>
      <c r="K88" s="155">
        <f t="shared" si="2"/>
        <v>0</v>
      </c>
      <c r="L88" s="155" t="str">
        <f>IF(AND('Summary Sheet'!$E$23="No",$H$33&gt;0,H88&gt;=1),"",IF(AND('Summary Sheet'!$E$23="Yes",H88&lt;&gt;""),H88*'Summary Sheet'!$G$23,""))</f>
        <v/>
      </c>
      <c r="M88" s="154"/>
      <c r="N88" s="155">
        <f>SUM('Pay App 1:Pay App 44'!L88)+SUM('Pay App 1:Pay App 44'!M88)</f>
        <v>0</v>
      </c>
    </row>
    <row r="89" spans="1:14" ht="11.25" customHeight="1" x14ac:dyDescent="0.25">
      <c r="A89" s="152">
        <v>33</v>
      </c>
      <c r="B89" s="174" t="str">
        <f>'Pay App 1'!B89</f>
        <v>07 42 00</v>
      </c>
      <c r="C89" s="179" t="str">
        <f>'Pay App 1'!C89</f>
        <v>Metal Panels</v>
      </c>
      <c r="D89" s="155">
        <f>'Pay App 1'!D89</f>
        <v>0</v>
      </c>
      <c r="E89" s="155">
        <f>VLOOKUP(B89,'Graph Data'!$O$2:$BX$88,46,FALSE)</f>
        <v>0</v>
      </c>
      <c r="F89" s="155">
        <f>IFERROR(E89+'Pay App 43'!F89,"")</f>
        <v>0</v>
      </c>
      <c r="G89" s="155">
        <f>SUM('Pay App 1:Pay App 43'!H89)</f>
        <v>0</v>
      </c>
      <c r="H89" s="154"/>
      <c r="I89" s="155">
        <f t="shared" si="0"/>
        <v>0</v>
      </c>
      <c r="J89" s="156">
        <f t="shared" si="1"/>
        <v>0</v>
      </c>
      <c r="K89" s="155">
        <f t="shared" si="2"/>
        <v>0</v>
      </c>
      <c r="L89" s="155" t="str">
        <f>IF(AND('Summary Sheet'!$E$23="No",$H$33&gt;0,H89&gt;=1),"",IF(AND('Summary Sheet'!$E$23="Yes",H89&lt;&gt;""),H89*'Summary Sheet'!$G$23,""))</f>
        <v/>
      </c>
      <c r="M89" s="154"/>
      <c r="N89" s="155">
        <f>SUM('Pay App 1:Pay App 44'!L89)+SUM('Pay App 1:Pay App 44'!M89)</f>
        <v>0</v>
      </c>
    </row>
    <row r="90" spans="1:14" ht="11.25" customHeight="1" x14ac:dyDescent="0.25">
      <c r="A90" s="152">
        <v>34</v>
      </c>
      <c r="B90" s="174" t="str">
        <f>'Pay App 1'!B90</f>
        <v>07 60 00</v>
      </c>
      <c r="C90" s="179" t="str">
        <f>'Pay App 1'!C90</f>
        <v>Sheet Metal Flashing &amp; Trim</v>
      </c>
      <c r="D90" s="155">
        <f>'Pay App 1'!D90</f>
        <v>0</v>
      </c>
      <c r="E90" s="155">
        <f>VLOOKUP(B90,'Graph Data'!$O$2:$BX$88,46,FALSE)</f>
        <v>0</v>
      </c>
      <c r="F90" s="155">
        <f>IFERROR(E90+'Pay App 43'!F90,"")</f>
        <v>0</v>
      </c>
      <c r="G90" s="155">
        <f>SUM('Pay App 1:Pay App 43'!H90)</f>
        <v>0</v>
      </c>
      <c r="H90" s="154"/>
      <c r="I90" s="155">
        <f t="shared" si="0"/>
        <v>0</v>
      </c>
      <c r="J90" s="156">
        <f t="shared" si="1"/>
        <v>0</v>
      </c>
      <c r="K90" s="155">
        <f t="shared" si="2"/>
        <v>0</v>
      </c>
      <c r="L90" s="155" t="str">
        <f>IF(AND('Summary Sheet'!$E$23="No",$H$33&gt;0,H90&gt;=1),"",IF(AND('Summary Sheet'!$E$23="Yes",H90&lt;&gt;""),H90*'Summary Sheet'!$G$23,""))</f>
        <v/>
      </c>
      <c r="M90" s="154"/>
      <c r="N90" s="155">
        <f>SUM('Pay App 1:Pay App 44'!L90)+SUM('Pay App 1:Pay App 44'!M90)</f>
        <v>0</v>
      </c>
    </row>
    <row r="91" spans="1:14" ht="11.25" customHeight="1" x14ac:dyDescent="0.25">
      <c r="A91" s="152">
        <v>35</v>
      </c>
      <c r="B91" s="174" t="str">
        <f>'Pay App 1'!B91</f>
        <v>07 80 00</v>
      </c>
      <c r="C91" s="179" t="str">
        <f>'Pay App 1'!C91</f>
        <v>Fireproofing</v>
      </c>
      <c r="D91" s="155">
        <f>'Pay App 1'!D91</f>
        <v>0</v>
      </c>
      <c r="E91" s="155">
        <f>VLOOKUP(B91,'Graph Data'!$O$2:$BX$88,46,FALSE)</f>
        <v>0</v>
      </c>
      <c r="F91" s="155">
        <f>IFERROR(E91+'Pay App 43'!F91,"")</f>
        <v>0</v>
      </c>
      <c r="G91" s="155">
        <f>SUM('Pay App 1:Pay App 43'!H91)</f>
        <v>0</v>
      </c>
      <c r="H91" s="154"/>
      <c r="I91" s="155">
        <f t="shared" si="0"/>
        <v>0</v>
      </c>
      <c r="J91" s="156">
        <f t="shared" si="1"/>
        <v>0</v>
      </c>
      <c r="K91" s="155">
        <f t="shared" si="2"/>
        <v>0</v>
      </c>
      <c r="L91" s="155" t="str">
        <f>IF(AND('Summary Sheet'!$E$23="No",$H$33&gt;0,H91&gt;=1),"",IF(AND('Summary Sheet'!$E$23="Yes",H91&lt;&gt;""),H91*'Summary Sheet'!$G$23,""))</f>
        <v/>
      </c>
      <c r="M91" s="154"/>
      <c r="N91" s="155">
        <f>SUM('Pay App 1:Pay App 44'!L91)+SUM('Pay App 1:Pay App 44'!M91)</f>
        <v>0</v>
      </c>
    </row>
    <row r="92" spans="1:14" ht="11.25" customHeight="1" x14ac:dyDescent="0.25">
      <c r="A92" s="152">
        <v>36</v>
      </c>
      <c r="B92" s="174" t="str">
        <f>'Pay App 1'!B92</f>
        <v>07 90 00</v>
      </c>
      <c r="C92" s="179" t="str">
        <f>'Pay App 1'!C92</f>
        <v>Joint Sealants</v>
      </c>
      <c r="D92" s="155">
        <f>'Pay App 1'!D92</f>
        <v>0</v>
      </c>
      <c r="E92" s="155">
        <f>VLOOKUP(B92,'Graph Data'!$O$2:$BX$88,46,FALSE)</f>
        <v>0</v>
      </c>
      <c r="F92" s="155">
        <f>IFERROR(E92+'Pay App 43'!F92,"")</f>
        <v>0</v>
      </c>
      <c r="G92" s="155">
        <f>SUM('Pay App 1:Pay App 43'!H92)</f>
        <v>0</v>
      </c>
      <c r="H92" s="154"/>
      <c r="I92" s="155">
        <f t="shared" si="0"/>
        <v>0</v>
      </c>
      <c r="J92" s="156">
        <f t="shared" si="1"/>
        <v>0</v>
      </c>
      <c r="K92" s="155">
        <f t="shared" si="2"/>
        <v>0</v>
      </c>
      <c r="L92" s="155" t="str">
        <f>IF(AND('Summary Sheet'!$E$23="No",$H$33&gt;0,H92&gt;=1),"",IF(AND('Summary Sheet'!$E$23="Yes",H92&lt;&gt;""),H92*'Summary Sheet'!$G$23,""))</f>
        <v/>
      </c>
      <c r="M92" s="154"/>
      <c r="N92" s="155">
        <f>SUM('Pay App 1:Pay App 44'!L92)+SUM('Pay App 1:Pay App 44'!M92)</f>
        <v>0</v>
      </c>
    </row>
    <row r="93" spans="1:14" ht="11.25" customHeight="1" x14ac:dyDescent="0.25">
      <c r="A93" s="152">
        <v>37</v>
      </c>
      <c r="B93" s="174" t="str">
        <f>'Pay App 1'!B93</f>
        <v>07 95 00</v>
      </c>
      <c r="C93" s="179" t="str">
        <f>'Pay App 1'!C93</f>
        <v>Expansion Joints</v>
      </c>
      <c r="D93" s="155">
        <f>'Pay App 1'!D93</f>
        <v>0</v>
      </c>
      <c r="E93" s="155">
        <f>VLOOKUP(B93,'Graph Data'!$O$2:$BX$88,46,FALSE)</f>
        <v>0</v>
      </c>
      <c r="F93" s="155">
        <f>IFERROR(E93+'Pay App 43'!F93,"")</f>
        <v>0</v>
      </c>
      <c r="G93" s="155">
        <f>SUM('Pay App 1:Pay App 43'!H93)</f>
        <v>0</v>
      </c>
      <c r="H93" s="154"/>
      <c r="I93" s="155">
        <f t="shared" si="0"/>
        <v>0</v>
      </c>
      <c r="J93" s="156">
        <f t="shared" si="1"/>
        <v>0</v>
      </c>
      <c r="K93" s="155">
        <f t="shared" si="2"/>
        <v>0</v>
      </c>
      <c r="L93" s="155" t="str">
        <f>IF(AND('Summary Sheet'!$E$23="No",$H$33&gt;0,H93&gt;=1),"",IF(AND('Summary Sheet'!$E$23="Yes",H93&lt;&gt;""),H93*'Summary Sheet'!$G$23,""))</f>
        <v/>
      </c>
      <c r="M93" s="154"/>
      <c r="N93" s="155">
        <f>SUM('Pay App 1:Pay App 44'!L93)+SUM('Pay App 1:Pay App 44'!M93)</f>
        <v>0</v>
      </c>
    </row>
    <row r="94" spans="1:14" ht="11.25" customHeight="1" x14ac:dyDescent="0.25">
      <c r="A94" s="152">
        <v>38</v>
      </c>
      <c r="B94" s="175" t="str">
        <f>'Pay App 1'!B94</f>
        <v>08 10 00</v>
      </c>
      <c r="C94" s="180" t="str">
        <f>'Pay App 1'!C94</f>
        <v>Doors, Frames &amp; Hardware</v>
      </c>
      <c r="D94" s="155">
        <f>'Pay App 1'!D94</f>
        <v>0</v>
      </c>
      <c r="E94" s="155">
        <f>VLOOKUP(B94,'Graph Data'!$O$2:$BX$88,46,FALSE)</f>
        <v>0</v>
      </c>
      <c r="F94" s="155">
        <f>IFERROR(E94+'Pay App 43'!F94,"")</f>
        <v>0</v>
      </c>
      <c r="G94" s="155">
        <f>SUM('Pay App 1:Pay App 43'!H94)</f>
        <v>0</v>
      </c>
      <c r="H94" s="154"/>
      <c r="I94" s="155">
        <f t="shared" si="0"/>
        <v>0</v>
      </c>
      <c r="J94" s="156">
        <f t="shared" si="1"/>
        <v>0</v>
      </c>
      <c r="K94" s="155">
        <f t="shared" si="2"/>
        <v>0</v>
      </c>
      <c r="L94" s="155" t="str">
        <f>IF(AND('Summary Sheet'!$E$23="No",$H$33&gt;0,H94&gt;=1),"",IF(AND('Summary Sheet'!$E$23="Yes",H94&lt;&gt;""),H94*'Summary Sheet'!$G$23,""))</f>
        <v/>
      </c>
      <c r="M94" s="154"/>
      <c r="N94" s="155">
        <f>SUM('Pay App 1:Pay App 44'!L94)+SUM('Pay App 1:Pay App 44'!M94)</f>
        <v>0</v>
      </c>
    </row>
    <row r="95" spans="1:14" ht="11.25" customHeight="1" x14ac:dyDescent="0.25">
      <c r="A95" s="152">
        <v>39</v>
      </c>
      <c r="B95" s="175" t="str">
        <f>'Pay App 1'!B95</f>
        <v>08 30 00</v>
      </c>
      <c r="C95" s="180" t="str">
        <f>'Pay App 1'!C95</f>
        <v>Specialty Doors</v>
      </c>
      <c r="D95" s="155">
        <f>'Pay App 1'!D95</f>
        <v>0</v>
      </c>
      <c r="E95" s="155">
        <f>VLOOKUP(B95,'Graph Data'!$O$2:$BX$88,46,FALSE)</f>
        <v>0</v>
      </c>
      <c r="F95" s="155">
        <f>IFERROR(E95+'Pay App 43'!F95,"")</f>
        <v>0</v>
      </c>
      <c r="G95" s="155">
        <f>SUM('Pay App 1:Pay App 43'!H95)</f>
        <v>0</v>
      </c>
      <c r="H95" s="154"/>
      <c r="I95" s="155">
        <f t="shared" si="0"/>
        <v>0</v>
      </c>
      <c r="J95" s="156">
        <f t="shared" si="1"/>
        <v>0</v>
      </c>
      <c r="K95" s="155">
        <f t="shared" si="2"/>
        <v>0</v>
      </c>
      <c r="L95" s="155" t="str">
        <f>IF(AND('Summary Sheet'!$E$23="No",$H$33&gt;0,H95&gt;=1),"",IF(AND('Summary Sheet'!$E$23="Yes",H95&lt;&gt;""),H95*'Summary Sheet'!$G$23,""))</f>
        <v/>
      </c>
      <c r="M95" s="154"/>
      <c r="N95" s="155">
        <f>SUM('Pay App 1:Pay App 44'!L95)+SUM('Pay App 1:Pay App 44'!M95)</f>
        <v>0</v>
      </c>
    </row>
    <row r="96" spans="1:14" ht="11.25" customHeight="1" x14ac:dyDescent="0.25">
      <c r="A96" s="152">
        <v>40</v>
      </c>
      <c r="B96" s="175" t="str">
        <f>'Pay App 1'!B96</f>
        <v>08 33 00</v>
      </c>
      <c r="C96" s="180" t="str">
        <f>'Pay App 1'!C96</f>
        <v>Overhead Doors/Coiling Doors</v>
      </c>
      <c r="D96" s="155">
        <f>'Pay App 1'!D96</f>
        <v>0</v>
      </c>
      <c r="E96" s="155">
        <f>VLOOKUP(B96,'Graph Data'!$O$2:$BX$88,46,FALSE)</f>
        <v>0</v>
      </c>
      <c r="F96" s="155">
        <f>IFERROR(E96+'Pay App 43'!F96,"")</f>
        <v>0</v>
      </c>
      <c r="G96" s="155">
        <f>SUM('Pay App 1:Pay App 43'!H96)</f>
        <v>0</v>
      </c>
      <c r="H96" s="154"/>
      <c r="I96" s="155">
        <f t="shared" si="0"/>
        <v>0</v>
      </c>
      <c r="J96" s="156">
        <f t="shared" si="1"/>
        <v>0</v>
      </c>
      <c r="K96" s="155">
        <f t="shared" si="2"/>
        <v>0</v>
      </c>
      <c r="L96" s="155" t="str">
        <f>IF(AND('Summary Sheet'!$E$23="No",$H$33&gt;0,H96&gt;=1),"",IF(AND('Summary Sheet'!$E$23="Yes",H96&lt;&gt;""),H96*'Summary Sheet'!$G$23,""))</f>
        <v/>
      </c>
      <c r="M96" s="154"/>
      <c r="N96" s="155">
        <f>SUM('Pay App 1:Pay App 44'!L96)+SUM('Pay App 1:Pay App 44'!M96)</f>
        <v>0</v>
      </c>
    </row>
    <row r="97" spans="1:15" ht="11.25" customHeight="1" x14ac:dyDescent="0.25">
      <c r="A97" s="152">
        <v>41</v>
      </c>
      <c r="B97" s="175" t="str">
        <f>'Pay App 1'!B97</f>
        <v>08 40 00</v>
      </c>
      <c r="C97" s="180" t="str">
        <f>'Pay App 1'!C97</f>
        <v>Curtain Wall, Glass &amp; Glazing</v>
      </c>
      <c r="D97" s="155">
        <f>'Pay App 1'!D97</f>
        <v>0</v>
      </c>
      <c r="E97" s="155">
        <f>VLOOKUP(B97,'Graph Data'!$O$2:$BX$88,46,FALSE)</f>
        <v>0</v>
      </c>
      <c r="F97" s="155">
        <f>IFERROR(E97+'Pay App 43'!F97,"")</f>
        <v>0</v>
      </c>
      <c r="G97" s="155">
        <f>SUM('Pay App 1:Pay App 43'!H97)</f>
        <v>0</v>
      </c>
      <c r="H97" s="154"/>
      <c r="I97" s="155">
        <f t="shared" si="0"/>
        <v>0</v>
      </c>
      <c r="J97" s="156">
        <f t="shared" si="1"/>
        <v>0</v>
      </c>
      <c r="K97" s="155">
        <f t="shared" si="2"/>
        <v>0</v>
      </c>
      <c r="L97" s="155" t="str">
        <f>IF(AND('Summary Sheet'!$E$23="No",$H$33&gt;0,H97&gt;=1),"",IF(AND('Summary Sheet'!$E$23="Yes",H97&lt;&gt;""),H97*'Summary Sheet'!$G$23,""))</f>
        <v/>
      </c>
      <c r="M97" s="154"/>
      <c r="N97" s="155">
        <f>SUM('Pay App 1:Pay App 44'!L97)+SUM('Pay App 1:Pay App 44'!M97)</f>
        <v>0</v>
      </c>
    </row>
    <row r="98" spans="1:15" ht="10.9" customHeight="1" x14ac:dyDescent="0.25">
      <c r="A98" s="152">
        <v>42</v>
      </c>
      <c r="B98" s="175" t="str">
        <f>'Pay App 1'!B98</f>
        <v>08 60 00</v>
      </c>
      <c r="C98" s="180" t="str">
        <f>'Pay App 1'!C98</f>
        <v>Skylights</v>
      </c>
      <c r="D98" s="155">
        <f>'Pay App 1'!D98</f>
        <v>0</v>
      </c>
      <c r="E98" s="155">
        <f>VLOOKUP(B98,'Graph Data'!$O$2:$BX$88,46,FALSE)</f>
        <v>0</v>
      </c>
      <c r="F98" s="155">
        <f>IFERROR(E98+'Pay App 43'!F98,"")</f>
        <v>0</v>
      </c>
      <c r="G98" s="155">
        <f>SUM('Pay App 1:Pay App 43'!H98)</f>
        <v>0</v>
      </c>
      <c r="H98" s="154"/>
      <c r="I98" s="155">
        <f t="shared" si="0"/>
        <v>0</v>
      </c>
      <c r="J98" s="156">
        <f t="shared" si="1"/>
        <v>0</v>
      </c>
      <c r="K98" s="155">
        <f t="shared" si="2"/>
        <v>0</v>
      </c>
      <c r="L98" s="155" t="str">
        <f>IF(AND('Summary Sheet'!$E$23="No",$H$33&gt;0,H98&gt;=1),"",IF(AND('Summary Sheet'!$E$23="Yes",H98&lt;&gt;""),H98*'Summary Sheet'!$G$23,""))</f>
        <v/>
      </c>
      <c r="M98" s="154"/>
      <c r="N98" s="155">
        <f>SUM('Pay App 1:Pay App 44'!L98)+SUM('Pay App 1:Pay App 44'!M98)</f>
        <v>0</v>
      </c>
    </row>
    <row r="99" spans="1:15" ht="10.9" customHeight="1" x14ac:dyDescent="0.25">
      <c r="A99" s="152">
        <v>43</v>
      </c>
      <c r="B99" s="175" t="str">
        <f>'Pay App 1'!B99</f>
        <v>08 90 00</v>
      </c>
      <c r="C99" s="180" t="str">
        <f>'Pay App 1'!C99</f>
        <v>Louvers &amp; Vents</v>
      </c>
      <c r="D99" s="155">
        <f>'Pay App 1'!D99</f>
        <v>0</v>
      </c>
      <c r="E99" s="155">
        <f>VLOOKUP(B99,'Graph Data'!$O$2:$BX$88,46,FALSE)</f>
        <v>0</v>
      </c>
      <c r="F99" s="155">
        <f>IFERROR(E99+'Pay App 43'!F99,"")</f>
        <v>0</v>
      </c>
      <c r="G99" s="155">
        <f>SUM('Pay App 1:Pay App 43'!H99)</f>
        <v>0</v>
      </c>
      <c r="H99" s="154"/>
      <c r="I99" s="155">
        <f t="shared" si="0"/>
        <v>0</v>
      </c>
      <c r="J99" s="156">
        <f t="shared" si="1"/>
        <v>0</v>
      </c>
      <c r="K99" s="155">
        <f t="shared" si="2"/>
        <v>0</v>
      </c>
      <c r="L99" s="155" t="str">
        <f>IF(AND('Summary Sheet'!$E$23="No",$H$33&gt;0,H99&gt;=1),"",IF(AND('Summary Sheet'!$E$23="Yes",H99&lt;&gt;""),H99*'Summary Sheet'!$G$23,""))</f>
        <v/>
      </c>
      <c r="M99" s="154"/>
      <c r="N99" s="155">
        <f>SUM('Pay App 1:Pay App 44'!L99)+SUM('Pay App 1:Pay App 44'!M99)</f>
        <v>0</v>
      </c>
    </row>
    <row r="100" spans="1:15" ht="11.25" customHeight="1" x14ac:dyDescent="0.25">
      <c r="A100" s="153">
        <v>44</v>
      </c>
      <c r="B100" s="176" t="str">
        <f>'Pay App 1'!B100</f>
        <v>09 20 00</v>
      </c>
      <c r="C100" s="181" t="str">
        <f>'Pay App 1'!C100</f>
        <v>Gypsum Board Systems</v>
      </c>
      <c r="D100" s="155">
        <f>'Pay App 1'!D100</f>
        <v>0</v>
      </c>
      <c r="E100" s="155">
        <f>VLOOKUP(B100,'Graph Data'!$O$2:$BX$88,46,FALSE)</f>
        <v>0</v>
      </c>
      <c r="F100" s="155">
        <f>IFERROR(E100+'Pay App 43'!F100,"")</f>
        <v>0</v>
      </c>
      <c r="G100" s="155">
        <f>SUM('Pay App 1:Pay App 43'!H100)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44'!L100)+SUM('Pay App 1:Pay App 44'!M100)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44.2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Data'!$O$2:$BX$88,46,FALSE)</f>
        <v>0</v>
      </c>
      <c r="F106" s="155">
        <f>IFERROR(E106+'Pay App 43'!F106,"")</f>
        <v>0</v>
      </c>
      <c r="G106" s="155">
        <f>SUM('Pay App 1:Pay App 43'!H106)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44'!L106)+SUM('Pay App 1:Pay App 44'!M106)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Data'!$O$2:$BX$88,46,FALSE)</f>
        <v>0</v>
      </c>
      <c r="F107" s="155">
        <f>IFERROR(E107+'Pay App 43'!F107,"")</f>
        <v>0</v>
      </c>
      <c r="G107" s="155">
        <f>SUM('Pay App 1:Pay App 43'!H107)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44'!L107)+SUM('Pay App 1:Pay App 44'!M107)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Data'!$O$2:$BX$88,46,FALSE)</f>
        <v>0</v>
      </c>
      <c r="F108" s="155">
        <f>IFERROR(E108+'Pay App 43'!F108,"")</f>
        <v>0</v>
      </c>
      <c r="G108" s="155">
        <f>SUM('Pay App 1:Pay App 43'!H108)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44'!L108)+SUM('Pay App 1:Pay App 44'!M108)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Data'!$O$2:$BX$88,46,FALSE)</f>
        <v>0</v>
      </c>
      <c r="F109" s="155">
        <f>IFERROR(E109+'Pay App 43'!F109,"")</f>
        <v>0</v>
      </c>
      <c r="G109" s="155">
        <f>SUM('Pay App 1:Pay App 43'!H109)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44'!L109)+SUM('Pay App 1:Pay App 44'!M109)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Data'!$O$2:$BX$88,46,FALSE)</f>
        <v>0</v>
      </c>
      <c r="F110" s="155">
        <f>IFERROR(E110+'Pay App 43'!F110,"")</f>
        <v>0</v>
      </c>
      <c r="G110" s="155">
        <f>SUM('Pay App 1:Pay App 43'!H110)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44'!L110)+SUM('Pay App 1:Pay App 44'!M110)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Data'!$O$2:$BX$88,46,FALSE)</f>
        <v>0</v>
      </c>
      <c r="F111" s="155">
        <f>IFERROR(E111+'Pay App 43'!F111,"")</f>
        <v>0</v>
      </c>
      <c r="G111" s="155">
        <f>SUM('Pay App 1:Pay App 43'!H111)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44'!L111)+SUM('Pay App 1:Pay App 44'!M111)</f>
        <v>0</v>
      </c>
    </row>
    <row r="112" spans="1:15" ht="11.25" customHeight="1" x14ac:dyDescent="0.25">
      <c r="A112" s="152">
        <f t="shared" si="3"/>
        <v>51</v>
      </c>
      <c r="B112" s="148" t="str">
        <f>'Pay App 1'!B112</f>
        <v>09 90 00</v>
      </c>
      <c r="C112" s="143" t="str">
        <f>'Pay App 1'!C112</f>
        <v>Painting</v>
      </c>
      <c r="D112" s="155">
        <f>'Pay App 1'!D112</f>
        <v>0</v>
      </c>
      <c r="E112" s="155">
        <f>VLOOKUP(B112,'Graph Data'!$O$2:$BX$88,46,FALSE)</f>
        <v>0</v>
      </c>
      <c r="F112" s="155">
        <f>IFERROR(E112+'Pay App 43'!F112,"")</f>
        <v>0</v>
      </c>
      <c r="G112" s="155">
        <f>SUM('Pay App 1:Pay App 43'!H112)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44'!L112)+SUM('Pay App 1:Pay App 44'!M112)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Data'!$O$2:$BX$88,46,FALSE)</f>
        <v>0</v>
      </c>
      <c r="F113" s="155">
        <f>IFERROR(E113+'Pay App 43'!F113,"")</f>
        <v>0</v>
      </c>
      <c r="G113" s="155">
        <f>SUM('Pay App 1:Pay App 43'!H113)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44'!L113)+SUM('Pay App 1:Pay App 44'!M113)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Data'!$O$2:$BX$88,46,FALSE)</f>
        <v>0</v>
      </c>
      <c r="F114" s="155">
        <f>IFERROR(E114+'Pay App 43'!F114,"")</f>
        <v>0</v>
      </c>
      <c r="G114" s="155">
        <f>SUM('Pay App 1:Pay App 43'!H114)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44'!L114)+SUM('Pay App 1:Pay App 44'!M114)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Data'!$O$2:$BX$88,46,FALSE)</f>
        <v>0</v>
      </c>
      <c r="F115" s="155">
        <f>IFERROR(E115+'Pay App 43'!F115,"")</f>
        <v>0</v>
      </c>
      <c r="G115" s="155">
        <f>SUM('Pay App 1:Pay App 43'!H115)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44'!L115)+SUM('Pay App 1:Pay App 44'!M115)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Data'!$O$2:$BX$88,46,FALSE)</f>
        <v>0</v>
      </c>
      <c r="F116" s="155">
        <f>IFERROR(E116+'Pay App 43'!F116,"")</f>
        <v>0</v>
      </c>
      <c r="G116" s="155">
        <f>SUM('Pay App 1:Pay App 43'!H116)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44'!L116)+SUM('Pay App 1:Pay App 44'!M116)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Data'!$O$2:$BX$88,46,FALSE)</f>
        <v>0</v>
      </c>
      <c r="F117" s="155">
        <f>IFERROR(E117+'Pay App 43'!F117,"")</f>
        <v>0</v>
      </c>
      <c r="G117" s="155">
        <f>SUM('Pay App 1:Pay App 43'!H117)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44'!L117)+SUM('Pay App 1:Pay App 44'!M117)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Data'!$O$2:$BX$88,46,FALSE)</f>
        <v>0</v>
      </c>
      <c r="F118" s="155">
        <f>IFERROR(E118+'Pay App 43'!F118,"")</f>
        <v>0</v>
      </c>
      <c r="G118" s="155">
        <f>SUM('Pay App 1:Pay App 43'!H118)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44'!L118)+SUM('Pay App 1:Pay App 44'!M118)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Data'!$O$2:$BX$88,46,FALSE)</f>
        <v>0</v>
      </c>
      <c r="F119" s="155">
        <f>IFERROR(E119+'Pay App 43'!F119,"")</f>
        <v>0</v>
      </c>
      <c r="G119" s="155">
        <f>SUM('Pay App 1:Pay App 43'!H119)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44'!L119)+SUM('Pay App 1:Pay App 44'!M119)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Data'!$O$2:$BX$88,46,FALSE)</f>
        <v>0</v>
      </c>
      <c r="F120" s="155">
        <f>IFERROR(E120+'Pay App 43'!F120,"")</f>
        <v>0</v>
      </c>
      <c r="G120" s="155">
        <f>SUM('Pay App 1:Pay App 43'!H120)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44'!L120)+SUM('Pay App 1:Pay App 44'!M120)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Data'!$O$2:$BX$88,46,FALSE)</f>
        <v>0</v>
      </c>
      <c r="F121" s="155">
        <f>IFERROR(E121+'Pay App 43'!F121,"")</f>
        <v>0</v>
      </c>
      <c r="G121" s="155">
        <f>SUM('Pay App 1:Pay App 43'!H121)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44'!L121)+SUM('Pay App 1:Pay App 44'!M121)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Data'!$O$2:$BX$88,46,FALSE)</f>
        <v>0</v>
      </c>
      <c r="F122" s="155">
        <f>IFERROR(E122+'Pay App 43'!F122,"")</f>
        <v>0</v>
      </c>
      <c r="G122" s="155">
        <f>SUM('Pay App 1:Pay App 43'!H122)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44'!L122)+SUM('Pay App 1:Pay App 44'!M122)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Data'!$O$2:$BX$88,46,FALSE)</f>
        <v>0</v>
      </c>
      <c r="F123" s="155">
        <f>IFERROR(E123+'Pay App 43'!F123,"")</f>
        <v>0</v>
      </c>
      <c r="G123" s="155">
        <f>SUM('Pay App 1:Pay App 43'!H123)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44'!L123)+SUM('Pay App 1:Pay App 44'!M123)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Data'!$O$2:$BX$88,46,FALSE)</f>
        <v>0</v>
      </c>
      <c r="F124" s="155">
        <f>IFERROR(E124+'Pay App 43'!F124,"")</f>
        <v>0</v>
      </c>
      <c r="G124" s="155">
        <f>SUM('Pay App 1:Pay App 43'!H124)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44'!L124)+SUM('Pay App 1:Pay App 44'!M124)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Data'!$O$2:$BX$88,46,FALSE)</f>
        <v>0</v>
      </c>
      <c r="F125" s="155">
        <f>IFERROR(E125+'Pay App 43'!F125,"")</f>
        <v>0</v>
      </c>
      <c r="G125" s="155">
        <f>SUM('Pay App 1:Pay App 43'!H125)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44'!L125)+SUM('Pay App 1:Pay App 44'!M125)</f>
        <v>0</v>
      </c>
    </row>
    <row r="126" spans="1:14" ht="11.25" customHeight="1" x14ac:dyDescent="0.25">
      <c r="A126" s="152">
        <f t="shared" si="3"/>
        <v>65</v>
      </c>
      <c r="B126" s="188" t="str">
        <f>'Pay App 1'!B126</f>
        <v>14 20 00</v>
      </c>
      <c r="C126" s="194" t="str">
        <f>'Pay App 1'!C126</f>
        <v>Elevator</v>
      </c>
      <c r="D126" s="155">
        <f>'Pay App 1'!D126</f>
        <v>0</v>
      </c>
      <c r="E126" s="155">
        <f>VLOOKUP(B126,'Graph Data'!$O$2:$BX$88,46,FALSE)</f>
        <v>0</v>
      </c>
      <c r="F126" s="155">
        <f>IFERROR(E126+'Pay App 43'!F126,"")</f>
        <v>0</v>
      </c>
      <c r="G126" s="155">
        <f>SUM('Pay App 1:Pay App 43'!H126)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44'!L126)+SUM('Pay App 1:Pay App 44'!M126)</f>
        <v>0</v>
      </c>
    </row>
    <row r="127" spans="1:14" ht="11.25" customHeight="1" x14ac:dyDescent="0.25">
      <c r="A127" s="152">
        <f t="shared" si="3"/>
        <v>66</v>
      </c>
      <c r="B127" s="188" t="str">
        <f>'Pay App 1'!B127</f>
        <v>14 40 00</v>
      </c>
      <c r="C127" s="194" t="str">
        <f>'Pay App 1'!C127</f>
        <v>Lifts</v>
      </c>
      <c r="D127" s="155">
        <f>'Pay App 1'!D127</f>
        <v>0</v>
      </c>
      <c r="E127" s="155">
        <f>VLOOKUP(B127,'Graph Data'!$O$2:$BX$88,46,FALSE)</f>
        <v>0</v>
      </c>
      <c r="F127" s="155">
        <f>IFERROR(E127+'Pay App 43'!F127,"")</f>
        <v>0</v>
      </c>
      <c r="G127" s="155">
        <f>SUM('Pay App 1:Pay App 43'!H127)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44'!L127)+SUM('Pay App 1:Pay App 44'!M127)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Data'!$O$2:$BX$88,46,FALSE)</f>
        <v>0</v>
      </c>
      <c r="F128" s="155">
        <f>IFERROR(E128+'Pay App 43'!F128,"")</f>
        <v>0</v>
      </c>
      <c r="G128" s="155">
        <f>SUM('Pay App 1:Pay App 43'!H128)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44'!L128)+SUM('Pay App 1:Pay App 44'!M128)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Data'!$O$2:$BX$88,46,FALSE)</f>
        <v>0</v>
      </c>
      <c r="F129" s="155">
        <f>IFERROR(E129+'Pay App 43'!F129,"")</f>
        <v>0</v>
      </c>
      <c r="G129" s="155">
        <f>SUM('Pay App 1:Pay App 43'!H129)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44'!L129)+SUM('Pay App 1:Pay App 44'!M129)</f>
        <v>0</v>
      </c>
    </row>
    <row r="130" spans="1:14" ht="11.25" customHeight="1" x14ac:dyDescent="0.25">
      <c r="A130" s="152">
        <f t="shared" si="3"/>
        <v>69</v>
      </c>
      <c r="B130" s="185" t="str">
        <f>'Pay App 1'!B130</f>
        <v>22 00 00</v>
      </c>
      <c r="C130" s="191" t="str">
        <f>'Pay App 1'!C130</f>
        <v>Plumbing</v>
      </c>
      <c r="D130" s="155">
        <f>'Pay App 1'!D130</f>
        <v>0</v>
      </c>
      <c r="E130" s="155">
        <f>VLOOKUP(B130,'Graph Data'!$O$2:$BX$88,46,FALSE)</f>
        <v>0</v>
      </c>
      <c r="F130" s="155">
        <f>IFERROR(E130+'Pay App 43'!F130,"")</f>
        <v>0</v>
      </c>
      <c r="G130" s="155">
        <f>SUM('Pay App 1:Pay App 43'!H130)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44'!L130)+SUM('Pay App 1:Pay App 44'!M130)</f>
        <v>0</v>
      </c>
    </row>
    <row r="131" spans="1:14" ht="11.25" customHeight="1" x14ac:dyDescent="0.25">
      <c r="A131" s="152">
        <f t="shared" si="3"/>
        <v>70</v>
      </c>
      <c r="B131" s="186" t="str">
        <f>'Pay App 1'!B131</f>
        <v>23 00 00</v>
      </c>
      <c r="C131" s="192" t="str">
        <f>'Pay App 1'!C131</f>
        <v>HVAC</v>
      </c>
      <c r="D131" s="155">
        <f>'Pay App 1'!D131</f>
        <v>0</v>
      </c>
      <c r="E131" s="155">
        <f>VLOOKUP(B131,'Graph Data'!$O$2:$BX$88,46,FALSE)</f>
        <v>0</v>
      </c>
      <c r="F131" s="155">
        <f>IFERROR(E131+'Pay App 43'!F131,"")</f>
        <v>0</v>
      </c>
      <c r="G131" s="155">
        <f>SUM('Pay App 1:Pay App 43'!H131)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44'!L131)+SUM('Pay App 1:Pay App 44'!M131)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Data'!$O$2:$BX$88,46,FALSE)</f>
        <v>0</v>
      </c>
      <c r="F132" s="155">
        <f>IFERROR(E132+'Pay App 43'!F132,"")</f>
        <v>0</v>
      </c>
      <c r="G132" s="155">
        <f>SUM('Pay App 1:Pay App 43'!H132)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44'!L132)+SUM('Pay App 1:Pay App 44'!M132)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Data'!$O$2:$BX$88,46,FALSE)</f>
        <v>0</v>
      </c>
      <c r="F133" s="155">
        <f>IFERROR(E133+'Pay App 43'!F133,"")</f>
        <v>0</v>
      </c>
      <c r="G133" s="155">
        <f>SUM('Pay App 1:Pay App 43'!H133)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44'!L133)+SUM('Pay App 1:Pay App 44'!M133)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Data'!$O$2:$BX$88,46,FALSE)</f>
        <v>0</v>
      </c>
      <c r="F134" s="155">
        <f>IFERROR(E134+'Pay App 43'!F134,"")</f>
        <v>0</v>
      </c>
      <c r="G134" s="155">
        <f>SUM('Pay App 1:Pay App 43'!H134)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44'!L134)+SUM('Pay App 1:Pay App 44'!M134)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Data'!$O$2:$BX$88,46,FALSE)</f>
        <v>0</v>
      </c>
      <c r="F135" s="155">
        <f>IFERROR(E135+'Pay App 43'!F135,"")</f>
        <v>0</v>
      </c>
      <c r="G135" s="155">
        <f>SUM('Pay App 1:Pay App 43'!H135)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44'!L135)+SUM('Pay App 1:Pay App 44'!M135)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Data'!$O$2:$BX$88,46,FALSE)</f>
        <v>0</v>
      </c>
      <c r="F136" s="155">
        <f>IFERROR(E136+'Pay App 43'!F136,"")</f>
        <v>0</v>
      </c>
      <c r="G136" s="155">
        <f>SUM('Pay App 1:Pay App 43'!H136)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44'!L136)+SUM('Pay App 1:Pay App 44'!M136)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Data'!$O$2:$BX$88,46,FALSE)</f>
        <v>0</v>
      </c>
      <c r="F137" s="155">
        <f>IFERROR(E137+'Pay App 43'!F137,"")</f>
        <v>0</v>
      </c>
      <c r="G137" s="155">
        <f>SUM('Pay App 1:Pay App 43'!H137)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44'!L137)+SUM('Pay App 1:Pay App 44'!M137)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Data'!$O$2:$BX$88,46,FALSE)</f>
        <v>0</v>
      </c>
      <c r="F138" s="155">
        <f>IFERROR(E138+'Pay App 43'!F138,"")</f>
        <v>0</v>
      </c>
      <c r="G138" s="155">
        <f>SUM('Pay App 1:Pay App 43'!H138)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44'!L138)+SUM('Pay App 1:Pay App 44'!M138)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Data'!$O$2:$BX$88,46,FALSE)</f>
        <v>0</v>
      </c>
      <c r="F139" s="155">
        <f>IFERROR(E139+'Pay App 43'!F139,"")</f>
        <v>0</v>
      </c>
      <c r="G139" s="155">
        <f>SUM('Pay App 1:Pay App 43'!H139)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44'!L139)+SUM('Pay App 1:Pay App 44'!M139)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Data'!$O$2:$BX$88,46,FALSE)</f>
        <v>0</v>
      </c>
      <c r="F140" s="155">
        <f>IFERROR(E140+'Pay App 43'!F140,"")</f>
        <v>0</v>
      </c>
      <c r="G140" s="155">
        <f>SUM('Pay App 1:Pay App 43'!H140)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44'!L140)+SUM('Pay App 1:Pay App 44'!M140)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Data'!$O$2:$BX$88,46,FALSE)</f>
        <v>0</v>
      </c>
      <c r="F141" s="155">
        <f>IFERROR(E141+'Pay App 43'!F141,"")</f>
        <v>0</v>
      </c>
      <c r="G141" s="155">
        <f>SUM('Pay App 1:Pay App 43'!H141)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44'!L141)+SUM('Pay App 1:Pay App 44'!M141)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Data'!$O$2:$BX$88,46,FALSE)</f>
        <v>0</v>
      </c>
      <c r="F142" s="155">
        <f>IFERROR(E142+'Pay App 43'!F142,"")</f>
        <v>0</v>
      </c>
      <c r="G142" s="155">
        <f>SUM('Pay App 1:Pay App 43'!H142)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44'!L142)+SUM('Pay App 1:Pay App 44'!M142)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Data'!$O$2:$BX$88,46,FALSE)</f>
        <v>0</v>
      </c>
      <c r="F143" s="155">
        <f>IFERROR(E143+'Pay App 43'!F143,"")</f>
        <v>0</v>
      </c>
      <c r="G143" s="155">
        <f>SUM('Pay App 1:Pay App 43'!H143)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44'!L143)+SUM('Pay App 1:Pay App 44'!M143)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Data'!$O$2:$BX$88,46,FALSE)</f>
        <v>0</v>
      </c>
      <c r="F144" s="155">
        <f>IFERROR(E144+'Pay App 43'!F144,"")</f>
        <v>0</v>
      </c>
      <c r="G144" s="155">
        <f>SUM('Pay App 1:Pay App 43'!H144)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44'!L144)+SUM('Pay App 1:Pay App 44'!M144)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Data'!$O$2:$BX$88,46,FALSE)</f>
        <v>0</v>
      </c>
      <c r="F145" s="155">
        <f>IFERROR(E145+'Pay App 43'!F145,"")</f>
        <v>0</v>
      </c>
      <c r="G145" s="155">
        <f>SUM('Pay App 1:Pay App 43'!H145)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44'!L145)+SUM('Pay App 1:Pay App 44'!M145)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Data'!$O$2:$BX$88,46,FALSE)</f>
        <v>0</v>
      </c>
      <c r="F146" s="155">
        <f>IFERROR(E146+'Pay App 43'!F146,"")</f>
        <v>0</v>
      </c>
      <c r="G146" s="155">
        <f>SUM('Pay App 1:Pay App 43'!H146)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44'!L146)+SUM('Pay App 1:Pay App 44'!M146)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Data'!$O$2:$BX$88,46,FALSE)</f>
        <v>0</v>
      </c>
      <c r="F147" s="155">
        <f>IFERROR(E147+'Pay App 43'!F147,"")</f>
        <v>0</v>
      </c>
      <c r="G147" s="155">
        <f>SUM('Pay App 1:Pay App 43'!H147)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44'!L147)+SUM('Pay App 1:Pay App 44'!M147)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Data'!$O$2:$BX$88,46,FALSE)</f>
        <v>0</v>
      </c>
      <c r="F148" s="155">
        <f>IFERROR(E148+'Pay App 43'!F148,"")</f>
        <v>0</v>
      </c>
      <c r="G148" s="155">
        <f>SUM('Pay App 1:Pay App 43'!H148)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44'!L148)+SUM('Pay App 1:Pay App 44'!M148)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CzyunWLiMPgUo9p+ejFnp+cKSOlJhvz4VFzLV0XpbZjh8TG3WojeCxOZdVw3Mn16lyF5V5og77rQwR2NEJeosQ==" saltValue="sGsN2iNYxilxjfeVts6E+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86" priority="2" operator="equal">
      <formula>0</formula>
    </cfRule>
  </conditionalFormatting>
  <conditionalFormatting sqref="D106:G148">
    <cfRule type="cellIs" dxfId="185" priority="1" operator="equal">
      <formula>0</formula>
    </cfRule>
  </conditionalFormatting>
  <conditionalFormatting sqref="D10:H10 D12:H14 D19:H21">
    <cfRule type="cellIs" dxfId="184" priority="6" operator="equal">
      <formula>0</formula>
    </cfRule>
  </conditionalFormatting>
  <conditionalFormatting sqref="H51">
    <cfRule type="cellIs" dxfId="183" priority="9" operator="lessThan">
      <formula>0</formula>
    </cfRule>
  </conditionalFormatting>
  <conditionalFormatting sqref="I57:I100 K57:K100 I106:I148 K106:K148 N106:N148">
    <cfRule type="cellIs" dxfId="182" priority="14" operator="equal">
      <formula>0</formula>
    </cfRule>
  </conditionalFormatting>
  <conditionalFormatting sqref="J57:J100 J106:J149">
    <cfRule type="cellIs" dxfId="181" priority="11" operator="greaterThan">
      <formula>1</formula>
    </cfRule>
    <cfRule type="cellIs" dxfId="180" priority="12" operator="equal">
      <formula>0</formula>
    </cfRule>
  </conditionalFormatting>
  <conditionalFormatting sqref="K57:K100 K106:K148">
    <cfRule type="cellIs" dxfId="179" priority="10" operator="lessThan">
      <formula>0</formula>
    </cfRule>
  </conditionalFormatting>
  <conditionalFormatting sqref="M57:M100">
    <cfRule type="cellIs" dxfId="178" priority="13" operator="lessThan">
      <formula>0</formula>
    </cfRule>
  </conditionalFormatting>
  <conditionalFormatting sqref="M106:M148">
    <cfRule type="cellIs" dxfId="177" priority="8" operator="lessThan">
      <formula>0</formula>
    </cfRule>
  </conditionalFormatting>
  <conditionalFormatting sqref="N57:N100">
    <cfRule type="cellIs" dxfId="17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F3083946-CD24-4488-BA62-2D4E98A6E28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44C5033-59B7-4F3D-9CFB-976335B4CD63}">
          <x14:formula1>
            <xm:f>'Graph Data'!$M$74:$M$76</xm:f>
          </x14:formula1>
          <xm:sqref>G17</xm:sqref>
        </x14:dataValidation>
      </x14:dataValidation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19CCD-4C08-42ED-A3E5-C2849C41970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45.1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Data'!$O$2:$BX$88,47,FALSE)</f>
        <v>0</v>
      </c>
      <c r="F57" s="155">
        <f>IFERROR(E57+'Pay App 44'!F57,"")</f>
        <v>0</v>
      </c>
      <c r="G57" s="155">
        <f>SUM('Pay App 1:Pay App 44'!H57)</f>
        <v>0</v>
      </c>
      <c r="H57" s="154"/>
      <c r="I57" s="155">
        <f>G57+H57</f>
        <v>0</v>
      </c>
      <c r="J57" s="156">
        <f>IFERROR(I57/F57,0)</f>
        <v>0</v>
      </c>
      <c r="K57" s="155">
        <f>IFERROR(F57-I57,"")</f>
        <v>0</v>
      </c>
      <c r="L57" s="155" t="str">
        <f>IF(AND('Summary Sheet'!$E$23="No",$H$33&gt;0,H57&gt;=1),"",IF(AND('Summary Sheet'!$E$23="Yes",H57&lt;&gt;""),H57*'Summary Sheet'!$G$23,""))</f>
        <v/>
      </c>
      <c r="M57" s="154"/>
      <c r="N57" s="155">
        <f>SUM('Pay App 1:Pay App 45'!L57)+SUM('Pay App 1:Pay App 45'!M57)</f>
        <v>0</v>
      </c>
    </row>
    <row r="58" spans="1:16" ht="11.25" customHeight="1" x14ac:dyDescent="0.25">
      <c r="A58" s="152">
        <v>2</v>
      </c>
      <c r="B58" s="145" t="str">
        <f>'Pay App 1'!B58</f>
        <v>00 02 00</v>
      </c>
      <c r="C58" s="134" t="str">
        <f>'Pay App 1'!C58</f>
        <v>Preconstruction Services</v>
      </c>
      <c r="D58" s="155">
        <f>'Pay App 1'!D58</f>
        <v>0</v>
      </c>
      <c r="E58" s="155">
        <f>VLOOKUP(B58,'Graph Data'!$O$2:$BX$88,47,FALSE)</f>
        <v>0</v>
      </c>
      <c r="F58" s="155">
        <f>IFERROR(E58+'Pay App 44'!F58,"")</f>
        <v>0</v>
      </c>
      <c r="G58" s="155">
        <f>SUM('Pay App 1:Pay App 44'!H58)</f>
        <v>0</v>
      </c>
      <c r="H58" s="154"/>
      <c r="I58" s="155">
        <f>G58+H58</f>
        <v>0</v>
      </c>
      <c r="J58" s="156">
        <f>IFERROR(I58/F58,0)</f>
        <v>0</v>
      </c>
      <c r="K58" s="155">
        <f>IFERROR(F58-I58,"")</f>
        <v>0</v>
      </c>
      <c r="L58" s="155" t="str">
        <f>IF(AND('Summary Sheet'!$E$23="No",$H$33&gt;0,H58&gt;=1),"",IF(AND('Summary Sheet'!$E$23="Yes",H58&lt;&gt;""),H58*'Summary Sheet'!$G$23,""))</f>
        <v/>
      </c>
      <c r="M58" s="154"/>
      <c r="N58" s="155">
        <f>SUM('Pay App 1:Pay App 45'!L58)+SUM('Pay App 1:Pay App 45'!M58)</f>
        <v>0</v>
      </c>
    </row>
    <row r="59" spans="1:16" ht="11.25" customHeight="1" x14ac:dyDescent="0.25">
      <c r="A59" s="152">
        <v>3</v>
      </c>
      <c r="B59" s="174" t="str">
        <f>'Pay App 1'!B59</f>
        <v>01 00 00</v>
      </c>
      <c r="C59" s="179" t="str">
        <f>'Pay App 1'!C59</f>
        <v>General Conditions/Requirements</v>
      </c>
      <c r="D59" s="155">
        <f>'Pay App 1'!D59</f>
        <v>0</v>
      </c>
      <c r="E59" s="155">
        <f>VLOOKUP(B59,'Graph Data'!$O$2:$BX$88,47,FALSE)</f>
        <v>0</v>
      </c>
      <c r="F59" s="155">
        <f>IFERROR(E59+'Pay App 44'!F59,"")</f>
        <v>0</v>
      </c>
      <c r="G59" s="155">
        <f>SUM('Pay App 1:Pay App 44'!H59)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45'!L59)+SUM('Pay App 1:Pay App 45'!M59)</f>
        <v>0</v>
      </c>
    </row>
    <row r="60" spans="1:16" ht="11.25" customHeight="1" x14ac:dyDescent="0.25">
      <c r="A60" s="152">
        <v>4</v>
      </c>
      <c r="B60" s="174" t="str">
        <f>'Pay App 1'!B60</f>
        <v>01 13 41</v>
      </c>
      <c r="C60" s="179" t="str">
        <f>'Pay App 1'!C60</f>
        <v>Temp. Scaffolding and Platforms</v>
      </c>
      <c r="D60" s="155">
        <f>'Pay App 1'!D60</f>
        <v>0</v>
      </c>
      <c r="E60" s="155">
        <f>VLOOKUP(B60,'Graph Data'!$O$2:$BX$88,47,FALSE)</f>
        <v>0</v>
      </c>
      <c r="F60" s="155">
        <f>IFERROR(E60+'Pay App 44'!F60,"")</f>
        <v>0</v>
      </c>
      <c r="G60" s="155">
        <f>SUM('Pay App 1:Pay App 44'!H60)</f>
        <v>0</v>
      </c>
      <c r="H60" s="154"/>
      <c r="I60" s="155">
        <f t="shared" si="0"/>
        <v>0</v>
      </c>
      <c r="J60" s="156">
        <f t="shared" si="1"/>
        <v>0</v>
      </c>
      <c r="K60" s="155">
        <f t="shared" si="2"/>
        <v>0</v>
      </c>
      <c r="L60" s="155" t="str">
        <f>IF(AND('Summary Sheet'!$E$23="No",$H$33&gt;0,H60&gt;=1),"",IF(AND('Summary Sheet'!$E$23="Yes",H60&lt;&gt;""),H60*'Summary Sheet'!$G$23,""))</f>
        <v/>
      </c>
      <c r="M60" s="154"/>
      <c r="N60" s="155">
        <f>SUM('Pay App 1:Pay App 45'!L60)+SUM('Pay App 1:Pay App 45'!M60)</f>
        <v>0</v>
      </c>
    </row>
    <row r="61" spans="1:16" ht="11.25" customHeight="1" x14ac:dyDescent="0.25">
      <c r="A61" s="152">
        <v>5</v>
      </c>
      <c r="B61" s="174" t="str">
        <f>'Pay App 1'!B61</f>
        <v>01 13 60</v>
      </c>
      <c r="C61" s="179" t="str">
        <f>'Pay App 1'!C61</f>
        <v>SWPPP</v>
      </c>
      <c r="D61" s="155">
        <f>'Pay App 1'!D61</f>
        <v>0</v>
      </c>
      <c r="E61" s="155">
        <f>VLOOKUP(B61,'Graph Data'!$O$2:$BX$88,47,FALSE)</f>
        <v>0</v>
      </c>
      <c r="F61" s="155">
        <f>IFERROR(E61+'Pay App 44'!F61,"")</f>
        <v>0</v>
      </c>
      <c r="G61" s="155">
        <f>SUM('Pay App 1:Pay App 44'!H61)</f>
        <v>0</v>
      </c>
      <c r="H61" s="154"/>
      <c r="I61" s="155">
        <f t="shared" si="0"/>
        <v>0</v>
      </c>
      <c r="J61" s="156">
        <f t="shared" si="1"/>
        <v>0</v>
      </c>
      <c r="K61" s="155">
        <f t="shared" si="2"/>
        <v>0</v>
      </c>
      <c r="L61" s="155" t="str">
        <f>IF(AND('Summary Sheet'!$E$23="No",$H$33&gt;0,H61&gt;=1),"",IF(AND('Summary Sheet'!$E$23="Yes",H61&lt;&gt;""),H61*'Summary Sheet'!$G$23,""))</f>
        <v/>
      </c>
      <c r="M61" s="154"/>
      <c r="N61" s="155">
        <f>SUM('Pay App 1:Pay App 45'!L61)+SUM('Pay App 1:Pay App 45'!M61)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Data'!$O$2:$BX$88,47,FALSE)</f>
        <v>0</v>
      </c>
      <c r="F62" s="155">
        <f>IFERROR(E62+'Pay App 44'!F62,"")</f>
        <v>0</v>
      </c>
      <c r="G62" s="155">
        <f>SUM('Pay App 1:Pay App 44'!H62)</f>
        <v>0</v>
      </c>
      <c r="H62" s="154"/>
      <c r="I62" s="155">
        <f t="shared" si="0"/>
        <v>0</v>
      </c>
      <c r="J62" s="156">
        <f t="shared" si="1"/>
        <v>0</v>
      </c>
      <c r="K62" s="155">
        <f t="shared" si="2"/>
        <v>0</v>
      </c>
      <c r="L62" s="155" t="str">
        <f>IF(AND('Summary Sheet'!$E$23="No",$H$33&gt;0,H62&gt;=1),"",IF(AND('Summary Sheet'!$E$23="Yes",H62&lt;&gt;""),H62*'Summary Sheet'!$G$23,""))</f>
        <v/>
      </c>
      <c r="M62" s="154"/>
      <c r="N62" s="155">
        <f>SUM('Pay App 1:Pay App 45'!L62)+SUM('Pay App 1:Pay App 45'!M62)</f>
        <v>0</v>
      </c>
    </row>
    <row r="63" spans="1:16" ht="11.25" customHeight="1" x14ac:dyDescent="0.25">
      <c r="A63" s="152">
        <v>7</v>
      </c>
      <c r="B63" s="174" t="str">
        <f>'Pay App 1'!B63</f>
        <v>01 31 00</v>
      </c>
      <c r="C63" s="179" t="str">
        <f>'Pay App 1'!C63</f>
        <v>Contractor's Supervision</v>
      </c>
      <c r="D63" s="155">
        <f>'Pay App 1'!D63</f>
        <v>0</v>
      </c>
      <c r="E63" s="155">
        <f>VLOOKUP(B63,'Graph Data'!$O$2:$BX$88,47,FALSE)</f>
        <v>0</v>
      </c>
      <c r="F63" s="155">
        <f>IFERROR(E63+'Pay App 44'!F63,"")</f>
        <v>0</v>
      </c>
      <c r="G63" s="155">
        <f>SUM('Pay App 1:Pay App 44'!H63)</f>
        <v>0</v>
      </c>
      <c r="H63" s="154"/>
      <c r="I63" s="155">
        <f t="shared" si="0"/>
        <v>0</v>
      </c>
      <c r="J63" s="156">
        <f t="shared" si="1"/>
        <v>0</v>
      </c>
      <c r="K63" s="155">
        <f t="shared" si="2"/>
        <v>0</v>
      </c>
      <c r="L63" s="155" t="str">
        <f>IF(AND('Summary Sheet'!$E$23="No",$H$33&gt;0,H63&gt;=1),"",IF(AND('Summary Sheet'!$E$23="Yes",H63&lt;&gt;""),H63*'Summary Sheet'!$G$23,""))</f>
        <v/>
      </c>
      <c r="M63" s="154"/>
      <c r="N63" s="155">
        <f>SUM('Pay App 1:Pay App 45'!L63)+SUM('Pay App 1:Pay App 45'!M63)</f>
        <v>0</v>
      </c>
    </row>
    <row r="64" spans="1:16" ht="11.25" customHeight="1" x14ac:dyDescent="0.25">
      <c r="A64" s="152">
        <v>8</v>
      </c>
      <c r="B64" s="174" t="str">
        <f>'Pay App 1'!B64</f>
        <v>01 32 00</v>
      </c>
      <c r="C64" s="179" t="str">
        <f>'Pay App 1'!C64</f>
        <v>General Liability Insurance</v>
      </c>
      <c r="D64" s="155">
        <f>'Pay App 1'!D64</f>
        <v>0</v>
      </c>
      <c r="E64" s="155">
        <f>VLOOKUP(B64,'Graph Data'!$O$2:$BX$88,47,FALSE)</f>
        <v>0</v>
      </c>
      <c r="F64" s="155">
        <f>IFERROR(E64+'Pay App 44'!F64,"")</f>
        <v>0</v>
      </c>
      <c r="G64" s="155">
        <f>SUM('Pay App 1:Pay App 44'!H64)</f>
        <v>0</v>
      </c>
      <c r="H64" s="154"/>
      <c r="I64" s="155">
        <f t="shared" si="0"/>
        <v>0</v>
      </c>
      <c r="J64" s="156">
        <f t="shared" si="1"/>
        <v>0</v>
      </c>
      <c r="K64" s="155">
        <f t="shared" si="2"/>
        <v>0</v>
      </c>
      <c r="L64" s="155" t="str">
        <f>IF(AND('Summary Sheet'!$E$23="No",$H$33&gt;0,H64&gt;=1),"",IF(AND('Summary Sheet'!$E$23="Yes",H64&lt;&gt;""),H64*'Summary Sheet'!$G$23,""))</f>
        <v/>
      </c>
      <c r="M64" s="154"/>
      <c r="N64" s="155">
        <f>SUM('Pay App 1:Pay App 45'!L64)+SUM('Pay App 1:Pay App 45'!M64)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Data'!$O$2:$BX$88,47,FALSE)</f>
        <v>0</v>
      </c>
      <c r="F65" s="155">
        <f>IFERROR(E65+'Pay App 44'!F65,"")</f>
        <v>0</v>
      </c>
      <c r="G65" s="155">
        <f>SUM('Pay App 1:Pay App 44'!H65)</f>
        <v>0</v>
      </c>
      <c r="H65" s="154"/>
      <c r="I65" s="155">
        <f t="shared" si="0"/>
        <v>0</v>
      </c>
      <c r="J65" s="156">
        <f t="shared" si="1"/>
        <v>0</v>
      </c>
      <c r="K65" s="155">
        <f t="shared" si="2"/>
        <v>0</v>
      </c>
      <c r="L65" s="155" t="str">
        <f>IF(AND('Summary Sheet'!$E$23="No",$H$33&gt;0,H65&gt;=1),"",IF(AND('Summary Sheet'!$E$23="Yes",H65&lt;&gt;""),H65*'Summary Sheet'!$G$23,""))</f>
        <v/>
      </c>
      <c r="M65" s="154"/>
      <c r="N65" s="155">
        <f>SUM('Pay App 1:Pay App 45'!L65)+SUM('Pay App 1:Pay App 45'!M65)</f>
        <v>0</v>
      </c>
    </row>
    <row r="66" spans="1:17" ht="11.25" customHeight="1" x14ac:dyDescent="0.25">
      <c r="A66" s="152">
        <v>10</v>
      </c>
      <c r="B66" s="174" t="str">
        <f>'Pay App 1'!B66</f>
        <v>01 34 00</v>
      </c>
      <c r="C66" s="179" t="str">
        <f>'Pay App 1'!C66</f>
        <v>Subcontractor Default Insurance</v>
      </c>
      <c r="D66" s="155">
        <f>'Pay App 1'!D66</f>
        <v>0</v>
      </c>
      <c r="E66" s="155">
        <f>VLOOKUP(B66,'Graph Data'!$O$2:$BX$88,47,FALSE)</f>
        <v>0</v>
      </c>
      <c r="F66" s="155">
        <f>IFERROR(E66+'Pay App 44'!F66,"")</f>
        <v>0</v>
      </c>
      <c r="G66" s="155">
        <f>SUM('Pay App 1:Pay App 44'!H66)</f>
        <v>0</v>
      </c>
      <c r="H66" s="154"/>
      <c r="I66" s="155">
        <f t="shared" si="0"/>
        <v>0</v>
      </c>
      <c r="J66" s="156">
        <f t="shared" si="1"/>
        <v>0</v>
      </c>
      <c r="K66" s="155">
        <f t="shared" si="2"/>
        <v>0</v>
      </c>
      <c r="L66" s="155" t="str">
        <f>IF(AND('Summary Sheet'!$E$23="No",$H$33&gt;0,H66&gt;=1),"",IF(AND('Summary Sheet'!$E$23="Yes",H66&lt;&gt;""),H66*'Summary Sheet'!$G$23,""))</f>
        <v/>
      </c>
      <c r="M66" s="154"/>
      <c r="N66" s="155">
        <f>SUM('Pay App 1:Pay App 45'!L66)+SUM('Pay App 1:Pay App 45'!M66)</f>
        <v>0</v>
      </c>
    </row>
    <row r="67" spans="1:17" ht="11.25" customHeight="1" x14ac:dyDescent="0.25">
      <c r="A67" s="152">
        <v>11</v>
      </c>
      <c r="B67" s="174" t="str">
        <f>'Pay App 1'!B67</f>
        <v>01 35 00</v>
      </c>
      <c r="C67" s="179" t="str">
        <f>'Pay App 1'!C67</f>
        <v>Construction Management Fee</v>
      </c>
      <c r="D67" s="155">
        <f>'Pay App 1'!D67</f>
        <v>0</v>
      </c>
      <c r="E67" s="155">
        <f>VLOOKUP(B67,'Graph Data'!$O$2:$BX$88,47,FALSE)</f>
        <v>0</v>
      </c>
      <c r="F67" s="155">
        <f>IFERROR(E67+'Pay App 44'!F67,"")</f>
        <v>0</v>
      </c>
      <c r="G67" s="155">
        <f>SUM('Pay App 1:Pay App 44'!H67)</f>
        <v>0</v>
      </c>
      <c r="H67" s="154"/>
      <c r="I67" s="155">
        <f t="shared" si="0"/>
        <v>0</v>
      </c>
      <c r="J67" s="156">
        <f t="shared" si="1"/>
        <v>0</v>
      </c>
      <c r="K67" s="155">
        <f t="shared" si="2"/>
        <v>0</v>
      </c>
      <c r="L67" s="155" t="str">
        <f>IF(AND('Summary Sheet'!$E$23="No",$H$33&gt;0,H67&gt;=1),"",IF(AND('Summary Sheet'!$E$23="Yes",H67&lt;&gt;""),H67*'Summary Sheet'!$G$23,""))</f>
        <v/>
      </c>
      <c r="M67" s="154"/>
      <c r="N67" s="155">
        <f>SUM('Pay App 1:Pay App 45'!L67)+SUM('Pay App 1:Pay App 45'!M67)</f>
        <v>0</v>
      </c>
    </row>
    <row r="68" spans="1:17" ht="11.25" customHeight="1" x14ac:dyDescent="0.25">
      <c r="A68" s="152">
        <v>12</v>
      </c>
      <c r="B68" s="174" t="str">
        <f>'Pay App 1'!B68</f>
        <v>01 36 00</v>
      </c>
      <c r="C68" s="179" t="str">
        <f>'Pay App 1'!C68</f>
        <v>Contingency</v>
      </c>
      <c r="D68" s="155">
        <f>'Pay App 1'!D68</f>
        <v>0</v>
      </c>
      <c r="E68" s="155">
        <f>VLOOKUP(B68,'Graph Data'!$O$2:$BX$88,47,FALSE)</f>
        <v>0</v>
      </c>
      <c r="F68" s="155">
        <f>IFERROR(E68+'Pay App 44'!F68,"")</f>
        <v>0</v>
      </c>
      <c r="G68" s="155">
        <f>SUM('Pay App 1:Pay App 44'!H68)</f>
        <v>0</v>
      </c>
      <c r="H68" s="154"/>
      <c r="I68" s="155">
        <f t="shared" si="0"/>
        <v>0</v>
      </c>
      <c r="J68" s="156">
        <f t="shared" si="1"/>
        <v>0</v>
      </c>
      <c r="K68" s="155">
        <f t="shared" si="2"/>
        <v>0</v>
      </c>
      <c r="L68" s="155" t="str">
        <f>IF(AND('Summary Sheet'!$E$23="No",$H$33&gt;0,H68&gt;=1),"",IF(AND('Summary Sheet'!$E$23="Yes",H68&lt;&gt;""),H68*'Summary Sheet'!$G$23,""))</f>
        <v/>
      </c>
      <c r="M68" s="154"/>
      <c r="N68" s="155">
        <f>SUM('Pay App 1:Pay App 45'!L68)+SUM('Pay App 1:Pay App 45'!M68)</f>
        <v>0</v>
      </c>
    </row>
    <row r="69" spans="1:17" ht="11.25" customHeight="1" x14ac:dyDescent="0.25">
      <c r="A69" s="152">
        <v>13</v>
      </c>
      <c r="B69" s="174" t="str">
        <f>'Pay App 1'!B69</f>
        <v>01 37 00</v>
      </c>
      <c r="C69" s="179" t="str">
        <f>'Pay App 1'!C69</f>
        <v>Weather Allowance (All Trades)</v>
      </c>
      <c r="D69" s="155">
        <f>'Pay App 1'!D69</f>
        <v>0</v>
      </c>
      <c r="E69" s="155">
        <f>VLOOKUP(B69,'Graph Data'!$O$2:$BX$88,47,FALSE)</f>
        <v>0</v>
      </c>
      <c r="F69" s="155">
        <f>IFERROR(E69+'Pay App 44'!F69,"")</f>
        <v>0</v>
      </c>
      <c r="G69" s="155">
        <f>SUM('Pay App 1:Pay App 44'!H69)</f>
        <v>0</v>
      </c>
      <c r="H69" s="154"/>
      <c r="I69" s="155">
        <f t="shared" si="0"/>
        <v>0</v>
      </c>
      <c r="J69" s="156">
        <f t="shared" si="1"/>
        <v>0</v>
      </c>
      <c r="K69" s="155">
        <f t="shared" si="2"/>
        <v>0</v>
      </c>
      <c r="L69" s="155" t="str">
        <f>IF(AND('Summary Sheet'!$E$23="No",$H$33&gt;0,H69&gt;=1),"",IF(AND('Summary Sheet'!$E$23="Yes",H69&lt;&gt;""),H69*'Summary Sheet'!$G$23,""))</f>
        <v/>
      </c>
      <c r="M69" s="154"/>
      <c r="N69" s="155">
        <f>SUM('Pay App 1:Pay App 45'!L69)+SUM('Pay App 1:Pay App 45'!M69)</f>
        <v>0</v>
      </c>
    </row>
    <row r="70" spans="1:17" ht="11.25" customHeight="1" x14ac:dyDescent="0.25">
      <c r="A70" s="152">
        <v>14</v>
      </c>
      <c r="B70" s="174" t="str">
        <f>'Pay App 1'!B70</f>
        <v>01 74 23</v>
      </c>
      <c r="C70" s="179" t="str">
        <f>'Pay App 1'!C70</f>
        <v>Cleaning (Final)</v>
      </c>
      <c r="D70" s="155">
        <f>'Pay App 1'!D70</f>
        <v>0</v>
      </c>
      <c r="E70" s="155">
        <f>VLOOKUP(B70,'Graph Data'!$O$2:$BX$88,47,FALSE)</f>
        <v>0</v>
      </c>
      <c r="F70" s="155">
        <f>IFERROR(E70+'Pay App 44'!F70,"")</f>
        <v>0</v>
      </c>
      <c r="G70" s="155">
        <f>SUM('Pay App 1:Pay App 44'!H70)</f>
        <v>0</v>
      </c>
      <c r="H70" s="154"/>
      <c r="I70" s="155">
        <f t="shared" si="0"/>
        <v>0</v>
      </c>
      <c r="J70" s="156">
        <f t="shared" si="1"/>
        <v>0</v>
      </c>
      <c r="K70" s="155">
        <f t="shared" si="2"/>
        <v>0</v>
      </c>
      <c r="L70" s="155" t="str">
        <f>IF(AND('Summary Sheet'!$E$23="No",$H$33&gt;0,H70&gt;=1),"",IF(AND('Summary Sheet'!$E$23="Yes",H70&lt;&gt;""),H70*'Summary Sheet'!$G$23,""))</f>
        <v/>
      </c>
      <c r="M70" s="154"/>
      <c r="N70" s="155">
        <f>SUM('Pay App 1:Pay App 45'!L70)+SUM('Pay App 1:Pay App 45'!M70)</f>
        <v>0</v>
      </c>
    </row>
    <row r="71" spans="1:17" ht="11.25" customHeight="1" x14ac:dyDescent="0.25">
      <c r="A71" s="152">
        <v>15</v>
      </c>
      <c r="B71" s="175" t="str">
        <f>'Pay App 1'!B71</f>
        <v>02 21 00</v>
      </c>
      <c r="C71" s="180" t="str">
        <f>'Pay App 1'!C71</f>
        <v>Survey/Engineering</v>
      </c>
      <c r="D71" s="155">
        <f>'Pay App 1'!D71</f>
        <v>0</v>
      </c>
      <c r="E71" s="155">
        <f>VLOOKUP(B71,'Graph Data'!$O$2:$BX$88,47,FALSE)</f>
        <v>0</v>
      </c>
      <c r="F71" s="155">
        <f>IFERROR(E71+'Pay App 44'!F71,"")</f>
        <v>0</v>
      </c>
      <c r="G71" s="155">
        <f>SUM('Pay App 1:Pay App 44'!H71)</f>
        <v>0</v>
      </c>
      <c r="H71" s="154"/>
      <c r="I71" s="155">
        <f t="shared" si="0"/>
        <v>0</v>
      </c>
      <c r="J71" s="156">
        <f t="shared" si="1"/>
        <v>0</v>
      </c>
      <c r="K71" s="155">
        <f t="shared" si="2"/>
        <v>0</v>
      </c>
      <c r="L71" s="155" t="str">
        <f>IF(AND('Summary Sheet'!$E$23="No",$H$33&gt;0,H71&gt;=1),"",IF(AND('Summary Sheet'!$E$23="Yes",H71&lt;&gt;""),H71*'Summary Sheet'!$G$23,""))</f>
        <v/>
      </c>
      <c r="M71" s="154"/>
      <c r="N71" s="155">
        <f>SUM('Pay App 1:Pay App 45'!L71)+SUM('Pay App 1:Pay App 45'!M71)</f>
        <v>0</v>
      </c>
      <c r="Q71" s="28"/>
    </row>
    <row r="72" spans="1:17" ht="11.25" customHeight="1" x14ac:dyDescent="0.25">
      <c r="A72" s="152">
        <v>16</v>
      </c>
      <c r="B72" s="175" t="str">
        <f>'Pay App 1'!B72</f>
        <v>02 41 00</v>
      </c>
      <c r="C72" s="180" t="str">
        <f>'Pay App 1'!C72</f>
        <v>Demolition</v>
      </c>
      <c r="D72" s="155">
        <f>'Pay App 1'!D72</f>
        <v>0</v>
      </c>
      <c r="E72" s="155">
        <f>VLOOKUP(B72,'Graph Data'!$O$2:$BX$88,47,FALSE)</f>
        <v>0</v>
      </c>
      <c r="F72" s="155">
        <f>IFERROR(E72+'Pay App 44'!F72,"")</f>
        <v>0</v>
      </c>
      <c r="G72" s="155">
        <f>SUM('Pay App 1:Pay App 44'!H72)</f>
        <v>0</v>
      </c>
      <c r="H72" s="154"/>
      <c r="I72" s="155">
        <f t="shared" si="0"/>
        <v>0</v>
      </c>
      <c r="J72" s="156">
        <f t="shared" si="1"/>
        <v>0</v>
      </c>
      <c r="K72" s="155">
        <f t="shared" si="2"/>
        <v>0</v>
      </c>
      <c r="L72" s="155" t="str">
        <f>IF(AND('Summary Sheet'!$E$23="No",$H$33&gt;0,H72&gt;=1),"",IF(AND('Summary Sheet'!$E$23="Yes",H72&lt;&gt;""),H72*'Summary Sheet'!$G$23,""))</f>
        <v/>
      </c>
      <c r="M72" s="154"/>
      <c r="N72" s="155">
        <f>SUM('Pay App 1:Pay App 45'!L72)+SUM('Pay App 1:Pay App 45'!M72)</f>
        <v>0</v>
      </c>
      <c r="Q72" s="28"/>
    </row>
    <row r="73" spans="1:17" ht="11.25" customHeight="1" x14ac:dyDescent="0.25">
      <c r="A73" s="152">
        <v>17</v>
      </c>
      <c r="B73" s="175" t="str">
        <f>'Pay App 1'!B73</f>
        <v>02 82 00</v>
      </c>
      <c r="C73" s="180" t="str">
        <f>'Pay App 1'!C73</f>
        <v>Asbestos Abatement</v>
      </c>
      <c r="D73" s="155">
        <f>'Pay App 1'!D73</f>
        <v>0</v>
      </c>
      <c r="E73" s="155">
        <f>VLOOKUP(B73,'Graph Data'!$O$2:$BX$88,47,FALSE)</f>
        <v>0</v>
      </c>
      <c r="F73" s="155">
        <f>IFERROR(E73+'Pay App 44'!F73,"")</f>
        <v>0</v>
      </c>
      <c r="G73" s="155">
        <f>SUM('Pay App 1:Pay App 44'!H73)</f>
        <v>0</v>
      </c>
      <c r="H73" s="154"/>
      <c r="I73" s="155">
        <f t="shared" si="0"/>
        <v>0</v>
      </c>
      <c r="J73" s="156">
        <f t="shared" si="1"/>
        <v>0</v>
      </c>
      <c r="K73" s="155">
        <f t="shared" si="2"/>
        <v>0</v>
      </c>
      <c r="L73" s="155" t="str">
        <f>IF(AND('Summary Sheet'!$E$23="No",$H$33&gt;0,H73&gt;=1),"",IF(AND('Summary Sheet'!$E$23="Yes",H73&lt;&gt;""),H73*'Summary Sheet'!$G$23,""))</f>
        <v/>
      </c>
      <c r="M73" s="154"/>
      <c r="N73" s="155">
        <f>SUM('Pay App 1:Pay App 45'!L73)+SUM('Pay App 1:Pay App 45'!M73)</f>
        <v>0</v>
      </c>
    </row>
    <row r="74" spans="1:17" ht="11.25" customHeight="1" x14ac:dyDescent="0.25">
      <c r="A74" s="152">
        <v>18</v>
      </c>
      <c r="B74" s="176" t="str">
        <f>'Pay App 1'!B74</f>
        <v>03 00 00</v>
      </c>
      <c r="C74" s="181" t="str">
        <f>'Pay App 1'!C74</f>
        <v>Building Concrete</v>
      </c>
      <c r="D74" s="155">
        <f>'Pay App 1'!D74</f>
        <v>0</v>
      </c>
      <c r="E74" s="155">
        <f>VLOOKUP(B74,'Graph Data'!$O$2:$BX$88,47,FALSE)</f>
        <v>0</v>
      </c>
      <c r="F74" s="155">
        <f>IFERROR(E74+'Pay App 44'!F74,"")</f>
        <v>0</v>
      </c>
      <c r="G74" s="155">
        <f>SUM('Pay App 1:Pay App 44'!H74)</f>
        <v>0</v>
      </c>
      <c r="H74" s="154"/>
      <c r="I74" s="155">
        <f t="shared" si="0"/>
        <v>0</v>
      </c>
      <c r="J74" s="156">
        <f t="shared" si="1"/>
        <v>0</v>
      </c>
      <c r="K74" s="155">
        <f t="shared" si="2"/>
        <v>0</v>
      </c>
      <c r="L74" s="155" t="str">
        <f>IF(AND('Summary Sheet'!$E$23="No",$H$33&gt;0,H74&gt;=1),"",IF(AND('Summary Sheet'!$E$23="Yes",H74&lt;&gt;""),H74*'Summary Sheet'!$G$23,""))</f>
        <v/>
      </c>
      <c r="M74" s="154"/>
      <c r="N74" s="155">
        <f>SUM('Pay App 1:Pay App 45'!L74)+SUM('Pay App 1:Pay App 45'!M74)</f>
        <v>0</v>
      </c>
    </row>
    <row r="75" spans="1:17" ht="11.25" customHeight="1" x14ac:dyDescent="0.25">
      <c r="A75" s="152">
        <v>19</v>
      </c>
      <c r="B75" s="176" t="str">
        <f>'Pay App 1'!B75</f>
        <v>03 20 00</v>
      </c>
      <c r="C75" s="181" t="str">
        <f>'Pay App 1'!C75</f>
        <v>Building Concrete Reinforcing</v>
      </c>
      <c r="D75" s="155">
        <f>'Pay App 1'!D75</f>
        <v>0</v>
      </c>
      <c r="E75" s="155">
        <f>VLOOKUP(B75,'Graph Data'!$O$2:$BX$88,47,FALSE)</f>
        <v>0</v>
      </c>
      <c r="F75" s="155">
        <f>IFERROR(E75+'Pay App 44'!F75,"")</f>
        <v>0</v>
      </c>
      <c r="G75" s="155">
        <f>SUM('Pay App 1:Pay App 44'!H75)</f>
        <v>0</v>
      </c>
      <c r="H75" s="154"/>
      <c r="I75" s="155">
        <f t="shared" si="0"/>
        <v>0</v>
      </c>
      <c r="J75" s="156">
        <f t="shared" si="1"/>
        <v>0</v>
      </c>
      <c r="K75" s="155">
        <f t="shared" si="2"/>
        <v>0</v>
      </c>
      <c r="L75" s="155" t="str">
        <f>IF(AND('Summary Sheet'!$E$23="No",$H$33&gt;0,H75&gt;=1),"",IF(AND('Summary Sheet'!$E$23="Yes",H75&lt;&gt;""),H75*'Summary Sheet'!$G$23,""))</f>
        <v/>
      </c>
      <c r="M75" s="154"/>
      <c r="N75" s="155">
        <f>SUM('Pay App 1:Pay App 45'!L75)+SUM('Pay App 1:Pay App 45'!M75)</f>
        <v>0</v>
      </c>
    </row>
    <row r="76" spans="1:17" ht="11.25" customHeight="1" x14ac:dyDescent="0.25">
      <c r="A76" s="152">
        <v>20</v>
      </c>
      <c r="B76" s="176" t="str">
        <f>'Pay App 1'!B76</f>
        <v>03 40 00</v>
      </c>
      <c r="C76" s="181" t="str">
        <f>'Pay App 1'!C76</f>
        <v>Precast</v>
      </c>
      <c r="D76" s="155">
        <f>'Pay App 1'!D76</f>
        <v>0</v>
      </c>
      <c r="E76" s="155">
        <f>VLOOKUP(B76,'Graph Data'!$O$2:$BX$88,47,FALSE)</f>
        <v>0</v>
      </c>
      <c r="F76" s="155">
        <f>IFERROR(E76+'Pay App 44'!F76,"")</f>
        <v>0</v>
      </c>
      <c r="G76" s="155">
        <f>SUM('Pay App 1:Pay App 44'!H76)</f>
        <v>0</v>
      </c>
      <c r="H76" s="154"/>
      <c r="I76" s="155">
        <f t="shared" si="0"/>
        <v>0</v>
      </c>
      <c r="J76" s="156">
        <f t="shared" si="1"/>
        <v>0</v>
      </c>
      <c r="K76" s="155">
        <f t="shared" si="2"/>
        <v>0</v>
      </c>
      <c r="L76" s="155" t="str">
        <f>IF(AND('Summary Sheet'!$E$23="No",$H$33&gt;0,H76&gt;=1),"",IF(AND('Summary Sheet'!$E$23="Yes",H76&lt;&gt;""),H76*'Summary Sheet'!$G$23,""))</f>
        <v/>
      </c>
      <c r="M76" s="154"/>
      <c r="N76" s="155">
        <f>SUM('Pay App 1:Pay App 45'!L76)+SUM('Pay App 1:Pay App 45'!M76)</f>
        <v>0</v>
      </c>
    </row>
    <row r="77" spans="1:17" ht="11.25" customHeight="1" x14ac:dyDescent="0.25">
      <c r="A77" s="152">
        <v>21</v>
      </c>
      <c r="B77" s="177" t="str">
        <f>'Pay App 1'!B77</f>
        <v>04 00 00</v>
      </c>
      <c r="C77" s="182" t="str">
        <f>'Pay App 1'!C77</f>
        <v>Masonry</v>
      </c>
      <c r="D77" s="155">
        <f>'Pay App 1'!D77</f>
        <v>0</v>
      </c>
      <c r="E77" s="155">
        <f>VLOOKUP(B77,'Graph Data'!$O$2:$BX$88,47,FALSE)</f>
        <v>0</v>
      </c>
      <c r="F77" s="155">
        <f>IFERROR(E77+'Pay App 44'!F77,"")</f>
        <v>0</v>
      </c>
      <c r="G77" s="155">
        <f>SUM('Pay App 1:Pay App 44'!H77)</f>
        <v>0</v>
      </c>
      <c r="H77" s="154"/>
      <c r="I77" s="155">
        <f t="shared" si="0"/>
        <v>0</v>
      </c>
      <c r="J77" s="156">
        <f t="shared" si="1"/>
        <v>0</v>
      </c>
      <c r="K77" s="155">
        <f t="shared" si="2"/>
        <v>0</v>
      </c>
      <c r="L77" s="155" t="str">
        <f>IF(AND('Summary Sheet'!$E$23="No",$H$33&gt;0,H77&gt;=1),"",IF(AND('Summary Sheet'!$E$23="Yes",H77&lt;&gt;""),H77*'Summary Sheet'!$G$23,""))</f>
        <v/>
      </c>
      <c r="M77" s="154"/>
      <c r="N77" s="155">
        <f>SUM('Pay App 1:Pay App 45'!L77)+SUM('Pay App 1:Pay App 45'!M77)</f>
        <v>0</v>
      </c>
    </row>
    <row r="78" spans="1:17" ht="11.25" customHeight="1" x14ac:dyDescent="0.25">
      <c r="A78" s="152">
        <v>22</v>
      </c>
      <c r="B78" s="177" t="str">
        <f>'Pay App 1'!B78</f>
        <v>04 05 19</v>
      </c>
      <c r="C78" s="182" t="str">
        <f>'Pay App 1'!C78</f>
        <v>Masonry Reinforcing</v>
      </c>
      <c r="D78" s="155">
        <f>'Pay App 1'!D78</f>
        <v>0</v>
      </c>
      <c r="E78" s="155">
        <f>VLOOKUP(B78,'Graph Data'!$O$2:$BX$88,47,FALSE)</f>
        <v>0</v>
      </c>
      <c r="F78" s="155">
        <f>IFERROR(E78+'Pay App 44'!F78,"")</f>
        <v>0</v>
      </c>
      <c r="G78" s="155">
        <f>SUM('Pay App 1:Pay App 44'!H78)</f>
        <v>0</v>
      </c>
      <c r="H78" s="154"/>
      <c r="I78" s="155">
        <f t="shared" si="0"/>
        <v>0</v>
      </c>
      <c r="J78" s="156">
        <f t="shared" si="1"/>
        <v>0</v>
      </c>
      <c r="K78" s="155">
        <f t="shared" si="2"/>
        <v>0</v>
      </c>
      <c r="L78" s="155" t="str">
        <f>IF(AND('Summary Sheet'!$E$23="No",$H$33&gt;0,H78&gt;=1),"",IF(AND('Summary Sheet'!$E$23="Yes",H78&lt;&gt;""),H78*'Summary Sheet'!$G$23,""))</f>
        <v/>
      </c>
      <c r="M78" s="154"/>
      <c r="N78" s="155">
        <f>SUM('Pay App 1:Pay App 45'!L78)+SUM('Pay App 1:Pay App 45'!M78)</f>
        <v>0</v>
      </c>
    </row>
    <row r="79" spans="1:17" ht="11.25" customHeight="1" x14ac:dyDescent="0.25">
      <c r="A79" s="152">
        <v>23</v>
      </c>
      <c r="B79" s="178" t="str">
        <f>'Pay App 1'!B79</f>
        <v>05 10 00</v>
      </c>
      <c r="C79" s="183" t="str">
        <f>'Pay App 1'!C79</f>
        <v>Structural Steel/Misc. Steel Fab</v>
      </c>
      <c r="D79" s="155">
        <f>'Pay App 1'!D79</f>
        <v>0</v>
      </c>
      <c r="E79" s="155">
        <f>VLOOKUP(B79,'Graph Data'!$O$2:$BX$88,47,FALSE)</f>
        <v>0</v>
      </c>
      <c r="F79" s="155">
        <f>IFERROR(E79+'Pay App 44'!F79,"")</f>
        <v>0</v>
      </c>
      <c r="G79" s="155">
        <f>SUM('Pay App 1:Pay App 44'!H79)</f>
        <v>0</v>
      </c>
      <c r="H79" s="154"/>
      <c r="I79" s="155">
        <f t="shared" si="0"/>
        <v>0</v>
      </c>
      <c r="J79" s="156">
        <f t="shared" si="1"/>
        <v>0</v>
      </c>
      <c r="K79" s="155">
        <f t="shared" si="2"/>
        <v>0</v>
      </c>
      <c r="L79" s="155" t="str">
        <f>IF(AND('Summary Sheet'!$E$23="No",$H$33&gt;0,H79&gt;=1),"",IF(AND('Summary Sheet'!$E$23="Yes",H79&lt;&gt;""),H79*'Summary Sheet'!$G$23,""))</f>
        <v/>
      </c>
      <c r="M79" s="154"/>
      <c r="N79" s="155">
        <f>SUM('Pay App 1:Pay App 45'!L79)+SUM('Pay App 1:Pay App 45'!M79)</f>
        <v>0</v>
      </c>
    </row>
    <row r="80" spans="1:17" ht="11.25" customHeight="1" x14ac:dyDescent="0.25">
      <c r="A80" s="152">
        <v>24</v>
      </c>
      <c r="B80" s="178" t="str">
        <f>'Pay App 1'!B80</f>
        <v>05 20 00</v>
      </c>
      <c r="C80" s="183" t="str">
        <f>'Pay App 1'!C80</f>
        <v>Joists &amp; Deck</v>
      </c>
      <c r="D80" s="155">
        <f>'Pay App 1'!D80</f>
        <v>0</v>
      </c>
      <c r="E80" s="155">
        <f>VLOOKUP(B80,'Graph Data'!$O$2:$BX$88,47,FALSE)</f>
        <v>0</v>
      </c>
      <c r="F80" s="155">
        <f>IFERROR(E80+'Pay App 44'!F80,"")</f>
        <v>0</v>
      </c>
      <c r="G80" s="155">
        <f>SUM('Pay App 1:Pay App 44'!H80)</f>
        <v>0</v>
      </c>
      <c r="H80" s="154"/>
      <c r="I80" s="155">
        <f t="shared" si="0"/>
        <v>0</v>
      </c>
      <c r="J80" s="156">
        <f t="shared" si="1"/>
        <v>0</v>
      </c>
      <c r="K80" s="155">
        <f t="shared" si="2"/>
        <v>0</v>
      </c>
      <c r="L80" s="155" t="str">
        <f>IF(AND('Summary Sheet'!$E$23="No",$H$33&gt;0,H80&gt;=1),"",IF(AND('Summary Sheet'!$E$23="Yes",H80&lt;&gt;""),H80*'Summary Sheet'!$G$23,""))</f>
        <v/>
      </c>
      <c r="M80" s="154"/>
      <c r="N80" s="155">
        <f>SUM('Pay App 1:Pay App 45'!L80)+SUM('Pay App 1:Pay App 45'!M80)</f>
        <v>0</v>
      </c>
    </row>
    <row r="81" spans="1:14" ht="11.25" customHeight="1" x14ac:dyDescent="0.25">
      <c r="A81" s="152">
        <v>25</v>
      </c>
      <c r="B81" s="178" t="str">
        <f>'Pay App 1'!B81</f>
        <v>05 70 00</v>
      </c>
      <c r="C81" s="183" t="str">
        <f>'Pay App 1'!C81</f>
        <v>Ornamental Metal</v>
      </c>
      <c r="D81" s="155">
        <f>'Pay App 1'!D81</f>
        <v>0</v>
      </c>
      <c r="E81" s="155">
        <f>VLOOKUP(B81,'Graph Data'!$O$2:$BX$88,47,FALSE)</f>
        <v>0</v>
      </c>
      <c r="F81" s="155">
        <f>IFERROR(E81+'Pay App 44'!F81,"")</f>
        <v>0</v>
      </c>
      <c r="G81" s="155">
        <f>SUM('Pay App 1:Pay App 44'!H81)</f>
        <v>0</v>
      </c>
      <c r="H81" s="154"/>
      <c r="I81" s="155">
        <f t="shared" si="0"/>
        <v>0</v>
      </c>
      <c r="J81" s="156">
        <f t="shared" si="1"/>
        <v>0</v>
      </c>
      <c r="K81" s="155">
        <f t="shared" si="2"/>
        <v>0</v>
      </c>
      <c r="L81" s="155" t="str">
        <f>IF(AND('Summary Sheet'!$E$23="No",$H$33&gt;0,H81&gt;=1),"",IF(AND('Summary Sheet'!$E$23="Yes",H81&lt;&gt;""),H81*'Summary Sheet'!$G$23,""))</f>
        <v/>
      </c>
      <c r="M81" s="154"/>
      <c r="N81" s="155">
        <f>SUM('Pay App 1:Pay App 45'!L81)+SUM('Pay App 1:Pay App 45'!M81)</f>
        <v>0</v>
      </c>
    </row>
    <row r="82" spans="1:14" ht="11.25" customHeight="1" x14ac:dyDescent="0.25">
      <c r="A82" s="152">
        <v>26</v>
      </c>
      <c r="B82" s="145" t="str">
        <f>'Pay App 1'!B82</f>
        <v>06 10 00</v>
      </c>
      <c r="C82" s="134" t="str">
        <f>'Pay App 1'!C82</f>
        <v>Rough Carpentry</v>
      </c>
      <c r="D82" s="155">
        <f>'Pay App 1'!D82</f>
        <v>0</v>
      </c>
      <c r="E82" s="155">
        <f>VLOOKUP(B82,'Graph Data'!$O$2:$BX$88,47,FALSE)</f>
        <v>0</v>
      </c>
      <c r="F82" s="155">
        <f>IFERROR(E82+'Pay App 44'!F82,"")</f>
        <v>0</v>
      </c>
      <c r="G82" s="155">
        <f>SUM('Pay App 1:Pay App 44'!H82)</f>
        <v>0</v>
      </c>
      <c r="H82" s="154"/>
      <c r="I82" s="155">
        <f t="shared" si="0"/>
        <v>0</v>
      </c>
      <c r="J82" s="156">
        <f t="shared" si="1"/>
        <v>0</v>
      </c>
      <c r="K82" s="155">
        <f t="shared" si="2"/>
        <v>0</v>
      </c>
      <c r="L82" s="155" t="str">
        <f>IF(AND('Summary Sheet'!$E$23="No",$H$33&gt;0,H82&gt;=1),"",IF(AND('Summary Sheet'!$E$23="Yes",H82&lt;&gt;""),H82*'Summary Sheet'!$G$23,""))</f>
        <v/>
      </c>
      <c r="M82" s="154"/>
      <c r="N82" s="155">
        <f>SUM('Pay App 1:Pay App 45'!L82)+SUM('Pay App 1:Pay App 45'!M82)</f>
        <v>0</v>
      </c>
    </row>
    <row r="83" spans="1:14" ht="11.25" customHeight="1" x14ac:dyDescent="0.25">
      <c r="A83" s="152">
        <v>27</v>
      </c>
      <c r="B83" s="145" t="str">
        <f>'Pay App 1'!B83</f>
        <v>06 40 00</v>
      </c>
      <c r="C83" s="134" t="str">
        <f>'Pay App 1'!C83</f>
        <v>Arch. Woodwork &amp; Finish Carp.</v>
      </c>
      <c r="D83" s="155">
        <f>'Pay App 1'!D83</f>
        <v>0</v>
      </c>
      <c r="E83" s="155">
        <f>VLOOKUP(B83,'Graph Data'!$O$2:$BX$88,47,FALSE)</f>
        <v>0</v>
      </c>
      <c r="F83" s="155">
        <f>IFERROR(E83+'Pay App 44'!F83,"")</f>
        <v>0</v>
      </c>
      <c r="G83" s="155">
        <f>SUM('Pay App 1:Pay App 44'!H83)</f>
        <v>0</v>
      </c>
      <c r="H83" s="154"/>
      <c r="I83" s="155">
        <f t="shared" si="0"/>
        <v>0</v>
      </c>
      <c r="J83" s="156">
        <f t="shared" si="1"/>
        <v>0</v>
      </c>
      <c r="K83" s="155">
        <f t="shared" si="2"/>
        <v>0</v>
      </c>
      <c r="L83" s="155" t="str">
        <f>IF(AND('Summary Sheet'!$E$23="No",$H$33&gt;0,H83&gt;=1),"",IF(AND('Summary Sheet'!$E$23="Yes",H83&lt;&gt;""),H83*'Summary Sheet'!$G$23,""))</f>
        <v/>
      </c>
      <c r="M83" s="154"/>
      <c r="N83" s="155">
        <f>SUM('Pay App 1:Pay App 45'!L83)+SUM('Pay App 1:Pay App 45'!M83)</f>
        <v>0</v>
      </c>
    </row>
    <row r="84" spans="1:14" ht="11.25" customHeight="1" x14ac:dyDescent="0.25">
      <c r="A84" s="152">
        <v>28</v>
      </c>
      <c r="B84" s="174" t="str">
        <f>'Pay App 1'!B84</f>
        <v>07 10 00</v>
      </c>
      <c r="C84" s="179" t="str">
        <f>'Pay App 1'!C84</f>
        <v>Waterproofing/Water Repellents</v>
      </c>
      <c r="D84" s="155">
        <f>'Pay App 1'!D84</f>
        <v>0</v>
      </c>
      <c r="E84" s="155">
        <f>VLOOKUP(B84,'Graph Data'!$O$2:$BX$88,47,FALSE)</f>
        <v>0</v>
      </c>
      <c r="F84" s="155">
        <f>IFERROR(E84+'Pay App 44'!F84,"")</f>
        <v>0</v>
      </c>
      <c r="G84" s="155">
        <f>SUM('Pay App 1:Pay App 44'!H84)</f>
        <v>0</v>
      </c>
      <c r="H84" s="154"/>
      <c r="I84" s="155">
        <f t="shared" si="0"/>
        <v>0</v>
      </c>
      <c r="J84" s="156">
        <f t="shared" si="1"/>
        <v>0</v>
      </c>
      <c r="K84" s="155">
        <f t="shared" si="2"/>
        <v>0</v>
      </c>
      <c r="L84" s="155" t="str">
        <f>IF(AND('Summary Sheet'!$E$23="No",$H$33&gt;0,H84&gt;=1),"",IF(AND('Summary Sheet'!$E$23="Yes",H84&lt;&gt;""),H84*'Summary Sheet'!$G$23,""))</f>
        <v/>
      </c>
      <c r="M84" s="154"/>
      <c r="N84" s="155">
        <f>SUM('Pay App 1:Pay App 45'!L84)+SUM('Pay App 1:Pay App 45'!M84)</f>
        <v>0</v>
      </c>
    </row>
    <row r="85" spans="1:14" ht="11.25" customHeight="1" x14ac:dyDescent="0.25">
      <c r="A85" s="152">
        <v>29</v>
      </c>
      <c r="B85" s="174" t="str">
        <f>'Pay App 1'!B85</f>
        <v>07 20 00</v>
      </c>
      <c r="C85" s="179" t="str">
        <f>'Pay App 1'!C85</f>
        <v>Insulation</v>
      </c>
      <c r="D85" s="155">
        <f>'Pay App 1'!D85</f>
        <v>0</v>
      </c>
      <c r="E85" s="155">
        <f>VLOOKUP(B85,'Graph Data'!$O$2:$BX$88,47,FALSE)</f>
        <v>0</v>
      </c>
      <c r="F85" s="155">
        <f>IFERROR(E85+'Pay App 44'!F85,"")</f>
        <v>0</v>
      </c>
      <c r="G85" s="155">
        <f>SUM('Pay App 1:Pay App 44'!H85)</f>
        <v>0</v>
      </c>
      <c r="H85" s="154"/>
      <c r="I85" s="155">
        <f t="shared" si="0"/>
        <v>0</v>
      </c>
      <c r="J85" s="156">
        <f t="shared" si="1"/>
        <v>0</v>
      </c>
      <c r="K85" s="155">
        <f t="shared" si="2"/>
        <v>0</v>
      </c>
      <c r="L85" s="155" t="str">
        <f>IF(AND('Summary Sheet'!$E$23="No",$H$33&gt;0,H85&gt;=1),"",IF(AND('Summary Sheet'!$E$23="Yes",H85&lt;&gt;""),H85*'Summary Sheet'!$G$23,""))</f>
        <v/>
      </c>
      <c r="M85" s="154"/>
      <c r="N85" s="155">
        <f>SUM('Pay App 1:Pay App 45'!L85)+SUM('Pay App 1:Pay App 45'!M85)</f>
        <v>0</v>
      </c>
    </row>
    <row r="86" spans="1:14" ht="11.25" customHeight="1" x14ac:dyDescent="0.25">
      <c r="A86" s="152">
        <v>30</v>
      </c>
      <c r="B86" s="174" t="str">
        <f>'Pay App 1'!B86</f>
        <v>07 24 00</v>
      </c>
      <c r="C86" s="179" t="str">
        <f>'Pay App 1'!C86</f>
        <v>EIFS</v>
      </c>
      <c r="D86" s="155">
        <f>'Pay App 1'!D86</f>
        <v>0</v>
      </c>
      <c r="E86" s="155">
        <f>VLOOKUP(B86,'Graph Data'!$O$2:$BX$88,47,FALSE)</f>
        <v>0</v>
      </c>
      <c r="F86" s="155">
        <f>IFERROR(E86+'Pay App 44'!F86,"")</f>
        <v>0</v>
      </c>
      <c r="G86" s="155">
        <f>SUM('Pay App 1:Pay App 44'!H86)</f>
        <v>0</v>
      </c>
      <c r="H86" s="154"/>
      <c r="I86" s="155">
        <f t="shared" si="0"/>
        <v>0</v>
      </c>
      <c r="J86" s="156">
        <f t="shared" si="1"/>
        <v>0</v>
      </c>
      <c r="K86" s="155">
        <f t="shared" si="2"/>
        <v>0</v>
      </c>
      <c r="L86" s="155" t="str">
        <f>IF(AND('Summary Sheet'!$E$23="No",$H$33&gt;0,H86&gt;=1),"",IF(AND('Summary Sheet'!$E$23="Yes",H86&lt;&gt;""),H86*'Summary Sheet'!$G$23,""))</f>
        <v/>
      </c>
      <c r="M86" s="154"/>
      <c r="N86" s="155">
        <f>SUM('Pay App 1:Pay App 45'!L86)+SUM('Pay App 1:Pay App 45'!M86)</f>
        <v>0</v>
      </c>
    </row>
    <row r="87" spans="1:14" ht="11.25" customHeight="1" x14ac:dyDescent="0.25">
      <c r="A87" s="152">
        <v>31</v>
      </c>
      <c r="B87" s="174" t="str">
        <f>'Pay App 1'!B87</f>
        <v>07 26 00</v>
      </c>
      <c r="C87" s="179" t="str">
        <f>'Pay App 1'!C87</f>
        <v>Vapor Retarders</v>
      </c>
      <c r="D87" s="155">
        <f>'Pay App 1'!D87</f>
        <v>0</v>
      </c>
      <c r="E87" s="155">
        <f>VLOOKUP(B87,'Graph Data'!$O$2:$BX$88,47,FALSE)</f>
        <v>0</v>
      </c>
      <c r="F87" s="155">
        <f>IFERROR(E87+'Pay App 44'!F87,"")</f>
        <v>0</v>
      </c>
      <c r="G87" s="155">
        <f>SUM('Pay App 1:Pay App 44'!H87)</f>
        <v>0</v>
      </c>
      <c r="H87" s="154"/>
      <c r="I87" s="155">
        <f t="shared" si="0"/>
        <v>0</v>
      </c>
      <c r="J87" s="156">
        <f t="shared" si="1"/>
        <v>0</v>
      </c>
      <c r="K87" s="155">
        <f t="shared" si="2"/>
        <v>0</v>
      </c>
      <c r="L87" s="155" t="str">
        <f>IF(AND('Summary Sheet'!$E$23="No",$H$33&gt;0,H87&gt;=1),"",IF(AND('Summary Sheet'!$E$23="Yes",H87&lt;&gt;""),H87*'Summary Sheet'!$G$23,""))</f>
        <v/>
      </c>
      <c r="M87" s="154"/>
      <c r="N87" s="155">
        <f>SUM('Pay App 1:Pay App 45'!L87)+SUM('Pay App 1:Pay App 45'!M87)</f>
        <v>0</v>
      </c>
    </row>
    <row r="88" spans="1:14" ht="11.25" customHeight="1" x14ac:dyDescent="0.25">
      <c r="A88" s="152">
        <v>32</v>
      </c>
      <c r="B88" s="174" t="str">
        <f>'Pay App 1'!B88</f>
        <v>07 41 00</v>
      </c>
      <c r="C88" s="179" t="str">
        <f>'Pay App 1'!C88</f>
        <v>Roofing</v>
      </c>
      <c r="D88" s="155">
        <f>'Pay App 1'!D88</f>
        <v>0</v>
      </c>
      <c r="E88" s="155">
        <f>VLOOKUP(B88,'Graph Data'!$O$2:$BX$88,47,FALSE)</f>
        <v>0</v>
      </c>
      <c r="F88" s="155">
        <f>IFERROR(E88+'Pay App 44'!F88,"")</f>
        <v>0</v>
      </c>
      <c r="G88" s="155">
        <f>SUM('Pay App 1:Pay App 44'!H88)</f>
        <v>0</v>
      </c>
      <c r="H88" s="154"/>
      <c r="I88" s="155">
        <f t="shared" si="0"/>
        <v>0</v>
      </c>
      <c r="J88" s="156">
        <f t="shared" si="1"/>
        <v>0</v>
      </c>
      <c r="K88" s="155">
        <f t="shared" si="2"/>
        <v>0</v>
      </c>
      <c r="L88" s="155" t="str">
        <f>IF(AND('Summary Sheet'!$E$23="No",$H$33&gt;0,H88&gt;=1),"",IF(AND('Summary Sheet'!$E$23="Yes",H88&lt;&gt;""),H88*'Summary Sheet'!$G$23,""))</f>
        <v/>
      </c>
      <c r="M88" s="154"/>
      <c r="N88" s="155">
        <f>SUM('Pay App 1:Pay App 45'!L88)+SUM('Pay App 1:Pay App 45'!M88)</f>
        <v>0</v>
      </c>
    </row>
    <row r="89" spans="1:14" ht="11.25" customHeight="1" x14ac:dyDescent="0.25">
      <c r="A89" s="152">
        <v>33</v>
      </c>
      <c r="B89" s="174" t="str">
        <f>'Pay App 1'!B89</f>
        <v>07 42 00</v>
      </c>
      <c r="C89" s="179" t="str">
        <f>'Pay App 1'!C89</f>
        <v>Metal Panels</v>
      </c>
      <c r="D89" s="155">
        <f>'Pay App 1'!D89</f>
        <v>0</v>
      </c>
      <c r="E89" s="155">
        <f>VLOOKUP(B89,'Graph Data'!$O$2:$BX$88,47,FALSE)</f>
        <v>0</v>
      </c>
      <c r="F89" s="155">
        <f>IFERROR(E89+'Pay App 44'!F89,"")</f>
        <v>0</v>
      </c>
      <c r="G89" s="155">
        <f>SUM('Pay App 1:Pay App 44'!H89)</f>
        <v>0</v>
      </c>
      <c r="H89" s="154"/>
      <c r="I89" s="155">
        <f t="shared" si="0"/>
        <v>0</v>
      </c>
      <c r="J89" s="156">
        <f t="shared" si="1"/>
        <v>0</v>
      </c>
      <c r="K89" s="155">
        <f t="shared" si="2"/>
        <v>0</v>
      </c>
      <c r="L89" s="155" t="str">
        <f>IF(AND('Summary Sheet'!$E$23="No",$H$33&gt;0,H89&gt;=1),"",IF(AND('Summary Sheet'!$E$23="Yes",H89&lt;&gt;""),H89*'Summary Sheet'!$G$23,""))</f>
        <v/>
      </c>
      <c r="M89" s="154"/>
      <c r="N89" s="155">
        <f>SUM('Pay App 1:Pay App 45'!L89)+SUM('Pay App 1:Pay App 45'!M89)</f>
        <v>0</v>
      </c>
    </row>
    <row r="90" spans="1:14" ht="11.25" customHeight="1" x14ac:dyDescent="0.25">
      <c r="A90" s="152">
        <v>34</v>
      </c>
      <c r="B90" s="174" t="str">
        <f>'Pay App 1'!B90</f>
        <v>07 60 00</v>
      </c>
      <c r="C90" s="179" t="str">
        <f>'Pay App 1'!C90</f>
        <v>Sheet Metal Flashing &amp; Trim</v>
      </c>
      <c r="D90" s="155">
        <f>'Pay App 1'!D90</f>
        <v>0</v>
      </c>
      <c r="E90" s="155">
        <f>VLOOKUP(B90,'Graph Data'!$O$2:$BX$88,47,FALSE)</f>
        <v>0</v>
      </c>
      <c r="F90" s="155">
        <f>IFERROR(E90+'Pay App 44'!F90,"")</f>
        <v>0</v>
      </c>
      <c r="G90" s="155">
        <f>SUM('Pay App 1:Pay App 44'!H90)</f>
        <v>0</v>
      </c>
      <c r="H90" s="154"/>
      <c r="I90" s="155">
        <f t="shared" si="0"/>
        <v>0</v>
      </c>
      <c r="J90" s="156">
        <f t="shared" si="1"/>
        <v>0</v>
      </c>
      <c r="K90" s="155">
        <f t="shared" si="2"/>
        <v>0</v>
      </c>
      <c r="L90" s="155" t="str">
        <f>IF(AND('Summary Sheet'!$E$23="No",$H$33&gt;0,H90&gt;=1),"",IF(AND('Summary Sheet'!$E$23="Yes",H90&lt;&gt;""),H90*'Summary Sheet'!$G$23,""))</f>
        <v/>
      </c>
      <c r="M90" s="154"/>
      <c r="N90" s="155">
        <f>SUM('Pay App 1:Pay App 45'!L90)+SUM('Pay App 1:Pay App 45'!M90)</f>
        <v>0</v>
      </c>
    </row>
    <row r="91" spans="1:14" ht="11.25" customHeight="1" x14ac:dyDescent="0.25">
      <c r="A91" s="152">
        <v>35</v>
      </c>
      <c r="B91" s="174" t="str">
        <f>'Pay App 1'!B91</f>
        <v>07 80 00</v>
      </c>
      <c r="C91" s="179" t="str">
        <f>'Pay App 1'!C91</f>
        <v>Fireproofing</v>
      </c>
      <c r="D91" s="155">
        <f>'Pay App 1'!D91</f>
        <v>0</v>
      </c>
      <c r="E91" s="155">
        <f>VLOOKUP(B91,'Graph Data'!$O$2:$BX$88,47,FALSE)</f>
        <v>0</v>
      </c>
      <c r="F91" s="155">
        <f>IFERROR(E91+'Pay App 44'!F91,"")</f>
        <v>0</v>
      </c>
      <c r="G91" s="155">
        <f>SUM('Pay App 1:Pay App 44'!H91)</f>
        <v>0</v>
      </c>
      <c r="H91" s="154"/>
      <c r="I91" s="155">
        <f t="shared" si="0"/>
        <v>0</v>
      </c>
      <c r="J91" s="156">
        <f t="shared" si="1"/>
        <v>0</v>
      </c>
      <c r="K91" s="155">
        <f t="shared" si="2"/>
        <v>0</v>
      </c>
      <c r="L91" s="155" t="str">
        <f>IF(AND('Summary Sheet'!$E$23="No",$H$33&gt;0,H91&gt;=1),"",IF(AND('Summary Sheet'!$E$23="Yes",H91&lt;&gt;""),H91*'Summary Sheet'!$G$23,""))</f>
        <v/>
      </c>
      <c r="M91" s="154"/>
      <c r="N91" s="155">
        <f>SUM('Pay App 1:Pay App 45'!L91)+SUM('Pay App 1:Pay App 45'!M91)</f>
        <v>0</v>
      </c>
    </row>
    <row r="92" spans="1:14" ht="11.25" customHeight="1" x14ac:dyDescent="0.25">
      <c r="A92" s="152">
        <v>36</v>
      </c>
      <c r="B92" s="174" t="str">
        <f>'Pay App 1'!B92</f>
        <v>07 90 00</v>
      </c>
      <c r="C92" s="179" t="str">
        <f>'Pay App 1'!C92</f>
        <v>Joint Sealants</v>
      </c>
      <c r="D92" s="155">
        <f>'Pay App 1'!D92</f>
        <v>0</v>
      </c>
      <c r="E92" s="155">
        <f>VLOOKUP(B92,'Graph Data'!$O$2:$BX$88,47,FALSE)</f>
        <v>0</v>
      </c>
      <c r="F92" s="155">
        <f>IFERROR(E92+'Pay App 44'!F92,"")</f>
        <v>0</v>
      </c>
      <c r="G92" s="155">
        <f>SUM('Pay App 1:Pay App 44'!H92)</f>
        <v>0</v>
      </c>
      <c r="H92" s="154"/>
      <c r="I92" s="155">
        <f t="shared" si="0"/>
        <v>0</v>
      </c>
      <c r="J92" s="156">
        <f t="shared" si="1"/>
        <v>0</v>
      </c>
      <c r="K92" s="155">
        <f t="shared" si="2"/>
        <v>0</v>
      </c>
      <c r="L92" s="155" t="str">
        <f>IF(AND('Summary Sheet'!$E$23="No",$H$33&gt;0,H92&gt;=1),"",IF(AND('Summary Sheet'!$E$23="Yes",H92&lt;&gt;""),H92*'Summary Sheet'!$G$23,""))</f>
        <v/>
      </c>
      <c r="M92" s="154"/>
      <c r="N92" s="155">
        <f>SUM('Pay App 1:Pay App 45'!L92)+SUM('Pay App 1:Pay App 45'!M92)</f>
        <v>0</v>
      </c>
    </row>
    <row r="93" spans="1:14" ht="11.25" customHeight="1" x14ac:dyDescent="0.25">
      <c r="A93" s="152">
        <v>37</v>
      </c>
      <c r="B93" s="174" t="str">
        <f>'Pay App 1'!B93</f>
        <v>07 95 00</v>
      </c>
      <c r="C93" s="179" t="str">
        <f>'Pay App 1'!C93</f>
        <v>Expansion Joints</v>
      </c>
      <c r="D93" s="155">
        <f>'Pay App 1'!D93</f>
        <v>0</v>
      </c>
      <c r="E93" s="155">
        <f>VLOOKUP(B93,'Graph Data'!$O$2:$BX$88,47,FALSE)</f>
        <v>0</v>
      </c>
      <c r="F93" s="155">
        <f>IFERROR(E93+'Pay App 44'!F93,"")</f>
        <v>0</v>
      </c>
      <c r="G93" s="155">
        <f>SUM('Pay App 1:Pay App 44'!H93)</f>
        <v>0</v>
      </c>
      <c r="H93" s="154"/>
      <c r="I93" s="155">
        <f t="shared" si="0"/>
        <v>0</v>
      </c>
      <c r="J93" s="156">
        <f t="shared" si="1"/>
        <v>0</v>
      </c>
      <c r="K93" s="155">
        <f t="shared" si="2"/>
        <v>0</v>
      </c>
      <c r="L93" s="155" t="str">
        <f>IF(AND('Summary Sheet'!$E$23="No",$H$33&gt;0,H93&gt;=1),"",IF(AND('Summary Sheet'!$E$23="Yes",H93&lt;&gt;""),H93*'Summary Sheet'!$G$23,""))</f>
        <v/>
      </c>
      <c r="M93" s="154"/>
      <c r="N93" s="155">
        <f>SUM('Pay App 1:Pay App 45'!L93)+SUM('Pay App 1:Pay App 45'!M93)</f>
        <v>0</v>
      </c>
    </row>
    <row r="94" spans="1:14" ht="11.25" customHeight="1" x14ac:dyDescent="0.25">
      <c r="A94" s="152">
        <v>38</v>
      </c>
      <c r="B94" s="175" t="str">
        <f>'Pay App 1'!B94</f>
        <v>08 10 00</v>
      </c>
      <c r="C94" s="180" t="str">
        <f>'Pay App 1'!C94</f>
        <v>Doors, Frames &amp; Hardware</v>
      </c>
      <c r="D94" s="155">
        <f>'Pay App 1'!D94</f>
        <v>0</v>
      </c>
      <c r="E94" s="155">
        <f>VLOOKUP(B94,'Graph Data'!$O$2:$BX$88,47,FALSE)</f>
        <v>0</v>
      </c>
      <c r="F94" s="155">
        <f>IFERROR(E94+'Pay App 44'!F94,"")</f>
        <v>0</v>
      </c>
      <c r="G94" s="155">
        <f>SUM('Pay App 1:Pay App 44'!H94)</f>
        <v>0</v>
      </c>
      <c r="H94" s="154"/>
      <c r="I94" s="155">
        <f t="shared" si="0"/>
        <v>0</v>
      </c>
      <c r="J94" s="156">
        <f t="shared" si="1"/>
        <v>0</v>
      </c>
      <c r="K94" s="155">
        <f t="shared" si="2"/>
        <v>0</v>
      </c>
      <c r="L94" s="155" t="str">
        <f>IF(AND('Summary Sheet'!$E$23="No",$H$33&gt;0,H94&gt;=1),"",IF(AND('Summary Sheet'!$E$23="Yes",H94&lt;&gt;""),H94*'Summary Sheet'!$G$23,""))</f>
        <v/>
      </c>
      <c r="M94" s="154"/>
      <c r="N94" s="155">
        <f>SUM('Pay App 1:Pay App 45'!L94)+SUM('Pay App 1:Pay App 45'!M94)</f>
        <v>0</v>
      </c>
    </row>
    <row r="95" spans="1:14" ht="11.25" customHeight="1" x14ac:dyDescent="0.25">
      <c r="A95" s="152">
        <v>39</v>
      </c>
      <c r="B95" s="175" t="str">
        <f>'Pay App 1'!B95</f>
        <v>08 30 00</v>
      </c>
      <c r="C95" s="180" t="str">
        <f>'Pay App 1'!C95</f>
        <v>Specialty Doors</v>
      </c>
      <c r="D95" s="155">
        <f>'Pay App 1'!D95</f>
        <v>0</v>
      </c>
      <c r="E95" s="155">
        <f>VLOOKUP(B95,'Graph Data'!$O$2:$BX$88,47,FALSE)</f>
        <v>0</v>
      </c>
      <c r="F95" s="155">
        <f>IFERROR(E95+'Pay App 44'!F95,"")</f>
        <v>0</v>
      </c>
      <c r="G95" s="155">
        <f>SUM('Pay App 1:Pay App 44'!H95)</f>
        <v>0</v>
      </c>
      <c r="H95" s="154"/>
      <c r="I95" s="155">
        <f t="shared" si="0"/>
        <v>0</v>
      </c>
      <c r="J95" s="156">
        <f t="shared" si="1"/>
        <v>0</v>
      </c>
      <c r="K95" s="155">
        <f t="shared" si="2"/>
        <v>0</v>
      </c>
      <c r="L95" s="155" t="str">
        <f>IF(AND('Summary Sheet'!$E$23="No",$H$33&gt;0,H95&gt;=1),"",IF(AND('Summary Sheet'!$E$23="Yes",H95&lt;&gt;""),H95*'Summary Sheet'!$G$23,""))</f>
        <v/>
      </c>
      <c r="M95" s="154"/>
      <c r="N95" s="155">
        <f>SUM('Pay App 1:Pay App 45'!L95)+SUM('Pay App 1:Pay App 45'!M95)</f>
        <v>0</v>
      </c>
    </row>
    <row r="96" spans="1:14" ht="11.25" customHeight="1" x14ac:dyDescent="0.25">
      <c r="A96" s="152">
        <v>40</v>
      </c>
      <c r="B96" s="175" t="str">
        <f>'Pay App 1'!B96</f>
        <v>08 33 00</v>
      </c>
      <c r="C96" s="180" t="str">
        <f>'Pay App 1'!C96</f>
        <v>Overhead Doors/Coiling Doors</v>
      </c>
      <c r="D96" s="155">
        <f>'Pay App 1'!D96</f>
        <v>0</v>
      </c>
      <c r="E96" s="155">
        <f>VLOOKUP(B96,'Graph Data'!$O$2:$BX$88,47,FALSE)</f>
        <v>0</v>
      </c>
      <c r="F96" s="155">
        <f>IFERROR(E96+'Pay App 44'!F96,"")</f>
        <v>0</v>
      </c>
      <c r="G96" s="155">
        <f>SUM('Pay App 1:Pay App 44'!H96)</f>
        <v>0</v>
      </c>
      <c r="H96" s="154"/>
      <c r="I96" s="155">
        <f t="shared" si="0"/>
        <v>0</v>
      </c>
      <c r="J96" s="156">
        <f t="shared" si="1"/>
        <v>0</v>
      </c>
      <c r="K96" s="155">
        <f t="shared" si="2"/>
        <v>0</v>
      </c>
      <c r="L96" s="155" t="str">
        <f>IF(AND('Summary Sheet'!$E$23="No",$H$33&gt;0,H96&gt;=1),"",IF(AND('Summary Sheet'!$E$23="Yes",H96&lt;&gt;""),H96*'Summary Sheet'!$G$23,""))</f>
        <v/>
      </c>
      <c r="M96" s="154"/>
      <c r="N96" s="155">
        <f>SUM('Pay App 1:Pay App 45'!L96)+SUM('Pay App 1:Pay App 45'!M96)</f>
        <v>0</v>
      </c>
    </row>
    <row r="97" spans="1:15" ht="11.25" customHeight="1" x14ac:dyDescent="0.25">
      <c r="A97" s="152">
        <v>41</v>
      </c>
      <c r="B97" s="175" t="str">
        <f>'Pay App 1'!B97</f>
        <v>08 40 00</v>
      </c>
      <c r="C97" s="180" t="str">
        <f>'Pay App 1'!C97</f>
        <v>Curtain Wall, Glass &amp; Glazing</v>
      </c>
      <c r="D97" s="155">
        <f>'Pay App 1'!D97</f>
        <v>0</v>
      </c>
      <c r="E97" s="155">
        <f>VLOOKUP(B97,'Graph Data'!$O$2:$BX$88,47,FALSE)</f>
        <v>0</v>
      </c>
      <c r="F97" s="155">
        <f>IFERROR(E97+'Pay App 44'!F97,"")</f>
        <v>0</v>
      </c>
      <c r="G97" s="155">
        <f>SUM('Pay App 1:Pay App 44'!H97)</f>
        <v>0</v>
      </c>
      <c r="H97" s="154"/>
      <c r="I97" s="155">
        <f t="shared" si="0"/>
        <v>0</v>
      </c>
      <c r="J97" s="156">
        <f t="shared" si="1"/>
        <v>0</v>
      </c>
      <c r="K97" s="155">
        <f t="shared" si="2"/>
        <v>0</v>
      </c>
      <c r="L97" s="155" t="str">
        <f>IF(AND('Summary Sheet'!$E$23="No",$H$33&gt;0,H97&gt;=1),"",IF(AND('Summary Sheet'!$E$23="Yes",H97&lt;&gt;""),H97*'Summary Sheet'!$G$23,""))</f>
        <v/>
      </c>
      <c r="M97" s="154"/>
      <c r="N97" s="155">
        <f>SUM('Pay App 1:Pay App 45'!L97)+SUM('Pay App 1:Pay App 45'!M97)</f>
        <v>0</v>
      </c>
    </row>
    <row r="98" spans="1:15" ht="10.9" customHeight="1" x14ac:dyDescent="0.25">
      <c r="A98" s="152">
        <v>42</v>
      </c>
      <c r="B98" s="175" t="str">
        <f>'Pay App 1'!B98</f>
        <v>08 60 00</v>
      </c>
      <c r="C98" s="180" t="str">
        <f>'Pay App 1'!C98</f>
        <v>Skylights</v>
      </c>
      <c r="D98" s="155">
        <f>'Pay App 1'!D98</f>
        <v>0</v>
      </c>
      <c r="E98" s="155">
        <f>VLOOKUP(B98,'Graph Data'!$O$2:$BX$88,47,FALSE)</f>
        <v>0</v>
      </c>
      <c r="F98" s="155">
        <f>IFERROR(E98+'Pay App 44'!F98,"")</f>
        <v>0</v>
      </c>
      <c r="G98" s="155">
        <f>SUM('Pay App 1:Pay App 44'!H98)</f>
        <v>0</v>
      </c>
      <c r="H98" s="154"/>
      <c r="I98" s="155">
        <f t="shared" si="0"/>
        <v>0</v>
      </c>
      <c r="J98" s="156">
        <f t="shared" si="1"/>
        <v>0</v>
      </c>
      <c r="K98" s="155">
        <f t="shared" si="2"/>
        <v>0</v>
      </c>
      <c r="L98" s="155" t="str">
        <f>IF(AND('Summary Sheet'!$E$23="No",$H$33&gt;0,H98&gt;=1),"",IF(AND('Summary Sheet'!$E$23="Yes",H98&lt;&gt;""),H98*'Summary Sheet'!$G$23,""))</f>
        <v/>
      </c>
      <c r="M98" s="154"/>
      <c r="N98" s="155">
        <f>SUM('Pay App 1:Pay App 45'!L98)+SUM('Pay App 1:Pay App 45'!M98)</f>
        <v>0</v>
      </c>
    </row>
    <row r="99" spans="1:15" ht="10.9" customHeight="1" x14ac:dyDescent="0.25">
      <c r="A99" s="152">
        <v>43</v>
      </c>
      <c r="B99" s="175" t="str">
        <f>'Pay App 1'!B99</f>
        <v>08 90 00</v>
      </c>
      <c r="C99" s="180" t="str">
        <f>'Pay App 1'!C99</f>
        <v>Louvers &amp; Vents</v>
      </c>
      <c r="D99" s="155">
        <f>'Pay App 1'!D99</f>
        <v>0</v>
      </c>
      <c r="E99" s="155">
        <f>VLOOKUP(B99,'Graph Data'!$O$2:$BX$88,47,FALSE)</f>
        <v>0</v>
      </c>
      <c r="F99" s="155">
        <f>IFERROR(E99+'Pay App 44'!F99,"")</f>
        <v>0</v>
      </c>
      <c r="G99" s="155">
        <f>SUM('Pay App 1:Pay App 44'!H99)</f>
        <v>0</v>
      </c>
      <c r="H99" s="154"/>
      <c r="I99" s="155">
        <f t="shared" si="0"/>
        <v>0</v>
      </c>
      <c r="J99" s="156">
        <f t="shared" si="1"/>
        <v>0</v>
      </c>
      <c r="K99" s="155">
        <f t="shared" si="2"/>
        <v>0</v>
      </c>
      <c r="L99" s="155" t="str">
        <f>IF(AND('Summary Sheet'!$E$23="No",$H$33&gt;0,H99&gt;=1),"",IF(AND('Summary Sheet'!$E$23="Yes",H99&lt;&gt;""),H99*'Summary Sheet'!$G$23,""))</f>
        <v/>
      </c>
      <c r="M99" s="154"/>
      <c r="N99" s="155">
        <f>SUM('Pay App 1:Pay App 45'!L99)+SUM('Pay App 1:Pay App 45'!M99)</f>
        <v>0</v>
      </c>
    </row>
    <row r="100" spans="1:15" ht="11.25" customHeight="1" x14ac:dyDescent="0.25">
      <c r="A100" s="153">
        <v>44</v>
      </c>
      <c r="B100" s="176" t="str">
        <f>'Pay App 1'!B100</f>
        <v>09 20 00</v>
      </c>
      <c r="C100" s="181" t="str">
        <f>'Pay App 1'!C100</f>
        <v>Gypsum Board Systems</v>
      </c>
      <c r="D100" s="155">
        <f>'Pay App 1'!D100</f>
        <v>0</v>
      </c>
      <c r="E100" s="155">
        <f>VLOOKUP(B100,'Graph Data'!$O$2:$BX$88,47,FALSE)</f>
        <v>0</v>
      </c>
      <c r="F100" s="155">
        <f>IFERROR(E100+'Pay App 44'!F100,"")</f>
        <v>0</v>
      </c>
      <c r="G100" s="155">
        <f>SUM('Pay App 1:Pay App 44'!H100)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45'!L100)+SUM('Pay App 1:Pay App 45'!M100)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45.2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Data'!$O$2:$BX$88,47,FALSE)</f>
        <v>0</v>
      </c>
      <c r="F106" s="155">
        <f>IFERROR(E106+'Pay App 44'!F106,"")</f>
        <v>0</v>
      </c>
      <c r="G106" s="155">
        <f>SUM('Pay App 1:Pay App 44'!H106)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45'!L106)+SUM('Pay App 1:Pay App 45'!M106)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Data'!$O$2:$BX$88,47,FALSE)</f>
        <v>0</v>
      </c>
      <c r="F107" s="155">
        <f>IFERROR(E107+'Pay App 44'!F107,"")</f>
        <v>0</v>
      </c>
      <c r="G107" s="155">
        <f>SUM('Pay App 1:Pay App 44'!H107)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45'!L107)+SUM('Pay App 1:Pay App 45'!M107)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Data'!$O$2:$BX$88,47,FALSE)</f>
        <v>0</v>
      </c>
      <c r="F108" s="155">
        <f>IFERROR(E108+'Pay App 44'!F108,"")</f>
        <v>0</v>
      </c>
      <c r="G108" s="155">
        <f>SUM('Pay App 1:Pay App 44'!H108)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45'!L108)+SUM('Pay App 1:Pay App 45'!M108)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Data'!$O$2:$BX$88,47,FALSE)</f>
        <v>0</v>
      </c>
      <c r="F109" s="155">
        <f>IFERROR(E109+'Pay App 44'!F109,"")</f>
        <v>0</v>
      </c>
      <c r="G109" s="155">
        <f>SUM('Pay App 1:Pay App 44'!H109)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45'!L109)+SUM('Pay App 1:Pay App 45'!M109)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Data'!$O$2:$BX$88,47,FALSE)</f>
        <v>0</v>
      </c>
      <c r="F110" s="155">
        <f>IFERROR(E110+'Pay App 44'!F110,"")</f>
        <v>0</v>
      </c>
      <c r="G110" s="155">
        <f>SUM('Pay App 1:Pay App 44'!H110)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45'!L110)+SUM('Pay App 1:Pay App 45'!M110)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Data'!$O$2:$BX$88,47,FALSE)</f>
        <v>0</v>
      </c>
      <c r="F111" s="155">
        <f>IFERROR(E111+'Pay App 44'!F111,"")</f>
        <v>0</v>
      </c>
      <c r="G111" s="155">
        <f>SUM('Pay App 1:Pay App 44'!H111)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45'!L111)+SUM('Pay App 1:Pay App 45'!M111)</f>
        <v>0</v>
      </c>
    </row>
    <row r="112" spans="1:15" ht="11.25" customHeight="1" x14ac:dyDescent="0.25">
      <c r="A112" s="152">
        <f t="shared" si="3"/>
        <v>51</v>
      </c>
      <c r="B112" s="148" t="str">
        <f>'Pay App 1'!B112</f>
        <v>09 90 00</v>
      </c>
      <c r="C112" s="143" t="str">
        <f>'Pay App 1'!C112</f>
        <v>Painting</v>
      </c>
      <c r="D112" s="155">
        <f>'Pay App 1'!D112</f>
        <v>0</v>
      </c>
      <c r="E112" s="155">
        <f>VLOOKUP(B112,'Graph Data'!$O$2:$BX$88,47,FALSE)</f>
        <v>0</v>
      </c>
      <c r="F112" s="155">
        <f>IFERROR(E112+'Pay App 44'!F112,"")</f>
        <v>0</v>
      </c>
      <c r="G112" s="155">
        <f>SUM('Pay App 1:Pay App 44'!H112)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45'!L112)+SUM('Pay App 1:Pay App 45'!M112)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Data'!$O$2:$BX$88,47,FALSE)</f>
        <v>0</v>
      </c>
      <c r="F113" s="155">
        <f>IFERROR(E113+'Pay App 44'!F113,"")</f>
        <v>0</v>
      </c>
      <c r="G113" s="155">
        <f>SUM('Pay App 1:Pay App 44'!H113)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45'!L113)+SUM('Pay App 1:Pay App 45'!M113)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Data'!$O$2:$BX$88,47,FALSE)</f>
        <v>0</v>
      </c>
      <c r="F114" s="155">
        <f>IFERROR(E114+'Pay App 44'!F114,"")</f>
        <v>0</v>
      </c>
      <c r="G114" s="155">
        <f>SUM('Pay App 1:Pay App 44'!H114)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45'!L114)+SUM('Pay App 1:Pay App 45'!M114)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Data'!$O$2:$BX$88,47,FALSE)</f>
        <v>0</v>
      </c>
      <c r="F115" s="155">
        <f>IFERROR(E115+'Pay App 44'!F115,"")</f>
        <v>0</v>
      </c>
      <c r="G115" s="155">
        <f>SUM('Pay App 1:Pay App 44'!H115)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45'!L115)+SUM('Pay App 1:Pay App 45'!M115)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Data'!$O$2:$BX$88,47,FALSE)</f>
        <v>0</v>
      </c>
      <c r="F116" s="155">
        <f>IFERROR(E116+'Pay App 44'!F116,"")</f>
        <v>0</v>
      </c>
      <c r="G116" s="155">
        <f>SUM('Pay App 1:Pay App 44'!H116)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45'!L116)+SUM('Pay App 1:Pay App 45'!M116)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Data'!$O$2:$BX$88,47,FALSE)</f>
        <v>0</v>
      </c>
      <c r="F117" s="155">
        <f>IFERROR(E117+'Pay App 44'!F117,"")</f>
        <v>0</v>
      </c>
      <c r="G117" s="155">
        <f>SUM('Pay App 1:Pay App 44'!H117)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45'!L117)+SUM('Pay App 1:Pay App 45'!M117)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Data'!$O$2:$BX$88,47,FALSE)</f>
        <v>0</v>
      </c>
      <c r="F118" s="155">
        <f>IFERROR(E118+'Pay App 44'!F118,"")</f>
        <v>0</v>
      </c>
      <c r="G118" s="155">
        <f>SUM('Pay App 1:Pay App 44'!H118)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45'!L118)+SUM('Pay App 1:Pay App 45'!M118)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Data'!$O$2:$BX$88,47,FALSE)</f>
        <v>0</v>
      </c>
      <c r="F119" s="155">
        <f>IFERROR(E119+'Pay App 44'!F119,"")</f>
        <v>0</v>
      </c>
      <c r="G119" s="155">
        <f>SUM('Pay App 1:Pay App 44'!H119)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45'!L119)+SUM('Pay App 1:Pay App 45'!M119)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Data'!$O$2:$BX$88,47,FALSE)</f>
        <v>0</v>
      </c>
      <c r="F120" s="155">
        <f>IFERROR(E120+'Pay App 44'!F120,"")</f>
        <v>0</v>
      </c>
      <c r="G120" s="155">
        <f>SUM('Pay App 1:Pay App 44'!H120)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45'!L120)+SUM('Pay App 1:Pay App 45'!M120)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Data'!$O$2:$BX$88,47,FALSE)</f>
        <v>0</v>
      </c>
      <c r="F121" s="155">
        <f>IFERROR(E121+'Pay App 44'!F121,"")</f>
        <v>0</v>
      </c>
      <c r="G121" s="155">
        <f>SUM('Pay App 1:Pay App 44'!H121)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45'!L121)+SUM('Pay App 1:Pay App 45'!M121)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Data'!$O$2:$BX$88,47,FALSE)</f>
        <v>0</v>
      </c>
      <c r="F122" s="155">
        <f>IFERROR(E122+'Pay App 44'!F122,"")</f>
        <v>0</v>
      </c>
      <c r="G122" s="155">
        <f>SUM('Pay App 1:Pay App 44'!H122)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45'!L122)+SUM('Pay App 1:Pay App 45'!M122)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Data'!$O$2:$BX$88,47,FALSE)</f>
        <v>0</v>
      </c>
      <c r="F123" s="155">
        <f>IFERROR(E123+'Pay App 44'!F123,"")</f>
        <v>0</v>
      </c>
      <c r="G123" s="155">
        <f>SUM('Pay App 1:Pay App 44'!H123)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45'!L123)+SUM('Pay App 1:Pay App 45'!M123)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Data'!$O$2:$BX$88,47,FALSE)</f>
        <v>0</v>
      </c>
      <c r="F124" s="155">
        <f>IFERROR(E124+'Pay App 44'!F124,"")</f>
        <v>0</v>
      </c>
      <c r="G124" s="155">
        <f>SUM('Pay App 1:Pay App 44'!H124)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45'!L124)+SUM('Pay App 1:Pay App 45'!M124)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Data'!$O$2:$BX$88,47,FALSE)</f>
        <v>0</v>
      </c>
      <c r="F125" s="155">
        <f>IFERROR(E125+'Pay App 44'!F125,"")</f>
        <v>0</v>
      </c>
      <c r="G125" s="155">
        <f>SUM('Pay App 1:Pay App 44'!H125)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45'!L125)+SUM('Pay App 1:Pay App 45'!M125)</f>
        <v>0</v>
      </c>
    </row>
    <row r="126" spans="1:14" ht="11.25" customHeight="1" x14ac:dyDescent="0.25">
      <c r="A126" s="152">
        <f t="shared" si="3"/>
        <v>65</v>
      </c>
      <c r="B126" s="188" t="str">
        <f>'Pay App 1'!B126</f>
        <v>14 20 00</v>
      </c>
      <c r="C126" s="194" t="str">
        <f>'Pay App 1'!C126</f>
        <v>Elevator</v>
      </c>
      <c r="D126" s="155">
        <f>'Pay App 1'!D126</f>
        <v>0</v>
      </c>
      <c r="E126" s="155">
        <f>VLOOKUP(B126,'Graph Data'!$O$2:$BX$88,47,FALSE)</f>
        <v>0</v>
      </c>
      <c r="F126" s="155">
        <f>IFERROR(E126+'Pay App 44'!F126,"")</f>
        <v>0</v>
      </c>
      <c r="G126" s="155">
        <f>SUM('Pay App 1:Pay App 44'!H126)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45'!L126)+SUM('Pay App 1:Pay App 45'!M126)</f>
        <v>0</v>
      </c>
    </row>
    <row r="127" spans="1:14" ht="11.25" customHeight="1" x14ac:dyDescent="0.25">
      <c r="A127" s="152">
        <f t="shared" si="3"/>
        <v>66</v>
      </c>
      <c r="B127" s="188" t="str">
        <f>'Pay App 1'!B127</f>
        <v>14 40 00</v>
      </c>
      <c r="C127" s="194" t="str">
        <f>'Pay App 1'!C127</f>
        <v>Lifts</v>
      </c>
      <c r="D127" s="155">
        <f>'Pay App 1'!D127</f>
        <v>0</v>
      </c>
      <c r="E127" s="155">
        <f>VLOOKUP(B127,'Graph Data'!$O$2:$BX$88,47,FALSE)</f>
        <v>0</v>
      </c>
      <c r="F127" s="155">
        <f>IFERROR(E127+'Pay App 44'!F127,"")</f>
        <v>0</v>
      </c>
      <c r="G127" s="155">
        <f>SUM('Pay App 1:Pay App 44'!H127)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45'!L127)+SUM('Pay App 1:Pay App 45'!M127)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Data'!$O$2:$BX$88,47,FALSE)</f>
        <v>0</v>
      </c>
      <c r="F128" s="155">
        <f>IFERROR(E128+'Pay App 44'!F128,"")</f>
        <v>0</v>
      </c>
      <c r="G128" s="155">
        <f>SUM('Pay App 1:Pay App 44'!H128)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45'!L128)+SUM('Pay App 1:Pay App 45'!M128)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Data'!$O$2:$BX$88,47,FALSE)</f>
        <v>0</v>
      </c>
      <c r="F129" s="155">
        <f>IFERROR(E129+'Pay App 44'!F129,"")</f>
        <v>0</v>
      </c>
      <c r="G129" s="155">
        <f>SUM('Pay App 1:Pay App 44'!H129)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45'!L129)+SUM('Pay App 1:Pay App 45'!M129)</f>
        <v>0</v>
      </c>
    </row>
    <row r="130" spans="1:14" ht="11.25" customHeight="1" x14ac:dyDescent="0.25">
      <c r="A130" s="152">
        <f t="shared" si="3"/>
        <v>69</v>
      </c>
      <c r="B130" s="185" t="str">
        <f>'Pay App 1'!B130</f>
        <v>22 00 00</v>
      </c>
      <c r="C130" s="191" t="str">
        <f>'Pay App 1'!C130</f>
        <v>Plumbing</v>
      </c>
      <c r="D130" s="155">
        <f>'Pay App 1'!D130</f>
        <v>0</v>
      </c>
      <c r="E130" s="155">
        <f>VLOOKUP(B130,'Graph Data'!$O$2:$BX$88,47,FALSE)</f>
        <v>0</v>
      </c>
      <c r="F130" s="155">
        <f>IFERROR(E130+'Pay App 44'!F130,"")</f>
        <v>0</v>
      </c>
      <c r="G130" s="155">
        <f>SUM('Pay App 1:Pay App 44'!H130)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45'!L130)+SUM('Pay App 1:Pay App 45'!M130)</f>
        <v>0</v>
      </c>
    </row>
    <row r="131" spans="1:14" ht="11.25" customHeight="1" x14ac:dyDescent="0.25">
      <c r="A131" s="152">
        <f t="shared" si="3"/>
        <v>70</v>
      </c>
      <c r="B131" s="186" t="str">
        <f>'Pay App 1'!B131</f>
        <v>23 00 00</v>
      </c>
      <c r="C131" s="192" t="str">
        <f>'Pay App 1'!C131</f>
        <v>HVAC</v>
      </c>
      <c r="D131" s="155">
        <f>'Pay App 1'!D131</f>
        <v>0</v>
      </c>
      <c r="E131" s="155">
        <f>VLOOKUP(B131,'Graph Data'!$O$2:$BX$88,47,FALSE)</f>
        <v>0</v>
      </c>
      <c r="F131" s="155">
        <f>IFERROR(E131+'Pay App 44'!F131,"")</f>
        <v>0</v>
      </c>
      <c r="G131" s="155">
        <f>SUM('Pay App 1:Pay App 44'!H131)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45'!L131)+SUM('Pay App 1:Pay App 45'!M131)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Data'!$O$2:$BX$88,47,FALSE)</f>
        <v>0</v>
      </c>
      <c r="F132" s="155">
        <f>IFERROR(E132+'Pay App 44'!F132,"")</f>
        <v>0</v>
      </c>
      <c r="G132" s="155">
        <f>SUM('Pay App 1:Pay App 44'!H132)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45'!L132)+SUM('Pay App 1:Pay App 45'!M132)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Data'!$O$2:$BX$88,47,FALSE)</f>
        <v>0</v>
      </c>
      <c r="F133" s="155">
        <f>IFERROR(E133+'Pay App 44'!F133,"")</f>
        <v>0</v>
      </c>
      <c r="G133" s="155">
        <f>SUM('Pay App 1:Pay App 44'!H133)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45'!L133)+SUM('Pay App 1:Pay App 45'!M133)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Data'!$O$2:$BX$88,47,FALSE)</f>
        <v>0</v>
      </c>
      <c r="F134" s="155">
        <f>IFERROR(E134+'Pay App 44'!F134,"")</f>
        <v>0</v>
      </c>
      <c r="G134" s="155">
        <f>SUM('Pay App 1:Pay App 44'!H134)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45'!L134)+SUM('Pay App 1:Pay App 45'!M134)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Data'!$O$2:$BX$88,47,FALSE)</f>
        <v>0</v>
      </c>
      <c r="F135" s="155">
        <f>IFERROR(E135+'Pay App 44'!F135,"")</f>
        <v>0</v>
      </c>
      <c r="G135" s="155">
        <f>SUM('Pay App 1:Pay App 44'!H135)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45'!L135)+SUM('Pay App 1:Pay App 45'!M135)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Data'!$O$2:$BX$88,47,FALSE)</f>
        <v>0</v>
      </c>
      <c r="F136" s="155">
        <f>IFERROR(E136+'Pay App 44'!F136,"")</f>
        <v>0</v>
      </c>
      <c r="G136" s="155">
        <f>SUM('Pay App 1:Pay App 44'!H136)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45'!L136)+SUM('Pay App 1:Pay App 45'!M136)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Data'!$O$2:$BX$88,47,FALSE)</f>
        <v>0</v>
      </c>
      <c r="F137" s="155">
        <f>IFERROR(E137+'Pay App 44'!F137,"")</f>
        <v>0</v>
      </c>
      <c r="G137" s="155">
        <f>SUM('Pay App 1:Pay App 44'!H137)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45'!L137)+SUM('Pay App 1:Pay App 45'!M137)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Data'!$O$2:$BX$88,47,FALSE)</f>
        <v>0</v>
      </c>
      <c r="F138" s="155">
        <f>IFERROR(E138+'Pay App 44'!F138,"")</f>
        <v>0</v>
      </c>
      <c r="G138" s="155">
        <f>SUM('Pay App 1:Pay App 44'!H138)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45'!L138)+SUM('Pay App 1:Pay App 45'!M138)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Data'!$O$2:$BX$88,47,FALSE)</f>
        <v>0</v>
      </c>
      <c r="F139" s="155">
        <f>IFERROR(E139+'Pay App 44'!F139,"")</f>
        <v>0</v>
      </c>
      <c r="G139" s="155">
        <f>SUM('Pay App 1:Pay App 44'!H139)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45'!L139)+SUM('Pay App 1:Pay App 45'!M139)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Data'!$O$2:$BX$88,47,FALSE)</f>
        <v>0</v>
      </c>
      <c r="F140" s="155">
        <f>IFERROR(E140+'Pay App 44'!F140,"")</f>
        <v>0</v>
      </c>
      <c r="G140" s="155">
        <f>SUM('Pay App 1:Pay App 44'!H140)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45'!L140)+SUM('Pay App 1:Pay App 45'!M140)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Data'!$O$2:$BX$88,47,FALSE)</f>
        <v>0</v>
      </c>
      <c r="F141" s="155">
        <f>IFERROR(E141+'Pay App 44'!F141,"")</f>
        <v>0</v>
      </c>
      <c r="G141" s="155">
        <f>SUM('Pay App 1:Pay App 44'!H141)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45'!L141)+SUM('Pay App 1:Pay App 45'!M141)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Data'!$O$2:$BX$88,47,FALSE)</f>
        <v>0</v>
      </c>
      <c r="F142" s="155">
        <f>IFERROR(E142+'Pay App 44'!F142,"")</f>
        <v>0</v>
      </c>
      <c r="G142" s="155">
        <f>SUM('Pay App 1:Pay App 44'!H142)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45'!L142)+SUM('Pay App 1:Pay App 45'!M142)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Data'!$O$2:$BX$88,47,FALSE)</f>
        <v>0</v>
      </c>
      <c r="F143" s="155">
        <f>IFERROR(E143+'Pay App 44'!F143,"")</f>
        <v>0</v>
      </c>
      <c r="G143" s="155">
        <f>SUM('Pay App 1:Pay App 44'!H143)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45'!L143)+SUM('Pay App 1:Pay App 45'!M143)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Data'!$O$2:$BX$88,47,FALSE)</f>
        <v>0</v>
      </c>
      <c r="F144" s="155">
        <f>IFERROR(E144+'Pay App 44'!F144,"")</f>
        <v>0</v>
      </c>
      <c r="G144" s="155">
        <f>SUM('Pay App 1:Pay App 44'!H144)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45'!L144)+SUM('Pay App 1:Pay App 45'!M144)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Data'!$O$2:$BX$88,47,FALSE)</f>
        <v>0</v>
      </c>
      <c r="F145" s="155">
        <f>IFERROR(E145+'Pay App 44'!F145,"")</f>
        <v>0</v>
      </c>
      <c r="G145" s="155">
        <f>SUM('Pay App 1:Pay App 44'!H145)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45'!L145)+SUM('Pay App 1:Pay App 45'!M145)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Data'!$O$2:$BX$88,47,FALSE)</f>
        <v>0</v>
      </c>
      <c r="F146" s="155">
        <f>IFERROR(E146+'Pay App 44'!F146,"")</f>
        <v>0</v>
      </c>
      <c r="G146" s="155">
        <f>SUM('Pay App 1:Pay App 44'!H146)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45'!L146)+SUM('Pay App 1:Pay App 45'!M146)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Data'!$O$2:$BX$88,47,FALSE)</f>
        <v>0</v>
      </c>
      <c r="F147" s="155">
        <f>IFERROR(E147+'Pay App 44'!F147,"")</f>
        <v>0</v>
      </c>
      <c r="G147" s="155">
        <f>SUM('Pay App 1:Pay App 44'!H147)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45'!L147)+SUM('Pay App 1:Pay App 45'!M147)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Data'!$O$2:$BX$88,47,FALSE)</f>
        <v>0</v>
      </c>
      <c r="F148" s="155">
        <f>IFERROR(E148+'Pay App 44'!F148,"")</f>
        <v>0</v>
      </c>
      <c r="G148" s="155">
        <f>SUM('Pay App 1:Pay App 44'!H148)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45'!L148)+SUM('Pay App 1:Pay App 45'!M148)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LHj8phBzpF546h8kgSOeaw0BzcfZ3ZlFcRvoIweW2rXSXIxrDdUUUZBW73HxlSxkofV9Wuy6apny67bCpaKphA==" saltValue="4LElL2RXF8xBmDrgiojzP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75" priority="2" operator="equal">
      <formula>0</formula>
    </cfRule>
  </conditionalFormatting>
  <conditionalFormatting sqref="D106:G148">
    <cfRule type="cellIs" dxfId="174" priority="1" operator="equal">
      <formula>0</formula>
    </cfRule>
  </conditionalFormatting>
  <conditionalFormatting sqref="D10:H10 D12:H14 D19:H21">
    <cfRule type="cellIs" dxfId="173" priority="6" operator="equal">
      <formula>0</formula>
    </cfRule>
  </conditionalFormatting>
  <conditionalFormatting sqref="H51">
    <cfRule type="cellIs" dxfId="172" priority="9" operator="lessThan">
      <formula>0</formula>
    </cfRule>
  </conditionalFormatting>
  <conditionalFormatting sqref="I57:I100 K57:K100 I106:I148 K106:K148 N106:N148">
    <cfRule type="cellIs" dxfId="171" priority="14" operator="equal">
      <formula>0</formula>
    </cfRule>
  </conditionalFormatting>
  <conditionalFormatting sqref="J57:J100 J106:J149">
    <cfRule type="cellIs" dxfId="170" priority="11" operator="greaterThan">
      <formula>1</formula>
    </cfRule>
    <cfRule type="cellIs" dxfId="169" priority="12" operator="equal">
      <formula>0</formula>
    </cfRule>
  </conditionalFormatting>
  <conditionalFormatting sqref="K57:K100 K106:K148">
    <cfRule type="cellIs" dxfId="168" priority="10" operator="lessThan">
      <formula>0</formula>
    </cfRule>
  </conditionalFormatting>
  <conditionalFormatting sqref="M57:M100">
    <cfRule type="cellIs" dxfId="167" priority="13" operator="lessThan">
      <formula>0</formula>
    </cfRule>
  </conditionalFormatting>
  <conditionalFormatting sqref="M106:M148">
    <cfRule type="cellIs" dxfId="166" priority="8" operator="lessThan">
      <formula>0</formula>
    </cfRule>
  </conditionalFormatting>
  <conditionalFormatting sqref="N57:N100">
    <cfRule type="cellIs" dxfId="16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ADD8556B-E3AE-4E48-9841-C792646A2BB4}">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14049F9-F2E2-44C3-B433-DD08788152D6}">
          <x14:formula1>
            <xm:f>'Graph Data'!$M$74:$M$76</xm:f>
          </x14:formula1>
          <xm:sqref>G17</xm:sqref>
        </x14:dataValidation>
      </x14:dataValidation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7A05A-B2C0-4767-97B6-07A77DD84480}">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46.1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Data'!$O$2:$BX$88,48,FALSE)</f>
        <v>0</v>
      </c>
      <c r="F57" s="155">
        <f>IFERROR(E57+'Pay App 45'!F57,"")</f>
        <v>0</v>
      </c>
      <c r="G57" s="155">
        <f>SUM('Pay App 1:Pay App 45'!H57)</f>
        <v>0</v>
      </c>
      <c r="H57" s="154"/>
      <c r="I57" s="155">
        <f>G57+H57</f>
        <v>0</v>
      </c>
      <c r="J57" s="156">
        <f>IFERROR(I57/F57,0)</f>
        <v>0</v>
      </c>
      <c r="K57" s="155">
        <f>IFERROR(F57-I57,"")</f>
        <v>0</v>
      </c>
      <c r="L57" s="155" t="str">
        <f>IF(AND('Summary Sheet'!$E$23="No",$H$33&gt;0,H57&gt;=1),"",IF(AND('Summary Sheet'!$E$23="Yes",H57&lt;&gt;""),H57*'Summary Sheet'!$G$23,""))</f>
        <v/>
      </c>
      <c r="M57" s="154"/>
      <c r="N57" s="155">
        <f>SUM('Pay App 1:Pay App 46'!L57)+SUM('Pay App 1:Pay App 46'!M57)</f>
        <v>0</v>
      </c>
    </row>
    <row r="58" spans="1:16" ht="11.25" customHeight="1" x14ac:dyDescent="0.25">
      <c r="A58" s="152">
        <v>2</v>
      </c>
      <c r="B58" s="145" t="str">
        <f>'Pay App 1'!B58</f>
        <v>00 02 00</v>
      </c>
      <c r="C58" s="134" t="str">
        <f>'Pay App 1'!C58</f>
        <v>Preconstruction Services</v>
      </c>
      <c r="D58" s="155">
        <f>'Pay App 1'!D58</f>
        <v>0</v>
      </c>
      <c r="E58" s="155">
        <f>VLOOKUP(B58,'Graph Data'!$O$2:$BX$88,48,FALSE)</f>
        <v>0</v>
      </c>
      <c r="F58" s="155">
        <f>IFERROR(E58+'Pay App 45'!F58,"")</f>
        <v>0</v>
      </c>
      <c r="G58" s="155">
        <f>SUM('Pay App 1:Pay App 45'!H58)</f>
        <v>0</v>
      </c>
      <c r="H58" s="154"/>
      <c r="I58" s="155">
        <f>G58+H58</f>
        <v>0</v>
      </c>
      <c r="J58" s="156">
        <f>IFERROR(I58/F58,0)</f>
        <v>0</v>
      </c>
      <c r="K58" s="155">
        <f>IFERROR(F58-I58,"")</f>
        <v>0</v>
      </c>
      <c r="L58" s="155" t="str">
        <f>IF(AND('Summary Sheet'!$E$23="No",$H$33&gt;0,H58&gt;=1),"",IF(AND('Summary Sheet'!$E$23="Yes",H58&lt;&gt;""),H58*'Summary Sheet'!$G$23,""))</f>
        <v/>
      </c>
      <c r="M58" s="154"/>
      <c r="N58" s="155">
        <f>SUM('Pay App 1:Pay App 46'!L58)+SUM('Pay App 1:Pay App 46'!M58)</f>
        <v>0</v>
      </c>
    </row>
    <row r="59" spans="1:16" ht="11.25" customHeight="1" x14ac:dyDescent="0.25">
      <c r="A59" s="152">
        <v>3</v>
      </c>
      <c r="B59" s="174" t="str">
        <f>'Pay App 1'!B59</f>
        <v>01 00 00</v>
      </c>
      <c r="C59" s="179" t="str">
        <f>'Pay App 1'!C59</f>
        <v>General Conditions/Requirements</v>
      </c>
      <c r="D59" s="155">
        <f>'Pay App 1'!D59</f>
        <v>0</v>
      </c>
      <c r="E59" s="155">
        <f>VLOOKUP(B59,'Graph Data'!$O$2:$BX$88,48,FALSE)</f>
        <v>0</v>
      </c>
      <c r="F59" s="155">
        <f>IFERROR(E59+'Pay App 45'!F59,"")</f>
        <v>0</v>
      </c>
      <c r="G59" s="155">
        <f>SUM('Pay App 1:Pay App 45'!H59)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46'!L59)+SUM('Pay App 1:Pay App 46'!M59)</f>
        <v>0</v>
      </c>
    </row>
    <row r="60" spans="1:16" ht="11.25" customHeight="1" x14ac:dyDescent="0.25">
      <c r="A60" s="152">
        <v>4</v>
      </c>
      <c r="B60" s="174" t="str">
        <f>'Pay App 1'!B60</f>
        <v>01 13 41</v>
      </c>
      <c r="C60" s="179" t="str">
        <f>'Pay App 1'!C60</f>
        <v>Temp. Scaffolding and Platforms</v>
      </c>
      <c r="D60" s="155">
        <f>'Pay App 1'!D60</f>
        <v>0</v>
      </c>
      <c r="E60" s="155">
        <f>VLOOKUP(B60,'Graph Data'!$O$2:$BX$88,48,FALSE)</f>
        <v>0</v>
      </c>
      <c r="F60" s="155">
        <f>IFERROR(E60+'Pay App 45'!F60,"")</f>
        <v>0</v>
      </c>
      <c r="G60" s="155">
        <f>SUM('Pay App 1:Pay App 45'!H60)</f>
        <v>0</v>
      </c>
      <c r="H60" s="154"/>
      <c r="I60" s="155">
        <f t="shared" si="0"/>
        <v>0</v>
      </c>
      <c r="J60" s="156">
        <f t="shared" si="1"/>
        <v>0</v>
      </c>
      <c r="K60" s="155">
        <f t="shared" si="2"/>
        <v>0</v>
      </c>
      <c r="L60" s="155" t="str">
        <f>IF(AND('Summary Sheet'!$E$23="No",$H$33&gt;0,H60&gt;=1),"",IF(AND('Summary Sheet'!$E$23="Yes",H60&lt;&gt;""),H60*'Summary Sheet'!$G$23,""))</f>
        <v/>
      </c>
      <c r="M60" s="154"/>
      <c r="N60" s="155">
        <f>SUM('Pay App 1:Pay App 46'!L60)+SUM('Pay App 1:Pay App 46'!M60)</f>
        <v>0</v>
      </c>
    </row>
    <row r="61" spans="1:16" ht="11.25" customHeight="1" x14ac:dyDescent="0.25">
      <c r="A61" s="152">
        <v>5</v>
      </c>
      <c r="B61" s="174" t="str">
        <f>'Pay App 1'!B61</f>
        <v>01 13 60</v>
      </c>
      <c r="C61" s="179" t="str">
        <f>'Pay App 1'!C61</f>
        <v>SWPPP</v>
      </c>
      <c r="D61" s="155">
        <f>'Pay App 1'!D61</f>
        <v>0</v>
      </c>
      <c r="E61" s="155">
        <f>VLOOKUP(B61,'Graph Data'!$O$2:$BX$88,48,FALSE)</f>
        <v>0</v>
      </c>
      <c r="F61" s="155">
        <f>IFERROR(E61+'Pay App 45'!F61,"")</f>
        <v>0</v>
      </c>
      <c r="G61" s="155">
        <f>SUM('Pay App 1:Pay App 45'!H61)</f>
        <v>0</v>
      </c>
      <c r="H61" s="154"/>
      <c r="I61" s="155">
        <f t="shared" si="0"/>
        <v>0</v>
      </c>
      <c r="J61" s="156">
        <f t="shared" si="1"/>
        <v>0</v>
      </c>
      <c r="K61" s="155">
        <f t="shared" si="2"/>
        <v>0</v>
      </c>
      <c r="L61" s="155" t="str">
        <f>IF(AND('Summary Sheet'!$E$23="No",$H$33&gt;0,H61&gt;=1),"",IF(AND('Summary Sheet'!$E$23="Yes",H61&lt;&gt;""),H61*'Summary Sheet'!$G$23,""))</f>
        <v/>
      </c>
      <c r="M61" s="154"/>
      <c r="N61" s="155">
        <f>SUM('Pay App 1:Pay App 46'!L61)+SUM('Pay App 1:Pay App 46'!M61)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Data'!$O$2:$BX$88,48,FALSE)</f>
        <v>0</v>
      </c>
      <c r="F62" s="155">
        <f>IFERROR(E62+'Pay App 45'!F62,"")</f>
        <v>0</v>
      </c>
      <c r="G62" s="155">
        <f>SUM('Pay App 1:Pay App 45'!H62)</f>
        <v>0</v>
      </c>
      <c r="H62" s="154"/>
      <c r="I62" s="155">
        <f t="shared" si="0"/>
        <v>0</v>
      </c>
      <c r="J62" s="156">
        <f t="shared" si="1"/>
        <v>0</v>
      </c>
      <c r="K62" s="155">
        <f t="shared" si="2"/>
        <v>0</v>
      </c>
      <c r="L62" s="155" t="str">
        <f>IF(AND('Summary Sheet'!$E$23="No",$H$33&gt;0,H62&gt;=1),"",IF(AND('Summary Sheet'!$E$23="Yes",H62&lt;&gt;""),H62*'Summary Sheet'!$G$23,""))</f>
        <v/>
      </c>
      <c r="M62" s="154"/>
      <c r="N62" s="155">
        <f>SUM('Pay App 1:Pay App 46'!L62)+SUM('Pay App 1:Pay App 46'!M62)</f>
        <v>0</v>
      </c>
    </row>
    <row r="63" spans="1:16" ht="11.25" customHeight="1" x14ac:dyDescent="0.25">
      <c r="A63" s="152">
        <v>7</v>
      </c>
      <c r="B63" s="174" t="str">
        <f>'Pay App 1'!B63</f>
        <v>01 31 00</v>
      </c>
      <c r="C63" s="179" t="str">
        <f>'Pay App 1'!C63</f>
        <v>Contractor's Supervision</v>
      </c>
      <c r="D63" s="155">
        <f>'Pay App 1'!D63</f>
        <v>0</v>
      </c>
      <c r="E63" s="155">
        <f>VLOOKUP(B63,'Graph Data'!$O$2:$BX$88,48,FALSE)</f>
        <v>0</v>
      </c>
      <c r="F63" s="155">
        <f>IFERROR(E63+'Pay App 45'!F63,"")</f>
        <v>0</v>
      </c>
      <c r="G63" s="155">
        <f>SUM('Pay App 1:Pay App 45'!H63)</f>
        <v>0</v>
      </c>
      <c r="H63" s="154"/>
      <c r="I63" s="155">
        <f t="shared" si="0"/>
        <v>0</v>
      </c>
      <c r="J63" s="156">
        <f t="shared" si="1"/>
        <v>0</v>
      </c>
      <c r="K63" s="155">
        <f t="shared" si="2"/>
        <v>0</v>
      </c>
      <c r="L63" s="155" t="str">
        <f>IF(AND('Summary Sheet'!$E$23="No",$H$33&gt;0,H63&gt;=1),"",IF(AND('Summary Sheet'!$E$23="Yes",H63&lt;&gt;""),H63*'Summary Sheet'!$G$23,""))</f>
        <v/>
      </c>
      <c r="M63" s="154"/>
      <c r="N63" s="155">
        <f>SUM('Pay App 1:Pay App 46'!L63)+SUM('Pay App 1:Pay App 46'!M63)</f>
        <v>0</v>
      </c>
    </row>
    <row r="64" spans="1:16" ht="11.25" customHeight="1" x14ac:dyDescent="0.25">
      <c r="A64" s="152">
        <v>8</v>
      </c>
      <c r="B64" s="174" t="str">
        <f>'Pay App 1'!B64</f>
        <v>01 32 00</v>
      </c>
      <c r="C64" s="179" t="str">
        <f>'Pay App 1'!C64</f>
        <v>General Liability Insurance</v>
      </c>
      <c r="D64" s="155">
        <f>'Pay App 1'!D64</f>
        <v>0</v>
      </c>
      <c r="E64" s="155">
        <f>VLOOKUP(B64,'Graph Data'!$O$2:$BX$88,48,FALSE)</f>
        <v>0</v>
      </c>
      <c r="F64" s="155">
        <f>IFERROR(E64+'Pay App 45'!F64,"")</f>
        <v>0</v>
      </c>
      <c r="G64" s="155">
        <f>SUM('Pay App 1:Pay App 45'!H64)</f>
        <v>0</v>
      </c>
      <c r="H64" s="154"/>
      <c r="I64" s="155">
        <f t="shared" si="0"/>
        <v>0</v>
      </c>
      <c r="J64" s="156">
        <f t="shared" si="1"/>
        <v>0</v>
      </c>
      <c r="K64" s="155">
        <f t="shared" si="2"/>
        <v>0</v>
      </c>
      <c r="L64" s="155" t="str">
        <f>IF(AND('Summary Sheet'!$E$23="No",$H$33&gt;0,H64&gt;=1),"",IF(AND('Summary Sheet'!$E$23="Yes",H64&lt;&gt;""),H64*'Summary Sheet'!$G$23,""))</f>
        <v/>
      </c>
      <c r="M64" s="154"/>
      <c r="N64" s="155">
        <f>SUM('Pay App 1:Pay App 46'!L64)+SUM('Pay App 1:Pay App 46'!M64)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Data'!$O$2:$BX$88,48,FALSE)</f>
        <v>0</v>
      </c>
      <c r="F65" s="155">
        <f>IFERROR(E65+'Pay App 45'!F65,"")</f>
        <v>0</v>
      </c>
      <c r="G65" s="155">
        <f>SUM('Pay App 1:Pay App 45'!H65)</f>
        <v>0</v>
      </c>
      <c r="H65" s="154"/>
      <c r="I65" s="155">
        <f t="shared" si="0"/>
        <v>0</v>
      </c>
      <c r="J65" s="156">
        <f t="shared" si="1"/>
        <v>0</v>
      </c>
      <c r="K65" s="155">
        <f t="shared" si="2"/>
        <v>0</v>
      </c>
      <c r="L65" s="155" t="str">
        <f>IF(AND('Summary Sheet'!$E$23="No",$H$33&gt;0,H65&gt;=1),"",IF(AND('Summary Sheet'!$E$23="Yes",H65&lt;&gt;""),H65*'Summary Sheet'!$G$23,""))</f>
        <v/>
      </c>
      <c r="M65" s="154"/>
      <c r="N65" s="155">
        <f>SUM('Pay App 1:Pay App 46'!L65)+SUM('Pay App 1:Pay App 46'!M65)</f>
        <v>0</v>
      </c>
    </row>
    <row r="66" spans="1:17" ht="11.25" customHeight="1" x14ac:dyDescent="0.25">
      <c r="A66" s="152">
        <v>10</v>
      </c>
      <c r="B66" s="174" t="str">
        <f>'Pay App 1'!B66</f>
        <v>01 34 00</v>
      </c>
      <c r="C66" s="179" t="str">
        <f>'Pay App 1'!C66</f>
        <v>Subcontractor Default Insurance</v>
      </c>
      <c r="D66" s="155">
        <f>'Pay App 1'!D66</f>
        <v>0</v>
      </c>
      <c r="E66" s="155">
        <f>VLOOKUP(B66,'Graph Data'!$O$2:$BX$88,48,FALSE)</f>
        <v>0</v>
      </c>
      <c r="F66" s="155">
        <f>IFERROR(E66+'Pay App 45'!F66,"")</f>
        <v>0</v>
      </c>
      <c r="G66" s="155">
        <f>SUM('Pay App 1:Pay App 45'!H66)</f>
        <v>0</v>
      </c>
      <c r="H66" s="154"/>
      <c r="I66" s="155">
        <f t="shared" si="0"/>
        <v>0</v>
      </c>
      <c r="J66" s="156">
        <f t="shared" si="1"/>
        <v>0</v>
      </c>
      <c r="K66" s="155">
        <f t="shared" si="2"/>
        <v>0</v>
      </c>
      <c r="L66" s="155" t="str">
        <f>IF(AND('Summary Sheet'!$E$23="No",$H$33&gt;0,H66&gt;=1),"",IF(AND('Summary Sheet'!$E$23="Yes",H66&lt;&gt;""),H66*'Summary Sheet'!$G$23,""))</f>
        <v/>
      </c>
      <c r="M66" s="154"/>
      <c r="N66" s="155">
        <f>SUM('Pay App 1:Pay App 46'!L66)+SUM('Pay App 1:Pay App 46'!M66)</f>
        <v>0</v>
      </c>
    </row>
    <row r="67" spans="1:17" ht="11.25" customHeight="1" x14ac:dyDescent="0.25">
      <c r="A67" s="152">
        <v>11</v>
      </c>
      <c r="B67" s="174" t="str">
        <f>'Pay App 1'!B67</f>
        <v>01 35 00</v>
      </c>
      <c r="C67" s="179" t="str">
        <f>'Pay App 1'!C67</f>
        <v>Construction Management Fee</v>
      </c>
      <c r="D67" s="155">
        <f>'Pay App 1'!D67</f>
        <v>0</v>
      </c>
      <c r="E67" s="155">
        <f>VLOOKUP(B67,'Graph Data'!$O$2:$BX$88,48,FALSE)</f>
        <v>0</v>
      </c>
      <c r="F67" s="155">
        <f>IFERROR(E67+'Pay App 45'!F67,"")</f>
        <v>0</v>
      </c>
      <c r="G67" s="155">
        <f>SUM('Pay App 1:Pay App 45'!H67)</f>
        <v>0</v>
      </c>
      <c r="H67" s="154"/>
      <c r="I67" s="155">
        <f t="shared" si="0"/>
        <v>0</v>
      </c>
      <c r="J67" s="156">
        <f t="shared" si="1"/>
        <v>0</v>
      </c>
      <c r="K67" s="155">
        <f t="shared" si="2"/>
        <v>0</v>
      </c>
      <c r="L67" s="155" t="str">
        <f>IF(AND('Summary Sheet'!$E$23="No",$H$33&gt;0,H67&gt;=1),"",IF(AND('Summary Sheet'!$E$23="Yes",H67&lt;&gt;""),H67*'Summary Sheet'!$G$23,""))</f>
        <v/>
      </c>
      <c r="M67" s="154"/>
      <c r="N67" s="155">
        <f>SUM('Pay App 1:Pay App 46'!L67)+SUM('Pay App 1:Pay App 46'!M67)</f>
        <v>0</v>
      </c>
    </row>
    <row r="68" spans="1:17" ht="11.25" customHeight="1" x14ac:dyDescent="0.25">
      <c r="A68" s="152">
        <v>12</v>
      </c>
      <c r="B68" s="174" t="str">
        <f>'Pay App 1'!B68</f>
        <v>01 36 00</v>
      </c>
      <c r="C68" s="179" t="str">
        <f>'Pay App 1'!C68</f>
        <v>Contingency</v>
      </c>
      <c r="D68" s="155">
        <f>'Pay App 1'!D68</f>
        <v>0</v>
      </c>
      <c r="E68" s="155">
        <f>VLOOKUP(B68,'Graph Data'!$O$2:$BX$88,48,FALSE)</f>
        <v>0</v>
      </c>
      <c r="F68" s="155">
        <f>IFERROR(E68+'Pay App 45'!F68,"")</f>
        <v>0</v>
      </c>
      <c r="G68" s="155">
        <f>SUM('Pay App 1:Pay App 45'!H68)</f>
        <v>0</v>
      </c>
      <c r="H68" s="154"/>
      <c r="I68" s="155">
        <f t="shared" si="0"/>
        <v>0</v>
      </c>
      <c r="J68" s="156">
        <f t="shared" si="1"/>
        <v>0</v>
      </c>
      <c r="K68" s="155">
        <f t="shared" si="2"/>
        <v>0</v>
      </c>
      <c r="L68" s="155" t="str">
        <f>IF(AND('Summary Sheet'!$E$23="No",$H$33&gt;0,H68&gt;=1),"",IF(AND('Summary Sheet'!$E$23="Yes",H68&lt;&gt;""),H68*'Summary Sheet'!$G$23,""))</f>
        <v/>
      </c>
      <c r="M68" s="154"/>
      <c r="N68" s="155">
        <f>SUM('Pay App 1:Pay App 46'!L68)+SUM('Pay App 1:Pay App 46'!M68)</f>
        <v>0</v>
      </c>
    </row>
    <row r="69" spans="1:17" ht="11.25" customHeight="1" x14ac:dyDescent="0.25">
      <c r="A69" s="152">
        <v>13</v>
      </c>
      <c r="B69" s="174" t="str">
        <f>'Pay App 1'!B69</f>
        <v>01 37 00</v>
      </c>
      <c r="C69" s="179" t="str">
        <f>'Pay App 1'!C69</f>
        <v>Weather Allowance (All Trades)</v>
      </c>
      <c r="D69" s="155">
        <f>'Pay App 1'!D69</f>
        <v>0</v>
      </c>
      <c r="E69" s="155">
        <f>VLOOKUP(B69,'Graph Data'!$O$2:$BX$88,48,FALSE)</f>
        <v>0</v>
      </c>
      <c r="F69" s="155">
        <f>IFERROR(E69+'Pay App 45'!F69,"")</f>
        <v>0</v>
      </c>
      <c r="G69" s="155">
        <f>SUM('Pay App 1:Pay App 45'!H69)</f>
        <v>0</v>
      </c>
      <c r="H69" s="154"/>
      <c r="I69" s="155">
        <f t="shared" si="0"/>
        <v>0</v>
      </c>
      <c r="J69" s="156">
        <f t="shared" si="1"/>
        <v>0</v>
      </c>
      <c r="K69" s="155">
        <f t="shared" si="2"/>
        <v>0</v>
      </c>
      <c r="L69" s="155" t="str">
        <f>IF(AND('Summary Sheet'!$E$23="No",$H$33&gt;0,H69&gt;=1),"",IF(AND('Summary Sheet'!$E$23="Yes",H69&lt;&gt;""),H69*'Summary Sheet'!$G$23,""))</f>
        <v/>
      </c>
      <c r="M69" s="154"/>
      <c r="N69" s="155">
        <f>SUM('Pay App 1:Pay App 46'!L69)+SUM('Pay App 1:Pay App 46'!M69)</f>
        <v>0</v>
      </c>
    </row>
    <row r="70" spans="1:17" ht="11.25" customHeight="1" x14ac:dyDescent="0.25">
      <c r="A70" s="152">
        <v>14</v>
      </c>
      <c r="B70" s="174" t="str">
        <f>'Pay App 1'!B70</f>
        <v>01 74 23</v>
      </c>
      <c r="C70" s="179" t="str">
        <f>'Pay App 1'!C70</f>
        <v>Cleaning (Final)</v>
      </c>
      <c r="D70" s="155">
        <f>'Pay App 1'!D70</f>
        <v>0</v>
      </c>
      <c r="E70" s="155">
        <f>VLOOKUP(B70,'Graph Data'!$O$2:$BX$88,48,FALSE)</f>
        <v>0</v>
      </c>
      <c r="F70" s="155">
        <f>IFERROR(E70+'Pay App 45'!F70,"")</f>
        <v>0</v>
      </c>
      <c r="G70" s="155">
        <f>SUM('Pay App 1:Pay App 45'!H70)</f>
        <v>0</v>
      </c>
      <c r="H70" s="154"/>
      <c r="I70" s="155">
        <f t="shared" si="0"/>
        <v>0</v>
      </c>
      <c r="J70" s="156">
        <f t="shared" si="1"/>
        <v>0</v>
      </c>
      <c r="K70" s="155">
        <f t="shared" si="2"/>
        <v>0</v>
      </c>
      <c r="L70" s="155" t="str">
        <f>IF(AND('Summary Sheet'!$E$23="No",$H$33&gt;0,H70&gt;=1),"",IF(AND('Summary Sheet'!$E$23="Yes",H70&lt;&gt;""),H70*'Summary Sheet'!$G$23,""))</f>
        <v/>
      </c>
      <c r="M70" s="154"/>
      <c r="N70" s="155">
        <f>SUM('Pay App 1:Pay App 46'!L70)+SUM('Pay App 1:Pay App 46'!M70)</f>
        <v>0</v>
      </c>
    </row>
    <row r="71" spans="1:17" ht="11.25" customHeight="1" x14ac:dyDescent="0.25">
      <c r="A71" s="152">
        <v>15</v>
      </c>
      <c r="B71" s="175" t="str">
        <f>'Pay App 1'!B71</f>
        <v>02 21 00</v>
      </c>
      <c r="C71" s="180" t="str">
        <f>'Pay App 1'!C71</f>
        <v>Survey/Engineering</v>
      </c>
      <c r="D71" s="155">
        <f>'Pay App 1'!D71</f>
        <v>0</v>
      </c>
      <c r="E71" s="155">
        <f>VLOOKUP(B71,'Graph Data'!$O$2:$BX$88,48,FALSE)</f>
        <v>0</v>
      </c>
      <c r="F71" s="155">
        <f>IFERROR(E71+'Pay App 45'!F71,"")</f>
        <v>0</v>
      </c>
      <c r="G71" s="155">
        <f>SUM('Pay App 1:Pay App 45'!H71)</f>
        <v>0</v>
      </c>
      <c r="H71" s="154"/>
      <c r="I71" s="155">
        <f t="shared" si="0"/>
        <v>0</v>
      </c>
      <c r="J71" s="156">
        <f t="shared" si="1"/>
        <v>0</v>
      </c>
      <c r="K71" s="155">
        <f t="shared" si="2"/>
        <v>0</v>
      </c>
      <c r="L71" s="155" t="str">
        <f>IF(AND('Summary Sheet'!$E$23="No",$H$33&gt;0,H71&gt;=1),"",IF(AND('Summary Sheet'!$E$23="Yes",H71&lt;&gt;""),H71*'Summary Sheet'!$G$23,""))</f>
        <v/>
      </c>
      <c r="M71" s="154"/>
      <c r="N71" s="155">
        <f>SUM('Pay App 1:Pay App 46'!L71)+SUM('Pay App 1:Pay App 46'!M71)</f>
        <v>0</v>
      </c>
      <c r="Q71" s="28"/>
    </row>
    <row r="72" spans="1:17" ht="11.25" customHeight="1" x14ac:dyDescent="0.25">
      <c r="A72" s="152">
        <v>16</v>
      </c>
      <c r="B72" s="175" t="str">
        <f>'Pay App 1'!B72</f>
        <v>02 41 00</v>
      </c>
      <c r="C72" s="180" t="str">
        <f>'Pay App 1'!C72</f>
        <v>Demolition</v>
      </c>
      <c r="D72" s="155">
        <f>'Pay App 1'!D72</f>
        <v>0</v>
      </c>
      <c r="E72" s="155">
        <f>VLOOKUP(B72,'Graph Data'!$O$2:$BX$88,48,FALSE)</f>
        <v>0</v>
      </c>
      <c r="F72" s="155">
        <f>IFERROR(E72+'Pay App 45'!F72,"")</f>
        <v>0</v>
      </c>
      <c r="G72" s="155">
        <f>SUM('Pay App 1:Pay App 45'!H72)</f>
        <v>0</v>
      </c>
      <c r="H72" s="154"/>
      <c r="I72" s="155">
        <f t="shared" si="0"/>
        <v>0</v>
      </c>
      <c r="J72" s="156">
        <f t="shared" si="1"/>
        <v>0</v>
      </c>
      <c r="K72" s="155">
        <f t="shared" si="2"/>
        <v>0</v>
      </c>
      <c r="L72" s="155" t="str">
        <f>IF(AND('Summary Sheet'!$E$23="No",$H$33&gt;0,H72&gt;=1),"",IF(AND('Summary Sheet'!$E$23="Yes",H72&lt;&gt;""),H72*'Summary Sheet'!$G$23,""))</f>
        <v/>
      </c>
      <c r="M72" s="154"/>
      <c r="N72" s="155">
        <f>SUM('Pay App 1:Pay App 46'!L72)+SUM('Pay App 1:Pay App 46'!M72)</f>
        <v>0</v>
      </c>
      <c r="Q72" s="28"/>
    </row>
    <row r="73" spans="1:17" ht="11.25" customHeight="1" x14ac:dyDescent="0.25">
      <c r="A73" s="152">
        <v>17</v>
      </c>
      <c r="B73" s="175" t="str">
        <f>'Pay App 1'!B73</f>
        <v>02 82 00</v>
      </c>
      <c r="C73" s="180" t="str">
        <f>'Pay App 1'!C73</f>
        <v>Asbestos Abatement</v>
      </c>
      <c r="D73" s="155">
        <f>'Pay App 1'!D73</f>
        <v>0</v>
      </c>
      <c r="E73" s="155">
        <f>VLOOKUP(B73,'Graph Data'!$O$2:$BX$88,48,FALSE)</f>
        <v>0</v>
      </c>
      <c r="F73" s="155">
        <f>IFERROR(E73+'Pay App 45'!F73,"")</f>
        <v>0</v>
      </c>
      <c r="G73" s="155">
        <f>SUM('Pay App 1:Pay App 45'!H73)</f>
        <v>0</v>
      </c>
      <c r="H73" s="154"/>
      <c r="I73" s="155">
        <f t="shared" si="0"/>
        <v>0</v>
      </c>
      <c r="J73" s="156">
        <f t="shared" si="1"/>
        <v>0</v>
      </c>
      <c r="K73" s="155">
        <f t="shared" si="2"/>
        <v>0</v>
      </c>
      <c r="L73" s="155" t="str">
        <f>IF(AND('Summary Sheet'!$E$23="No",$H$33&gt;0,H73&gt;=1),"",IF(AND('Summary Sheet'!$E$23="Yes",H73&lt;&gt;""),H73*'Summary Sheet'!$G$23,""))</f>
        <v/>
      </c>
      <c r="M73" s="154"/>
      <c r="N73" s="155">
        <f>SUM('Pay App 1:Pay App 46'!L73)+SUM('Pay App 1:Pay App 46'!M73)</f>
        <v>0</v>
      </c>
    </row>
    <row r="74" spans="1:17" ht="11.25" customHeight="1" x14ac:dyDescent="0.25">
      <c r="A74" s="152">
        <v>18</v>
      </c>
      <c r="B74" s="176" t="str">
        <f>'Pay App 1'!B74</f>
        <v>03 00 00</v>
      </c>
      <c r="C74" s="181" t="str">
        <f>'Pay App 1'!C74</f>
        <v>Building Concrete</v>
      </c>
      <c r="D74" s="155">
        <f>'Pay App 1'!D74</f>
        <v>0</v>
      </c>
      <c r="E74" s="155">
        <f>VLOOKUP(B74,'Graph Data'!$O$2:$BX$88,48,FALSE)</f>
        <v>0</v>
      </c>
      <c r="F74" s="155">
        <f>IFERROR(E74+'Pay App 45'!F74,"")</f>
        <v>0</v>
      </c>
      <c r="G74" s="155">
        <f>SUM('Pay App 1:Pay App 45'!H74)</f>
        <v>0</v>
      </c>
      <c r="H74" s="154"/>
      <c r="I74" s="155">
        <f t="shared" si="0"/>
        <v>0</v>
      </c>
      <c r="J74" s="156">
        <f t="shared" si="1"/>
        <v>0</v>
      </c>
      <c r="K74" s="155">
        <f t="shared" si="2"/>
        <v>0</v>
      </c>
      <c r="L74" s="155" t="str">
        <f>IF(AND('Summary Sheet'!$E$23="No",$H$33&gt;0,H74&gt;=1),"",IF(AND('Summary Sheet'!$E$23="Yes",H74&lt;&gt;""),H74*'Summary Sheet'!$G$23,""))</f>
        <v/>
      </c>
      <c r="M74" s="154"/>
      <c r="N74" s="155">
        <f>SUM('Pay App 1:Pay App 46'!L74)+SUM('Pay App 1:Pay App 46'!M74)</f>
        <v>0</v>
      </c>
    </row>
    <row r="75" spans="1:17" ht="11.25" customHeight="1" x14ac:dyDescent="0.25">
      <c r="A75" s="152">
        <v>19</v>
      </c>
      <c r="B75" s="176" t="str">
        <f>'Pay App 1'!B75</f>
        <v>03 20 00</v>
      </c>
      <c r="C75" s="181" t="str">
        <f>'Pay App 1'!C75</f>
        <v>Building Concrete Reinforcing</v>
      </c>
      <c r="D75" s="155">
        <f>'Pay App 1'!D75</f>
        <v>0</v>
      </c>
      <c r="E75" s="155">
        <f>VLOOKUP(B75,'Graph Data'!$O$2:$BX$88,48,FALSE)</f>
        <v>0</v>
      </c>
      <c r="F75" s="155">
        <f>IFERROR(E75+'Pay App 45'!F75,"")</f>
        <v>0</v>
      </c>
      <c r="G75" s="155">
        <f>SUM('Pay App 1:Pay App 45'!H75)</f>
        <v>0</v>
      </c>
      <c r="H75" s="154"/>
      <c r="I75" s="155">
        <f t="shared" si="0"/>
        <v>0</v>
      </c>
      <c r="J75" s="156">
        <f t="shared" si="1"/>
        <v>0</v>
      </c>
      <c r="K75" s="155">
        <f t="shared" si="2"/>
        <v>0</v>
      </c>
      <c r="L75" s="155" t="str">
        <f>IF(AND('Summary Sheet'!$E$23="No",$H$33&gt;0,H75&gt;=1),"",IF(AND('Summary Sheet'!$E$23="Yes",H75&lt;&gt;""),H75*'Summary Sheet'!$G$23,""))</f>
        <v/>
      </c>
      <c r="M75" s="154"/>
      <c r="N75" s="155">
        <f>SUM('Pay App 1:Pay App 46'!L75)+SUM('Pay App 1:Pay App 46'!M75)</f>
        <v>0</v>
      </c>
    </row>
    <row r="76" spans="1:17" ht="11.25" customHeight="1" x14ac:dyDescent="0.25">
      <c r="A76" s="152">
        <v>20</v>
      </c>
      <c r="B76" s="176" t="str">
        <f>'Pay App 1'!B76</f>
        <v>03 40 00</v>
      </c>
      <c r="C76" s="181" t="str">
        <f>'Pay App 1'!C76</f>
        <v>Precast</v>
      </c>
      <c r="D76" s="155">
        <f>'Pay App 1'!D76</f>
        <v>0</v>
      </c>
      <c r="E76" s="155">
        <f>VLOOKUP(B76,'Graph Data'!$O$2:$BX$88,48,FALSE)</f>
        <v>0</v>
      </c>
      <c r="F76" s="155">
        <f>IFERROR(E76+'Pay App 45'!F76,"")</f>
        <v>0</v>
      </c>
      <c r="G76" s="155">
        <f>SUM('Pay App 1:Pay App 45'!H76)</f>
        <v>0</v>
      </c>
      <c r="H76" s="154"/>
      <c r="I76" s="155">
        <f t="shared" si="0"/>
        <v>0</v>
      </c>
      <c r="J76" s="156">
        <f t="shared" si="1"/>
        <v>0</v>
      </c>
      <c r="K76" s="155">
        <f t="shared" si="2"/>
        <v>0</v>
      </c>
      <c r="L76" s="155" t="str">
        <f>IF(AND('Summary Sheet'!$E$23="No",$H$33&gt;0,H76&gt;=1),"",IF(AND('Summary Sheet'!$E$23="Yes",H76&lt;&gt;""),H76*'Summary Sheet'!$G$23,""))</f>
        <v/>
      </c>
      <c r="M76" s="154"/>
      <c r="N76" s="155">
        <f>SUM('Pay App 1:Pay App 46'!L76)+SUM('Pay App 1:Pay App 46'!M76)</f>
        <v>0</v>
      </c>
    </row>
    <row r="77" spans="1:17" ht="11.25" customHeight="1" x14ac:dyDescent="0.25">
      <c r="A77" s="152">
        <v>21</v>
      </c>
      <c r="B77" s="177" t="str">
        <f>'Pay App 1'!B77</f>
        <v>04 00 00</v>
      </c>
      <c r="C77" s="182" t="str">
        <f>'Pay App 1'!C77</f>
        <v>Masonry</v>
      </c>
      <c r="D77" s="155">
        <f>'Pay App 1'!D77</f>
        <v>0</v>
      </c>
      <c r="E77" s="155">
        <f>VLOOKUP(B77,'Graph Data'!$O$2:$BX$88,48,FALSE)</f>
        <v>0</v>
      </c>
      <c r="F77" s="155">
        <f>IFERROR(E77+'Pay App 45'!F77,"")</f>
        <v>0</v>
      </c>
      <c r="G77" s="155">
        <f>SUM('Pay App 1:Pay App 45'!H77)</f>
        <v>0</v>
      </c>
      <c r="H77" s="154"/>
      <c r="I77" s="155">
        <f t="shared" si="0"/>
        <v>0</v>
      </c>
      <c r="J77" s="156">
        <f t="shared" si="1"/>
        <v>0</v>
      </c>
      <c r="K77" s="155">
        <f t="shared" si="2"/>
        <v>0</v>
      </c>
      <c r="L77" s="155" t="str">
        <f>IF(AND('Summary Sheet'!$E$23="No",$H$33&gt;0,H77&gt;=1),"",IF(AND('Summary Sheet'!$E$23="Yes",H77&lt;&gt;""),H77*'Summary Sheet'!$G$23,""))</f>
        <v/>
      </c>
      <c r="M77" s="154"/>
      <c r="N77" s="155">
        <f>SUM('Pay App 1:Pay App 46'!L77)+SUM('Pay App 1:Pay App 46'!M77)</f>
        <v>0</v>
      </c>
    </row>
    <row r="78" spans="1:17" ht="11.25" customHeight="1" x14ac:dyDescent="0.25">
      <c r="A78" s="152">
        <v>22</v>
      </c>
      <c r="B78" s="177" t="str">
        <f>'Pay App 1'!B78</f>
        <v>04 05 19</v>
      </c>
      <c r="C78" s="182" t="str">
        <f>'Pay App 1'!C78</f>
        <v>Masonry Reinforcing</v>
      </c>
      <c r="D78" s="155">
        <f>'Pay App 1'!D78</f>
        <v>0</v>
      </c>
      <c r="E78" s="155">
        <f>VLOOKUP(B78,'Graph Data'!$O$2:$BX$88,48,FALSE)</f>
        <v>0</v>
      </c>
      <c r="F78" s="155">
        <f>IFERROR(E78+'Pay App 45'!F78,"")</f>
        <v>0</v>
      </c>
      <c r="G78" s="155">
        <f>SUM('Pay App 1:Pay App 45'!H78)</f>
        <v>0</v>
      </c>
      <c r="H78" s="154"/>
      <c r="I78" s="155">
        <f t="shared" si="0"/>
        <v>0</v>
      </c>
      <c r="J78" s="156">
        <f t="shared" si="1"/>
        <v>0</v>
      </c>
      <c r="K78" s="155">
        <f t="shared" si="2"/>
        <v>0</v>
      </c>
      <c r="L78" s="155" t="str">
        <f>IF(AND('Summary Sheet'!$E$23="No",$H$33&gt;0,H78&gt;=1),"",IF(AND('Summary Sheet'!$E$23="Yes",H78&lt;&gt;""),H78*'Summary Sheet'!$G$23,""))</f>
        <v/>
      </c>
      <c r="M78" s="154"/>
      <c r="N78" s="155">
        <f>SUM('Pay App 1:Pay App 46'!L78)+SUM('Pay App 1:Pay App 46'!M78)</f>
        <v>0</v>
      </c>
    </row>
    <row r="79" spans="1:17" ht="11.25" customHeight="1" x14ac:dyDescent="0.25">
      <c r="A79" s="152">
        <v>23</v>
      </c>
      <c r="B79" s="178" t="str">
        <f>'Pay App 1'!B79</f>
        <v>05 10 00</v>
      </c>
      <c r="C79" s="183" t="str">
        <f>'Pay App 1'!C79</f>
        <v>Structural Steel/Misc. Steel Fab</v>
      </c>
      <c r="D79" s="155">
        <f>'Pay App 1'!D79</f>
        <v>0</v>
      </c>
      <c r="E79" s="155">
        <f>VLOOKUP(B79,'Graph Data'!$O$2:$BX$88,48,FALSE)</f>
        <v>0</v>
      </c>
      <c r="F79" s="155">
        <f>IFERROR(E79+'Pay App 45'!F79,"")</f>
        <v>0</v>
      </c>
      <c r="G79" s="155">
        <f>SUM('Pay App 1:Pay App 45'!H79)</f>
        <v>0</v>
      </c>
      <c r="H79" s="154"/>
      <c r="I79" s="155">
        <f t="shared" si="0"/>
        <v>0</v>
      </c>
      <c r="J79" s="156">
        <f t="shared" si="1"/>
        <v>0</v>
      </c>
      <c r="K79" s="155">
        <f t="shared" si="2"/>
        <v>0</v>
      </c>
      <c r="L79" s="155" t="str">
        <f>IF(AND('Summary Sheet'!$E$23="No",$H$33&gt;0,H79&gt;=1),"",IF(AND('Summary Sheet'!$E$23="Yes",H79&lt;&gt;""),H79*'Summary Sheet'!$G$23,""))</f>
        <v/>
      </c>
      <c r="M79" s="154"/>
      <c r="N79" s="155">
        <f>SUM('Pay App 1:Pay App 46'!L79)+SUM('Pay App 1:Pay App 46'!M79)</f>
        <v>0</v>
      </c>
    </row>
    <row r="80" spans="1:17" ht="11.25" customHeight="1" x14ac:dyDescent="0.25">
      <c r="A80" s="152">
        <v>24</v>
      </c>
      <c r="B80" s="178" t="str">
        <f>'Pay App 1'!B80</f>
        <v>05 20 00</v>
      </c>
      <c r="C80" s="183" t="str">
        <f>'Pay App 1'!C80</f>
        <v>Joists &amp; Deck</v>
      </c>
      <c r="D80" s="155">
        <f>'Pay App 1'!D80</f>
        <v>0</v>
      </c>
      <c r="E80" s="155">
        <f>VLOOKUP(B80,'Graph Data'!$O$2:$BX$88,48,FALSE)</f>
        <v>0</v>
      </c>
      <c r="F80" s="155">
        <f>IFERROR(E80+'Pay App 45'!F80,"")</f>
        <v>0</v>
      </c>
      <c r="G80" s="155">
        <f>SUM('Pay App 1:Pay App 45'!H80)</f>
        <v>0</v>
      </c>
      <c r="H80" s="154"/>
      <c r="I80" s="155">
        <f t="shared" si="0"/>
        <v>0</v>
      </c>
      <c r="J80" s="156">
        <f t="shared" si="1"/>
        <v>0</v>
      </c>
      <c r="K80" s="155">
        <f t="shared" si="2"/>
        <v>0</v>
      </c>
      <c r="L80" s="155" t="str">
        <f>IF(AND('Summary Sheet'!$E$23="No",$H$33&gt;0,H80&gt;=1),"",IF(AND('Summary Sheet'!$E$23="Yes",H80&lt;&gt;""),H80*'Summary Sheet'!$G$23,""))</f>
        <v/>
      </c>
      <c r="M80" s="154"/>
      <c r="N80" s="155">
        <f>SUM('Pay App 1:Pay App 46'!L80)+SUM('Pay App 1:Pay App 46'!M80)</f>
        <v>0</v>
      </c>
    </row>
    <row r="81" spans="1:14" ht="11.25" customHeight="1" x14ac:dyDescent="0.25">
      <c r="A81" s="152">
        <v>25</v>
      </c>
      <c r="B81" s="178" t="str">
        <f>'Pay App 1'!B81</f>
        <v>05 70 00</v>
      </c>
      <c r="C81" s="183" t="str">
        <f>'Pay App 1'!C81</f>
        <v>Ornamental Metal</v>
      </c>
      <c r="D81" s="155">
        <f>'Pay App 1'!D81</f>
        <v>0</v>
      </c>
      <c r="E81" s="155">
        <f>VLOOKUP(B81,'Graph Data'!$O$2:$BX$88,48,FALSE)</f>
        <v>0</v>
      </c>
      <c r="F81" s="155">
        <f>IFERROR(E81+'Pay App 45'!F81,"")</f>
        <v>0</v>
      </c>
      <c r="G81" s="155">
        <f>SUM('Pay App 1:Pay App 45'!H81)</f>
        <v>0</v>
      </c>
      <c r="H81" s="154"/>
      <c r="I81" s="155">
        <f t="shared" si="0"/>
        <v>0</v>
      </c>
      <c r="J81" s="156">
        <f t="shared" si="1"/>
        <v>0</v>
      </c>
      <c r="K81" s="155">
        <f t="shared" si="2"/>
        <v>0</v>
      </c>
      <c r="L81" s="155" t="str">
        <f>IF(AND('Summary Sheet'!$E$23="No",$H$33&gt;0,H81&gt;=1),"",IF(AND('Summary Sheet'!$E$23="Yes",H81&lt;&gt;""),H81*'Summary Sheet'!$G$23,""))</f>
        <v/>
      </c>
      <c r="M81" s="154"/>
      <c r="N81" s="155">
        <f>SUM('Pay App 1:Pay App 46'!L81)+SUM('Pay App 1:Pay App 46'!M81)</f>
        <v>0</v>
      </c>
    </row>
    <row r="82" spans="1:14" ht="11.25" customHeight="1" x14ac:dyDescent="0.25">
      <c r="A82" s="152">
        <v>26</v>
      </c>
      <c r="B82" s="145" t="str">
        <f>'Pay App 1'!B82</f>
        <v>06 10 00</v>
      </c>
      <c r="C82" s="134" t="str">
        <f>'Pay App 1'!C82</f>
        <v>Rough Carpentry</v>
      </c>
      <c r="D82" s="155">
        <f>'Pay App 1'!D82</f>
        <v>0</v>
      </c>
      <c r="E82" s="155">
        <f>VLOOKUP(B82,'Graph Data'!$O$2:$BX$88,48,FALSE)</f>
        <v>0</v>
      </c>
      <c r="F82" s="155">
        <f>IFERROR(E82+'Pay App 45'!F82,"")</f>
        <v>0</v>
      </c>
      <c r="G82" s="155">
        <f>SUM('Pay App 1:Pay App 45'!H82)</f>
        <v>0</v>
      </c>
      <c r="H82" s="154"/>
      <c r="I82" s="155">
        <f t="shared" si="0"/>
        <v>0</v>
      </c>
      <c r="J82" s="156">
        <f t="shared" si="1"/>
        <v>0</v>
      </c>
      <c r="K82" s="155">
        <f t="shared" si="2"/>
        <v>0</v>
      </c>
      <c r="L82" s="155" t="str">
        <f>IF(AND('Summary Sheet'!$E$23="No",$H$33&gt;0,H82&gt;=1),"",IF(AND('Summary Sheet'!$E$23="Yes",H82&lt;&gt;""),H82*'Summary Sheet'!$G$23,""))</f>
        <v/>
      </c>
      <c r="M82" s="154"/>
      <c r="N82" s="155">
        <f>SUM('Pay App 1:Pay App 46'!L82)+SUM('Pay App 1:Pay App 46'!M82)</f>
        <v>0</v>
      </c>
    </row>
    <row r="83" spans="1:14" ht="11.25" customHeight="1" x14ac:dyDescent="0.25">
      <c r="A83" s="152">
        <v>27</v>
      </c>
      <c r="B83" s="145" t="str">
        <f>'Pay App 1'!B83</f>
        <v>06 40 00</v>
      </c>
      <c r="C83" s="134" t="str">
        <f>'Pay App 1'!C83</f>
        <v>Arch. Woodwork &amp; Finish Carp.</v>
      </c>
      <c r="D83" s="155">
        <f>'Pay App 1'!D83</f>
        <v>0</v>
      </c>
      <c r="E83" s="155">
        <f>VLOOKUP(B83,'Graph Data'!$O$2:$BX$88,48,FALSE)</f>
        <v>0</v>
      </c>
      <c r="F83" s="155">
        <f>IFERROR(E83+'Pay App 45'!F83,"")</f>
        <v>0</v>
      </c>
      <c r="G83" s="155">
        <f>SUM('Pay App 1:Pay App 45'!H83)</f>
        <v>0</v>
      </c>
      <c r="H83" s="154"/>
      <c r="I83" s="155">
        <f t="shared" si="0"/>
        <v>0</v>
      </c>
      <c r="J83" s="156">
        <f t="shared" si="1"/>
        <v>0</v>
      </c>
      <c r="K83" s="155">
        <f t="shared" si="2"/>
        <v>0</v>
      </c>
      <c r="L83" s="155" t="str">
        <f>IF(AND('Summary Sheet'!$E$23="No",$H$33&gt;0,H83&gt;=1),"",IF(AND('Summary Sheet'!$E$23="Yes",H83&lt;&gt;""),H83*'Summary Sheet'!$G$23,""))</f>
        <v/>
      </c>
      <c r="M83" s="154"/>
      <c r="N83" s="155">
        <f>SUM('Pay App 1:Pay App 46'!L83)+SUM('Pay App 1:Pay App 46'!M83)</f>
        <v>0</v>
      </c>
    </row>
    <row r="84" spans="1:14" ht="11.25" customHeight="1" x14ac:dyDescent="0.25">
      <c r="A84" s="152">
        <v>28</v>
      </c>
      <c r="B84" s="174" t="str">
        <f>'Pay App 1'!B84</f>
        <v>07 10 00</v>
      </c>
      <c r="C84" s="179" t="str">
        <f>'Pay App 1'!C84</f>
        <v>Waterproofing/Water Repellents</v>
      </c>
      <c r="D84" s="155">
        <f>'Pay App 1'!D84</f>
        <v>0</v>
      </c>
      <c r="E84" s="155">
        <f>VLOOKUP(B84,'Graph Data'!$O$2:$BX$88,48,FALSE)</f>
        <v>0</v>
      </c>
      <c r="F84" s="155">
        <f>IFERROR(E84+'Pay App 45'!F84,"")</f>
        <v>0</v>
      </c>
      <c r="G84" s="155">
        <f>SUM('Pay App 1:Pay App 45'!H84)</f>
        <v>0</v>
      </c>
      <c r="H84" s="154"/>
      <c r="I84" s="155">
        <f t="shared" si="0"/>
        <v>0</v>
      </c>
      <c r="J84" s="156">
        <f t="shared" si="1"/>
        <v>0</v>
      </c>
      <c r="K84" s="155">
        <f t="shared" si="2"/>
        <v>0</v>
      </c>
      <c r="L84" s="155" t="str">
        <f>IF(AND('Summary Sheet'!$E$23="No",$H$33&gt;0,H84&gt;=1),"",IF(AND('Summary Sheet'!$E$23="Yes",H84&lt;&gt;""),H84*'Summary Sheet'!$G$23,""))</f>
        <v/>
      </c>
      <c r="M84" s="154"/>
      <c r="N84" s="155">
        <f>SUM('Pay App 1:Pay App 46'!L84)+SUM('Pay App 1:Pay App 46'!M84)</f>
        <v>0</v>
      </c>
    </row>
    <row r="85" spans="1:14" ht="11.25" customHeight="1" x14ac:dyDescent="0.25">
      <c r="A85" s="152">
        <v>29</v>
      </c>
      <c r="B85" s="174" t="str">
        <f>'Pay App 1'!B85</f>
        <v>07 20 00</v>
      </c>
      <c r="C85" s="179" t="str">
        <f>'Pay App 1'!C85</f>
        <v>Insulation</v>
      </c>
      <c r="D85" s="155">
        <f>'Pay App 1'!D85</f>
        <v>0</v>
      </c>
      <c r="E85" s="155">
        <f>VLOOKUP(B85,'Graph Data'!$O$2:$BX$88,48,FALSE)</f>
        <v>0</v>
      </c>
      <c r="F85" s="155">
        <f>IFERROR(E85+'Pay App 45'!F85,"")</f>
        <v>0</v>
      </c>
      <c r="G85" s="155">
        <f>SUM('Pay App 1:Pay App 45'!H85)</f>
        <v>0</v>
      </c>
      <c r="H85" s="154"/>
      <c r="I85" s="155">
        <f t="shared" si="0"/>
        <v>0</v>
      </c>
      <c r="J85" s="156">
        <f t="shared" si="1"/>
        <v>0</v>
      </c>
      <c r="K85" s="155">
        <f t="shared" si="2"/>
        <v>0</v>
      </c>
      <c r="L85" s="155" t="str">
        <f>IF(AND('Summary Sheet'!$E$23="No",$H$33&gt;0,H85&gt;=1),"",IF(AND('Summary Sheet'!$E$23="Yes",H85&lt;&gt;""),H85*'Summary Sheet'!$G$23,""))</f>
        <v/>
      </c>
      <c r="M85" s="154"/>
      <c r="N85" s="155">
        <f>SUM('Pay App 1:Pay App 46'!L85)+SUM('Pay App 1:Pay App 46'!M85)</f>
        <v>0</v>
      </c>
    </row>
    <row r="86" spans="1:14" ht="11.25" customHeight="1" x14ac:dyDescent="0.25">
      <c r="A86" s="152">
        <v>30</v>
      </c>
      <c r="B86" s="174" t="str">
        <f>'Pay App 1'!B86</f>
        <v>07 24 00</v>
      </c>
      <c r="C86" s="179" t="str">
        <f>'Pay App 1'!C86</f>
        <v>EIFS</v>
      </c>
      <c r="D86" s="155">
        <f>'Pay App 1'!D86</f>
        <v>0</v>
      </c>
      <c r="E86" s="155">
        <f>VLOOKUP(B86,'Graph Data'!$O$2:$BX$88,48,FALSE)</f>
        <v>0</v>
      </c>
      <c r="F86" s="155">
        <f>IFERROR(E86+'Pay App 45'!F86,"")</f>
        <v>0</v>
      </c>
      <c r="G86" s="155">
        <f>SUM('Pay App 1:Pay App 45'!H86)</f>
        <v>0</v>
      </c>
      <c r="H86" s="154"/>
      <c r="I86" s="155">
        <f t="shared" si="0"/>
        <v>0</v>
      </c>
      <c r="J86" s="156">
        <f t="shared" si="1"/>
        <v>0</v>
      </c>
      <c r="K86" s="155">
        <f t="shared" si="2"/>
        <v>0</v>
      </c>
      <c r="L86" s="155" t="str">
        <f>IF(AND('Summary Sheet'!$E$23="No",$H$33&gt;0,H86&gt;=1),"",IF(AND('Summary Sheet'!$E$23="Yes",H86&lt;&gt;""),H86*'Summary Sheet'!$G$23,""))</f>
        <v/>
      </c>
      <c r="M86" s="154"/>
      <c r="N86" s="155">
        <f>SUM('Pay App 1:Pay App 46'!L86)+SUM('Pay App 1:Pay App 46'!M86)</f>
        <v>0</v>
      </c>
    </row>
    <row r="87" spans="1:14" ht="11.25" customHeight="1" x14ac:dyDescent="0.25">
      <c r="A87" s="152">
        <v>31</v>
      </c>
      <c r="B87" s="174" t="str">
        <f>'Pay App 1'!B87</f>
        <v>07 26 00</v>
      </c>
      <c r="C87" s="179" t="str">
        <f>'Pay App 1'!C87</f>
        <v>Vapor Retarders</v>
      </c>
      <c r="D87" s="155">
        <f>'Pay App 1'!D87</f>
        <v>0</v>
      </c>
      <c r="E87" s="155">
        <f>VLOOKUP(B87,'Graph Data'!$O$2:$BX$88,48,FALSE)</f>
        <v>0</v>
      </c>
      <c r="F87" s="155">
        <f>IFERROR(E87+'Pay App 45'!F87,"")</f>
        <v>0</v>
      </c>
      <c r="G87" s="155">
        <f>SUM('Pay App 1:Pay App 45'!H87)</f>
        <v>0</v>
      </c>
      <c r="H87" s="154"/>
      <c r="I87" s="155">
        <f t="shared" si="0"/>
        <v>0</v>
      </c>
      <c r="J87" s="156">
        <f t="shared" si="1"/>
        <v>0</v>
      </c>
      <c r="K87" s="155">
        <f t="shared" si="2"/>
        <v>0</v>
      </c>
      <c r="L87" s="155" t="str">
        <f>IF(AND('Summary Sheet'!$E$23="No",$H$33&gt;0,H87&gt;=1),"",IF(AND('Summary Sheet'!$E$23="Yes",H87&lt;&gt;""),H87*'Summary Sheet'!$G$23,""))</f>
        <v/>
      </c>
      <c r="M87" s="154"/>
      <c r="N87" s="155">
        <f>SUM('Pay App 1:Pay App 46'!L87)+SUM('Pay App 1:Pay App 46'!M87)</f>
        <v>0</v>
      </c>
    </row>
    <row r="88" spans="1:14" ht="11.25" customHeight="1" x14ac:dyDescent="0.25">
      <c r="A88" s="152">
        <v>32</v>
      </c>
      <c r="B88" s="174" t="str">
        <f>'Pay App 1'!B88</f>
        <v>07 41 00</v>
      </c>
      <c r="C88" s="179" t="str">
        <f>'Pay App 1'!C88</f>
        <v>Roofing</v>
      </c>
      <c r="D88" s="155">
        <f>'Pay App 1'!D88</f>
        <v>0</v>
      </c>
      <c r="E88" s="155">
        <f>VLOOKUP(B88,'Graph Data'!$O$2:$BX$88,48,FALSE)</f>
        <v>0</v>
      </c>
      <c r="F88" s="155">
        <f>IFERROR(E88+'Pay App 45'!F88,"")</f>
        <v>0</v>
      </c>
      <c r="G88" s="155">
        <f>SUM('Pay App 1:Pay App 45'!H88)</f>
        <v>0</v>
      </c>
      <c r="H88" s="154"/>
      <c r="I88" s="155">
        <f t="shared" si="0"/>
        <v>0</v>
      </c>
      <c r="J88" s="156">
        <f t="shared" si="1"/>
        <v>0</v>
      </c>
      <c r="K88" s="155">
        <f t="shared" si="2"/>
        <v>0</v>
      </c>
      <c r="L88" s="155" t="str">
        <f>IF(AND('Summary Sheet'!$E$23="No",$H$33&gt;0,H88&gt;=1),"",IF(AND('Summary Sheet'!$E$23="Yes",H88&lt;&gt;""),H88*'Summary Sheet'!$G$23,""))</f>
        <v/>
      </c>
      <c r="M88" s="154"/>
      <c r="N88" s="155">
        <f>SUM('Pay App 1:Pay App 46'!L88)+SUM('Pay App 1:Pay App 46'!M88)</f>
        <v>0</v>
      </c>
    </row>
    <row r="89" spans="1:14" ht="11.25" customHeight="1" x14ac:dyDescent="0.25">
      <c r="A89" s="152">
        <v>33</v>
      </c>
      <c r="B89" s="174" t="str">
        <f>'Pay App 1'!B89</f>
        <v>07 42 00</v>
      </c>
      <c r="C89" s="179" t="str">
        <f>'Pay App 1'!C89</f>
        <v>Metal Panels</v>
      </c>
      <c r="D89" s="155">
        <f>'Pay App 1'!D89</f>
        <v>0</v>
      </c>
      <c r="E89" s="155">
        <f>VLOOKUP(B89,'Graph Data'!$O$2:$BX$88,48,FALSE)</f>
        <v>0</v>
      </c>
      <c r="F89" s="155">
        <f>IFERROR(E89+'Pay App 45'!F89,"")</f>
        <v>0</v>
      </c>
      <c r="G89" s="155">
        <f>SUM('Pay App 1:Pay App 45'!H89)</f>
        <v>0</v>
      </c>
      <c r="H89" s="154"/>
      <c r="I89" s="155">
        <f t="shared" si="0"/>
        <v>0</v>
      </c>
      <c r="J89" s="156">
        <f t="shared" si="1"/>
        <v>0</v>
      </c>
      <c r="K89" s="155">
        <f t="shared" si="2"/>
        <v>0</v>
      </c>
      <c r="L89" s="155" t="str">
        <f>IF(AND('Summary Sheet'!$E$23="No",$H$33&gt;0,H89&gt;=1),"",IF(AND('Summary Sheet'!$E$23="Yes",H89&lt;&gt;""),H89*'Summary Sheet'!$G$23,""))</f>
        <v/>
      </c>
      <c r="M89" s="154"/>
      <c r="N89" s="155">
        <f>SUM('Pay App 1:Pay App 46'!L89)+SUM('Pay App 1:Pay App 46'!M89)</f>
        <v>0</v>
      </c>
    </row>
    <row r="90" spans="1:14" ht="11.25" customHeight="1" x14ac:dyDescent="0.25">
      <c r="A90" s="152">
        <v>34</v>
      </c>
      <c r="B90" s="174" t="str">
        <f>'Pay App 1'!B90</f>
        <v>07 60 00</v>
      </c>
      <c r="C90" s="179" t="str">
        <f>'Pay App 1'!C90</f>
        <v>Sheet Metal Flashing &amp; Trim</v>
      </c>
      <c r="D90" s="155">
        <f>'Pay App 1'!D90</f>
        <v>0</v>
      </c>
      <c r="E90" s="155">
        <f>VLOOKUP(B90,'Graph Data'!$O$2:$BX$88,48,FALSE)</f>
        <v>0</v>
      </c>
      <c r="F90" s="155">
        <f>IFERROR(E90+'Pay App 45'!F90,"")</f>
        <v>0</v>
      </c>
      <c r="G90" s="155">
        <f>SUM('Pay App 1:Pay App 45'!H90)</f>
        <v>0</v>
      </c>
      <c r="H90" s="154"/>
      <c r="I90" s="155">
        <f t="shared" si="0"/>
        <v>0</v>
      </c>
      <c r="J90" s="156">
        <f t="shared" si="1"/>
        <v>0</v>
      </c>
      <c r="K90" s="155">
        <f t="shared" si="2"/>
        <v>0</v>
      </c>
      <c r="L90" s="155" t="str">
        <f>IF(AND('Summary Sheet'!$E$23="No",$H$33&gt;0,H90&gt;=1),"",IF(AND('Summary Sheet'!$E$23="Yes",H90&lt;&gt;""),H90*'Summary Sheet'!$G$23,""))</f>
        <v/>
      </c>
      <c r="M90" s="154"/>
      <c r="N90" s="155">
        <f>SUM('Pay App 1:Pay App 46'!L90)+SUM('Pay App 1:Pay App 46'!M90)</f>
        <v>0</v>
      </c>
    </row>
    <row r="91" spans="1:14" ht="11.25" customHeight="1" x14ac:dyDescent="0.25">
      <c r="A91" s="152">
        <v>35</v>
      </c>
      <c r="B91" s="174" t="str">
        <f>'Pay App 1'!B91</f>
        <v>07 80 00</v>
      </c>
      <c r="C91" s="179" t="str">
        <f>'Pay App 1'!C91</f>
        <v>Fireproofing</v>
      </c>
      <c r="D91" s="155">
        <f>'Pay App 1'!D91</f>
        <v>0</v>
      </c>
      <c r="E91" s="155">
        <f>VLOOKUP(B91,'Graph Data'!$O$2:$BX$88,48,FALSE)</f>
        <v>0</v>
      </c>
      <c r="F91" s="155">
        <f>IFERROR(E91+'Pay App 45'!F91,"")</f>
        <v>0</v>
      </c>
      <c r="G91" s="155">
        <f>SUM('Pay App 1:Pay App 45'!H91)</f>
        <v>0</v>
      </c>
      <c r="H91" s="154"/>
      <c r="I91" s="155">
        <f t="shared" si="0"/>
        <v>0</v>
      </c>
      <c r="J91" s="156">
        <f t="shared" si="1"/>
        <v>0</v>
      </c>
      <c r="K91" s="155">
        <f t="shared" si="2"/>
        <v>0</v>
      </c>
      <c r="L91" s="155" t="str">
        <f>IF(AND('Summary Sheet'!$E$23="No",$H$33&gt;0,H91&gt;=1),"",IF(AND('Summary Sheet'!$E$23="Yes",H91&lt;&gt;""),H91*'Summary Sheet'!$G$23,""))</f>
        <v/>
      </c>
      <c r="M91" s="154"/>
      <c r="N91" s="155">
        <f>SUM('Pay App 1:Pay App 46'!L91)+SUM('Pay App 1:Pay App 46'!M91)</f>
        <v>0</v>
      </c>
    </row>
    <row r="92" spans="1:14" ht="11.25" customHeight="1" x14ac:dyDescent="0.25">
      <c r="A92" s="152">
        <v>36</v>
      </c>
      <c r="B92" s="174" t="str">
        <f>'Pay App 1'!B92</f>
        <v>07 90 00</v>
      </c>
      <c r="C92" s="179" t="str">
        <f>'Pay App 1'!C92</f>
        <v>Joint Sealants</v>
      </c>
      <c r="D92" s="155">
        <f>'Pay App 1'!D92</f>
        <v>0</v>
      </c>
      <c r="E92" s="155">
        <f>VLOOKUP(B92,'Graph Data'!$O$2:$BX$88,48,FALSE)</f>
        <v>0</v>
      </c>
      <c r="F92" s="155">
        <f>IFERROR(E92+'Pay App 45'!F92,"")</f>
        <v>0</v>
      </c>
      <c r="G92" s="155">
        <f>SUM('Pay App 1:Pay App 45'!H92)</f>
        <v>0</v>
      </c>
      <c r="H92" s="154"/>
      <c r="I92" s="155">
        <f t="shared" si="0"/>
        <v>0</v>
      </c>
      <c r="J92" s="156">
        <f t="shared" si="1"/>
        <v>0</v>
      </c>
      <c r="K92" s="155">
        <f t="shared" si="2"/>
        <v>0</v>
      </c>
      <c r="L92" s="155" t="str">
        <f>IF(AND('Summary Sheet'!$E$23="No",$H$33&gt;0,H92&gt;=1),"",IF(AND('Summary Sheet'!$E$23="Yes",H92&lt;&gt;""),H92*'Summary Sheet'!$G$23,""))</f>
        <v/>
      </c>
      <c r="M92" s="154"/>
      <c r="N92" s="155">
        <f>SUM('Pay App 1:Pay App 46'!L92)+SUM('Pay App 1:Pay App 46'!M92)</f>
        <v>0</v>
      </c>
    </row>
    <row r="93" spans="1:14" ht="11.25" customHeight="1" x14ac:dyDescent="0.25">
      <c r="A93" s="152">
        <v>37</v>
      </c>
      <c r="B93" s="174" t="str">
        <f>'Pay App 1'!B93</f>
        <v>07 95 00</v>
      </c>
      <c r="C93" s="179" t="str">
        <f>'Pay App 1'!C93</f>
        <v>Expansion Joints</v>
      </c>
      <c r="D93" s="155">
        <f>'Pay App 1'!D93</f>
        <v>0</v>
      </c>
      <c r="E93" s="155">
        <f>VLOOKUP(B93,'Graph Data'!$O$2:$BX$88,48,FALSE)</f>
        <v>0</v>
      </c>
      <c r="F93" s="155">
        <f>IFERROR(E93+'Pay App 45'!F93,"")</f>
        <v>0</v>
      </c>
      <c r="G93" s="155">
        <f>SUM('Pay App 1:Pay App 45'!H93)</f>
        <v>0</v>
      </c>
      <c r="H93" s="154"/>
      <c r="I93" s="155">
        <f t="shared" si="0"/>
        <v>0</v>
      </c>
      <c r="J93" s="156">
        <f t="shared" si="1"/>
        <v>0</v>
      </c>
      <c r="K93" s="155">
        <f t="shared" si="2"/>
        <v>0</v>
      </c>
      <c r="L93" s="155" t="str">
        <f>IF(AND('Summary Sheet'!$E$23="No",$H$33&gt;0,H93&gt;=1),"",IF(AND('Summary Sheet'!$E$23="Yes",H93&lt;&gt;""),H93*'Summary Sheet'!$G$23,""))</f>
        <v/>
      </c>
      <c r="M93" s="154"/>
      <c r="N93" s="155">
        <f>SUM('Pay App 1:Pay App 46'!L93)+SUM('Pay App 1:Pay App 46'!M93)</f>
        <v>0</v>
      </c>
    </row>
    <row r="94" spans="1:14" ht="11.25" customHeight="1" x14ac:dyDescent="0.25">
      <c r="A94" s="152">
        <v>38</v>
      </c>
      <c r="B94" s="175" t="str">
        <f>'Pay App 1'!B94</f>
        <v>08 10 00</v>
      </c>
      <c r="C94" s="180" t="str">
        <f>'Pay App 1'!C94</f>
        <v>Doors, Frames &amp; Hardware</v>
      </c>
      <c r="D94" s="155">
        <f>'Pay App 1'!D94</f>
        <v>0</v>
      </c>
      <c r="E94" s="155">
        <f>VLOOKUP(B94,'Graph Data'!$O$2:$BX$88,48,FALSE)</f>
        <v>0</v>
      </c>
      <c r="F94" s="155">
        <f>IFERROR(E94+'Pay App 45'!F94,"")</f>
        <v>0</v>
      </c>
      <c r="G94" s="155">
        <f>SUM('Pay App 1:Pay App 45'!H94)</f>
        <v>0</v>
      </c>
      <c r="H94" s="154"/>
      <c r="I94" s="155">
        <f t="shared" si="0"/>
        <v>0</v>
      </c>
      <c r="J94" s="156">
        <f t="shared" si="1"/>
        <v>0</v>
      </c>
      <c r="K94" s="155">
        <f t="shared" si="2"/>
        <v>0</v>
      </c>
      <c r="L94" s="155" t="str">
        <f>IF(AND('Summary Sheet'!$E$23="No",$H$33&gt;0,H94&gt;=1),"",IF(AND('Summary Sheet'!$E$23="Yes",H94&lt;&gt;""),H94*'Summary Sheet'!$G$23,""))</f>
        <v/>
      </c>
      <c r="M94" s="154"/>
      <c r="N94" s="155">
        <f>SUM('Pay App 1:Pay App 46'!L94)+SUM('Pay App 1:Pay App 46'!M94)</f>
        <v>0</v>
      </c>
    </row>
    <row r="95" spans="1:14" ht="11.25" customHeight="1" x14ac:dyDescent="0.25">
      <c r="A95" s="152">
        <v>39</v>
      </c>
      <c r="B95" s="175" t="str">
        <f>'Pay App 1'!B95</f>
        <v>08 30 00</v>
      </c>
      <c r="C95" s="180" t="str">
        <f>'Pay App 1'!C95</f>
        <v>Specialty Doors</v>
      </c>
      <c r="D95" s="155">
        <f>'Pay App 1'!D95</f>
        <v>0</v>
      </c>
      <c r="E95" s="155">
        <f>VLOOKUP(B95,'Graph Data'!$O$2:$BX$88,48,FALSE)</f>
        <v>0</v>
      </c>
      <c r="F95" s="155">
        <f>IFERROR(E95+'Pay App 45'!F95,"")</f>
        <v>0</v>
      </c>
      <c r="G95" s="155">
        <f>SUM('Pay App 1:Pay App 45'!H95)</f>
        <v>0</v>
      </c>
      <c r="H95" s="154"/>
      <c r="I95" s="155">
        <f t="shared" si="0"/>
        <v>0</v>
      </c>
      <c r="J95" s="156">
        <f t="shared" si="1"/>
        <v>0</v>
      </c>
      <c r="K95" s="155">
        <f t="shared" si="2"/>
        <v>0</v>
      </c>
      <c r="L95" s="155" t="str">
        <f>IF(AND('Summary Sheet'!$E$23="No",$H$33&gt;0,H95&gt;=1),"",IF(AND('Summary Sheet'!$E$23="Yes",H95&lt;&gt;""),H95*'Summary Sheet'!$G$23,""))</f>
        <v/>
      </c>
      <c r="M95" s="154"/>
      <c r="N95" s="155">
        <f>SUM('Pay App 1:Pay App 46'!L95)+SUM('Pay App 1:Pay App 46'!M95)</f>
        <v>0</v>
      </c>
    </row>
    <row r="96" spans="1:14" ht="11.25" customHeight="1" x14ac:dyDescent="0.25">
      <c r="A96" s="152">
        <v>40</v>
      </c>
      <c r="B96" s="175" t="str">
        <f>'Pay App 1'!B96</f>
        <v>08 33 00</v>
      </c>
      <c r="C96" s="180" t="str">
        <f>'Pay App 1'!C96</f>
        <v>Overhead Doors/Coiling Doors</v>
      </c>
      <c r="D96" s="155">
        <f>'Pay App 1'!D96</f>
        <v>0</v>
      </c>
      <c r="E96" s="155">
        <f>VLOOKUP(B96,'Graph Data'!$O$2:$BX$88,48,FALSE)</f>
        <v>0</v>
      </c>
      <c r="F96" s="155">
        <f>IFERROR(E96+'Pay App 45'!F96,"")</f>
        <v>0</v>
      </c>
      <c r="G96" s="155">
        <f>SUM('Pay App 1:Pay App 45'!H96)</f>
        <v>0</v>
      </c>
      <c r="H96" s="154"/>
      <c r="I96" s="155">
        <f t="shared" si="0"/>
        <v>0</v>
      </c>
      <c r="J96" s="156">
        <f t="shared" si="1"/>
        <v>0</v>
      </c>
      <c r="K96" s="155">
        <f t="shared" si="2"/>
        <v>0</v>
      </c>
      <c r="L96" s="155" t="str">
        <f>IF(AND('Summary Sheet'!$E$23="No",$H$33&gt;0,H96&gt;=1),"",IF(AND('Summary Sheet'!$E$23="Yes",H96&lt;&gt;""),H96*'Summary Sheet'!$G$23,""))</f>
        <v/>
      </c>
      <c r="M96" s="154"/>
      <c r="N96" s="155">
        <f>SUM('Pay App 1:Pay App 46'!L96)+SUM('Pay App 1:Pay App 46'!M96)</f>
        <v>0</v>
      </c>
    </row>
    <row r="97" spans="1:15" ht="11.25" customHeight="1" x14ac:dyDescent="0.25">
      <c r="A97" s="152">
        <v>41</v>
      </c>
      <c r="B97" s="175" t="str">
        <f>'Pay App 1'!B97</f>
        <v>08 40 00</v>
      </c>
      <c r="C97" s="180" t="str">
        <f>'Pay App 1'!C97</f>
        <v>Curtain Wall, Glass &amp; Glazing</v>
      </c>
      <c r="D97" s="155">
        <f>'Pay App 1'!D97</f>
        <v>0</v>
      </c>
      <c r="E97" s="155">
        <f>VLOOKUP(B97,'Graph Data'!$O$2:$BX$88,48,FALSE)</f>
        <v>0</v>
      </c>
      <c r="F97" s="155">
        <f>IFERROR(E97+'Pay App 45'!F97,"")</f>
        <v>0</v>
      </c>
      <c r="G97" s="155">
        <f>SUM('Pay App 1:Pay App 45'!H97)</f>
        <v>0</v>
      </c>
      <c r="H97" s="154"/>
      <c r="I97" s="155">
        <f t="shared" si="0"/>
        <v>0</v>
      </c>
      <c r="J97" s="156">
        <f t="shared" si="1"/>
        <v>0</v>
      </c>
      <c r="K97" s="155">
        <f t="shared" si="2"/>
        <v>0</v>
      </c>
      <c r="L97" s="155" t="str">
        <f>IF(AND('Summary Sheet'!$E$23="No",$H$33&gt;0,H97&gt;=1),"",IF(AND('Summary Sheet'!$E$23="Yes",H97&lt;&gt;""),H97*'Summary Sheet'!$G$23,""))</f>
        <v/>
      </c>
      <c r="M97" s="154"/>
      <c r="N97" s="155">
        <f>SUM('Pay App 1:Pay App 46'!L97)+SUM('Pay App 1:Pay App 46'!M97)</f>
        <v>0</v>
      </c>
    </row>
    <row r="98" spans="1:15" ht="10.9" customHeight="1" x14ac:dyDescent="0.25">
      <c r="A98" s="152">
        <v>42</v>
      </c>
      <c r="B98" s="175" t="str">
        <f>'Pay App 1'!B98</f>
        <v>08 60 00</v>
      </c>
      <c r="C98" s="180" t="str">
        <f>'Pay App 1'!C98</f>
        <v>Skylights</v>
      </c>
      <c r="D98" s="155">
        <f>'Pay App 1'!D98</f>
        <v>0</v>
      </c>
      <c r="E98" s="155">
        <f>VLOOKUP(B98,'Graph Data'!$O$2:$BX$88,48,FALSE)</f>
        <v>0</v>
      </c>
      <c r="F98" s="155">
        <f>IFERROR(E98+'Pay App 45'!F98,"")</f>
        <v>0</v>
      </c>
      <c r="G98" s="155">
        <f>SUM('Pay App 1:Pay App 45'!H98)</f>
        <v>0</v>
      </c>
      <c r="H98" s="154"/>
      <c r="I98" s="155">
        <f t="shared" si="0"/>
        <v>0</v>
      </c>
      <c r="J98" s="156">
        <f t="shared" si="1"/>
        <v>0</v>
      </c>
      <c r="K98" s="155">
        <f t="shared" si="2"/>
        <v>0</v>
      </c>
      <c r="L98" s="155" t="str">
        <f>IF(AND('Summary Sheet'!$E$23="No",$H$33&gt;0,H98&gt;=1),"",IF(AND('Summary Sheet'!$E$23="Yes",H98&lt;&gt;""),H98*'Summary Sheet'!$G$23,""))</f>
        <v/>
      </c>
      <c r="M98" s="154"/>
      <c r="N98" s="155">
        <f>SUM('Pay App 1:Pay App 46'!L98)+SUM('Pay App 1:Pay App 46'!M98)</f>
        <v>0</v>
      </c>
    </row>
    <row r="99" spans="1:15" ht="10.9" customHeight="1" x14ac:dyDescent="0.25">
      <c r="A99" s="152">
        <v>43</v>
      </c>
      <c r="B99" s="175" t="str">
        <f>'Pay App 1'!B99</f>
        <v>08 90 00</v>
      </c>
      <c r="C99" s="180" t="str">
        <f>'Pay App 1'!C99</f>
        <v>Louvers &amp; Vents</v>
      </c>
      <c r="D99" s="155">
        <f>'Pay App 1'!D99</f>
        <v>0</v>
      </c>
      <c r="E99" s="155">
        <f>VLOOKUP(B99,'Graph Data'!$O$2:$BX$88,48,FALSE)</f>
        <v>0</v>
      </c>
      <c r="F99" s="155">
        <f>IFERROR(E99+'Pay App 45'!F99,"")</f>
        <v>0</v>
      </c>
      <c r="G99" s="155">
        <f>SUM('Pay App 1:Pay App 45'!H99)</f>
        <v>0</v>
      </c>
      <c r="H99" s="154"/>
      <c r="I99" s="155">
        <f t="shared" si="0"/>
        <v>0</v>
      </c>
      <c r="J99" s="156">
        <f t="shared" si="1"/>
        <v>0</v>
      </c>
      <c r="K99" s="155">
        <f t="shared" si="2"/>
        <v>0</v>
      </c>
      <c r="L99" s="155" t="str">
        <f>IF(AND('Summary Sheet'!$E$23="No",$H$33&gt;0,H99&gt;=1),"",IF(AND('Summary Sheet'!$E$23="Yes",H99&lt;&gt;""),H99*'Summary Sheet'!$G$23,""))</f>
        <v/>
      </c>
      <c r="M99" s="154"/>
      <c r="N99" s="155">
        <f>SUM('Pay App 1:Pay App 46'!L99)+SUM('Pay App 1:Pay App 46'!M99)</f>
        <v>0</v>
      </c>
    </row>
    <row r="100" spans="1:15" ht="11.25" customHeight="1" x14ac:dyDescent="0.25">
      <c r="A100" s="153">
        <v>44</v>
      </c>
      <c r="B100" s="176" t="str">
        <f>'Pay App 1'!B100</f>
        <v>09 20 00</v>
      </c>
      <c r="C100" s="181" t="str">
        <f>'Pay App 1'!C100</f>
        <v>Gypsum Board Systems</v>
      </c>
      <c r="D100" s="155">
        <f>'Pay App 1'!D100</f>
        <v>0</v>
      </c>
      <c r="E100" s="155">
        <f>VLOOKUP(B100,'Graph Data'!$O$2:$BX$88,48,FALSE)</f>
        <v>0</v>
      </c>
      <c r="F100" s="155">
        <f>IFERROR(E100+'Pay App 45'!F100,"")</f>
        <v>0</v>
      </c>
      <c r="G100" s="155">
        <f>SUM('Pay App 1:Pay App 45'!H100)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46'!L100)+SUM('Pay App 1:Pay App 46'!M100)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46.2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Data'!$O$2:$BX$88,48,FALSE)</f>
        <v>0</v>
      </c>
      <c r="F106" s="155">
        <f>IFERROR(E106+'Pay App 45'!F106,"")</f>
        <v>0</v>
      </c>
      <c r="G106" s="155">
        <f>SUM('Pay App 1:Pay App 45'!H106)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46'!L106)+SUM('Pay App 1:Pay App 46'!M106)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Data'!$O$2:$BX$88,48,FALSE)</f>
        <v>0</v>
      </c>
      <c r="F107" s="155">
        <f>IFERROR(E107+'Pay App 45'!F107,"")</f>
        <v>0</v>
      </c>
      <c r="G107" s="155">
        <f>SUM('Pay App 1:Pay App 45'!H107)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46'!L107)+SUM('Pay App 1:Pay App 46'!M107)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Data'!$O$2:$BX$88,48,FALSE)</f>
        <v>0</v>
      </c>
      <c r="F108" s="155">
        <f>IFERROR(E108+'Pay App 45'!F108,"")</f>
        <v>0</v>
      </c>
      <c r="G108" s="155">
        <f>SUM('Pay App 1:Pay App 45'!H108)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46'!L108)+SUM('Pay App 1:Pay App 46'!M108)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Data'!$O$2:$BX$88,48,FALSE)</f>
        <v>0</v>
      </c>
      <c r="F109" s="155">
        <f>IFERROR(E109+'Pay App 45'!F109,"")</f>
        <v>0</v>
      </c>
      <c r="G109" s="155">
        <f>SUM('Pay App 1:Pay App 45'!H109)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46'!L109)+SUM('Pay App 1:Pay App 46'!M109)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Data'!$O$2:$BX$88,48,FALSE)</f>
        <v>0</v>
      </c>
      <c r="F110" s="155">
        <f>IFERROR(E110+'Pay App 45'!F110,"")</f>
        <v>0</v>
      </c>
      <c r="G110" s="155">
        <f>SUM('Pay App 1:Pay App 45'!H110)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46'!L110)+SUM('Pay App 1:Pay App 46'!M110)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Data'!$O$2:$BX$88,48,FALSE)</f>
        <v>0</v>
      </c>
      <c r="F111" s="155">
        <f>IFERROR(E111+'Pay App 45'!F111,"")</f>
        <v>0</v>
      </c>
      <c r="G111" s="155">
        <f>SUM('Pay App 1:Pay App 45'!H111)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46'!L111)+SUM('Pay App 1:Pay App 46'!M111)</f>
        <v>0</v>
      </c>
    </row>
    <row r="112" spans="1:15" ht="11.25" customHeight="1" x14ac:dyDescent="0.25">
      <c r="A112" s="152">
        <f t="shared" si="3"/>
        <v>51</v>
      </c>
      <c r="B112" s="148" t="str">
        <f>'Pay App 1'!B112</f>
        <v>09 90 00</v>
      </c>
      <c r="C112" s="143" t="str">
        <f>'Pay App 1'!C112</f>
        <v>Painting</v>
      </c>
      <c r="D112" s="155">
        <f>'Pay App 1'!D112</f>
        <v>0</v>
      </c>
      <c r="E112" s="155">
        <f>VLOOKUP(B112,'Graph Data'!$O$2:$BX$88,48,FALSE)</f>
        <v>0</v>
      </c>
      <c r="F112" s="155">
        <f>IFERROR(E112+'Pay App 45'!F112,"")</f>
        <v>0</v>
      </c>
      <c r="G112" s="155">
        <f>SUM('Pay App 1:Pay App 45'!H112)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46'!L112)+SUM('Pay App 1:Pay App 46'!M112)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Data'!$O$2:$BX$88,48,FALSE)</f>
        <v>0</v>
      </c>
      <c r="F113" s="155">
        <f>IFERROR(E113+'Pay App 45'!F113,"")</f>
        <v>0</v>
      </c>
      <c r="G113" s="155">
        <f>SUM('Pay App 1:Pay App 45'!H113)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46'!L113)+SUM('Pay App 1:Pay App 46'!M113)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Data'!$O$2:$BX$88,48,FALSE)</f>
        <v>0</v>
      </c>
      <c r="F114" s="155">
        <f>IFERROR(E114+'Pay App 45'!F114,"")</f>
        <v>0</v>
      </c>
      <c r="G114" s="155">
        <f>SUM('Pay App 1:Pay App 45'!H114)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46'!L114)+SUM('Pay App 1:Pay App 46'!M114)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Data'!$O$2:$BX$88,48,FALSE)</f>
        <v>0</v>
      </c>
      <c r="F115" s="155">
        <f>IFERROR(E115+'Pay App 45'!F115,"")</f>
        <v>0</v>
      </c>
      <c r="G115" s="155">
        <f>SUM('Pay App 1:Pay App 45'!H115)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46'!L115)+SUM('Pay App 1:Pay App 46'!M115)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Data'!$O$2:$BX$88,48,FALSE)</f>
        <v>0</v>
      </c>
      <c r="F116" s="155">
        <f>IFERROR(E116+'Pay App 45'!F116,"")</f>
        <v>0</v>
      </c>
      <c r="G116" s="155">
        <f>SUM('Pay App 1:Pay App 45'!H116)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46'!L116)+SUM('Pay App 1:Pay App 46'!M116)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Data'!$O$2:$BX$88,48,FALSE)</f>
        <v>0</v>
      </c>
      <c r="F117" s="155">
        <f>IFERROR(E117+'Pay App 45'!F117,"")</f>
        <v>0</v>
      </c>
      <c r="G117" s="155">
        <f>SUM('Pay App 1:Pay App 45'!H117)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46'!L117)+SUM('Pay App 1:Pay App 46'!M117)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Data'!$O$2:$BX$88,48,FALSE)</f>
        <v>0</v>
      </c>
      <c r="F118" s="155">
        <f>IFERROR(E118+'Pay App 45'!F118,"")</f>
        <v>0</v>
      </c>
      <c r="G118" s="155">
        <f>SUM('Pay App 1:Pay App 45'!H118)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46'!L118)+SUM('Pay App 1:Pay App 46'!M118)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Data'!$O$2:$BX$88,48,FALSE)</f>
        <v>0</v>
      </c>
      <c r="F119" s="155">
        <f>IFERROR(E119+'Pay App 45'!F119,"")</f>
        <v>0</v>
      </c>
      <c r="G119" s="155">
        <f>SUM('Pay App 1:Pay App 45'!H119)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46'!L119)+SUM('Pay App 1:Pay App 46'!M119)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Data'!$O$2:$BX$88,48,FALSE)</f>
        <v>0</v>
      </c>
      <c r="F120" s="155">
        <f>IFERROR(E120+'Pay App 45'!F120,"")</f>
        <v>0</v>
      </c>
      <c r="G120" s="155">
        <f>SUM('Pay App 1:Pay App 45'!H120)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46'!L120)+SUM('Pay App 1:Pay App 46'!M120)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Data'!$O$2:$BX$88,48,FALSE)</f>
        <v>0</v>
      </c>
      <c r="F121" s="155">
        <f>IFERROR(E121+'Pay App 45'!F121,"")</f>
        <v>0</v>
      </c>
      <c r="G121" s="155">
        <f>SUM('Pay App 1:Pay App 45'!H121)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46'!L121)+SUM('Pay App 1:Pay App 46'!M121)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Data'!$O$2:$BX$88,48,FALSE)</f>
        <v>0</v>
      </c>
      <c r="F122" s="155">
        <f>IFERROR(E122+'Pay App 45'!F122,"")</f>
        <v>0</v>
      </c>
      <c r="G122" s="155">
        <f>SUM('Pay App 1:Pay App 45'!H122)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46'!L122)+SUM('Pay App 1:Pay App 46'!M122)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Data'!$O$2:$BX$88,48,FALSE)</f>
        <v>0</v>
      </c>
      <c r="F123" s="155">
        <f>IFERROR(E123+'Pay App 45'!F123,"")</f>
        <v>0</v>
      </c>
      <c r="G123" s="155">
        <f>SUM('Pay App 1:Pay App 45'!H123)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46'!L123)+SUM('Pay App 1:Pay App 46'!M123)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Data'!$O$2:$BX$88,48,FALSE)</f>
        <v>0</v>
      </c>
      <c r="F124" s="155">
        <f>IFERROR(E124+'Pay App 45'!F124,"")</f>
        <v>0</v>
      </c>
      <c r="G124" s="155">
        <f>SUM('Pay App 1:Pay App 45'!H124)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46'!L124)+SUM('Pay App 1:Pay App 46'!M124)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Data'!$O$2:$BX$88,48,FALSE)</f>
        <v>0</v>
      </c>
      <c r="F125" s="155">
        <f>IFERROR(E125+'Pay App 45'!F125,"")</f>
        <v>0</v>
      </c>
      <c r="G125" s="155">
        <f>SUM('Pay App 1:Pay App 45'!H125)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46'!L125)+SUM('Pay App 1:Pay App 46'!M125)</f>
        <v>0</v>
      </c>
    </row>
    <row r="126" spans="1:14" ht="11.25" customHeight="1" x14ac:dyDescent="0.25">
      <c r="A126" s="152">
        <f t="shared" si="3"/>
        <v>65</v>
      </c>
      <c r="B126" s="188" t="str">
        <f>'Pay App 1'!B126</f>
        <v>14 20 00</v>
      </c>
      <c r="C126" s="194" t="str">
        <f>'Pay App 1'!C126</f>
        <v>Elevator</v>
      </c>
      <c r="D126" s="155">
        <f>'Pay App 1'!D126</f>
        <v>0</v>
      </c>
      <c r="E126" s="155">
        <f>VLOOKUP(B126,'Graph Data'!$O$2:$BX$88,48,FALSE)</f>
        <v>0</v>
      </c>
      <c r="F126" s="155">
        <f>IFERROR(E126+'Pay App 45'!F126,"")</f>
        <v>0</v>
      </c>
      <c r="G126" s="155">
        <f>SUM('Pay App 1:Pay App 45'!H126)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46'!L126)+SUM('Pay App 1:Pay App 46'!M126)</f>
        <v>0</v>
      </c>
    </row>
    <row r="127" spans="1:14" ht="11.25" customHeight="1" x14ac:dyDescent="0.25">
      <c r="A127" s="152">
        <f t="shared" si="3"/>
        <v>66</v>
      </c>
      <c r="B127" s="188" t="str">
        <f>'Pay App 1'!B127</f>
        <v>14 40 00</v>
      </c>
      <c r="C127" s="194" t="str">
        <f>'Pay App 1'!C127</f>
        <v>Lifts</v>
      </c>
      <c r="D127" s="155">
        <f>'Pay App 1'!D127</f>
        <v>0</v>
      </c>
      <c r="E127" s="155">
        <f>VLOOKUP(B127,'Graph Data'!$O$2:$BX$88,48,FALSE)</f>
        <v>0</v>
      </c>
      <c r="F127" s="155">
        <f>IFERROR(E127+'Pay App 45'!F127,"")</f>
        <v>0</v>
      </c>
      <c r="G127" s="155">
        <f>SUM('Pay App 1:Pay App 45'!H127)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46'!L127)+SUM('Pay App 1:Pay App 46'!M127)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Data'!$O$2:$BX$88,48,FALSE)</f>
        <v>0</v>
      </c>
      <c r="F128" s="155">
        <f>IFERROR(E128+'Pay App 45'!F128,"")</f>
        <v>0</v>
      </c>
      <c r="G128" s="155">
        <f>SUM('Pay App 1:Pay App 45'!H128)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46'!L128)+SUM('Pay App 1:Pay App 46'!M128)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Data'!$O$2:$BX$88,48,FALSE)</f>
        <v>0</v>
      </c>
      <c r="F129" s="155">
        <f>IFERROR(E129+'Pay App 45'!F129,"")</f>
        <v>0</v>
      </c>
      <c r="G129" s="155">
        <f>SUM('Pay App 1:Pay App 45'!H129)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46'!L129)+SUM('Pay App 1:Pay App 46'!M129)</f>
        <v>0</v>
      </c>
    </row>
    <row r="130" spans="1:14" ht="11.25" customHeight="1" x14ac:dyDescent="0.25">
      <c r="A130" s="152">
        <f t="shared" si="3"/>
        <v>69</v>
      </c>
      <c r="B130" s="185" t="str">
        <f>'Pay App 1'!B130</f>
        <v>22 00 00</v>
      </c>
      <c r="C130" s="191" t="str">
        <f>'Pay App 1'!C130</f>
        <v>Plumbing</v>
      </c>
      <c r="D130" s="155">
        <f>'Pay App 1'!D130</f>
        <v>0</v>
      </c>
      <c r="E130" s="155">
        <f>VLOOKUP(B130,'Graph Data'!$O$2:$BX$88,48,FALSE)</f>
        <v>0</v>
      </c>
      <c r="F130" s="155">
        <f>IFERROR(E130+'Pay App 45'!F130,"")</f>
        <v>0</v>
      </c>
      <c r="G130" s="155">
        <f>SUM('Pay App 1:Pay App 45'!H130)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46'!L130)+SUM('Pay App 1:Pay App 46'!M130)</f>
        <v>0</v>
      </c>
    </row>
    <row r="131" spans="1:14" ht="11.25" customHeight="1" x14ac:dyDescent="0.25">
      <c r="A131" s="152">
        <f t="shared" si="3"/>
        <v>70</v>
      </c>
      <c r="B131" s="186" t="str">
        <f>'Pay App 1'!B131</f>
        <v>23 00 00</v>
      </c>
      <c r="C131" s="192" t="str">
        <f>'Pay App 1'!C131</f>
        <v>HVAC</v>
      </c>
      <c r="D131" s="155">
        <f>'Pay App 1'!D131</f>
        <v>0</v>
      </c>
      <c r="E131" s="155">
        <f>VLOOKUP(B131,'Graph Data'!$O$2:$BX$88,48,FALSE)</f>
        <v>0</v>
      </c>
      <c r="F131" s="155">
        <f>IFERROR(E131+'Pay App 45'!F131,"")</f>
        <v>0</v>
      </c>
      <c r="G131" s="155">
        <f>SUM('Pay App 1:Pay App 45'!H131)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46'!L131)+SUM('Pay App 1:Pay App 46'!M131)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Data'!$O$2:$BX$88,48,FALSE)</f>
        <v>0</v>
      </c>
      <c r="F132" s="155">
        <f>IFERROR(E132+'Pay App 45'!F132,"")</f>
        <v>0</v>
      </c>
      <c r="G132" s="155">
        <f>SUM('Pay App 1:Pay App 45'!H132)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46'!L132)+SUM('Pay App 1:Pay App 46'!M132)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Data'!$O$2:$BX$88,48,FALSE)</f>
        <v>0</v>
      </c>
      <c r="F133" s="155">
        <f>IFERROR(E133+'Pay App 45'!F133,"")</f>
        <v>0</v>
      </c>
      <c r="G133" s="155">
        <f>SUM('Pay App 1:Pay App 45'!H133)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46'!L133)+SUM('Pay App 1:Pay App 46'!M133)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Data'!$O$2:$BX$88,48,FALSE)</f>
        <v>0</v>
      </c>
      <c r="F134" s="155">
        <f>IFERROR(E134+'Pay App 45'!F134,"")</f>
        <v>0</v>
      </c>
      <c r="G134" s="155">
        <f>SUM('Pay App 1:Pay App 45'!H134)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46'!L134)+SUM('Pay App 1:Pay App 46'!M134)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Data'!$O$2:$BX$88,48,FALSE)</f>
        <v>0</v>
      </c>
      <c r="F135" s="155">
        <f>IFERROR(E135+'Pay App 45'!F135,"")</f>
        <v>0</v>
      </c>
      <c r="G135" s="155">
        <f>SUM('Pay App 1:Pay App 45'!H135)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46'!L135)+SUM('Pay App 1:Pay App 46'!M135)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Data'!$O$2:$BX$88,48,FALSE)</f>
        <v>0</v>
      </c>
      <c r="F136" s="155">
        <f>IFERROR(E136+'Pay App 45'!F136,"")</f>
        <v>0</v>
      </c>
      <c r="G136" s="155">
        <f>SUM('Pay App 1:Pay App 45'!H136)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46'!L136)+SUM('Pay App 1:Pay App 46'!M136)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Data'!$O$2:$BX$88,48,FALSE)</f>
        <v>0</v>
      </c>
      <c r="F137" s="155">
        <f>IFERROR(E137+'Pay App 45'!F137,"")</f>
        <v>0</v>
      </c>
      <c r="G137" s="155">
        <f>SUM('Pay App 1:Pay App 45'!H137)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46'!L137)+SUM('Pay App 1:Pay App 46'!M137)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Data'!$O$2:$BX$88,48,FALSE)</f>
        <v>0</v>
      </c>
      <c r="F138" s="155">
        <f>IFERROR(E138+'Pay App 45'!F138,"")</f>
        <v>0</v>
      </c>
      <c r="G138" s="155">
        <f>SUM('Pay App 1:Pay App 45'!H138)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46'!L138)+SUM('Pay App 1:Pay App 46'!M138)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Data'!$O$2:$BX$88,48,FALSE)</f>
        <v>0</v>
      </c>
      <c r="F139" s="155">
        <f>IFERROR(E139+'Pay App 45'!F139,"")</f>
        <v>0</v>
      </c>
      <c r="G139" s="155">
        <f>SUM('Pay App 1:Pay App 45'!H139)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46'!L139)+SUM('Pay App 1:Pay App 46'!M139)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Data'!$O$2:$BX$88,48,FALSE)</f>
        <v>0</v>
      </c>
      <c r="F140" s="155">
        <f>IFERROR(E140+'Pay App 45'!F140,"")</f>
        <v>0</v>
      </c>
      <c r="G140" s="155">
        <f>SUM('Pay App 1:Pay App 45'!H140)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46'!L140)+SUM('Pay App 1:Pay App 46'!M140)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Data'!$O$2:$BX$88,48,FALSE)</f>
        <v>0</v>
      </c>
      <c r="F141" s="155">
        <f>IFERROR(E141+'Pay App 45'!F141,"")</f>
        <v>0</v>
      </c>
      <c r="G141" s="155">
        <f>SUM('Pay App 1:Pay App 45'!H141)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46'!L141)+SUM('Pay App 1:Pay App 46'!M141)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Data'!$O$2:$BX$88,48,FALSE)</f>
        <v>0</v>
      </c>
      <c r="F142" s="155">
        <f>IFERROR(E142+'Pay App 45'!F142,"")</f>
        <v>0</v>
      </c>
      <c r="G142" s="155">
        <f>SUM('Pay App 1:Pay App 45'!H142)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46'!L142)+SUM('Pay App 1:Pay App 46'!M142)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Data'!$O$2:$BX$88,48,FALSE)</f>
        <v>0</v>
      </c>
      <c r="F143" s="155">
        <f>IFERROR(E143+'Pay App 45'!F143,"")</f>
        <v>0</v>
      </c>
      <c r="G143" s="155">
        <f>SUM('Pay App 1:Pay App 45'!H143)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46'!L143)+SUM('Pay App 1:Pay App 46'!M143)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Data'!$O$2:$BX$88,48,FALSE)</f>
        <v>0</v>
      </c>
      <c r="F144" s="155">
        <f>IFERROR(E144+'Pay App 45'!F144,"")</f>
        <v>0</v>
      </c>
      <c r="G144" s="155">
        <f>SUM('Pay App 1:Pay App 45'!H144)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46'!L144)+SUM('Pay App 1:Pay App 46'!M144)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Data'!$O$2:$BX$88,48,FALSE)</f>
        <v>0</v>
      </c>
      <c r="F145" s="155">
        <f>IFERROR(E145+'Pay App 45'!F145,"")</f>
        <v>0</v>
      </c>
      <c r="G145" s="155">
        <f>SUM('Pay App 1:Pay App 45'!H145)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46'!L145)+SUM('Pay App 1:Pay App 46'!M145)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Data'!$O$2:$BX$88,48,FALSE)</f>
        <v>0</v>
      </c>
      <c r="F146" s="155">
        <f>IFERROR(E146+'Pay App 45'!F146,"")</f>
        <v>0</v>
      </c>
      <c r="G146" s="155">
        <f>SUM('Pay App 1:Pay App 45'!H146)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46'!L146)+SUM('Pay App 1:Pay App 46'!M146)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Data'!$O$2:$BX$88,48,FALSE)</f>
        <v>0</v>
      </c>
      <c r="F147" s="155">
        <f>IFERROR(E147+'Pay App 45'!F147,"")</f>
        <v>0</v>
      </c>
      <c r="G147" s="155">
        <f>SUM('Pay App 1:Pay App 45'!H147)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46'!L147)+SUM('Pay App 1:Pay App 46'!M147)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Data'!$O$2:$BX$88,48,FALSE)</f>
        <v>0</v>
      </c>
      <c r="F148" s="155">
        <f>IFERROR(E148+'Pay App 45'!F148,"")</f>
        <v>0</v>
      </c>
      <c r="G148" s="155">
        <f>SUM('Pay App 1:Pay App 45'!H148)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46'!L148)+SUM('Pay App 1:Pay App 46'!M148)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y8hgm0cUDLpuGNqilXyizkwc52gitCM/iGlVc2mJzKI82ft2LSX8yxWRNxkKp6yTVzK9b2BlqpM0ENSF/nsAhg==" saltValue="BrK1DO9ty429H0+1mq2yE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64" priority="2" operator="equal">
      <formula>0</formula>
    </cfRule>
  </conditionalFormatting>
  <conditionalFormatting sqref="D106:G148">
    <cfRule type="cellIs" dxfId="163" priority="1" operator="equal">
      <formula>0</formula>
    </cfRule>
  </conditionalFormatting>
  <conditionalFormatting sqref="D10:H10 D12:H14 D19:H21">
    <cfRule type="cellIs" dxfId="162" priority="6" operator="equal">
      <formula>0</formula>
    </cfRule>
  </conditionalFormatting>
  <conditionalFormatting sqref="H51">
    <cfRule type="cellIs" dxfId="161" priority="9" operator="lessThan">
      <formula>0</formula>
    </cfRule>
  </conditionalFormatting>
  <conditionalFormatting sqref="I57:I100 K57:K100 I106:I148 K106:K148 N106:N148">
    <cfRule type="cellIs" dxfId="160" priority="14" operator="equal">
      <formula>0</formula>
    </cfRule>
  </conditionalFormatting>
  <conditionalFormatting sqref="J57:J100 J106:J149">
    <cfRule type="cellIs" dxfId="159" priority="11" operator="greaterThan">
      <formula>1</formula>
    </cfRule>
    <cfRule type="cellIs" dxfId="158" priority="12" operator="equal">
      <formula>0</formula>
    </cfRule>
  </conditionalFormatting>
  <conditionalFormatting sqref="K57:K100 K106:K148">
    <cfRule type="cellIs" dxfId="157" priority="10" operator="lessThan">
      <formula>0</formula>
    </cfRule>
  </conditionalFormatting>
  <conditionalFormatting sqref="M57:M100">
    <cfRule type="cellIs" dxfId="156" priority="13" operator="lessThan">
      <formula>0</formula>
    </cfRule>
  </conditionalFormatting>
  <conditionalFormatting sqref="M106:M148">
    <cfRule type="cellIs" dxfId="155" priority="8" operator="lessThan">
      <formula>0</formula>
    </cfRule>
  </conditionalFormatting>
  <conditionalFormatting sqref="N57:N100">
    <cfRule type="cellIs" dxfId="15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487873AF-8580-42B8-BC32-82F339D62524}">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3DCB56B-92CB-4585-BCB1-D4665D2EF5DD}">
          <x14:formula1>
            <xm:f>'Graph Data'!$M$74:$M$76</xm:f>
          </x14:formula1>
          <xm:sqref>G17</xm:sqref>
        </x14:dataValidation>
      </x14:dataValidation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67195-0589-4ECB-8762-EF6E2FD10FA2}">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47.1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Data'!$O$2:$BX$88,49,FALSE)</f>
        <v>0</v>
      </c>
      <c r="F57" s="155">
        <f>IFERROR(E57+'Pay App 46'!F57,"")</f>
        <v>0</v>
      </c>
      <c r="G57" s="155">
        <f>SUM('Pay App 1:Pay App 46'!H57)</f>
        <v>0</v>
      </c>
      <c r="H57" s="154"/>
      <c r="I57" s="155">
        <f>G57+H57</f>
        <v>0</v>
      </c>
      <c r="J57" s="156">
        <f>IFERROR(I57/F57,0)</f>
        <v>0</v>
      </c>
      <c r="K57" s="155">
        <f>IFERROR(F57-I57,"")</f>
        <v>0</v>
      </c>
      <c r="L57" s="155" t="str">
        <f>IF(AND('Summary Sheet'!$E$23="No",$H$33&gt;0,H57&gt;=1),"",IF(AND('Summary Sheet'!$E$23="Yes",H57&lt;&gt;""),H57*'Summary Sheet'!$G$23,""))</f>
        <v/>
      </c>
      <c r="M57" s="154"/>
      <c r="N57" s="155">
        <f>SUM('Pay App 1:Pay App 47'!L57)+SUM('Pay App 1:Pay App 47'!M57)</f>
        <v>0</v>
      </c>
    </row>
    <row r="58" spans="1:16" ht="11.25" customHeight="1" x14ac:dyDescent="0.25">
      <c r="A58" s="152">
        <v>2</v>
      </c>
      <c r="B58" s="145" t="str">
        <f>'Pay App 1'!B58</f>
        <v>00 02 00</v>
      </c>
      <c r="C58" s="134" t="str">
        <f>'Pay App 1'!C58</f>
        <v>Preconstruction Services</v>
      </c>
      <c r="D58" s="155">
        <f>'Pay App 1'!D58</f>
        <v>0</v>
      </c>
      <c r="E58" s="155">
        <f>VLOOKUP(B58,'Graph Data'!$O$2:$BX$88,49,FALSE)</f>
        <v>0</v>
      </c>
      <c r="F58" s="155">
        <f>IFERROR(E58+'Pay App 46'!F58,"")</f>
        <v>0</v>
      </c>
      <c r="G58" s="155">
        <f>SUM('Pay App 1:Pay App 46'!H58)</f>
        <v>0</v>
      </c>
      <c r="H58" s="154"/>
      <c r="I58" s="155">
        <f>G58+H58</f>
        <v>0</v>
      </c>
      <c r="J58" s="156">
        <f>IFERROR(I58/F58,0)</f>
        <v>0</v>
      </c>
      <c r="K58" s="155">
        <f>IFERROR(F58-I58,"")</f>
        <v>0</v>
      </c>
      <c r="L58" s="155" t="str">
        <f>IF(AND('Summary Sheet'!$E$23="No",$H$33&gt;0,H58&gt;=1),"",IF(AND('Summary Sheet'!$E$23="Yes",H58&lt;&gt;""),H58*'Summary Sheet'!$G$23,""))</f>
        <v/>
      </c>
      <c r="M58" s="154"/>
      <c r="N58" s="155">
        <f>SUM('Pay App 1:Pay App 47'!L58)+SUM('Pay App 1:Pay App 47'!M58)</f>
        <v>0</v>
      </c>
    </row>
    <row r="59" spans="1:16" ht="11.25" customHeight="1" x14ac:dyDescent="0.25">
      <c r="A59" s="152">
        <v>3</v>
      </c>
      <c r="B59" s="174" t="str">
        <f>'Pay App 1'!B59</f>
        <v>01 00 00</v>
      </c>
      <c r="C59" s="179" t="str">
        <f>'Pay App 1'!C59</f>
        <v>General Conditions/Requirements</v>
      </c>
      <c r="D59" s="155">
        <f>'Pay App 1'!D59</f>
        <v>0</v>
      </c>
      <c r="E59" s="155">
        <f>VLOOKUP(B59,'Graph Data'!$O$2:$BX$88,49,FALSE)</f>
        <v>0</v>
      </c>
      <c r="F59" s="155">
        <f>IFERROR(E59+'Pay App 46'!F59,"")</f>
        <v>0</v>
      </c>
      <c r="G59" s="155">
        <f>SUM('Pay App 1:Pay App 46'!H59)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47'!L59)+SUM('Pay App 1:Pay App 47'!M59)</f>
        <v>0</v>
      </c>
    </row>
    <row r="60" spans="1:16" ht="11.25" customHeight="1" x14ac:dyDescent="0.25">
      <c r="A60" s="152">
        <v>4</v>
      </c>
      <c r="B60" s="174" t="str">
        <f>'Pay App 1'!B60</f>
        <v>01 13 41</v>
      </c>
      <c r="C60" s="179" t="str">
        <f>'Pay App 1'!C60</f>
        <v>Temp. Scaffolding and Platforms</v>
      </c>
      <c r="D60" s="155">
        <f>'Pay App 1'!D60</f>
        <v>0</v>
      </c>
      <c r="E60" s="155">
        <f>VLOOKUP(B60,'Graph Data'!$O$2:$BX$88,49,FALSE)</f>
        <v>0</v>
      </c>
      <c r="F60" s="155">
        <f>IFERROR(E60+'Pay App 46'!F60,"")</f>
        <v>0</v>
      </c>
      <c r="G60" s="155">
        <f>SUM('Pay App 1:Pay App 46'!H60)</f>
        <v>0</v>
      </c>
      <c r="H60" s="154"/>
      <c r="I60" s="155">
        <f t="shared" si="0"/>
        <v>0</v>
      </c>
      <c r="J60" s="156">
        <f t="shared" si="1"/>
        <v>0</v>
      </c>
      <c r="K60" s="155">
        <f t="shared" si="2"/>
        <v>0</v>
      </c>
      <c r="L60" s="155" t="str">
        <f>IF(AND('Summary Sheet'!$E$23="No",$H$33&gt;0,H60&gt;=1),"",IF(AND('Summary Sheet'!$E$23="Yes",H60&lt;&gt;""),H60*'Summary Sheet'!$G$23,""))</f>
        <v/>
      </c>
      <c r="M60" s="154"/>
      <c r="N60" s="155">
        <f>SUM('Pay App 1:Pay App 47'!L60)+SUM('Pay App 1:Pay App 47'!M60)</f>
        <v>0</v>
      </c>
    </row>
    <row r="61" spans="1:16" ht="11.25" customHeight="1" x14ac:dyDescent="0.25">
      <c r="A61" s="152">
        <v>5</v>
      </c>
      <c r="B61" s="174" t="str">
        <f>'Pay App 1'!B61</f>
        <v>01 13 60</v>
      </c>
      <c r="C61" s="179" t="str">
        <f>'Pay App 1'!C61</f>
        <v>SWPPP</v>
      </c>
      <c r="D61" s="155">
        <f>'Pay App 1'!D61</f>
        <v>0</v>
      </c>
      <c r="E61" s="155">
        <f>VLOOKUP(B61,'Graph Data'!$O$2:$BX$88,49,FALSE)</f>
        <v>0</v>
      </c>
      <c r="F61" s="155">
        <f>IFERROR(E61+'Pay App 46'!F61,"")</f>
        <v>0</v>
      </c>
      <c r="G61" s="155">
        <f>SUM('Pay App 1:Pay App 46'!H61)</f>
        <v>0</v>
      </c>
      <c r="H61" s="154"/>
      <c r="I61" s="155">
        <f t="shared" si="0"/>
        <v>0</v>
      </c>
      <c r="J61" s="156">
        <f t="shared" si="1"/>
        <v>0</v>
      </c>
      <c r="K61" s="155">
        <f t="shared" si="2"/>
        <v>0</v>
      </c>
      <c r="L61" s="155" t="str">
        <f>IF(AND('Summary Sheet'!$E$23="No",$H$33&gt;0,H61&gt;=1),"",IF(AND('Summary Sheet'!$E$23="Yes",H61&lt;&gt;""),H61*'Summary Sheet'!$G$23,""))</f>
        <v/>
      </c>
      <c r="M61" s="154"/>
      <c r="N61" s="155">
        <f>SUM('Pay App 1:Pay App 47'!L61)+SUM('Pay App 1:Pay App 47'!M61)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Data'!$O$2:$BX$88,49,FALSE)</f>
        <v>0</v>
      </c>
      <c r="F62" s="155">
        <f>IFERROR(E62+'Pay App 46'!F62,"")</f>
        <v>0</v>
      </c>
      <c r="G62" s="155">
        <f>SUM('Pay App 1:Pay App 46'!H62)</f>
        <v>0</v>
      </c>
      <c r="H62" s="154"/>
      <c r="I62" s="155">
        <f t="shared" si="0"/>
        <v>0</v>
      </c>
      <c r="J62" s="156">
        <f t="shared" si="1"/>
        <v>0</v>
      </c>
      <c r="K62" s="155">
        <f t="shared" si="2"/>
        <v>0</v>
      </c>
      <c r="L62" s="155" t="str">
        <f>IF(AND('Summary Sheet'!$E$23="No",$H$33&gt;0,H62&gt;=1),"",IF(AND('Summary Sheet'!$E$23="Yes",H62&lt;&gt;""),H62*'Summary Sheet'!$G$23,""))</f>
        <v/>
      </c>
      <c r="M62" s="154"/>
      <c r="N62" s="155">
        <f>SUM('Pay App 1:Pay App 47'!L62)+SUM('Pay App 1:Pay App 47'!M62)</f>
        <v>0</v>
      </c>
    </row>
    <row r="63" spans="1:16" ht="11.25" customHeight="1" x14ac:dyDescent="0.25">
      <c r="A63" s="152">
        <v>7</v>
      </c>
      <c r="B63" s="174" t="str">
        <f>'Pay App 1'!B63</f>
        <v>01 31 00</v>
      </c>
      <c r="C63" s="179" t="str">
        <f>'Pay App 1'!C63</f>
        <v>Contractor's Supervision</v>
      </c>
      <c r="D63" s="155">
        <f>'Pay App 1'!D63</f>
        <v>0</v>
      </c>
      <c r="E63" s="155">
        <f>VLOOKUP(B63,'Graph Data'!$O$2:$BX$88,49,FALSE)</f>
        <v>0</v>
      </c>
      <c r="F63" s="155">
        <f>IFERROR(E63+'Pay App 46'!F63,"")</f>
        <v>0</v>
      </c>
      <c r="G63" s="155">
        <f>SUM('Pay App 1:Pay App 46'!H63)</f>
        <v>0</v>
      </c>
      <c r="H63" s="154"/>
      <c r="I63" s="155">
        <f t="shared" si="0"/>
        <v>0</v>
      </c>
      <c r="J63" s="156">
        <f t="shared" si="1"/>
        <v>0</v>
      </c>
      <c r="K63" s="155">
        <f t="shared" si="2"/>
        <v>0</v>
      </c>
      <c r="L63" s="155" t="str">
        <f>IF(AND('Summary Sheet'!$E$23="No",$H$33&gt;0,H63&gt;=1),"",IF(AND('Summary Sheet'!$E$23="Yes",H63&lt;&gt;""),H63*'Summary Sheet'!$G$23,""))</f>
        <v/>
      </c>
      <c r="M63" s="154"/>
      <c r="N63" s="155">
        <f>SUM('Pay App 1:Pay App 47'!L63)+SUM('Pay App 1:Pay App 47'!M63)</f>
        <v>0</v>
      </c>
    </row>
    <row r="64" spans="1:16" ht="11.25" customHeight="1" x14ac:dyDescent="0.25">
      <c r="A64" s="152">
        <v>8</v>
      </c>
      <c r="B64" s="174" t="str">
        <f>'Pay App 1'!B64</f>
        <v>01 32 00</v>
      </c>
      <c r="C64" s="179" t="str">
        <f>'Pay App 1'!C64</f>
        <v>General Liability Insurance</v>
      </c>
      <c r="D64" s="155">
        <f>'Pay App 1'!D64</f>
        <v>0</v>
      </c>
      <c r="E64" s="155">
        <f>VLOOKUP(B64,'Graph Data'!$O$2:$BX$88,49,FALSE)</f>
        <v>0</v>
      </c>
      <c r="F64" s="155">
        <f>IFERROR(E64+'Pay App 46'!F64,"")</f>
        <v>0</v>
      </c>
      <c r="G64" s="155">
        <f>SUM('Pay App 1:Pay App 46'!H64)</f>
        <v>0</v>
      </c>
      <c r="H64" s="154"/>
      <c r="I64" s="155">
        <f t="shared" si="0"/>
        <v>0</v>
      </c>
      <c r="J64" s="156">
        <f t="shared" si="1"/>
        <v>0</v>
      </c>
      <c r="K64" s="155">
        <f t="shared" si="2"/>
        <v>0</v>
      </c>
      <c r="L64" s="155" t="str">
        <f>IF(AND('Summary Sheet'!$E$23="No",$H$33&gt;0,H64&gt;=1),"",IF(AND('Summary Sheet'!$E$23="Yes",H64&lt;&gt;""),H64*'Summary Sheet'!$G$23,""))</f>
        <v/>
      </c>
      <c r="M64" s="154"/>
      <c r="N64" s="155">
        <f>SUM('Pay App 1:Pay App 47'!L64)+SUM('Pay App 1:Pay App 47'!M64)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Data'!$O$2:$BX$88,49,FALSE)</f>
        <v>0</v>
      </c>
      <c r="F65" s="155">
        <f>IFERROR(E65+'Pay App 46'!F65,"")</f>
        <v>0</v>
      </c>
      <c r="G65" s="155">
        <f>SUM('Pay App 1:Pay App 46'!H65)</f>
        <v>0</v>
      </c>
      <c r="H65" s="154"/>
      <c r="I65" s="155">
        <f t="shared" si="0"/>
        <v>0</v>
      </c>
      <c r="J65" s="156">
        <f t="shared" si="1"/>
        <v>0</v>
      </c>
      <c r="K65" s="155">
        <f t="shared" si="2"/>
        <v>0</v>
      </c>
      <c r="L65" s="155" t="str">
        <f>IF(AND('Summary Sheet'!$E$23="No",$H$33&gt;0,H65&gt;=1),"",IF(AND('Summary Sheet'!$E$23="Yes",H65&lt;&gt;""),H65*'Summary Sheet'!$G$23,""))</f>
        <v/>
      </c>
      <c r="M65" s="154"/>
      <c r="N65" s="155">
        <f>SUM('Pay App 1:Pay App 47'!L65)+SUM('Pay App 1:Pay App 47'!M65)</f>
        <v>0</v>
      </c>
    </row>
    <row r="66" spans="1:17" ht="11.25" customHeight="1" x14ac:dyDescent="0.25">
      <c r="A66" s="152">
        <v>10</v>
      </c>
      <c r="B66" s="174" t="str">
        <f>'Pay App 1'!B66</f>
        <v>01 34 00</v>
      </c>
      <c r="C66" s="179" t="str">
        <f>'Pay App 1'!C66</f>
        <v>Subcontractor Default Insurance</v>
      </c>
      <c r="D66" s="155">
        <f>'Pay App 1'!D66</f>
        <v>0</v>
      </c>
      <c r="E66" s="155">
        <f>VLOOKUP(B66,'Graph Data'!$O$2:$BX$88,49,FALSE)</f>
        <v>0</v>
      </c>
      <c r="F66" s="155">
        <f>IFERROR(E66+'Pay App 46'!F66,"")</f>
        <v>0</v>
      </c>
      <c r="G66" s="155">
        <f>SUM('Pay App 1:Pay App 46'!H66)</f>
        <v>0</v>
      </c>
      <c r="H66" s="154"/>
      <c r="I66" s="155">
        <f t="shared" si="0"/>
        <v>0</v>
      </c>
      <c r="J66" s="156">
        <f t="shared" si="1"/>
        <v>0</v>
      </c>
      <c r="K66" s="155">
        <f t="shared" si="2"/>
        <v>0</v>
      </c>
      <c r="L66" s="155" t="str">
        <f>IF(AND('Summary Sheet'!$E$23="No",$H$33&gt;0,H66&gt;=1),"",IF(AND('Summary Sheet'!$E$23="Yes",H66&lt;&gt;""),H66*'Summary Sheet'!$G$23,""))</f>
        <v/>
      </c>
      <c r="M66" s="154"/>
      <c r="N66" s="155">
        <f>SUM('Pay App 1:Pay App 47'!L66)+SUM('Pay App 1:Pay App 47'!M66)</f>
        <v>0</v>
      </c>
    </row>
    <row r="67" spans="1:17" ht="11.25" customHeight="1" x14ac:dyDescent="0.25">
      <c r="A67" s="152">
        <v>11</v>
      </c>
      <c r="B67" s="174" t="str">
        <f>'Pay App 1'!B67</f>
        <v>01 35 00</v>
      </c>
      <c r="C67" s="179" t="str">
        <f>'Pay App 1'!C67</f>
        <v>Construction Management Fee</v>
      </c>
      <c r="D67" s="155">
        <f>'Pay App 1'!D67</f>
        <v>0</v>
      </c>
      <c r="E67" s="155">
        <f>VLOOKUP(B67,'Graph Data'!$O$2:$BX$88,49,FALSE)</f>
        <v>0</v>
      </c>
      <c r="F67" s="155">
        <f>IFERROR(E67+'Pay App 46'!F67,"")</f>
        <v>0</v>
      </c>
      <c r="G67" s="155">
        <f>SUM('Pay App 1:Pay App 46'!H67)</f>
        <v>0</v>
      </c>
      <c r="H67" s="154"/>
      <c r="I67" s="155">
        <f t="shared" si="0"/>
        <v>0</v>
      </c>
      <c r="J67" s="156">
        <f t="shared" si="1"/>
        <v>0</v>
      </c>
      <c r="K67" s="155">
        <f t="shared" si="2"/>
        <v>0</v>
      </c>
      <c r="L67" s="155" t="str">
        <f>IF(AND('Summary Sheet'!$E$23="No",$H$33&gt;0,H67&gt;=1),"",IF(AND('Summary Sheet'!$E$23="Yes",H67&lt;&gt;""),H67*'Summary Sheet'!$G$23,""))</f>
        <v/>
      </c>
      <c r="M67" s="154"/>
      <c r="N67" s="155">
        <f>SUM('Pay App 1:Pay App 47'!L67)+SUM('Pay App 1:Pay App 47'!M67)</f>
        <v>0</v>
      </c>
    </row>
    <row r="68" spans="1:17" ht="11.25" customHeight="1" x14ac:dyDescent="0.25">
      <c r="A68" s="152">
        <v>12</v>
      </c>
      <c r="B68" s="174" t="str">
        <f>'Pay App 1'!B68</f>
        <v>01 36 00</v>
      </c>
      <c r="C68" s="179" t="str">
        <f>'Pay App 1'!C68</f>
        <v>Contingency</v>
      </c>
      <c r="D68" s="155">
        <f>'Pay App 1'!D68</f>
        <v>0</v>
      </c>
      <c r="E68" s="155">
        <f>VLOOKUP(B68,'Graph Data'!$O$2:$BX$88,49,FALSE)</f>
        <v>0</v>
      </c>
      <c r="F68" s="155">
        <f>IFERROR(E68+'Pay App 46'!F68,"")</f>
        <v>0</v>
      </c>
      <c r="G68" s="155">
        <f>SUM('Pay App 1:Pay App 46'!H68)</f>
        <v>0</v>
      </c>
      <c r="H68" s="154"/>
      <c r="I68" s="155">
        <f t="shared" si="0"/>
        <v>0</v>
      </c>
      <c r="J68" s="156">
        <f t="shared" si="1"/>
        <v>0</v>
      </c>
      <c r="K68" s="155">
        <f t="shared" si="2"/>
        <v>0</v>
      </c>
      <c r="L68" s="155" t="str">
        <f>IF(AND('Summary Sheet'!$E$23="No",$H$33&gt;0,H68&gt;=1),"",IF(AND('Summary Sheet'!$E$23="Yes",H68&lt;&gt;""),H68*'Summary Sheet'!$G$23,""))</f>
        <v/>
      </c>
      <c r="M68" s="154"/>
      <c r="N68" s="155">
        <f>SUM('Pay App 1:Pay App 47'!L68)+SUM('Pay App 1:Pay App 47'!M68)</f>
        <v>0</v>
      </c>
    </row>
    <row r="69" spans="1:17" ht="11.25" customHeight="1" x14ac:dyDescent="0.25">
      <c r="A69" s="152">
        <v>13</v>
      </c>
      <c r="B69" s="174" t="str">
        <f>'Pay App 1'!B69</f>
        <v>01 37 00</v>
      </c>
      <c r="C69" s="179" t="str">
        <f>'Pay App 1'!C69</f>
        <v>Weather Allowance (All Trades)</v>
      </c>
      <c r="D69" s="155">
        <f>'Pay App 1'!D69</f>
        <v>0</v>
      </c>
      <c r="E69" s="155">
        <f>VLOOKUP(B69,'Graph Data'!$O$2:$BX$88,49,FALSE)</f>
        <v>0</v>
      </c>
      <c r="F69" s="155">
        <f>IFERROR(E69+'Pay App 46'!F69,"")</f>
        <v>0</v>
      </c>
      <c r="G69" s="155">
        <f>SUM('Pay App 1:Pay App 46'!H69)</f>
        <v>0</v>
      </c>
      <c r="H69" s="154"/>
      <c r="I69" s="155">
        <f t="shared" si="0"/>
        <v>0</v>
      </c>
      <c r="J69" s="156">
        <f t="shared" si="1"/>
        <v>0</v>
      </c>
      <c r="K69" s="155">
        <f t="shared" si="2"/>
        <v>0</v>
      </c>
      <c r="L69" s="155" t="str">
        <f>IF(AND('Summary Sheet'!$E$23="No",$H$33&gt;0,H69&gt;=1),"",IF(AND('Summary Sheet'!$E$23="Yes",H69&lt;&gt;""),H69*'Summary Sheet'!$G$23,""))</f>
        <v/>
      </c>
      <c r="M69" s="154"/>
      <c r="N69" s="155">
        <f>SUM('Pay App 1:Pay App 47'!L69)+SUM('Pay App 1:Pay App 47'!M69)</f>
        <v>0</v>
      </c>
    </row>
    <row r="70" spans="1:17" ht="11.25" customHeight="1" x14ac:dyDescent="0.25">
      <c r="A70" s="152">
        <v>14</v>
      </c>
      <c r="B70" s="174" t="str">
        <f>'Pay App 1'!B70</f>
        <v>01 74 23</v>
      </c>
      <c r="C70" s="179" t="str">
        <f>'Pay App 1'!C70</f>
        <v>Cleaning (Final)</v>
      </c>
      <c r="D70" s="155">
        <f>'Pay App 1'!D70</f>
        <v>0</v>
      </c>
      <c r="E70" s="155">
        <f>VLOOKUP(B70,'Graph Data'!$O$2:$BX$88,49,FALSE)</f>
        <v>0</v>
      </c>
      <c r="F70" s="155">
        <f>IFERROR(E70+'Pay App 46'!F70,"")</f>
        <v>0</v>
      </c>
      <c r="G70" s="155">
        <f>SUM('Pay App 1:Pay App 46'!H70)</f>
        <v>0</v>
      </c>
      <c r="H70" s="154"/>
      <c r="I70" s="155">
        <f t="shared" si="0"/>
        <v>0</v>
      </c>
      <c r="J70" s="156">
        <f t="shared" si="1"/>
        <v>0</v>
      </c>
      <c r="K70" s="155">
        <f t="shared" si="2"/>
        <v>0</v>
      </c>
      <c r="L70" s="155" t="str">
        <f>IF(AND('Summary Sheet'!$E$23="No",$H$33&gt;0,H70&gt;=1),"",IF(AND('Summary Sheet'!$E$23="Yes",H70&lt;&gt;""),H70*'Summary Sheet'!$G$23,""))</f>
        <v/>
      </c>
      <c r="M70" s="154"/>
      <c r="N70" s="155">
        <f>SUM('Pay App 1:Pay App 47'!L70)+SUM('Pay App 1:Pay App 47'!M70)</f>
        <v>0</v>
      </c>
    </row>
    <row r="71" spans="1:17" ht="11.25" customHeight="1" x14ac:dyDescent="0.25">
      <c r="A71" s="152">
        <v>15</v>
      </c>
      <c r="B71" s="175" t="str">
        <f>'Pay App 1'!B71</f>
        <v>02 21 00</v>
      </c>
      <c r="C71" s="180" t="str">
        <f>'Pay App 1'!C71</f>
        <v>Survey/Engineering</v>
      </c>
      <c r="D71" s="155">
        <f>'Pay App 1'!D71</f>
        <v>0</v>
      </c>
      <c r="E71" s="155">
        <f>VLOOKUP(B71,'Graph Data'!$O$2:$BX$88,49,FALSE)</f>
        <v>0</v>
      </c>
      <c r="F71" s="155">
        <f>IFERROR(E71+'Pay App 46'!F71,"")</f>
        <v>0</v>
      </c>
      <c r="G71" s="155">
        <f>SUM('Pay App 1:Pay App 46'!H71)</f>
        <v>0</v>
      </c>
      <c r="H71" s="154"/>
      <c r="I71" s="155">
        <f t="shared" si="0"/>
        <v>0</v>
      </c>
      <c r="J71" s="156">
        <f t="shared" si="1"/>
        <v>0</v>
      </c>
      <c r="K71" s="155">
        <f t="shared" si="2"/>
        <v>0</v>
      </c>
      <c r="L71" s="155" t="str">
        <f>IF(AND('Summary Sheet'!$E$23="No",$H$33&gt;0,H71&gt;=1),"",IF(AND('Summary Sheet'!$E$23="Yes",H71&lt;&gt;""),H71*'Summary Sheet'!$G$23,""))</f>
        <v/>
      </c>
      <c r="M71" s="154"/>
      <c r="N71" s="155">
        <f>SUM('Pay App 1:Pay App 47'!L71)+SUM('Pay App 1:Pay App 47'!M71)</f>
        <v>0</v>
      </c>
      <c r="Q71" s="28"/>
    </row>
    <row r="72" spans="1:17" ht="11.25" customHeight="1" x14ac:dyDescent="0.25">
      <c r="A72" s="152">
        <v>16</v>
      </c>
      <c r="B72" s="175" t="str">
        <f>'Pay App 1'!B72</f>
        <v>02 41 00</v>
      </c>
      <c r="C72" s="180" t="str">
        <f>'Pay App 1'!C72</f>
        <v>Demolition</v>
      </c>
      <c r="D72" s="155">
        <f>'Pay App 1'!D72</f>
        <v>0</v>
      </c>
      <c r="E72" s="155">
        <f>VLOOKUP(B72,'Graph Data'!$O$2:$BX$88,49,FALSE)</f>
        <v>0</v>
      </c>
      <c r="F72" s="155">
        <f>IFERROR(E72+'Pay App 46'!F72,"")</f>
        <v>0</v>
      </c>
      <c r="G72" s="155">
        <f>SUM('Pay App 1:Pay App 46'!H72)</f>
        <v>0</v>
      </c>
      <c r="H72" s="154"/>
      <c r="I72" s="155">
        <f t="shared" si="0"/>
        <v>0</v>
      </c>
      <c r="J72" s="156">
        <f t="shared" si="1"/>
        <v>0</v>
      </c>
      <c r="K72" s="155">
        <f t="shared" si="2"/>
        <v>0</v>
      </c>
      <c r="L72" s="155" t="str">
        <f>IF(AND('Summary Sheet'!$E$23="No",$H$33&gt;0,H72&gt;=1),"",IF(AND('Summary Sheet'!$E$23="Yes",H72&lt;&gt;""),H72*'Summary Sheet'!$G$23,""))</f>
        <v/>
      </c>
      <c r="M72" s="154"/>
      <c r="N72" s="155">
        <f>SUM('Pay App 1:Pay App 47'!L72)+SUM('Pay App 1:Pay App 47'!M72)</f>
        <v>0</v>
      </c>
      <c r="Q72" s="28"/>
    </row>
    <row r="73" spans="1:17" ht="11.25" customHeight="1" x14ac:dyDescent="0.25">
      <c r="A73" s="152">
        <v>17</v>
      </c>
      <c r="B73" s="175" t="str">
        <f>'Pay App 1'!B73</f>
        <v>02 82 00</v>
      </c>
      <c r="C73" s="180" t="str">
        <f>'Pay App 1'!C73</f>
        <v>Asbestos Abatement</v>
      </c>
      <c r="D73" s="155">
        <f>'Pay App 1'!D73</f>
        <v>0</v>
      </c>
      <c r="E73" s="155">
        <f>VLOOKUP(B73,'Graph Data'!$O$2:$BX$88,49,FALSE)</f>
        <v>0</v>
      </c>
      <c r="F73" s="155">
        <f>IFERROR(E73+'Pay App 46'!F73,"")</f>
        <v>0</v>
      </c>
      <c r="G73" s="155">
        <f>SUM('Pay App 1:Pay App 46'!H73)</f>
        <v>0</v>
      </c>
      <c r="H73" s="154"/>
      <c r="I73" s="155">
        <f t="shared" si="0"/>
        <v>0</v>
      </c>
      <c r="J73" s="156">
        <f t="shared" si="1"/>
        <v>0</v>
      </c>
      <c r="K73" s="155">
        <f t="shared" si="2"/>
        <v>0</v>
      </c>
      <c r="L73" s="155" t="str">
        <f>IF(AND('Summary Sheet'!$E$23="No",$H$33&gt;0,H73&gt;=1),"",IF(AND('Summary Sheet'!$E$23="Yes",H73&lt;&gt;""),H73*'Summary Sheet'!$G$23,""))</f>
        <v/>
      </c>
      <c r="M73" s="154"/>
      <c r="N73" s="155">
        <f>SUM('Pay App 1:Pay App 47'!L73)+SUM('Pay App 1:Pay App 47'!M73)</f>
        <v>0</v>
      </c>
    </row>
    <row r="74" spans="1:17" ht="11.25" customHeight="1" x14ac:dyDescent="0.25">
      <c r="A74" s="152">
        <v>18</v>
      </c>
      <c r="B74" s="176" t="str">
        <f>'Pay App 1'!B74</f>
        <v>03 00 00</v>
      </c>
      <c r="C74" s="181" t="str">
        <f>'Pay App 1'!C74</f>
        <v>Building Concrete</v>
      </c>
      <c r="D74" s="155">
        <f>'Pay App 1'!D74</f>
        <v>0</v>
      </c>
      <c r="E74" s="155">
        <f>VLOOKUP(B74,'Graph Data'!$O$2:$BX$88,49,FALSE)</f>
        <v>0</v>
      </c>
      <c r="F74" s="155">
        <f>IFERROR(E74+'Pay App 46'!F74,"")</f>
        <v>0</v>
      </c>
      <c r="G74" s="155">
        <f>SUM('Pay App 1:Pay App 46'!H74)</f>
        <v>0</v>
      </c>
      <c r="H74" s="154"/>
      <c r="I74" s="155">
        <f t="shared" si="0"/>
        <v>0</v>
      </c>
      <c r="J74" s="156">
        <f t="shared" si="1"/>
        <v>0</v>
      </c>
      <c r="K74" s="155">
        <f t="shared" si="2"/>
        <v>0</v>
      </c>
      <c r="L74" s="155" t="str">
        <f>IF(AND('Summary Sheet'!$E$23="No",$H$33&gt;0,H74&gt;=1),"",IF(AND('Summary Sheet'!$E$23="Yes",H74&lt;&gt;""),H74*'Summary Sheet'!$G$23,""))</f>
        <v/>
      </c>
      <c r="M74" s="154"/>
      <c r="N74" s="155">
        <f>SUM('Pay App 1:Pay App 47'!L74)+SUM('Pay App 1:Pay App 47'!M74)</f>
        <v>0</v>
      </c>
    </row>
    <row r="75" spans="1:17" ht="11.25" customHeight="1" x14ac:dyDescent="0.25">
      <c r="A75" s="152">
        <v>19</v>
      </c>
      <c r="B75" s="176" t="str">
        <f>'Pay App 1'!B75</f>
        <v>03 20 00</v>
      </c>
      <c r="C75" s="181" t="str">
        <f>'Pay App 1'!C75</f>
        <v>Building Concrete Reinforcing</v>
      </c>
      <c r="D75" s="155">
        <f>'Pay App 1'!D75</f>
        <v>0</v>
      </c>
      <c r="E75" s="155">
        <f>VLOOKUP(B75,'Graph Data'!$O$2:$BX$88,49,FALSE)</f>
        <v>0</v>
      </c>
      <c r="F75" s="155">
        <f>IFERROR(E75+'Pay App 46'!F75,"")</f>
        <v>0</v>
      </c>
      <c r="G75" s="155">
        <f>SUM('Pay App 1:Pay App 46'!H75)</f>
        <v>0</v>
      </c>
      <c r="H75" s="154"/>
      <c r="I75" s="155">
        <f t="shared" si="0"/>
        <v>0</v>
      </c>
      <c r="J75" s="156">
        <f t="shared" si="1"/>
        <v>0</v>
      </c>
      <c r="K75" s="155">
        <f t="shared" si="2"/>
        <v>0</v>
      </c>
      <c r="L75" s="155" t="str">
        <f>IF(AND('Summary Sheet'!$E$23="No",$H$33&gt;0,H75&gt;=1),"",IF(AND('Summary Sheet'!$E$23="Yes",H75&lt;&gt;""),H75*'Summary Sheet'!$G$23,""))</f>
        <v/>
      </c>
      <c r="M75" s="154"/>
      <c r="N75" s="155">
        <f>SUM('Pay App 1:Pay App 47'!L75)+SUM('Pay App 1:Pay App 47'!M75)</f>
        <v>0</v>
      </c>
    </row>
    <row r="76" spans="1:17" ht="11.25" customHeight="1" x14ac:dyDescent="0.25">
      <c r="A76" s="152">
        <v>20</v>
      </c>
      <c r="B76" s="176" t="str">
        <f>'Pay App 1'!B76</f>
        <v>03 40 00</v>
      </c>
      <c r="C76" s="181" t="str">
        <f>'Pay App 1'!C76</f>
        <v>Precast</v>
      </c>
      <c r="D76" s="155">
        <f>'Pay App 1'!D76</f>
        <v>0</v>
      </c>
      <c r="E76" s="155">
        <f>VLOOKUP(B76,'Graph Data'!$O$2:$BX$88,49,FALSE)</f>
        <v>0</v>
      </c>
      <c r="F76" s="155">
        <f>IFERROR(E76+'Pay App 46'!F76,"")</f>
        <v>0</v>
      </c>
      <c r="G76" s="155">
        <f>SUM('Pay App 1:Pay App 46'!H76)</f>
        <v>0</v>
      </c>
      <c r="H76" s="154"/>
      <c r="I76" s="155">
        <f t="shared" si="0"/>
        <v>0</v>
      </c>
      <c r="J76" s="156">
        <f t="shared" si="1"/>
        <v>0</v>
      </c>
      <c r="K76" s="155">
        <f t="shared" si="2"/>
        <v>0</v>
      </c>
      <c r="L76" s="155" t="str">
        <f>IF(AND('Summary Sheet'!$E$23="No",$H$33&gt;0,H76&gt;=1),"",IF(AND('Summary Sheet'!$E$23="Yes",H76&lt;&gt;""),H76*'Summary Sheet'!$G$23,""))</f>
        <v/>
      </c>
      <c r="M76" s="154"/>
      <c r="N76" s="155">
        <f>SUM('Pay App 1:Pay App 47'!L76)+SUM('Pay App 1:Pay App 47'!M76)</f>
        <v>0</v>
      </c>
    </row>
    <row r="77" spans="1:17" ht="11.25" customHeight="1" x14ac:dyDescent="0.25">
      <c r="A77" s="152">
        <v>21</v>
      </c>
      <c r="B77" s="177" t="str">
        <f>'Pay App 1'!B77</f>
        <v>04 00 00</v>
      </c>
      <c r="C77" s="182" t="str">
        <f>'Pay App 1'!C77</f>
        <v>Masonry</v>
      </c>
      <c r="D77" s="155">
        <f>'Pay App 1'!D77</f>
        <v>0</v>
      </c>
      <c r="E77" s="155">
        <f>VLOOKUP(B77,'Graph Data'!$O$2:$BX$88,49,FALSE)</f>
        <v>0</v>
      </c>
      <c r="F77" s="155">
        <f>IFERROR(E77+'Pay App 46'!F77,"")</f>
        <v>0</v>
      </c>
      <c r="G77" s="155">
        <f>SUM('Pay App 1:Pay App 46'!H77)</f>
        <v>0</v>
      </c>
      <c r="H77" s="154"/>
      <c r="I77" s="155">
        <f t="shared" si="0"/>
        <v>0</v>
      </c>
      <c r="J77" s="156">
        <f t="shared" si="1"/>
        <v>0</v>
      </c>
      <c r="K77" s="155">
        <f t="shared" si="2"/>
        <v>0</v>
      </c>
      <c r="L77" s="155" t="str">
        <f>IF(AND('Summary Sheet'!$E$23="No",$H$33&gt;0,H77&gt;=1),"",IF(AND('Summary Sheet'!$E$23="Yes",H77&lt;&gt;""),H77*'Summary Sheet'!$G$23,""))</f>
        <v/>
      </c>
      <c r="M77" s="154"/>
      <c r="N77" s="155">
        <f>SUM('Pay App 1:Pay App 47'!L77)+SUM('Pay App 1:Pay App 47'!M77)</f>
        <v>0</v>
      </c>
    </row>
    <row r="78" spans="1:17" ht="11.25" customHeight="1" x14ac:dyDescent="0.25">
      <c r="A78" s="152">
        <v>22</v>
      </c>
      <c r="B78" s="177" t="str">
        <f>'Pay App 1'!B78</f>
        <v>04 05 19</v>
      </c>
      <c r="C78" s="182" t="str">
        <f>'Pay App 1'!C78</f>
        <v>Masonry Reinforcing</v>
      </c>
      <c r="D78" s="155">
        <f>'Pay App 1'!D78</f>
        <v>0</v>
      </c>
      <c r="E78" s="155">
        <f>VLOOKUP(B78,'Graph Data'!$O$2:$BX$88,49,FALSE)</f>
        <v>0</v>
      </c>
      <c r="F78" s="155">
        <f>IFERROR(E78+'Pay App 46'!F78,"")</f>
        <v>0</v>
      </c>
      <c r="G78" s="155">
        <f>SUM('Pay App 1:Pay App 46'!H78)</f>
        <v>0</v>
      </c>
      <c r="H78" s="154"/>
      <c r="I78" s="155">
        <f t="shared" si="0"/>
        <v>0</v>
      </c>
      <c r="J78" s="156">
        <f t="shared" si="1"/>
        <v>0</v>
      </c>
      <c r="K78" s="155">
        <f t="shared" si="2"/>
        <v>0</v>
      </c>
      <c r="L78" s="155" t="str">
        <f>IF(AND('Summary Sheet'!$E$23="No",$H$33&gt;0,H78&gt;=1),"",IF(AND('Summary Sheet'!$E$23="Yes",H78&lt;&gt;""),H78*'Summary Sheet'!$G$23,""))</f>
        <v/>
      </c>
      <c r="M78" s="154"/>
      <c r="N78" s="155">
        <f>SUM('Pay App 1:Pay App 47'!L78)+SUM('Pay App 1:Pay App 47'!M78)</f>
        <v>0</v>
      </c>
    </row>
    <row r="79" spans="1:17" ht="11.25" customHeight="1" x14ac:dyDescent="0.25">
      <c r="A79" s="152">
        <v>23</v>
      </c>
      <c r="B79" s="178" t="str">
        <f>'Pay App 1'!B79</f>
        <v>05 10 00</v>
      </c>
      <c r="C79" s="183" t="str">
        <f>'Pay App 1'!C79</f>
        <v>Structural Steel/Misc. Steel Fab</v>
      </c>
      <c r="D79" s="155">
        <f>'Pay App 1'!D79</f>
        <v>0</v>
      </c>
      <c r="E79" s="155">
        <f>VLOOKUP(B79,'Graph Data'!$O$2:$BX$88,49,FALSE)</f>
        <v>0</v>
      </c>
      <c r="F79" s="155">
        <f>IFERROR(E79+'Pay App 46'!F79,"")</f>
        <v>0</v>
      </c>
      <c r="G79" s="155">
        <f>SUM('Pay App 1:Pay App 46'!H79)</f>
        <v>0</v>
      </c>
      <c r="H79" s="154"/>
      <c r="I79" s="155">
        <f t="shared" si="0"/>
        <v>0</v>
      </c>
      <c r="J79" s="156">
        <f t="shared" si="1"/>
        <v>0</v>
      </c>
      <c r="K79" s="155">
        <f t="shared" si="2"/>
        <v>0</v>
      </c>
      <c r="L79" s="155" t="str">
        <f>IF(AND('Summary Sheet'!$E$23="No",$H$33&gt;0,H79&gt;=1),"",IF(AND('Summary Sheet'!$E$23="Yes",H79&lt;&gt;""),H79*'Summary Sheet'!$G$23,""))</f>
        <v/>
      </c>
      <c r="M79" s="154"/>
      <c r="N79" s="155">
        <f>SUM('Pay App 1:Pay App 47'!L79)+SUM('Pay App 1:Pay App 47'!M79)</f>
        <v>0</v>
      </c>
    </row>
    <row r="80" spans="1:17" ht="11.25" customHeight="1" x14ac:dyDescent="0.25">
      <c r="A80" s="152">
        <v>24</v>
      </c>
      <c r="B80" s="178" t="str">
        <f>'Pay App 1'!B80</f>
        <v>05 20 00</v>
      </c>
      <c r="C80" s="183" t="str">
        <f>'Pay App 1'!C80</f>
        <v>Joists &amp; Deck</v>
      </c>
      <c r="D80" s="155">
        <f>'Pay App 1'!D80</f>
        <v>0</v>
      </c>
      <c r="E80" s="155">
        <f>VLOOKUP(B80,'Graph Data'!$O$2:$BX$88,49,FALSE)</f>
        <v>0</v>
      </c>
      <c r="F80" s="155">
        <f>IFERROR(E80+'Pay App 46'!F80,"")</f>
        <v>0</v>
      </c>
      <c r="G80" s="155">
        <f>SUM('Pay App 1:Pay App 46'!H80)</f>
        <v>0</v>
      </c>
      <c r="H80" s="154"/>
      <c r="I80" s="155">
        <f t="shared" si="0"/>
        <v>0</v>
      </c>
      <c r="J80" s="156">
        <f t="shared" si="1"/>
        <v>0</v>
      </c>
      <c r="K80" s="155">
        <f t="shared" si="2"/>
        <v>0</v>
      </c>
      <c r="L80" s="155" t="str">
        <f>IF(AND('Summary Sheet'!$E$23="No",$H$33&gt;0,H80&gt;=1),"",IF(AND('Summary Sheet'!$E$23="Yes",H80&lt;&gt;""),H80*'Summary Sheet'!$G$23,""))</f>
        <v/>
      </c>
      <c r="M80" s="154"/>
      <c r="N80" s="155">
        <f>SUM('Pay App 1:Pay App 47'!L80)+SUM('Pay App 1:Pay App 47'!M80)</f>
        <v>0</v>
      </c>
    </row>
    <row r="81" spans="1:14" ht="11.25" customHeight="1" x14ac:dyDescent="0.25">
      <c r="A81" s="152">
        <v>25</v>
      </c>
      <c r="B81" s="178" t="str">
        <f>'Pay App 1'!B81</f>
        <v>05 70 00</v>
      </c>
      <c r="C81" s="183" t="str">
        <f>'Pay App 1'!C81</f>
        <v>Ornamental Metal</v>
      </c>
      <c r="D81" s="155">
        <f>'Pay App 1'!D81</f>
        <v>0</v>
      </c>
      <c r="E81" s="155">
        <f>VLOOKUP(B81,'Graph Data'!$O$2:$BX$88,49,FALSE)</f>
        <v>0</v>
      </c>
      <c r="F81" s="155">
        <f>IFERROR(E81+'Pay App 46'!F81,"")</f>
        <v>0</v>
      </c>
      <c r="G81" s="155">
        <f>SUM('Pay App 1:Pay App 46'!H81)</f>
        <v>0</v>
      </c>
      <c r="H81" s="154"/>
      <c r="I81" s="155">
        <f t="shared" si="0"/>
        <v>0</v>
      </c>
      <c r="J81" s="156">
        <f t="shared" si="1"/>
        <v>0</v>
      </c>
      <c r="K81" s="155">
        <f t="shared" si="2"/>
        <v>0</v>
      </c>
      <c r="L81" s="155" t="str">
        <f>IF(AND('Summary Sheet'!$E$23="No",$H$33&gt;0,H81&gt;=1),"",IF(AND('Summary Sheet'!$E$23="Yes",H81&lt;&gt;""),H81*'Summary Sheet'!$G$23,""))</f>
        <v/>
      </c>
      <c r="M81" s="154"/>
      <c r="N81" s="155">
        <f>SUM('Pay App 1:Pay App 47'!L81)+SUM('Pay App 1:Pay App 47'!M81)</f>
        <v>0</v>
      </c>
    </row>
    <row r="82" spans="1:14" ht="11.25" customHeight="1" x14ac:dyDescent="0.25">
      <c r="A82" s="152">
        <v>26</v>
      </c>
      <c r="B82" s="145" t="str">
        <f>'Pay App 1'!B82</f>
        <v>06 10 00</v>
      </c>
      <c r="C82" s="134" t="str">
        <f>'Pay App 1'!C82</f>
        <v>Rough Carpentry</v>
      </c>
      <c r="D82" s="155">
        <f>'Pay App 1'!D82</f>
        <v>0</v>
      </c>
      <c r="E82" s="155">
        <f>VLOOKUP(B82,'Graph Data'!$O$2:$BX$88,49,FALSE)</f>
        <v>0</v>
      </c>
      <c r="F82" s="155">
        <f>IFERROR(E82+'Pay App 46'!F82,"")</f>
        <v>0</v>
      </c>
      <c r="G82" s="155">
        <f>SUM('Pay App 1:Pay App 46'!H82)</f>
        <v>0</v>
      </c>
      <c r="H82" s="154"/>
      <c r="I82" s="155">
        <f t="shared" si="0"/>
        <v>0</v>
      </c>
      <c r="J82" s="156">
        <f t="shared" si="1"/>
        <v>0</v>
      </c>
      <c r="K82" s="155">
        <f t="shared" si="2"/>
        <v>0</v>
      </c>
      <c r="L82" s="155" t="str">
        <f>IF(AND('Summary Sheet'!$E$23="No",$H$33&gt;0,H82&gt;=1),"",IF(AND('Summary Sheet'!$E$23="Yes",H82&lt;&gt;""),H82*'Summary Sheet'!$G$23,""))</f>
        <v/>
      </c>
      <c r="M82" s="154"/>
      <c r="N82" s="155">
        <f>SUM('Pay App 1:Pay App 47'!L82)+SUM('Pay App 1:Pay App 47'!M82)</f>
        <v>0</v>
      </c>
    </row>
    <row r="83" spans="1:14" ht="11.25" customHeight="1" x14ac:dyDescent="0.25">
      <c r="A83" s="152">
        <v>27</v>
      </c>
      <c r="B83" s="145" t="str">
        <f>'Pay App 1'!B83</f>
        <v>06 40 00</v>
      </c>
      <c r="C83" s="134" t="str">
        <f>'Pay App 1'!C83</f>
        <v>Arch. Woodwork &amp; Finish Carp.</v>
      </c>
      <c r="D83" s="155">
        <f>'Pay App 1'!D83</f>
        <v>0</v>
      </c>
      <c r="E83" s="155">
        <f>VLOOKUP(B83,'Graph Data'!$O$2:$BX$88,49,FALSE)</f>
        <v>0</v>
      </c>
      <c r="F83" s="155">
        <f>IFERROR(E83+'Pay App 46'!F83,"")</f>
        <v>0</v>
      </c>
      <c r="G83" s="155">
        <f>SUM('Pay App 1:Pay App 46'!H83)</f>
        <v>0</v>
      </c>
      <c r="H83" s="154"/>
      <c r="I83" s="155">
        <f t="shared" si="0"/>
        <v>0</v>
      </c>
      <c r="J83" s="156">
        <f t="shared" si="1"/>
        <v>0</v>
      </c>
      <c r="K83" s="155">
        <f t="shared" si="2"/>
        <v>0</v>
      </c>
      <c r="L83" s="155" t="str">
        <f>IF(AND('Summary Sheet'!$E$23="No",$H$33&gt;0,H83&gt;=1),"",IF(AND('Summary Sheet'!$E$23="Yes",H83&lt;&gt;""),H83*'Summary Sheet'!$G$23,""))</f>
        <v/>
      </c>
      <c r="M83" s="154"/>
      <c r="N83" s="155">
        <f>SUM('Pay App 1:Pay App 47'!L83)+SUM('Pay App 1:Pay App 47'!M83)</f>
        <v>0</v>
      </c>
    </row>
    <row r="84" spans="1:14" ht="11.25" customHeight="1" x14ac:dyDescent="0.25">
      <c r="A84" s="152">
        <v>28</v>
      </c>
      <c r="B84" s="174" t="str">
        <f>'Pay App 1'!B84</f>
        <v>07 10 00</v>
      </c>
      <c r="C84" s="179" t="str">
        <f>'Pay App 1'!C84</f>
        <v>Waterproofing/Water Repellents</v>
      </c>
      <c r="D84" s="155">
        <f>'Pay App 1'!D84</f>
        <v>0</v>
      </c>
      <c r="E84" s="155">
        <f>VLOOKUP(B84,'Graph Data'!$O$2:$BX$88,49,FALSE)</f>
        <v>0</v>
      </c>
      <c r="F84" s="155">
        <f>IFERROR(E84+'Pay App 46'!F84,"")</f>
        <v>0</v>
      </c>
      <c r="G84" s="155">
        <f>SUM('Pay App 1:Pay App 46'!H84)</f>
        <v>0</v>
      </c>
      <c r="H84" s="154"/>
      <c r="I84" s="155">
        <f t="shared" si="0"/>
        <v>0</v>
      </c>
      <c r="J84" s="156">
        <f t="shared" si="1"/>
        <v>0</v>
      </c>
      <c r="K84" s="155">
        <f t="shared" si="2"/>
        <v>0</v>
      </c>
      <c r="L84" s="155" t="str">
        <f>IF(AND('Summary Sheet'!$E$23="No",$H$33&gt;0,H84&gt;=1),"",IF(AND('Summary Sheet'!$E$23="Yes",H84&lt;&gt;""),H84*'Summary Sheet'!$G$23,""))</f>
        <v/>
      </c>
      <c r="M84" s="154"/>
      <c r="N84" s="155">
        <f>SUM('Pay App 1:Pay App 47'!L84)+SUM('Pay App 1:Pay App 47'!M84)</f>
        <v>0</v>
      </c>
    </row>
    <row r="85" spans="1:14" ht="11.25" customHeight="1" x14ac:dyDescent="0.25">
      <c r="A85" s="152">
        <v>29</v>
      </c>
      <c r="B85" s="174" t="str">
        <f>'Pay App 1'!B85</f>
        <v>07 20 00</v>
      </c>
      <c r="C85" s="179" t="str">
        <f>'Pay App 1'!C85</f>
        <v>Insulation</v>
      </c>
      <c r="D85" s="155">
        <f>'Pay App 1'!D85</f>
        <v>0</v>
      </c>
      <c r="E85" s="155">
        <f>VLOOKUP(B85,'Graph Data'!$O$2:$BX$88,49,FALSE)</f>
        <v>0</v>
      </c>
      <c r="F85" s="155">
        <f>IFERROR(E85+'Pay App 46'!F85,"")</f>
        <v>0</v>
      </c>
      <c r="G85" s="155">
        <f>SUM('Pay App 1:Pay App 46'!H85)</f>
        <v>0</v>
      </c>
      <c r="H85" s="154"/>
      <c r="I85" s="155">
        <f t="shared" si="0"/>
        <v>0</v>
      </c>
      <c r="J85" s="156">
        <f t="shared" si="1"/>
        <v>0</v>
      </c>
      <c r="K85" s="155">
        <f t="shared" si="2"/>
        <v>0</v>
      </c>
      <c r="L85" s="155" t="str">
        <f>IF(AND('Summary Sheet'!$E$23="No",$H$33&gt;0,H85&gt;=1),"",IF(AND('Summary Sheet'!$E$23="Yes",H85&lt;&gt;""),H85*'Summary Sheet'!$G$23,""))</f>
        <v/>
      </c>
      <c r="M85" s="154"/>
      <c r="N85" s="155">
        <f>SUM('Pay App 1:Pay App 47'!L85)+SUM('Pay App 1:Pay App 47'!M85)</f>
        <v>0</v>
      </c>
    </row>
    <row r="86" spans="1:14" ht="11.25" customHeight="1" x14ac:dyDescent="0.25">
      <c r="A86" s="152">
        <v>30</v>
      </c>
      <c r="B86" s="174" t="str">
        <f>'Pay App 1'!B86</f>
        <v>07 24 00</v>
      </c>
      <c r="C86" s="179" t="str">
        <f>'Pay App 1'!C86</f>
        <v>EIFS</v>
      </c>
      <c r="D86" s="155">
        <f>'Pay App 1'!D86</f>
        <v>0</v>
      </c>
      <c r="E86" s="155">
        <f>VLOOKUP(B86,'Graph Data'!$O$2:$BX$88,49,FALSE)</f>
        <v>0</v>
      </c>
      <c r="F86" s="155">
        <f>IFERROR(E86+'Pay App 46'!F86,"")</f>
        <v>0</v>
      </c>
      <c r="G86" s="155">
        <f>SUM('Pay App 1:Pay App 46'!H86)</f>
        <v>0</v>
      </c>
      <c r="H86" s="154"/>
      <c r="I86" s="155">
        <f t="shared" si="0"/>
        <v>0</v>
      </c>
      <c r="J86" s="156">
        <f t="shared" si="1"/>
        <v>0</v>
      </c>
      <c r="K86" s="155">
        <f t="shared" si="2"/>
        <v>0</v>
      </c>
      <c r="L86" s="155" t="str">
        <f>IF(AND('Summary Sheet'!$E$23="No",$H$33&gt;0,H86&gt;=1),"",IF(AND('Summary Sheet'!$E$23="Yes",H86&lt;&gt;""),H86*'Summary Sheet'!$G$23,""))</f>
        <v/>
      </c>
      <c r="M86" s="154"/>
      <c r="N86" s="155">
        <f>SUM('Pay App 1:Pay App 47'!L86)+SUM('Pay App 1:Pay App 47'!M86)</f>
        <v>0</v>
      </c>
    </row>
    <row r="87" spans="1:14" ht="11.25" customHeight="1" x14ac:dyDescent="0.25">
      <c r="A87" s="152">
        <v>31</v>
      </c>
      <c r="B87" s="174" t="str">
        <f>'Pay App 1'!B87</f>
        <v>07 26 00</v>
      </c>
      <c r="C87" s="179" t="str">
        <f>'Pay App 1'!C87</f>
        <v>Vapor Retarders</v>
      </c>
      <c r="D87" s="155">
        <f>'Pay App 1'!D87</f>
        <v>0</v>
      </c>
      <c r="E87" s="155">
        <f>VLOOKUP(B87,'Graph Data'!$O$2:$BX$88,49,FALSE)</f>
        <v>0</v>
      </c>
      <c r="F87" s="155">
        <f>IFERROR(E87+'Pay App 46'!F87,"")</f>
        <v>0</v>
      </c>
      <c r="G87" s="155">
        <f>SUM('Pay App 1:Pay App 46'!H87)</f>
        <v>0</v>
      </c>
      <c r="H87" s="154"/>
      <c r="I87" s="155">
        <f t="shared" si="0"/>
        <v>0</v>
      </c>
      <c r="J87" s="156">
        <f t="shared" si="1"/>
        <v>0</v>
      </c>
      <c r="K87" s="155">
        <f t="shared" si="2"/>
        <v>0</v>
      </c>
      <c r="L87" s="155" t="str">
        <f>IF(AND('Summary Sheet'!$E$23="No",$H$33&gt;0,H87&gt;=1),"",IF(AND('Summary Sheet'!$E$23="Yes",H87&lt;&gt;""),H87*'Summary Sheet'!$G$23,""))</f>
        <v/>
      </c>
      <c r="M87" s="154"/>
      <c r="N87" s="155">
        <f>SUM('Pay App 1:Pay App 47'!L87)+SUM('Pay App 1:Pay App 47'!M87)</f>
        <v>0</v>
      </c>
    </row>
    <row r="88" spans="1:14" ht="11.25" customHeight="1" x14ac:dyDescent="0.25">
      <c r="A88" s="152">
        <v>32</v>
      </c>
      <c r="B88" s="174" t="str">
        <f>'Pay App 1'!B88</f>
        <v>07 41 00</v>
      </c>
      <c r="C88" s="179" t="str">
        <f>'Pay App 1'!C88</f>
        <v>Roofing</v>
      </c>
      <c r="D88" s="155">
        <f>'Pay App 1'!D88</f>
        <v>0</v>
      </c>
      <c r="E88" s="155">
        <f>VLOOKUP(B88,'Graph Data'!$O$2:$BX$88,49,FALSE)</f>
        <v>0</v>
      </c>
      <c r="F88" s="155">
        <f>IFERROR(E88+'Pay App 46'!F88,"")</f>
        <v>0</v>
      </c>
      <c r="G88" s="155">
        <f>SUM('Pay App 1:Pay App 46'!H88)</f>
        <v>0</v>
      </c>
      <c r="H88" s="154"/>
      <c r="I88" s="155">
        <f t="shared" si="0"/>
        <v>0</v>
      </c>
      <c r="J88" s="156">
        <f t="shared" si="1"/>
        <v>0</v>
      </c>
      <c r="K88" s="155">
        <f t="shared" si="2"/>
        <v>0</v>
      </c>
      <c r="L88" s="155" t="str">
        <f>IF(AND('Summary Sheet'!$E$23="No",$H$33&gt;0,H88&gt;=1),"",IF(AND('Summary Sheet'!$E$23="Yes",H88&lt;&gt;""),H88*'Summary Sheet'!$G$23,""))</f>
        <v/>
      </c>
      <c r="M88" s="154"/>
      <c r="N88" s="155">
        <f>SUM('Pay App 1:Pay App 47'!L88)+SUM('Pay App 1:Pay App 47'!M88)</f>
        <v>0</v>
      </c>
    </row>
    <row r="89" spans="1:14" ht="11.25" customHeight="1" x14ac:dyDescent="0.25">
      <c r="A89" s="152">
        <v>33</v>
      </c>
      <c r="B89" s="174" t="str">
        <f>'Pay App 1'!B89</f>
        <v>07 42 00</v>
      </c>
      <c r="C89" s="179" t="str">
        <f>'Pay App 1'!C89</f>
        <v>Metal Panels</v>
      </c>
      <c r="D89" s="155">
        <f>'Pay App 1'!D89</f>
        <v>0</v>
      </c>
      <c r="E89" s="155">
        <f>VLOOKUP(B89,'Graph Data'!$O$2:$BX$88,49,FALSE)</f>
        <v>0</v>
      </c>
      <c r="F89" s="155">
        <f>IFERROR(E89+'Pay App 46'!F89,"")</f>
        <v>0</v>
      </c>
      <c r="G89" s="155">
        <f>SUM('Pay App 1:Pay App 46'!H89)</f>
        <v>0</v>
      </c>
      <c r="H89" s="154"/>
      <c r="I89" s="155">
        <f t="shared" si="0"/>
        <v>0</v>
      </c>
      <c r="J89" s="156">
        <f t="shared" si="1"/>
        <v>0</v>
      </c>
      <c r="K89" s="155">
        <f t="shared" si="2"/>
        <v>0</v>
      </c>
      <c r="L89" s="155" t="str">
        <f>IF(AND('Summary Sheet'!$E$23="No",$H$33&gt;0,H89&gt;=1),"",IF(AND('Summary Sheet'!$E$23="Yes",H89&lt;&gt;""),H89*'Summary Sheet'!$G$23,""))</f>
        <v/>
      </c>
      <c r="M89" s="154"/>
      <c r="N89" s="155">
        <f>SUM('Pay App 1:Pay App 47'!L89)+SUM('Pay App 1:Pay App 47'!M89)</f>
        <v>0</v>
      </c>
    </row>
    <row r="90" spans="1:14" ht="11.25" customHeight="1" x14ac:dyDescent="0.25">
      <c r="A90" s="152">
        <v>34</v>
      </c>
      <c r="B90" s="174" t="str">
        <f>'Pay App 1'!B90</f>
        <v>07 60 00</v>
      </c>
      <c r="C90" s="179" t="str">
        <f>'Pay App 1'!C90</f>
        <v>Sheet Metal Flashing &amp; Trim</v>
      </c>
      <c r="D90" s="155">
        <f>'Pay App 1'!D90</f>
        <v>0</v>
      </c>
      <c r="E90" s="155">
        <f>VLOOKUP(B90,'Graph Data'!$O$2:$BX$88,49,FALSE)</f>
        <v>0</v>
      </c>
      <c r="F90" s="155">
        <f>IFERROR(E90+'Pay App 46'!F90,"")</f>
        <v>0</v>
      </c>
      <c r="G90" s="155">
        <f>SUM('Pay App 1:Pay App 46'!H90)</f>
        <v>0</v>
      </c>
      <c r="H90" s="154"/>
      <c r="I90" s="155">
        <f t="shared" si="0"/>
        <v>0</v>
      </c>
      <c r="J90" s="156">
        <f t="shared" si="1"/>
        <v>0</v>
      </c>
      <c r="K90" s="155">
        <f t="shared" si="2"/>
        <v>0</v>
      </c>
      <c r="L90" s="155" t="str">
        <f>IF(AND('Summary Sheet'!$E$23="No",$H$33&gt;0,H90&gt;=1),"",IF(AND('Summary Sheet'!$E$23="Yes",H90&lt;&gt;""),H90*'Summary Sheet'!$G$23,""))</f>
        <v/>
      </c>
      <c r="M90" s="154"/>
      <c r="N90" s="155">
        <f>SUM('Pay App 1:Pay App 47'!L90)+SUM('Pay App 1:Pay App 47'!M90)</f>
        <v>0</v>
      </c>
    </row>
    <row r="91" spans="1:14" ht="11.25" customHeight="1" x14ac:dyDescent="0.25">
      <c r="A91" s="152">
        <v>35</v>
      </c>
      <c r="B91" s="174" t="str">
        <f>'Pay App 1'!B91</f>
        <v>07 80 00</v>
      </c>
      <c r="C91" s="179" t="str">
        <f>'Pay App 1'!C91</f>
        <v>Fireproofing</v>
      </c>
      <c r="D91" s="155">
        <f>'Pay App 1'!D91</f>
        <v>0</v>
      </c>
      <c r="E91" s="155">
        <f>VLOOKUP(B91,'Graph Data'!$O$2:$BX$88,49,FALSE)</f>
        <v>0</v>
      </c>
      <c r="F91" s="155">
        <f>IFERROR(E91+'Pay App 46'!F91,"")</f>
        <v>0</v>
      </c>
      <c r="G91" s="155">
        <f>SUM('Pay App 1:Pay App 46'!H91)</f>
        <v>0</v>
      </c>
      <c r="H91" s="154"/>
      <c r="I91" s="155">
        <f t="shared" si="0"/>
        <v>0</v>
      </c>
      <c r="J91" s="156">
        <f t="shared" si="1"/>
        <v>0</v>
      </c>
      <c r="K91" s="155">
        <f t="shared" si="2"/>
        <v>0</v>
      </c>
      <c r="L91" s="155" t="str">
        <f>IF(AND('Summary Sheet'!$E$23="No",$H$33&gt;0,H91&gt;=1),"",IF(AND('Summary Sheet'!$E$23="Yes",H91&lt;&gt;""),H91*'Summary Sheet'!$G$23,""))</f>
        <v/>
      </c>
      <c r="M91" s="154"/>
      <c r="N91" s="155">
        <f>SUM('Pay App 1:Pay App 47'!L91)+SUM('Pay App 1:Pay App 47'!M91)</f>
        <v>0</v>
      </c>
    </row>
    <row r="92" spans="1:14" ht="11.25" customHeight="1" x14ac:dyDescent="0.25">
      <c r="A92" s="152">
        <v>36</v>
      </c>
      <c r="B92" s="174" t="str">
        <f>'Pay App 1'!B92</f>
        <v>07 90 00</v>
      </c>
      <c r="C92" s="179" t="str">
        <f>'Pay App 1'!C92</f>
        <v>Joint Sealants</v>
      </c>
      <c r="D92" s="155">
        <f>'Pay App 1'!D92</f>
        <v>0</v>
      </c>
      <c r="E92" s="155">
        <f>VLOOKUP(B92,'Graph Data'!$O$2:$BX$88,49,FALSE)</f>
        <v>0</v>
      </c>
      <c r="F92" s="155">
        <f>IFERROR(E92+'Pay App 46'!F92,"")</f>
        <v>0</v>
      </c>
      <c r="G92" s="155">
        <f>SUM('Pay App 1:Pay App 46'!H92)</f>
        <v>0</v>
      </c>
      <c r="H92" s="154"/>
      <c r="I92" s="155">
        <f t="shared" si="0"/>
        <v>0</v>
      </c>
      <c r="J92" s="156">
        <f t="shared" si="1"/>
        <v>0</v>
      </c>
      <c r="K92" s="155">
        <f t="shared" si="2"/>
        <v>0</v>
      </c>
      <c r="L92" s="155" t="str">
        <f>IF(AND('Summary Sheet'!$E$23="No",$H$33&gt;0,H92&gt;=1),"",IF(AND('Summary Sheet'!$E$23="Yes",H92&lt;&gt;""),H92*'Summary Sheet'!$G$23,""))</f>
        <v/>
      </c>
      <c r="M92" s="154"/>
      <c r="N92" s="155">
        <f>SUM('Pay App 1:Pay App 47'!L92)+SUM('Pay App 1:Pay App 47'!M92)</f>
        <v>0</v>
      </c>
    </row>
    <row r="93" spans="1:14" ht="11.25" customHeight="1" x14ac:dyDescent="0.25">
      <c r="A93" s="152">
        <v>37</v>
      </c>
      <c r="B93" s="174" t="str">
        <f>'Pay App 1'!B93</f>
        <v>07 95 00</v>
      </c>
      <c r="C93" s="179" t="str">
        <f>'Pay App 1'!C93</f>
        <v>Expansion Joints</v>
      </c>
      <c r="D93" s="155">
        <f>'Pay App 1'!D93</f>
        <v>0</v>
      </c>
      <c r="E93" s="155">
        <f>VLOOKUP(B93,'Graph Data'!$O$2:$BX$88,49,FALSE)</f>
        <v>0</v>
      </c>
      <c r="F93" s="155">
        <f>IFERROR(E93+'Pay App 46'!F93,"")</f>
        <v>0</v>
      </c>
      <c r="G93" s="155">
        <f>SUM('Pay App 1:Pay App 46'!H93)</f>
        <v>0</v>
      </c>
      <c r="H93" s="154"/>
      <c r="I93" s="155">
        <f t="shared" si="0"/>
        <v>0</v>
      </c>
      <c r="J93" s="156">
        <f t="shared" si="1"/>
        <v>0</v>
      </c>
      <c r="K93" s="155">
        <f t="shared" si="2"/>
        <v>0</v>
      </c>
      <c r="L93" s="155" t="str">
        <f>IF(AND('Summary Sheet'!$E$23="No",$H$33&gt;0,H93&gt;=1),"",IF(AND('Summary Sheet'!$E$23="Yes",H93&lt;&gt;""),H93*'Summary Sheet'!$G$23,""))</f>
        <v/>
      </c>
      <c r="M93" s="154"/>
      <c r="N93" s="155">
        <f>SUM('Pay App 1:Pay App 47'!L93)+SUM('Pay App 1:Pay App 47'!M93)</f>
        <v>0</v>
      </c>
    </row>
    <row r="94" spans="1:14" ht="11.25" customHeight="1" x14ac:dyDescent="0.25">
      <c r="A94" s="152">
        <v>38</v>
      </c>
      <c r="B94" s="175" t="str">
        <f>'Pay App 1'!B94</f>
        <v>08 10 00</v>
      </c>
      <c r="C94" s="180" t="str">
        <f>'Pay App 1'!C94</f>
        <v>Doors, Frames &amp; Hardware</v>
      </c>
      <c r="D94" s="155">
        <f>'Pay App 1'!D94</f>
        <v>0</v>
      </c>
      <c r="E94" s="155">
        <f>VLOOKUP(B94,'Graph Data'!$O$2:$BX$88,49,FALSE)</f>
        <v>0</v>
      </c>
      <c r="F94" s="155">
        <f>IFERROR(E94+'Pay App 46'!F94,"")</f>
        <v>0</v>
      </c>
      <c r="G94" s="155">
        <f>SUM('Pay App 1:Pay App 46'!H94)</f>
        <v>0</v>
      </c>
      <c r="H94" s="154"/>
      <c r="I94" s="155">
        <f t="shared" si="0"/>
        <v>0</v>
      </c>
      <c r="J94" s="156">
        <f t="shared" si="1"/>
        <v>0</v>
      </c>
      <c r="K94" s="155">
        <f t="shared" si="2"/>
        <v>0</v>
      </c>
      <c r="L94" s="155" t="str">
        <f>IF(AND('Summary Sheet'!$E$23="No",$H$33&gt;0,H94&gt;=1),"",IF(AND('Summary Sheet'!$E$23="Yes",H94&lt;&gt;""),H94*'Summary Sheet'!$G$23,""))</f>
        <v/>
      </c>
      <c r="M94" s="154"/>
      <c r="N94" s="155">
        <f>SUM('Pay App 1:Pay App 47'!L94)+SUM('Pay App 1:Pay App 47'!M94)</f>
        <v>0</v>
      </c>
    </row>
    <row r="95" spans="1:14" ht="11.25" customHeight="1" x14ac:dyDescent="0.25">
      <c r="A95" s="152">
        <v>39</v>
      </c>
      <c r="B95" s="175" t="str">
        <f>'Pay App 1'!B95</f>
        <v>08 30 00</v>
      </c>
      <c r="C95" s="180" t="str">
        <f>'Pay App 1'!C95</f>
        <v>Specialty Doors</v>
      </c>
      <c r="D95" s="155">
        <f>'Pay App 1'!D95</f>
        <v>0</v>
      </c>
      <c r="E95" s="155">
        <f>VLOOKUP(B95,'Graph Data'!$O$2:$BX$88,49,FALSE)</f>
        <v>0</v>
      </c>
      <c r="F95" s="155">
        <f>IFERROR(E95+'Pay App 46'!F95,"")</f>
        <v>0</v>
      </c>
      <c r="G95" s="155">
        <f>SUM('Pay App 1:Pay App 46'!H95)</f>
        <v>0</v>
      </c>
      <c r="H95" s="154"/>
      <c r="I95" s="155">
        <f t="shared" si="0"/>
        <v>0</v>
      </c>
      <c r="J95" s="156">
        <f t="shared" si="1"/>
        <v>0</v>
      </c>
      <c r="K95" s="155">
        <f t="shared" si="2"/>
        <v>0</v>
      </c>
      <c r="L95" s="155" t="str">
        <f>IF(AND('Summary Sheet'!$E$23="No",$H$33&gt;0,H95&gt;=1),"",IF(AND('Summary Sheet'!$E$23="Yes",H95&lt;&gt;""),H95*'Summary Sheet'!$G$23,""))</f>
        <v/>
      </c>
      <c r="M95" s="154"/>
      <c r="N95" s="155">
        <f>SUM('Pay App 1:Pay App 47'!L95)+SUM('Pay App 1:Pay App 47'!M95)</f>
        <v>0</v>
      </c>
    </row>
    <row r="96" spans="1:14" ht="11.25" customHeight="1" x14ac:dyDescent="0.25">
      <c r="A96" s="152">
        <v>40</v>
      </c>
      <c r="B96" s="175" t="str">
        <f>'Pay App 1'!B96</f>
        <v>08 33 00</v>
      </c>
      <c r="C96" s="180" t="str">
        <f>'Pay App 1'!C96</f>
        <v>Overhead Doors/Coiling Doors</v>
      </c>
      <c r="D96" s="155">
        <f>'Pay App 1'!D96</f>
        <v>0</v>
      </c>
      <c r="E96" s="155">
        <f>VLOOKUP(B96,'Graph Data'!$O$2:$BX$88,49,FALSE)</f>
        <v>0</v>
      </c>
      <c r="F96" s="155">
        <f>IFERROR(E96+'Pay App 46'!F96,"")</f>
        <v>0</v>
      </c>
      <c r="G96" s="155">
        <f>SUM('Pay App 1:Pay App 46'!H96)</f>
        <v>0</v>
      </c>
      <c r="H96" s="154"/>
      <c r="I96" s="155">
        <f t="shared" si="0"/>
        <v>0</v>
      </c>
      <c r="J96" s="156">
        <f t="shared" si="1"/>
        <v>0</v>
      </c>
      <c r="K96" s="155">
        <f t="shared" si="2"/>
        <v>0</v>
      </c>
      <c r="L96" s="155" t="str">
        <f>IF(AND('Summary Sheet'!$E$23="No",$H$33&gt;0,H96&gt;=1),"",IF(AND('Summary Sheet'!$E$23="Yes",H96&lt;&gt;""),H96*'Summary Sheet'!$G$23,""))</f>
        <v/>
      </c>
      <c r="M96" s="154"/>
      <c r="N96" s="155">
        <f>SUM('Pay App 1:Pay App 47'!L96)+SUM('Pay App 1:Pay App 47'!M96)</f>
        <v>0</v>
      </c>
    </row>
    <row r="97" spans="1:15" ht="11.25" customHeight="1" x14ac:dyDescent="0.25">
      <c r="A97" s="152">
        <v>41</v>
      </c>
      <c r="B97" s="175" t="str">
        <f>'Pay App 1'!B97</f>
        <v>08 40 00</v>
      </c>
      <c r="C97" s="180" t="str">
        <f>'Pay App 1'!C97</f>
        <v>Curtain Wall, Glass &amp; Glazing</v>
      </c>
      <c r="D97" s="155">
        <f>'Pay App 1'!D97</f>
        <v>0</v>
      </c>
      <c r="E97" s="155">
        <f>VLOOKUP(B97,'Graph Data'!$O$2:$BX$88,49,FALSE)</f>
        <v>0</v>
      </c>
      <c r="F97" s="155">
        <f>IFERROR(E97+'Pay App 46'!F97,"")</f>
        <v>0</v>
      </c>
      <c r="G97" s="155">
        <f>SUM('Pay App 1:Pay App 46'!H97)</f>
        <v>0</v>
      </c>
      <c r="H97" s="154"/>
      <c r="I97" s="155">
        <f t="shared" si="0"/>
        <v>0</v>
      </c>
      <c r="J97" s="156">
        <f t="shared" si="1"/>
        <v>0</v>
      </c>
      <c r="K97" s="155">
        <f t="shared" si="2"/>
        <v>0</v>
      </c>
      <c r="L97" s="155" t="str">
        <f>IF(AND('Summary Sheet'!$E$23="No",$H$33&gt;0,H97&gt;=1),"",IF(AND('Summary Sheet'!$E$23="Yes",H97&lt;&gt;""),H97*'Summary Sheet'!$G$23,""))</f>
        <v/>
      </c>
      <c r="M97" s="154"/>
      <c r="N97" s="155">
        <f>SUM('Pay App 1:Pay App 47'!L97)+SUM('Pay App 1:Pay App 47'!M97)</f>
        <v>0</v>
      </c>
    </row>
    <row r="98" spans="1:15" ht="10.9" customHeight="1" x14ac:dyDescent="0.25">
      <c r="A98" s="152">
        <v>42</v>
      </c>
      <c r="B98" s="175" t="str">
        <f>'Pay App 1'!B98</f>
        <v>08 60 00</v>
      </c>
      <c r="C98" s="180" t="str">
        <f>'Pay App 1'!C98</f>
        <v>Skylights</v>
      </c>
      <c r="D98" s="155">
        <f>'Pay App 1'!D98</f>
        <v>0</v>
      </c>
      <c r="E98" s="155">
        <f>VLOOKUP(B98,'Graph Data'!$O$2:$BX$88,49,FALSE)</f>
        <v>0</v>
      </c>
      <c r="F98" s="155">
        <f>IFERROR(E98+'Pay App 46'!F98,"")</f>
        <v>0</v>
      </c>
      <c r="G98" s="155">
        <f>SUM('Pay App 1:Pay App 46'!H98)</f>
        <v>0</v>
      </c>
      <c r="H98" s="154"/>
      <c r="I98" s="155">
        <f t="shared" si="0"/>
        <v>0</v>
      </c>
      <c r="J98" s="156">
        <f t="shared" si="1"/>
        <v>0</v>
      </c>
      <c r="K98" s="155">
        <f t="shared" si="2"/>
        <v>0</v>
      </c>
      <c r="L98" s="155" t="str">
        <f>IF(AND('Summary Sheet'!$E$23="No",$H$33&gt;0,H98&gt;=1),"",IF(AND('Summary Sheet'!$E$23="Yes",H98&lt;&gt;""),H98*'Summary Sheet'!$G$23,""))</f>
        <v/>
      </c>
      <c r="M98" s="154"/>
      <c r="N98" s="155">
        <f>SUM('Pay App 1:Pay App 47'!L98)+SUM('Pay App 1:Pay App 47'!M98)</f>
        <v>0</v>
      </c>
    </row>
    <row r="99" spans="1:15" ht="10.9" customHeight="1" x14ac:dyDescent="0.25">
      <c r="A99" s="152">
        <v>43</v>
      </c>
      <c r="B99" s="175" t="str">
        <f>'Pay App 1'!B99</f>
        <v>08 90 00</v>
      </c>
      <c r="C99" s="180" t="str">
        <f>'Pay App 1'!C99</f>
        <v>Louvers &amp; Vents</v>
      </c>
      <c r="D99" s="155">
        <f>'Pay App 1'!D99</f>
        <v>0</v>
      </c>
      <c r="E99" s="155">
        <f>VLOOKUP(B99,'Graph Data'!$O$2:$BX$88,49,FALSE)</f>
        <v>0</v>
      </c>
      <c r="F99" s="155">
        <f>IFERROR(E99+'Pay App 46'!F99,"")</f>
        <v>0</v>
      </c>
      <c r="G99" s="155">
        <f>SUM('Pay App 1:Pay App 46'!H99)</f>
        <v>0</v>
      </c>
      <c r="H99" s="154"/>
      <c r="I99" s="155">
        <f t="shared" si="0"/>
        <v>0</v>
      </c>
      <c r="J99" s="156">
        <f t="shared" si="1"/>
        <v>0</v>
      </c>
      <c r="K99" s="155">
        <f t="shared" si="2"/>
        <v>0</v>
      </c>
      <c r="L99" s="155" t="str">
        <f>IF(AND('Summary Sheet'!$E$23="No",$H$33&gt;0,H99&gt;=1),"",IF(AND('Summary Sheet'!$E$23="Yes",H99&lt;&gt;""),H99*'Summary Sheet'!$G$23,""))</f>
        <v/>
      </c>
      <c r="M99" s="154"/>
      <c r="N99" s="155">
        <f>SUM('Pay App 1:Pay App 47'!L99)+SUM('Pay App 1:Pay App 47'!M99)</f>
        <v>0</v>
      </c>
    </row>
    <row r="100" spans="1:15" ht="11.25" customHeight="1" x14ac:dyDescent="0.25">
      <c r="A100" s="153">
        <v>44</v>
      </c>
      <c r="B100" s="176" t="str">
        <f>'Pay App 1'!B100</f>
        <v>09 20 00</v>
      </c>
      <c r="C100" s="181" t="str">
        <f>'Pay App 1'!C100</f>
        <v>Gypsum Board Systems</v>
      </c>
      <c r="D100" s="155">
        <f>'Pay App 1'!D100</f>
        <v>0</v>
      </c>
      <c r="E100" s="155">
        <f>VLOOKUP(B100,'Graph Data'!$O$2:$BX$88,49,FALSE)</f>
        <v>0</v>
      </c>
      <c r="F100" s="155">
        <f>IFERROR(E100+'Pay App 46'!F100,"")</f>
        <v>0</v>
      </c>
      <c r="G100" s="155">
        <f>SUM('Pay App 1:Pay App 46'!H100)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47'!L100)+SUM('Pay App 1:Pay App 47'!M100)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47.2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Data'!$O$2:$BX$88,49,FALSE)</f>
        <v>0</v>
      </c>
      <c r="F106" s="155">
        <f>IFERROR(E106+'Pay App 46'!F106,"")</f>
        <v>0</v>
      </c>
      <c r="G106" s="155">
        <f>SUM('Pay App 1:Pay App 46'!H106)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47'!L106)+SUM('Pay App 1:Pay App 47'!M106)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Data'!$O$2:$BX$88,49,FALSE)</f>
        <v>0</v>
      </c>
      <c r="F107" s="155">
        <f>IFERROR(E107+'Pay App 46'!F107,"")</f>
        <v>0</v>
      </c>
      <c r="G107" s="155">
        <f>SUM('Pay App 1:Pay App 46'!H107)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47'!L107)+SUM('Pay App 1:Pay App 47'!M107)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Data'!$O$2:$BX$88,49,FALSE)</f>
        <v>0</v>
      </c>
      <c r="F108" s="155">
        <f>IFERROR(E108+'Pay App 46'!F108,"")</f>
        <v>0</v>
      </c>
      <c r="G108" s="155">
        <f>SUM('Pay App 1:Pay App 46'!H108)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47'!L108)+SUM('Pay App 1:Pay App 47'!M108)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Data'!$O$2:$BX$88,49,FALSE)</f>
        <v>0</v>
      </c>
      <c r="F109" s="155">
        <f>IFERROR(E109+'Pay App 46'!F109,"")</f>
        <v>0</v>
      </c>
      <c r="G109" s="155">
        <f>SUM('Pay App 1:Pay App 46'!H109)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47'!L109)+SUM('Pay App 1:Pay App 47'!M109)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Data'!$O$2:$BX$88,49,FALSE)</f>
        <v>0</v>
      </c>
      <c r="F110" s="155">
        <f>IFERROR(E110+'Pay App 46'!F110,"")</f>
        <v>0</v>
      </c>
      <c r="G110" s="155">
        <f>SUM('Pay App 1:Pay App 46'!H110)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47'!L110)+SUM('Pay App 1:Pay App 47'!M110)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Data'!$O$2:$BX$88,49,FALSE)</f>
        <v>0</v>
      </c>
      <c r="F111" s="155">
        <f>IFERROR(E111+'Pay App 46'!F111,"")</f>
        <v>0</v>
      </c>
      <c r="G111" s="155">
        <f>SUM('Pay App 1:Pay App 46'!H111)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47'!L111)+SUM('Pay App 1:Pay App 47'!M111)</f>
        <v>0</v>
      </c>
    </row>
    <row r="112" spans="1:15" ht="11.25" customHeight="1" x14ac:dyDescent="0.25">
      <c r="A112" s="152">
        <f t="shared" si="3"/>
        <v>51</v>
      </c>
      <c r="B112" s="148" t="str">
        <f>'Pay App 1'!B112</f>
        <v>09 90 00</v>
      </c>
      <c r="C112" s="143" t="str">
        <f>'Pay App 1'!C112</f>
        <v>Painting</v>
      </c>
      <c r="D112" s="155">
        <f>'Pay App 1'!D112</f>
        <v>0</v>
      </c>
      <c r="E112" s="155">
        <f>VLOOKUP(B112,'Graph Data'!$O$2:$BX$88,49,FALSE)</f>
        <v>0</v>
      </c>
      <c r="F112" s="155">
        <f>IFERROR(E112+'Pay App 46'!F112,"")</f>
        <v>0</v>
      </c>
      <c r="G112" s="155">
        <f>SUM('Pay App 1:Pay App 46'!H112)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47'!L112)+SUM('Pay App 1:Pay App 47'!M112)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Data'!$O$2:$BX$88,49,FALSE)</f>
        <v>0</v>
      </c>
      <c r="F113" s="155">
        <f>IFERROR(E113+'Pay App 46'!F113,"")</f>
        <v>0</v>
      </c>
      <c r="G113" s="155">
        <f>SUM('Pay App 1:Pay App 46'!H113)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47'!L113)+SUM('Pay App 1:Pay App 47'!M113)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Data'!$O$2:$BX$88,49,FALSE)</f>
        <v>0</v>
      </c>
      <c r="F114" s="155">
        <f>IFERROR(E114+'Pay App 46'!F114,"")</f>
        <v>0</v>
      </c>
      <c r="G114" s="155">
        <f>SUM('Pay App 1:Pay App 46'!H114)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47'!L114)+SUM('Pay App 1:Pay App 47'!M114)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Data'!$O$2:$BX$88,49,FALSE)</f>
        <v>0</v>
      </c>
      <c r="F115" s="155">
        <f>IFERROR(E115+'Pay App 46'!F115,"")</f>
        <v>0</v>
      </c>
      <c r="G115" s="155">
        <f>SUM('Pay App 1:Pay App 46'!H115)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47'!L115)+SUM('Pay App 1:Pay App 47'!M115)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Data'!$O$2:$BX$88,49,FALSE)</f>
        <v>0</v>
      </c>
      <c r="F116" s="155">
        <f>IFERROR(E116+'Pay App 46'!F116,"")</f>
        <v>0</v>
      </c>
      <c r="G116" s="155">
        <f>SUM('Pay App 1:Pay App 46'!H116)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47'!L116)+SUM('Pay App 1:Pay App 47'!M116)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Data'!$O$2:$BX$88,49,FALSE)</f>
        <v>0</v>
      </c>
      <c r="F117" s="155">
        <f>IFERROR(E117+'Pay App 46'!F117,"")</f>
        <v>0</v>
      </c>
      <c r="G117" s="155">
        <f>SUM('Pay App 1:Pay App 46'!H117)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47'!L117)+SUM('Pay App 1:Pay App 47'!M117)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Data'!$O$2:$BX$88,49,FALSE)</f>
        <v>0</v>
      </c>
      <c r="F118" s="155">
        <f>IFERROR(E118+'Pay App 46'!F118,"")</f>
        <v>0</v>
      </c>
      <c r="G118" s="155">
        <f>SUM('Pay App 1:Pay App 46'!H118)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47'!L118)+SUM('Pay App 1:Pay App 47'!M118)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Data'!$O$2:$BX$88,49,FALSE)</f>
        <v>0</v>
      </c>
      <c r="F119" s="155">
        <f>IFERROR(E119+'Pay App 46'!F119,"")</f>
        <v>0</v>
      </c>
      <c r="G119" s="155">
        <f>SUM('Pay App 1:Pay App 46'!H119)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47'!L119)+SUM('Pay App 1:Pay App 47'!M119)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Data'!$O$2:$BX$88,49,FALSE)</f>
        <v>0</v>
      </c>
      <c r="F120" s="155">
        <f>IFERROR(E120+'Pay App 46'!F120,"")</f>
        <v>0</v>
      </c>
      <c r="G120" s="155">
        <f>SUM('Pay App 1:Pay App 46'!H120)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47'!L120)+SUM('Pay App 1:Pay App 47'!M120)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Data'!$O$2:$BX$88,49,FALSE)</f>
        <v>0</v>
      </c>
      <c r="F121" s="155">
        <f>IFERROR(E121+'Pay App 46'!F121,"")</f>
        <v>0</v>
      </c>
      <c r="G121" s="155">
        <f>SUM('Pay App 1:Pay App 46'!H121)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47'!L121)+SUM('Pay App 1:Pay App 47'!M121)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Data'!$O$2:$BX$88,49,FALSE)</f>
        <v>0</v>
      </c>
      <c r="F122" s="155">
        <f>IFERROR(E122+'Pay App 46'!F122,"")</f>
        <v>0</v>
      </c>
      <c r="G122" s="155">
        <f>SUM('Pay App 1:Pay App 46'!H122)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47'!L122)+SUM('Pay App 1:Pay App 47'!M122)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Data'!$O$2:$BX$88,49,FALSE)</f>
        <v>0</v>
      </c>
      <c r="F123" s="155">
        <f>IFERROR(E123+'Pay App 46'!F123,"")</f>
        <v>0</v>
      </c>
      <c r="G123" s="155">
        <f>SUM('Pay App 1:Pay App 46'!H123)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47'!L123)+SUM('Pay App 1:Pay App 47'!M123)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Data'!$O$2:$BX$88,49,FALSE)</f>
        <v>0</v>
      </c>
      <c r="F124" s="155">
        <f>IFERROR(E124+'Pay App 46'!F124,"")</f>
        <v>0</v>
      </c>
      <c r="G124" s="155">
        <f>SUM('Pay App 1:Pay App 46'!H124)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47'!L124)+SUM('Pay App 1:Pay App 47'!M124)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Data'!$O$2:$BX$88,49,FALSE)</f>
        <v>0</v>
      </c>
      <c r="F125" s="155">
        <f>IFERROR(E125+'Pay App 46'!F125,"")</f>
        <v>0</v>
      </c>
      <c r="G125" s="155">
        <f>SUM('Pay App 1:Pay App 46'!H125)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47'!L125)+SUM('Pay App 1:Pay App 47'!M125)</f>
        <v>0</v>
      </c>
    </row>
    <row r="126" spans="1:14" ht="11.25" customHeight="1" x14ac:dyDescent="0.25">
      <c r="A126" s="152">
        <f t="shared" si="3"/>
        <v>65</v>
      </c>
      <c r="B126" s="188" t="str">
        <f>'Pay App 1'!B126</f>
        <v>14 20 00</v>
      </c>
      <c r="C126" s="194" t="str">
        <f>'Pay App 1'!C126</f>
        <v>Elevator</v>
      </c>
      <c r="D126" s="155">
        <f>'Pay App 1'!D126</f>
        <v>0</v>
      </c>
      <c r="E126" s="155">
        <f>VLOOKUP(B126,'Graph Data'!$O$2:$BX$88,49,FALSE)</f>
        <v>0</v>
      </c>
      <c r="F126" s="155">
        <f>IFERROR(E126+'Pay App 46'!F126,"")</f>
        <v>0</v>
      </c>
      <c r="G126" s="155">
        <f>SUM('Pay App 1:Pay App 46'!H126)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47'!L126)+SUM('Pay App 1:Pay App 47'!M126)</f>
        <v>0</v>
      </c>
    </row>
    <row r="127" spans="1:14" ht="11.25" customHeight="1" x14ac:dyDescent="0.25">
      <c r="A127" s="152">
        <f t="shared" si="3"/>
        <v>66</v>
      </c>
      <c r="B127" s="188" t="str">
        <f>'Pay App 1'!B127</f>
        <v>14 40 00</v>
      </c>
      <c r="C127" s="194" t="str">
        <f>'Pay App 1'!C127</f>
        <v>Lifts</v>
      </c>
      <c r="D127" s="155">
        <f>'Pay App 1'!D127</f>
        <v>0</v>
      </c>
      <c r="E127" s="155">
        <f>VLOOKUP(B127,'Graph Data'!$O$2:$BX$88,49,FALSE)</f>
        <v>0</v>
      </c>
      <c r="F127" s="155">
        <f>IFERROR(E127+'Pay App 46'!F127,"")</f>
        <v>0</v>
      </c>
      <c r="G127" s="155">
        <f>SUM('Pay App 1:Pay App 46'!H127)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47'!L127)+SUM('Pay App 1:Pay App 47'!M127)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Data'!$O$2:$BX$88,49,FALSE)</f>
        <v>0</v>
      </c>
      <c r="F128" s="155">
        <f>IFERROR(E128+'Pay App 46'!F128,"")</f>
        <v>0</v>
      </c>
      <c r="G128" s="155">
        <f>SUM('Pay App 1:Pay App 46'!H128)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47'!L128)+SUM('Pay App 1:Pay App 47'!M128)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Data'!$O$2:$BX$88,49,FALSE)</f>
        <v>0</v>
      </c>
      <c r="F129" s="155">
        <f>IFERROR(E129+'Pay App 46'!F129,"")</f>
        <v>0</v>
      </c>
      <c r="G129" s="155">
        <f>SUM('Pay App 1:Pay App 46'!H129)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47'!L129)+SUM('Pay App 1:Pay App 47'!M129)</f>
        <v>0</v>
      </c>
    </row>
    <row r="130" spans="1:14" ht="11.25" customHeight="1" x14ac:dyDescent="0.25">
      <c r="A130" s="152">
        <f t="shared" si="3"/>
        <v>69</v>
      </c>
      <c r="B130" s="185" t="str">
        <f>'Pay App 1'!B130</f>
        <v>22 00 00</v>
      </c>
      <c r="C130" s="191" t="str">
        <f>'Pay App 1'!C130</f>
        <v>Plumbing</v>
      </c>
      <c r="D130" s="155">
        <f>'Pay App 1'!D130</f>
        <v>0</v>
      </c>
      <c r="E130" s="155">
        <f>VLOOKUP(B130,'Graph Data'!$O$2:$BX$88,49,FALSE)</f>
        <v>0</v>
      </c>
      <c r="F130" s="155">
        <f>IFERROR(E130+'Pay App 46'!F130,"")</f>
        <v>0</v>
      </c>
      <c r="G130" s="155">
        <f>SUM('Pay App 1:Pay App 46'!H130)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47'!L130)+SUM('Pay App 1:Pay App 47'!M130)</f>
        <v>0</v>
      </c>
    </row>
    <row r="131" spans="1:14" ht="11.25" customHeight="1" x14ac:dyDescent="0.25">
      <c r="A131" s="152">
        <f t="shared" si="3"/>
        <v>70</v>
      </c>
      <c r="B131" s="186" t="str">
        <f>'Pay App 1'!B131</f>
        <v>23 00 00</v>
      </c>
      <c r="C131" s="192" t="str">
        <f>'Pay App 1'!C131</f>
        <v>HVAC</v>
      </c>
      <c r="D131" s="155">
        <f>'Pay App 1'!D131</f>
        <v>0</v>
      </c>
      <c r="E131" s="155">
        <f>VLOOKUP(B131,'Graph Data'!$O$2:$BX$88,49,FALSE)</f>
        <v>0</v>
      </c>
      <c r="F131" s="155">
        <f>IFERROR(E131+'Pay App 46'!F131,"")</f>
        <v>0</v>
      </c>
      <c r="G131" s="155">
        <f>SUM('Pay App 1:Pay App 46'!H131)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47'!L131)+SUM('Pay App 1:Pay App 47'!M131)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Data'!$O$2:$BX$88,49,FALSE)</f>
        <v>0</v>
      </c>
      <c r="F132" s="155">
        <f>IFERROR(E132+'Pay App 46'!F132,"")</f>
        <v>0</v>
      </c>
      <c r="G132" s="155">
        <f>SUM('Pay App 1:Pay App 46'!H132)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47'!L132)+SUM('Pay App 1:Pay App 47'!M132)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Data'!$O$2:$BX$88,49,FALSE)</f>
        <v>0</v>
      </c>
      <c r="F133" s="155">
        <f>IFERROR(E133+'Pay App 46'!F133,"")</f>
        <v>0</v>
      </c>
      <c r="G133" s="155">
        <f>SUM('Pay App 1:Pay App 46'!H133)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47'!L133)+SUM('Pay App 1:Pay App 47'!M133)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Data'!$O$2:$BX$88,49,FALSE)</f>
        <v>0</v>
      </c>
      <c r="F134" s="155">
        <f>IFERROR(E134+'Pay App 46'!F134,"")</f>
        <v>0</v>
      </c>
      <c r="G134" s="155">
        <f>SUM('Pay App 1:Pay App 46'!H134)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47'!L134)+SUM('Pay App 1:Pay App 47'!M134)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Data'!$O$2:$BX$88,49,FALSE)</f>
        <v>0</v>
      </c>
      <c r="F135" s="155">
        <f>IFERROR(E135+'Pay App 46'!F135,"")</f>
        <v>0</v>
      </c>
      <c r="G135" s="155">
        <f>SUM('Pay App 1:Pay App 46'!H135)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47'!L135)+SUM('Pay App 1:Pay App 47'!M135)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Data'!$O$2:$BX$88,49,FALSE)</f>
        <v>0</v>
      </c>
      <c r="F136" s="155">
        <f>IFERROR(E136+'Pay App 46'!F136,"")</f>
        <v>0</v>
      </c>
      <c r="G136" s="155">
        <f>SUM('Pay App 1:Pay App 46'!H136)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47'!L136)+SUM('Pay App 1:Pay App 47'!M136)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Data'!$O$2:$BX$88,49,FALSE)</f>
        <v>0</v>
      </c>
      <c r="F137" s="155">
        <f>IFERROR(E137+'Pay App 46'!F137,"")</f>
        <v>0</v>
      </c>
      <c r="G137" s="155">
        <f>SUM('Pay App 1:Pay App 46'!H137)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47'!L137)+SUM('Pay App 1:Pay App 47'!M137)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Data'!$O$2:$BX$88,49,FALSE)</f>
        <v>0</v>
      </c>
      <c r="F138" s="155">
        <f>IFERROR(E138+'Pay App 46'!F138,"")</f>
        <v>0</v>
      </c>
      <c r="G138" s="155">
        <f>SUM('Pay App 1:Pay App 46'!H138)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47'!L138)+SUM('Pay App 1:Pay App 47'!M138)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Data'!$O$2:$BX$88,49,FALSE)</f>
        <v>0</v>
      </c>
      <c r="F139" s="155">
        <f>IFERROR(E139+'Pay App 46'!F139,"")</f>
        <v>0</v>
      </c>
      <c r="G139" s="155">
        <f>SUM('Pay App 1:Pay App 46'!H139)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47'!L139)+SUM('Pay App 1:Pay App 47'!M139)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Data'!$O$2:$BX$88,49,FALSE)</f>
        <v>0</v>
      </c>
      <c r="F140" s="155">
        <f>IFERROR(E140+'Pay App 46'!F140,"")</f>
        <v>0</v>
      </c>
      <c r="G140" s="155">
        <f>SUM('Pay App 1:Pay App 46'!H140)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47'!L140)+SUM('Pay App 1:Pay App 47'!M140)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Data'!$O$2:$BX$88,49,FALSE)</f>
        <v>0</v>
      </c>
      <c r="F141" s="155">
        <f>IFERROR(E141+'Pay App 46'!F141,"")</f>
        <v>0</v>
      </c>
      <c r="G141" s="155">
        <f>SUM('Pay App 1:Pay App 46'!H141)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47'!L141)+SUM('Pay App 1:Pay App 47'!M141)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Data'!$O$2:$BX$88,49,FALSE)</f>
        <v>0</v>
      </c>
      <c r="F142" s="155">
        <f>IFERROR(E142+'Pay App 46'!F142,"")</f>
        <v>0</v>
      </c>
      <c r="G142" s="155">
        <f>SUM('Pay App 1:Pay App 46'!H142)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47'!L142)+SUM('Pay App 1:Pay App 47'!M142)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Data'!$O$2:$BX$88,49,FALSE)</f>
        <v>0</v>
      </c>
      <c r="F143" s="155">
        <f>IFERROR(E143+'Pay App 46'!F143,"")</f>
        <v>0</v>
      </c>
      <c r="G143" s="155">
        <f>SUM('Pay App 1:Pay App 46'!H143)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47'!L143)+SUM('Pay App 1:Pay App 47'!M143)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Data'!$O$2:$BX$88,49,FALSE)</f>
        <v>0</v>
      </c>
      <c r="F144" s="155">
        <f>IFERROR(E144+'Pay App 46'!F144,"")</f>
        <v>0</v>
      </c>
      <c r="G144" s="155">
        <f>SUM('Pay App 1:Pay App 46'!H144)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47'!L144)+SUM('Pay App 1:Pay App 47'!M144)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Data'!$O$2:$BX$88,49,FALSE)</f>
        <v>0</v>
      </c>
      <c r="F145" s="155">
        <f>IFERROR(E145+'Pay App 46'!F145,"")</f>
        <v>0</v>
      </c>
      <c r="G145" s="155">
        <f>SUM('Pay App 1:Pay App 46'!H145)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47'!L145)+SUM('Pay App 1:Pay App 47'!M145)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Data'!$O$2:$BX$88,49,FALSE)</f>
        <v>0</v>
      </c>
      <c r="F146" s="155">
        <f>IFERROR(E146+'Pay App 46'!F146,"")</f>
        <v>0</v>
      </c>
      <c r="G146" s="155">
        <f>SUM('Pay App 1:Pay App 46'!H146)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47'!L146)+SUM('Pay App 1:Pay App 47'!M146)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Data'!$O$2:$BX$88,49,FALSE)</f>
        <v>0</v>
      </c>
      <c r="F147" s="155">
        <f>IFERROR(E147+'Pay App 46'!F147,"")</f>
        <v>0</v>
      </c>
      <c r="G147" s="155">
        <f>SUM('Pay App 1:Pay App 46'!H147)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47'!L147)+SUM('Pay App 1:Pay App 47'!M147)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Data'!$O$2:$BX$88,49,FALSE)</f>
        <v>0</v>
      </c>
      <c r="F148" s="155">
        <f>IFERROR(E148+'Pay App 46'!F148,"")</f>
        <v>0</v>
      </c>
      <c r="G148" s="155">
        <f>SUM('Pay App 1:Pay App 46'!H148)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47'!L148)+SUM('Pay App 1:Pay App 47'!M148)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Ml6boBbu9fn4R6WZ21NYImp21aTezyk18gzVKEtNbHq6cwF+UQ1ORLvBuXMJyE6yeQS//cmuH8Sy8IUOMZ9oTw==" saltValue="fP5/WpztNkik+fT7R/SMR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53" priority="2" operator="equal">
      <formula>0</formula>
    </cfRule>
  </conditionalFormatting>
  <conditionalFormatting sqref="D106:G148">
    <cfRule type="cellIs" dxfId="152" priority="1" operator="equal">
      <formula>0</formula>
    </cfRule>
  </conditionalFormatting>
  <conditionalFormatting sqref="D10:H10 D12:H14 D19:H21">
    <cfRule type="cellIs" dxfId="151" priority="6" operator="equal">
      <formula>0</formula>
    </cfRule>
  </conditionalFormatting>
  <conditionalFormatting sqref="H51">
    <cfRule type="cellIs" dxfId="150" priority="9" operator="lessThan">
      <formula>0</formula>
    </cfRule>
  </conditionalFormatting>
  <conditionalFormatting sqref="I57:I100 K57:K100 I106:I148 K106:K148 N106:N148">
    <cfRule type="cellIs" dxfId="149" priority="14" operator="equal">
      <formula>0</formula>
    </cfRule>
  </conditionalFormatting>
  <conditionalFormatting sqref="J57:J100 J106:J149">
    <cfRule type="cellIs" dxfId="148" priority="11" operator="greaterThan">
      <formula>1</formula>
    </cfRule>
    <cfRule type="cellIs" dxfId="147" priority="12" operator="equal">
      <formula>0</formula>
    </cfRule>
  </conditionalFormatting>
  <conditionalFormatting sqref="K57:K100 K106:K148">
    <cfRule type="cellIs" dxfId="146" priority="10" operator="lessThan">
      <formula>0</formula>
    </cfRule>
  </conditionalFormatting>
  <conditionalFormatting sqref="M57:M100">
    <cfRule type="cellIs" dxfId="145" priority="13" operator="lessThan">
      <formula>0</formula>
    </cfRule>
  </conditionalFormatting>
  <conditionalFormatting sqref="M106:M148">
    <cfRule type="cellIs" dxfId="144" priority="8" operator="lessThan">
      <formula>0</formula>
    </cfRule>
  </conditionalFormatting>
  <conditionalFormatting sqref="N57:N100">
    <cfRule type="cellIs" dxfId="14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2601D60F-5F66-42D0-938D-E61D8BFFBFAE}">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05DE4AE-6B80-4361-9A5B-2ACEC03530E4}">
          <x14:formula1>
            <xm:f>'Graph Data'!$M$74:$M$76</xm:f>
          </x14:formula1>
          <xm:sqref>G17</xm:sqref>
        </x14:dataValidation>
      </x14:dataValidation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09195-B8A9-49B6-B03D-B93EE1A07A1E}">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48.1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Data'!$O$2:$BX$88,50,FALSE)</f>
        <v>0</v>
      </c>
      <c r="F57" s="155">
        <f>IFERROR(E57+'Pay App 47'!F57,"")</f>
        <v>0</v>
      </c>
      <c r="G57" s="155">
        <f>SUM('Pay App 1:Pay App 47'!H57)</f>
        <v>0</v>
      </c>
      <c r="H57" s="154"/>
      <c r="I57" s="155">
        <f>G57+H57</f>
        <v>0</v>
      </c>
      <c r="J57" s="156">
        <f>IFERROR(I57/F57,0)</f>
        <v>0</v>
      </c>
      <c r="K57" s="155">
        <f>IFERROR(F57-I57,"")</f>
        <v>0</v>
      </c>
      <c r="L57" s="155" t="str">
        <f>IF(AND('Summary Sheet'!$E$23="No",$H$33&gt;0,H57&gt;=1),"",IF(AND('Summary Sheet'!$E$23="Yes",H57&lt;&gt;""),H57*'Summary Sheet'!$G$23,""))</f>
        <v/>
      </c>
      <c r="M57" s="154"/>
      <c r="N57" s="155">
        <f>SUM('Pay App 1:Pay App 48'!L57)+SUM('Pay App 1:Pay App 48'!M57)</f>
        <v>0</v>
      </c>
    </row>
    <row r="58" spans="1:16" ht="11.25" customHeight="1" x14ac:dyDescent="0.25">
      <c r="A58" s="152">
        <v>2</v>
      </c>
      <c r="B58" s="145" t="str">
        <f>'Pay App 1'!B58</f>
        <v>00 02 00</v>
      </c>
      <c r="C58" s="134" t="str">
        <f>'Pay App 1'!C58</f>
        <v>Preconstruction Services</v>
      </c>
      <c r="D58" s="155">
        <f>'Pay App 1'!D58</f>
        <v>0</v>
      </c>
      <c r="E58" s="155">
        <f>VLOOKUP(B58,'Graph Data'!$O$2:$BX$88,50,FALSE)</f>
        <v>0</v>
      </c>
      <c r="F58" s="155">
        <f>IFERROR(E58+'Pay App 47'!F58,"")</f>
        <v>0</v>
      </c>
      <c r="G58" s="155">
        <f>SUM('Pay App 1:Pay App 47'!H58)</f>
        <v>0</v>
      </c>
      <c r="H58" s="154"/>
      <c r="I58" s="155">
        <f>G58+H58</f>
        <v>0</v>
      </c>
      <c r="J58" s="156">
        <f>IFERROR(I58/F58,0)</f>
        <v>0</v>
      </c>
      <c r="K58" s="155">
        <f>IFERROR(F58-I58,"")</f>
        <v>0</v>
      </c>
      <c r="L58" s="155" t="str">
        <f>IF(AND('Summary Sheet'!$E$23="No",$H$33&gt;0,H58&gt;=1),"",IF(AND('Summary Sheet'!$E$23="Yes",H58&lt;&gt;""),H58*'Summary Sheet'!$G$23,""))</f>
        <v/>
      </c>
      <c r="M58" s="154"/>
      <c r="N58" s="155">
        <f>SUM('Pay App 1:Pay App 48'!L58)+SUM('Pay App 1:Pay App 48'!M58)</f>
        <v>0</v>
      </c>
    </row>
    <row r="59" spans="1:16" ht="11.25" customHeight="1" x14ac:dyDescent="0.25">
      <c r="A59" s="152">
        <v>3</v>
      </c>
      <c r="B59" s="174" t="str">
        <f>'Pay App 1'!B59</f>
        <v>01 00 00</v>
      </c>
      <c r="C59" s="179" t="str">
        <f>'Pay App 1'!C59</f>
        <v>General Conditions/Requirements</v>
      </c>
      <c r="D59" s="155">
        <f>'Pay App 1'!D59</f>
        <v>0</v>
      </c>
      <c r="E59" s="155">
        <f>VLOOKUP(B59,'Graph Data'!$O$2:$BX$88,50,FALSE)</f>
        <v>0</v>
      </c>
      <c r="F59" s="155">
        <f>IFERROR(E59+'Pay App 47'!F59,"")</f>
        <v>0</v>
      </c>
      <c r="G59" s="155">
        <f>SUM('Pay App 1:Pay App 47'!H59)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48'!L59)+SUM('Pay App 1:Pay App 48'!M59)</f>
        <v>0</v>
      </c>
    </row>
    <row r="60" spans="1:16" ht="11.25" customHeight="1" x14ac:dyDescent="0.25">
      <c r="A60" s="152">
        <v>4</v>
      </c>
      <c r="B60" s="174" t="str">
        <f>'Pay App 1'!B60</f>
        <v>01 13 41</v>
      </c>
      <c r="C60" s="179" t="str">
        <f>'Pay App 1'!C60</f>
        <v>Temp. Scaffolding and Platforms</v>
      </c>
      <c r="D60" s="155">
        <f>'Pay App 1'!D60</f>
        <v>0</v>
      </c>
      <c r="E60" s="155">
        <f>VLOOKUP(B60,'Graph Data'!$O$2:$BX$88,50,FALSE)</f>
        <v>0</v>
      </c>
      <c r="F60" s="155">
        <f>IFERROR(E60+'Pay App 47'!F60,"")</f>
        <v>0</v>
      </c>
      <c r="G60" s="155">
        <f>SUM('Pay App 1:Pay App 47'!H60)</f>
        <v>0</v>
      </c>
      <c r="H60" s="154"/>
      <c r="I60" s="155">
        <f t="shared" si="0"/>
        <v>0</v>
      </c>
      <c r="J60" s="156">
        <f t="shared" si="1"/>
        <v>0</v>
      </c>
      <c r="K60" s="155">
        <f t="shared" si="2"/>
        <v>0</v>
      </c>
      <c r="L60" s="155" t="str">
        <f>IF(AND('Summary Sheet'!$E$23="No",$H$33&gt;0,H60&gt;=1),"",IF(AND('Summary Sheet'!$E$23="Yes",H60&lt;&gt;""),H60*'Summary Sheet'!$G$23,""))</f>
        <v/>
      </c>
      <c r="M60" s="154"/>
      <c r="N60" s="155">
        <f>SUM('Pay App 1:Pay App 48'!L60)+SUM('Pay App 1:Pay App 48'!M60)</f>
        <v>0</v>
      </c>
    </row>
    <row r="61" spans="1:16" ht="11.25" customHeight="1" x14ac:dyDescent="0.25">
      <c r="A61" s="152">
        <v>5</v>
      </c>
      <c r="B61" s="174" t="str">
        <f>'Pay App 1'!B61</f>
        <v>01 13 60</v>
      </c>
      <c r="C61" s="179" t="str">
        <f>'Pay App 1'!C61</f>
        <v>SWPPP</v>
      </c>
      <c r="D61" s="155">
        <f>'Pay App 1'!D61</f>
        <v>0</v>
      </c>
      <c r="E61" s="155">
        <f>VLOOKUP(B61,'Graph Data'!$O$2:$BX$88,50,FALSE)</f>
        <v>0</v>
      </c>
      <c r="F61" s="155">
        <f>IFERROR(E61+'Pay App 47'!F61,"")</f>
        <v>0</v>
      </c>
      <c r="G61" s="155">
        <f>SUM('Pay App 1:Pay App 47'!H61)</f>
        <v>0</v>
      </c>
      <c r="H61" s="154"/>
      <c r="I61" s="155">
        <f t="shared" si="0"/>
        <v>0</v>
      </c>
      <c r="J61" s="156">
        <f t="shared" si="1"/>
        <v>0</v>
      </c>
      <c r="K61" s="155">
        <f t="shared" si="2"/>
        <v>0</v>
      </c>
      <c r="L61" s="155" t="str">
        <f>IF(AND('Summary Sheet'!$E$23="No",$H$33&gt;0,H61&gt;=1),"",IF(AND('Summary Sheet'!$E$23="Yes",H61&lt;&gt;""),H61*'Summary Sheet'!$G$23,""))</f>
        <v/>
      </c>
      <c r="M61" s="154"/>
      <c r="N61" s="155">
        <f>SUM('Pay App 1:Pay App 48'!L61)+SUM('Pay App 1:Pay App 48'!M61)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Data'!$O$2:$BX$88,50,FALSE)</f>
        <v>0</v>
      </c>
      <c r="F62" s="155">
        <f>IFERROR(E62+'Pay App 47'!F62,"")</f>
        <v>0</v>
      </c>
      <c r="G62" s="155">
        <f>SUM('Pay App 1:Pay App 47'!H62)</f>
        <v>0</v>
      </c>
      <c r="H62" s="154"/>
      <c r="I62" s="155">
        <f t="shared" si="0"/>
        <v>0</v>
      </c>
      <c r="J62" s="156">
        <f t="shared" si="1"/>
        <v>0</v>
      </c>
      <c r="K62" s="155">
        <f t="shared" si="2"/>
        <v>0</v>
      </c>
      <c r="L62" s="155" t="str">
        <f>IF(AND('Summary Sheet'!$E$23="No",$H$33&gt;0,H62&gt;=1),"",IF(AND('Summary Sheet'!$E$23="Yes",H62&lt;&gt;""),H62*'Summary Sheet'!$G$23,""))</f>
        <v/>
      </c>
      <c r="M62" s="154"/>
      <c r="N62" s="155">
        <f>SUM('Pay App 1:Pay App 48'!L62)+SUM('Pay App 1:Pay App 48'!M62)</f>
        <v>0</v>
      </c>
    </row>
    <row r="63" spans="1:16" ht="11.25" customHeight="1" x14ac:dyDescent="0.25">
      <c r="A63" s="152">
        <v>7</v>
      </c>
      <c r="B63" s="174" t="str">
        <f>'Pay App 1'!B63</f>
        <v>01 31 00</v>
      </c>
      <c r="C63" s="179" t="str">
        <f>'Pay App 1'!C63</f>
        <v>Contractor's Supervision</v>
      </c>
      <c r="D63" s="155">
        <f>'Pay App 1'!D63</f>
        <v>0</v>
      </c>
      <c r="E63" s="155">
        <f>VLOOKUP(B63,'Graph Data'!$O$2:$BX$88,50,FALSE)</f>
        <v>0</v>
      </c>
      <c r="F63" s="155">
        <f>IFERROR(E63+'Pay App 47'!F63,"")</f>
        <v>0</v>
      </c>
      <c r="G63" s="155">
        <f>SUM('Pay App 1:Pay App 47'!H63)</f>
        <v>0</v>
      </c>
      <c r="H63" s="154"/>
      <c r="I63" s="155">
        <f t="shared" si="0"/>
        <v>0</v>
      </c>
      <c r="J63" s="156">
        <f t="shared" si="1"/>
        <v>0</v>
      </c>
      <c r="K63" s="155">
        <f t="shared" si="2"/>
        <v>0</v>
      </c>
      <c r="L63" s="155" t="str">
        <f>IF(AND('Summary Sheet'!$E$23="No",$H$33&gt;0,H63&gt;=1),"",IF(AND('Summary Sheet'!$E$23="Yes",H63&lt;&gt;""),H63*'Summary Sheet'!$G$23,""))</f>
        <v/>
      </c>
      <c r="M63" s="154"/>
      <c r="N63" s="155">
        <f>SUM('Pay App 1:Pay App 48'!L63)+SUM('Pay App 1:Pay App 48'!M63)</f>
        <v>0</v>
      </c>
    </row>
    <row r="64" spans="1:16" ht="11.25" customHeight="1" x14ac:dyDescent="0.25">
      <c r="A64" s="152">
        <v>8</v>
      </c>
      <c r="B64" s="174" t="str">
        <f>'Pay App 1'!B64</f>
        <v>01 32 00</v>
      </c>
      <c r="C64" s="179" t="str">
        <f>'Pay App 1'!C64</f>
        <v>General Liability Insurance</v>
      </c>
      <c r="D64" s="155">
        <f>'Pay App 1'!D64</f>
        <v>0</v>
      </c>
      <c r="E64" s="155">
        <f>VLOOKUP(B64,'Graph Data'!$O$2:$BX$88,50,FALSE)</f>
        <v>0</v>
      </c>
      <c r="F64" s="155">
        <f>IFERROR(E64+'Pay App 47'!F64,"")</f>
        <v>0</v>
      </c>
      <c r="G64" s="155">
        <f>SUM('Pay App 1:Pay App 47'!H64)</f>
        <v>0</v>
      </c>
      <c r="H64" s="154"/>
      <c r="I64" s="155">
        <f t="shared" si="0"/>
        <v>0</v>
      </c>
      <c r="J64" s="156">
        <f t="shared" si="1"/>
        <v>0</v>
      </c>
      <c r="K64" s="155">
        <f t="shared" si="2"/>
        <v>0</v>
      </c>
      <c r="L64" s="155" t="str">
        <f>IF(AND('Summary Sheet'!$E$23="No",$H$33&gt;0,H64&gt;=1),"",IF(AND('Summary Sheet'!$E$23="Yes",H64&lt;&gt;""),H64*'Summary Sheet'!$G$23,""))</f>
        <v/>
      </c>
      <c r="M64" s="154"/>
      <c r="N64" s="155">
        <f>SUM('Pay App 1:Pay App 48'!L64)+SUM('Pay App 1:Pay App 48'!M64)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Data'!$O$2:$BX$88,50,FALSE)</f>
        <v>0</v>
      </c>
      <c r="F65" s="155">
        <f>IFERROR(E65+'Pay App 47'!F65,"")</f>
        <v>0</v>
      </c>
      <c r="G65" s="155">
        <f>SUM('Pay App 1:Pay App 47'!H65)</f>
        <v>0</v>
      </c>
      <c r="H65" s="154"/>
      <c r="I65" s="155">
        <f t="shared" si="0"/>
        <v>0</v>
      </c>
      <c r="J65" s="156">
        <f t="shared" si="1"/>
        <v>0</v>
      </c>
      <c r="K65" s="155">
        <f t="shared" si="2"/>
        <v>0</v>
      </c>
      <c r="L65" s="155" t="str">
        <f>IF(AND('Summary Sheet'!$E$23="No",$H$33&gt;0,H65&gt;=1),"",IF(AND('Summary Sheet'!$E$23="Yes",H65&lt;&gt;""),H65*'Summary Sheet'!$G$23,""))</f>
        <v/>
      </c>
      <c r="M65" s="154"/>
      <c r="N65" s="155">
        <f>SUM('Pay App 1:Pay App 48'!L65)+SUM('Pay App 1:Pay App 48'!M65)</f>
        <v>0</v>
      </c>
    </row>
    <row r="66" spans="1:17" ht="11.25" customHeight="1" x14ac:dyDescent="0.25">
      <c r="A66" s="152">
        <v>10</v>
      </c>
      <c r="B66" s="174" t="str">
        <f>'Pay App 1'!B66</f>
        <v>01 34 00</v>
      </c>
      <c r="C66" s="179" t="str">
        <f>'Pay App 1'!C66</f>
        <v>Subcontractor Default Insurance</v>
      </c>
      <c r="D66" s="155">
        <f>'Pay App 1'!D66</f>
        <v>0</v>
      </c>
      <c r="E66" s="155">
        <f>VLOOKUP(B66,'Graph Data'!$O$2:$BX$88,50,FALSE)</f>
        <v>0</v>
      </c>
      <c r="F66" s="155">
        <f>IFERROR(E66+'Pay App 47'!F66,"")</f>
        <v>0</v>
      </c>
      <c r="G66" s="155">
        <f>SUM('Pay App 1:Pay App 47'!H66)</f>
        <v>0</v>
      </c>
      <c r="H66" s="154"/>
      <c r="I66" s="155">
        <f t="shared" si="0"/>
        <v>0</v>
      </c>
      <c r="J66" s="156">
        <f t="shared" si="1"/>
        <v>0</v>
      </c>
      <c r="K66" s="155">
        <f t="shared" si="2"/>
        <v>0</v>
      </c>
      <c r="L66" s="155" t="str">
        <f>IF(AND('Summary Sheet'!$E$23="No",$H$33&gt;0,H66&gt;=1),"",IF(AND('Summary Sheet'!$E$23="Yes",H66&lt;&gt;""),H66*'Summary Sheet'!$G$23,""))</f>
        <v/>
      </c>
      <c r="M66" s="154"/>
      <c r="N66" s="155">
        <f>SUM('Pay App 1:Pay App 48'!L66)+SUM('Pay App 1:Pay App 48'!M66)</f>
        <v>0</v>
      </c>
    </row>
    <row r="67" spans="1:17" ht="11.25" customHeight="1" x14ac:dyDescent="0.25">
      <c r="A67" s="152">
        <v>11</v>
      </c>
      <c r="B67" s="174" t="str">
        <f>'Pay App 1'!B67</f>
        <v>01 35 00</v>
      </c>
      <c r="C67" s="179" t="str">
        <f>'Pay App 1'!C67</f>
        <v>Construction Management Fee</v>
      </c>
      <c r="D67" s="155">
        <f>'Pay App 1'!D67</f>
        <v>0</v>
      </c>
      <c r="E67" s="155">
        <f>VLOOKUP(B67,'Graph Data'!$O$2:$BX$88,50,FALSE)</f>
        <v>0</v>
      </c>
      <c r="F67" s="155">
        <f>IFERROR(E67+'Pay App 47'!F67,"")</f>
        <v>0</v>
      </c>
      <c r="G67" s="155">
        <f>SUM('Pay App 1:Pay App 47'!H67)</f>
        <v>0</v>
      </c>
      <c r="H67" s="154"/>
      <c r="I67" s="155">
        <f t="shared" si="0"/>
        <v>0</v>
      </c>
      <c r="J67" s="156">
        <f t="shared" si="1"/>
        <v>0</v>
      </c>
      <c r="K67" s="155">
        <f t="shared" si="2"/>
        <v>0</v>
      </c>
      <c r="L67" s="155" t="str">
        <f>IF(AND('Summary Sheet'!$E$23="No",$H$33&gt;0,H67&gt;=1),"",IF(AND('Summary Sheet'!$E$23="Yes",H67&lt;&gt;""),H67*'Summary Sheet'!$G$23,""))</f>
        <v/>
      </c>
      <c r="M67" s="154"/>
      <c r="N67" s="155">
        <f>SUM('Pay App 1:Pay App 48'!L67)+SUM('Pay App 1:Pay App 48'!M67)</f>
        <v>0</v>
      </c>
    </row>
    <row r="68" spans="1:17" ht="11.25" customHeight="1" x14ac:dyDescent="0.25">
      <c r="A68" s="152">
        <v>12</v>
      </c>
      <c r="B68" s="174" t="str">
        <f>'Pay App 1'!B68</f>
        <v>01 36 00</v>
      </c>
      <c r="C68" s="179" t="str">
        <f>'Pay App 1'!C68</f>
        <v>Contingency</v>
      </c>
      <c r="D68" s="155">
        <f>'Pay App 1'!D68</f>
        <v>0</v>
      </c>
      <c r="E68" s="155">
        <f>VLOOKUP(B68,'Graph Data'!$O$2:$BX$88,50,FALSE)</f>
        <v>0</v>
      </c>
      <c r="F68" s="155">
        <f>IFERROR(E68+'Pay App 47'!F68,"")</f>
        <v>0</v>
      </c>
      <c r="G68" s="155">
        <f>SUM('Pay App 1:Pay App 47'!H68)</f>
        <v>0</v>
      </c>
      <c r="H68" s="154"/>
      <c r="I68" s="155">
        <f t="shared" si="0"/>
        <v>0</v>
      </c>
      <c r="J68" s="156">
        <f t="shared" si="1"/>
        <v>0</v>
      </c>
      <c r="K68" s="155">
        <f t="shared" si="2"/>
        <v>0</v>
      </c>
      <c r="L68" s="155" t="str">
        <f>IF(AND('Summary Sheet'!$E$23="No",$H$33&gt;0,H68&gt;=1),"",IF(AND('Summary Sheet'!$E$23="Yes",H68&lt;&gt;""),H68*'Summary Sheet'!$G$23,""))</f>
        <v/>
      </c>
      <c r="M68" s="154"/>
      <c r="N68" s="155">
        <f>SUM('Pay App 1:Pay App 48'!L68)+SUM('Pay App 1:Pay App 48'!M68)</f>
        <v>0</v>
      </c>
    </row>
    <row r="69" spans="1:17" ht="11.25" customHeight="1" x14ac:dyDescent="0.25">
      <c r="A69" s="152">
        <v>13</v>
      </c>
      <c r="B69" s="174" t="str">
        <f>'Pay App 1'!B69</f>
        <v>01 37 00</v>
      </c>
      <c r="C69" s="179" t="str">
        <f>'Pay App 1'!C69</f>
        <v>Weather Allowance (All Trades)</v>
      </c>
      <c r="D69" s="155">
        <f>'Pay App 1'!D69</f>
        <v>0</v>
      </c>
      <c r="E69" s="155">
        <f>VLOOKUP(B69,'Graph Data'!$O$2:$BX$88,50,FALSE)</f>
        <v>0</v>
      </c>
      <c r="F69" s="155">
        <f>IFERROR(E69+'Pay App 47'!F69,"")</f>
        <v>0</v>
      </c>
      <c r="G69" s="155">
        <f>SUM('Pay App 1:Pay App 47'!H69)</f>
        <v>0</v>
      </c>
      <c r="H69" s="154"/>
      <c r="I69" s="155">
        <f t="shared" si="0"/>
        <v>0</v>
      </c>
      <c r="J69" s="156">
        <f t="shared" si="1"/>
        <v>0</v>
      </c>
      <c r="K69" s="155">
        <f t="shared" si="2"/>
        <v>0</v>
      </c>
      <c r="L69" s="155" t="str">
        <f>IF(AND('Summary Sheet'!$E$23="No",$H$33&gt;0,H69&gt;=1),"",IF(AND('Summary Sheet'!$E$23="Yes",H69&lt;&gt;""),H69*'Summary Sheet'!$G$23,""))</f>
        <v/>
      </c>
      <c r="M69" s="154"/>
      <c r="N69" s="155">
        <f>SUM('Pay App 1:Pay App 48'!L69)+SUM('Pay App 1:Pay App 48'!M69)</f>
        <v>0</v>
      </c>
    </row>
    <row r="70" spans="1:17" ht="11.25" customHeight="1" x14ac:dyDescent="0.25">
      <c r="A70" s="152">
        <v>14</v>
      </c>
      <c r="B70" s="174" t="str">
        <f>'Pay App 1'!B70</f>
        <v>01 74 23</v>
      </c>
      <c r="C70" s="179" t="str">
        <f>'Pay App 1'!C70</f>
        <v>Cleaning (Final)</v>
      </c>
      <c r="D70" s="155">
        <f>'Pay App 1'!D70</f>
        <v>0</v>
      </c>
      <c r="E70" s="155">
        <f>VLOOKUP(B70,'Graph Data'!$O$2:$BX$88,50,FALSE)</f>
        <v>0</v>
      </c>
      <c r="F70" s="155">
        <f>IFERROR(E70+'Pay App 47'!F70,"")</f>
        <v>0</v>
      </c>
      <c r="G70" s="155">
        <f>SUM('Pay App 1:Pay App 47'!H70)</f>
        <v>0</v>
      </c>
      <c r="H70" s="154"/>
      <c r="I70" s="155">
        <f t="shared" si="0"/>
        <v>0</v>
      </c>
      <c r="J70" s="156">
        <f t="shared" si="1"/>
        <v>0</v>
      </c>
      <c r="K70" s="155">
        <f t="shared" si="2"/>
        <v>0</v>
      </c>
      <c r="L70" s="155" t="str">
        <f>IF(AND('Summary Sheet'!$E$23="No",$H$33&gt;0,H70&gt;=1),"",IF(AND('Summary Sheet'!$E$23="Yes",H70&lt;&gt;""),H70*'Summary Sheet'!$G$23,""))</f>
        <v/>
      </c>
      <c r="M70" s="154"/>
      <c r="N70" s="155">
        <f>SUM('Pay App 1:Pay App 48'!L70)+SUM('Pay App 1:Pay App 48'!M70)</f>
        <v>0</v>
      </c>
    </row>
    <row r="71" spans="1:17" ht="11.25" customHeight="1" x14ac:dyDescent="0.25">
      <c r="A71" s="152">
        <v>15</v>
      </c>
      <c r="B71" s="175" t="str">
        <f>'Pay App 1'!B71</f>
        <v>02 21 00</v>
      </c>
      <c r="C71" s="180" t="str">
        <f>'Pay App 1'!C71</f>
        <v>Survey/Engineering</v>
      </c>
      <c r="D71" s="155">
        <f>'Pay App 1'!D71</f>
        <v>0</v>
      </c>
      <c r="E71" s="155">
        <f>VLOOKUP(B71,'Graph Data'!$O$2:$BX$88,50,FALSE)</f>
        <v>0</v>
      </c>
      <c r="F71" s="155">
        <f>IFERROR(E71+'Pay App 47'!F71,"")</f>
        <v>0</v>
      </c>
      <c r="G71" s="155">
        <f>SUM('Pay App 1:Pay App 47'!H71)</f>
        <v>0</v>
      </c>
      <c r="H71" s="154"/>
      <c r="I71" s="155">
        <f t="shared" si="0"/>
        <v>0</v>
      </c>
      <c r="J71" s="156">
        <f t="shared" si="1"/>
        <v>0</v>
      </c>
      <c r="K71" s="155">
        <f t="shared" si="2"/>
        <v>0</v>
      </c>
      <c r="L71" s="155" t="str">
        <f>IF(AND('Summary Sheet'!$E$23="No",$H$33&gt;0,H71&gt;=1),"",IF(AND('Summary Sheet'!$E$23="Yes",H71&lt;&gt;""),H71*'Summary Sheet'!$G$23,""))</f>
        <v/>
      </c>
      <c r="M71" s="154"/>
      <c r="N71" s="155">
        <f>SUM('Pay App 1:Pay App 48'!L71)+SUM('Pay App 1:Pay App 48'!M71)</f>
        <v>0</v>
      </c>
      <c r="Q71" s="28"/>
    </row>
    <row r="72" spans="1:17" ht="11.25" customHeight="1" x14ac:dyDescent="0.25">
      <c r="A72" s="152">
        <v>16</v>
      </c>
      <c r="B72" s="175" t="str">
        <f>'Pay App 1'!B72</f>
        <v>02 41 00</v>
      </c>
      <c r="C72" s="180" t="str">
        <f>'Pay App 1'!C72</f>
        <v>Demolition</v>
      </c>
      <c r="D72" s="155">
        <f>'Pay App 1'!D72</f>
        <v>0</v>
      </c>
      <c r="E72" s="155">
        <f>VLOOKUP(B72,'Graph Data'!$O$2:$BX$88,50,FALSE)</f>
        <v>0</v>
      </c>
      <c r="F72" s="155">
        <f>IFERROR(E72+'Pay App 47'!F72,"")</f>
        <v>0</v>
      </c>
      <c r="G72" s="155">
        <f>SUM('Pay App 1:Pay App 47'!H72)</f>
        <v>0</v>
      </c>
      <c r="H72" s="154"/>
      <c r="I72" s="155">
        <f t="shared" si="0"/>
        <v>0</v>
      </c>
      <c r="J72" s="156">
        <f t="shared" si="1"/>
        <v>0</v>
      </c>
      <c r="K72" s="155">
        <f t="shared" si="2"/>
        <v>0</v>
      </c>
      <c r="L72" s="155" t="str">
        <f>IF(AND('Summary Sheet'!$E$23="No",$H$33&gt;0,H72&gt;=1),"",IF(AND('Summary Sheet'!$E$23="Yes",H72&lt;&gt;""),H72*'Summary Sheet'!$G$23,""))</f>
        <v/>
      </c>
      <c r="M72" s="154"/>
      <c r="N72" s="155">
        <f>SUM('Pay App 1:Pay App 48'!L72)+SUM('Pay App 1:Pay App 48'!M72)</f>
        <v>0</v>
      </c>
      <c r="Q72" s="28"/>
    </row>
    <row r="73" spans="1:17" ht="11.25" customHeight="1" x14ac:dyDescent="0.25">
      <c r="A73" s="152">
        <v>17</v>
      </c>
      <c r="B73" s="175" t="str">
        <f>'Pay App 1'!B73</f>
        <v>02 82 00</v>
      </c>
      <c r="C73" s="180" t="str">
        <f>'Pay App 1'!C73</f>
        <v>Asbestos Abatement</v>
      </c>
      <c r="D73" s="155">
        <f>'Pay App 1'!D73</f>
        <v>0</v>
      </c>
      <c r="E73" s="155">
        <f>VLOOKUP(B73,'Graph Data'!$O$2:$BX$88,50,FALSE)</f>
        <v>0</v>
      </c>
      <c r="F73" s="155">
        <f>IFERROR(E73+'Pay App 47'!F73,"")</f>
        <v>0</v>
      </c>
      <c r="G73" s="155">
        <f>SUM('Pay App 1:Pay App 47'!H73)</f>
        <v>0</v>
      </c>
      <c r="H73" s="154"/>
      <c r="I73" s="155">
        <f t="shared" si="0"/>
        <v>0</v>
      </c>
      <c r="J73" s="156">
        <f t="shared" si="1"/>
        <v>0</v>
      </c>
      <c r="K73" s="155">
        <f t="shared" si="2"/>
        <v>0</v>
      </c>
      <c r="L73" s="155" t="str">
        <f>IF(AND('Summary Sheet'!$E$23="No",$H$33&gt;0,H73&gt;=1),"",IF(AND('Summary Sheet'!$E$23="Yes",H73&lt;&gt;""),H73*'Summary Sheet'!$G$23,""))</f>
        <v/>
      </c>
      <c r="M73" s="154"/>
      <c r="N73" s="155">
        <f>SUM('Pay App 1:Pay App 48'!L73)+SUM('Pay App 1:Pay App 48'!M73)</f>
        <v>0</v>
      </c>
    </row>
    <row r="74" spans="1:17" ht="11.25" customHeight="1" x14ac:dyDescent="0.25">
      <c r="A74" s="152">
        <v>18</v>
      </c>
      <c r="B74" s="176" t="str">
        <f>'Pay App 1'!B74</f>
        <v>03 00 00</v>
      </c>
      <c r="C74" s="181" t="str">
        <f>'Pay App 1'!C74</f>
        <v>Building Concrete</v>
      </c>
      <c r="D74" s="155">
        <f>'Pay App 1'!D74</f>
        <v>0</v>
      </c>
      <c r="E74" s="155">
        <f>VLOOKUP(B74,'Graph Data'!$O$2:$BX$88,50,FALSE)</f>
        <v>0</v>
      </c>
      <c r="F74" s="155">
        <f>IFERROR(E74+'Pay App 47'!F74,"")</f>
        <v>0</v>
      </c>
      <c r="G74" s="155">
        <f>SUM('Pay App 1:Pay App 47'!H74)</f>
        <v>0</v>
      </c>
      <c r="H74" s="154"/>
      <c r="I74" s="155">
        <f t="shared" si="0"/>
        <v>0</v>
      </c>
      <c r="J74" s="156">
        <f t="shared" si="1"/>
        <v>0</v>
      </c>
      <c r="K74" s="155">
        <f t="shared" si="2"/>
        <v>0</v>
      </c>
      <c r="L74" s="155" t="str">
        <f>IF(AND('Summary Sheet'!$E$23="No",$H$33&gt;0,H74&gt;=1),"",IF(AND('Summary Sheet'!$E$23="Yes",H74&lt;&gt;""),H74*'Summary Sheet'!$G$23,""))</f>
        <v/>
      </c>
      <c r="M74" s="154"/>
      <c r="N74" s="155">
        <f>SUM('Pay App 1:Pay App 48'!L74)+SUM('Pay App 1:Pay App 48'!M74)</f>
        <v>0</v>
      </c>
    </row>
    <row r="75" spans="1:17" ht="11.25" customHeight="1" x14ac:dyDescent="0.25">
      <c r="A75" s="152">
        <v>19</v>
      </c>
      <c r="B75" s="176" t="str">
        <f>'Pay App 1'!B75</f>
        <v>03 20 00</v>
      </c>
      <c r="C75" s="181" t="str">
        <f>'Pay App 1'!C75</f>
        <v>Building Concrete Reinforcing</v>
      </c>
      <c r="D75" s="155">
        <f>'Pay App 1'!D75</f>
        <v>0</v>
      </c>
      <c r="E75" s="155">
        <f>VLOOKUP(B75,'Graph Data'!$O$2:$BX$88,50,FALSE)</f>
        <v>0</v>
      </c>
      <c r="F75" s="155">
        <f>IFERROR(E75+'Pay App 47'!F75,"")</f>
        <v>0</v>
      </c>
      <c r="G75" s="155">
        <f>SUM('Pay App 1:Pay App 47'!H75)</f>
        <v>0</v>
      </c>
      <c r="H75" s="154"/>
      <c r="I75" s="155">
        <f t="shared" si="0"/>
        <v>0</v>
      </c>
      <c r="J75" s="156">
        <f t="shared" si="1"/>
        <v>0</v>
      </c>
      <c r="K75" s="155">
        <f t="shared" si="2"/>
        <v>0</v>
      </c>
      <c r="L75" s="155" t="str">
        <f>IF(AND('Summary Sheet'!$E$23="No",$H$33&gt;0,H75&gt;=1),"",IF(AND('Summary Sheet'!$E$23="Yes",H75&lt;&gt;""),H75*'Summary Sheet'!$G$23,""))</f>
        <v/>
      </c>
      <c r="M75" s="154"/>
      <c r="N75" s="155">
        <f>SUM('Pay App 1:Pay App 48'!L75)+SUM('Pay App 1:Pay App 48'!M75)</f>
        <v>0</v>
      </c>
    </row>
    <row r="76" spans="1:17" ht="11.25" customHeight="1" x14ac:dyDescent="0.25">
      <c r="A76" s="152">
        <v>20</v>
      </c>
      <c r="B76" s="176" t="str">
        <f>'Pay App 1'!B76</f>
        <v>03 40 00</v>
      </c>
      <c r="C76" s="181" t="str">
        <f>'Pay App 1'!C76</f>
        <v>Precast</v>
      </c>
      <c r="D76" s="155">
        <f>'Pay App 1'!D76</f>
        <v>0</v>
      </c>
      <c r="E76" s="155">
        <f>VLOOKUP(B76,'Graph Data'!$O$2:$BX$88,50,FALSE)</f>
        <v>0</v>
      </c>
      <c r="F76" s="155">
        <f>IFERROR(E76+'Pay App 47'!F76,"")</f>
        <v>0</v>
      </c>
      <c r="G76" s="155">
        <f>SUM('Pay App 1:Pay App 47'!H76)</f>
        <v>0</v>
      </c>
      <c r="H76" s="154"/>
      <c r="I76" s="155">
        <f t="shared" si="0"/>
        <v>0</v>
      </c>
      <c r="J76" s="156">
        <f t="shared" si="1"/>
        <v>0</v>
      </c>
      <c r="K76" s="155">
        <f t="shared" si="2"/>
        <v>0</v>
      </c>
      <c r="L76" s="155" t="str">
        <f>IF(AND('Summary Sheet'!$E$23="No",$H$33&gt;0,H76&gt;=1),"",IF(AND('Summary Sheet'!$E$23="Yes",H76&lt;&gt;""),H76*'Summary Sheet'!$G$23,""))</f>
        <v/>
      </c>
      <c r="M76" s="154"/>
      <c r="N76" s="155">
        <f>SUM('Pay App 1:Pay App 48'!L76)+SUM('Pay App 1:Pay App 48'!M76)</f>
        <v>0</v>
      </c>
    </row>
    <row r="77" spans="1:17" ht="11.25" customHeight="1" x14ac:dyDescent="0.25">
      <c r="A77" s="152">
        <v>21</v>
      </c>
      <c r="B77" s="177" t="str">
        <f>'Pay App 1'!B77</f>
        <v>04 00 00</v>
      </c>
      <c r="C77" s="182" t="str">
        <f>'Pay App 1'!C77</f>
        <v>Masonry</v>
      </c>
      <c r="D77" s="155">
        <f>'Pay App 1'!D77</f>
        <v>0</v>
      </c>
      <c r="E77" s="155">
        <f>VLOOKUP(B77,'Graph Data'!$O$2:$BX$88,50,FALSE)</f>
        <v>0</v>
      </c>
      <c r="F77" s="155">
        <f>IFERROR(E77+'Pay App 47'!F77,"")</f>
        <v>0</v>
      </c>
      <c r="G77" s="155">
        <f>SUM('Pay App 1:Pay App 47'!H77)</f>
        <v>0</v>
      </c>
      <c r="H77" s="154"/>
      <c r="I77" s="155">
        <f t="shared" si="0"/>
        <v>0</v>
      </c>
      <c r="J77" s="156">
        <f t="shared" si="1"/>
        <v>0</v>
      </c>
      <c r="K77" s="155">
        <f t="shared" si="2"/>
        <v>0</v>
      </c>
      <c r="L77" s="155" t="str">
        <f>IF(AND('Summary Sheet'!$E$23="No",$H$33&gt;0,H77&gt;=1),"",IF(AND('Summary Sheet'!$E$23="Yes",H77&lt;&gt;""),H77*'Summary Sheet'!$G$23,""))</f>
        <v/>
      </c>
      <c r="M77" s="154"/>
      <c r="N77" s="155">
        <f>SUM('Pay App 1:Pay App 48'!L77)+SUM('Pay App 1:Pay App 48'!M77)</f>
        <v>0</v>
      </c>
    </row>
    <row r="78" spans="1:17" ht="11.25" customHeight="1" x14ac:dyDescent="0.25">
      <c r="A78" s="152">
        <v>22</v>
      </c>
      <c r="B78" s="177" t="str">
        <f>'Pay App 1'!B78</f>
        <v>04 05 19</v>
      </c>
      <c r="C78" s="182" t="str">
        <f>'Pay App 1'!C78</f>
        <v>Masonry Reinforcing</v>
      </c>
      <c r="D78" s="155">
        <f>'Pay App 1'!D78</f>
        <v>0</v>
      </c>
      <c r="E78" s="155">
        <f>VLOOKUP(B78,'Graph Data'!$O$2:$BX$88,50,FALSE)</f>
        <v>0</v>
      </c>
      <c r="F78" s="155">
        <f>IFERROR(E78+'Pay App 47'!F78,"")</f>
        <v>0</v>
      </c>
      <c r="G78" s="155">
        <f>SUM('Pay App 1:Pay App 47'!H78)</f>
        <v>0</v>
      </c>
      <c r="H78" s="154"/>
      <c r="I78" s="155">
        <f t="shared" si="0"/>
        <v>0</v>
      </c>
      <c r="J78" s="156">
        <f t="shared" si="1"/>
        <v>0</v>
      </c>
      <c r="K78" s="155">
        <f t="shared" si="2"/>
        <v>0</v>
      </c>
      <c r="L78" s="155" t="str">
        <f>IF(AND('Summary Sheet'!$E$23="No",$H$33&gt;0,H78&gt;=1),"",IF(AND('Summary Sheet'!$E$23="Yes",H78&lt;&gt;""),H78*'Summary Sheet'!$G$23,""))</f>
        <v/>
      </c>
      <c r="M78" s="154"/>
      <c r="N78" s="155">
        <f>SUM('Pay App 1:Pay App 48'!L78)+SUM('Pay App 1:Pay App 48'!M78)</f>
        <v>0</v>
      </c>
    </row>
    <row r="79" spans="1:17" ht="11.25" customHeight="1" x14ac:dyDescent="0.25">
      <c r="A79" s="152">
        <v>23</v>
      </c>
      <c r="B79" s="178" t="str">
        <f>'Pay App 1'!B79</f>
        <v>05 10 00</v>
      </c>
      <c r="C79" s="183" t="str">
        <f>'Pay App 1'!C79</f>
        <v>Structural Steel/Misc. Steel Fab</v>
      </c>
      <c r="D79" s="155">
        <f>'Pay App 1'!D79</f>
        <v>0</v>
      </c>
      <c r="E79" s="155">
        <f>VLOOKUP(B79,'Graph Data'!$O$2:$BX$88,50,FALSE)</f>
        <v>0</v>
      </c>
      <c r="F79" s="155">
        <f>IFERROR(E79+'Pay App 47'!F79,"")</f>
        <v>0</v>
      </c>
      <c r="G79" s="155">
        <f>SUM('Pay App 1:Pay App 47'!H79)</f>
        <v>0</v>
      </c>
      <c r="H79" s="154"/>
      <c r="I79" s="155">
        <f t="shared" si="0"/>
        <v>0</v>
      </c>
      <c r="J79" s="156">
        <f t="shared" si="1"/>
        <v>0</v>
      </c>
      <c r="K79" s="155">
        <f t="shared" si="2"/>
        <v>0</v>
      </c>
      <c r="L79" s="155" t="str">
        <f>IF(AND('Summary Sheet'!$E$23="No",$H$33&gt;0,H79&gt;=1),"",IF(AND('Summary Sheet'!$E$23="Yes",H79&lt;&gt;""),H79*'Summary Sheet'!$G$23,""))</f>
        <v/>
      </c>
      <c r="M79" s="154"/>
      <c r="N79" s="155">
        <f>SUM('Pay App 1:Pay App 48'!L79)+SUM('Pay App 1:Pay App 48'!M79)</f>
        <v>0</v>
      </c>
    </row>
    <row r="80" spans="1:17" ht="11.25" customHeight="1" x14ac:dyDescent="0.25">
      <c r="A80" s="152">
        <v>24</v>
      </c>
      <c r="B80" s="178" t="str">
        <f>'Pay App 1'!B80</f>
        <v>05 20 00</v>
      </c>
      <c r="C80" s="183" t="str">
        <f>'Pay App 1'!C80</f>
        <v>Joists &amp; Deck</v>
      </c>
      <c r="D80" s="155">
        <f>'Pay App 1'!D80</f>
        <v>0</v>
      </c>
      <c r="E80" s="155">
        <f>VLOOKUP(B80,'Graph Data'!$O$2:$BX$88,50,FALSE)</f>
        <v>0</v>
      </c>
      <c r="F80" s="155">
        <f>IFERROR(E80+'Pay App 47'!F80,"")</f>
        <v>0</v>
      </c>
      <c r="G80" s="155">
        <f>SUM('Pay App 1:Pay App 47'!H80)</f>
        <v>0</v>
      </c>
      <c r="H80" s="154"/>
      <c r="I80" s="155">
        <f t="shared" si="0"/>
        <v>0</v>
      </c>
      <c r="J80" s="156">
        <f t="shared" si="1"/>
        <v>0</v>
      </c>
      <c r="K80" s="155">
        <f t="shared" si="2"/>
        <v>0</v>
      </c>
      <c r="L80" s="155" t="str">
        <f>IF(AND('Summary Sheet'!$E$23="No",$H$33&gt;0,H80&gt;=1),"",IF(AND('Summary Sheet'!$E$23="Yes",H80&lt;&gt;""),H80*'Summary Sheet'!$G$23,""))</f>
        <v/>
      </c>
      <c r="M80" s="154"/>
      <c r="N80" s="155">
        <f>SUM('Pay App 1:Pay App 48'!L80)+SUM('Pay App 1:Pay App 48'!M80)</f>
        <v>0</v>
      </c>
    </row>
    <row r="81" spans="1:14" ht="11.25" customHeight="1" x14ac:dyDescent="0.25">
      <c r="A81" s="152">
        <v>25</v>
      </c>
      <c r="B81" s="178" t="str">
        <f>'Pay App 1'!B81</f>
        <v>05 70 00</v>
      </c>
      <c r="C81" s="183" t="str">
        <f>'Pay App 1'!C81</f>
        <v>Ornamental Metal</v>
      </c>
      <c r="D81" s="155">
        <f>'Pay App 1'!D81</f>
        <v>0</v>
      </c>
      <c r="E81" s="155">
        <f>VLOOKUP(B81,'Graph Data'!$O$2:$BX$88,50,FALSE)</f>
        <v>0</v>
      </c>
      <c r="F81" s="155">
        <f>IFERROR(E81+'Pay App 47'!F81,"")</f>
        <v>0</v>
      </c>
      <c r="G81" s="155">
        <f>SUM('Pay App 1:Pay App 47'!H81)</f>
        <v>0</v>
      </c>
      <c r="H81" s="154"/>
      <c r="I81" s="155">
        <f t="shared" si="0"/>
        <v>0</v>
      </c>
      <c r="J81" s="156">
        <f t="shared" si="1"/>
        <v>0</v>
      </c>
      <c r="K81" s="155">
        <f t="shared" si="2"/>
        <v>0</v>
      </c>
      <c r="L81" s="155" t="str">
        <f>IF(AND('Summary Sheet'!$E$23="No",$H$33&gt;0,H81&gt;=1),"",IF(AND('Summary Sheet'!$E$23="Yes",H81&lt;&gt;""),H81*'Summary Sheet'!$G$23,""))</f>
        <v/>
      </c>
      <c r="M81" s="154"/>
      <c r="N81" s="155">
        <f>SUM('Pay App 1:Pay App 48'!L81)+SUM('Pay App 1:Pay App 48'!M81)</f>
        <v>0</v>
      </c>
    </row>
    <row r="82" spans="1:14" ht="11.25" customHeight="1" x14ac:dyDescent="0.25">
      <c r="A82" s="152">
        <v>26</v>
      </c>
      <c r="B82" s="145" t="str">
        <f>'Pay App 1'!B82</f>
        <v>06 10 00</v>
      </c>
      <c r="C82" s="134" t="str">
        <f>'Pay App 1'!C82</f>
        <v>Rough Carpentry</v>
      </c>
      <c r="D82" s="155">
        <f>'Pay App 1'!D82</f>
        <v>0</v>
      </c>
      <c r="E82" s="155">
        <f>VLOOKUP(B82,'Graph Data'!$O$2:$BX$88,50,FALSE)</f>
        <v>0</v>
      </c>
      <c r="F82" s="155">
        <f>IFERROR(E82+'Pay App 47'!F82,"")</f>
        <v>0</v>
      </c>
      <c r="G82" s="155">
        <f>SUM('Pay App 1:Pay App 47'!H82)</f>
        <v>0</v>
      </c>
      <c r="H82" s="154"/>
      <c r="I82" s="155">
        <f t="shared" si="0"/>
        <v>0</v>
      </c>
      <c r="J82" s="156">
        <f t="shared" si="1"/>
        <v>0</v>
      </c>
      <c r="K82" s="155">
        <f t="shared" si="2"/>
        <v>0</v>
      </c>
      <c r="L82" s="155" t="str">
        <f>IF(AND('Summary Sheet'!$E$23="No",$H$33&gt;0,H82&gt;=1),"",IF(AND('Summary Sheet'!$E$23="Yes",H82&lt;&gt;""),H82*'Summary Sheet'!$G$23,""))</f>
        <v/>
      </c>
      <c r="M82" s="154"/>
      <c r="N82" s="155">
        <f>SUM('Pay App 1:Pay App 48'!L82)+SUM('Pay App 1:Pay App 48'!M82)</f>
        <v>0</v>
      </c>
    </row>
    <row r="83" spans="1:14" ht="11.25" customHeight="1" x14ac:dyDescent="0.25">
      <c r="A83" s="152">
        <v>27</v>
      </c>
      <c r="B83" s="145" t="str">
        <f>'Pay App 1'!B83</f>
        <v>06 40 00</v>
      </c>
      <c r="C83" s="134" t="str">
        <f>'Pay App 1'!C83</f>
        <v>Arch. Woodwork &amp; Finish Carp.</v>
      </c>
      <c r="D83" s="155">
        <f>'Pay App 1'!D83</f>
        <v>0</v>
      </c>
      <c r="E83" s="155">
        <f>VLOOKUP(B83,'Graph Data'!$O$2:$BX$88,50,FALSE)</f>
        <v>0</v>
      </c>
      <c r="F83" s="155">
        <f>IFERROR(E83+'Pay App 47'!F83,"")</f>
        <v>0</v>
      </c>
      <c r="G83" s="155">
        <f>SUM('Pay App 1:Pay App 47'!H83)</f>
        <v>0</v>
      </c>
      <c r="H83" s="154"/>
      <c r="I83" s="155">
        <f t="shared" si="0"/>
        <v>0</v>
      </c>
      <c r="J83" s="156">
        <f t="shared" si="1"/>
        <v>0</v>
      </c>
      <c r="K83" s="155">
        <f t="shared" si="2"/>
        <v>0</v>
      </c>
      <c r="L83" s="155" t="str">
        <f>IF(AND('Summary Sheet'!$E$23="No",$H$33&gt;0,H83&gt;=1),"",IF(AND('Summary Sheet'!$E$23="Yes",H83&lt;&gt;""),H83*'Summary Sheet'!$G$23,""))</f>
        <v/>
      </c>
      <c r="M83" s="154"/>
      <c r="N83" s="155">
        <f>SUM('Pay App 1:Pay App 48'!L83)+SUM('Pay App 1:Pay App 48'!M83)</f>
        <v>0</v>
      </c>
    </row>
    <row r="84" spans="1:14" ht="11.25" customHeight="1" x14ac:dyDescent="0.25">
      <c r="A84" s="152">
        <v>28</v>
      </c>
      <c r="B84" s="174" t="str">
        <f>'Pay App 1'!B84</f>
        <v>07 10 00</v>
      </c>
      <c r="C84" s="179" t="str">
        <f>'Pay App 1'!C84</f>
        <v>Waterproofing/Water Repellents</v>
      </c>
      <c r="D84" s="155">
        <f>'Pay App 1'!D84</f>
        <v>0</v>
      </c>
      <c r="E84" s="155">
        <f>VLOOKUP(B84,'Graph Data'!$O$2:$BX$88,50,FALSE)</f>
        <v>0</v>
      </c>
      <c r="F84" s="155">
        <f>IFERROR(E84+'Pay App 47'!F84,"")</f>
        <v>0</v>
      </c>
      <c r="G84" s="155">
        <f>SUM('Pay App 1:Pay App 47'!H84)</f>
        <v>0</v>
      </c>
      <c r="H84" s="154"/>
      <c r="I84" s="155">
        <f t="shared" si="0"/>
        <v>0</v>
      </c>
      <c r="J84" s="156">
        <f t="shared" si="1"/>
        <v>0</v>
      </c>
      <c r="K84" s="155">
        <f t="shared" si="2"/>
        <v>0</v>
      </c>
      <c r="L84" s="155" t="str">
        <f>IF(AND('Summary Sheet'!$E$23="No",$H$33&gt;0,H84&gt;=1),"",IF(AND('Summary Sheet'!$E$23="Yes",H84&lt;&gt;""),H84*'Summary Sheet'!$G$23,""))</f>
        <v/>
      </c>
      <c r="M84" s="154"/>
      <c r="N84" s="155">
        <f>SUM('Pay App 1:Pay App 48'!L84)+SUM('Pay App 1:Pay App 48'!M84)</f>
        <v>0</v>
      </c>
    </row>
    <row r="85" spans="1:14" ht="11.25" customHeight="1" x14ac:dyDescent="0.25">
      <c r="A85" s="152">
        <v>29</v>
      </c>
      <c r="B85" s="174" t="str">
        <f>'Pay App 1'!B85</f>
        <v>07 20 00</v>
      </c>
      <c r="C85" s="179" t="str">
        <f>'Pay App 1'!C85</f>
        <v>Insulation</v>
      </c>
      <c r="D85" s="155">
        <f>'Pay App 1'!D85</f>
        <v>0</v>
      </c>
      <c r="E85" s="155">
        <f>VLOOKUP(B85,'Graph Data'!$O$2:$BX$88,50,FALSE)</f>
        <v>0</v>
      </c>
      <c r="F85" s="155">
        <f>IFERROR(E85+'Pay App 47'!F85,"")</f>
        <v>0</v>
      </c>
      <c r="G85" s="155">
        <f>SUM('Pay App 1:Pay App 47'!H85)</f>
        <v>0</v>
      </c>
      <c r="H85" s="154"/>
      <c r="I85" s="155">
        <f t="shared" si="0"/>
        <v>0</v>
      </c>
      <c r="J85" s="156">
        <f t="shared" si="1"/>
        <v>0</v>
      </c>
      <c r="K85" s="155">
        <f t="shared" si="2"/>
        <v>0</v>
      </c>
      <c r="L85" s="155" t="str">
        <f>IF(AND('Summary Sheet'!$E$23="No",$H$33&gt;0,H85&gt;=1),"",IF(AND('Summary Sheet'!$E$23="Yes",H85&lt;&gt;""),H85*'Summary Sheet'!$G$23,""))</f>
        <v/>
      </c>
      <c r="M85" s="154"/>
      <c r="N85" s="155">
        <f>SUM('Pay App 1:Pay App 48'!L85)+SUM('Pay App 1:Pay App 48'!M85)</f>
        <v>0</v>
      </c>
    </row>
    <row r="86" spans="1:14" ht="11.25" customHeight="1" x14ac:dyDescent="0.25">
      <c r="A86" s="152">
        <v>30</v>
      </c>
      <c r="B86" s="174" t="str">
        <f>'Pay App 1'!B86</f>
        <v>07 24 00</v>
      </c>
      <c r="C86" s="179" t="str">
        <f>'Pay App 1'!C86</f>
        <v>EIFS</v>
      </c>
      <c r="D86" s="155">
        <f>'Pay App 1'!D86</f>
        <v>0</v>
      </c>
      <c r="E86" s="155">
        <f>VLOOKUP(B86,'Graph Data'!$O$2:$BX$88,50,FALSE)</f>
        <v>0</v>
      </c>
      <c r="F86" s="155">
        <f>IFERROR(E86+'Pay App 47'!F86,"")</f>
        <v>0</v>
      </c>
      <c r="G86" s="155">
        <f>SUM('Pay App 1:Pay App 47'!H86)</f>
        <v>0</v>
      </c>
      <c r="H86" s="154"/>
      <c r="I86" s="155">
        <f t="shared" si="0"/>
        <v>0</v>
      </c>
      <c r="J86" s="156">
        <f t="shared" si="1"/>
        <v>0</v>
      </c>
      <c r="K86" s="155">
        <f t="shared" si="2"/>
        <v>0</v>
      </c>
      <c r="L86" s="155" t="str">
        <f>IF(AND('Summary Sheet'!$E$23="No",$H$33&gt;0,H86&gt;=1),"",IF(AND('Summary Sheet'!$E$23="Yes",H86&lt;&gt;""),H86*'Summary Sheet'!$G$23,""))</f>
        <v/>
      </c>
      <c r="M86" s="154"/>
      <c r="N86" s="155">
        <f>SUM('Pay App 1:Pay App 48'!L86)+SUM('Pay App 1:Pay App 48'!M86)</f>
        <v>0</v>
      </c>
    </row>
    <row r="87" spans="1:14" ht="11.25" customHeight="1" x14ac:dyDescent="0.25">
      <c r="A87" s="152">
        <v>31</v>
      </c>
      <c r="B87" s="174" t="str">
        <f>'Pay App 1'!B87</f>
        <v>07 26 00</v>
      </c>
      <c r="C87" s="179" t="str">
        <f>'Pay App 1'!C87</f>
        <v>Vapor Retarders</v>
      </c>
      <c r="D87" s="155">
        <f>'Pay App 1'!D87</f>
        <v>0</v>
      </c>
      <c r="E87" s="155">
        <f>VLOOKUP(B87,'Graph Data'!$O$2:$BX$88,50,FALSE)</f>
        <v>0</v>
      </c>
      <c r="F87" s="155">
        <f>IFERROR(E87+'Pay App 47'!F87,"")</f>
        <v>0</v>
      </c>
      <c r="G87" s="155">
        <f>SUM('Pay App 1:Pay App 47'!H87)</f>
        <v>0</v>
      </c>
      <c r="H87" s="154"/>
      <c r="I87" s="155">
        <f t="shared" si="0"/>
        <v>0</v>
      </c>
      <c r="J87" s="156">
        <f t="shared" si="1"/>
        <v>0</v>
      </c>
      <c r="K87" s="155">
        <f t="shared" si="2"/>
        <v>0</v>
      </c>
      <c r="L87" s="155" t="str">
        <f>IF(AND('Summary Sheet'!$E$23="No",$H$33&gt;0,H87&gt;=1),"",IF(AND('Summary Sheet'!$E$23="Yes",H87&lt;&gt;""),H87*'Summary Sheet'!$G$23,""))</f>
        <v/>
      </c>
      <c r="M87" s="154"/>
      <c r="N87" s="155">
        <f>SUM('Pay App 1:Pay App 48'!L87)+SUM('Pay App 1:Pay App 48'!M87)</f>
        <v>0</v>
      </c>
    </row>
    <row r="88" spans="1:14" ht="11.25" customHeight="1" x14ac:dyDescent="0.25">
      <c r="A88" s="152">
        <v>32</v>
      </c>
      <c r="B88" s="174" t="str">
        <f>'Pay App 1'!B88</f>
        <v>07 41 00</v>
      </c>
      <c r="C88" s="179" t="str">
        <f>'Pay App 1'!C88</f>
        <v>Roofing</v>
      </c>
      <c r="D88" s="155">
        <f>'Pay App 1'!D88</f>
        <v>0</v>
      </c>
      <c r="E88" s="155">
        <f>VLOOKUP(B88,'Graph Data'!$O$2:$BX$88,50,FALSE)</f>
        <v>0</v>
      </c>
      <c r="F88" s="155">
        <f>IFERROR(E88+'Pay App 47'!F88,"")</f>
        <v>0</v>
      </c>
      <c r="G88" s="155">
        <f>SUM('Pay App 1:Pay App 47'!H88)</f>
        <v>0</v>
      </c>
      <c r="H88" s="154"/>
      <c r="I88" s="155">
        <f t="shared" si="0"/>
        <v>0</v>
      </c>
      <c r="J88" s="156">
        <f t="shared" si="1"/>
        <v>0</v>
      </c>
      <c r="K88" s="155">
        <f t="shared" si="2"/>
        <v>0</v>
      </c>
      <c r="L88" s="155" t="str">
        <f>IF(AND('Summary Sheet'!$E$23="No",$H$33&gt;0,H88&gt;=1),"",IF(AND('Summary Sheet'!$E$23="Yes",H88&lt;&gt;""),H88*'Summary Sheet'!$G$23,""))</f>
        <v/>
      </c>
      <c r="M88" s="154"/>
      <c r="N88" s="155">
        <f>SUM('Pay App 1:Pay App 48'!L88)+SUM('Pay App 1:Pay App 48'!M88)</f>
        <v>0</v>
      </c>
    </row>
    <row r="89" spans="1:14" ht="11.25" customHeight="1" x14ac:dyDescent="0.25">
      <c r="A89" s="152">
        <v>33</v>
      </c>
      <c r="B89" s="174" t="str">
        <f>'Pay App 1'!B89</f>
        <v>07 42 00</v>
      </c>
      <c r="C89" s="179" t="str">
        <f>'Pay App 1'!C89</f>
        <v>Metal Panels</v>
      </c>
      <c r="D89" s="155">
        <f>'Pay App 1'!D89</f>
        <v>0</v>
      </c>
      <c r="E89" s="155">
        <f>VLOOKUP(B89,'Graph Data'!$O$2:$BX$88,50,FALSE)</f>
        <v>0</v>
      </c>
      <c r="F89" s="155">
        <f>IFERROR(E89+'Pay App 47'!F89,"")</f>
        <v>0</v>
      </c>
      <c r="G89" s="155">
        <f>SUM('Pay App 1:Pay App 47'!H89)</f>
        <v>0</v>
      </c>
      <c r="H89" s="154"/>
      <c r="I89" s="155">
        <f t="shared" si="0"/>
        <v>0</v>
      </c>
      <c r="J89" s="156">
        <f t="shared" si="1"/>
        <v>0</v>
      </c>
      <c r="K89" s="155">
        <f t="shared" si="2"/>
        <v>0</v>
      </c>
      <c r="L89" s="155" t="str">
        <f>IF(AND('Summary Sheet'!$E$23="No",$H$33&gt;0,H89&gt;=1),"",IF(AND('Summary Sheet'!$E$23="Yes",H89&lt;&gt;""),H89*'Summary Sheet'!$G$23,""))</f>
        <v/>
      </c>
      <c r="M89" s="154"/>
      <c r="N89" s="155">
        <f>SUM('Pay App 1:Pay App 48'!L89)+SUM('Pay App 1:Pay App 48'!M89)</f>
        <v>0</v>
      </c>
    </row>
    <row r="90" spans="1:14" ht="11.25" customHeight="1" x14ac:dyDescent="0.25">
      <c r="A90" s="152">
        <v>34</v>
      </c>
      <c r="B90" s="174" t="str">
        <f>'Pay App 1'!B90</f>
        <v>07 60 00</v>
      </c>
      <c r="C90" s="179" t="str">
        <f>'Pay App 1'!C90</f>
        <v>Sheet Metal Flashing &amp; Trim</v>
      </c>
      <c r="D90" s="155">
        <f>'Pay App 1'!D90</f>
        <v>0</v>
      </c>
      <c r="E90" s="155">
        <f>VLOOKUP(B90,'Graph Data'!$O$2:$BX$88,50,FALSE)</f>
        <v>0</v>
      </c>
      <c r="F90" s="155">
        <f>IFERROR(E90+'Pay App 47'!F90,"")</f>
        <v>0</v>
      </c>
      <c r="G90" s="155">
        <f>SUM('Pay App 1:Pay App 47'!H90)</f>
        <v>0</v>
      </c>
      <c r="H90" s="154"/>
      <c r="I90" s="155">
        <f t="shared" si="0"/>
        <v>0</v>
      </c>
      <c r="J90" s="156">
        <f t="shared" si="1"/>
        <v>0</v>
      </c>
      <c r="K90" s="155">
        <f t="shared" si="2"/>
        <v>0</v>
      </c>
      <c r="L90" s="155" t="str">
        <f>IF(AND('Summary Sheet'!$E$23="No",$H$33&gt;0,H90&gt;=1),"",IF(AND('Summary Sheet'!$E$23="Yes",H90&lt;&gt;""),H90*'Summary Sheet'!$G$23,""))</f>
        <v/>
      </c>
      <c r="M90" s="154"/>
      <c r="N90" s="155">
        <f>SUM('Pay App 1:Pay App 48'!L90)+SUM('Pay App 1:Pay App 48'!M90)</f>
        <v>0</v>
      </c>
    </row>
    <row r="91" spans="1:14" ht="11.25" customHeight="1" x14ac:dyDescent="0.25">
      <c r="A91" s="152">
        <v>35</v>
      </c>
      <c r="B91" s="174" t="str">
        <f>'Pay App 1'!B91</f>
        <v>07 80 00</v>
      </c>
      <c r="C91" s="179" t="str">
        <f>'Pay App 1'!C91</f>
        <v>Fireproofing</v>
      </c>
      <c r="D91" s="155">
        <f>'Pay App 1'!D91</f>
        <v>0</v>
      </c>
      <c r="E91" s="155">
        <f>VLOOKUP(B91,'Graph Data'!$O$2:$BX$88,50,FALSE)</f>
        <v>0</v>
      </c>
      <c r="F91" s="155">
        <f>IFERROR(E91+'Pay App 47'!F91,"")</f>
        <v>0</v>
      </c>
      <c r="G91" s="155">
        <f>SUM('Pay App 1:Pay App 47'!H91)</f>
        <v>0</v>
      </c>
      <c r="H91" s="154"/>
      <c r="I91" s="155">
        <f t="shared" si="0"/>
        <v>0</v>
      </c>
      <c r="J91" s="156">
        <f t="shared" si="1"/>
        <v>0</v>
      </c>
      <c r="K91" s="155">
        <f t="shared" si="2"/>
        <v>0</v>
      </c>
      <c r="L91" s="155" t="str">
        <f>IF(AND('Summary Sheet'!$E$23="No",$H$33&gt;0,H91&gt;=1),"",IF(AND('Summary Sheet'!$E$23="Yes",H91&lt;&gt;""),H91*'Summary Sheet'!$G$23,""))</f>
        <v/>
      </c>
      <c r="M91" s="154"/>
      <c r="N91" s="155">
        <f>SUM('Pay App 1:Pay App 48'!L91)+SUM('Pay App 1:Pay App 48'!M91)</f>
        <v>0</v>
      </c>
    </row>
    <row r="92" spans="1:14" ht="11.25" customHeight="1" x14ac:dyDescent="0.25">
      <c r="A92" s="152">
        <v>36</v>
      </c>
      <c r="B92" s="174" t="str">
        <f>'Pay App 1'!B92</f>
        <v>07 90 00</v>
      </c>
      <c r="C92" s="179" t="str">
        <f>'Pay App 1'!C92</f>
        <v>Joint Sealants</v>
      </c>
      <c r="D92" s="155">
        <f>'Pay App 1'!D92</f>
        <v>0</v>
      </c>
      <c r="E92" s="155">
        <f>VLOOKUP(B92,'Graph Data'!$O$2:$BX$88,50,FALSE)</f>
        <v>0</v>
      </c>
      <c r="F92" s="155">
        <f>IFERROR(E92+'Pay App 47'!F92,"")</f>
        <v>0</v>
      </c>
      <c r="G92" s="155">
        <f>SUM('Pay App 1:Pay App 47'!H92)</f>
        <v>0</v>
      </c>
      <c r="H92" s="154"/>
      <c r="I92" s="155">
        <f t="shared" si="0"/>
        <v>0</v>
      </c>
      <c r="J92" s="156">
        <f t="shared" si="1"/>
        <v>0</v>
      </c>
      <c r="K92" s="155">
        <f t="shared" si="2"/>
        <v>0</v>
      </c>
      <c r="L92" s="155" t="str">
        <f>IF(AND('Summary Sheet'!$E$23="No",$H$33&gt;0,H92&gt;=1),"",IF(AND('Summary Sheet'!$E$23="Yes",H92&lt;&gt;""),H92*'Summary Sheet'!$G$23,""))</f>
        <v/>
      </c>
      <c r="M92" s="154"/>
      <c r="N92" s="155">
        <f>SUM('Pay App 1:Pay App 48'!L92)+SUM('Pay App 1:Pay App 48'!M92)</f>
        <v>0</v>
      </c>
    </row>
    <row r="93" spans="1:14" ht="11.25" customHeight="1" x14ac:dyDescent="0.25">
      <c r="A93" s="152">
        <v>37</v>
      </c>
      <c r="B93" s="174" t="str">
        <f>'Pay App 1'!B93</f>
        <v>07 95 00</v>
      </c>
      <c r="C93" s="179" t="str">
        <f>'Pay App 1'!C93</f>
        <v>Expansion Joints</v>
      </c>
      <c r="D93" s="155">
        <f>'Pay App 1'!D93</f>
        <v>0</v>
      </c>
      <c r="E93" s="155">
        <f>VLOOKUP(B93,'Graph Data'!$O$2:$BX$88,50,FALSE)</f>
        <v>0</v>
      </c>
      <c r="F93" s="155">
        <f>IFERROR(E93+'Pay App 47'!F93,"")</f>
        <v>0</v>
      </c>
      <c r="G93" s="155">
        <f>SUM('Pay App 1:Pay App 47'!H93)</f>
        <v>0</v>
      </c>
      <c r="H93" s="154"/>
      <c r="I93" s="155">
        <f t="shared" si="0"/>
        <v>0</v>
      </c>
      <c r="J93" s="156">
        <f t="shared" si="1"/>
        <v>0</v>
      </c>
      <c r="K93" s="155">
        <f t="shared" si="2"/>
        <v>0</v>
      </c>
      <c r="L93" s="155" t="str">
        <f>IF(AND('Summary Sheet'!$E$23="No",$H$33&gt;0,H93&gt;=1),"",IF(AND('Summary Sheet'!$E$23="Yes",H93&lt;&gt;""),H93*'Summary Sheet'!$G$23,""))</f>
        <v/>
      </c>
      <c r="M93" s="154"/>
      <c r="N93" s="155">
        <f>SUM('Pay App 1:Pay App 48'!L93)+SUM('Pay App 1:Pay App 48'!M93)</f>
        <v>0</v>
      </c>
    </row>
    <row r="94" spans="1:14" ht="11.25" customHeight="1" x14ac:dyDescent="0.25">
      <c r="A94" s="152">
        <v>38</v>
      </c>
      <c r="B94" s="175" t="str">
        <f>'Pay App 1'!B94</f>
        <v>08 10 00</v>
      </c>
      <c r="C94" s="180" t="str">
        <f>'Pay App 1'!C94</f>
        <v>Doors, Frames &amp; Hardware</v>
      </c>
      <c r="D94" s="155">
        <f>'Pay App 1'!D94</f>
        <v>0</v>
      </c>
      <c r="E94" s="155">
        <f>VLOOKUP(B94,'Graph Data'!$O$2:$BX$88,50,FALSE)</f>
        <v>0</v>
      </c>
      <c r="F94" s="155">
        <f>IFERROR(E94+'Pay App 47'!F94,"")</f>
        <v>0</v>
      </c>
      <c r="G94" s="155">
        <f>SUM('Pay App 1:Pay App 47'!H94)</f>
        <v>0</v>
      </c>
      <c r="H94" s="154"/>
      <c r="I94" s="155">
        <f t="shared" si="0"/>
        <v>0</v>
      </c>
      <c r="J94" s="156">
        <f t="shared" si="1"/>
        <v>0</v>
      </c>
      <c r="K94" s="155">
        <f t="shared" si="2"/>
        <v>0</v>
      </c>
      <c r="L94" s="155" t="str">
        <f>IF(AND('Summary Sheet'!$E$23="No",$H$33&gt;0,H94&gt;=1),"",IF(AND('Summary Sheet'!$E$23="Yes",H94&lt;&gt;""),H94*'Summary Sheet'!$G$23,""))</f>
        <v/>
      </c>
      <c r="M94" s="154"/>
      <c r="N94" s="155">
        <f>SUM('Pay App 1:Pay App 48'!L94)+SUM('Pay App 1:Pay App 48'!M94)</f>
        <v>0</v>
      </c>
    </row>
    <row r="95" spans="1:14" ht="11.25" customHeight="1" x14ac:dyDescent="0.25">
      <c r="A95" s="152">
        <v>39</v>
      </c>
      <c r="B95" s="175" t="str">
        <f>'Pay App 1'!B95</f>
        <v>08 30 00</v>
      </c>
      <c r="C95" s="180" t="str">
        <f>'Pay App 1'!C95</f>
        <v>Specialty Doors</v>
      </c>
      <c r="D95" s="155">
        <f>'Pay App 1'!D95</f>
        <v>0</v>
      </c>
      <c r="E95" s="155">
        <f>VLOOKUP(B95,'Graph Data'!$O$2:$BX$88,50,FALSE)</f>
        <v>0</v>
      </c>
      <c r="F95" s="155">
        <f>IFERROR(E95+'Pay App 47'!F95,"")</f>
        <v>0</v>
      </c>
      <c r="G95" s="155">
        <f>SUM('Pay App 1:Pay App 47'!H95)</f>
        <v>0</v>
      </c>
      <c r="H95" s="154"/>
      <c r="I95" s="155">
        <f t="shared" si="0"/>
        <v>0</v>
      </c>
      <c r="J95" s="156">
        <f t="shared" si="1"/>
        <v>0</v>
      </c>
      <c r="K95" s="155">
        <f t="shared" si="2"/>
        <v>0</v>
      </c>
      <c r="L95" s="155" t="str">
        <f>IF(AND('Summary Sheet'!$E$23="No",$H$33&gt;0,H95&gt;=1),"",IF(AND('Summary Sheet'!$E$23="Yes",H95&lt;&gt;""),H95*'Summary Sheet'!$G$23,""))</f>
        <v/>
      </c>
      <c r="M95" s="154"/>
      <c r="N95" s="155">
        <f>SUM('Pay App 1:Pay App 48'!L95)+SUM('Pay App 1:Pay App 48'!M95)</f>
        <v>0</v>
      </c>
    </row>
    <row r="96" spans="1:14" ht="11.25" customHeight="1" x14ac:dyDescent="0.25">
      <c r="A96" s="152">
        <v>40</v>
      </c>
      <c r="B96" s="175" t="str">
        <f>'Pay App 1'!B96</f>
        <v>08 33 00</v>
      </c>
      <c r="C96" s="180" t="str">
        <f>'Pay App 1'!C96</f>
        <v>Overhead Doors/Coiling Doors</v>
      </c>
      <c r="D96" s="155">
        <f>'Pay App 1'!D96</f>
        <v>0</v>
      </c>
      <c r="E96" s="155">
        <f>VLOOKUP(B96,'Graph Data'!$O$2:$BX$88,50,FALSE)</f>
        <v>0</v>
      </c>
      <c r="F96" s="155">
        <f>IFERROR(E96+'Pay App 47'!F96,"")</f>
        <v>0</v>
      </c>
      <c r="G96" s="155">
        <f>SUM('Pay App 1:Pay App 47'!H96)</f>
        <v>0</v>
      </c>
      <c r="H96" s="154"/>
      <c r="I96" s="155">
        <f t="shared" si="0"/>
        <v>0</v>
      </c>
      <c r="J96" s="156">
        <f t="shared" si="1"/>
        <v>0</v>
      </c>
      <c r="K96" s="155">
        <f t="shared" si="2"/>
        <v>0</v>
      </c>
      <c r="L96" s="155" t="str">
        <f>IF(AND('Summary Sheet'!$E$23="No",$H$33&gt;0,H96&gt;=1),"",IF(AND('Summary Sheet'!$E$23="Yes",H96&lt;&gt;""),H96*'Summary Sheet'!$G$23,""))</f>
        <v/>
      </c>
      <c r="M96" s="154"/>
      <c r="N96" s="155">
        <f>SUM('Pay App 1:Pay App 48'!L96)+SUM('Pay App 1:Pay App 48'!M96)</f>
        <v>0</v>
      </c>
    </row>
    <row r="97" spans="1:15" ht="11.25" customHeight="1" x14ac:dyDescent="0.25">
      <c r="A97" s="152">
        <v>41</v>
      </c>
      <c r="B97" s="175" t="str">
        <f>'Pay App 1'!B97</f>
        <v>08 40 00</v>
      </c>
      <c r="C97" s="180" t="str">
        <f>'Pay App 1'!C97</f>
        <v>Curtain Wall, Glass &amp; Glazing</v>
      </c>
      <c r="D97" s="155">
        <f>'Pay App 1'!D97</f>
        <v>0</v>
      </c>
      <c r="E97" s="155">
        <f>VLOOKUP(B97,'Graph Data'!$O$2:$BX$88,50,FALSE)</f>
        <v>0</v>
      </c>
      <c r="F97" s="155">
        <f>IFERROR(E97+'Pay App 47'!F97,"")</f>
        <v>0</v>
      </c>
      <c r="G97" s="155">
        <f>SUM('Pay App 1:Pay App 47'!H97)</f>
        <v>0</v>
      </c>
      <c r="H97" s="154"/>
      <c r="I97" s="155">
        <f t="shared" si="0"/>
        <v>0</v>
      </c>
      <c r="J97" s="156">
        <f t="shared" si="1"/>
        <v>0</v>
      </c>
      <c r="K97" s="155">
        <f t="shared" si="2"/>
        <v>0</v>
      </c>
      <c r="L97" s="155" t="str">
        <f>IF(AND('Summary Sheet'!$E$23="No",$H$33&gt;0,H97&gt;=1),"",IF(AND('Summary Sheet'!$E$23="Yes",H97&lt;&gt;""),H97*'Summary Sheet'!$G$23,""))</f>
        <v/>
      </c>
      <c r="M97" s="154"/>
      <c r="N97" s="155">
        <f>SUM('Pay App 1:Pay App 48'!L97)+SUM('Pay App 1:Pay App 48'!M97)</f>
        <v>0</v>
      </c>
    </row>
    <row r="98" spans="1:15" ht="10.9" customHeight="1" x14ac:dyDescent="0.25">
      <c r="A98" s="152">
        <v>42</v>
      </c>
      <c r="B98" s="175" t="str">
        <f>'Pay App 1'!B98</f>
        <v>08 60 00</v>
      </c>
      <c r="C98" s="180" t="str">
        <f>'Pay App 1'!C98</f>
        <v>Skylights</v>
      </c>
      <c r="D98" s="155">
        <f>'Pay App 1'!D98</f>
        <v>0</v>
      </c>
      <c r="E98" s="155">
        <f>VLOOKUP(B98,'Graph Data'!$O$2:$BX$88,50,FALSE)</f>
        <v>0</v>
      </c>
      <c r="F98" s="155">
        <f>IFERROR(E98+'Pay App 47'!F98,"")</f>
        <v>0</v>
      </c>
      <c r="G98" s="155">
        <f>SUM('Pay App 1:Pay App 47'!H98)</f>
        <v>0</v>
      </c>
      <c r="H98" s="154"/>
      <c r="I98" s="155">
        <f t="shared" si="0"/>
        <v>0</v>
      </c>
      <c r="J98" s="156">
        <f t="shared" si="1"/>
        <v>0</v>
      </c>
      <c r="K98" s="155">
        <f t="shared" si="2"/>
        <v>0</v>
      </c>
      <c r="L98" s="155" t="str">
        <f>IF(AND('Summary Sheet'!$E$23="No",$H$33&gt;0,H98&gt;=1),"",IF(AND('Summary Sheet'!$E$23="Yes",H98&lt;&gt;""),H98*'Summary Sheet'!$G$23,""))</f>
        <v/>
      </c>
      <c r="M98" s="154"/>
      <c r="N98" s="155">
        <f>SUM('Pay App 1:Pay App 48'!L98)+SUM('Pay App 1:Pay App 48'!M98)</f>
        <v>0</v>
      </c>
    </row>
    <row r="99" spans="1:15" ht="10.9" customHeight="1" x14ac:dyDescent="0.25">
      <c r="A99" s="152">
        <v>43</v>
      </c>
      <c r="B99" s="175" t="str">
        <f>'Pay App 1'!B99</f>
        <v>08 90 00</v>
      </c>
      <c r="C99" s="180" t="str">
        <f>'Pay App 1'!C99</f>
        <v>Louvers &amp; Vents</v>
      </c>
      <c r="D99" s="155">
        <f>'Pay App 1'!D99</f>
        <v>0</v>
      </c>
      <c r="E99" s="155">
        <f>VLOOKUP(B99,'Graph Data'!$O$2:$BX$88,50,FALSE)</f>
        <v>0</v>
      </c>
      <c r="F99" s="155">
        <f>IFERROR(E99+'Pay App 47'!F99,"")</f>
        <v>0</v>
      </c>
      <c r="G99" s="155">
        <f>SUM('Pay App 1:Pay App 47'!H99)</f>
        <v>0</v>
      </c>
      <c r="H99" s="154"/>
      <c r="I99" s="155">
        <f t="shared" si="0"/>
        <v>0</v>
      </c>
      <c r="J99" s="156">
        <f t="shared" si="1"/>
        <v>0</v>
      </c>
      <c r="K99" s="155">
        <f t="shared" si="2"/>
        <v>0</v>
      </c>
      <c r="L99" s="155" t="str">
        <f>IF(AND('Summary Sheet'!$E$23="No",$H$33&gt;0,H99&gt;=1),"",IF(AND('Summary Sheet'!$E$23="Yes",H99&lt;&gt;""),H99*'Summary Sheet'!$G$23,""))</f>
        <v/>
      </c>
      <c r="M99" s="154"/>
      <c r="N99" s="155">
        <f>SUM('Pay App 1:Pay App 48'!L99)+SUM('Pay App 1:Pay App 48'!M99)</f>
        <v>0</v>
      </c>
    </row>
    <row r="100" spans="1:15" ht="11.25" customHeight="1" x14ac:dyDescent="0.25">
      <c r="A100" s="153">
        <v>44</v>
      </c>
      <c r="B100" s="176" t="str">
        <f>'Pay App 1'!B100</f>
        <v>09 20 00</v>
      </c>
      <c r="C100" s="181" t="str">
        <f>'Pay App 1'!C100</f>
        <v>Gypsum Board Systems</v>
      </c>
      <c r="D100" s="155">
        <f>'Pay App 1'!D100</f>
        <v>0</v>
      </c>
      <c r="E100" s="155">
        <f>VLOOKUP(B100,'Graph Data'!$O$2:$BX$88,50,FALSE)</f>
        <v>0</v>
      </c>
      <c r="F100" s="155">
        <f>IFERROR(E100+'Pay App 47'!F100,"")</f>
        <v>0</v>
      </c>
      <c r="G100" s="155">
        <f>SUM('Pay App 1:Pay App 47'!H100)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48'!L100)+SUM('Pay App 1:Pay App 48'!M100)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48.2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Data'!$O$2:$BX$88,50,FALSE)</f>
        <v>0</v>
      </c>
      <c r="F106" s="155">
        <f>IFERROR(E106+'Pay App 47'!F106,"")</f>
        <v>0</v>
      </c>
      <c r="G106" s="155">
        <f>SUM('Pay App 1:Pay App 47'!H106)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48'!L106)+SUM('Pay App 1:Pay App 48'!M106)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Data'!$O$2:$BX$88,50,FALSE)</f>
        <v>0</v>
      </c>
      <c r="F107" s="155">
        <f>IFERROR(E107+'Pay App 47'!F107,"")</f>
        <v>0</v>
      </c>
      <c r="G107" s="155">
        <f>SUM('Pay App 1:Pay App 47'!H107)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48'!L107)+SUM('Pay App 1:Pay App 48'!M107)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Data'!$O$2:$BX$88,50,FALSE)</f>
        <v>0</v>
      </c>
      <c r="F108" s="155">
        <f>IFERROR(E108+'Pay App 47'!F108,"")</f>
        <v>0</v>
      </c>
      <c r="G108" s="155">
        <f>SUM('Pay App 1:Pay App 47'!H108)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48'!L108)+SUM('Pay App 1:Pay App 48'!M108)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Data'!$O$2:$BX$88,50,FALSE)</f>
        <v>0</v>
      </c>
      <c r="F109" s="155">
        <f>IFERROR(E109+'Pay App 47'!F109,"")</f>
        <v>0</v>
      </c>
      <c r="G109" s="155">
        <f>SUM('Pay App 1:Pay App 47'!H109)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48'!L109)+SUM('Pay App 1:Pay App 48'!M109)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Data'!$O$2:$BX$88,50,FALSE)</f>
        <v>0</v>
      </c>
      <c r="F110" s="155">
        <f>IFERROR(E110+'Pay App 47'!F110,"")</f>
        <v>0</v>
      </c>
      <c r="G110" s="155">
        <f>SUM('Pay App 1:Pay App 47'!H110)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48'!L110)+SUM('Pay App 1:Pay App 48'!M110)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Data'!$O$2:$BX$88,50,FALSE)</f>
        <v>0</v>
      </c>
      <c r="F111" s="155">
        <f>IFERROR(E111+'Pay App 47'!F111,"")</f>
        <v>0</v>
      </c>
      <c r="G111" s="155">
        <f>SUM('Pay App 1:Pay App 47'!H111)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48'!L111)+SUM('Pay App 1:Pay App 48'!M111)</f>
        <v>0</v>
      </c>
    </row>
    <row r="112" spans="1:15" ht="11.25" customHeight="1" x14ac:dyDescent="0.25">
      <c r="A112" s="152">
        <f t="shared" si="3"/>
        <v>51</v>
      </c>
      <c r="B112" s="148" t="str">
        <f>'Pay App 1'!B112</f>
        <v>09 90 00</v>
      </c>
      <c r="C112" s="143" t="str">
        <f>'Pay App 1'!C112</f>
        <v>Painting</v>
      </c>
      <c r="D112" s="155">
        <f>'Pay App 1'!D112</f>
        <v>0</v>
      </c>
      <c r="E112" s="155">
        <f>VLOOKUP(B112,'Graph Data'!$O$2:$BX$88,50,FALSE)</f>
        <v>0</v>
      </c>
      <c r="F112" s="155">
        <f>IFERROR(E112+'Pay App 47'!F112,"")</f>
        <v>0</v>
      </c>
      <c r="G112" s="155">
        <f>SUM('Pay App 1:Pay App 47'!H112)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48'!L112)+SUM('Pay App 1:Pay App 48'!M112)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Data'!$O$2:$BX$88,50,FALSE)</f>
        <v>0</v>
      </c>
      <c r="F113" s="155">
        <f>IFERROR(E113+'Pay App 47'!F113,"")</f>
        <v>0</v>
      </c>
      <c r="G113" s="155">
        <f>SUM('Pay App 1:Pay App 47'!H113)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48'!L113)+SUM('Pay App 1:Pay App 48'!M113)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Data'!$O$2:$BX$88,50,FALSE)</f>
        <v>0</v>
      </c>
      <c r="F114" s="155">
        <f>IFERROR(E114+'Pay App 47'!F114,"")</f>
        <v>0</v>
      </c>
      <c r="G114" s="155">
        <f>SUM('Pay App 1:Pay App 47'!H114)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48'!L114)+SUM('Pay App 1:Pay App 48'!M114)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Data'!$O$2:$BX$88,50,FALSE)</f>
        <v>0</v>
      </c>
      <c r="F115" s="155">
        <f>IFERROR(E115+'Pay App 47'!F115,"")</f>
        <v>0</v>
      </c>
      <c r="G115" s="155">
        <f>SUM('Pay App 1:Pay App 47'!H115)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48'!L115)+SUM('Pay App 1:Pay App 48'!M115)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Data'!$O$2:$BX$88,50,FALSE)</f>
        <v>0</v>
      </c>
      <c r="F116" s="155">
        <f>IFERROR(E116+'Pay App 47'!F116,"")</f>
        <v>0</v>
      </c>
      <c r="G116" s="155">
        <f>SUM('Pay App 1:Pay App 47'!H116)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48'!L116)+SUM('Pay App 1:Pay App 48'!M116)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Data'!$O$2:$BX$88,50,FALSE)</f>
        <v>0</v>
      </c>
      <c r="F117" s="155">
        <f>IFERROR(E117+'Pay App 47'!F117,"")</f>
        <v>0</v>
      </c>
      <c r="G117" s="155">
        <f>SUM('Pay App 1:Pay App 47'!H117)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48'!L117)+SUM('Pay App 1:Pay App 48'!M117)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Data'!$O$2:$BX$88,50,FALSE)</f>
        <v>0</v>
      </c>
      <c r="F118" s="155">
        <f>IFERROR(E118+'Pay App 47'!F118,"")</f>
        <v>0</v>
      </c>
      <c r="G118" s="155">
        <f>SUM('Pay App 1:Pay App 47'!H118)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48'!L118)+SUM('Pay App 1:Pay App 48'!M118)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Data'!$O$2:$BX$88,50,FALSE)</f>
        <v>0</v>
      </c>
      <c r="F119" s="155">
        <f>IFERROR(E119+'Pay App 47'!F119,"")</f>
        <v>0</v>
      </c>
      <c r="G119" s="155">
        <f>SUM('Pay App 1:Pay App 47'!H119)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48'!L119)+SUM('Pay App 1:Pay App 48'!M119)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Data'!$O$2:$BX$88,50,FALSE)</f>
        <v>0</v>
      </c>
      <c r="F120" s="155">
        <f>IFERROR(E120+'Pay App 47'!F120,"")</f>
        <v>0</v>
      </c>
      <c r="G120" s="155">
        <f>SUM('Pay App 1:Pay App 47'!H120)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48'!L120)+SUM('Pay App 1:Pay App 48'!M120)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Data'!$O$2:$BX$88,50,FALSE)</f>
        <v>0</v>
      </c>
      <c r="F121" s="155">
        <f>IFERROR(E121+'Pay App 47'!F121,"")</f>
        <v>0</v>
      </c>
      <c r="G121" s="155">
        <f>SUM('Pay App 1:Pay App 47'!H121)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48'!L121)+SUM('Pay App 1:Pay App 48'!M121)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Data'!$O$2:$BX$88,50,FALSE)</f>
        <v>0</v>
      </c>
      <c r="F122" s="155">
        <f>IFERROR(E122+'Pay App 47'!F122,"")</f>
        <v>0</v>
      </c>
      <c r="G122" s="155">
        <f>SUM('Pay App 1:Pay App 47'!H122)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48'!L122)+SUM('Pay App 1:Pay App 48'!M122)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Data'!$O$2:$BX$88,50,FALSE)</f>
        <v>0</v>
      </c>
      <c r="F123" s="155">
        <f>IFERROR(E123+'Pay App 47'!F123,"")</f>
        <v>0</v>
      </c>
      <c r="G123" s="155">
        <f>SUM('Pay App 1:Pay App 47'!H123)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48'!L123)+SUM('Pay App 1:Pay App 48'!M123)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Data'!$O$2:$BX$88,50,FALSE)</f>
        <v>0</v>
      </c>
      <c r="F124" s="155">
        <f>IFERROR(E124+'Pay App 47'!F124,"")</f>
        <v>0</v>
      </c>
      <c r="G124" s="155">
        <f>SUM('Pay App 1:Pay App 47'!H124)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48'!L124)+SUM('Pay App 1:Pay App 48'!M124)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Data'!$O$2:$BX$88,50,FALSE)</f>
        <v>0</v>
      </c>
      <c r="F125" s="155">
        <f>IFERROR(E125+'Pay App 47'!F125,"")</f>
        <v>0</v>
      </c>
      <c r="G125" s="155">
        <f>SUM('Pay App 1:Pay App 47'!H125)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48'!L125)+SUM('Pay App 1:Pay App 48'!M125)</f>
        <v>0</v>
      </c>
    </row>
    <row r="126" spans="1:14" ht="11.25" customHeight="1" x14ac:dyDescent="0.25">
      <c r="A126" s="152">
        <f t="shared" si="3"/>
        <v>65</v>
      </c>
      <c r="B126" s="188" t="str">
        <f>'Pay App 1'!B126</f>
        <v>14 20 00</v>
      </c>
      <c r="C126" s="194" t="str">
        <f>'Pay App 1'!C126</f>
        <v>Elevator</v>
      </c>
      <c r="D126" s="155">
        <f>'Pay App 1'!D126</f>
        <v>0</v>
      </c>
      <c r="E126" s="155">
        <f>VLOOKUP(B126,'Graph Data'!$O$2:$BX$88,50,FALSE)</f>
        <v>0</v>
      </c>
      <c r="F126" s="155">
        <f>IFERROR(E126+'Pay App 47'!F126,"")</f>
        <v>0</v>
      </c>
      <c r="G126" s="155">
        <f>SUM('Pay App 1:Pay App 47'!H126)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48'!L126)+SUM('Pay App 1:Pay App 48'!M126)</f>
        <v>0</v>
      </c>
    </row>
    <row r="127" spans="1:14" ht="11.25" customHeight="1" x14ac:dyDescent="0.25">
      <c r="A127" s="152">
        <f t="shared" si="3"/>
        <v>66</v>
      </c>
      <c r="B127" s="188" t="str">
        <f>'Pay App 1'!B127</f>
        <v>14 40 00</v>
      </c>
      <c r="C127" s="194" t="str">
        <f>'Pay App 1'!C127</f>
        <v>Lifts</v>
      </c>
      <c r="D127" s="155">
        <f>'Pay App 1'!D127</f>
        <v>0</v>
      </c>
      <c r="E127" s="155">
        <f>VLOOKUP(B127,'Graph Data'!$O$2:$BX$88,50,FALSE)</f>
        <v>0</v>
      </c>
      <c r="F127" s="155">
        <f>IFERROR(E127+'Pay App 47'!F127,"")</f>
        <v>0</v>
      </c>
      <c r="G127" s="155">
        <f>SUM('Pay App 1:Pay App 47'!H127)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48'!L127)+SUM('Pay App 1:Pay App 48'!M127)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Data'!$O$2:$BX$88,50,FALSE)</f>
        <v>0</v>
      </c>
      <c r="F128" s="155">
        <f>IFERROR(E128+'Pay App 47'!F128,"")</f>
        <v>0</v>
      </c>
      <c r="G128" s="155">
        <f>SUM('Pay App 1:Pay App 47'!H128)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48'!L128)+SUM('Pay App 1:Pay App 48'!M128)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Data'!$O$2:$BX$88,50,FALSE)</f>
        <v>0</v>
      </c>
      <c r="F129" s="155">
        <f>IFERROR(E129+'Pay App 47'!F129,"")</f>
        <v>0</v>
      </c>
      <c r="G129" s="155">
        <f>SUM('Pay App 1:Pay App 47'!H129)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48'!L129)+SUM('Pay App 1:Pay App 48'!M129)</f>
        <v>0</v>
      </c>
    </row>
    <row r="130" spans="1:14" ht="11.25" customHeight="1" x14ac:dyDescent="0.25">
      <c r="A130" s="152">
        <f t="shared" si="3"/>
        <v>69</v>
      </c>
      <c r="B130" s="185" t="str">
        <f>'Pay App 1'!B130</f>
        <v>22 00 00</v>
      </c>
      <c r="C130" s="191" t="str">
        <f>'Pay App 1'!C130</f>
        <v>Plumbing</v>
      </c>
      <c r="D130" s="155">
        <f>'Pay App 1'!D130</f>
        <v>0</v>
      </c>
      <c r="E130" s="155">
        <f>VLOOKUP(B130,'Graph Data'!$O$2:$BX$88,50,FALSE)</f>
        <v>0</v>
      </c>
      <c r="F130" s="155">
        <f>IFERROR(E130+'Pay App 47'!F130,"")</f>
        <v>0</v>
      </c>
      <c r="G130" s="155">
        <f>SUM('Pay App 1:Pay App 47'!H130)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48'!L130)+SUM('Pay App 1:Pay App 48'!M130)</f>
        <v>0</v>
      </c>
    </row>
    <row r="131" spans="1:14" ht="11.25" customHeight="1" x14ac:dyDescent="0.25">
      <c r="A131" s="152">
        <f t="shared" si="3"/>
        <v>70</v>
      </c>
      <c r="B131" s="186" t="str">
        <f>'Pay App 1'!B131</f>
        <v>23 00 00</v>
      </c>
      <c r="C131" s="192" t="str">
        <f>'Pay App 1'!C131</f>
        <v>HVAC</v>
      </c>
      <c r="D131" s="155">
        <f>'Pay App 1'!D131</f>
        <v>0</v>
      </c>
      <c r="E131" s="155">
        <f>VLOOKUP(B131,'Graph Data'!$O$2:$BX$88,50,FALSE)</f>
        <v>0</v>
      </c>
      <c r="F131" s="155">
        <f>IFERROR(E131+'Pay App 47'!F131,"")</f>
        <v>0</v>
      </c>
      <c r="G131" s="155">
        <f>SUM('Pay App 1:Pay App 47'!H131)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48'!L131)+SUM('Pay App 1:Pay App 48'!M131)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Data'!$O$2:$BX$88,50,FALSE)</f>
        <v>0</v>
      </c>
      <c r="F132" s="155">
        <f>IFERROR(E132+'Pay App 47'!F132,"")</f>
        <v>0</v>
      </c>
      <c r="G132" s="155">
        <f>SUM('Pay App 1:Pay App 47'!H132)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48'!L132)+SUM('Pay App 1:Pay App 48'!M132)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Data'!$O$2:$BX$88,50,FALSE)</f>
        <v>0</v>
      </c>
      <c r="F133" s="155">
        <f>IFERROR(E133+'Pay App 47'!F133,"")</f>
        <v>0</v>
      </c>
      <c r="G133" s="155">
        <f>SUM('Pay App 1:Pay App 47'!H133)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48'!L133)+SUM('Pay App 1:Pay App 48'!M133)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Data'!$O$2:$BX$88,50,FALSE)</f>
        <v>0</v>
      </c>
      <c r="F134" s="155">
        <f>IFERROR(E134+'Pay App 47'!F134,"")</f>
        <v>0</v>
      </c>
      <c r="G134" s="155">
        <f>SUM('Pay App 1:Pay App 47'!H134)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48'!L134)+SUM('Pay App 1:Pay App 48'!M134)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Data'!$O$2:$BX$88,50,FALSE)</f>
        <v>0</v>
      </c>
      <c r="F135" s="155">
        <f>IFERROR(E135+'Pay App 47'!F135,"")</f>
        <v>0</v>
      </c>
      <c r="G135" s="155">
        <f>SUM('Pay App 1:Pay App 47'!H135)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48'!L135)+SUM('Pay App 1:Pay App 48'!M135)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Data'!$O$2:$BX$88,50,FALSE)</f>
        <v>0</v>
      </c>
      <c r="F136" s="155">
        <f>IFERROR(E136+'Pay App 47'!F136,"")</f>
        <v>0</v>
      </c>
      <c r="G136" s="155">
        <f>SUM('Pay App 1:Pay App 47'!H136)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48'!L136)+SUM('Pay App 1:Pay App 48'!M136)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Data'!$O$2:$BX$88,50,FALSE)</f>
        <v>0</v>
      </c>
      <c r="F137" s="155">
        <f>IFERROR(E137+'Pay App 47'!F137,"")</f>
        <v>0</v>
      </c>
      <c r="G137" s="155">
        <f>SUM('Pay App 1:Pay App 47'!H137)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48'!L137)+SUM('Pay App 1:Pay App 48'!M137)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Data'!$O$2:$BX$88,50,FALSE)</f>
        <v>0</v>
      </c>
      <c r="F138" s="155">
        <f>IFERROR(E138+'Pay App 47'!F138,"")</f>
        <v>0</v>
      </c>
      <c r="G138" s="155">
        <f>SUM('Pay App 1:Pay App 47'!H138)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48'!L138)+SUM('Pay App 1:Pay App 48'!M138)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Data'!$O$2:$BX$88,50,FALSE)</f>
        <v>0</v>
      </c>
      <c r="F139" s="155">
        <f>IFERROR(E139+'Pay App 47'!F139,"")</f>
        <v>0</v>
      </c>
      <c r="G139" s="155">
        <f>SUM('Pay App 1:Pay App 47'!H139)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48'!L139)+SUM('Pay App 1:Pay App 48'!M139)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Data'!$O$2:$BX$88,50,FALSE)</f>
        <v>0</v>
      </c>
      <c r="F140" s="155">
        <f>IFERROR(E140+'Pay App 47'!F140,"")</f>
        <v>0</v>
      </c>
      <c r="G140" s="155">
        <f>SUM('Pay App 1:Pay App 47'!H140)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48'!L140)+SUM('Pay App 1:Pay App 48'!M140)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Data'!$O$2:$BX$88,50,FALSE)</f>
        <v>0</v>
      </c>
      <c r="F141" s="155">
        <f>IFERROR(E141+'Pay App 47'!F141,"")</f>
        <v>0</v>
      </c>
      <c r="G141" s="155">
        <f>SUM('Pay App 1:Pay App 47'!H141)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48'!L141)+SUM('Pay App 1:Pay App 48'!M141)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Data'!$O$2:$BX$88,50,FALSE)</f>
        <v>0</v>
      </c>
      <c r="F142" s="155">
        <f>IFERROR(E142+'Pay App 47'!F142,"")</f>
        <v>0</v>
      </c>
      <c r="G142" s="155">
        <f>SUM('Pay App 1:Pay App 47'!H142)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48'!L142)+SUM('Pay App 1:Pay App 48'!M142)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Data'!$O$2:$BX$88,50,FALSE)</f>
        <v>0</v>
      </c>
      <c r="F143" s="155">
        <f>IFERROR(E143+'Pay App 47'!F143,"")</f>
        <v>0</v>
      </c>
      <c r="G143" s="155">
        <f>SUM('Pay App 1:Pay App 47'!H143)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48'!L143)+SUM('Pay App 1:Pay App 48'!M143)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Data'!$O$2:$BX$88,50,FALSE)</f>
        <v>0</v>
      </c>
      <c r="F144" s="155">
        <f>IFERROR(E144+'Pay App 47'!F144,"")</f>
        <v>0</v>
      </c>
      <c r="G144" s="155">
        <f>SUM('Pay App 1:Pay App 47'!H144)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48'!L144)+SUM('Pay App 1:Pay App 48'!M144)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Data'!$O$2:$BX$88,50,FALSE)</f>
        <v>0</v>
      </c>
      <c r="F145" s="155">
        <f>IFERROR(E145+'Pay App 47'!F145,"")</f>
        <v>0</v>
      </c>
      <c r="G145" s="155">
        <f>SUM('Pay App 1:Pay App 47'!H145)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48'!L145)+SUM('Pay App 1:Pay App 48'!M145)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Data'!$O$2:$BX$88,50,FALSE)</f>
        <v>0</v>
      </c>
      <c r="F146" s="155">
        <f>IFERROR(E146+'Pay App 47'!F146,"")</f>
        <v>0</v>
      </c>
      <c r="G146" s="155">
        <f>SUM('Pay App 1:Pay App 47'!H146)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48'!L146)+SUM('Pay App 1:Pay App 48'!M146)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Data'!$O$2:$BX$88,50,FALSE)</f>
        <v>0</v>
      </c>
      <c r="F147" s="155">
        <f>IFERROR(E147+'Pay App 47'!F147,"")</f>
        <v>0</v>
      </c>
      <c r="G147" s="155">
        <f>SUM('Pay App 1:Pay App 47'!H147)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48'!L147)+SUM('Pay App 1:Pay App 48'!M147)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Data'!$O$2:$BX$88,50,FALSE)</f>
        <v>0</v>
      </c>
      <c r="F148" s="155">
        <f>IFERROR(E148+'Pay App 47'!F148,"")</f>
        <v>0</v>
      </c>
      <c r="G148" s="155">
        <f>SUM('Pay App 1:Pay App 47'!H148)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48'!L148)+SUM('Pay App 1:Pay App 48'!M148)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Ae79ZBfcvOYFSXgDTMtcA3BseuK10Gs66ivaW1ocynmEkyddMutQ52QuZltakhQihX326OMevxhmFMo2NL8vMQ==" saltValue="Vzlb9ge8hthVB3d3ElgpQ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42" priority="2" operator="equal">
      <formula>0</formula>
    </cfRule>
  </conditionalFormatting>
  <conditionalFormatting sqref="D106:G148">
    <cfRule type="cellIs" dxfId="141" priority="1" operator="equal">
      <formula>0</formula>
    </cfRule>
  </conditionalFormatting>
  <conditionalFormatting sqref="D10:H10 D12:H14 D19:H21">
    <cfRule type="cellIs" dxfId="140" priority="6" operator="equal">
      <formula>0</formula>
    </cfRule>
  </conditionalFormatting>
  <conditionalFormatting sqref="H51">
    <cfRule type="cellIs" dxfId="139" priority="9" operator="lessThan">
      <formula>0</formula>
    </cfRule>
  </conditionalFormatting>
  <conditionalFormatting sqref="I57:I100 K57:K100 I106:I148 K106:K148 N106:N148">
    <cfRule type="cellIs" dxfId="138" priority="14" operator="equal">
      <formula>0</formula>
    </cfRule>
  </conditionalFormatting>
  <conditionalFormatting sqref="J57:J100 J106:J149">
    <cfRule type="cellIs" dxfId="137" priority="11" operator="greaterThan">
      <formula>1</formula>
    </cfRule>
    <cfRule type="cellIs" dxfId="136" priority="12" operator="equal">
      <formula>0</formula>
    </cfRule>
  </conditionalFormatting>
  <conditionalFormatting sqref="K57:K100 K106:K148">
    <cfRule type="cellIs" dxfId="135" priority="10" operator="lessThan">
      <formula>0</formula>
    </cfRule>
  </conditionalFormatting>
  <conditionalFormatting sqref="M57:M100">
    <cfRule type="cellIs" dxfId="134" priority="13" operator="lessThan">
      <formula>0</formula>
    </cfRule>
  </conditionalFormatting>
  <conditionalFormatting sqref="M106:M148">
    <cfRule type="cellIs" dxfId="133" priority="8" operator="lessThan">
      <formula>0</formula>
    </cfRule>
  </conditionalFormatting>
  <conditionalFormatting sqref="N57:N100">
    <cfRule type="cellIs" dxfId="13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B023827-CFD9-46E4-B21C-033F2AC9C500}">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75C5285-EC4F-49C4-85C0-ADE8AA2093EE}">
          <x14:formula1>
            <xm:f>'Graph Data'!$M$74:$M$76</xm:f>
          </x14:formula1>
          <xm:sqref>G17</xm:sqref>
        </x14:dataValidation>
      </x14:dataValidation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721C9-7E4E-49F6-B44C-98500C3FF82B}">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49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49'!E149)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49'!G41)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49.1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Data'!$O$2:$BX$88,51,FALSE)</f>
        <v>0</v>
      </c>
      <c r="F57" s="155">
        <f>IFERROR(E57+'Pay App 48'!F57,"")</f>
        <v>0</v>
      </c>
      <c r="G57" s="155">
        <f>SUM('Pay App 1:Pay App 48'!H57)</f>
        <v>0</v>
      </c>
      <c r="H57" s="154"/>
      <c r="I57" s="155">
        <f>G57+H57</f>
        <v>0</v>
      </c>
      <c r="J57" s="156">
        <f>IFERROR(I57/F57,0)</f>
        <v>0</v>
      </c>
      <c r="K57" s="155">
        <f>IFERROR(F57-I57,"")</f>
        <v>0</v>
      </c>
      <c r="L57" s="155" t="str">
        <f>IF(AND('Summary Sheet'!$E$23="No",$H$33&gt;0,H57&gt;=1),"",IF(AND('Summary Sheet'!$E$23="Yes",H57&lt;&gt;""),H57*'Summary Sheet'!$G$23,""))</f>
        <v/>
      </c>
      <c r="M57" s="154"/>
      <c r="N57" s="155">
        <f>SUM('Pay App 1:Pay App 49'!L57)+SUM('Pay App 1:Pay App 49'!M57)</f>
        <v>0</v>
      </c>
    </row>
    <row r="58" spans="1:16" ht="11.25" customHeight="1" x14ac:dyDescent="0.25">
      <c r="A58" s="152">
        <v>2</v>
      </c>
      <c r="B58" s="145" t="str">
        <f>'Pay App 1'!B58</f>
        <v>00 02 00</v>
      </c>
      <c r="C58" s="134" t="str">
        <f>'Pay App 1'!C58</f>
        <v>Preconstruction Services</v>
      </c>
      <c r="D58" s="155">
        <f>'Pay App 1'!D58</f>
        <v>0</v>
      </c>
      <c r="E58" s="155">
        <f>VLOOKUP(B58,'Graph Data'!$O$2:$BX$88,51,FALSE)</f>
        <v>0</v>
      </c>
      <c r="F58" s="155">
        <f>IFERROR(E58+'Pay App 48'!F58,"")</f>
        <v>0</v>
      </c>
      <c r="G58" s="155">
        <f>SUM('Pay App 1:Pay App 48'!H58)</f>
        <v>0</v>
      </c>
      <c r="H58" s="154"/>
      <c r="I58" s="155">
        <f>G58+H58</f>
        <v>0</v>
      </c>
      <c r="J58" s="156">
        <f>IFERROR(I58/F58,0)</f>
        <v>0</v>
      </c>
      <c r="K58" s="155">
        <f>IFERROR(F58-I58,"")</f>
        <v>0</v>
      </c>
      <c r="L58" s="155" t="str">
        <f>IF(AND('Summary Sheet'!$E$23="No",$H$33&gt;0,H58&gt;=1),"",IF(AND('Summary Sheet'!$E$23="Yes",H58&lt;&gt;""),H58*'Summary Sheet'!$G$23,""))</f>
        <v/>
      </c>
      <c r="M58" s="154"/>
      <c r="N58" s="155">
        <f>SUM('Pay App 1:Pay App 49'!L58)+SUM('Pay App 1:Pay App 49'!M58)</f>
        <v>0</v>
      </c>
    </row>
    <row r="59" spans="1:16" ht="11.25" customHeight="1" x14ac:dyDescent="0.25">
      <c r="A59" s="152">
        <v>3</v>
      </c>
      <c r="B59" s="174" t="str">
        <f>'Pay App 1'!B59</f>
        <v>01 00 00</v>
      </c>
      <c r="C59" s="179" t="str">
        <f>'Pay App 1'!C59</f>
        <v>General Conditions/Requirements</v>
      </c>
      <c r="D59" s="155">
        <f>'Pay App 1'!D59</f>
        <v>0</v>
      </c>
      <c r="E59" s="155">
        <f>VLOOKUP(B59,'Graph Data'!$O$2:$BX$88,51,FALSE)</f>
        <v>0</v>
      </c>
      <c r="F59" s="155">
        <f>IFERROR(E59+'Pay App 48'!F59,"")</f>
        <v>0</v>
      </c>
      <c r="G59" s="155">
        <f>SUM('Pay App 1:Pay App 48'!H59)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49'!L59)+SUM('Pay App 1:Pay App 49'!M59)</f>
        <v>0</v>
      </c>
    </row>
    <row r="60" spans="1:16" ht="11.25" customHeight="1" x14ac:dyDescent="0.25">
      <c r="A60" s="152">
        <v>4</v>
      </c>
      <c r="B60" s="174" t="str">
        <f>'Pay App 1'!B60</f>
        <v>01 13 41</v>
      </c>
      <c r="C60" s="179" t="str">
        <f>'Pay App 1'!C60</f>
        <v>Temp. Scaffolding and Platforms</v>
      </c>
      <c r="D60" s="155">
        <f>'Pay App 1'!D60</f>
        <v>0</v>
      </c>
      <c r="E60" s="155">
        <f>VLOOKUP(B60,'Graph Data'!$O$2:$BX$88,51,FALSE)</f>
        <v>0</v>
      </c>
      <c r="F60" s="155">
        <f>IFERROR(E60+'Pay App 48'!F60,"")</f>
        <v>0</v>
      </c>
      <c r="G60" s="155">
        <f>SUM('Pay App 1:Pay App 48'!H60)</f>
        <v>0</v>
      </c>
      <c r="H60" s="154"/>
      <c r="I60" s="155">
        <f t="shared" si="0"/>
        <v>0</v>
      </c>
      <c r="J60" s="156">
        <f t="shared" si="1"/>
        <v>0</v>
      </c>
      <c r="K60" s="155">
        <f t="shared" si="2"/>
        <v>0</v>
      </c>
      <c r="L60" s="155" t="str">
        <f>IF(AND('Summary Sheet'!$E$23="No",$H$33&gt;0,H60&gt;=1),"",IF(AND('Summary Sheet'!$E$23="Yes",H60&lt;&gt;""),H60*'Summary Sheet'!$G$23,""))</f>
        <v/>
      </c>
      <c r="M60" s="154"/>
      <c r="N60" s="155">
        <f>SUM('Pay App 1:Pay App 49'!L60)+SUM('Pay App 1:Pay App 49'!M60)</f>
        <v>0</v>
      </c>
    </row>
    <row r="61" spans="1:16" ht="11.25" customHeight="1" x14ac:dyDescent="0.25">
      <c r="A61" s="152">
        <v>5</v>
      </c>
      <c r="B61" s="174" t="str">
        <f>'Pay App 1'!B61</f>
        <v>01 13 60</v>
      </c>
      <c r="C61" s="179" t="str">
        <f>'Pay App 1'!C61</f>
        <v>SWPPP</v>
      </c>
      <c r="D61" s="155">
        <f>'Pay App 1'!D61</f>
        <v>0</v>
      </c>
      <c r="E61" s="155">
        <f>VLOOKUP(B61,'Graph Data'!$O$2:$BX$88,51,FALSE)</f>
        <v>0</v>
      </c>
      <c r="F61" s="155">
        <f>IFERROR(E61+'Pay App 48'!F61,"")</f>
        <v>0</v>
      </c>
      <c r="G61" s="155">
        <f>SUM('Pay App 1:Pay App 48'!H61)</f>
        <v>0</v>
      </c>
      <c r="H61" s="154"/>
      <c r="I61" s="155">
        <f t="shared" si="0"/>
        <v>0</v>
      </c>
      <c r="J61" s="156">
        <f t="shared" si="1"/>
        <v>0</v>
      </c>
      <c r="K61" s="155">
        <f t="shared" si="2"/>
        <v>0</v>
      </c>
      <c r="L61" s="155" t="str">
        <f>IF(AND('Summary Sheet'!$E$23="No",$H$33&gt;0,H61&gt;=1),"",IF(AND('Summary Sheet'!$E$23="Yes",H61&lt;&gt;""),H61*'Summary Sheet'!$G$23,""))</f>
        <v/>
      </c>
      <c r="M61" s="154"/>
      <c r="N61" s="155">
        <f>SUM('Pay App 1:Pay App 49'!L61)+SUM('Pay App 1:Pay App 49'!M61)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Data'!$O$2:$BX$88,51,FALSE)</f>
        <v>0</v>
      </c>
      <c r="F62" s="155">
        <f>IFERROR(E62+'Pay App 48'!F62,"")</f>
        <v>0</v>
      </c>
      <c r="G62" s="155">
        <f>SUM('Pay App 1:Pay App 48'!H62)</f>
        <v>0</v>
      </c>
      <c r="H62" s="154"/>
      <c r="I62" s="155">
        <f t="shared" si="0"/>
        <v>0</v>
      </c>
      <c r="J62" s="156">
        <f t="shared" si="1"/>
        <v>0</v>
      </c>
      <c r="K62" s="155">
        <f t="shared" si="2"/>
        <v>0</v>
      </c>
      <c r="L62" s="155" t="str">
        <f>IF(AND('Summary Sheet'!$E$23="No",$H$33&gt;0,H62&gt;=1),"",IF(AND('Summary Sheet'!$E$23="Yes",H62&lt;&gt;""),H62*'Summary Sheet'!$G$23,""))</f>
        <v/>
      </c>
      <c r="M62" s="154"/>
      <c r="N62" s="155">
        <f>SUM('Pay App 1:Pay App 49'!L62)+SUM('Pay App 1:Pay App 49'!M62)</f>
        <v>0</v>
      </c>
    </row>
    <row r="63" spans="1:16" ht="11.25" customHeight="1" x14ac:dyDescent="0.25">
      <c r="A63" s="152">
        <v>7</v>
      </c>
      <c r="B63" s="174" t="str">
        <f>'Pay App 1'!B63</f>
        <v>01 31 00</v>
      </c>
      <c r="C63" s="179" t="str">
        <f>'Pay App 1'!C63</f>
        <v>Contractor's Supervision</v>
      </c>
      <c r="D63" s="155">
        <f>'Pay App 1'!D63</f>
        <v>0</v>
      </c>
      <c r="E63" s="155">
        <f>VLOOKUP(B63,'Graph Data'!$O$2:$BX$88,51,FALSE)</f>
        <v>0</v>
      </c>
      <c r="F63" s="155">
        <f>IFERROR(E63+'Pay App 48'!F63,"")</f>
        <v>0</v>
      </c>
      <c r="G63" s="155">
        <f>SUM('Pay App 1:Pay App 48'!H63)</f>
        <v>0</v>
      </c>
      <c r="H63" s="154"/>
      <c r="I63" s="155">
        <f t="shared" si="0"/>
        <v>0</v>
      </c>
      <c r="J63" s="156">
        <f t="shared" si="1"/>
        <v>0</v>
      </c>
      <c r="K63" s="155">
        <f t="shared" si="2"/>
        <v>0</v>
      </c>
      <c r="L63" s="155" t="str">
        <f>IF(AND('Summary Sheet'!$E$23="No",$H$33&gt;0,H63&gt;=1),"",IF(AND('Summary Sheet'!$E$23="Yes",H63&lt;&gt;""),H63*'Summary Sheet'!$G$23,""))</f>
        <v/>
      </c>
      <c r="M63" s="154"/>
      <c r="N63" s="155">
        <f>SUM('Pay App 1:Pay App 49'!L63)+SUM('Pay App 1:Pay App 49'!M63)</f>
        <v>0</v>
      </c>
    </row>
    <row r="64" spans="1:16" ht="11.25" customHeight="1" x14ac:dyDescent="0.25">
      <c r="A64" s="152">
        <v>8</v>
      </c>
      <c r="B64" s="174" t="str">
        <f>'Pay App 1'!B64</f>
        <v>01 32 00</v>
      </c>
      <c r="C64" s="179" t="str">
        <f>'Pay App 1'!C64</f>
        <v>General Liability Insurance</v>
      </c>
      <c r="D64" s="155">
        <f>'Pay App 1'!D64</f>
        <v>0</v>
      </c>
      <c r="E64" s="155">
        <f>VLOOKUP(B64,'Graph Data'!$O$2:$BX$88,51,FALSE)</f>
        <v>0</v>
      </c>
      <c r="F64" s="155">
        <f>IFERROR(E64+'Pay App 48'!F64,"")</f>
        <v>0</v>
      </c>
      <c r="G64" s="155">
        <f>SUM('Pay App 1:Pay App 48'!H64)</f>
        <v>0</v>
      </c>
      <c r="H64" s="154"/>
      <c r="I64" s="155">
        <f t="shared" si="0"/>
        <v>0</v>
      </c>
      <c r="J64" s="156">
        <f t="shared" si="1"/>
        <v>0</v>
      </c>
      <c r="K64" s="155">
        <f t="shared" si="2"/>
        <v>0</v>
      </c>
      <c r="L64" s="155" t="str">
        <f>IF(AND('Summary Sheet'!$E$23="No",$H$33&gt;0,H64&gt;=1),"",IF(AND('Summary Sheet'!$E$23="Yes",H64&lt;&gt;""),H64*'Summary Sheet'!$G$23,""))</f>
        <v/>
      </c>
      <c r="M64" s="154"/>
      <c r="N64" s="155">
        <f>SUM('Pay App 1:Pay App 49'!L64)+SUM('Pay App 1:Pay App 49'!M64)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Data'!$O$2:$BX$88,51,FALSE)</f>
        <v>0</v>
      </c>
      <c r="F65" s="155">
        <f>IFERROR(E65+'Pay App 48'!F65,"")</f>
        <v>0</v>
      </c>
      <c r="G65" s="155">
        <f>SUM('Pay App 1:Pay App 48'!H65)</f>
        <v>0</v>
      </c>
      <c r="H65" s="154"/>
      <c r="I65" s="155">
        <f t="shared" si="0"/>
        <v>0</v>
      </c>
      <c r="J65" s="156">
        <f t="shared" si="1"/>
        <v>0</v>
      </c>
      <c r="K65" s="155">
        <f t="shared" si="2"/>
        <v>0</v>
      </c>
      <c r="L65" s="155" t="str">
        <f>IF(AND('Summary Sheet'!$E$23="No",$H$33&gt;0,H65&gt;=1),"",IF(AND('Summary Sheet'!$E$23="Yes",H65&lt;&gt;""),H65*'Summary Sheet'!$G$23,""))</f>
        <v/>
      </c>
      <c r="M65" s="154"/>
      <c r="N65" s="155">
        <f>SUM('Pay App 1:Pay App 49'!L65)+SUM('Pay App 1:Pay App 49'!M65)</f>
        <v>0</v>
      </c>
    </row>
    <row r="66" spans="1:17" ht="11.25" customHeight="1" x14ac:dyDescent="0.25">
      <c r="A66" s="152">
        <v>10</v>
      </c>
      <c r="B66" s="174" t="str">
        <f>'Pay App 1'!B66</f>
        <v>01 34 00</v>
      </c>
      <c r="C66" s="179" t="str">
        <f>'Pay App 1'!C66</f>
        <v>Subcontractor Default Insurance</v>
      </c>
      <c r="D66" s="155">
        <f>'Pay App 1'!D66</f>
        <v>0</v>
      </c>
      <c r="E66" s="155">
        <f>VLOOKUP(B66,'Graph Data'!$O$2:$BX$88,51,FALSE)</f>
        <v>0</v>
      </c>
      <c r="F66" s="155">
        <f>IFERROR(E66+'Pay App 48'!F66,"")</f>
        <v>0</v>
      </c>
      <c r="G66" s="155">
        <f>SUM('Pay App 1:Pay App 48'!H66)</f>
        <v>0</v>
      </c>
      <c r="H66" s="154"/>
      <c r="I66" s="155">
        <f t="shared" si="0"/>
        <v>0</v>
      </c>
      <c r="J66" s="156">
        <f t="shared" si="1"/>
        <v>0</v>
      </c>
      <c r="K66" s="155">
        <f t="shared" si="2"/>
        <v>0</v>
      </c>
      <c r="L66" s="155" t="str">
        <f>IF(AND('Summary Sheet'!$E$23="No",$H$33&gt;0,H66&gt;=1),"",IF(AND('Summary Sheet'!$E$23="Yes",H66&lt;&gt;""),H66*'Summary Sheet'!$G$23,""))</f>
        <v/>
      </c>
      <c r="M66" s="154"/>
      <c r="N66" s="155">
        <f>SUM('Pay App 1:Pay App 49'!L66)+SUM('Pay App 1:Pay App 49'!M66)</f>
        <v>0</v>
      </c>
    </row>
    <row r="67" spans="1:17" ht="11.25" customHeight="1" x14ac:dyDescent="0.25">
      <c r="A67" s="152">
        <v>11</v>
      </c>
      <c r="B67" s="174" t="str">
        <f>'Pay App 1'!B67</f>
        <v>01 35 00</v>
      </c>
      <c r="C67" s="179" t="str">
        <f>'Pay App 1'!C67</f>
        <v>Construction Management Fee</v>
      </c>
      <c r="D67" s="155">
        <f>'Pay App 1'!D67</f>
        <v>0</v>
      </c>
      <c r="E67" s="155">
        <f>VLOOKUP(B67,'Graph Data'!$O$2:$BX$88,51,FALSE)</f>
        <v>0</v>
      </c>
      <c r="F67" s="155">
        <f>IFERROR(E67+'Pay App 48'!F67,"")</f>
        <v>0</v>
      </c>
      <c r="G67" s="155">
        <f>SUM('Pay App 1:Pay App 48'!H67)</f>
        <v>0</v>
      </c>
      <c r="H67" s="154"/>
      <c r="I67" s="155">
        <f t="shared" si="0"/>
        <v>0</v>
      </c>
      <c r="J67" s="156">
        <f t="shared" si="1"/>
        <v>0</v>
      </c>
      <c r="K67" s="155">
        <f t="shared" si="2"/>
        <v>0</v>
      </c>
      <c r="L67" s="155" t="str">
        <f>IF(AND('Summary Sheet'!$E$23="No",$H$33&gt;0,H67&gt;=1),"",IF(AND('Summary Sheet'!$E$23="Yes",H67&lt;&gt;""),H67*'Summary Sheet'!$G$23,""))</f>
        <v/>
      </c>
      <c r="M67" s="154"/>
      <c r="N67" s="155">
        <f>SUM('Pay App 1:Pay App 49'!L67)+SUM('Pay App 1:Pay App 49'!M67)</f>
        <v>0</v>
      </c>
    </row>
    <row r="68" spans="1:17" ht="11.25" customHeight="1" x14ac:dyDescent="0.25">
      <c r="A68" s="152">
        <v>12</v>
      </c>
      <c r="B68" s="174" t="str">
        <f>'Pay App 1'!B68</f>
        <v>01 36 00</v>
      </c>
      <c r="C68" s="179" t="str">
        <f>'Pay App 1'!C68</f>
        <v>Contingency</v>
      </c>
      <c r="D68" s="155">
        <f>'Pay App 1'!D68</f>
        <v>0</v>
      </c>
      <c r="E68" s="155">
        <f>VLOOKUP(B68,'Graph Data'!$O$2:$BX$88,51,FALSE)</f>
        <v>0</v>
      </c>
      <c r="F68" s="155">
        <f>IFERROR(E68+'Pay App 48'!F68,"")</f>
        <v>0</v>
      </c>
      <c r="G68" s="155">
        <f>SUM('Pay App 1:Pay App 48'!H68)</f>
        <v>0</v>
      </c>
      <c r="H68" s="154"/>
      <c r="I68" s="155">
        <f t="shared" si="0"/>
        <v>0</v>
      </c>
      <c r="J68" s="156">
        <f t="shared" si="1"/>
        <v>0</v>
      </c>
      <c r="K68" s="155">
        <f t="shared" si="2"/>
        <v>0</v>
      </c>
      <c r="L68" s="155" t="str">
        <f>IF(AND('Summary Sheet'!$E$23="No",$H$33&gt;0,H68&gt;=1),"",IF(AND('Summary Sheet'!$E$23="Yes",H68&lt;&gt;""),H68*'Summary Sheet'!$G$23,""))</f>
        <v/>
      </c>
      <c r="M68" s="154"/>
      <c r="N68" s="155">
        <f>SUM('Pay App 1:Pay App 49'!L68)+SUM('Pay App 1:Pay App 49'!M68)</f>
        <v>0</v>
      </c>
    </row>
    <row r="69" spans="1:17" ht="11.25" customHeight="1" x14ac:dyDescent="0.25">
      <c r="A69" s="152">
        <v>13</v>
      </c>
      <c r="B69" s="174" t="str">
        <f>'Pay App 1'!B69</f>
        <v>01 37 00</v>
      </c>
      <c r="C69" s="179" t="str">
        <f>'Pay App 1'!C69</f>
        <v>Weather Allowance (All Trades)</v>
      </c>
      <c r="D69" s="155">
        <f>'Pay App 1'!D69</f>
        <v>0</v>
      </c>
      <c r="E69" s="155">
        <f>VLOOKUP(B69,'Graph Data'!$O$2:$BX$88,51,FALSE)</f>
        <v>0</v>
      </c>
      <c r="F69" s="155">
        <f>IFERROR(E69+'Pay App 48'!F69,"")</f>
        <v>0</v>
      </c>
      <c r="G69" s="155">
        <f>SUM('Pay App 1:Pay App 48'!H69)</f>
        <v>0</v>
      </c>
      <c r="H69" s="154"/>
      <c r="I69" s="155">
        <f t="shared" si="0"/>
        <v>0</v>
      </c>
      <c r="J69" s="156">
        <f t="shared" si="1"/>
        <v>0</v>
      </c>
      <c r="K69" s="155">
        <f t="shared" si="2"/>
        <v>0</v>
      </c>
      <c r="L69" s="155" t="str">
        <f>IF(AND('Summary Sheet'!$E$23="No",$H$33&gt;0,H69&gt;=1),"",IF(AND('Summary Sheet'!$E$23="Yes",H69&lt;&gt;""),H69*'Summary Sheet'!$G$23,""))</f>
        <v/>
      </c>
      <c r="M69" s="154"/>
      <c r="N69" s="155">
        <f>SUM('Pay App 1:Pay App 49'!L69)+SUM('Pay App 1:Pay App 49'!M69)</f>
        <v>0</v>
      </c>
    </row>
    <row r="70" spans="1:17" ht="11.25" customHeight="1" x14ac:dyDescent="0.25">
      <c r="A70" s="152">
        <v>14</v>
      </c>
      <c r="B70" s="174" t="str">
        <f>'Pay App 1'!B70</f>
        <v>01 74 23</v>
      </c>
      <c r="C70" s="179" t="str">
        <f>'Pay App 1'!C70</f>
        <v>Cleaning (Final)</v>
      </c>
      <c r="D70" s="155">
        <f>'Pay App 1'!D70</f>
        <v>0</v>
      </c>
      <c r="E70" s="155">
        <f>VLOOKUP(B70,'Graph Data'!$O$2:$BX$88,51,FALSE)</f>
        <v>0</v>
      </c>
      <c r="F70" s="155">
        <f>IFERROR(E70+'Pay App 48'!F70,"")</f>
        <v>0</v>
      </c>
      <c r="G70" s="155">
        <f>SUM('Pay App 1:Pay App 48'!H70)</f>
        <v>0</v>
      </c>
      <c r="H70" s="154"/>
      <c r="I70" s="155">
        <f t="shared" si="0"/>
        <v>0</v>
      </c>
      <c r="J70" s="156">
        <f t="shared" si="1"/>
        <v>0</v>
      </c>
      <c r="K70" s="155">
        <f t="shared" si="2"/>
        <v>0</v>
      </c>
      <c r="L70" s="155" t="str">
        <f>IF(AND('Summary Sheet'!$E$23="No",$H$33&gt;0,H70&gt;=1),"",IF(AND('Summary Sheet'!$E$23="Yes",H70&lt;&gt;""),H70*'Summary Sheet'!$G$23,""))</f>
        <v/>
      </c>
      <c r="M70" s="154"/>
      <c r="N70" s="155">
        <f>SUM('Pay App 1:Pay App 49'!L70)+SUM('Pay App 1:Pay App 49'!M70)</f>
        <v>0</v>
      </c>
    </row>
    <row r="71" spans="1:17" ht="11.25" customHeight="1" x14ac:dyDescent="0.25">
      <c r="A71" s="152">
        <v>15</v>
      </c>
      <c r="B71" s="175" t="str">
        <f>'Pay App 1'!B71</f>
        <v>02 21 00</v>
      </c>
      <c r="C71" s="180" t="str">
        <f>'Pay App 1'!C71</f>
        <v>Survey/Engineering</v>
      </c>
      <c r="D71" s="155">
        <f>'Pay App 1'!D71</f>
        <v>0</v>
      </c>
      <c r="E71" s="155">
        <f>VLOOKUP(B71,'Graph Data'!$O$2:$BX$88,51,FALSE)</f>
        <v>0</v>
      </c>
      <c r="F71" s="155">
        <f>IFERROR(E71+'Pay App 48'!F71,"")</f>
        <v>0</v>
      </c>
      <c r="G71" s="155">
        <f>SUM('Pay App 1:Pay App 48'!H71)</f>
        <v>0</v>
      </c>
      <c r="H71" s="154"/>
      <c r="I71" s="155">
        <f t="shared" si="0"/>
        <v>0</v>
      </c>
      <c r="J71" s="156">
        <f t="shared" si="1"/>
        <v>0</v>
      </c>
      <c r="K71" s="155">
        <f t="shared" si="2"/>
        <v>0</v>
      </c>
      <c r="L71" s="155" t="str">
        <f>IF(AND('Summary Sheet'!$E$23="No",$H$33&gt;0,H71&gt;=1),"",IF(AND('Summary Sheet'!$E$23="Yes",H71&lt;&gt;""),H71*'Summary Sheet'!$G$23,""))</f>
        <v/>
      </c>
      <c r="M71" s="154"/>
      <c r="N71" s="155">
        <f>SUM('Pay App 1:Pay App 49'!L71)+SUM('Pay App 1:Pay App 49'!M71)</f>
        <v>0</v>
      </c>
      <c r="Q71" s="28"/>
    </row>
    <row r="72" spans="1:17" ht="11.25" customHeight="1" x14ac:dyDescent="0.25">
      <c r="A72" s="152">
        <v>16</v>
      </c>
      <c r="B72" s="175" t="str">
        <f>'Pay App 1'!B72</f>
        <v>02 41 00</v>
      </c>
      <c r="C72" s="180" t="str">
        <f>'Pay App 1'!C72</f>
        <v>Demolition</v>
      </c>
      <c r="D72" s="155">
        <f>'Pay App 1'!D72</f>
        <v>0</v>
      </c>
      <c r="E72" s="155">
        <f>VLOOKUP(B72,'Graph Data'!$O$2:$BX$88,51,FALSE)</f>
        <v>0</v>
      </c>
      <c r="F72" s="155">
        <f>IFERROR(E72+'Pay App 48'!F72,"")</f>
        <v>0</v>
      </c>
      <c r="G72" s="155">
        <f>SUM('Pay App 1:Pay App 48'!H72)</f>
        <v>0</v>
      </c>
      <c r="H72" s="154"/>
      <c r="I72" s="155">
        <f t="shared" si="0"/>
        <v>0</v>
      </c>
      <c r="J72" s="156">
        <f t="shared" si="1"/>
        <v>0</v>
      </c>
      <c r="K72" s="155">
        <f t="shared" si="2"/>
        <v>0</v>
      </c>
      <c r="L72" s="155" t="str">
        <f>IF(AND('Summary Sheet'!$E$23="No",$H$33&gt;0,H72&gt;=1),"",IF(AND('Summary Sheet'!$E$23="Yes",H72&lt;&gt;""),H72*'Summary Sheet'!$G$23,""))</f>
        <v/>
      </c>
      <c r="M72" s="154"/>
      <c r="N72" s="155">
        <f>SUM('Pay App 1:Pay App 49'!L72)+SUM('Pay App 1:Pay App 49'!M72)</f>
        <v>0</v>
      </c>
      <c r="Q72" s="28"/>
    </row>
    <row r="73" spans="1:17" ht="11.25" customHeight="1" x14ac:dyDescent="0.25">
      <c r="A73" s="152">
        <v>17</v>
      </c>
      <c r="B73" s="175" t="str">
        <f>'Pay App 1'!B73</f>
        <v>02 82 00</v>
      </c>
      <c r="C73" s="180" t="str">
        <f>'Pay App 1'!C73</f>
        <v>Asbestos Abatement</v>
      </c>
      <c r="D73" s="155">
        <f>'Pay App 1'!D73</f>
        <v>0</v>
      </c>
      <c r="E73" s="155">
        <f>VLOOKUP(B73,'Graph Data'!$O$2:$BX$88,51,FALSE)</f>
        <v>0</v>
      </c>
      <c r="F73" s="155">
        <f>IFERROR(E73+'Pay App 48'!F73,"")</f>
        <v>0</v>
      </c>
      <c r="G73" s="155">
        <f>SUM('Pay App 1:Pay App 48'!H73)</f>
        <v>0</v>
      </c>
      <c r="H73" s="154"/>
      <c r="I73" s="155">
        <f t="shared" si="0"/>
        <v>0</v>
      </c>
      <c r="J73" s="156">
        <f t="shared" si="1"/>
        <v>0</v>
      </c>
      <c r="K73" s="155">
        <f t="shared" si="2"/>
        <v>0</v>
      </c>
      <c r="L73" s="155" t="str">
        <f>IF(AND('Summary Sheet'!$E$23="No",$H$33&gt;0,H73&gt;=1),"",IF(AND('Summary Sheet'!$E$23="Yes",H73&lt;&gt;""),H73*'Summary Sheet'!$G$23,""))</f>
        <v/>
      </c>
      <c r="M73" s="154"/>
      <c r="N73" s="155">
        <f>SUM('Pay App 1:Pay App 49'!L73)+SUM('Pay App 1:Pay App 49'!M73)</f>
        <v>0</v>
      </c>
    </row>
    <row r="74" spans="1:17" ht="11.25" customHeight="1" x14ac:dyDescent="0.25">
      <c r="A74" s="152">
        <v>18</v>
      </c>
      <c r="B74" s="176" t="str">
        <f>'Pay App 1'!B74</f>
        <v>03 00 00</v>
      </c>
      <c r="C74" s="181" t="str">
        <f>'Pay App 1'!C74</f>
        <v>Building Concrete</v>
      </c>
      <c r="D74" s="155">
        <f>'Pay App 1'!D74</f>
        <v>0</v>
      </c>
      <c r="E74" s="155">
        <f>VLOOKUP(B74,'Graph Data'!$O$2:$BX$88,51,FALSE)</f>
        <v>0</v>
      </c>
      <c r="F74" s="155">
        <f>IFERROR(E74+'Pay App 48'!F74,"")</f>
        <v>0</v>
      </c>
      <c r="G74" s="155">
        <f>SUM('Pay App 1:Pay App 48'!H74)</f>
        <v>0</v>
      </c>
      <c r="H74" s="154"/>
      <c r="I74" s="155">
        <f t="shared" si="0"/>
        <v>0</v>
      </c>
      <c r="J74" s="156">
        <f t="shared" si="1"/>
        <v>0</v>
      </c>
      <c r="K74" s="155">
        <f t="shared" si="2"/>
        <v>0</v>
      </c>
      <c r="L74" s="155" t="str">
        <f>IF(AND('Summary Sheet'!$E$23="No",$H$33&gt;0,H74&gt;=1),"",IF(AND('Summary Sheet'!$E$23="Yes",H74&lt;&gt;""),H74*'Summary Sheet'!$G$23,""))</f>
        <v/>
      </c>
      <c r="M74" s="154"/>
      <c r="N74" s="155">
        <f>SUM('Pay App 1:Pay App 49'!L74)+SUM('Pay App 1:Pay App 49'!M74)</f>
        <v>0</v>
      </c>
    </row>
    <row r="75" spans="1:17" ht="11.25" customHeight="1" x14ac:dyDescent="0.25">
      <c r="A75" s="152">
        <v>19</v>
      </c>
      <c r="B75" s="176" t="str">
        <f>'Pay App 1'!B75</f>
        <v>03 20 00</v>
      </c>
      <c r="C75" s="181" t="str">
        <f>'Pay App 1'!C75</f>
        <v>Building Concrete Reinforcing</v>
      </c>
      <c r="D75" s="155">
        <f>'Pay App 1'!D75</f>
        <v>0</v>
      </c>
      <c r="E75" s="155">
        <f>VLOOKUP(B75,'Graph Data'!$O$2:$BX$88,51,FALSE)</f>
        <v>0</v>
      </c>
      <c r="F75" s="155">
        <f>IFERROR(E75+'Pay App 48'!F75,"")</f>
        <v>0</v>
      </c>
      <c r="G75" s="155">
        <f>SUM('Pay App 1:Pay App 48'!H75)</f>
        <v>0</v>
      </c>
      <c r="H75" s="154"/>
      <c r="I75" s="155">
        <f t="shared" si="0"/>
        <v>0</v>
      </c>
      <c r="J75" s="156">
        <f t="shared" si="1"/>
        <v>0</v>
      </c>
      <c r="K75" s="155">
        <f t="shared" si="2"/>
        <v>0</v>
      </c>
      <c r="L75" s="155" t="str">
        <f>IF(AND('Summary Sheet'!$E$23="No",$H$33&gt;0,H75&gt;=1),"",IF(AND('Summary Sheet'!$E$23="Yes",H75&lt;&gt;""),H75*'Summary Sheet'!$G$23,""))</f>
        <v/>
      </c>
      <c r="M75" s="154"/>
      <c r="N75" s="155">
        <f>SUM('Pay App 1:Pay App 49'!L75)+SUM('Pay App 1:Pay App 49'!M75)</f>
        <v>0</v>
      </c>
    </row>
    <row r="76" spans="1:17" ht="11.25" customHeight="1" x14ac:dyDescent="0.25">
      <c r="A76" s="152">
        <v>20</v>
      </c>
      <c r="B76" s="176" t="str">
        <f>'Pay App 1'!B76</f>
        <v>03 40 00</v>
      </c>
      <c r="C76" s="181" t="str">
        <f>'Pay App 1'!C76</f>
        <v>Precast</v>
      </c>
      <c r="D76" s="155">
        <f>'Pay App 1'!D76</f>
        <v>0</v>
      </c>
      <c r="E76" s="155">
        <f>VLOOKUP(B76,'Graph Data'!$O$2:$BX$88,51,FALSE)</f>
        <v>0</v>
      </c>
      <c r="F76" s="155">
        <f>IFERROR(E76+'Pay App 48'!F76,"")</f>
        <v>0</v>
      </c>
      <c r="G76" s="155">
        <f>SUM('Pay App 1:Pay App 48'!H76)</f>
        <v>0</v>
      </c>
      <c r="H76" s="154"/>
      <c r="I76" s="155">
        <f t="shared" si="0"/>
        <v>0</v>
      </c>
      <c r="J76" s="156">
        <f t="shared" si="1"/>
        <v>0</v>
      </c>
      <c r="K76" s="155">
        <f t="shared" si="2"/>
        <v>0</v>
      </c>
      <c r="L76" s="155" t="str">
        <f>IF(AND('Summary Sheet'!$E$23="No",$H$33&gt;0,H76&gt;=1),"",IF(AND('Summary Sheet'!$E$23="Yes",H76&lt;&gt;""),H76*'Summary Sheet'!$G$23,""))</f>
        <v/>
      </c>
      <c r="M76" s="154"/>
      <c r="N76" s="155">
        <f>SUM('Pay App 1:Pay App 49'!L76)+SUM('Pay App 1:Pay App 49'!M76)</f>
        <v>0</v>
      </c>
    </row>
    <row r="77" spans="1:17" ht="11.25" customHeight="1" x14ac:dyDescent="0.25">
      <c r="A77" s="152">
        <v>21</v>
      </c>
      <c r="B77" s="177" t="str">
        <f>'Pay App 1'!B77</f>
        <v>04 00 00</v>
      </c>
      <c r="C77" s="182" t="str">
        <f>'Pay App 1'!C77</f>
        <v>Masonry</v>
      </c>
      <c r="D77" s="155">
        <f>'Pay App 1'!D77</f>
        <v>0</v>
      </c>
      <c r="E77" s="155">
        <f>VLOOKUP(B77,'Graph Data'!$O$2:$BX$88,51,FALSE)</f>
        <v>0</v>
      </c>
      <c r="F77" s="155">
        <f>IFERROR(E77+'Pay App 48'!F77,"")</f>
        <v>0</v>
      </c>
      <c r="G77" s="155">
        <f>SUM('Pay App 1:Pay App 48'!H77)</f>
        <v>0</v>
      </c>
      <c r="H77" s="154"/>
      <c r="I77" s="155">
        <f t="shared" si="0"/>
        <v>0</v>
      </c>
      <c r="J77" s="156">
        <f t="shared" si="1"/>
        <v>0</v>
      </c>
      <c r="K77" s="155">
        <f t="shared" si="2"/>
        <v>0</v>
      </c>
      <c r="L77" s="155" t="str">
        <f>IF(AND('Summary Sheet'!$E$23="No",$H$33&gt;0,H77&gt;=1),"",IF(AND('Summary Sheet'!$E$23="Yes",H77&lt;&gt;""),H77*'Summary Sheet'!$G$23,""))</f>
        <v/>
      </c>
      <c r="M77" s="154"/>
      <c r="N77" s="155">
        <f>SUM('Pay App 1:Pay App 49'!L77)+SUM('Pay App 1:Pay App 49'!M77)</f>
        <v>0</v>
      </c>
    </row>
    <row r="78" spans="1:17" ht="11.25" customHeight="1" x14ac:dyDescent="0.25">
      <c r="A78" s="152">
        <v>22</v>
      </c>
      <c r="B78" s="177" t="str">
        <f>'Pay App 1'!B78</f>
        <v>04 05 19</v>
      </c>
      <c r="C78" s="182" t="str">
        <f>'Pay App 1'!C78</f>
        <v>Masonry Reinforcing</v>
      </c>
      <c r="D78" s="155">
        <f>'Pay App 1'!D78</f>
        <v>0</v>
      </c>
      <c r="E78" s="155">
        <f>VLOOKUP(B78,'Graph Data'!$O$2:$BX$88,51,FALSE)</f>
        <v>0</v>
      </c>
      <c r="F78" s="155">
        <f>IFERROR(E78+'Pay App 48'!F78,"")</f>
        <v>0</v>
      </c>
      <c r="G78" s="155">
        <f>SUM('Pay App 1:Pay App 48'!H78)</f>
        <v>0</v>
      </c>
      <c r="H78" s="154"/>
      <c r="I78" s="155">
        <f t="shared" si="0"/>
        <v>0</v>
      </c>
      <c r="J78" s="156">
        <f t="shared" si="1"/>
        <v>0</v>
      </c>
      <c r="K78" s="155">
        <f t="shared" si="2"/>
        <v>0</v>
      </c>
      <c r="L78" s="155" t="str">
        <f>IF(AND('Summary Sheet'!$E$23="No",$H$33&gt;0,H78&gt;=1),"",IF(AND('Summary Sheet'!$E$23="Yes",H78&lt;&gt;""),H78*'Summary Sheet'!$G$23,""))</f>
        <v/>
      </c>
      <c r="M78" s="154"/>
      <c r="N78" s="155">
        <f>SUM('Pay App 1:Pay App 49'!L78)+SUM('Pay App 1:Pay App 49'!M78)</f>
        <v>0</v>
      </c>
    </row>
    <row r="79" spans="1:17" ht="11.25" customHeight="1" x14ac:dyDescent="0.25">
      <c r="A79" s="152">
        <v>23</v>
      </c>
      <c r="B79" s="178" t="str">
        <f>'Pay App 1'!B79</f>
        <v>05 10 00</v>
      </c>
      <c r="C79" s="183" t="str">
        <f>'Pay App 1'!C79</f>
        <v>Structural Steel/Misc. Steel Fab</v>
      </c>
      <c r="D79" s="155">
        <f>'Pay App 1'!D79</f>
        <v>0</v>
      </c>
      <c r="E79" s="155">
        <f>VLOOKUP(B79,'Graph Data'!$O$2:$BX$88,51,FALSE)</f>
        <v>0</v>
      </c>
      <c r="F79" s="155">
        <f>IFERROR(E79+'Pay App 48'!F79,"")</f>
        <v>0</v>
      </c>
      <c r="G79" s="155">
        <f>SUM('Pay App 1:Pay App 48'!H79)</f>
        <v>0</v>
      </c>
      <c r="H79" s="154"/>
      <c r="I79" s="155">
        <f t="shared" si="0"/>
        <v>0</v>
      </c>
      <c r="J79" s="156">
        <f t="shared" si="1"/>
        <v>0</v>
      </c>
      <c r="K79" s="155">
        <f t="shared" si="2"/>
        <v>0</v>
      </c>
      <c r="L79" s="155" t="str">
        <f>IF(AND('Summary Sheet'!$E$23="No",$H$33&gt;0,H79&gt;=1),"",IF(AND('Summary Sheet'!$E$23="Yes",H79&lt;&gt;""),H79*'Summary Sheet'!$G$23,""))</f>
        <v/>
      </c>
      <c r="M79" s="154"/>
      <c r="N79" s="155">
        <f>SUM('Pay App 1:Pay App 49'!L79)+SUM('Pay App 1:Pay App 49'!M79)</f>
        <v>0</v>
      </c>
    </row>
    <row r="80" spans="1:17" ht="11.25" customHeight="1" x14ac:dyDescent="0.25">
      <c r="A80" s="152">
        <v>24</v>
      </c>
      <c r="B80" s="178" t="str">
        <f>'Pay App 1'!B80</f>
        <v>05 20 00</v>
      </c>
      <c r="C80" s="183" t="str">
        <f>'Pay App 1'!C80</f>
        <v>Joists &amp; Deck</v>
      </c>
      <c r="D80" s="155">
        <f>'Pay App 1'!D80</f>
        <v>0</v>
      </c>
      <c r="E80" s="155">
        <f>VLOOKUP(B80,'Graph Data'!$O$2:$BX$88,51,FALSE)</f>
        <v>0</v>
      </c>
      <c r="F80" s="155">
        <f>IFERROR(E80+'Pay App 48'!F80,"")</f>
        <v>0</v>
      </c>
      <c r="G80" s="155">
        <f>SUM('Pay App 1:Pay App 48'!H80)</f>
        <v>0</v>
      </c>
      <c r="H80" s="154"/>
      <c r="I80" s="155">
        <f t="shared" si="0"/>
        <v>0</v>
      </c>
      <c r="J80" s="156">
        <f t="shared" si="1"/>
        <v>0</v>
      </c>
      <c r="K80" s="155">
        <f t="shared" si="2"/>
        <v>0</v>
      </c>
      <c r="L80" s="155" t="str">
        <f>IF(AND('Summary Sheet'!$E$23="No",$H$33&gt;0,H80&gt;=1),"",IF(AND('Summary Sheet'!$E$23="Yes",H80&lt;&gt;""),H80*'Summary Sheet'!$G$23,""))</f>
        <v/>
      </c>
      <c r="M80" s="154"/>
      <c r="N80" s="155">
        <f>SUM('Pay App 1:Pay App 49'!L80)+SUM('Pay App 1:Pay App 49'!M80)</f>
        <v>0</v>
      </c>
    </row>
    <row r="81" spans="1:14" ht="11.25" customHeight="1" x14ac:dyDescent="0.25">
      <c r="A81" s="152">
        <v>25</v>
      </c>
      <c r="B81" s="178" t="str">
        <f>'Pay App 1'!B81</f>
        <v>05 70 00</v>
      </c>
      <c r="C81" s="183" t="str">
        <f>'Pay App 1'!C81</f>
        <v>Ornamental Metal</v>
      </c>
      <c r="D81" s="155">
        <f>'Pay App 1'!D81</f>
        <v>0</v>
      </c>
      <c r="E81" s="155">
        <f>VLOOKUP(B81,'Graph Data'!$O$2:$BX$88,51,FALSE)</f>
        <v>0</v>
      </c>
      <c r="F81" s="155">
        <f>IFERROR(E81+'Pay App 48'!F81,"")</f>
        <v>0</v>
      </c>
      <c r="G81" s="155">
        <f>SUM('Pay App 1:Pay App 48'!H81)</f>
        <v>0</v>
      </c>
      <c r="H81" s="154"/>
      <c r="I81" s="155">
        <f t="shared" si="0"/>
        <v>0</v>
      </c>
      <c r="J81" s="156">
        <f t="shared" si="1"/>
        <v>0</v>
      </c>
      <c r="K81" s="155">
        <f t="shared" si="2"/>
        <v>0</v>
      </c>
      <c r="L81" s="155" t="str">
        <f>IF(AND('Summary Sheet'!$E$23="No",$H$33&gt;0,H81&gt;=1),"",IF(AND('Summary Sheet'!$E$23="Yes",H81&lt;&gt;""),H81*'Summary Sheet'!$G$23,""))</f>
        <v/>
      </c>
      <c r="M81" s="154"/>
      <c r="N81" s="155">
        <f>SUM('Pay App 1:Pay App 49'!L81)+SUM('Pay App 1:Pay App 49'!M81)</f>
        <v>0</v>
      </c>
    </row>
    <row r="82" spans="1:14" ht="11.25" customHeight="1" x14ac:dyDescent="0.25">
      <c r="A82" s="152">
        <v>26</v>
      </c>
      <c r="B82" s="145" t="str">
        <f>'Pay App 1'!B82</f>
        <v>06 10 00</v>
      </c>
      <c r="C82" s="134" t="str">
        <f>'Pay App 1'!C82</f>
        <v>Rough Carpentry</v>
      </c>
      <c r="D82" s="155">
        <f>'Pay App 1'!D82</f>
        <v>0</v>
      </c>
      <c r="E82" s="155">
        <f>VLOOKUP(B82,'Graph Data'!$O$2:$BX$88,51,FALSE)</f>
        <v>0</v>
      </c>
      <c r="F82" s="155">
        <f>IFERROR(E82+'Pay App 48'!F82,"")</f>
        <v>0</v>
      </c>
      <c r="G82" s="155">
        <f>SUM('Pay App 1:Pay App 48'!H82)</f>
        <v>0</v>
      </c>
      <c r="H82" s="154"/>
      <c r="I82" s="155">
        <f t="shared" si="0"/>
        <v>0</v>
      </c>
      <c r="J82" s="156">
        <f t="shared" si="1"/>
        <v>0</v>
      </c>
      <c r="K82" s="155">
        <f t="shared" si="2"/>
        <v>0</v>
      </c>
      <c r="L82" s="155" t="str">
        <f>IF(AND('Summary Sheet'!$E$23="No",$H$33&gt;0,H82&gt;=1),"",IF(AND('Summary Sheet'!$E$23="Yes",H82&lt;&gt;""),H82*'Summary Sheet'!$G$23,""))</f>
        <v/>
      </c>
      <c r="M82" s="154"/>
      <c r="N82" s="155">
        <f>SUM('Pay App 1:Pay App 49'!L82)+SUM('Pay App 1:Pay App 49'!M82)</f>
        <v>0</v>
      </c>
    </row>
    <row r="83" spans="1:14" ht="11.25" customHeight="1" x14ac:dyDescent="0.25">
      <c r="A83" s="152">
        <v>27</v>
      </c>
      <c r="B83" s="145" t="str">
        <f>'Pay App 1'!B83</f>
        <v>06 40 00</v>
      </c>
      <c r="C83" s="134" t="str">
        <f>'Pay App 1'!C83</f>
        <v>Arch. Woodwork &amp; Finish Carp.</v>
      </c>
      <c r="D83" s="155">
        <f>'Pay App 1'!D83</f>
        <v>0</v>
      </c>
      <c r="E83" s="155">
        <f>VLOOKUP(B83,'Graph Data'!$O$2:$BX$88,51,FALSE)</f>
        <v>0</v>
      </c>
      <c r="F83" s="155">
        <f>IFERROR(E83+'Pay App 48'!F83,"")</f>
        <v>0</v>
      </c>
      <c r="G83" s="155">
        <f>SUM('Pay App 1:Pay App 48'!H83)</f>
        <v>0</v>
      </c>
      <c r="H83" s="154"/>
      <c r="I83" s="155">
        <f t="shared" si="0"/>
        <v>0</v>
      </c>
      <c r="J83" s="156">
        <f t="shared" si="1"/>
        <v>0</v>
      </c>
      <c r="K83" s="155">
        <f t="shared" si="2"/>
        <v>0</v>
      </c>
      <c r="L83" s="155" t="str">
        <f>IF(AND('Summary Sheet'!$E$23="No",$H$33&gt;0,H83&gt;=1),"",IF(AND('Summary Sheet'!$E$23="Yes",H83&lt;&gt;""),H83*'Summary Sheet'!$G$23,""))</f>
        <v/>
      </c>
      <c r="M83" s="154"/>
      <c r="N83" s="155">
        <f>SUM('Pay App 1:Pay App 49'!L83)+SUM('Pay App 1:Pay App 49'!M83)</f>
        <v>0</v>
      </c>
    </row>
    <row r="84" spans="1:14" ht="11.25" customHeight="1" x14ac:dyDescent="0.25">
      <c r="A84" s="152">
        <v>28</v>
      </c>
      <c r="B84" s="174" t="str">
        <f>'Pay App 1'!B84</f>
        <v>07 10 00</v>
      </c>
      <c r="C84" s="179" t="str">
        <f>'Pay App 1'!C84</f>
        <v>Waterproofing/Water Repellents</v>
      </c>
      <c r="D84" s="155">
        <f>'Pay App 1'!D84</f>
        <v>0</v>
      </c>
      <c r="E84" s="155">
        <f>VLOOKUP(B84,'Graph Data'!$O$2:$BX$88,51,FALSE)</f>
        <v>0</v>
      </c>
      <c r="F84" s="155">
        <f>IFERROR(E84+'Pay App 48'!F84,"")</f>
        <v>0</v>
      </c>
      <c r="G84" s="155">
        <f>SUM('Pay App 1:Pay App 48'!H84)</f>
        <v>0</v>
      </c>
      <c r="H84" s="154"/>
      <c r="I84" s="155">
        <f t="shared" si="0"/>
        <v>0</v>
      </c>
      <c r="J84" s="156">
        <f t="shared" si="1"/>
        <v>0</v>
      </c>
      <c r="K84" s="155">
        <f t="shared" si="2"/>
        <v>0</v>
      </c>
      <c r="L84" s="155" t="str">
        <f>IF(AND('Summary Sheet'!$E$23="No",$H$33&gt;0,H84&gt;=1),"",IF(AND('Summary Sheet'!$E$23="Yes",H84&lt;&gt;""),H84*'Summary Sheet'!$G$23,""))</f>
        <v/>
      </c>
      <c r="M84" s="154"/>
      <c r="N84" s="155">
        <f>SUM('Pay App 1:Pay App 49'!L84)+SUM('Pay App 1:Pay App 49'!M84)</f>
        <v>0</v>
      </c>
    </row>
    <row r="85" spans="1:14" ht="11.25" customHeight="1" x14ac:dyDescent="0.25">
      <c r="A85" s="152">
        <v>29</v>
      </c>
      <c r="B85" s="174" t="str">
        <f>'Pay App 1'!B85</f>
        <v>07 20 00</v>
      </c>
      <c r="C85" s="179" t="str">
        <f>'Pay App 1'!C85</f>
        <v>Insulation</v>
      </c>
      <c r="D85" s="155">
        <f>'Pay App 1'!D85</f>
        <v>0</v>
      </c>
      <c r="E85" s="155">
        <f>VLOOKUP(B85,'Graph Data'!$O$2:$BX$88,51,FALSE)</f>
        <v>0</v>
      </c>
      <c r="F85" s="155">
        <f>IFERROR(E85+'Pay App 48'!F85,"")</f>
        <v>0</v>
      </c>
      <c r="G85" s="155">
        <f>SUM('Pay App 1:Pay App 48'!H85)</f>
        <v>0</v>
      </c>
      <c r="H85" s="154"/>
      <c r="I85" s="155">
        <f t="shared" si="0"/>
        <v>0</v>
      </c>
      <c r="J85" s="156">
        <f t="shared" si="1"/>
        <v>0</v>
      </c>
      <c r="K85" s="155">
        <f t="shared" si="2"/>
        <v>0</v>
      </c>
      <c r="L85" s="155" t="str">
        <f>IF(AND('Summary Sheet'!$E$23="No",$H$33&gt;0,H85&gt;=1),"",IF(AND('Summary Sheet'!$E$23="Yes",H85&lt;&gt;""),H85*'Summary Sheet'!$G$23,""))</f>
        <v/>
      </c>
      <c r="M85" s="154"/>
      <c r="N85" s="155">
        <f>SUM('Pay App 1:Pay App 49'!L85)+SUM('Pay App 1:Pay App 49'!M85)</f>
        <v>0</v>
      </c>
    </row>
    <row r="86" spans="1:14" ht="11.25" customHeight="1" x14ac:dyDescent="0.25">
      <c r="A86" s="152">
        <v>30</v>
      </c>
      <c r="B86" s="174" t="str">
        <f>'Pay App 1'!B86</f>
        <v>07 24 00</v>
      </c>
      <c r="C86" s="179" t="str">
        <f>'Pay App 1'!C86</f>
        <v>EIFS</v>
      </c>
      <c r="D86" s="155">
        <f>'Pay App 1'!D86</f>
        <v>0</v>
      </c>
      <c r="E86" s="155">
        <f>VLOOKUP(B86,'Graph Data'!$O$2:$BX$88,51,FALSE)</f>
        <v>0</v>
      </c>
      <c r="F86" s="155">
        <f>IFERROR(E86+'Pay App 48'!F86,"")</f>
        <v>0</v>
      </c>
      <c r="G86" s="155">
        <f>SUM('Pay App 1:Pay App 48'!H86)</f>
        <v>0</v>
      </c>
      <c r="H86" s="154"/>
      <c r="I86" s="155">
        <f t="shared" si="0"/>
        <v>0</v>
      </c>
      <c r="J86" s="156">
        <f t="shared" si="1"/>
        <v>0</v>
      </c>
      <c r="K86" s="155">
        <f t="shared" si="2"/>
        <v>0</v>
      </c>
      <c r="L86" s="155" t="str">
        <f>IF(AND('Summary Sheet'!$E$23="No",$H$33&gt;0,H86&gt;=1),"",IF(AND('Summary Sheet'!$E$23="Yes",H86&lt;&gt;""),H86*'Summary Sheet'!$G$23,""))</f>
        <v/>
      </c>
      <c r="M86" s="154"/>
      <c r="N86" s="155">
        <f>SUM('Pay App 1:Pay App 49'!L86)+SUM('Pay App 1:Pay App 49'!M86)</f>
        <v>0</v>
      </c>
    </row>
    <row r="87" spans="1:14" ht="11.25" customHeight="1" x14ac:dyDescent="0.25">
      <c r="A87" s="152">
        <v>31</v>
      </c>
      <c r="B87" s="174" t="str">
        <f>'Pay App 1'!B87</f>
        <v>07 26 00</v>
      </c>
      <c r="C87" s="179" t="str">
        <f>'Pay App 1'!C87</f>
        <v>Vapor Retarders</v>
      </c>
      <c r="D87" s="155">
        <f>'Pay App 1'!D87</f>
        <v>0</v>
      </c>
      <c r="E87" s="155">
        <f>VLOOKUP(B87,'Graph Data'!$O$2:$BX$88,51,FALSE)</f>
        <v>0</v>
      </c>
      <c r="F87" s="155">
        <f>IFERROR(E87+'Pay App 48'!F87,"")</f>
        <v>0</v>
      </c>
      <c r="G87" s="155">
        <f>SUM('Pay App 1:Pay App 48'!H87)</f>
        <v>0</v>
      </c>
      <c r="H87" s="154"/>
      <c r="I87" s="155">
        <f t="shared" si="0"/>
        <v>0</v>
      </c>
      <c r="J87" s="156">
        <f t="shared" si="1"/>
        <v>0</v>
      </c>
      <c r="K87" s="155">
        <f t="shared" si="2"/>
        <v>0</v>
      </c>
      <c r="L87" s="155" t="str">
        <f>IF(AND('Summary Sheet'!$E$23="No",$H$33&gt;0,H87&gt;=1),"",IF(AND('Summary Sheet'!$E$23="Yes",H87&lt;&gt;""),H87*'Summary Sheet'!$G$23,""))</f>
        <v/>
      </c>
      <c r="M87" s="154"/>
      <c r="N87" s="155">
        <f>SUM('Pay App 1:Pay App 49'!L87)+SUM('Pay App 1:Pay App 49'!M87)</f>
        <v>0</v>
      </c>
    </row>
    <row r="88" spans="1:14" ht="11.25" customHeight="1" x14ac:dyDescent="0.25">
      <c r="A88" s="152">
        <v>32</v>
      </c>
      <c r="B88" s="174" t="str">
        <f>'Pay App 1'!B88</f>
        <v>07 41 00</v>
      </c>
      <c r="C88" s="179" t="str">
        <f>'Pay App 1'!C88</f>
        <v>Roofing</v>
      </c>
      <c r="D88" s="155">
        <f>'Pay App 1'!D88</f>
        <v>0</v>
      </c>
      <c r="E88" s="155">
        <f>VLOOKUP(B88,'Graph Data'!$O$2:$BX$88,51,FALSE)</f>
        <v>0</v>
      </c>
      <c r="F88" s="155">
        <f>IFERROR(E88+'Pay App 48'!F88,"")</f>
        <v>0</v>
      </c>
      <c r="G88" s="155">
        <f>SUM('Pay App 1:Pay App 48'!H88)</f>
        <v>0</v>
      </c>
      <c r="H88" s="154"/>
      <c r="I88" s="155">
        <f t="shared" si="0"/>
        <v>0</v>
      </c>
      <c r="J88" s="156">
        <f t="shared" si="1"/>
        <v>0</v>
      </c>
      <c r="K88" s="155">
        <f t="shared" si="2"/>
        <v>0</v>
      </c>
      <c r="L88" s="155" t="str">
        <f>IF(AND('Summary Sheet'!$E$23="No",$H$33&gt;0,H88&gt;=1),"",IF(AND('Summary Sheet'!$E$23="Yes",H88&lt;&gt;""),H88*'Summary Sheet'!$G$23,""))</f>
        <v/>
      </c>
      <c r="M88" s="154"/>
      <c r="N88" s="155">
        <f>SUM('Pay App 1:Pay App 49'!L88)+SUM('Pay App 1:Pay App 49'!M88)</f>
        <v>0</v>
      </c>
    </row>
    <row r="89" spans="1:14" ht="11.25" customHeight="1" x14ac:dyDescent="0.25">
      <c r="A89" s="152">
        <v>33</v>
      </c>
      <c r="B89" s="174" t="str">
        <f>'Pay App 1'!B89</f>
        <v>07 42 00</v>
      </c>
      <c r="C89" s="179" t="str">
        <f>'Pay App 1'!C89</f>
        <v>Metal Panels</v>
      </c>
      <c r="D89" s="155">
        <f>'Pay App 1'!D89</f>
        <v>0</v>
      </c>
      <c r="E89" s="155">
        <f>VLOOKUP(B89,'Graph Data'!$O$2:$BX$88,51,FALSE)</f>
        <v>0</v>
      </c>
      <c r="F89" s="155">
        <f>IFERROR(E89+'Pay App 48'!F89,"")</f>
        <v>0</v>
      </c>
      <c r="G89" s="155">
        <f>SUM('Pay App 1:Pay App 48'!H89)</f>
        <v>0</v>
      </c>
      <c r="H89" s="154"/>
      <c r="I89" s="155">
        <f t="shared" si="0"/>
        <v>0</v>
      </c>
      <c r="J89" s="156">
        <f t="shared" si="1"/>
        <v>0</v>
      </c>
      <c r="K89" s="155">
        <f t="shared" si="2"/>
        <v>0</v>
      </c>
      <c r="L89" s="155" t="str">
        <f>IF(AND('Summary Sheet'!$E$23="No",$H$33&gt;0,H89&gt;=1),"",IF(AND('Summary Sheet'!$E$23="Yes",H89&lt;&gt;""),H89*'Summary Sheet'!$G$23,""))</f>
        <v/>
      </c>
      <c r="M89" s="154"/>
      <c r="N89" s="155">
        <f>SUM('Pay App 1:Pay App 49'!L89)+SUM('Pay App 1:Pay App 49'!M89)</f>
        <v>0</v>
      </c>
    </row>
    <row r="90" spans="1:14" ht="11.25" customHeight="1" x14ac:dyDescent="0.25">
      <c r="A90" s="152">
        <v>34</v>
      </c>
      <c r="B90" s="174" t="str">
        <f>'Pay App 1'!B90</f>
        <v>07 60 00</v>
      </c>
      <c r="C90" s="179" t="str">
        <f>'Pay App 1'!C90</f>
        <v>Sheet Metal Flashing &amp; Trim</v>
      </c>
      <c r="D90" s="155">
        <f>'Pay App 1'!D90</f>
        <v>0</v>
      </c>
      <c r="E90" s="155">
        <f>VLOOKUP(B90,'Graph Data'!$O$2:$BX$88,51,FALSE)</f>
        <v>0</v>
      </c>
      <c r="F90" s="155">
        <f>IFERROR(E90+'Pay App 48'!F90,"")</f>
        <v>0</v>
      </c>
      <c r="G90" s="155">
        <f>SUM('Pay App 1:Pay App 48'!H90)</f>
        <v>0</v>
      </c>
      <c r="H90" s="154"/>
      <c r="I90" s="155">
        <f t="shared" si="0"/>
        <v>0</v>
      </c>
      <c r="J90" s="156">
        <f t="shared" si="1"/>
        <v>0</v>
      </c>
      <c r="K90" s="155">
        <f t="shared" si="2"/>
        <v>0</v>
      </c>
      <c r="L90" s="155" t="str">
        <f>IF(AND('Summary Sheet'!$E$23="No",$H$33&gt;0,H90&gt;=1),"",IF(AND('Summary Sheet'!$E$23="Yes",H90&lt;&gt;""),H90*'Summary Sheet'!$G$23,""))</f>
        <v/>
      </c>
      <c r="M90" s="154"/>
      <c r="N90" s="155">
        <f>SUM('Pay App 1:Pay App 49'!L90)+SUM('Pay App 1:Pay App 49'!M90)</f>
        <v>0</v>
      </c>
    </row>
    <row r="91" spans="1:14" ht="11.25" customHeight="1" x14ac:dyDescent="0.25">
      <c r="A91" s="152">
        <v>35</v>
      </c>
      <c r="B91" s="174" t="str">
        <f>'Pay App 1'!B91</f>
        <v>07 80 00</v>
      </c>
      <c r="C91" s="179" t="str">
        <f>'Pay App 1'!C91</f>
        <v>Fireproofing</v>
      </c>
      <c r="D91" s="155">
        <f>'Pay App 1'!D91</f>
        <v>0</v>
      </c>
      <c r="E91" s="155">
        <f>VLOOKUP(B91,'Graph Data'!$O$2:$BX$88,51,FALSE)</f>
        <v>0</v>
      </c>
      <c r="F91" s="155">
        <f>IFERROR(E91+'Pay App 48'!F91,"")</f>
        <v>0</v>
      </c>
      <c r="G91" s="155">
        <f>SUM('Pay App 1:Pay App 48'!H91)</f>
        <v>0</v>
      </c>
      <c r="H91" s="154"/>
      <c r="I91" s="155">
        <f t="shared" si="0"/>
        <v>0</v>
      </c>
      <c r="J91" s="156">
        <f t="shared" si="1"/>
        <v>0</v>
      </c>
      <c r="K91" s="155">
        <f t="shared" si="2"/>
        <v>0</v>
      </c>
      <c r="L91" s="155" t="str">
        <f>IF(AND('Summary Sheet'!$E$23="No",$H$33&gt;0,H91&gt;=1),"",IF(AND('Summary Sheet'!$E$23="Yes",H91&lt;&gt;""),H91*'Summary Sheet'!$G$23,""))</f>
        <v/>
      </c>
      <c r="M91" s="154"/>
      <c r="N91" s="155">
        <f>SUM('Pay App 1:Pay App 49'!L91)+SUM('Pay App 1:Pay App 49'!M91)</f>
        <v>0</v>
      </c>
    </row>
    <row r="92" spans="1:14" ht="11.25" customHeight="1" x14ac:dyDescent="0.25">
      <c r="A92" s="152">
        <v>36</v>
      </c>
      <c r="B92" s="174" t="str">
        <f>'Pay App 1'!B92</f>
        <v>07 90 00</v>
      </c>
      <c r="C92" s="179" t="str">
        <f>'Pay App 1'!C92</f>
        <v>Joint Sealants</v>
      </c>
      <c r="D92" s="155">
        <f>'Pay App 1'!D92</f>
        <v>0</v>
      </c>
      <c r="E92" s="155">
        <f>VLOOKUP(B92,'Graph Data'!$O$2:$BX$88,51,FALSE)</f>
        <v>0</v>
      </c>
      <c r="F92" s="155">
        <f>IFERROR(E92+'Pay App 48'!F92,"")</f>
        <v>0</v>
      </c>
      <c r="G92" s="155">
        <f>SUM('Pay App 1:Pay App 48'!H92)</f>
        <v>0</v>
      </c>
      <c r="H92" s="154"/>
      <c r="I92" s="155">
        <f t="shared" si="0"/>
        <v>0</v>
      </c>
      <c r="J92" s="156">
        <f t="shared" si="1"/>
        <v>0</v>
      </c>
      <c r="K92" s="155">
        <f t="shared" si="2"/>
        <v>0</v>
      </c>
      <c r="L92" s="155" t="str">
        <f>IF(AND('Summary Sheet'!$E$23="No",$H$33&gt;0,H92&gt;=1),"",IF(AND('Summary Sheet'!$E$23="Yes",H92&lt;&gt;""),H92*'Summary Sheet'!$G$23,""))</f>
        <v/>
      </c>
      <c r="M92" s="154"/>
      <c r="N92" s="155">
        <f>SUM('Pay App 1:Pay App 49'!L92)+SUM('Pay App 1:Pay App 49'!M92)</f>
        <v>0</v>
      </c>
    </row>
    <row r="93" spans="1:14" ht="11.25" customHeight="1" x14ac:dyDescent="0.25">
      <c r="A93" s="152">
        <v>37</v>
      </c>
      <c r="B93" s="174" t="str">
        <f>'Pay App 1'!B93</f>
        <v>07 95 00</v>
      </c>
      <c r="C93" s="179" t="str">
        <f>'Pay App 1'!C93</f>
        <v>Expansion Joints</v>
      </c>
      <c r="D93" s="155">
        <f>'Pay App 1'!D93</f>
        <v>0</v>
      </c>
      <c r="E93" s="155">
        <f>VLOOKUP(B93,'Graph Data'!$O$2:$BX$88,51,FALSE)</f>
        <v>0</v>
      </c>
      <c r="F93" s="155">
        <f>IFERROR(E93+'Pay App 48'!F93,"")</f>
        <v>0</v>
      </c>
      <c r="G93" s="155">
        <f>SUM('Pay App 1:Pay App 48'!H93)</f>
        <v>0</v>
      </c>
      <c r="H93" s="154"/>
      <c r="I93" s="155">
        <f t="shared" si="0"/>
        <v>0</v>
      </c>
      <c r="J93" s="156">
        <f t="shared" si="1"/>
        <v>0</v>
      </c>
      <c r="K93" s="155">
        <f t="shared" si="2"/>
        <v>0</v>
      </c>
      <c r="L93" s="155" t="str">
        <f>IF(AND('Summary Sheet'!$E$23="No",$H$33&gt;0,H93&gt;=1),"",IF(AND('Summary Sheet'!$E$23="Yes",H93&lt;&gt;""),H93*'Summary Sheet'!$G$23,""))</f>
        <v/>
      </c>
      <c r="M93" s="154"/>
      <c r="N93" s="155">
        <f>SUM('Pay App 1:Pay App 49'!L93)+SUM('Pay App 1:Pay App 49'!M93)</f>
        <v>0</v>
      </c>
    </row>
    <row r="94" spans="1:14" ht="11.25" customHeight="1" x14ac:dyDescent="0.25">
      <c r="A94" s="152">
        <v>38</v>
      </c>
      <c r="B94" s="175" t="str">
        <f>'Pay App 1'!B94</f>
        <v>08 10 00</v>
      </c>
      <c r="C94" s="180" t="str">
        <f>'Pay App 1'!C94</f>
        <v>Doors, Frames &amp; Hardware</v>
      </c>
      <c r="D94" s="155">
        <f>'Pay App 1'!D94</f>
        <v>0</v>
      </c>
      <c r="E94" s="155">
        <f>VLOOKUP(B94,'Graph Data'!$O$2:$BX$88,51,FALSE)</f>
        <v>0</v>
      </c>
      <c r="F94" s="155">
        <f>IFERROR(E94+'Pay App 48'!F94,"")</f>
        <v>0</v>
      </c>
      <c r="G94" s="155">
        <f>SUM('Pay App 1:Pay App 48'!H94)</f>
        <v>0</v>
      </c>
      <c r="H94" s="154"/>
      <c r="I94" s="155">
        <f t="shared" si="0"/>
        <v>0</v>
      </c>
      <c r="J94" s="156">
        <f t="shared" si="1"/>
        <v>0</v>
      </c>
      <c r="K94" s="155">
        <f t="shared" si="2"/>
        <v>0</v>
      </c>
      <c r="L94" s="155" t="str">
        <f>IF(AND('Summary Sheet'!$E$23="No",$H$33&gt;0,H94&gt;=1),"",IF(AND('Summary Sheet'!$E$23="Yes",H94&lt;&gt;""),H94*'Summary Sheet'!$G$23,""))</f>
        <v/>
      </c>
      <c r="M94" s="154"/>
      <c r="N94" s="155">
        <f>SUM('Pay App 1:Pay App 49'!L94)+SUM('Pay App 1:Pay App 49'!M94)</f>
        <v>0</v>
      </c>
    </row>
    <row r="95" spans="1:14" ht="11.25" customHeight="1" x14ac:dyDescent="0.25">
      <c r="A95" s="152">
        <v>39</v>
      </c>
      <c r="B95" s="175" t="str">
        <f>'Pay App 1'!B95</f>
        <v>08 30 00</v>
      </c>
      <c r="C95" s="180" t="str">
        <f>'Pay App 1'!C95</f>
        <v>Specialty Doors</v>
      </c>
      <c r="D95" s="155">
        <f>'Pay App 1'!D95</f>
        <v>0</v>
      </c>
      <c r="E95" s="155">
        <f>VLOOKUP(B95,'Graph Data'!$O$2:$BX$88,51,FALSE)</f>
        <v>0</v>
      </c>
      <c r="F95" s="155">
        <f>IFERROR(E95+'Pay App 48'!F95,"")</f>
        <v>0</v>
      </c>
      <c r="G95" s="155">
        <f>SUM('Pay App 1:Pay App 48'!H95)</f>
        <v>0</v>
      </c>
      <c r="H95" s="154"/>
      <c r="I95" s="155">
        <f t="shared" si="0"/>
        <v>0</v>
      </c>
      <c r="J95" s="156">
        <f t="shared" si="1"/>
        <v>0</v>
      </c>
      <c r="K95" s="155">
        <f t="shared" si="2"/>
        <v>0</v>
      </c>
      <c r="L95" s="155" t="str">
        <f>IF(AND('Summary Sheet'!$E$23="No",$H$33&gt;0,H95&gt;=1),"",IF(AND('Summary Sheet'!$E$23="Yes",H95&lt;&gt;""),H95*'Summary Sheet'!$G$23,""))</f>
        <v/>
      </c>
      <c r="M95" s="154"/>
      <c r="N95" s="155">
        <f>SUM('Pay App 1:Pay App 49'!L95)+SUM('Pay App 1:Pay App 49'!M95)</f>
        <v>0</v>
      </c>
    </row>
    <row r="96" spans="1:14" ht="11.25" customHeight="1" x14ac:dyDescent="0.25">
      <c r="A96" s="152">
        <v>40</v>
      </c>
      <c r="B96" s="175" t="str">
        <f>'Pay App 1'!B96</f>
        <v>08 33 00</v>
      </c>
      <c r="C96" s="180" t="str">
        <f>'Pay App 1'!C96</f>
        <v>Overhead Doors/Coiling Doors</v>
      </c>
      <c r="D96" s="155">
        <f>'Pay App 1'!D96</f>
        <v>0</v>
      </c>
      <c r="E96" s="155">
        <f>VLOOKUP(B96,'Graph Data'!$O$2:$BX$88,51,FALSE)</f>
        <v>0</v>
      </c>
      <c r="F96" s="155">
        <f>IFERROR(E96+'Pay App 48'!F96,"")</f>
        <v>0</v>
      </c>
      <c r="G96" s="155">
        <f>SUM('Pay App 1:Pay App 48'!H96)</f>
        <v>0</v>
      </c>
      <c r="H96" s="154"/>
      <c r="I96" s="155">
        <f t="shared" si="0"/>
        <v>0</v>
      </c>
      <c r="J96" s="156">
        <f t="shared" si="1"/>
        <v>0</v>
      </c>
      <c r="K96" s="155">
        <f t="shared" si="2"/>
        <v>0</v>
      </c>
      <c r="L96" s="155" t="str">
        <f>IF(AND('Summary Sheet'!$E$23="No",$H$33&gt;0,H96&gt;=1),"",IF(AND('Summary Sheet'!$E$23="Yes",H96&lt;&gt;""),H96*'Summary Sheet'!$G$23,""))</f>
        <v/>
      </c>
      <c r="M96" s="154"/>
      <c r="N96" s="155">
        <f>SUM('Pay App 1:Pay App 49'!L96)+SUM('Pay App 1:Pay App 49'!M96)</f>
        <v>0</v>
      </c>
    </row>
    <row r="97" spans="1:15" ht="11.25" customHeight="1" x14ac:dyDescent="0.25">
      <c r="A97" s="152">
        <v>41</v>
      </c>
      <c r="B97" s="175" t="str">
        <f>'Pay App 1'!B97</f>
        <v>08 40 00</v>
      </c>
      <c r="C97" s="180" t="str">
        <f>'Pay App 1'!C97</f>
        <v>Curtain Wall, Glass &amp; Glazing</v>
      </c>
      <c r="D97" s="155">
        <f>'Pay App 1'!D97</f>
        <v>0</v>
      </c>
      <c r="E97" s="155">
        <f>VLOOKUP(B97,'Graph Data'!$O$2:$BX$88,51,FALSE)</f>
        <v>0</v>
      </c>
      <c r="F97" s="155">
        <f>IFERROR(E97+'Pay App 48'!F97,"")</f>
        <v>0</v>
      </c>
      <c r="G97" s="155">
        <f>SUM('Pay App 1:Pay App 48'!H97)</f>
        <v>0</v>
      </c>
      <c r="H97" s="154"/>
      <c r="I97" s="155">
        <f t="shared" si="0"/>
        <v>0</v>
      </c>
      <c r="J97" s="156">
        <f t="shared" si="1"/>
        <v>0</v>
      </c>
      <c r="K97" s="155">
        <f t="shared" si="2"/>
        <v>0</v>
      </c>
      <c r="L97" s="155" t="str">
        <f>IF(AND('Summary Sheet'!$E$23="No",$H$33&gt;0,H97&gt;=1),"",IF(AND('Summary Sheet'!$E$23="Yes",H97&lt;&gt;""),H97*'Summary Sheet'!$G$23,""))</f>
        <v/>
      </c>
      <c r="M97" s="154"/>
      <c r="N97" s="155">
        <f>SUM('Pay App 1:Pay App 49'!L97)+SUM('Pay App 1:Pay App 49'!M97)</f>
        <v>0</v>
      </c>
    </row>
    <row r="98" spans="1:15" ht="10.9" customHeight="1" x14ac:dyDescent="0.25">
      <c r="A98" s="152">
        <v>42</v>
      </c>
      <c r="B98" s="175" t="str">
        <f>'Pay App 1'!B98</f>
        <v>08 60 00</v>
      </c>
      <c r="C98" s="180" t="str">
        <f>'Pay App 1'!C98</f>
        <v>Skylights</v>
      </c>
      <c r="D98" s="155">
        <f>'Pay App 1'!D98</f>
        <v>0</v>
      </c>
      <c r="E98" s="155">
        <f>VLOOKUP(B98,'Graph Data'!$O$2:$BX$88,51,FALSE)</f>
        <v>0</v>
      </c>
      <c r="F98" s="155">
        <f>IFERROR(E98+'Pay App 48'!F98,"")</f>
        <v>0</v>
      </c>
      <c r="G98" s="155">
        <f>SUM('Pay App 1:Pay App 48'!H98)</f>
        <v>0</v>
      </c>
      <c r="H98" s="154"/>
      <c r="I98" s="155">
        <f t="shared" si="0"/>
        <v>0</v>
      </c>
      <c r="J98" s="156">
        <f t="shared" si="1"/>
        <v>0</v>
      </c>
      <c r="K98" s="155">
        <f t="shared" si="2"/>
        <v>0</v>
      </c>
      <c r="L98" s="155" t="str">
        <f>IF(AND('Summary Sheet'!$E$23="No",$H$33&gt;0,H98&gt;=1),"",IF(AND('Summary Sheet'!$E$23="Yes",H98&lt;&gt;""),H98*'Summary Sheet'!$G$23,""))</f>
        <v/>
      </c>
      <c r="M98" s="154"/>
      <c r="N98" s="155">
        <f>SUM('Pay App 1:Pay App 49'!L98)+SUM('Pay App 1:Pay App 49'!M98)</f>
        <v>0</v>
      </c>
    </row>
    <row r="99" spans="1:15" ht="10.9" customHeight="1" x14ac:dyDescent="0.25">
      <c r="A99" s="152">
        <v>43</v>
      </c>
      <c r="B99" s="175" t="str">
        <f>'Pay App 1'!B99</f>
        <v>08 90 00</v>
      </c>
      <c r="C99" s="180" t="str">
        <f>'Pay App 1'!C99</f>
        <v>Louvers &amp; Vents</v>
      </c>
      <c r="D99" s="155">
        <f>'Pay App 1'!D99</f>
        <v>0</v>
      </c>
      <c r="E99" s="155">
        <f>VLOOKUP(B99,'Graph Data'!$O$2:$BX$88,51,FALSE)</f>
        <v>0</v>
      </c>
      <c r="F99" s="155">
        <f>IFERROR(E99+'Pay App 48'!F99,"")</f>
        <v>0</v>
      </c>
      <c r="G99" s="155">
        <f>SUM('Pay App 1:Pay App 48'!H99)</f>
        <v>0</v>
      </c>
      <c r="H99" s="154"/>
      <c r="I99" s="155">
        <f t="shared" si="0"/>
        <v>0</v>
      </c>
      <c r="J99" s="156">
        <f t="shared" si="1"/>
        <v>0</v>
      </c>
      <c r="K99" s="155">
        <f t="shared" si="2"/>
        <v>0</v>
      </c>
      <c r="L99" s="155" t="str">
        <f>IF(AND('Summary Sheet'!$E$23="No",$H$33&gt;0,H99&gt;=1),"",IF(AND('Summary Sheet'!$E$23="Yes",H99&lt;&gt;""),H99*'Summary Sheet'!$G$23,""))</f>
        <v/>
      </c>
      <c r="M99" s="154"/>
      <c r="N99" s="155">
        <f>SUM('Pay App 1:Pay App 49'!L99)+SUM('Pay App 1:Pay App 49'!M99)</f>
        <v>0</v>
      </c>
    </row>
    <row r="100" spans="1:15" ht="11.25" customHeight="1" x14ac:dyDescent="0.25">
      <c r="A100" s="153">
        <v>44</v>
      </c>
      <c r="B100" s="176" t="str">
        <f>'Pay App 1'!B100</f>
        <v>09 20 00</v>
      </c>
      <c r="C100" s="181" t="str">
        <f>'Pay App 1'!C100</f>
        <v>Gypsum Board Systems</v>
      </c>
      <c r="D100" s="155">
        <f>'Pay App 1'!D100</f>
        <v>0</v>
      </c>
      <c r="E100" s="155">
        <f>VLOOKUP(B100,'Graph Data'!$O$2:$BX$88,51,FALSE)</f>
        <v>0</v>
      </c>
      <c r="F100" s="155">
        <f>IFERROR(E100+'Pay App 48'!F100,"")</f>
        <v>0</v>
      </c>
      <c r="G100" s="155">
        <f>SUM('Pay App 1:Pay App 48'!H100)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49'!L100)+SUM('Pay App 1:Pay App 49'!M100)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49.2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Data'!$O$2:$BX$88,51,FALSE)</f>
        <v>0</v>
      </c>
      <c r="F106" s="155">
        <f>IFERROR(E106+'Pay App 48'!F106,"")</f>
        <v>0</v>
      </c>
      <c r="G106" s="155">
        <f>SUM('Pay App 1:Pay App 48'!H106)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49'!L106)+SUM('Pay App 1:Pay App 49'!M106)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Data'!$O$2:$BX$88,51,FALSE)</f>
        <v>0</v>
      </c>
      <c r="F107" s="155">
        <f>IFERROR(E107+'Pay App 48'!F107,"")</f>
        <v>0</v>
      </c>
      <c r="G107" s="155">
        <f>SUM('Pay App 1:Pay App 48'!H107)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49'!L107)+SUM('Pay App 1:Pay App 49'!M107)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Data'!$O$2:$BX$88,51,FALSE)</f>
        <v>0</v>
      </c>
      <c r="F108" s="155">
        <f>IFERROR(E108+'Pay App 48'!F108,"")</f>
        <v>0</v>
      </c>
      <c r="G108" s="155">
        <f>SUM('Pay App 1:Pay App 48'!H108)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49'!L108)+SUM('Pay App 1:Pay App 49'!M108)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Data'!$O$2:$BX$88,51,FALSE)</f>
        <v>0</v>
      </c>
      <c r="F109" s="155">
        <f>IFERROR(E109+'Pay App 48'!F109,"")</f>
        <v>0</v>
      </c>
      <c r="G109" s="155">
        <f>SUM('Pay App 1:Pay App 48'!H109)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49'!L109)+SUM('Pay App 1:Pay App 49'!M109)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Data'!$O$2:$BX$88,51,FALSE)</f>
        <v>0</v>
      </c>
      <c r="F110" s="155">
        <f>IFERROR(E110+'Pay App 48'!F110,"")</f>
        <v>0</v>
      </c>
      <c r="G110" s="155">
        <f>SUM('Pay App 1:Pay App 48'!H110)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49'!L110)+SUM('Pay App 1:Pay App 49'!M110)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Data'!$O$2:$BX$88,51,FALSE)</f>
        <v>0</v>
      </c>
      <c r="F111" s="155">
        <f>IFERROR(E111+'Pay App 48'!F111,"")</f>
        <v>0</v>
      </c>
      <c r="G111" s="155">
        <f>SUM('Pay App 1:Pay App 48'!H111)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49'!L111)+SUM('Pay App 1:Pay App 49'!M111)</f>
        <v>0</v>
      </c>
    </row>
    <row r="112" spans="1:15" ht="11.25" customHeight="1" x14ac:dyDescent="0.25">
      <c r="A112" s="152">
        <f t="shared" si="3"/>
        <v>51</v>
      </c>
      <c r="B112" s="148" t="str">
        <f>'Pay App 1'!B112</f>
        <v>09 90 00</v>
      </c>
      <c r="C112" s="143" t="str">
        <f>'Pay App 1'!C112</f>
        <v>Painting</v>
      </c>
      <c r="D112" s="155">
        <f>'Pay App 1'!D112</f>
        <v>0</v>
      </c>
      <c r="E112" s="155">
        <f>VLOOKUP(B112,'Graph Data'!$O$2:$BX$88,51,FALSE)</f>
        <v>0</v>
      </c>
      <c r="F112" s="155">
        <f>IFERROR(E112+'Pay App 48'!F112,"")</f>
        <v>0</v>
      </c>
      <c r="G112" s="155">
        <f>SUM('Pay App 1:Pay App 48'!H112)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49'!L112)+SUM('Pay App 1:Pay App 49'!M112)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Data'!$O$2:$BX$88,51,FALSE)</f>
        <v>0</v>
      </c>
      <c r="F113" s="155">
        <f>IFERROR(E113+'Pay App 48'!F113,"")</f>
        <v>0</v>
      </c>
      <c r="G113" s="155">
        <f>SUM('Pay App 1:Pay App 48'!H113)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49'!L113)+SUM('Pay App 1:Pay App 49'!M113)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Data'!$O$2:$BX$88,51,FALSE)</f>
        <v>0</v>
      </c>
      <c r="F114" s="155">
        <f>IFERROR(E114+'Pay App 48'!F114,"")</f>
        <v>0</v>
      </c>
      <c r="G114" s="155">
        <f>SUM('Pay App 1:Pay App 48'!H114)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49'!L114)+SUM('Pay App 1:Pay App 49'!M114)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Data'!$O$2:$BX$88,51,FALSE)</f>
        <v>0</v>
      </c>
      <c r="F115" s="155">
        <f>IFERROR(E115+'Pay App 48'!F115,"")</f>
        <v>0</v>
      </c>
      <c r="G115" s="155">
        <f>SUM('Pay App 1:Pay App 48'!H115)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49'!L115)+SUM('Pay App 1:Pay App 49'!M115)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Data'!$O$2:$BX$88,51,FALSE)</f>
        <v>0</v>
      </c>
      <c r="F116" s="155">
        <f>IFERROR(E116+'Pay App 48'!F116,"")</f>
        <v>0</v>
      </c>
      <c r="G116" s="155">
        <f>SUM('Pay App 1:Pay App 48'!H116)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49'!L116)+SUM('Pay App 1:Pay App 49'!M116)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Data'!$O$2:$BX$88,51,FALSE)</f>
        <v>0</v>
      </c>
      <c r="F117" s="155">
        <f>IFERROR(E117+'Pay App 48'!F117,"")</f>
        <v>0</v>
      </c>
      <c r="G117" s="155">
        <f>SUM('Pay App 1:Pay App 48'!H117)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49'!L117)+SUM('Pay App 1:Pay App 49'!M117)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Data'!$O$2:$BX$88,51,FALSE)</f>
        <v>0</v>
      </c>
      <c r="F118" s="155">
        <f>IFERROR(E118+'Pay App 48'!F118,"")</f>
        <v>0</v>
      </c>
      <c r="G118" s="155">
        <f>SUM('Pay App 1:Pay App 48'!H118)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49'!L118)+SUM('Pay App 1:Pay App 49'!M118)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Data'!$O$2:$BX$88,51,FALSE)</f>
        <v>0</v>
      </c>
      <c r="F119" s="155">
        <f>IFERROR(E119+'Pay App 48'!F119,"")</f>
        <v>0</v>
      </c>
      <c r="G119" s="155">
        <f>SUM('Pay App 1:Pay App 48'!H119)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49'!L119)+SUM('Pay App 1:Pay App 49'!M119)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Data'!$O$2:$BX$88,51,FALSE)</f>
        <v>0</v>
      </c>
      <c r="F120" s="155">
        <f>IFERROR(E120+'Pay App 48'!F120,"")</f>
        <v>0</v>
      </c>
      <c r="G120" s="155">
        <f>SUM('Pay App 1:Pay App 48'!H120)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49'!L120)+SUM('Pay App 1:Pay App 49'!M120)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Data'!$O$2:$BX$88,51,FALSE)</f>
        <v>0</v>
      </c>
      <c r="F121" s="155">
        <f>IFERROR(E121+'Pay App 48'!F121,"")</f>
        <v>0</v>
      </c>
      <c r="G121" s="155">
        <f>SUM('Pay App 1:Pay App 48'!H121)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49'!L121)+SUM('Pay App 1:Pay App 49'!M121)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Data'!$O$2:$BX$88,51,FALSE)</f>
        <v>0</v>
      </c>
      <c r="F122" s="155">
        <f>IFERROR(E122+'Pay App 48'!F122,"")</f>
        <v>0</v>
      </c>
      <c r="G122" s="155">
        <f>SUM('Pay App 1:Pay App 48'!H122)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49'!L122)+SUM('Pay App 1:Pay App 49'!M122)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Data'!$O$2:$BX$88,51,FALSE)</f>
        <v>0</v>
      </c>
      <c r="F123" s="155">
        <f>IFERROR(E123+'Pay App 48'!F123,"")</f>
        <v>0</v>
      </c>
      <c r="G123" s="155">
        <f>SUM('Pay App 1:Pay App 48'!H123)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49'!L123)+SUM('Pay App 1:Pay App 49'!M123)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Data'!$O$2:$BX$88,51,FALSE)</f>
        <v>0</v>
      </c>
      <c r="F124" s="155">
        <f>IFERROR(E124+'Pay App 48'!F124,"")</f>
        <v>0</v>
      </c>
      <c r="G124" s="155">
        <f>SUM('Pay App 1:Pay App 48'!H124)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49'!L124)+SUM('Pay App 1:Pay App 49'!M124)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Data'!$O$2:$BX$88,51,FALSE)</f>
        <v>0</v>
      </c>
      <c r="F125" s="155">
        <f>IFERROR(E125+'Pay App 48'!F125,"")</f>
        <v>0</v>
      </c>
      <c r="G125" s="155">
        <f>SUM('Pay App 1:Pay App 48'!H125)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49'!L125)+SUM('Pay App 1:Pay App 49'!M125)</f>
        <v>0</v>
      </c>
    </row>
    <row r="126" spans="1:14" ht="11.25" customHeight="1" x14ac:dyDescent="0.25">
      <c r="A126" s="152">
        <f t="shared" si="3"/>
        <v>65</v>
      </c>
      <c r="B126" s="188" t="str">
        <f>'Pay App 1'!B126</f>
        <v>14 20 00</v>
      </c>
      <c r="C126" s="194" t="str">
        <f>'Pay App 1'!C126</f>
        <v>Elevator</v>
      </c>
      <c r="D126" s="155">
        <f>'Pay App 1'!D126</f>
        <v>0</v>
      </c>
      <c r="E126" s="155">
        <f>VLOOKUP(B126,'Graph Data'!$O$2:$BX$88,51,FALSE)</f>
        <v>0</v>
      </c>
      <c r="F126" s="155">
        <f>IFERROR(E126+'Pay App 48'!F126,"")</f>
        <v>0</v>
      </c>
      <c r="G126" s="155">
        <f>SUM('Pay App 1:Pay App 48'!H126)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49'!L126)+SUM('Pay App 1:Pay App 49'!M126)</f>
        <v>0</v>
      </c>
    </row>
    <row r="127" spans="1:14" ht="11.25" customHeight="1" x14ac:dyDescent="0.25">
      <c r="A127" s="152">
        <f t="shared" si="3"/>
        <v>66</v>
      </c>
      <c r="B127" s="188" t="str">
        <f>'Pay App 1'!B127</f>
        <v>14 40 00</v>
      </c>
      <c r="C127" s="194" t="str">
        <f>'Pay App 1'!C127</f>
        <v>Lifts</v>
      </c>
      <c r="D127" s="155">
        <f>'Pay App 1'!D127</f>
        <v>0</v>
      </c>
      <c r="E127" s="155">
        <f>VLOOKUP(B127,'Graph Data'!$O$2:$BX$88,51,FALSE)</f>
        <v>0</v>
      </c>
      <c r="F127" s="155">
        <f>IFERROR(E127+'Pay App 48'!F127,"")</f>
        <v>0</v>
      </c>
      <c r="G127" s="155">
        <f>SUM('Pay App 1:Pay App 48'!H127)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49'!L127)+SUM('Pay App 1:Pay App 49'!M127)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Data'!$O$2:$BX$88,51,FALSE)</f>
        <v>0</v>
      </c>
      <c r="F128" s="155">
        <f>IFERROR(E128+'Pay App 48'!F128,"")</f>
        <v>0</v>
      </c>
      <c r="G128" s="155">
        <f>SUM('Pay App 1:Pay App 48'!H128)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49'!L128)+SUM('Pay App 1:Pay App 49'!M128)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Data'!$O$2:$BX$88,51,FALSE)</f>
        <v>0</v>
      </c>
      <c r="F129" s="155">
        <f>IFERROR(E129+'Pay App 48'!F129,"")</f>
        <v>0</v>
      </c>
      <c r="G129" s="155">
        <f>SUM('Pay App 1:Pay App 48'!H129)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49'!L129)+SUM('Pay App 1:Pay App 49'!M129)</f>
        <v>0</v>
      </c>
    </row>
    <row r="130" spans="1:14" ht="11.25" customHeight="1" x14ac:dyDescent="0.25">
      <c r="A130" s="152">
        <f t="shared" si="3"/>
        <v>69</v>
      </c>
      <c r="B130" s="185" t="str">
        <f>'Pay App 1'!B130</f>
        <v>22 00 00</v>
      </c>
      <c r="C130" s="191" t="str">
        <f>'Pay App 1'!C130</f>
        <v>Plumbing</v>
      </c>
      <c r="D130" s="155">
        <f>'Pay App 1'!D130</f>
        <v>0</v>
      </c>
      <c r="E130" s="155">
        <f>VLOOKUP(B130,'Graph Data'!$O$2:$BX$88,51,FALSE)</f>
        <v>0</v>
      </c>
      <c r="F130" s="155">
        <f>IFERROR(E130+'Pay App 48'!F130,"")</f>
        <v>0</v>
      </c>
      <c r="G130" s="155">
        <f>SUM('Pay App 1:Pay App 48'!H130)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49'!L130)+SUM('Pay App 1:Pay App 49'!M130)</f>
        <v>0</v>
      </c>
    </row>
    <row r="131" spans="1:14" ht="11.25" customHeight="1" x14ac:dyDescent="0.25">
      <c r="A131" s="152">
        <f t="shared" si="3"/>
        <v>70</v>
      </c>
      <c r="B131" s="186" t="str">
        <f>'Pay App 1'!B131</f>
        <v>23 00 00</v>
      </c>
      <c r="C131" s="192" t="str">
        <f>'Pay App 1'!C131</f>
        <v>HVAC</v>
      </c>
      <c r="D131" s="155">
        <f>'Pay App 1'!D131</f>
        <v>0</v>
      </c>
      <c r="E131" s="155">
        <f>VLOOKUP(B131,'Graph Data'!$O$2:$BX$88,51,FALSE)</f>
        <v>0</v>
      </c>
      <c r="F131" s="155">
        <f>IFERROR(E131+'Pay App 48'!F131,"")</f>
        <v>0</v>
      </c>
      <c r="G131" s="155">
        <f>SUM('Pay App 1:Pay App 48'!H131)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49'!L131)+SUM('Pay App 1:Pay App 49'!M131)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Data'!$O$2:$BX$88,51,FALSE)</f>
        <v>0</v>
      </c>
      <c r="F132" s="155">
        <f>IFERROR(E132+'Pay App 48'!F132,"")</f>
        <v>0</v>
      </c>
      <c r="G132" s="155">
        <f>SUM('Pay App 1:Pay App 48'!H132)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49'!L132)+SUM('Pay App 1:Pay App 49'!M132)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Data'!$O$2:$BX$88,51,FALSE)</f>
        <v>0</v>
      </c>
      <c r="F133" s="155">
        <f>IFERROR(E133+'Pay App 48'!F133,"")</f>
        <v>0</v>
      </c>
      <c r="G133" s="155">
        <f>SUM('Pay App 1:Pay App 48'!H133)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49'!L133)+SUM('Pay App 1:Pay App 49'!M133)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Data'!$O$2:$BX$88,51,FALSE)</f>
        <v>0</v>
      </c>
      <c r="F134" s="155">
        <f>IFERROR(E134+'Pay App 48'!F134,"")</f>
        <v>0</v>
      </c>
      <c r="G134" s="155">
        <f>SUM('Pay App 1:Pay App 48'!H134)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49'!L134)+SUM('Pay App 1:Pay App 49'!M134)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Data'!$O$2:$BX$88,51,FALSE)</f>
        <v>0</v>
      </c>
      <c r="F135" s="155">
        <f>IFERROR(E135+'Pay App 48'!F135,"")</f>
        <v>0</v>
      </c>
      <c r="G135" s="155">
        <f>SUM('Pay App 1:Pay App 48'!H135)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49'!L135)+SUM('Pay App 1:Pay App 49'!M135)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Data'!$O$2:$BX$88,51,FALSE)</f>
        <v>0</v>
      </c>
      <c r="F136" s="155">
        <f>IFERROR(E136+'Pay App 48'!F136,"")</f>
        <v>0</v>
      </c>
      <c r="G136" s="155">
        <f>SUM('Pay App 1:Pay App 48'!H136)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49'!L136)+SUM('Pay App 1:Pay App 49'!M136)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Data'!$O$2:$BX$88,51,FALSE)</f>
        <v>0</v>
      </c>
      <c r="F137" s="155">
        <f>IFERROR(E137+'Pay App 48'!F137,"")</f>
        <v>0</v>
      </c>
      <c r="G137" s="155">
        <f>SUM('Pay App 1:Pay App 48'!H137)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49'!L137)+SUM('Pay App 1:Pay App 49'!M137)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Data'!$O$2:$BX$88,51,FALSE)</f>
        <v>0</v>
      </c>
      <c r="F138" s="155">
        <f>IFERROR(E138+'Pay App 48'!F138,"")</f>
        <v>0</v>
      </c>
      <c r="G138" s="155">
        <f>SUM('Pay App 1:Pay App 48'!H138)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49'!L138)+SUM('Pay App 1:Pay App 49'!M138)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Data'!$O$2:$BX$88,51,FALSE)</f>
        <v>0</v>
      </c>
      <c r="F139" s="155">
        <f>IFERROR(E139+'Pay App 48'!F139,"")</f>
        <v>0</v>
      </c>
      <c r="G139" s="155">
        <f>SUM('Pay App 1:Pay App 48'!H139)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49'!L139)+SUM('Pay App 1:Pay App 49'!M139)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Data'!$O$2:$BX$88,51,FALSE)</f>
        <v>0</v>
      </c>
      <c r="F140" s="155">
        <f>IFERROR(E140+'Pay App 48'!F140,"")</f>
        <v>0</v>
      </c>
      <c r="G140" s="155">
        <f>SUM('Pay App 1:Pay App 48'!H140)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49'!L140)+SUM('Pay App 1:Pay App 49'!M140)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Data'!$O$2:$BX$88,51,FALSE)</f>
        <v>0</v>
      </c>
      <c r="F141" s="155">
        <f>IFERROR(E141+'Pay App 48'!F141,"")</f>
        <v>0</v>
      </c>
      <c r="G141" s="155">
        <f>SUM('Pay App 1:Pay App 48'!H141)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49'!L141)+SUM('Pay App 1:Pay App 49'!M141)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Data'!$O$2:$BX$88,51,FALSE)</f>
        <v>0</v>
      </c>
      <c r="F142" s="155">
        <f>IFERROR(E142+'Pay App 48'!F142,"")</f>
        <v>0</v>
      </c>
      <c r="G142" s="155">
        <f>SUM('Pay App 1:Pay App 48'!H142)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49'!L142)+SUM('Pay App 1:Pay App 49'!M142)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Data'!$O$2:$BX$88,51,FALSE)</f>
        <v>0</v>
      </c>
      <c r="F143" s="155">
        <f>IFERROR(E143+'Pay App 48'!F143,"")</f>
        <v>0</v>
      </c>
      <c r="G143" s="155">
        <f>SUM('Pay App 1:Pay App 48'!H143)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49'!L143)+SUM('Pay App 1:Pay App 49'!M143)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Data'!$O$2:$BX$88,51,FALSE)</f>
        <v>0</v>
      </c>
      <c r="F144" s="155">
        <f>IFERROR(E144+'Pay App 48'!F144,"")</f>
        <v>0</v>
      </c>
      <c r="G144" s="155">
        <f>SUM('Pay App 1:Pay App 48'!H144)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49'!L144)+SUM('Pay App 1:Pay App 49'!M144)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Data'!$O$2:$BX$88,51,FALSE)</f>
        <v>0</v>
      </c>
      <c r="F145" s="155">
        <f>IFERROR(E145+'Pay App 48'!F145,"")</f>
        <v>0</v>
      </c>
      <c r="G145" s="155">
        <f>SUM('Pay App 1:Pay App 48'!H145)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49'!L145)+SUM('Pay App 1:Pay App 49'!M145)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Data'!$O$2:$BX$88,51,FALSE)</f>
        <v>0</v>
      </c>
      <c r="F146" s="155">
        <f>IFERROR(E146+'Pay App 48'!F146,"")</f>
        <v>0</v>
      </c>
      <c r="G146" s="155">
        <f>SUM('Pay App 1:Pay App 48'!H146)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49'!L146)+SUM('Pay App 1:Pay App 49'!M146)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Data'!$O$2:$BX$88,51,FALSE)</f>
        <v>0</v>
      </c>
      <c r="F147" s="155">
        <f>IFERROR(E147+'Pay App 48'!F147,"")</f>
        <v>0</v>
      </c>
      <c r="G147" s="155">
        <f>SUM('Pay App 1:Pay App 48'!H147)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49'!L147)+SUM('Pay App 1:Pay App 49'!M147)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Data'!$O$2:$BX$88,51,FALSE)</f>
        <v>0</v>
      </c>
      <c r="F148" s="155">
        <f>IFERROR(E148+'Pay App 48'!F148,"")</f>
        <v>0</v>
      </c>
      <c r="G148" s="155">
        <f>SUM('Pay App 1:Pay App 48'!H148)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49'!L148)+SUM('Pay App 1:Pay App 49'!M148)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ImLaJ2T5VuPInpTEJcl7JDZrI09oWNZMax+fXX2MLRKQw/DPS4zZ2XyS3P+sBrYEBMOmAyfYqi8PPm3QAl4Vag==" saltValue="RTHTvHOf7dsIEwDM16hy2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31" priority="2" operator="equal">
      <formula>0</formula>
    </cfRule>
  </conditionalFormatting>
  <conditionalFormatting sqref="D106:G148">
    <cfRule type="cellIs" dxfId="130" priority="1" operator="equal">
      <formula>0</formula>
    </cfRule>
  </conditionalFormatting>
  <conditionalFormatting sqref="D10:H10 D12:H14 D19:H21">
    <cfRule type="cellIs" dxfId="129" priority="6" operator="equal">
      <formula>0</formula>
    </cfRule>
  </conditionalFormatting>
  <conditionalFormatting sqref="H51">
    <cfRule type="cellIs" dxfId="128" priority="9" operator="lessThan">
      <formula>0</formula>
    </cfRule>
  </conditionalFormatting>
  <conditionalFormatting sqref="I57:I100 K57:K100 I106:I148 K106:K148 N106:N148">
    <cfRule type="cellIs" dxfId="127" priority="14" operator="equal">
      <formula>0</formula>
    </cfRule>
  </conditionalFormatting>
  <conditionalFormatting sqref="J57:J100 J106:J149">
    <cfRule type="cellIs" dxfId="126" priority="11" operator="greaterThan">
      <formula>1</formula>
    </cfRule>
    <cfRule type="cellIs" dxfId="125" priority="12" operator="equal">
      <formula>0</formula>
    </cfRule>
  </conditionalFormatting>
  <conditionalFormatting sqref="K57:K100 K106:K148">
    <cfRule type="cellIs" dxfId="124" priority="10" operator="lessThan">
      <formula>0</formula>
    </cfRule>
  </conditionalFormatting>
  <conditionalFormatting sqref="M57:M100">
    <cfRule type="cellIs" dxfId="123" priority="13" operator="lessThan">
      <formula>0</formula>
    </cfRule>
  </conditionalFormatting>
  <conditionalFormatting sqref="M106:M148">
    <cfRule type="cellIs" dxfId="122" priority="8" operator="lessThan">
      <formula>0</formula>
    </cfRule>
  </conditionalFormatting>
  <conditionalFormatting sqref="N57:N100">
    <cfRule type="cellIs" dxfId="12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B49A23B4-3798-4EF5-BDA4-AF2930D747BB}">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30EA4B11-24AC-40C9-B881-E8C7F604A0A4}">
          <x14:formula1>
            <xm:f>'Graph Data'!$M$74:$M$76</xm:f>
          </x14:formula1>
          <xm:sqref>G17</xm:sqref>
        </x14:dataValidation>
      </x14:dataValidation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8C967-CF51-4EAB-8FEC-BE16930E5F3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49'!H49)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Data'!$O$2:$BX$88,52,FALSE)</f>
        <v>0</v>
      </c>
      <c r="F57" s="155">
        <f>IFERROR(E57+'Pay App 49'!F57,"")</f>
        <v>0</v>
      </c>
      <c r="G57" s="155">
        <f>SUM('Pay App 1:Pay App 49'!H57)</f>
        <v>0</v>
      </c>
      <c r="H57" s="154"/>
      <c r="I57" s="155">
        <f>G57+H57</f>
        <v>0</v>
      </c>
      <c r="J57" s="156">
        <f>IFERROR(I57/F57,0)</f>
        <v>0</v>
      </c>
      <c r="K57" s="155">
        <f>IFERROR(F57-I57,"")</f>
        <v>0</v>
      </c>
      <c r="L57" s="155" t="str">
        <f>IF(AND('Summary Sheet'!$E$23="No",$H$33&gt;0,H57&gt;=1),"",IF(AND('Summary Sheet'!$E$23="Yes",H57&lt;&gt;""),H57*'Summary Sheet'!$G$23,""))</f>
        <v/>
      </c>
      <c r="M57" s="154"/>
      <c r="N57" s="155">
        <f>SUM('Pay App 1:Pay App 50'!L57)+SUM('Pay App 1:Pay App 50'!M57)</f>
        <v>0</v>
      </c>
    </row>
    <row r="58" spans="1:16" ht="11.25" customHeight="1" x14ac:dyDescent="0.25">
      <c r="A58" s="152">
        <v>2</v>
      </c>
      <c r="B58" s="145" t="str">
        <f>'Pay App 1'!B58</f>
        <v>00 02 00</v>
      </c>
      <c r="C58" s="134" t="str">
        <f>'Pay App 1'!C58</f>
        <v>Preconstruction Services</v>
      </c>
      <c r="D58" s="155">
        <f>'Pay App 1'!D58</f>
        <v>0</v>
      </c>
      <c r="E58" s="155">
        <f>VLOOKUP(B58,'Graph Data'!$O$2:$BX$88,52,FALSE)</f>
        <v>0</v>
      </c>
      <c r="F58" s="155">
        <f>IFERROR(E58+'Pay App 49'!F58,"")</f>
        <v>0</v>
      </c>
      <c r="G58" s="155">
        <f>SUM('Pay App 1:Pay App 49'!H58)</f>
        <v>0</v>
      </c>
      <c r="H58" s="154"/>
      <c r="I58" s="155">
        <f>G58+H58</f>
        <v>0</v>
      </c>
      <c r="J58" s="156">
        <f>IFERROR(I58/F58,0)</f>
        <v>0</v>
      </c>
      <c r="K58" s="155">
        <f>IFERROR(F58-I58,"")</f>
        <v>0</v>
      </c>
      <c r="L58" s="155" t="str">
        <f>IF(AND('Summary Sheet'!$E$23="No",$H$33&gt;0,H58&gt;=1),"",IF(AND('Summary Sheet'!$E$23="Yes",H58&lt;&gt;""),H58*'Summary Sheet'!$G$23,""))</f>
        <v/>
      </c>
      <c r="M58" s="154"/>
      <c r="N58" s="155">
        <f>SUM('Pay App 1:Pay App 50'!L58)+SUM('Pay App 1:Pay App 50'!M58)</f>
        <v>0</v>
      </c>
    </row>
    <row r="59" spans="1:16" ht="11.25" customHeight="1" x14ac:dyDescent="0.25">
      <c r="A59" s="152">
        <v>3</v>
      </c>
      <c r="B59" s="174" t="str">
        <f>'Pay App 1'!B59</f>
        <v>01 00 00</v>
      </c>
      <c r="C59" s="179" t="str">
        <f>'Pay App 1'!C59</f>
        <v>General Conditions/Requirements</v>
      </c>
      <c r="D59" s="155">
        <f>'Pay App 1'!D59</f>
        <v>0</v>
      </c>
      <c r="E59" s="155">
        <f>VLOOKUP(B59,'Graph Data'!$O$2:$BX$88,52,FALSE)</f>
        <v>0</v>
      </c>
      <c r="F59" s="155">
        <f>IFERROR(E59+'Pay App 49'!F59,"")</f>
        <v>0</v>
      </c>
      <c r="G59" s="155">
        <f>SUM('Pay App 1:Pay App 49'!H59)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50'!L59)+SUM('Pay App 1:Pay App 50'!M59)</f>
        <v>0</v>
      </c>
    </row>
    <row r="60" spans="1:16" ht="11.25" customHeight="1" x14ac:dyDescent="0.25">
      <c r="A60" s="152">
        <v>4</v>
      </c>
      <c r="B60" s="174" t="str">
        <f>'Pay App 1'!B60</f>
        <v>01 13 41</v>
      </c>
      <c r="C60" s="179" t="str">
        <f>'Pay App 1'!C60</f>
        <v>Temp. Scaffolding and Platforms</v>
      </c>
      <c r="D60" s="155">
        <f>'Pay App 1'!D60</f>
        <v>0</v>
      </c>
      <c r="E60" s="155">
        <f>VLOOKUP(B60,'Graph Data'!$O$2:$BX$88,52,FALSE)</f>
        <v>0</v>
      </c>
      <c r="F60" s="155">
        <f>IFERROR(E60+'Pay App 49'!F60,"")</f>
        <v>0</v>
      </c>
      <c r="G60" s="155">
        <f>SUM('Pay App 1:Pay App 49'!H60)</f>
        <v>0</v>
      </c>
      <c r="H60" s="154"/>
      <c r="I60" s="155">
        <f t="shared" si="0"/>
        <v>0</v>
      </c>
      <c r="J60" s="156">
        <f t="shared" si="1"/>
        <v>0</v>
      </c>
      <c r="K60" s="155">
        <f t="shared" si="2"/>
        <v>0</v>
      </c>
      <c r="L60" s="155" t="str">
        <f>IF(AND('Summary Sheet'!$E$23="No",$H$33&gt;0,H60&gt;=1),"",IF(AND('Summary Sheet'!$E$23="Yes",H60&lt;&gt;""),H60*'Summary Sheet'!$G$23,""))</f>
        <v/>
      </c>
      <c r="M60" s="154"/>
      <c r="N60" s="155">
        <f>SUM('Pay App 1:Pay App 50'!L60)+SUM('Pay App 1:Pay App 50'!M60)</f>
        <v>0</v>
      </c>
    </row>
    <row r="61" spans="1:16" ht="11.25" customHeight="1" x14ac:dyDescent="0.25">
      <c r="A61" s="152">
        <v>5</v>
      </c>
      <c r="B61" s="174" t="str">
        <f>'Pay App 1'!B61</f>
        <v>01 13 60</v>
      </c>
      <c r="C61" s="179" t="str">
        <f>'Pay App 1'!C61</f>
        <v>SWPPP</v>
      </c>
      <c r="D61" s="155">
        <f>'Pay App 1'!D61</f>
        <v>0</v>
      </c>
      <c r="E61" s="155">
        <f>VLOOKUP(B61,'Graph Data'!$O$2:$BX$88,52,FALSE)</f>
        <v>0</v>
      </c>
      <c r="F61" s="155">
        <f>IFERROR(E61+'Pay App 49'!F61,"")</f>
        <v>0</v>
      </c>
      <c r="G61" s="155">
        <f>SUM('Pay App 1:Pay App 49'!H61)</f>
        <v>0</v>
      </c>
      <c r="H61" s="154"/>
      <c r="I61" s="155">
        <f t="shared" si="0"/>
        <v>0</v>
      </c>
      <c r="J61" s="156">
        <f t="shared" si="1"/>
        <v>0</v>
      </c>
      <c r="K61" s="155">
        <f t="shared" si="2"/>
        <v>0</v>
      </c>
      <c r="L61" s="155" t="str">
        <f>IF(AND('Summary Sheet'!$E$23="No",$H$33&gt;0,H61&gt;=1),"",IF(AND('Summary Sheet'!$E$23="Yes",H61&lt;&gt;""),H61*'Summary Sheet'!$G$23,""))</f>
        <v/>
      </c>
      <c r="M61" s="154"/>
      <c r="N61" s="155">
        <f>SUM('Pay App 1:Pay App 50'!L61)+SUM('Pay App 1:Pay App 50'!M61)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Data'!$O$2:$BX$88,52,FALSE)</f>
        <v>0</v>
      </c>
      <c r="F62" s="155">
        <f>IFERROR(E62+'Pay App 49'!F62,"")</f>
        <v>0</v>
      </c>
      <c r="G62" s="155">
        <f>SUM('Pay App 1:Pay App 49'!H62)</f>
        <v>0</v>
      </c>
      <c r="H62" s="154"/>
      <c r="I62" s="155">
        <f t="shared" si="0"/>
        <v>0</v>
      </c>
      <c r="J62" s="156">
        <f t="shared" si="1"/>
        <v>0</v>
      </c>
      <c r="K62" s="155">
        <f t="shared" si="2"/>
        <v>0</v>
      </c>
      <c r="L62" s="155" t="str">
        <f>IF(AND('Summary Sheet'!$E$23="No",$H$33&gt;0,H62&gt;=1),"",IF(AND('Summary Sheet'!$E$23="Yes",H62&lt;&gt;""),H62*'Summary Sheet'!$G$23,""))</f>
        <v/>
      </c>
      <c r="M62" s="154"/>
      <c r="N62" s="155">
        <f>SUM('Pay App 1:Pay App 50'!L62)+SUM('Pay App 1:Pay App 50'!M62)</f>
        <v>0</v>
      </c>
    </row>
    <row r="63" spans="1:16" ht="11.25" customHeight="1" x14ac:dyDescent="0.25">
      <c r="A63" s="152">
        <v>7</v>
      </c>
      <c r="B63" s="174" t="str">
        <f>'Pay App 1'!B63</f>
        <v>01 31 00</v>
      </c>
      <c r="C63" s="179" t="str">
        <f>'Pay App 1'!C63</f>
        <v>Contractor's Supervision</v>
      </c>
      <c r="D63" s="155">
        <f>'Pay App 1'!D63</f>
        <v>0</v>
      </c>
      <c r="E63" s="155">
        <f>VLOOKUP(B63,'Graph Data'!$O$2:$BX$88,52,FALSE)</f>
        <v>0</v>
      </c>
      <c r="F63" s="155">
        <f>IFERROR(E63+'Pay App 49'!F63,"")</f>
        <v>0</v>
      </c>
      <c r="G63" s="155">
        <f>SUM('Pay App 1:Pay App 49'!H63)</f>
        <v>0</v>
      </c>
      <c r="H63" s="154"/>
      <c r="I63" s="155">
        <f t="shared" si="0"/>
        <v>0</v>
      </c>
      <c r="J63" s="156">
        <f t="shared" si="1"/>
        <v>0</v>
      </c>
      <c r="K63" s="155">
        <f t="shared" si="2"/>
        <v>0</v>
      </c>
      <c r="L63" s="155" t="str">
        <f>IF(AND('Summary Sheet'!$E$23="No",$H$33&gt;0,H63&gt;=1),"",IF(AND('Summary Sheet'!$E$23="Yes",H63&lt;&gt;""),H63*'Summary Sheet'!$G$23,""))</f>
        <v/>
      </c>
      <c r="M63" s="154"/>
      <c r="N63" s="155">
        <f>SUM('Pay App 1:Pay App 50'!L63)+SUM('Pay App 1:Pay App 50'!M63)</f>
        <v>0</v>
      </c>
    </row>
    <row r="64" spans="1:16" ht="11.25" customHeight="1" x14ac:dyDescent="0.25">
      <c r="A64" s="152">
        <v>8</v>
      </c>
      <c r="B64" s="174" t="str">
        <f>'Pay App 1'!B64</f>
        <v>01 32 00</v>
      </c>
      <c r="C64" s="179" t="str">
        <f>'Pay App 1'!C64</f>
        <v>General Liability Insurance</v>
      </c>
      <c r="D64" s="155">
        <f>'Pay App 1'!D64</f>
        <v>0</v>
      </c>
      <c r="E64" s="155">
        <f>VLOOKUP(B64,'Graph Data'!$O$2:$BX$88,52,FALSE)</f>
        <v>0</v>
      </c>
      <c r="F64" s="155">
        <f>IFERROR(E64+'Pay App 49'!F64,"")</f>
        <v>0</v>
      </c>
      <c r="G64" s="155">
        <f>SUM('Pay App 1:Pay App 49'!H64)</f>
        <v>0</v>
      </c>
      <c r="H64" s="154"/>
      <c r="I64" s="155">
        <f t="shared" si="0"/>
        <v>0</v>
      </c>
      <c r="J64" s="156">
        <f t="shared" si="1"/>
        <v>0</v>
      </c>
      <c r="K64" s="155">
        <f t="shared" si="2"/>
        <v>0</v>
      </c>
      <c r="L64" s="155" t="str">
        <f>IF(AND('Summary Sheet'!$E$23="No",$H$33&gt;0,H64&gt;=1),"",IF(AND('Summary Sheet'!$E$23="Yes",H64&lt;&gt;""),H64*'Summary Sheet'!$G$23,""))</f>
        <v/>
      </c>
      <c r="M64" s="154"/>
      <c r="N64" s="155">
        <f>SUM('Pay App 1:Pay App 50'!L64)+SUM('Pay App 1:Pay App 50'!M64)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Data'!$O$2:$BX$88,52,FALSE)</f>
        <v>0</v>
      </c>
      <c r="F65" s="155">
        <f>IFERROR(E65+'Pay App 49'!F65,"")</f>
        <v>0</v>
      </c>
      <c r="G65" s="155">
        <f>SUM('Pay App 1:Pay App 49'!H65)</f>
        <v>0</v>
      </c>
      <c r="H65" s="154"/>
      <c r="I65" s="155">
        <f t="shared" si="0"/>
        <v>0</v>
      </c>
      <c r="J65" s="156">
        <f t="shared" si="1"/>
        <v>0</v>
      </c>
      <c r="K65" s="155">
        <f t="shared" si="2"/>
        <v>0</v>
      </c>
      <c r="L65" s="155" t="str">
        <f>IF(AND('Summary Sheet'!$E$23="No",$H$33&gt;0,H65&gt;=1),"",IF(AND('Summary Sheet'!$E$23="Yes",H65&lt;&gt;""),H65*'Summary Sheet'!$G$23,""))</f>
        <v/>
      </c>
      <c r="M65" s="154"/>
      <c r="N65" s="155">
        <f>SUM('Pay App 1:Pay App 50'!L65)+SUM('Pay App 1:Pay App 50'!M65)</f>
        <v>0</v>
      </c>
    </row>
    <row r="66" spans="1:17" ht="11.25" customHeight="1" x14ac:dyDescent="0.25">
      <c r="A66" s="152">
        <v>10</v>
      </c>
      <c r="B66" s="174" t="str">
        <f>'Pay App 1'!B66</f>
        <v>01 34 00</v>
      </c>
      <c r="C66" s="179" t="str">
        <f>'Pay App 1'!C66</f>
        <v>Subcontractor Default Insurance</v>
      </c>
      <c r="D66" s="155">
        <f>'Pay App 1'!D66</f>
        <v>0</v>
      </c>
      <c r="E66" s="155">
        <f>VLOOKUP(B66,'Graph Data'!$O$2:$BX$88,52,FALSE)</f>
        <v>0</v>
      </c>
      <c r="F66" s="155">
        <f>IFERROR(E66+'Pay App 49'!F66,"")</f>
        <v>0</v>
      </c>
      <c r="G66" s="155">
        <f>SUM('Pay App 1:Pay App 49'!H66)</f>
        <v>0</v>
      </c>
      <c r="H66" s="154"/>
      <c r="I66" s="155">
        <f t="shared" si="0"/>
        <v>0</v>
      </c>
      <c r="J66" s="156">
        <f t="shared" si="1"/>
        <v>0</v>
      </c>
      <c r="K66" s="155">
        <f t="shared" si="2"/>
        <v>0</v>
      </c>
      <c r="L66" s="155" t="str">
        <f>IF(AND('Summary Sheet'!$E$23="No",$H$33&gt;0,H66&gt;=1),"",IF(AND('Summary Sheet'!$E$23="Yes",H66&lt;&gt;""),H66*'Summary Sheet'!$G$23,""))</f>
        <v/>
      </c>
      <c r="M66" s="154"/>
      <c r="N66" s="155">
        <f>SUM('Pay App 1:Pay App 50'!L66)+SUM('Pay App 1:Pay App 50'!M66)</f>
        <v>0</v>
      </c>
    </row>
    <row r="67" spans="1:17" ht="11.25" customHeight="1" x14ac:dyDescent="0.25">
      <c r="A67" s="152">
        <v>11</v>
      </c>
      <c r="B67" s="174" t="str">
        <f>'Pay App 1'!B67</f>
        <v>01 35 00</v>
      </c>
      <c r="C67" s="179" t="str">
        <f>'Pay App 1'!C67</f>
        <v>Construction Management Fee</v>
      </c>
      <c r="D67" s="155">
        <f>'Pay App 1'!D67</f>
        <v>0</v>
      </c>
      <c r="E67" s="155">
        <f>VLOOKUP(B67,'Graph Data'!$O$2:$BX$88,52,FALSE)</f>
        <v>0</v>
      </c>
      <c r="F67" s="155">
        <f>IFERROR(E67+'Pay App 49'!F67,"")</f>
        <v>0</v>
      </c>
      <c r="G67" s="155">
        <f>SUM('Pay App 1:Pay App 49'!H67)</f>
        <v>0</v>
      </c>
      <c r="H67" s="154"/>
      <c r="I67" s="155">
        <f t="shared" si="0"/>
        <v>0</v>
      </c>
      <c r="J67" s="156">
        <f t="shared" si="1"/>
        <v>0</v>
      </c>
      <c r="K67" s="155">
        <f t="shared" si="2"/>
        <v>0</v>
      </c>
      <c r="L67" s="155" t="str">
        <f>IF(AND('Summary Sheet'!$E$23="No",$H$33&gt;0,H67&gt;=1),"",IF(AND('Summary Sheet'!$E$23="Yes",H67&lt;&gt;""),H67*'Summary Sheet'!$G$23,""))</f>
        <v/>
      </c>
      <c r="M67" s="154"/>
      <c r="N67" s="155">
        <f>SUM('Pay App 1:Pay App 50'!L67)+SUM('Pay App 1:Pay App 50'!M67)</f>
        <v>0</v>
      </c>
    </row>
    <row r="68" spans="1:17" ht="11.25" customHeight="1" x14ac:dyDescent="0.25">
      <c r="A68" s="152">
        <v>12</v>
      </c>
      <c r="B68" s="174" t="str">
        <f>'Pay App 1'!B68</f>
        <v>01 36 00</v>
      </c>
      <c r="C68" s="179" t="str">
        <f>'Pay App 1'!C68</f>
        <v>Contingency</v>
      </c>
      <c r="D68" s="155">
        <f>'Pay App 1'!D68</f>
        <v>0</v>
      </c>
      <c r="E68" s="155">
        <f>VLOOKUP(B68,'Graph Data'!$O$2:$BX$88,52,FALSE)</f>
        <v>0</v>
      </c>
      <c r="F68" s="155">
        <f>IFERROR(E68+'Pay App 49'!F68,"")</f>
        <v>0</v>
      </c>
      <c r="G68" s="155">
        <f>SUM('Pay App 1:Pay App 49'!H68)</f>
        <v>0</v>
      </c>
      <c r="H68" s="154"/>
      <c r="I68" s="155">
        <f t="shared" si="0"/>
        <v>0</v>
      </c>
      <c r="J68" s="156">
        <f t="shared" si="1"/>
        <v>0</v>
      </c>
      <c r="K68" s="155">
        <f t="shared" si="2"/>
        <v>0</v>
      </c>
      <c r="L68" s="155" t="str">
        <f>IF(AND('Summary Sheet'!$E$23="No",$H$33&gt;0,H68&gt;=1),"",IF(AND('Summary Sheet'!$E$23="Yes",H68&lt;&gt;""),H68*'Summary Sheet'!$G$23,""))</f>
        <v/>
      </c>
      <c r="M68" s="154"/>
      <c r="N68" s="155">
        <f>SUM('Pay App 1:Pay App 50'!L68)+SUM('Pay App 1:Pay App 50'!M68)</f>
        <v>0</v>
      </c>
    </row>
    <row r="69" spans="1:17" ht="11.25" customHeight="1" x14ac:dyDescent="0.25">
      <c r="A69" s="152">
        <v>13</v>
      </c>
      <c r="B69" s="174" t="str">
        <f>'Pay App 1'!B69</f>
        <v>01 37 00</v>
      </c>
      <c r="C69" s="179" t="str">
        <f>'Pay App 1'!C69</f>
        <v>Weather Allowance (All Trades)</v>
      </c>
      <c r="D69" s="155">
        <f>'Pay App 1'!D69</f>
        <v>0</v>
      </c>
      <c r="E69" s="155">
        <f>VLOOKUP(B69,'Graph Data'!$O$2:$BX$88,52,FALSE)</f>
        <v>0</v>
      </c>
      <c r="F69" s="155">
        <f>IFERROR(E69+'Pay App 49'!F69,"")</f>
        <v>0</v>
      </c>
      <c r="G69" s="155">
        <f>SUM('Pay App 1:Pay App 49'!H69)</f>
        <v>0</v>
      </c>
      <c r="H69" s="154"/>
      <c r="I69" s="155">
        <f t="shared" si="0"/>
        <v>0</v>
      </c>
      <c r="J69" s="156">
        <f t="shared" si="1"/>
        <v>0</v>
      </c>
      <c r="K69" s="155">
        <f t="shared" si="2"/>
        <v>0</v>
      </c>
      <c r="L69" s="155" t="str">
        <f>IF(AND('Summary Sheet'!$E$23="No",$H$33&gt;0,H69&gt;=1),"",IF(AND('Summary Sheet'!$E$23="Yes",H69&lt;&gt;""),H69*'Summary Sheet'!$G$23,""))</f>
        <v/>
      </c>
      <c r="M69" s="154"/>
      <c r="N69" s="155">
        <f>SUM('Pay App 1:Pay App 50'!L69)+SUM('Pay App 1:Pay App 50'!M69)</f>
        <v>0</v>
      </c>
    </row>
    <row r="70" spans="1:17" ht="11.25" customHeight="1" x14ac:dyDescent="0.25">
      <c r="A70" s="152">
        <v>14</v>
      </c>
      <c r="B70" s="174" t="str">
        <f>'Pay App 1'!B70</f>
        <v>01 74 23</v>
      </c>
      <c r="C70" s="179" t="str">
        <f>'Pay App 1'!C70</f>
        <v>Cleaning (Final)</v>
      </c>
      <c r="D70" s="155">
        <f>'Pay App 1'!D70</f>
        <v>0</v>
      </c>
      <c r="E70" s="155">
        <f>VLOOKUP(B70,'Graph Data'!$O$2:$BX$88,52,FALSE)</f>
        <v>0</v>
      </c>
      <c r="F70" s="155">
        <f>IFERROR(E70+'Pay App 49'!F70,"")</f>
        <v>0</v>
      </c>
      <c r="G70" s="155">
        <f>SUM('Pay App 1:Pay App 49'!H70)</f>
        <v>0</v>
      </c>
      <c r="H70" s="154"/>
      <c r="I70" s="155">
        <f t="shared" si="0"/>
        <v>0</v>
      </c>
      <c r="J70" s="156">
        <f t="shared" si="1"/>
        <v>0</v>
      </c>
      <c r="K70" s="155">
        <f t="shared" si="2"/>
        <v>0</v>
      </c>
      <c r="L70" s="155" t="str">
        <f>IF(AND('Summary Sheet'!$E$23="No",$H$33&gt;0,H70&gt;=1),"",IF(AND('Summary Sheet'!$E$23="Yes",H70&lt;&gt;""),H70*'Summary Sheet'!$G$23,""))</f>
        <v/>
      </c>
      <c r="M70" s="154"/>
      <c r="N70" s="155">
        <f>SUM('Pay App 1:Pay App 50'!L70)+SUM('Pay App 1:Pay App 50'!M70)</f>
        <v>0</v>
      </c>
    </row>
    <row r="71" spans="1:17" ht="11.25" customHeight="1" x14ac:dyDescent="0.25">
      <c r="A71" s="152">
        <v>15</v>
      </c>
      <c r="B71" s="175" t="str">
        <f>'Pay App 1'!B71</f>
        <v>02 21 00</v>
      </c>
      <c r="C71" s="180" t="str">
        <f>'Pay App 1'!C71</f>
        <v>Survey/Engineering</v>
      </c>
      <c r="D71" s="155">
        <f>'Pay App 1'!D71</f>
        <v>0</v>
      </c>
      <c r="E71" s="155">
        <f>VLOOKUP(B71,'Graph Data'!$O$2:$BX$88,52,FALSE)</f>
        <v>0</v>
      </c>
      <c r="F71" s="155">
        <f>IFERROR(E71+'Pay App 49'!F71,"")</f>
        <v>0</v>
      </c>
      <c r="G71" s="155">
        <f>SUM('Pay App 1:Pay App 49'!H71)</f>
        <v>0</v>
      </c>
      <c r="H71" s="154"/>
      <c r="I71" s="155">
        <f t="shared" si="0"/>
        <v>0</v>
      </c>
      <c r="J71" s="156">
        <f t="shared" si="1"/>
        <v>0</v>
      </c>
      <c r="K71" s="155">
        <f t="shared" si="2"/>
        <v>0</v>
      </c>
      <c r="L71" s="155" t="str">
        <f>IF(AND('Summary Sheet'!$E$23="No",$H$33&gt;0,H71&gt;=1),"",IF(AND('Summary Sheet'!$E$23="Yes",H71&lt;&gt;""),H71*'Summary Sheet'!$G$23,""))</f>
        <v/>
      </c>
      <c r="M71" s="154"/>
      <c r="N71" s="155">
        <f>SUM('Pay App 1:Pay App 50'!L71)+SUM('Pay App 1:Pay App 50'!M71)</f>
        <v>0</v>
      </c>
      <c r="Q71" s="28"/>
    </row>
    <row r="72" spans="1:17" ht="11.25" customHeight="1" x14ac:dyDescent="0.25">
      <c r="A72" s="152">
        <v>16</v>
      </c>
      <c r="B72" s="175" t="str">
        <f>'Pay App 1'!B72</f>
        <v>02 41 00</v>
      </c>
      <c r="C72" s="180" t="str">
        <f>'Pay App 1'!C72</f>
        <v>Demolition</v>
      </c>
      <c r="D72" s="155">
        <f>'Pay App 1'!D72</f>
        <v>0</v>
      </c>
      <c r="E72" s="155">
        <f>VLOOKUP(B72,'Graph Data'!$O$2:$BX$88,52,FALSE)</f>
        <v>0</v>
      </c>
      <c r="F72" s="155">
        <f>IFERROR(E72+'Pay App 49'!F72,"")</f>
        <v>0</v>
      </c>
      <c r="G72" s="155">
        <f>SUM('Pay App 1:Pay App 49'!H72)</f>
        <v>0</v>
      </c>
      <c r="H72" s="154"/>
      <c r="I72" s="155">
        <f t="shared" si="0"/>
        <v>0</v>
      </c>
      <c r="J72" s="156">
        <f t="shared" si="1"/>
        <v>0</v>
      </c>
      <c r="K72" s="155">
        <f t="shared" si="2"/>
        <v>0</v>
      </c>
      <c r="L72" s="155" t="str">
        <f>IF(AND('Summary Sheet'!$E$23="No",$H$33&gt;0,H72&gt;=1),"",IF(AND('Summary Sheet'!$E$23="Yes",H72&lt;&gt;""),H72*'Summary Sheet'!$G$23,""))</f>
        <v/>
      </c>
      <c r="M72" s="154"/>
      <c r="N72" s="155">
        <f>SUM('Pay App 1:Pay App 50'!L72)+SUM('Pay App 1:Pay App 50'!M72)</f>
        <v>0</v>
      </c>
      <c r="Q72" s="28"/>
    </row>
    <row r="73" spans="1:17" ht="11.25" customHeight="1" x14ac:dyDescent="0.25">
      <c r="A73" s="152">
        <v>17</v>
      </c>
      <c r="B73" s="175" t="str">
        <f>'Pay App 1'!B73</f>
        <v>02 82 00</v>
      </c>
      <c r="C73" s="180" t="str">
        <f>'Pay App 1'!C73</f>
        <v>Asbestos Abatement</v>
      </c>
      <c r="D73" s="155">
        <f>'Pay App 1'!D73</f>
        <v>0</v>
      </c>
      <c r="E73" s="155">
        <f>VLOOKUP(B73,'Graph Data'!$O$2:$BX$88,52,FALSE)</f>
        <v>0</v>
      </c>
      <c r="F73" s="155">
        <f>IFERROR(E73+'Pay App 49'!F73,"")</f>
        <v>0</v>
      </c>
      <c r="G73" s="155">
        <f>SUM('Pay App 1:Pay App 49'!H73)</f>
        <v>0</v>
      </c>
      <c r="H73" s="154"/>
      <c r="I73" s="155">
        <f t="shared" si="0"/>
        <v>0</v>
      </c>
      <c r="J73" s="156">
        <f t="shared" si="1"/>
        <v>0</v>
      </c>
      <c r="K73" s="155">
        <f t="shared" si="2"/>
        <v>0</v>
      </c>
      <c r="L73" s="155" t="str">
        <f>IF(AND('Summary Sheet'!$E$23="No",$H$33&gt;0,H73&gt;=1),"",IF(AND('Summary Sheet'!$E$23="Yes",H73&lt;&gt;""),H73*'Summary Sheet'!$G$23,""))</f>
        <v/>
      </c>
      <c r="M73" s="154"/>
      <c r="N73" s="155">
        <f>SUM('Pay App 1:Pay App 50'!L73)+SUM('Pay App 1:Pay App 50'!M73)</f>
        <v>0</v>
      </c>
    </row>
    <row r="74" spans="1:17" ht="11.25" customHeight="1" x14ac:dyDescent="0.25">
      <c r="A74" s="152">
        <v>18</v>
      </c>
      <c r="B74" s="176" t="str">
        <f>'Pay App 1'!B74</f>
        <v>03 00 00</v>
      </c>
      <c r="C74" s="181" t="str">
        <f>'Pay App 1'!C74</f>
        <v>Building Concrete</v>
      </c>
      <c r="D74" s="155">
        <f>'Pay App 1'!D74</f>
        <v>0</v>
      </c>
      <c r="E74" s="155">
        <f>VLOOKUP(B74,'Graph Data'!$O$2:$BX$88,52,FALSE)</f>
        <v>0</v>
      </c>
      <c r="F74" s="155">
        <f>IFERROR(E74+'Pay App 49'!F74,"")</f>
        <v>0</v>
      </c>
      <c r="G74" s="155">
        <f>SUM('Pay App 1:Pay App 49'!H74)</f>
        <v>0</v>
      </c>
      <c r="H74" s="154"/>
      <c r="I74" s="155">
        <f t="shared" si="0"/>
        <v>0</v>
      </c>
      <c r="J74" s="156">
        <f t="shared" si="1"/>
        <v>0</v>
      </c>
      <c r="K74" s="155">
        <f t="shared" si="2"/>
        <v>0</v>
      </c>
      <c r="L74" s="155" t="str">
        <f>IF(AND('Summary Sheet'!$E$23="No",$H$33&gt;0,H74&gt;=1),"",IF(AND('Summary Sheet'!$E$23="Yes",H74&lt;&gt;""),H74*'Summary Sheet'!$G$23,""))</f>
        <v/>
      </c>
      <c r="M74" s="154"/>
      <c r="N74" s="155">
        <f>SUM('Pay App 1:Pay App 50'!L74)+SUM('Pay App 1:Pay App 50'!M74)</f>
        <v>0</v>
      </c>
    </row>
    <row r="75" spans="1:17" ht="11.25" customHeight="1" x14ac:dyDescent="0.25">
      <c r="A75" s="152">
        <v>19</v>
      </c>
      <c r="B75" s="176" t="str">
        <f>'Pay App 1'!B75</f>
        <v>03 20 00</v>
      </c>
      <c r="C75" s="181" t="str">
        <f>'Pay App 1'!C75</f>
        <v>Building Concrete Reinforcing</v>
      </c>
      <c r="D75" s="155">
        <f>'Pay App 1'!D75</f>
        <v>0</v>
      </c>
      <c r="E75" s="155">
        <f>VLOOKUP(B75,'Graph Data'!$O$2:$BX$88,52,FALSE)</f>
        <v>0</v>
      </c>
      <c r="F75" s="155">
        <f>IFERROR(E75+'Pay App 49'!F75,"")</f>
        <v>0</v>
      </c>
      <c r="G75" s="155">
        <f>SUM('Pay App 1:Pay App 49'!H75)</f>
        <v>0</v>
      </c>
      <c r="H75" s="154"/>
      <c r="I75" s="155">
        <f t="shared" si="0"/>
        <v>0</v>
      </c>
      <c r="J75" s="156">
        <f t="shared" si="1"/>
        <v>0</v>
      </c>
      <c r="K75" s="155">
        <f t="shared" si="2"/>
        <v>0</v>
      </c>
      <c r="L75" s="155" t="str">
        <f>IF(AND('Summary Sheet'!$E$23="No",$H$33&gt;0,H75&gt;=1),"",IF(AND('Summary Sheet'!$E$23="Yes",H75&lt;&gt;""),H75*'Summary Sheet'!$G$23,""))</f>
        <v/>
      </c>
      <c r="M75" s="154"/>
      <c r="N75" s="155">
        <f>SUM('Pay App 1:Pay App 50'!L75)+SUM('Pay App 1:Pay App 50'!M75)</f>
        <v>0</v>
      </c>
    </row>
    <row r="76" spans="1:17" ht="11.25" customHeight="1" x14ac:dyDescent="0.25">
      <c r="A76" s="152">
        <v>20</v>
      </c>
      <c r="B76" s="176" t="str">
        <f>'Pay App 1'!B76</f>
        <v>03 40 00</v>
      </c>
      <c r="C76" s="181" t="str">
        <f>'Pay App 1'!C76</f>
        <v>Precast</v>
      </c>
      <c r="D76" s="155">
        <f>'Pay App 1'!D76</f>
        <v>0</v>
      </c>
      <c r="E76" s="155">
        <f>VLOOKUP(B76,'Graph Data'!$O$2:$BX$88,52,FALSE)</f>
        <v>0</v>
      </c>
      <c r="F76" s="155">
        <f>IFERROR(E76+'Pay App 49'!F76,"")</f>
        <v>0</v>
      </c>
      <c r="G76" s="155">
        <f>SUM('Pay App 1:Pay App 49'!H76)</f>
        <v>0</v>
      </c>
      <c r="H76" s="154"/>
      <c r="I76" s="155">
        <f t="shared" si="0"/>
        <v>0</v>
      </c>
      <c r="J76" s="156">
        <f t="shared" si="1"/>
        <v>0</v>
      </c>
      <c r="K76" s="155">
        <f t="shared" si="2"/>
        <v>0</v>
      </c>
      <c r="L76" s="155" t="str">
        <f>IF(AND('Summary Sheet'!$E$23="No",$H$33&gt;0,H76&gt;=1),"",IF(AND('Summary Sheet'!$E$23="Yes",H76&lt;&gt;""),H76*'Summary Sheet'!$G$23,""))</f>
        <v/>
      </c>
      <c r="M76" s="154"/>
      <c r="N76" s="155">
        <f>SUM('Pay App 1:Pay App 50'!L76)+SUM('Pay App 1:Pay App 50'!M76)</f>
        <v>0</v>
      </c>
    </row>
    <row r="77" spans="1:17" ht="11.25" customHeight="1" x14ac:dyDescent="0.25">
      <c r="A77" s="152">
        <v>21</v>
      </c>
      <c r="B77" s="177" t="str">
        <f>'Pay App 1'!B77</f>
        <v>04 00 00</v>
      </c>
      <c r="C77" s="182" t="str">
        <f>'Pay App 1'!C77</f>
        <v>Masonry</v>
      </c>
      <c r="D77" s="155">
        <f>'Pay App 1'!D77</f>
        <v>0</v>
      </c>
      <c r="E77" s="155">
        <f>VLOOKUP(B77,'Graph Data'!$O$2:$BX$88,52,FALSE)</f>
        <v>0</v>
      </c>
      <c r="F77" s="155">
        <f>IFERROR(E77+'Pay App 49'!F77,"")</f>
        <v>0</v>
      </c>
      <c r="G77" s="155">
        <f>SUM('Pay App 1:Pay App 49'!H77)</f>
        <v>0</v>
      </c>
      <c r="H77" s="154"/>
      <c r="I77" s="155">
        <f t="shared" si="0"/>
        <v>0</v>
      </c>
      <c r="J77" s="156">
        <f t="shared" si="1"/>
        <v>0</v>
      </c>
      <c r="K77" s="155">
        <f t="shared" si="2"/>
        <v>0</v>
      </c>
      <c r="L77" s="155" t="str">
        <f>IF(AND('Summary Sheet'!$E$23="No",$H$33&gt;0,H77&gt;=1),"",IF(AND('Summary Sheet'!$E$23="Yes",H77&lt;&gt;""),H77*'Summary Sheet'!$G$23,""))</f>
        <v/>
      </c>
      <c r="M77" s="154"/>
      <c r="N77" s="155">
        <f>SUM('Pay App 1:Pay App 50'!L77)+SUM('Pay App 1:Pay App 50'!M77)</f>
        <v>0</v>
      </c>
    </row>
    <row r="78" spans="1:17" ht="11.25" customHeight="1" x14ac:dyDescent="0.25">
      <c r="A78" s="152">
        <v>22</v>
      </c>
      <c r="B78" s="177" t="str">
        <f>'Pay App 1'!B78</f>
        <v>04 05 19</v>
      </c>
      <c r="C78" s="182" t="str">
        <f>'Pay App 1'!C78</f>
        <v>Masonry Reinforcing</v>
      </c>
      <c r="D78" s="155">
        <f>'Pay App 1'!D78</f>
        <v>0</v>
      </c>
      <c r="E78" s="155">
        <f>VLOOKUP(B78,'Graph Data'!$O$2:$BX$88,52,FALSE)</f>
        <v>0</v>
      </c>
      <c r="F78" s="155">
        <f>IFERROR(E78+'Pay App 49'!F78,"")</f>
        <v>0</v>
      </c>
      <c r="G78" s="155">
        <f>SUM('Pay App 1:Pay App 49'!H78)</f>
        <v>0</v>
      </c>
      <c r="H78" s="154"/>
      <c r="I78" s="155">
        <f t="shared" si="0"/>
        <v>0</v>
      </c>
      <c r="J78" s="156">
        <f t="shared" si="1"/>
        <v>0</v>
      </c>
      <c r="K78" s="155">
        <f t="shared" si="2"/>
        <v>0</v>
      </c>
      <c r="L78" s="155" t="str">
        <f>IF(AND('Summary Sheet'!$E$23="No",$H$33&gt;0,H78&gt;=1),"",IF(AND('Summary Sheet'!$E$23="Yes",H78&lt;&gt;""),H78*'Summary Sheet'!$G$23,""))</f>
        <v/>
      </c>
      <c r="M78" s="154"/>
      <c r="N78" s="155">
        <f>SUM('Pay App 1:Pay App 50'!L78)+SUM('Pay App 1:Pay App 50'!M78)</f>
        <v>0</v>
      </c>
    </row>
    <row r="79" spans="1:17" ht="11.25" customHeight="1" x14ac:dyDescent="0.25">
      <c r="A79" s="152">
        <v>23</v>
      </c>
      <c r="B79" s="178" t="str">
        <f>'Pay App 1'!B79</f>
        <v>05 10 00</v>
      </c>
      <c r="C79" s="183" t="str">
        <f>'Pay App 1'!C79</f>
        <v>Structural Steel/Misc. Steel Fab</v>
      </c>
      <c r="D79" s="155">
        <f>'Pay App 1'!D79</f>
        <v>0</v>
      </c>
      <c r="E79" s="155">
        <f>VLOOKUP(B79,'Graph Data'!$O$2:$BX$88,52,FALSE)</f>
        <v>0</v>
      </c>
      <c r="F79" s="155">
        <f>IFERROR(E79+'Pay App 49'!F79,"")</f>
        <v>0</v>
      </c>
      <c r="G79" s="155">
        <f>SUM('Pay App 1:Pay App 49'!H79)</f>
        <v>0</v>
      </c>
      <c r="H79" s="154"/>
      <c r="I79" s="155">
        <f t="shared" si="0"/>
        <v>0</v>
      </c>
      <c r="J79" s="156">
        <f t="shared" si="1"/>
        <v>0</v>
      </c>
      <c r="K79" s="155">
        <f t="shared" si="2"/>
        <v>0</v>
      </c>
      <c r="L79" s="155" t="str">
        <f>IF(AND('Summary Sheet'!$E$23="No",$H$33&gt;0,H79&gt;=1),"",IF(AND('Summary Sheet'!$E$23="Yes",H79&lt;&gt;""),H79*'Summary Sheet'!$G$23,""))</f>
        <v/>
      </c>
      <c r="M79" s="154"/>
      <c r="N79" s="155">
        <f>SUM('Pay App 1:Pay App 50'!L79)+SUM('Pay App 1:Pay App 50'!M79)</f>
        <v>0</v>
      </c>
    </row>
    <row r="80" spans="1:17" ht="11.25" customHeight="1" x14ac:dyDescent="0.25">
      <c r="A80" s="152">
        <v>24</v>
      </c>
      <c r="B80" s="178" t="str">
        <f>'Pay App 1'!B80</f>
        <v>05 20 00</v>
      </c>
      <c r="C80" s="183" t="str">
        <f>'Pay App 1'!C80</f>
        <v>Joists &amp; Deck</v>
      </c>
      <c r="D80" s="155">
        <f>'Pay App 1'!D80</f>
        <v>0</v>
      </c>
      <c r="E80" s="155">
        <f>VLOOKUP(B80,'Graph Data'!$O$2:$BX$88,52,FALSE)</f>
        <v>0</v>
      </c>
      <c r="F80" s="155">
        <f>IFERROR(E80+'Pay App 49'!F80,"")</f>
        <v>0</v>
      </c>
      <c r="G80" s="155">
        <f>SUM('Pay App 1:Pay App 49'!H80)</f>
        <v>0</v>
      </c>
      <c r="H80" s="154"/>
      <c r="I80" s="155">
        <f t="shared" si="0"/>
        <v>0</v>
      </c>
      <c r="J80" s="156">
        <f t="shared" si="1"/>
        <v>0</v>
      </c>
      <c r="K80" s="155">
        <f t="shared" si="2"/>
        <v>0</v>
      </c>
      <c r="L80" s="155" t="str">
        <f>IF(AND('Summary Sheet'!$E$23="No",$H$33&gt;0,H80&gt;=1),"",IF(AND('Summary Sheet'!$E$23="Yes",H80&lt;&gt;""),H80*'Summary Sheet'!$G$23,""))</f>
        <v/>
      </c>
      <c r="M80" s="154"/>
      <c r="N80" s="155">
        <f>SUM('Pay App 1:Pay App 50'!L80)+SUM('Pay App 1:Pay App 50'!M80)</f>
        <v>0</v>
      </c>
    </row>
    <row r="81" spans="1:14" ht="11.25" customHeight="1" x14ac:dyDescent="0.25">
      <c r="A81" s="152">
        <v>25</v>
      </c>
      <c r="B81" s="178" t="str">
        <f>'Pay App 1'!B81</f>
        <v>05 70 00</v>
      </c>
      <c r="C81" s="183" t="str">
        <f>'Pay App 1'!C81</f>
        <v>Ornamental Metal</v>
      </c>
      <c r="D81" s="155">
        <f>'Pay App 1'!D81</f>
        <v>0</v>
      </c>
      <c r="E81" s="155">
        <f>VLOOKUP(B81,'Graph Data'!$O$2:$BX$88,52,FALSE)</f>
        <v>0</v>
      </c>
      <c r="F81" s="155">
        <f>IFERROR(E81+'Pay App 49'!F81,"")</f>
        <v>0</v>
      </c>
      <c r="G81" s="155">
        <f>SUM('Pay App 1:Pay App 49'!H81)</f>
        <v>0</v>
      </c>
      <c r="H81" s="154"/>
      <c r="I81" s="155">
        <f t="shared" si="0"/>
        <v>0</v>
      </c>
      <c r="J81" s="156">
        <f t="shared" si="1"/>
        <v>0</v>
      </c>
      <c r="K81" s="155">
        <f t="shared" si="2"/>
        <v>0</v>
      </c>
      <c r="L81" s="155" t="str">
        <f>IF(AND('Summary Sheet'!$E$23="No",$H$33&gt;0,H81&gt;=1),"",IF(AND('Summary Sheet'!$E$23="Yes",H81&lt;&gt;""),H81*'Summary Sheet'!$G$23,""))</f>
        <v/>
      </c>
      <c r="M81" s="154"/>
      <c r="N81" s="155">
        <f>SUM('Pay App 1:Pay App 50'!L81)+SUM('Pay App 1:Pay App 50'!M81)</f>
        <v>0</v>
      </c>
    </row>
    <row r="82" spans="1:14" ht="11.25" customHeight="1" x14ac:dyDescent="0.25">
      <c r="A82" s="152">
        <v>26</v>
      </c>
      <c r="B82" s="145" t="str">
        <f>'Pay App 1'!B82</f>
        <v>06 10 00</v>
      </c>
      <c r="C82" s="134" t="str">
        <f>'Pay App 1'!C82</f>
        <v>Rough Carpentry</v>
      </c>
      <c r="D82" s="155">
        <f>'Pay App 1'!D82</f>
        <v>0</v>
      </c>
      <c r="E82" s="155">
        <f>VLOOKUP(B82,'Graph Data'!$O$2:$BX$88,52,FALSE)</f>
        <v>0</v>
      </c>
      <c r="F82" s="155">
        <f>IFERROR(E82+'Pay App 49'!F82,"")</f>
        <v>0</v>
      </c>
      <c r="G82" s="155">
        <f>SUM('Pay App 1:Pay App 49'!H82)</f>
        <v>0</v>
      </c>
      <c r="H82" s="154"/>
      <c r="I82" s="155">
        <f t="shared" si="0"/>
        <v>0</v>
      </c>
      <c r="J82" s="156">
        <f t="shared" si="1"/>
        <v>0</v>
      </c>
      <c r="K82" s="155">
        <f t="shared" si="2"/>
        <v>0</v>
      </c>
      <c r="L82" s="155" t="str">
        <f>IF(AND('Summary Sheet'!$E$23="No",$H$33&gt;0,H82&gt;=1),"",IF(AND('Summary Sheet'!$E$23="Yes",H82&lt;&gt;""),H82*'Summary Sheet'!$G$23,""))</f>
        <v/>
      </c>
      <c r="M82" s="154"/>
      <c r="N82" s="155">
        <f>SUM('Pay App 1:Pay App 50'!L82)+SUM('Pay App 1:Pay App 50'!M82)</f>
        <v>0</v>
      </c>
    </row>
    <row r="83" spans="1:14" ht="11.25" customHeight="1" x14ac:dyDescent="0.25">
      <c r="A83" s="152">
        <v>27</v>
      </c>
      <c r="B83" s="145" t="str">
        <f>'Pay App 1'!B83</f>
        <v>06 40 00</v>
      </c>
      <c r="C83" s="134" t="str">
        <f>'Pay App 1'!C83</f>
        <v>Arch. Woodwork &amp; Finish Carp.</v>
      </c>
      <c r="D83" s="155">
        <f>'Pay App 1'!D83</f>
        <v>0</v>
      </c>
      <c r="E83" s="155">
        <f>VLOOKUP(B83,'Graph Data'!$O$2:$BX$88,52,FALSE)</f>
        <v>0</v>
      </c>
      <c r="F83" s="155">
        <f>IFERROR(E83+'Pay App 49'!F83,"")</f>
        <v>0</v>
      </c>
      <c r="G83" s="155">
        <f>SUM('Pay App 1:Pay App 49'!H83)</f>
        <v>0</v>
      </c>
      <c r="H83" s="154"/>
      <c r="I83" s="155">
        <f t="shared" si="0"/>
        <v>0</v>
      </c>
      <c r="J83" s="156">
        <f t="shared" si="1"/>
        <v>0</v>
      </c>
      <c r="K83" s="155">
        <f t="shared" si="2"/>
        <v>0</v>
      </c>
      <c r="L83" s="155" t="str">
        <f>IF(AND('Summary Sheet'!$E$23="No",$H$33&gt;0,H83&gt;=1),"",IF(AND('Summary Sheet'!$E$23="Yes",H83&lt;&gt;""),H83*'Summary Sheet'!$G$23,""))</f>
        <v/>
      </c>
      <c r="M83" s="154"/>
      <c r="N83" s="155">
        <f>SUM('Pay App 1:Pay App 50'!L83)+SUM('Pay App 1:Pay App 50'!M83)</f>
        <v>0</v>
      </c>
    </row>
    <row r="84" spans="1:14" ht="11.25" customHeight="1" x14ac:dyDescent="0.25">
      <c r="A84" s="152">
        <v>28</v>
      </c>
      <c r="B84" s="174" t="str">
        <f>'Pay App 1'!B84</f>
        <v>07 10 00</v>
      </c>
      <c r="C84" s="179" t="str">
        <f>'Pay App 1'!C84</f>
        <v>Waterproofing/Water Repellents</v>
      </c>
      <c r="D84" s="155">
        <f>'Pay App 1'!D84</f>
        <v>0</v>
      </c>
      <c r="E84" s="155">
        <f>VLOOKUP(B84,'Graph Data'!$O$2:$BX$88,52,FALSE)</f>
        <v>0</v>
      </c>
      <c r="F84" s="155">
        <f>IFERROR(E84+'Pay App 49'!F84,"")</f>
        <v>0</v>
      </c>
      <c r="G84" s="155">
        <f>SUM('Pay App 1:Pay App 49'!H84)</f>
        <v>0</v>
      </c>
      <c r="H84" s="154"/>
      <c r="I84" s="155">
        <f t="shared" si="0"/>
        <v>0</v>
      </c>
      <c r="J84" s="156">
        <f t="shared" si="1"/>
        <v>0</v>
      </c>
      <c r="K84" s="155">
        <f t="shared" si="2"/>
        <v>0</v>
      </c>
      <c r="L84" s="155" t="str">
        <f>IF(AND('Summary Sheet'!$E$23="No",$H$33&gt;0,H84&gt;=1),"",IF(AND('Summary Sheet'!$E$23="Yes",H84&lt;&gt;""),H84*'Summary Sheet'!$G$23,""))</f>
        <v/>
      </c>
      <c r="M84" s="154"/>
      <c r="N84" s="155">
        <f>SUM('Pay App 1:Pay App 50'!L84)+SUM('Pay App 1:Pay App 50'!M84)</f>
        <v>0</v>
      </c>
    </row>
    <row r="85" spans="1:14" ht="11.25" customHeight="1" x14ac:dyDescent="0.25">
      <c r="A85" s="152">
        <v>29</v>
      </c>
      <c r="B85" s="174" t="str">
        <f>'Pay App 1'!B85</f>
        <v>07 20 00</v>
      </c>
      <c r="C85" s="179" t="str">
        <f>'Pay App 1'!C85</f>
        <v>Insulation</v>
      </c>
      <c r="D85" s="155">
        <f>'Pay App 1'!D85</f>
        <v>0</v>
      </c>
      <c r="E85" s="155">
        <f>VLOOKUP(B85,'Graph Data'!$O$2:$BX$88,52,FALSE)</f>
        <v>0</v>
      </c>
      <c r="F85" s="155">
        <f>IFERROR(E85+'Pay App 49'!F85,"")</f>
        <v>0</v>
      </c>
      <c r="G85" s="155">
        <f>SUM('Pay App 1:Pay App 49'!H85)</f>
        <v>0</v>
      </c>
      <c r="H85" s="154"/>
      <c r="I85" s="155">
        <f t="shared" si="0"/>
        <v>0</v>
      </c>
      <c r="J85" s="156">
        <f t="shared" si="1"/>
        <v>0</v>
      </c>
      <c r="K85" s="155">
        <f t="shared" si="2"/>
        <v>0</v>
      </c>
      <c r="L85" s="155" t="str">
        <f>IF(AND('Summary Sheet'!$E$23="No",$H$33&gt;0,H85&gt;=1),"",IF(AND('Summary Sheet'!$E$23="Yes",H85&lt;&gt;""),H85*'Summary Sheet'!$G$23,""))</f>
        <v/>
      </c>
      <c r="M85" s="154"/>
      <c r="N85" s="155">
        <f>SUM('Pay App 1:Pay App 50'!L85)+SUM('Pay App 1:Pay App 50'!M85)</f>
        <v>0</v>
      </c>
    </row>
    <row r="86" spans="1:14" ht="11.25" customHeight="1" x14ac:dyDescent="0.25">
      <c r="A86" s="152">
        <v>30</v>
      </c>
      <c r="B86" s="174" t="str">
        <f>'Pay App 1'!B86</f>
        <v>07 24 00</v>
      </c>
      <c r="C86" s="179" t="str">
        <f>'Pay App 1'!C86</f>
        <v>EIFS</v>
      </c>
      <c r="D86" s="155">
        <f>'Pay App 1'!D86</f>
        <v>0</v>
      </c>
      <c r="E86" s="155">
        <f>VLOOKUP(B86,'Graph Data'!$O$2:$BX$88,52,FALSE)</f>
        <v>0</v>
      </c>
      <c r="F86" s="155">
        <f>IFERROR(E86+'Pay App 49'!F86,"")</f>
        <v>0</v>
      </c>
      <c r="G86" s="155">
        <f>SUM('Pay App 1:Pay App 49'!H86)</f>
        <v>0</v>
      </c>
      <c r="H86" s="154"/>
      <c r="I86" s="155">
        <f t="shared" si="0"/>
        <v>0</v>
      </c>
      <c r="J86" s="156">
        <f t="shared" si="1"/>
        <v>0</v>
      </c>
      <c r="K86" s="155">
        <f t="shared" si="2"/>
        <v>0</v>
      </c>
      <c r="L86" s="155" t="str">
        <f>IF(AND('Summary Sheet'!$E$23="No",$H$33&gt;0,H86&gt;=1),"",IF(AND('Summary Sheet'!$E$23="Yes",H86&lt;&gt;""),H86*'Summary Sheet'!$G$23,""))</f>
        <v/>
      </c>
      <c r="M86" s="154"/>
      <c r="N86" s="155">
        <f>SUM('Pay App 1:Pay App 50'!L86)+SUM('Pay App 1:Pay App 50'!M86)</f>
        <v>0</v>
      </c>
    </row>
    <row r="87" spans="1:14" ht="11.25" customHeight="1" x14ac:dyDescent="0.25">
      <c r="A87" s="152">
        <v>31</v>
      </c>
      <c r="B87" s="174" t="str">
        <f>'Pay App 1'!B87</f>
        <v>07 26 00</v>
      </c>
      <c r="C87" s="179" t="str">
        <f>'Pay App 1'!C87</f>
        <v>Vapor Retarders</v>
      </c>
      <c r="D87" s="155">
        <f>'Pay App 1'!D87</f>
        <v>0</v>
      </c>
      <c r="E87" s="155">
        <f>VLOOKUP(B87,'Graph Data'!$O$2:$BX$88,52,FALSE)</f>
        <v>0</v>
      </c>
      <c r="F87" s="155">
        <f>IFERROR(E87+'Pay App 49'!F87,"")</f>
        <v>0</v>
      </c>
      <c r="G87" s="155">
        <f>SUM('Pay App 1:Pay App 49'!H87)</f>
        <v>0</v>
      </c>
      <c r="H87" s="154"/>
      <c r="I87" s="155">
        <f t="shared" si="0"/>
        <v>0</v>
      </c>
      <c r="J87" s="156">
        <f t="shared" si="1"/>
        <v>0</v>
      </c>
      <c r="K87" s="155">
        <f t="shared" si="2"/>
        <v>0</v>
      </c>
      <c r="L87" s="155" t="str">
        <f>IF(AND('Summary Sheet'!$E$23="No",$H$33&gt;0,H87&gt;=1),"",IF(AND('Summary Sheet'!$E$23="Yes",H87&lt;&gt;""),H87*'Summary Sheet'!$G$23,""))</f>
        <v/>
      </c>
      <c r="M87" s="154"/>
      <c r="N87" s="155">
        <f>SUM('Pay App 1:Pay App 50'!L87)+SUM('Pay App 1:Pay App 50'!M87)</f>
        <v>0</v>
      </c>
    </row>
    <row r="88" spans="1:14" ht="11.25" customHeight="1" x14ac:dyDescent="0.25">
      <c r="A88" s="152">
        <v>32</v>
      </c>
      <c r="B88" s="174" t="str">
        <f>'Pay App 1'!B88</f>
        <v>07 41 00</v>
      </c>
      <c r="C88" s="179" t="str">
        <f>'Pay App 1'!C88</f>
        <v>Roofing</v>
      </c>
      <c r="D88" s="155">
        <f>'Pay App 1'!D88</f>
        <v>0</v>
      </c>
      <c r="E88" s="155">
        <f>VLOOKUP(B88,'Graph Data'!$O$2:$BX$88,52,FALSE)</f>
        <v>0</v>
      </c>
      <c r="F88" s="155">
        <f>IFERROR(E88+'Pay App 49'!F88,"")</f>
        <v>0</v>
      </c>
      <c r="G88" s="155">
        <f>SUM('Pay App 1:Pay App 49'!H88)</f>
        <v>0</v>
      </c>
      <c r="H88" s="154"/>
      <c r="I88" s="155">
        <f t="shared" si="0"/>
        <v>0</v>
      </c>
      <c r="J88" s="156">
        <f t="shared" si="1"/>
        <v>0</v>
      </c>
      <c r="K88" s="155">
        <f t="shared" si="2"/>
        <v>0</v>
      </c>
      <c r="L88" s="155" t="str">
        <f>IF(AND('Summary Sheet'!$E$23="No",$H$33&gt;0,H88&gt;=1),"",IF(AND('Summary Sheet'!$E$23="Yes",H88&lt;&gt;""),H88*'Summary Sheet'!$G$23,""))</f>
        <v/>
      </c>
      <c r="M88" s="154"/>
      <c r="N88" s="155">
        <f>SUM('Pay App 1:Pay App 50'!L88)+SUM('Pay App 1:Pay App 50'!M88)</f>
        <v>0</v>
      </c>
    </row>
    <row r="89" spans="1:14" ht="11.25" customHeight="1" x14ac:dyDescent="0.25">
      <c r="A89" s="152">
        <v>33</v>
      </c>
      <c r="B89" s="174" t="str">
        <f>'Pay App 1'!B89</f>
        <v>07 42 00</v>
      </c>
      <c r="C89" s="179" t="str">
        <f>'Pay App 1'!C89</f>
        <v>Metal Panels</v>
      </c>
      <c r="D89" s="155">
        <f>'Pay App 1'!D89</f>
        <v>0</v>
      </c>
      <c r="E89" s="155">
        <f>VLOOKUP(B89,'Graph Data'!$O$2:$BX$88,52,FALSE)</f>
        <v>0</v>
      </c>
      <c r="F89" s="155">
        <f>IFERROR(E89+'Pay App 49'!F89,"")</f>
        <v>0</v>
      </c>
      <c r="G89" s="155">
        <f>SUM('Pay App 1:Pay App 49'!H89)</f>
        <v>0</v>
      </c>
      <c r="H89" s="154"/>
      <c r="I89" s="155">
        <f t="shared" si="0"/>
        <v>0</v>
      </c>
      <c r="J89" s="156">
        <f t="shared" si="1"/>
        <v>0</v>
      </c>
      <c r="K89" s="155">
        <f t="shared" si="2"/>
        <v>0</v>
      </c>
      <c r="L89" s="155" t="str">
        <f>IF(AND('Summary Sheet'!$E$23="No",$H$33&gt;0,H89&gt;=1),"",IF(AND('Summary Sheet'!$E$23="Yes",H89&lt;&gt;""),H89*'Summary Sheet'!$G$23,""))</f>
        <v/>
      </c>
      <c r="M89" s="154"/>
      <c r="N89" s="155">
        <f>SUM('Pay App 1:Pay App 50'!L89)+SUM('Pay App 1:Pay App 50'!M89)</f>
        <v>0</v>
      </c>
    </row>
    <row r="90" spans="1:14" ht="11.25" customHeight="1" x14ac:dyDescent="0.25">
      <c r="A90" s="152">
        <v>34</v>
      </c>
      <c r="B90" s="174" t="str">
        <f>'Pay App 1'!B90</f>
        <v>07 60 00</v>
      </c>
      <c r="C90" s="179" t="str">
        <f>'Pay App 1'!C90</f>
        <v>Sheet Metal Flashing &amp; Trim</v>
      </c>
      <c r="D90" s="155">
        <f>'Pay App 1'!D90</f>
        <v>0</v>
      </c>
      <c r="E90" s="155">
        <f>VLOOKUP(B90,'Graph Data'!$O$2:$BX$88,52,FALSE)</f>
        <v>0</v>
      </c>
      <c r="F90" s="155">
        <f>IFERROR(E90+'Pay App 49'!F90,"")</f>
        <v>0</v>
      </c>
      <c r="G90" s="155">
        <f>SUM('Pay App 1:Pay App 49'!H90)</f>
        <v>0</v>
      </c>
      <c r="H90" s="154"/>
      <c r="I90" s="155">
        <f t="shared" si="0"/>
        <v>0</v>
      </c>
      <c r="J90" s="156">
        <f t="shared" si="1"/>
        <v>0</v>
      </c>
      <c r="K90" s="155">
        <f t="shared" si="2"/>
        <v>0</v>
      </c>
      <c r="L90" s="155" t="str">
        <f>IF(AND('Summary Sheet'!$E$23="No",$H$33&gt;0,H90&gt;=1),"",IF(AND('Summary Sheet'!$E$23="Yes",H90&lt;&gt;""),H90*'Summary Sheet'!$G$23,""))</f>
        <v/>
      </c>
      <c r="M90" s="154"/>
      <c r="N90" s="155">
        <f>SUM('Pay App 1:Pay App 50'!L90)+SUM('Pay App 1:Pay App 50'!M90)</f>
        <v>0</v>
      </c>
    </row>
    <row r="91" spans="1:14" ht="11.25" customHeight="1" x14ac:dyDescent="0.25">
      <c r="A91" s="152">
        <v>35</v>
      </c>
      <c r="B91" s="174" t="str">
        <f>'Pay App 1'!B91</f>
        <v>07 80 00</v>
      </c>
      <c r="C91" s="179" t="str">
        <f>'Pay App 1'!C91</f>
        <v>Fireproofing</v>
      </c>
      <c r="D91" s="155">
        <f>'Pay App 1'!D91</f>
        <v>0</v>
      </c>
      <c r="E91" s="155">
        <f>VLOOKUP(B91,'Graph Data'!$O$2:$BX$88,52,FALSE)</f>
        <v>0</v>
      </c>
      <c r="F91" s="155">
        <f>IFERROR(E91+'Pay App 49'!F91,"")</f>
        <v>0</v>
      </c>
      <c r="G91" s="155">
        <f>SUM('Pay App 1:Pay App 49'!H91)</f>
        <v>0</v>
      </c>
      <c r="H91" s="154"/>
      <c r="I91" s="155">
        <f t="shared" si="0"/>
        <v>0</v>
      </c>
      <c r="J91" s="156">
        <f t="shared" si="1"/>
        <v>0</v>
      </c>
      <c r="K91" s="155">
        <f t="shared" si="2"/>
        <v>0</v>
      </c>
      <c r="L91" s="155" t="str">
        <f>IF(AND('Summary Sheet'!$E$23="No",$H$33&gt;0,H91&gt;=1),"",IF(AND('Summary Sheet'!$E$23="Yes",H91&lt;&gt;""),H91*'Summary Sheet'!$G$23,""))</f>
        <v/>
      </c>
      <c r="M91" s="154"/>
      <c r="N91" s="155">
        <f>SUM('Pay App 1:Pay App 50'!L91)+SUM('Pay App 1:Pay App 50'!M91)</f>
        <v>0</v>
      </c>
    </row>
    <row r="92" spans="1:14" ht="11.25" customHeight="1" x14ac:dyDescent="0.25">
      <c r="A92" s="152">
        <v>36</v>
      </c>
      <c r="B92" s="174" t="str">
        <f>'Pay App 1'!B92</f>
        <v>07 90 00</v>
      </c>
      <c r="C92" s="179" t="str">
        <f>'Pay App 1'!C92</f>
        <v>Joint Sealants</v>
      </c>
      <c r="D92" s="155">
        <f>'Pay App 1'!D92</f>
        <v>0</v>
      </c>
      <c r="E92" s="155">
        <f>VLOOKUP(B92,'Graph Data'!$O$2:$BX$88,52,FALSE)</f>
        <v>0</v>
      </c>
      <c r="F92" s="155">
        <f>IFERROR(E92+'Pay App 49'!F92,"")</f>
        <v>0</v>
      </c>
      <c r="G92" s="155">
        <f>SUM('Pay App 1:Pay App 49'!H92)</f>
        <v>0</v>
      </c>
      <c r="H92" s="154"/>
      <c r="I92" s="155">
        <f t="shared" si="0"/>
        <v>0</v>
      </c>
      <c r="J92" s="156">
        <f t="shared" si="1"/>
        <v>0</v>
      </c>
      <c r="K92" s="155">
        <f t="shared" si="2"/>
        <v>0</v>
      </c>
      <c r="L92" s="155" t="str">
        <f>IF(AND('Summary Sheet'!$E$23="No",$H$33&gt;0,H92&gt;=1),"",IF(AND('Summary Sheet'!$E$23="Yes",H92&lt;&gt;""),H92*'Summary Sheet'!$G$23,""))</f>
        <v/>
      </c>
      <c r="M92" s="154"/>
      <c r="N92" s="155">
        <f>SUM('Pay App 1:Pay App 50'!L92)+SUM('Pay App 1:Pay App 50'!M92)</f>
        <v>0</v>
      </c>
    </row>
    <row r="93" spans="1:14" ht="11.25" customHeight="1" x14ac:dyDescent="0.25">
      <c r="A93" s="152">
        <v>37</v>
      </c>
      <c r="B93" s="174" t="str">
        <f>'Pay App 1'!B93</f>
        <v>07 95 00</v>
      </c>
      <c r="C93" s="179" t="str">
        <f>'Pay App 1'!C93</f>
        <v>Expansion Joints</v>
      </c>
      <c r="D93" s="155">
        <f>'Pay App 1'!D93</f>
        <v>0</v>
      </c>
      <c r="E93" s="155">
        <f>VLOOKUP(B93,'Graph Data'!$O$2:$BX$88,52,FALSE)</f>
        <v>0</v>
      </c>
      <c r="F93" s="155">
        <f>IFERROR(E93+'Pay App 49'!F93,"")</f>
        <v>0</v>
      </c>
      <c r="G93" s="155">
        <f>SUM('Pay App 1:Pay App 49'!H93)</f>
        <v>0</v>
      </c>
      <c r="H93" s="154"/>
      <c r="I93" s="155">
        <f t="shared" si="0"/>
        <v>0</v>
      </c>
      <c r="J93" s="156">
        <f t="shared" si="1"/>
        <v>0</v>
      </c>
      <c r="K93" s="155">
        <f t="shared" si="2"/>
        <v>0</v>
      </c>
      <c r="L93" s="155" t="str">
        <f>IF(AND('Summary Sheet'!$E$23="No",$H$33&gt;0,H93&gt;=1),"",IF(AND('Summary Sheet'!$E$23="Yes",H93&lt;&gt;""),H93*'Summary Sheet'!$G$23,""))</f>
        <v/>
      </c>
      <c r="M93" s="154"/>
      <c r="N93" s="155">
        <f>SUM('Pay App 1:Pay App 50'!L93)+SUM('Pay App 1:Pay App 50'!M93)</f>
        <v>0</v>
      </c>
    </row>
    <row r="94" spans="1:14" ht="11.25" customHeight="1" x14ac:dyDescent="0.25">
      <c r="A94" s="152">
        <v>38</v>
      </c>
      <c r="B94" s="175" t="str">
        <f>'Pay App 1'!B94</f>
        <v>08 10 00</v>
      </c>
      <c r="C94" s="180" t="str">
        <f>'Pay App 1'!C94</f>
        <v>Doors, Frames &amp; Hardware</v>
      </c>
      <c r="D94" s="155">
        <f>'Pay App 1'!D94</f>
        <v>0</v>
      </c>
      <c r="E94" s="155">
        <f>VLOOKUP(B94,'Graph Data'!$O$2:$BX$88,52,FALSE)</f>
        <v>0</v>
      </c>
      <c r="F94" s="155">
        <f>IFERROR(E94+'Pay App 49'!F94,"")</f>
        <v>0</v>
      </c>
      <c r="G94" s="155">
        <f>SUM('Pay App 1:Pay App 49'!H94)</f>
        <v>0</v>
      </c>
      <c r="H94" s="154"/>
      <c r="I94" s="155">
        <f t="shared" si="0"/>
        <v>0</v>
      </c>
      <c r="J94" s="156">
        <f t="shared" si="1"/>
        <v>0</v>
      </c>
      <c r="K94" s="155">
        <f t="shared" si="2"/>
        <v>0</v>
      </c>
      <c r="L94" s="155" t="str">
        <f>IF(AND('Summary Sheet'!$E$23="No",$H$33&gt;0,H94&gt;=1),"",IF(AND('Summary Sheet'!$E$23="Yes",H94&lt;&gt;""),H94*'Summary Sheet'!$G$23,""))</f>
        <v/>
      </c>
      <c r="M94" s="154"/>
      <c r="N94" s="155">
        <f>SUM('Pay App 1:Pay App 50'!L94)+SUM('Pay App 1:Pay App 50'!M94)</f>
        <v>0</v>
      </c>
    </row>
    <row r="95" spans="1:14" ht="11.25" customHeight="1" x14ac:dyDescent="0.25">
      <c r="A95" s="152">
        <v>39</v>
      </c>
      <c r="B95" s="175" t="str">
        <f>'Pay App 1'!B95</f>
        <v>08 30 00</v>
      </c>
      <c r="C95" s="180" t="str">
        <f>'Pay App 1'!C95</f>
        <v>Specialty Doors</v>
      </c>
      <c r="D95" s="155">
        <f>'Pay App 1'!D95</f>
        <v>0</v>
      </c>
      <c r="E95" s="155">
        <f>VLOOKUP(B95,'Graph Data'!$O$2:$BX$88,52,FALSE)</f>
        <v>0</v>
      </c>
      <c r="F95" s="155">
        <f>IFERROR(E95+'Pay App 49'!F95,"")</f>
        <v>0</v>
      </c>
      <c r="G95" s="155">
        <f>SUM('Pay App 1:Pay App 49'!H95)</f>
        <v>0</v>
      </c>
      <c r="H95" s="154"/>
      <c r="I95" s="155">
        <f t="shared" si="0"/>
        <v>0</v>
      </c>
      <c r="J95" s="156">
        <f t="shared" si="1"/>
        <v>0</v>
      </c>
      <c r="K95" s="155">
        <f t="shared" si="2"/>
        <v>0</v>
      </c>
      <c r="L95" s="155" t="str">
        <f>IF(AND('Summary Sheet'!$E$23="No",$H$33&gt;0,H95&gt;=1),"",IF(AND('Summary Sheet'!$E$23="Yes",H95&lt;&gt;""),H95*'Summary Sheet'!$G$23,""))</f>
        <v/>
      </c>
      <c r="M95" s="154"/>
      <c r="N95" s="155">
        <f>SUM('Pay App 1:Pay App 50'!L95)+SUM('Pay App 1:Pay App 50'!M95)</f>
        <v>0</v>
      </c>
    </row>
    <row r="96" spans="1:14" ht="11.25" customHeight="1" x14ac:dyDescent="0.25">
      <c r="A96" s="152">
        <v>40</v>
      </c>
      <c r="B96" s="175" t="str">
        <f>'Pay App 1'!B96</f>
        <v>08 33 00</v>
      </c>
      <c r="C96" s="180" t="str">
        <f>'Pay App 1'!C96</f>
        <v>Overhead Doors/Coiling Doors</v>
      </c>
      <c r="D96" s="155">
        <f>'Pay App 1'!D96</f>
        <v>0</v>
      </c>
      <c r="E96" s="155">
        <f>VLOOKUP(B96,'Graph Data'!$O$2:$BX$88,52,FALSE)</f>
        <v>0</v>
      </c>
      <c r="F96" s="155">
        <f>IFERROR(E96+'Pay App 49'!F96,"")</f>
        <v>0</v>
      </c>
      <c r="G96" s="155">
        <f>SUM('Pay App 1:Pay App 49'!H96)</f>
        <v>0</v>
      </c>
      <c r="H96" s="154"/>
      <c r="I96" s="155">
        <f t="shared" si="0"/>
        <v>0</v>
      </c>
      <c r="J96" s="156">
        <f t="shared" si="1"/>
        <v>0</v>
      </c>
      <c r="K96" s="155">
        <f t="shared" si="2"/>
        <v>0</v>
      </c>
      <c r="L96" s="155" t="str">
        <f>IF(AND('Summary Sheet'!$E$23="No",$H$33&gt;0,H96&gt;=1),"",IF(AND('Summary Sheet'!$E$23="Yes",H96&lt;&gt;""),H96*'Summary Sheet'!$G$23,""))</f>
        <v/>
      </c>
      <c r="M96" s="154"/>
      <c r="N96" s="155">
        <f>SUM('Pay App 1:Pay App 50'!L96)+SUM('Pay App 1:Pay App 50'!M96)</f>
        <v>0</v>
      </c>
    </row>
    <row r="97" spans="1:15" ht="11.25" customHeight="1" x14ac:dyDescent="0.25">
      <c r="A97" s="152">
        <v>41</v>
      </c>
      <c r="B97" s="175" t="str">
        <f>'Pay App 1'!B97</f>
        <v>08 40 00</v>
      </c>
      <c r="C97" s="180" t="str">
        <f>'Pay App 1'!C97</f>
        <v>Curtain Wall, Glass &amp; Glazing</v>
      </c>
      <c r="D97" s="155">
        <f>'Pay App 1'!D97</f>
        <v>0</v>
      </c>
      <c r="E97" s="155">
        <f>VLOOKUP(B97,'Graph Data'!$O$2:$BX$88,52,FALSE)</f>
        <v>0</v>
      </c>
      <c r="F97" s="155">
        <f>IFERROR(E97+'Pay App 49'!F97,"")</f>
        <v>0</v>
      </c>
      <c r="G97" s="155">
        <f>SUM('Pay App 1:Pay App 49'!H97)</f>
        <v>0</v>
      </c>
      <c r="H97" s="154"/>
      <c r="I97" s="155">
        <f t="shared" si="0"/>
        <v>0</v>
      </c>
      <c r="J97" s="156">
        <f t="shared" si="1"/>
        <v>0</v>
      </c>
      <c r="K97" s="155">
        <f t="shared" si="2"/>
        <v>0</v>
      </c>
      <c r="L97" s="155" t="str">
        <f>IF(AND('Summary Sheet'!$E$23="No",$H$33&gt;0,H97&gt;=1),"",IF(AND('Summary Sheet'!$E$23="Yes",H97&lt;&gt;""),H97*'Summary Sheet'!$G$23,""))</f>
        <v/>
      </c>
      <c r="M97" s="154"/>
      <c r="N97" s="155">
        <f>SUM('Pay App 1:Pay App 50'!L97)+SUM('Pay App 1:Pay App 50'!M97)</f>
        <v>0</v>
      </c>
    </row>
    <row r="98" spans="1:15" ht="10.9" customHeight="1" x14ac:dyDescent="0.25">
      <c r="A98" s="152">
        <v>42</v>
      </c>
      <c r="B98" s="175" t="str">
        <f>'Pay App 1'!B98</f>
        <v>08 60 00</v>
      </c>
      <c r="C98" s="180" t="str">
        <f>'Pay App 1'!C98</f>
        <v>Skylights</v>
      </c>
      <c r="D98" s="155">
        <f>'Pay App 1'!D98</f>
        <v>0</v>
      </c>
      <c r="E98" s="155">
        <f>VLOOKUP(B98,'Graph Data'!$O$2:$BX$88,52,FALSE)</f>
        <v>0</v>
      </c>
      <c r="F98" s="155">
        <f>IFERROR(E98+'Pay App 49'!F98,"")</f>
        <v>0</v>
      </c>
      <c r="G98" s="155">
        <f>SUM('Pay App 1:Pay App 49'!H98)</f>
        <v>0</v>
      </c>
      <c r="H98" s="154"/>
      <c r="I98" s="155">
        <f t="shared" si="0"/>
        <v>0</v>
      </c>
      <c r="J98" s="156">
        <f t="shared" si="1"/>
        <v>0</v>
      </c>
      <c r="K98" s="155">
        <f t="shared" si="2"/>
        <v>0</v>
      </c>
      <c r="L98" s="155" t="str">
        <f>IF(AND('Summary Sheet'!$E$23="No",$H$33&gt;0,H98&gt;=1),"",IF(AND('Summary Sheet'!$E$23="Yes",H98&lt;&gt;""),H98*'Summary Sheet'!$G$23,""))</f>
        <v/>
      </c>
      <c r="M98" s="154"/>
      <c r="N98" s="155">
        <f>SUM('Pay App 1:Pay App 50'!L98)+SUM('Pay App 1:Pay App 50'!M98)</f>
        <v>0</v>
      </c>
    </row>
    <row r="99" spans="1:15" ht="10.9" customHeight="1" x14ac:dyDescent="0.25">
      <c r="A99" s="152">
        <v>43</v>
      </c>
      <c r="B99" s="175" t="str">
        <f>'Pay App 1'!B99</f>
        <v>08 90 00</v>
      </c>
      <c r="C99" s="180" t="str">
        <f>'Pay App 1'!C99</f>
        <v>Louvers &amp; Vents</v>
      </c>
      <c r="D99" s="155">
        <f>'Pay App 1'!D99</f>
        <v>0</v>
      </c>
      <c r="E99" s="155">
        <f>VLOOKUP(B99,'Graph Data'!$O$2:$BX$88,52,FALSE)</f>
        <v>0</v>
      </c>
      <c r="F99" s="155">
        <f>IFERROR(E99+'Pay App 49'!F99,"")</f>
        <v>0</v>
      </c>
      <c r="G99" s="155">
        <f>SUM('Pay App 1:Pay App 49'!H99)</f>
        <v>0</v>
      </c>
      <c r="H99" s="154"/>
      <c r="I99" s="155">
        <f t="shared" si="0"/>
        <v>0</v>
      </c>
      <c r="J99" s="156">
        <f t="shared" si="1"/>
        <v>0</v>
      </c>
      <c r="K99" s="155">
        <f t="shared" si="2"/>
        <v>0</v>
      </c>
      <c r="L99" s="155" t="str">
        <f>IF(AND('Summary Sheet'!$E$23="No",$H$33&gt;0,H99&gt;=1),"",IF(AND('Summary Sheet'!$E$23="Yes",H99&lt;&gt;""),H99*'Summary Sheet'!$G$23,""))</f>
        <v/>
      </c>
      <c r="M99" s="154"/>
      <c r="N99" s="155">
        <f>SUM('Pay App 1:Pay App 50'!L99)+SUM('Pay App 1:Pay App 50'!M99)</f>
        <v>0</v>
      </c>
    </row>
    <row r="100" spans="1:15" ht="11.25" customHeight="1" x14ac:dyDescent="0.25">
      <c r="A100" s="153">
        <v>44</v>
      </c>
      <c r="B100" s="176" t="str">
        <f>'Pay App 1'!B100</f>
        <v>09 20 00</v>
      </c>
      <c r="C100" s="181" t="str">
        <f>'Pay App 1'!C100</f>
        <v>Gypsum Board Systems</v>
      </c>
      <c r="D100" s="155">
        <f>'Pay App 1'!D100</f>
        <v>0</v>
      </c>
      <c r="E100" s="155">
        <f>VLOOKUP(B100,'Graph Data'!$O$2:$BX$88,52,FALSE)</f>
        <v>0</v>
      </c>
      <c r="F100" s="155">
        <f>IFERROR(E100+'Pay App 49'!F100,"")</f>
        <v>0</v>
      </c>
      <c r="G100" s="155">
        <f>SUM('Pay App 1:Pay App 49'!H100)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50'!L100)+SUM('Pay App 1:Pay App 50'!M100)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50.2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Data'!$O$2:$BX$88,52,FALSE)</f>
        <v>0</v>
      </c>
      <c r="F106" s="155">
        <f>IFERROR(E106+'Pay App 49'!F106,"")</f>
        <v>0</v>
      </c>
      <c r="G106" s="155">
        <f>SUM('Pay App 1:Pay App 49'!H106)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50'!L106)+SUM('Pay App 1:Pay App 50'!M106)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Data'!$O$2:$BX$88,52,FALSE)</f>
        <v>0</v>
      </c>
      <c r="F107" s="155">
        <f>IFERROR(E107+'Pay App 49'!F107,"")</f>
        <v>0</v>
      </c>
      <c r="G107" s="155">
        <f>SUM('Pay App 1:Pay App 49'!H107)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50'!L107)+SUM('Pay App 1:Pay App 50'!M107)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Data'!$O$2:$BX$88,52,FALSE)</f>
        <v>0</v>
      </c>
      <c r="F108" s="155">
        <f>IFERROR(E108+'Pay App 49'!F108,"")</f>
        <v>0</v>
      </c>
      <c r="G108" s="155">
        <f>SUM('Pay App 1:Pay App 49'!H108)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50'!L108)+SUM('Pay App 1:Pay App 50'!M108)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Data'!$O$2:$BX$88,52,FALSE)</f>
        <v>0</v>
      </c>
      <c r="F109" s="155">
        <f>IFERROR(E109+'Pay App 49'!F109,"")</f>
        <v>0</v>
      </c>
      <c r="G109" s="155">
        <f>SUM('Pay App 1:Pay App 49'!H109)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50'!L109)+SUM('Pay App 1:Pay App 50'!M109)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Data'!$O$2:$BX$88,52,FALSE)</f>
        <v>0</v>
      </c>
      <c r="F110" s="155">
        <f>IFERROR(E110+'Pay App 49'!F110,"")</f>
        <v>0</v>
      </c>
      <c r="G110" s="155">
        <f>SUM('Pay App 1:Pay App 49'!H110)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50'!L110)+SUM('Pay App 1:Pay App 50'!M110)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Data'!$O$2:$BX$88,52,FALSE)</f>
        <v>0</v>
      </c>
      <c r="F111" s="155">
        <f>IFERROR(E111+'Pay App 49'!F111,"")</f>
        <v>0</v>
      </c>
      <c r="G111" s="155">
        <f>SUM('Pay App 1:Pay App 49'!H111)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50'!L111)+SUM('Pay App 1:Pay App 50'!M111)</f>
        <v>0</v>
      </c>
    </row>
    <row r="112" spans="1:15" ht="11.25" customHeight="1" x14ac:dyDescent="0.25">
      <c r="A112" s="152">
        <f t="shared" si="3"/>
        <v>51</v>
      </c>
      <c r="B112" s="148" t="str">
        <f>'Pay App 1'!B112</f>
        <v>09 90 00</v>
      </c>
      <c r="C112" s="143" t="str">
        <f>'Pay App 1'!C112</f>
        <v>Painting</v>
      </c>
      <c r="D112" s="155">
        <f>'Pay App 1'!D112</f>
        <v>0</v>
      </c>
      <c r="E112" s="155">
        <f>VLOOKUP(B112,'Graph Data'!$O$2:$BX$88,52,FALSE)</f>
        <v>0</v>
      </c>
      <c r="F112" s="155">
        <f>IFERROR(E112+'Pay App 49'!F112,"")</f>
        <v>0</v>
      </c>
      <c r="G112" s="155">
        <f>SUM('Pay App 1:Pay App 49'!H112)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50'!L112)+SUM('Pay App 1:Pay App 50'!M112)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Data'!$O$2:$BX$88,52,FALSE)</f>
        <v>0</v>
      </c>
      <c r="F113" s="155">
        <f>IFERROR(E113+'Pay App 49'!F113,"")</f>
        <v>0</v>
      </c>
      <c r="G113" s="155">
        <f>SUM('Pay App 1:Pay App 49'!H113)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50'!L113)+SUM('Pay App 1:Pay App 50'!M113)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Data'!$O$2:$BX$88,52,FALSE)</f>
        <v>0</v>
      </c>
      <c r="F114" s="155">
        <f>IFERROR(E114+'Pay App 49'!F114,"")</f>
        <v>0</v>
      </c>
      <c r="G114" s="155">
        <f>SUM('Pay App 1:Pay App 49'!H114)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50'!L114)+SUM('Pay App 1:Pay App 50'!M114)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Data'!$O$2:$BX$88,52,FALSE)</f>
        <v>0</v>
      </c>
      <c r="F115" s="155">
        <f>IFERROR(E115+'Pay App 49'!F115,"")</f>
        <v>0</v>
      </c>
      <c r="G115" s="155">
        <f>SUM('Pay App 1:Pay App 49'!H115)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50'!L115)+SUM('Pay App 1:Pay App 50'!M115)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Data'!$O$2:$BX$88,52,FALSE)</f>
        <v>0</v>
      </c>
      <c r="F116" s="155">
        <f>IFERROR(E116+'Pay App 49'!F116,"")</f>
        <v>0</v>
      </c>
      <c r="G116" s="155">
        <f>SUM('Pay App 1:Pay App 49'!H116)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50'!L116)+SUM('Pay App 1:Pay App 50'!M116)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Data'!$O$2:$BX$88,52,FALSE)</f>
        <v>0</v>
      </c>
      <c r="F117" s="155">
        <f>IFERROR(E117+'Pay App 49'!F117,"")</f>
        <v>0</v>
      </c>
      <c r="G117" s="155">
        <f>SUM('Pay App 1:Pay App 49'!H117)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50'!L117)+SUM('Pay App 1:Pay App 50'!M117)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Data'!$O$2:$BX$88,52,FALSE)</f>
        <v>0</v>
      </c>
      <c r="F118" s="155">
        <f>IFERROR(E118+'Pay App 49'!F118,"")</f>
        <v>0</v>
      </c>
      <c r="G118" s="155">
        <f>SUM('Pay App 1:Pay App 49'!H118)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50'!L118)+SUM('Pay App 1:Pay App 50'!M118)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Data'!$O$2:$BX$88,52,FALSE)</f>
        <v>0</v>
      </c>
      <c r="F119" s="155">
        <f>IFERROR(E119+'Pay App 49'!F119,"")</f>
        <v>0</v>
      </c>
      <c r="G119" s="155">
        <f>SUM('Pay App 1:Pay App 49'!H119)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50'!L119)+SUM('Pay App 1:Pay App 50'!M119)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Data'!$O$2:$BX$88,52,FALSE)</f>
        <v>0</v>
      </c>
      <c r="F120" s="155">
        <f>IFERROR(E120+'Pay App 49'!F120,"")</f>
        <v>0</v>
      </c>
      <c r="G120" s="155">
        <f>SUM('Pay App 1:Pay App 49'!H120)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50'!L120)+SUM('Pay App 1:Pay App 50'!M120)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Data'!$O$2:$BX$88,52,FALSE)</f>
        <v>0</v>
      </c>
      <c r="F121" s="155">
        <f>IFERROR(E121+'Pay App 49'!F121,"")</f>
        <v>0</v>
      </c>
      <c r="G121" s="155">
        <f>SUM('Pay App 1:Pay App 49'!H121)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50'!L121)+SUM('Pay App 1:Pay App 50'!M121)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Data'!$O$2:$BX$88,52,FALSE)</f>
        <v>0</v>
      </c>
      <c r="F122" s="155">
        <f>IFERROR(E122+'Pay App 49'!F122,"")</f>
        <v>0</v>
      </c>
      <c r="G122" s="155">
        <f>SUM('Pay App 1:Pay App 49'!H122)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50'!L122)+SUM('Pay App 1:Pay App 50'!M122)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Data'!$O$2:$BX$88,52,FALSE)</f>
        <v>0</v>
      </c>
      <c r="F123" s="155">
        <f>IFERROR(E123+'Pay App 49'!F123,"")</f>
        <v>0</v>
      </c>
      <c r="G123" s="155">
        <f>SUM('Pay App 1:Pay App 49'!H123)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50'!L123)+SUM('Pay App 1:Pay App 50'!M123)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Data'!$O$2:$BX$88,52,FALSE)</f>
        <v>0</v>
      </c>
      <c r="F124" s="155">
        <f>IFERROR(E124+'Pay App 49'!F124,"")</f>
        <v>0</v>
      </c>
      <c r="G124" s="155">
        <f>SUM('Pay App 1:Pay App 49'!H124)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50'!L124)+SUM('Pay App 1:Pay App 50'!M124)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Data'!$O$2:$BX$88,52,FALSE)</f>
        <v>0</v>
      </c>
      <c r="F125" s="155">
        <f>IFERROR(E125+'Pay App 49'!F125,"")</f>
        <v>0</v>
      </c>
      <c r="G125" s="155">
        <f>SUM('Pay App 1:Pay App 49'!H125)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50'!L125)+SUM('Pay App 1:Pay App 50'!M125)</f>
        <v>0</v>
      </c>
    </row>
    <row r="126" spans="1:14" ht="11.25" customHeight="1" x14ac:dyDescent="0.25">
      <c r="A126" s="152">
        <f t="shared" si="3"/>
        <v>65</v>
      </c>
      <c r="B126" s="188" t="str">
        <f>'Pay App 1'!B126</f>
        <v>14 20 00</v>
      </c>
      <c r="C126" s="194" t="str">
        <f>'Pay App 1'!C126</f>
        <v>Elevator</v>
      </c>
      <c r="D126" s="155">
        <f>'Pay App 1'!D126</f>
        <v>0</v>
      </c>
      <c r="E126" s="155">
        <f>VLOOKUP(B126,'Graph Data'!$O$2:$BX$88,52,FALSE)</f>
        <v>0</v>
      </c>
      <c r="F126" s="155">
        <f>IFERROR(E126+'Pay App 49'!F126,"")</f>
        <v>0</v>
      </c>
      <c r="G126" s="155">
        <f>SUM('Pay App 1:Pay App 49'!H126)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50'!L126)+SUM('Pay App 1:Pay App 50'!M126)</f>
        <v>0</v>
      </c>
    </row>
    <row r="127" spans="1:14" ht="11.25" customHeight="1" x14ac:dyDescent="0.25">
      <c r="A127" s="152">
        <f t="shared" si="3"/>
        <v>66</v>
      </c>
      <c r="B127" s="188" t="str">
        <f>'Pay App 1'!B127</f>
        <v>14 40 00</v>
      </c>
      <c r="C127" s="194" t="str">
        <f>'Pay App 1'!C127</f>
        <v>Lifts</v>
      </c>
      <c r="D127" s="155">
        <f>'Pay App 1'!D127</f>
        <v>0</v>
      </c>
      <c r="E127" s="155">
        <f>VLOOKUP(B127,'Graph Data'!$O$2:$BX$88,52,FALSE)</f>
        <v>0</v>
      </c>
      <c r="F127" s="155">
        <f>IFERROR(E127+'Pay App 49'!F127,"")</f>
        <v>0</v>
      </c>
      <c r="G127" s="155">
        <f>SUM('Pay App 1:Pay App 49'!H127)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50'!L127)+SUM('Pay App 1:Pay App 50'!M127)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Data'!$O$2:$BX$88,52,FALSE)</f>
        <v>0</v>
      </c>
      <c r="F128" s="155">
        <f>IFERROR(E128+'Pay App 49'!F128,"")</f>
        <v>0</v>
      </c>
      <c r="G128" s="155">
        <f>SUM('Pay App 1:Pay App 49'!H128)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50'!L128)+SUM('Pay App 1:Pay App 50'!M128)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Data'!$O$2:$BX$88,52,FALSE)</f>
        <v>0</v>
      </c>
      <c r="F129" s="155">
        <f>IFERROR(E129+'Pay App 49'!F129,"")</f>
        <v>0</v>
      </c>
      <c r="G129" s="155">
        <f>SUM('Pay App 1:Pay App 49'!H129)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50'!L129)+SUM('Pay App 1:Pay App 50'!M129)</f>
        <v>0</v>
      </c>
    </row>
    <row r="130" spans="1:14" ht="11.25" customHeight="1" x14ac:dyDescent="0.25">
      <c r="A130" s="152">
        <f t="shared" si="3"/>
        <v>69</v>
      </c>
      <c r="B130" s="185" t="str">
        <f>'Pay App 1'!B130</f>
        <v>22 00 00</v>
      </c>
      <c r="C130" s="191" t="str">
        <f>'Pay App 1'!C130</f>
        <v>Plumbing</v>
      </c>
      <c r="D130" s="155">
        <f>'Pay App 1'!D130</f>
        <v>0</v>
      </c>
      <c r="E130" s="155">
        <f>VLOOKUP(B130,'Graph Data'!$O$2:$BX$88,52,FALSE)</f>
        <v>0</v>
      </c>
      <c r="F130" s="155">
        <f>IFERROR(E130+'Pay App 49'!F130,"")</f>
        <v>0</v>
      </c>
      <c r="G130" s="155">
        <f>SUM('Pay App 1:Pay App 49'!H130)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50'!L130)+SUM('Pay App 1:Pay App 50'!M130)</f>
        <v>0</v>
      </c>
    </row>
    <row r="131" spans="1:14" ht="11.25" customHeight="1" x14ac:dyDescent="0.25">
      <c r="A131" s="152">
        <f t="shared" si="3"/>
        <v>70</v>
      </c>
      <c r="B131" s="186" t="str">
        <f>'Pay App 1'!B131</f>
        <v>23 00 00</v>
      </c>
      <c r="C131" s="192" t="str">
        <f>'Pay App 1'!C131</f>
        <v>HVAC</v>
      </c>
      <c r="D131" s="155">
        <f>'Pay App 1'!D131</f>
        <v>0</v>
      </c>
      <c r="E131" s="155">
        <f>VLOOKUP(B131,'Graph Data'!$O$2:$BX$88,52,FALSE)</f>
        <v>0</v>
      </c>
      <c r="F131" s="155">
        <f>IFERROR(E131+'Pay App 49'!F131,"")</f>
        <v>0</v>
      </c>
      <c r="G131" s="155">
        <f>SUM('Pay App 1:Pay App 49'!H131)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50'!L131)+SUM('Pay App 1:Pay App 50'!M131)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Data'!$O$2:$BX$88,52,FALSE)</f>
        <v>0</v>
      </c>
      <c r="F132" s="155">
        <f>IFERROR(E132+'Pay App 49'!F132,"")</f>
        <v>0</v>
      </c>
      <c r="G132" s="155">
        <f>SUM('Pay App 1:Pay App 49'!H132)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50'!L132)+SUM('Pay App 1:Pay App 50'!M132)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Data'!$O$2:$BX$88,52,FALSE)</f>
        <v>0</v>
      </c>
      <c r="F133" s="155">
        <f>IFERROR(E133+'Pay App 49'!F133,"")</f>
        <v>0</v>
      </c>
      <c r="G133" s="155">
        <f>SUM('Pay App 1:Pay App 49'!H133)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50'!L133)+SUM('Pay App 1:Pay App 50'!M133)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Data'!$O$2:$BX$88,52,FALSE)</f>
        <v>0</v>
      </c>
      <c r="F134" s="155">
        <f>IFERROR(E134+'Pay App 49'!F134,"")</f>
        <v>0</v>
      </c>
      <c r="G134" s="155">
        <f>SUM('Pay App 1:Pay App 49'!H134)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50'!L134)+SUM('Pay App 1:Pay App 50'!M134)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Data'!$O$2:$BX$88,52,FALSE)</f>
        <v>0</v>
      </c>
      <c r="F135" s="155">
        <f>IFERROR(E135+'Pay App 49'!F135,"")</f>
        <v>0</v>
      </c>
      <c r="G135" s="155">
        <f>SUM('Pay App 1:Pay App 49'!H135)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50'!L135)+SUM('Pay App 1:Pay App 50'!M135)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Data'!$O$2:$BX$88,52,FALSE)</f>
        <v>0</v>
      </c>
      <c r="F136" s="155">
        <f>IFERROR(E136+'Pay App 49'!F136,"")</f>
        <v>0</v>
      </c>
      <c r="G136" s="155">
        <f>SUM('Pay App 1:Pay App 49'!H136)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50'!L136)+SUM('Pay App 1:Pay App 50'!M136)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Data'!$O$2:$BX$88,52,FALSE)</f>
        <v>0</v>
      </c>
      <c r="F137" s="155">
        <f>IFERROR(E137+'Pay App 49'!F137,"")</f>
        <v>0</v>
      </c>
      <c r="G137" s="155">
        <f>SUM('Pay App 1:Pay App 49'!H137)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50'!L137)+SUM('Pay App 1:Pay App 50'!M137)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Data'!$O$2:$BX$88,52,FALSE)</f>
        <v>0</v>
      </c>
      <c r="F138" s="155">
        <f>IFERROR(E138+'Pay App 49'!F138,"")</f>
        <v>0</v>
      </c>
      <c r="G138" s="155">
        <f>SUM('Pay App 1:Pay App 49'!H138)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50'!L138)+SUM('Pay App 1:Pay App 50'!M138)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Data'!$O$2:$BX$88,52,FALSE)</f>
        <v>0</v>
      </c>
      <c r="F139" s="155">
        <f>IFERROR(E139+'Pay App 49'!F139,"")</f>
        <v>0</v>
      </c>
      <c r="G139" s="155">
        <f>SUM('Pay App 1:Pay App 49'!H139)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50'!L139)+SUM('Pay App 1:Pay App 50'!M139)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Data'!$O$2:$BX$88,52,FALSE)</f>
        <v>0</v>
      </c>
      <c r="F140" s="155">
        <f>IFERROR(E140+'Pay App 49'!F140,"")</f>
        <v>0</v>
      </c>
      <c r="G140" s="155">
        <f>SUM('Pay App 1:Pay App 49'!H140)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50'!L140)+SUM('Pay App 1:Pay App 50'!M140)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Data'!$O$2:$BX$88,52,FALSE)</f>
        <v>0</v>
      </c>
      <c r="F141" s="155">
        <f>IFERROR(E141+'Pay App 49'!F141,"")</f>
        <v>0</v>
      </c>
      <c r="G141" s="155">
        <f>SUM('Pay App 1:Pay App 49'!H141)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50'!L141)+SUM('Pay App 1:Pay App 50'!M141)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Data'!$O$2:$BX$88,52,FALSE)</f>
        <v>0</v>
      </c>
      <c r="F142" s="155">
        <f>IFERROR(E142+'Pay App 49'!F142,"")</f>
        <v>0</v>
      </c>
      <c r="G142" s="155">
        <f>SUM('Pay App 1:Pay App 49'!H142)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50'!L142)+SUM('Pay App 1:Pay App 50'!M142)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Data'!$O$2:$BX$88,52,FALSE)</f>
        <v>0</v>
      </c>
      <c r="F143" s="155">
        <f>IFERROR(E143+'Pay App 49'!F143,"")</f>
        <v>0</v>
      </c>
      <c r="G143" s="155">
        <f>SUM('Pay App 1:Pay App 49'!H143)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50'!L143)+SUM('Pay App 1:Pay App 50'!M143)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Data'!$O$2:$BX$88,52,FALSE)</f>
        <v>0</v>
      </c>
      <c r="F144" s="155">
        <f>IFERROR(E144+'Pay App 49'!F144,"")</f>
        <v>0</v>
      </c>
      <c r="G144" s="155">
        <f>SUM('Pay App 1:Pay App 49'!H144)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50'!L144)+SUM('Pay App 1:Pay App 50'!M144)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Data'!$O$2:$BX$88,52,FALSE)</f>
        <v>0</v>
      </c>
      <c r="F145" s="155">
        <f>IFERROR(E145+'Pay App 49'!F145,"")</f>
        <v>0</v>
      </c>
      <c r="G145" s="155">
        <f>SUM('Pay App 1:Pay App 49'!H145)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50'!L145)+SUM('Pay App 1:Pay App 50'!M145)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Data'!$O$2:$BX$88,52,FALSE)</f>
        <v>0</v>
      </c>
      <c r="F146" s="155">
        <f>IFERROR(E146+'Pay App 49'!F146,"")</f>
        <v>0</v>
      </c>
      <c r="G146" s="155">
        <f>SUM('Pay App 1:Pay App 49'!H146)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50'!L146)+SUM('Pay App 1:Pay App 50'!M146)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Data'!$O$2:$BX$88,52,FALSE)</f>
        <v>0</v>
      </c>
      <c r="F147" s="155">
        <f>IFERROR(E147+'Pay App 49'!F147,"")</f>
        <v>0</v>
      </c>
      <c r="G147" s="155">
        <f>SUM('Pay App 1:Pay App 49'!H147)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50'!L147)+SUM('Pay App 1:Pay App 50'!M147)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Data'!$O$2:$BX$88,52,FALSE)</f>
        <v>0</v>
      </c>
      <c r="F148" s="155">
        <f>IFERROR(E148+'Pay App 49'!F148,"")</f>
        <v>0</v>
      </c>
      <c r="G148" s="155">
        <f>SUM('Pay App 1:Pay App 49'!H148)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50'!L148)+SUM('Pay App 1:Pay App 50'!M148)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v4slnlZRKU+WlBmieT/hhuo9KxYQQfWlKT+x+SCVw7Sc1QaUqxeVoFN1v2x4xqCw/zhpFpL9hLbtHH+yc6Aj6w==" saltValue="07Sh+NcMu2yd9rrE07JwZ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20" priority="2" operator="equal">
      <formula>0</formula>
    </cfRule>
  </conditionalFormatting>
  <conditionalFormatting sqref="D106:G148">
    <cfRule type="cellIs" dxfId="119" priority="1" operator="equal">
      <formula>0</formula>
    </cfRule>
  </conditionalFormatting>
  <conditionalFormatting sqref="D10:H10 D12:H14 D19:H21">
    <cfRule type="cellIs" dxfId="118" priority="6" operator="equal">
      <formula>0</formula>
    </cfRule>
  </conditionalFormatting>
  <conditionalFormatting sqref="H51">
    <cfRule type="cellIs" dxfId="117" priority="9" operator="lessThan">
      <formula>0</formula>
    </cfRule>
  </conditionalFormatting>
  <conditionalFormatting sqref="I57:I100 K57:K100 I106:I148 K106:K148 N106:N148">
    <cfRule type="cellIs" dxfId="116" priority="14" operator="equal">
      <formula>0</formula>
    </cfRule>
  </conditionalFormatting>
  <conditionalFormatting sqref="J57:J100 J106:J149">
    <cfRule type="cellIs" dxfId="115" priority="11" operator="greaterThan">
      <formula>1</formula>
    </cfRule>
    <cfRule type="cellIs" dxfId="114" priority="12" operator="equal">
      <formula>0</formula>
    </cfRule>
  </conditionalFormatting>
  <conditionalFormatting sqref="K57:K100 K106:K148">
    <cfRule type="cellIs" dxfId="113" priority="10" operator="lessThan">
      <formula>0</formula>
    </cfRule>
  </conditionalFormatting>
  <conditionalFormatting sqref="M57:M100">
    <cfRule type="cellIs" dxfId="112" priority="13" operator="lessThan">
      <formula>0</formula>
    </cfRule>
  </conditionalFormatting>
  <conditionalFormatting sqref="M106:M148">
    <cfRule type="cellIs" dxfId="111" priority="8" operator="lessThan">
      <formula>0</formula>
    </cfRule>
  </conditionalFormatting>
  <conditionalFormatting sqref="N57:N100">
    <cfRule type="cellIs" dxfId="11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201AE864-F30C-4F5F-86E1-D023736301F7}">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BD0078A-D0D9-4A29-99EB-682C07E22424}">
          <x14:formula1>
            <xm:f>'Graph Data'!$M$74:$M$76</xm:f>
          </x14:formula1>
          <xm:sqref>G17</xm:sqref>
        </x14:dataValidation>
      </x14:dataValidation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AEC3B-FA55-4D38-9675-588F04FECF2B}">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51</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51'!E149)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51'!G41)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50'!H49)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51.1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Data'!$O$2:$BX$88,53,FALSE)</f>
        <v>0</v>
      </c>
      <c r="F57" s="155">
        <f>IFERROR(E57+'Pay App 50'!F57,"")</f>
        <v>0</v>
      </c>
      <c r="G57" s="155">
        <f>SUM('Pay App 1:Pay App 50'!H57)</f>
        <v>0</v>
      </c>
      <c r="H57" s="154"/>
      <c r="I57" s="155">
        <f>G57+H57</f>
        <v>0</v>
      </c>
      <c r="J57" s="156">
        <f>IFERROR(I57/F57,0)</f>
        <v>0</v>
      </c>
      <c r="K57" s="155">
        <f>IFERROR(F57-I57,"")</f>
        <v>0</v>
      </c>
      <c r="L57" s="155" t="str">
        <f>IF(AND('Summary Sheet'!$E$23="No",$H$33&gt;0,H57&gt;=1),"",IF(AND('Summary Sheet'!$E$23="Yes",H57&lt;&gt;""),H57*'Summary Sheet'!$G$23,""))</f>
        <v/>
      </c>
      <c r="M57" s="154"/>
      <c r="N57" s="155">
        <f>SUM('Pay App 1:Pay App 51'!L57)+SUM('Pay App 1:Pay App 51'!M57)</f>
        <v>0</v>
      </c>
    </row>
    <row r="58" spans="1:16" ht="11.25" customHeight="1" x14ac:dyDescent="0.25">
      <c r="A58" s="152">
        <v>2</v>
      </c>
      <c r="B58" s="145" t="str">
        <f>'Pay App 1'!B58</f>
        <v>00 02 00</v>
      </c>
      <c r="C58" s="134" t="str">
        <f>'Pay App 1'!C58</f>
        <v>Preconstruction Services</v>
      </c>
      <c r="D58" s="155">
        <f>'Pay App 1'!D58</f>
        <v>0</v>
      </c>
      <c r="E58" s="155">
        <f>VLOOKUP(B58,'Graph Data'!$O$2:$BX$88,53,FALSE)</f>
        <v>0</v>
      </c>
      <c r="F58" s="155">
        <f>IFERROR(E58+'Pay App 50'!F58,"")</f>
        <v>0</v>
      </c>
      <c r="G58" s="155">
        <f>SUM('Pay App 1:Pay App 50'!H58)</f>
        <v>0</v>
      </c>
      <c r="H58" s="154"/>
      <c r="I58" s="155">
        <f>G58+H58</f>
        <v>0</v>
      </c>
      <c r="J58" s="156">
        <f>IFERROR(I58/F58,0)</f>
        <v>0</v>
      </c>
      <c r="K58" s="155">
        <f>IFERROR(F58-I58,"")</f>
        <v>0</v>
      </c>
      <c r="L58" s="155" t="str">
        <f>IF(AND('Summary Sheet'!$E$23="No",$H$33&gt;0,H58&gt;=1),"",IF(AND('Summary Sheet'!$E$23="Yes",H58&lt;&gt;""),H58*'Summary Sheet'!$G$23,""))</f>
        <v/>
      </c>
      <c r="M58" s="154"/>
      <c r="N58" s="155">
        <f>SUM('Pay App 1:Pay App 51'!L58)+SUM('Pay App 1:Pay App 51'!M58)</f>
        <v>0</v>
      </c>
    </row>
    <row r="59" spans="1:16" ht="11.25" customHeight="1" x14ac:dyDescent="0.25">
      <c r="A59" s="152">
        <v>3</v>
      </c>
      <c r="B59" s="174" t="str">
        <f>'Pay App 1'!B59</f>
        <v>01 00 00</v>
      </c>
      <c r="C59" s="179" t="str">
        <f>'Pay App 1'!C59</f>
        <v>General Conditions/Requirements</v>
      </c>
      <c r="D59" s="155">
        <f>'Pay App 1'!D59</f>
        <v>0</v>
      </c>
      <c r="E59" s="155">
        <f>VLOOKUP(B59,'Graph Data'!$O$2:$BX$88,53,FALSE)</f>
        <v>0</v>
      </c>
      <c r="F59" s="155">
        <f>IFERROR(E59+'Pay App 50'!F59,"")</f>
        <v>0</v>
      </c>
      <c r="G59" s="155">
        <f>SUM('Pay App 1:Pay App 50'!H59)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51'!L59)+SUM('Pay App 1:Pay App 51'!M59)</f>
        <v>0</v>
      </c>
    </row>
    <row r="60" spans="1:16" ht="11.25" customHeight="1" x14ac:dyDescent="0.25">
      <c r="A60" s="152">
        <v>4</v>
      </c>
      <c r="B60" s="174" t="str">
        <f>'Pay App 1'!B60</f>
        <v>01 13 41</v>
      </c>
      <c r="C60" s="179" t="str">
        <f>'Pay App 1'!C60</f>
        <v>Temp. Scaffolding and Platforms</v>
      </c>
      <c r="D60" s="155">
        <f>'Pay App 1'!D60</f>
        <v>0</v>
      </c>
      <c r="E60" s="155">
        <f>VLOOKUP(B60,'Graph Data'!$O$2:$BX$88,53,FALSE)</f>
        <v>0</v>
      </c>
      <c r="F60" s="155">
        <f>IFERROR(E60+'Pay App 50'!F60,"")</f>
        <v>0</v>
      </c>
      <c r="G60" s="155">
        <f>SUM('Pay App 1:Pay App 50'!H60)</f>
        <v>0</v>
      </c>
      <c r="H60" s="154"/>
      <c r="I60" s="155">
        <f t="shared" si="0"/>
        <v>0</v>
      </c>
      <c r="J60" s="156">
        <f t="shared" si="1"/>
        <v>0</v>
      </c>
      <c r="K60" s="155">
        <f t="shared" si="2"/>
        <v>0</v>
      </c>
      <c r="L60" s="155" t="str">
        <f>IF(AND('Summary Sheet'!$E$23="No",$H$33&gt;0,H60&gt;=1),"",IF(AND('Summary Sheet'!$E$23="Yes",H60&lt;&gt;""),H60*'Summary Sheet'!$G$23,""))</f>
        <v/>
      </c>
      <c r="M60" s="154"/>
      <c r="N60" s="155">
        <f>SUM('Pay App 1:Pay App 51'!L60)+SUM('Pay App 1:Pay App 51'!M60)</f>
        <v>0</v>
      </c>
    </row>
    <row r="61" spans="1:16" ht="11.25" customHeight="1" x14ac:dyDescent="0.25">
      <c r="A61" s="152">
        <v>5</v>
      </c>
      <c r="B61" s="174" t="str">
        <f>'Pay App 1'!B61</f>
        <v>01 13 60</v>
      </c>
      <c r="C61" s="179" t="str">
        <f>'Pay App 1'!C61</f>
        <v>SWPPP</v>
      </c>
      <c r="D61" s="155">
        <f>'Pay App 1'!D61</f>
        <v>0</v>
      </c>
      <c r="E61" s="155">
        <f>VLOOKUP(B61,'Graph Data'!$O$2:$BX$88,53,FALSE)</f>
        <v>0</v>
      </c>
      <c r="F61" s="155">
        <f>IFERROR(E61+'Pay App 50'!F61,"")</f>
        <v>0</v>
      </c>
      <c r="G61" s="155">
        <f>SUM('Pay App 1:Pay App 50'!H61)</f>
        <v>0</v>
      </c>
      <c r="H61" s="154"/>
      <c r="I61" s="155">
        <f t="shared" si="0"/>
        <v>0</v>
      </c>
      <c r="J61" s="156">
        <f t="shared" si="1"/>
        <v>0</v>
      </c>
      <c r="K61" s="155">
        <f t="shared" si="2"/>
        <v>0</v>
      </c>
      <c r="L61" s="155" t="str">
        <f>IF(AND('Summary Sheet'!$E$23="No",$H$33&gt;0,H61&gt;=1),"",IF(AND('Summary Sheet'!$E$23="Yes",H61&lt;&gt;""),H61*'Summary Sheet'!$G$23,""))</f>
        <v/>
      </c>
      <c r="M61" s="154"/>
      <c r="N61" s="155">
        <f>SUM('Pay App 1:Pay App 51'!L61)+SUM('Pay App 1:Pay App 51'!M61)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Data'!$O$2:$BX$88,53,FALSE)</f>
        <v>0</v>
      </c>
      <c r="F62" s="155">
        <f>IFERROR(E62+'Pay App 50'!F62,"")</f>
        <v>0</v>
      </c>
      <c r="G62" s="155">
        <f>SUM('Pay App 1:Pay App 50'!H62)</f>
        <v>0</v>
      </c>
      <c r="H62" s="154"/>
      <c r="I62" s="155">
        <f t="shared" si="0"/>
        <v>0</v>
      </c>
      <c r="J62" s="156">
        <f t="shared" si="1"/>
        <v>0</v>
      </c>
      <c r="K62" s="155">
        <f t="shared" si="2"/>
        <v>0</v>
      </c>
      <c r="L62" s="155" t="str">
        <f>IF(AND('Summary Sheet'!$E$23="No",$H$33&gt;0,H62&gt;=1),"",IF(AND('Summary Sheet'!$E$23="Yes",H62&lt;&gt;""),H62*'Summary Sheet'!$G$23,""))</f>
        <v/>
      </c>
      <c r="M62" s="154"/>
      <c r="N62" s="155">
        <f>SUM('Pay App 1:Pay App 51'!L62)+SUM('Pay App 1:Pay App 51'!M62)</f>
        <v>0</v>
      </c>
    </row>
    <row r="63" spans="1:16" ht="11.25" customHeight="1" x14ac:dyDescent="0.25">
      <c r="A63" s="152">
        <v>7</v>
      </c>
      <c r="B63" s="174" t="str">
        <f>'Pay App 1'!B63</f>
        <v>01 31 00</v>
      </c>
      <c r="C63" s="179" t="str">
        <f>'Pay App 1'!C63</f>
        <v>Contractor's Supervision</v>
      </c>
      <c r="D63" s="155">
        <f>'Pay App 1'!D63</f>
        <v>0</v>
      </c>
      <c r="E63" s="155">
        <f>VLOOKUP(B63,'Graph Data'!$O$2:$BX$88,53,FALSE)</f>
        <v>0</v>
      </c>
      <c r="F63" s="155">
        <f>IFERROR(E63+'Pay App 50'!F63,"")</f>
        <v>0</v>
      </c>
      <c r="G63" s="155">
        <f>SUM('Pay App 1:Pay App 50'!H63)</f>
        <v>0</v>
      </c>
      <c r="H63" s="154"/>
      <c r="I63" s="155">
        <f t="shared" si="0"/>
        <v>0</v>
      </c>
      <c r="J63" s="156">
        <f t="shared" si="1"/>
        <v>0</v>
      </c>
      <c r="K63" s="155">
        <f t="shared" si="2"/>
        <v>0</v>
      </c>
      <c r="L63" s="155" t="str">
        <f>IF(AND('Summary Sheet'!$E$23="No",$H$33&gt;0,H63&gt;=1),"",IF(AND('Summary Sheet'!$E$23="Yes",H63&lt;&gt;""),H63*'Summary Sheet'!$G$23,""))</f>
        <v/>
      </c>
      <c r="M63" s="154"/>
      <c r="N63" s="155">
        <f>SUM('Pay App 1:Pay App 51'!L63)+SUM('Pay App 1:Pay App 51'!M63)</f>
        <v>0</v>
      </c>
    </row>
    <row r="64" spans="1:16" ht="11.25" customHeight="1" x14ac:dyDescent="0.25">
      <c r="A64" s="152">
        <v>8</v>
      </c>
      <c r="B64" s="174" t="str">
        <f>'Pay App 1'!B64</f>
        <v>01 32 00</v>
      </c>
      <c r="C64" s="179" t="str">
        <f>'Pay App 1'!C64</f>
        <v>General Liability Insurance</v>
      </c>
      <c r="D64" s="155">
        <f>'Pay App 1'!D64</f>
        <v>0</v>
      </c>
      <c r="E64" s="155">
        <f>VLOOKUP(B64,'Graph Data'!$O$2:$BX$88,53,FALSE)</f>
        <v>0</v>
      </c>
      <c r="F64" s="155">
        <f>IFERROR(E64+'Pay App 50'!F64,"")</f>
        <v>0</v>
      </c>
      <c r="G64" s="155">
        <f>SUM('Pay App 1:Pay App 50'!H64)</f>
        <v>0</v>
      </c>
      <c r="H64" s="154"/>
      <c r="I64" s="155">
        <f t="shared" si="0"/>
        <v>0</v>
      </c>
      <c r="J64" s="156">
        <f t="shared" si="1"/>
        <v>0</v>
      </c>
      <c r="K64" s="155">
        <f t="shared" si="2"/>
        <v>0</v>
      </c>
      <c r="L64" s="155" t="str">
        <f>IF(AND('Summary Sheet'!$E$23="No",$H$33&gt;0,H64&gt;=1),"",IF(AND('Summary Sheet'!$E$23="Yes",H64&lt;&gt;""),H64*'Summary Sheet'!$G$23,""))</f>
        <v/>
      </c>
      <c r="M64" s="154"/>
      <c r="N64" s="155">
        <f>SUM('Pay App 1:Pay App 51'!L64)+SUM('Pay App 1:Pay App 51'!M64)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Data'!$O$2:$BX$88,53,FALSE)</f>
        <v>0</v>
      </c>
      <c r="F65" s="155">
        <f>IFERROR(E65+'Pay App 50'!F65,"")</f>
        <v>0</v>
      </c>
      <c r="G65" s="155">
        <f>SUM('Pay App 1:Pay App 50'!H65)</f>
        <v>0</v>
      </c>
      <c r="H65" s="154"/>
      <c r="I65" s="155">
        <f t="shared" si="0"/>
        <v>0</v>
      </c>
      <c r="J65" s="156">
        <f t="shared" si="1"/>
        <v>0</v>
      </c>
      <c r="K65" s="155">
        <f t="shared" si="2"/>
        <v>0</v>
      </c>
      <c r="L65" s="155" t="str">
        <f>IF(AND('Summary Sheet'!$E$23="No",$H$33&gt;0,H65&gt;=1),"",IF(AND('Summary Sheet'!$E$23="Yes",H65&lt;&gt;""),H65*'Summary Sheet'!$G$23,""))</f>
        <v/>
      </c>
      <c r="M65" s="154"/>
      <c r="N65" s="155">
        <f>SUM('Pay App 1:Pay App 51'!L65)+SUM('Pay App 1:Pay App 51'!M65)</f>
        <v>0</v>
      </c>
    </row>
    <row r="66" spans="1:17" ht="11.25" customHeight="1" x14ac:dyDescent="0.25">
      <c r="A66" s="152">
        <v>10</v>
      </c>
      <c r="B66" s="174" t="str">
        <f>'Pay App 1'!B66</f>
        <v>01 34 00</v>
      </c>
      <c r="C66" s="179" t="str">
        <f>'Pay App 1'!C66</f>
        <v>Subcontractor Default Insurance</v>
      </c>
      <c r="D66" s="155">
        <f>'Pay App 1'!D66</f>
        <v>0</v>
      </c>
      <c r="E66" s="155">
        <f>VLOOKUP(B66,'Graph Data'!$O$2:$BX$88,53,FALSE)</f>
        <v>0</v>
      </c>
      <c r="F66" s="155">
        <f>IFERROR(E66+'Pay App 50'!F66,"")</f>
        <v>0</v>
      </c>
      <c r="G66" s="155">
        <f>SUM('Pay App 1:Pay App 50'!H66)</f>
        <v>0</v>
      </c>
      <c r="H66" s="154"/>
      <c r="I66" s="155">
        <f t="shared" si="0"/>
        <v>0</v>
      </c>
      <c r="J66" s="156">
        <f t="shared" si="1"/>
        <v>0</v>
      </c>
      <c r="K66" s="155">
        <f t="shared" si="2"/>
        <v>0</v>
      </c>
      <c r="L66" s="155" t="str">
        <f>IF(AND('Summary Sheet'!$E$23="No",$H$33&gt;0,H66&gt;=1),"",IF(AND('Summary Sheet'!$E$23="Yes",H66&lt;&gt;""),H66*'Summary Sheet'!$G$23,""))</f>
        <v/>
      </c>
      <c r="M66" s="154"/>
      <c r="N66" s="155">
        <f>SUM('Pay App 1:Pay App 51'!L66)+SUM('Pay App 1:Pay App 51'!M66)</f>
        <v>0</v>
      </c>
    </row>
    <row r="67" spans="1:17" ht="11.25" customHeight="1" x14ac:dyDescent="0.25">
      <c r="A67" s="152">
        <v>11</v>
      </c>
      <c r="B67" s="174" t="str">
        <f>'Pay App 1'!B67</f>
        <v>01 35 00</v>
      </c>
      <c r="C67" s="179" t="str">
        <f>'Pay App 1'!C67</f>
        <v>Construction Management Fee</v>
      </c>
      <c r="D67" s="155">
        <f>'Pay App 1'!D67</f>
        <v>0</v>
      </c>
      <c r="E67" s="155">
        <f>VLOOKUP(B67,'Graph Data'!$O$2:$BX$88,53,FALSE)</f>
        <v>0</v>
      </c>
      <c r="F67" s="155">
        <f>IFERROR(E67+'Pay App 50'!F67,"")</f>
        <v>0</v>
      </c>
      <c r="G67" s="155">
        <f>SUM('Pay App 1:Pay App 50'!H67)</f>
        <v>0</v>
      </c>
      <c r="H67" s="154"/>
      <c r="I67" s="155">
        <f t="shared" si="0"/>
        <v>0</v>
      </c>
      <c r="J67" s="156">
        <f t="shared" si="1"/>
        <v>0</v>
      </c>
      <c r="K67" s="155">
        <f t="shared" si="2"/>
        <v>0</v>
      </c>
      <c r="L67" s="155" t="str">
        <f>IF(AND('Summary Sheet'!$E$23="No",$H$33&gt;0,H67&gt;=1),"",IF(AND('Summary Sheet'!$E$23="Yes",H67&lt;&gt;""),H67*'Summary Sheet'!$G$23,""))</f>
        <v/>
      </c>
      <c r="M67" s="154"/>
      <c r="N67" s="155">
        <f>SUM('Pay App 1:Pay App 51'!L67)+SUM('Pay App 1:Pay App 51'!M67)</f>
        <v>0</v>
      </c>
    </row>
    <row r="68" spans="1:17" ht="11.25" customHeight="1" x14ac:dyDescent="0.25">
      <c r="A68" s="152">
        <v>12</v>
      </c>
      <c r="B68" s="174" t="str">
        <f>'Pay App 1'!B68</f>
        <v>01 36 00</v>
      </c>
      <c r="C68" s="179" t="str">
        <f>'Pay App 1'!C68</f>
        <v>Contingency</v>
      </c>
      <c r="D68" s="155">
        <f>'Pay App 1'!D68</f>
        <v>0</v>
      </c>
      <c r="E68" s="155">
        <f>VLOOKUP(B68,'Graph Data'!$O$2:$BX$88,53,FALSE)</f>
        <v>0</v>
      </c>
      <c r="F68" s="155">
        <f>IFERROR(E68+'Pay App 50'!F68,"")</f>
        <v>0</v>
      </c>
      <c r="G68" s="155">
        <f>SUM('Pay App 1:Pay App 50'!H68)</f>
        <v>0</v>
      </c>
      <c r="H68" s="154"/>
      <c r="I68" s="155">
        <f t="shared" si="0"/>
        <v>0</v>
      </c>
      <c r="J68" s="156">
        <f t="shared" si="1"/>
        <v>0</v>
      </c>
      <c r="K68" s="155">
        <f t="shared" si="2"/>
        <v>0</v>
      </c>
      <c r="L68" s="155" t="str">
        <f>IF(AND('Summary Sheet'!$E$23="No",$H$33&gt;0,H68&gt;=1),"",IF(AND('Summary Sheet'!$E$23="Yes",H68&lt;&gt;""),H68*'Summary Sheet'!$G$23,""))</f>
        <v/>
      </c>
      <c r="M68" s="154"/>
      <c r="N68" s="155">
        <f>SUM('Pay App 1:Pay App 51'!L68)+SUM('Pay App 1:Pay App 51'!M68)</f>
        <v>0</v>
      </c>
    </row>
    <row r="69" spans="1:17" ht="11.25" customHeight="1" x14ac:dyDescent="0.25">
      <c r="A69" s="152">
        <v>13</v>
      </c>
      <c r="B69" s="174" t="str">
        <f>'Pay App 1'!B69</f>
        <v>01 37 00</v>
      </c>
      <c r="C69" s="179" t="str">
        <f>'Pay App 1'!C69</f>
        <v>Weather Allowance (All Trades)</v>
      </c>
      <c r="D69" s="155">
        <f>'Pay App 1'!D69</f>
        <v>0</v>
      </c>
      <c r="E69" s="155">
        <f>VLOOKUP(B69,'Graph Data'!$O$2:$BX$88,53,FALSE)</f>
        <v>0</v>
      </c>
      <c r="F69" s="155">
        <f>IFERROR(E69+'Pay App 50'!F69,"")</f>
        <v>0</v>
      </c>
      <c r="G69" s="155">
        <f>SUM('Pay App 1:Pay App 50'!H69)</f>
        <v>0</v>
      </c>
      <c r="H69" s="154"/>
      <c r="I69" s="155">
        <f t="shared" si="0"/>
        <v>0</v>
      </c>
      <c r="J69" s="156">
        <f t="shared" si="1"/>
        <v>0</v>
      </c>
      <c r="K69" s="155">
        <f t="shared" si="2"/>
        <v>0</v>
      </c>
      <c r="L69" s="155" t="str">
        <f>IF(AND('Summary Sheet'!$E$23="No",$H$33&gt;0,H69&gt;=1),"",IF(AND('Summary Sheet'!$E$23="Yes",H69&lt;&gt;""),H69*'Summary Sheet'!$G$23,""))</f>
        <v/>
      </c>
      <c r="M69" s="154"/>
      <c r="N69" s="155">
        <f>SUM('Pay App 1:Pay App 51'!L69)+SUM('Pay App 1:Pay App 51'!M69)</f>
        <v>0</v>
      </c>
    </row>
    <row r="70" spans="1:17" ht="11.25" customHeight="1" x14ac:dyDescent="0.25">
      <c r="A70" s="152">
        <v>14</v>
      </c>
      <c r="B70" s="174" t="str">
        <f>'Pay App 1'!B70</f>
        <v>01 74 23</v>
      </c>
      <c r="C70" s="179" t="str">
        <f>'Pay App 1'!C70</f>
        <v>Cleaning (Final)</v>
      </c>
      <c r="D70" s="155">
        <f>'Pay App 1'!D70</f>
        <v>0</v>
      </c>
      <c r="E70" s="155">
        <f>VLOOKUP(B70,'Graph Data'!$O$2:$BX$88,53,FALSE)</f>
        <v>0</v>
      </c>
      <c r="F70" s="155">
        <f>IFERROR(E70+'Pay App 50'!F70,"")</f>
        <v>0</v>
      </c>
      <c r="G70" s="155">
        <f>SUM('Pay App 1:Pay App 50'!H70)</f>
        <v>0</v>
      </c>
      <c r="H70" s="154"/>
      <c r="I70" s="155">
        <f t="shared" si="0"/>
        <v>0</v>
      </c>
      <c r="J70" s="156">
        <f t="shared" si="1"/>
        <v>0</v>
      </c>
      <c r="K70" s="155">
        <f t="shared" si="2"/>
        <v>0</v>
      </c>
      <c r="L70" s="155" t="str">
        <f>IF(AND('Summary Sheet'!$E$23="No",$H$33&gt;0,H70&gt;=1),"",IF(AND('Summary Sheet'!$E$23="Yes",H70&lt;&gt;""),H70*'Summary Sheet'!$G$23,""))</f>
        <v/>
      </c>
      <c r="M70" s="154"/>
      <c r="N70" s="155">
        <f>SUM('Pay App 1:Pay App 51'!L70)+SUM('Pay App 1:Pay App 51'!M70)</f>
        <v>0</v>
      </c>
    </row>
    <row r="71" spans="1:17" ht="11.25" customHeight="1" x14ac:dyDescent="0.25">
      <c r="A71" s="152">
        <v>15</v>
      </c>
      <c r="B71" s="175" t="str">
        <f>'Pay App 1'!B71</f>
        <v>02 21 00</v>
      </c>
      <c r="C71" s="180" t="str">
        <f>'Pay App 1'!C71</f>
        <v>Survey/Engineering</v>
      </c>
      <c r="D71" s="155">
        <f>'Pay App 1'!D71</f>
        <v>0</v>
      </c>
      <c r="E71" s="155">
        <f>VLOOKUP(B71,'Graph Data'!$O$2:$BX$88,53,FALSE)</f>
        <v>0</v>
      </c>
      <c r="F71" s="155">
        <f>IFERROR(E71+'Pay App 50'!F71,"")</f>
        <v>0</v>
      </c>
      <c r="G71" s="155">
        <f>SUM('Pay App 1:Pay App 50'!H71)</f>
        <v>0</v>
      </c>
      <c r="H71" s="154"/>
      <c r="I71" s="155">
        <f t="shared" si="0"/>
        <v>0</v>
      </c>
      <c r="J71" s="156">
        <f t="shared" si="1"/>
        <v>0</v>
      </c>
      <c r="K71" s="155">
        <f t="shared" si="2"/>
        <v>0</v>
      </c>
      <c r="L71" s="155" t="str">
        <f>IF(AND('Summary Sheet'!$E$23="No",$H$33&gt;0,H71&gt;=1),"",IF(AND('Summary Sheet'!$E$23="Yes",H71&lt;&gt;""),H71*'Summary Sheet'!$G$23,""))</f>
        <v/>
      </c>
      <c r="M71" s="154"/>
      <c r="N71" s="155">
        <f>SUM('Pay App 1:Pay App 51'!L71)+SUM('Pay App 1:Pay App 51'!M71)</f>
        <v>0</v>
      </c>
      <c r="Q71" s="28"/>
    </row>
    <row r="72" spans="1:17" ht="11.25" customHeight="1" x14ac:dyDescent="0.25">
      <c r="A72" s="152">
        <v>16</v>
      </c>
      <c r="B72" s="175" t="str">
        <f>'Pay App 1'!B72</f>
        <v>02 41 00</v>
      </c>
      <c r="C72" s="180" t="str">
        <f>'Pay App 1'!C72</f>
        <v>Demolition</v>
      </c>
      <c r="D72" s="155">
        <f>'Pay App 1'!D72</f>
        <v>0</v>
      </c>
      <c r="E72" s="155">
        <f>VLOOKUP(B72,'Graph Data'!$O$2:$BX$88,53,FALSE)</f>
        <v>0</v>
      </c>
      <c r="F72" s="155">
        <f>IFERROR(E72+'Pay App 50'!F72,"")</f>
        <v>0</v>
      </c>
      <c r="G72" s="155">
        <f>SUM('Pay App 1:Pay App 50'!H72)</f>
        <v>0</v>
      </c>
      <c r="H72" s="154"/>
      <c r="I72" s="155">
        <f t="shared" si="0"/>
        <v>0</v>
      </c>
      <c r="J72" s="156">
        <f t="shared" si="1"/>
        <v>0</v>
      </c>
      <c r="K72" s="155">
        <f t="shared" si="2"/>
        <v>0</v>
      </c>
      <c r="L72" s="155" t="str">
        <f>IF(AND('Summary Sheet'!$E$23="No",$H$33&gt;0,H72&gt;=1),"",IF(AND('Summary Sheet'!$E$23="Yes",H72&lt;&gt;""),H72*'Summary Sheet'!$G$23,""))</f>
        <v/>
      </c>
      <c r="M72" s="154"/>
      <c r="N72" s="155">
        <f>SUM('Pay App 1:Pay App 51'!L72)+SUM('Pay App 1:Pay App 51'!M72)</f>
        <v>0</v>
      </c>
      <c r="Q72" s="28"/>
    </row>
    <row r="73" spans="1:17" ht="11.25" customHeight="1" x14ac:dyDescent="0.25">
      <c r="A73" s="152">
        <v>17</v>
      </c>
      <c r="B73" s="175" t="str">
        <f>'Pay App 1'!B73</f>
        <v>02 82 00</v>
      </c>
      <c r="C73" s="180" t="str">
        <f>'Pay App 1'!C73</f>
        <v>Asbestos Abatement</v>
      </c>
      <c r="D73" s="155">
        <f>'Pay App 1'!D73</f>
        <v>0</v>
      </c>
      <c r="E73" s="155">
        <f>VLOOKUP(B73,'Graph Data'!$O$2:$BX$88,53,FALSE)</f>
        <v>0</v>
      </c>
      <c r="F73" s="155">
        <f>IFERROR(E73+'Pay App 50'!F73,"")</f>
        <v>0</v>
      </c>
      <c r="G73" s="155">
        <f>SUM('Pay App 1:Pay App 50'!H73)</f>
        <v>0</v>
      </c>
      <c r="H73" s="154"/>
      <c r="I73" s="155">
        <f t="shared" si="0"/>
        <v>0</v>
      </c>
      <c r="J73" s="156">
        <f t="shared" si="1"/>
        <v>0</v>
      </c>
      <c r="K73" s="155">
        <f t="shared" si="2"/>
        <v>0</v>
      </c>
      <c r="L73" s="155" t="str">
        <f>IF(AND('Summary Sheet'!$E$23="No",$H$33&gt;0,H73&gt;=1),"",IF(AND('Summary Sheet'!$E$23="Yes",H73&lt;&gt;""),H73*'Summary Sheet'!$G$23,""))</f>
        <v/>
      </c>
      <c r="M73" s="154"/>
      <c r="N73" s="155">
        <f>SUM('Pay App 1:Pay App 51'!L73)+SUM('Pay App 1:Pay App 51'!M73)</f>
        <v>0</v>
      </c>
    </row>
    <row r="74" spans="1:17" ht="11.25" customHeight="1" x14ac:dyDescent="0.25">
      <c r="A74" s="152">
        <v>18</v>
      </c>
      <c r="B74" s="176" t="str">
        <f>'Pay App 1'!B74</f>
        <v>03 00 00</v>
      </c>
      <c r="C74" s="181" t="str">
        <f>'Pay App 1'!C74</f>
        <v>Building Concrete</v>
      </c>
      <c r="D74" s="155">
        <f>'Pay App 1'!D74</f>
        <v>0</v>
      </c>
      <c r="E74" s="155">
        <f>VLOOKUP(B74,'Graph Data'!$O$2:$BX$88,53,FALSE)</f>
        <v>0</v>
      </c>
      <c r="F74" s="155">
        <f>IFERROR(E74+'Pay App 50'!F74,"")</f>
        <v>0</v>
      </c>
      <c r="G74" s="155">
        <f>SUM('Pay App 1:Pay App 50'!H74)</f>
        <v>0</v>
      </c>
      <c r="H74" s="154"/>
      <c r="I74" s="155">
        <f t="shared" si="0"/>
        <v>0</v>
      </c>
      <c r="J74" s="156">
        <f t="shared" si="1"/>
        <v>0</v>
      </c>
      <c r="K74" s="155">
        <f t="shared" si="2"/>
        <v>0</v>
      </c>
      <c r="L74" s="155" t="str">
        <f>IF(AND('Summary Sheet'!$E$23="No",$H$33&gt;0,H74&gt;=1),"",IF(AND('Summary Sheet'!$E$23="Yes",H74&lt;&gt;""),H74*'Summary Sheet'!$G$23,""))</f>
        <v/>
      </c>
      <c r="M74" s="154"/>
      <c r="N74" s="155">
        <f>SUM('Pay App 1:Pay App 51'!L74)+SUM('Pay App 1:Pay App 51'!M74)</f>
        <v>0</v>
      </c>
    </row>
    <row r="75" spans="1:17" ht="11.25" customHeight="1" x14ac:dyDescent="0.25">
      <c r="A75" s="152">
        <v>19</v>
      </c>
      <c r="B75" s="176" t="str">
        <f>'Pay App 1'!B75</f>
        <v>03 20 00</v>
      </c>
      <c r="C75" s="181" t="str">
        <f>'Pay App 1'!C75</f>
        <v>Building Concrete Reinforcing</v>
      </c>
      <c r="D75" s="155">
        <f>'Pay App 1'!D75</f>
        <v>0</v>
      </c>
      <c r="E75" s="155">
        <f>VLOOKUP(B75,'Graph Data'!$O$2:$BX$88,53,FALSE)</f>
        <v>0</v>
      </c>
      <c r="F75" s="155">
        <f>IFERROR(E75+'Pay App 50'!F75,"")</f>
        <v>0</v>
      </c>
      <c r="G75" s="155">
        <f>SUM('Pay App 1:Pay App 50'!H75)</f>
        <v>0</v>
      </c>
      <c r="H75" s="154"/>
      <c r="I75" s="155">
        <f t="shared" si="0"/>
        <v>0</v>
      </c>
      <c r="J75" s="156">
        <f t="shared" si="1"/>
        <v>0</v>
      </c>
      <c r="K75" s="155">
        <f t="shared" si="2"/>
        <v>0</v>
      </c>
      <c r="L75" s="155" t="str">
        <f>IF(AND('Summary Sheet'!$E$23="No",$H$33&gt;0,H75&gt;=1),"",IF(AND('Summary Sheet'!$E$23="Yes",H75&lt;&gt;""),H75*'Summary Sheet'!$G$23,""))</f>
        <v/>
      </c>
      <c r="M75" s="154"/>
      <c r="N75" s="155">
        <f>SUM('Pay App 1:Pay App 51'!L75)+SUM('Pay App 1:Pay App 51'!M75)</f>
        <v>0</v>
      </c>
    </row>
    <row r="76" spans="1:17" ht="11.25" customHeight="1" x14ac:dyDescent="0.25">
      <c r="A76" s="152">
        <v>20</v>
      </c>
      <c r="B76" s="176" t="str">
        <f>'Pay App 1'!B76</f>
        <v>03 40 00</v>
      </c>
      <c r="C76" s="181" t="str">
        <f>'Pay App 1'!C76</f>
        <v>Precast</v>
      </c>
      <c r="D76" s="155">
        <f>'Pay App 1'!D76</f>
        <v>0</v>
      </c>
      <c r="E76" s="155">
        <f>VLOOKUP(B76,'Graph Data'!$O$2:$BX$88,53,FALSE)</f>
        <v>0</v>
      </c>
      <c r="F76" s="155">
        <f>IFERROR(E76+'Pay App 50'!F76,"")</f>
        <v>0</v>
      </c>
      <c r="G76" s="155">
        <f>SUM('Pay App 1:Pay App 50'!H76)</f>
        <v>0</v>
      </c>
      <c r="H76" s="154"/>
      <c r="I76" s="155">
        <f t="shared" si="0"/>
        <v>0</v>
      </c>
      <c r="J76" s="156">
        <f t="shared" si="1"/>
        <v>0</v>
      </c>
      <c r="K76" s="155">
        <f t="shared" si="2"/>
        <v>0</v>
      </c>
      <c r="L76" s="155" t="str">
        <f>IF(AND('Summary Sheet'!$E$23="No",$H$33&gt;0,H76&gt;=1),"",IF(AND('Summary Sheet'!$E$23="Yes",H76&lt;&gt;""),H76*'Summary Sheet'!$G$23,""))</f>
        <v/>
      </c>
      <c r="M76" s="154"/>
      <c r="N76" s="155">
        <f>SUM('Pay App 1:Pay App 51'!L76)+SUM('Pay App 1:Pay App 51'!M76)</f>
        <v>0</v>
      </c>
    </row>
    <row r="77" spans="1:17" ht="11.25" customHeight="1" x14ac:dyDescent="0.25">
      <c r="A77" s="152">
        <v>21</v>
      </c>
      <c r="B77" s="177" t="str">
        <f>'Pay App 1'!B77</f>
        <v>04 00 00</v>
      </c>
      <c r="C77" s="182" t="str">
        <f>'Pay App 1'!C77</f>
        <v>Masonry</v>
      </c>
      <c r="D77" s="155">
        <f>'Pay App 1'!D77</f>
        <v>0</v>
      </c>
      <c r="E77" s="155">
        <f>VLOOKUP(B77,'Graph Data'!$O$2:$BX$88,53,FALSE)</f>
        <v>0</v>
      </c>
      <c r="F77" s="155">
        <f>IFERROR(E77+'Pay App 50'!F77,"")</f>
        <v>0</v>
      </c>
      <c r="G77" s="155">
        <f>SUM('Pay App 1:Pay App 50'!H77)</f>
        <v>0</v>
      </c>
      <c r="H77" s="154"/>
      <c r="I77" s="155">
        <f t="shared" si="0"/>
        <v>0</v>
      </c>
      <c r="J77" s="156">
        <f t="shared" si="1"/>
        <v>0</v>
      </c>
      <c r="K77" s="155">
        <f t="shared" si="2"/>
        <v>0</v>
      </c>
      <c r="L77" s="155" t="str">
        <f>IF(AND('Summary Sheet'!$E$23="No",$H$33&gt;0,H77&gt;=1),"",IF(AND('Summary Sheet'!$E$23="Yes",H77&lt;&gt;""),H77*'Summary Sheet'!$G$23,""))</f>
        <v/>
      </c>
      <c r="M77" s="154"/>
      <c r="N77" s="155">
        <f>SUM('Pay App 1:Pay App 51'!L77)+SUM('Pay App 1:Pay App 51'!M77)</f>
        <v>0</v>
      </c>
    </row>
    <row r="78" spans="1:17" ht="11.25" customHeight="1" x14ac:dyDescent="0.25">
      <c r="A78" s="152">
        <v>22</v>
      </c>
      <c r="B78" s="177" t="str">
        <f>'Pay App 1'!B78</f>
        <v>04 05 19</v>
      </c>
      <c r="C78" s="182" t="str">
        <f>'Pay App 1'!C78</f>
        <v>Masonry Reinforcing</v>
      </c>
      <c r="D78" s="155">
        <f>'Pay App 1'!D78</f>
        <v>0</v>
      </c>
      <c r="E78" s="155">
        <f>VLOOKUP(B78,'Graph Data'!$O$2:$BX$88,53,FALSE)</f>
        <v>0</v>
      </c>
      <c r="F78" s="155">
        <f>IFERROR(E78+'Pay App 50'!F78,"")</f>
        <v>0</v>
      </c>
      <c r="G78" s="155">
        <f>SUM('Pay App 1:Pay App 50'!H78)</f>
        <v>0</v>
      </c>
      <c r="H78" s="154"/>
      <c r="I78" s="155">
        <f t="shared" si="0"/>
        <v>0</v>
      </c>
      <c r="J78" s="156">
        <f t="shared" si="1"/>
        <v>0</v>
      </c>
      <c r="K78" s="155">
        <f t="shared" si="2"/>
        <v>0</v>
      </c>
      <c r="L78" s="155" t="str">
        <f>IF(AND('Summary Sheet'!$E$23="No",$H$33&gt;0,H78&gt;=1),"",IF(AND('Summary Sheet'!$E$23="Yes",H78&lt;&gt;""),H78*'Summary Sheet'!$G$23,""))</f>
        <v/>
      </c>
      <c r="M78" s="154"/>
      <c r="N78" s="155">
        <f>SUM('Pay App 1:Pay App 51'!L78)+SUM('Pay App 1:Pay App 51'!M78)</f>
        <v>0</v>
      </c>
    </row>
    <row r="79" spans="1:17" ht="11.25" customHeight="1" x14ac:dyDescent="0.25">
      <c r="A79" s="152">
        <v>23</v>
      </c>
      <c r="B79" s="178" t="str">
        <f>'Pay App 1'!B79</f>
        <v>05 10 00</v>
      </c>
      <c r="C79" s="183" t="str">
        <f>'Pay App 1'!C79</f>
        <v>Structural Steel/Misc. Steel Fab</v>
      </c>
      <c r="D79" s="155">
        <f>'Pay App 1'!D79</f>
        <v>0</v>
      </c>
      <c r="E79" s="155">
        <f>VLOOKUP(B79,'Graph Data'!$O$2:$BX$88,53,FALSE)</f>
        <v>0</v>
      </c>
      <c r="F79" s="155">
        <f>IFERROR(E79+'Pay App 50'!F79,"")</f>
        <v>0</v>
      </c>
      <c r="G79" s="155">
        <f>SUM('Pay App 1:Pay App 50'!H79)</f>
        <v>0</v>
      </c>
      <c r="H79" s="154"/>
      <c r="I79" s="155">
        <f t="shared" si="0"/>
        <v>0</v>
      </c>
      <c r="J79" s="156">
        <f t="shared" si="1"/>
        <v>0</v>
      </c>
      <c r="K79" s="155">
        <f t="shared" si="2"/>
        <v>0</v>
      </c>
      <c r="L79" s="155" t="str">
        <f>IF(AND('Summary Sheet'!$E$23="No",$H$33&gt;0,H79&gt;=1),"",IF(AND('Summary Sheet'!$E$23="Yes",H79&lt;&gt;""),H79*'Summary Sheet'!$G$23,""))</f>
        <v/>
      </c>
      <c r="M79" s="154"/>
      <c r="N79" s="155">
        <f>SUM('Pay App 1:Pay App 51'!L79)+SUM('Pay App 1:Pay App 51'!M79)</f>
        <v>0</v>
      </c>
    </row>
    <row r="80" spans="1:17" ht="11.25" customHeight="1" x14ac:dyDescent="0.25">
      <c r="A80" s="152">
        <v>24</v>
      </c>
      <c r="B80" s="178" t="str">
        <f>'Pay App 1'!B80</f>
        <v>05 20 00</v>
      </c>
      <c r="C80" s="183" t="str">
        <f>'Pay App 1'!C80</f>
        <v>Joists &amp; Deck</v>
      </c>
      <c r="D80" s="155">
        <f>'Pay App 1'!D80</f>
        <v>0</v>
      </c>
      <c r="E80" s="155">
        <f>VLOOKUP(B80,'Graph Data'!$O$2:$BX$88,53,FALSE)</f>
        <v>0</v>
      </c>
      <c r="F80" s="155">
        <f>IFERROR(E80+'Pay App 50'!F80,"")</f>
        <v>0</v>
      </c>
      <c r="G80" s="155">
        <f>SUM('Pay App 1:Pay App 50'!H80)</f>
        <v>0</v>
      </c>
      <c r="H80" s="154"/>
      <c r="I80" s="155">
        <f t="shared" si="0"/>
        <v>0</v>
      </c>
      <c r="J80" s="156">
        <f t="shared" si="1"/>
        <v>0</v>
      </c>
      <c r="K80" s="155">
        <f t="shared" si="2"/>
        <v>0</v>
      </c>
      <c r="L80" s="155" t="str">
        <f>IF(AND('Summary Sheet'!$E$23="No",$H$33&gt;0,H80&gt;=1),"",IF(AND('Summary Sheet'!$E$23="Yes",H80&lt;&gt;""),H80*'Summary Sheet'!$G$23,""))</f>
        <v/>
      </c>
      <c r="M80" s="154"/>
      <c r="N80" s="155">
        <f>SUM('Pay App 1:Pay App 51'!L80)+SUM('Pay App 1:Pay App 51'!M80)</f>
        <v>0</v>
      </c>
    </row>
    <row r="81" spans="1:14" ht="11.25" customHeight="1" x14ac:dyDescent="0.25">
      <c r="A81" s="152">
        <v>25</v>
      </c>
      <c r="B81" s="178" t="str">
        <f>'Pay App 1'!B81</f>
        <v>05 70 00</v>
      </c>
      <c r="C81" s="183" t="str">
        <f>'Pay App 1'!C81</f>
        <v>Ornamental Metal</v>
      </c>
      <c r="D81" s="155">
        <f>'Pay App 1'!D81</f>
        <v>0</v>
      </c>
      <c r="E81" s="155">
        <f>VLOOKUP(B81,'Graph Data'!$O$2:$BX$88,53,FALSE)</f>
        <v>0</v>
      </c>
      <c r="F81" s="155">
        <f>IFERROR(E81+'Pay App 50'!F81,"")</f>
        <v>0</v>
      </c>
      <c r="G81" s="155">
        <f>SUM('Pay App 1:Pay App 50'!H81)</f>
        <v>0</v>
      </c>
      <c r="H81" s="154"/>
      <c r="I81" s="155">
        <f t="shared" si="0"/>
        <v>0</v>
      </c>
      <c r="J81" s="156">
        <f t="shared" si="1"/>
        <v>0</v>
      </c>
      <c r="K81" s="155">
        <f t="shared" si="2"/>
        <v>0</v>
      </c>
      <c r="L81" s="155" t="str">
        <f>IF(AND('Summary Sheet'!$E$23="No",$H$33&gt;0,H81&gt;=1),"",IF(AND('Summary Sheet'!$E$23="Yes",H81&lt;&gt;""),H81*'Summary Sheet'!$G$23,""))</f>
        <v/>
      </c>
      <c r="M81" s="154"/>
      <c r="N81" s="155">
        <f>SUM('Pay App 1:Pay App 51'!L81)+SUM('Pay App 1:Pay App 51'!M81)</f>
        <v>0</v>
      </c>
    </row>
    <row r="82" spans="1:14" ht="11.25" customHeight="1" x14ac:dyDescent="0.25">
      <c r="A82" s="152">
        <v>26</v>
      </c>
      <c r="B82" s="145" t="str">
        <f>'Pay App 1'!B82</f>
        <v>06 10 00</v>
      </c>
      <c r="C82" s="134" t="str">
        <f>'Pay App 1'!C82</f>
        <v>Rough Carpentry</v>
      </c>
      <c r="D82" s="155">
        <f>'Pay App 1'!D82</f>
        <v>0</v>
      </c>
      <c r="E82" s="155">
        <f>VLOOKUP(B82,'Graph Data'!$O$2:$BX$88,53,FALSE)</f>
        <v>0</v>
      </c>
      <c r="F82" s="155">
        <f>IFERROR(E82+'Pay App 50'!F82,"")</f>
        <v>0</v>
      </c>
      <c r="G82" s="155">
        <f>SUM('Pay App 1:Pay App 50'!H82)</f>
        <v>0</v>
      </c>
      <c r="H82" s="154"/>
      <c r="I82" s="155">
        <f t="shared" si="0"/>
        <v>0</v>
      </c>
      <c r="J82" s="156">
        <f t="shared" si="1"/>
        <v>0</v>
      </c>
      <c r="K82" s="155">
        <f t="shared" si="2"/>
        <v>0</v>
      </c>
      <c r="L82" s="155" t="str">
        <f>IF(AND('Summary Sheet'!$E$23="No",$H$33&gt;0,H82&gt;=1),"",IF(AND('Summary Sheet'!$E$23="Yes",H82&lt;&gt;""),H82*'Summary Sheet'!$G$23,""))</f>
        <v/>
      </c>
      <c r="M82" s="154"/>
      <c r="N82" s="155">
        <f>SUM('Pay App 1:Pay App 51'!L82)+SUM('Pay App 1:Pay App 51'!M82)</f>
        <v>0</v>
      </c>
    </row>
    <row r="83" spans="1:14" ht="11.25" customHeight="1" x14ac:dyDescent="0.25">
      <c r="A83" s="152">
        <v>27</v>
      </c>
      <c r="B83" s="145" t="str">
        <f>'Pay App 1'!B83</f>
        <v>06 40 00</v>
      </c>
      <c r="C83" s="134" t="str">
        <f>'Pay App 1'!C83</f>
        <v>Arch. Woodwork &amp; Finish Carp.</v>
      </c>
      <c r="D83" s="155">
        <f>'Pay App 1'!D83</f>
        <v>0</v>
      </c>
      <c r="E83" s="155">
        <f>VLOOKUP(B83,'Graph Data'!$O$2:$BX$88,53,FALSE)</f>
        <v>0</v>
      </c>
      <c r="F83" s="155">
        <f>IFERROR(E83+'Pay App 50'!F83,"")</f>
        <v>0</v>
      </c>
      <c r="G83" s="155">
        <f>SUM('Pay App 1:Pay App 50'!H83)</f>
        <v>0</v>
      </c>
      <c r="H83" s="154"/>
      <c r="I83" s="155">
        <f t="shared" si="0"/>
        <v>0</v>
      </c>
      <c r="J83" s="156">
        <f t="shared" si="1"/>
        <v>0</v>
      </c>
      <c r="K83" s="155">
        <f t="shared" si="2"/>
        <v>0</v>
      </c>
      <c r="L83" s="155" t="str">
        <f>IF(AND('Summary Sheet'!$E$23="No",$H$33&gt;0,H83&gt;=1),"",IF(AND('Summary Sheet'!$E$23="Yes",H83&lt;&gt;""),H83*'Summary Sheet'!$G$23,""))</f>
        <v/>
      </c>
      <c r="M83" s="154"/>
      <c r="N83" s="155">
        <f>SUM('Pay App 1:Pay App 51'!L83)+SUM('Pay App 1:Pay App 51'!M83)</f>
        <v>0</v>
      </c>
    </row>
    <row r="84" spans="1:14" ht="11.25" customHeight="1" x14ac:dyDescent="0.25">
      <c r="A84" s="152">
        <v>28</v>
      </c>
      <c r="B84" s="174" t="str">
        <f>'Pay App 1'!B84</f>
        <v>07 10 00</v>
      </c>
      <c r="C84" s="179" t="str">
        <f>'Pay App 1'!C84</f>
        <v>Waterproofing/Water Repellents</v>
      </c>
      <c r="D84" s="155">
        <f>'Pay App 1'!D84</f>
        <v>0</v>
      </c>
      <c r="E84" s="155">
        <f>VLOOKUP(B84,'Graph Data'!$O$2:$BX$88,53,FALSE)</f>
        <v>0</v>
      </c>
      <c r="F84" s="155">
        <f>IFERROR(E84+'Pay App 50'!F84,"")</f>
        <v>0</v>
      </c>
      <c r="G84" s="155">
        <f>SUM('Pay App 1:Pay App 50'!H84)</f>
        <v>0</v>
      </c>
      <c r="H84" s="154"/>
      <c r="I84" s="155">
        <f t="shared" si="0"/>
        <v>0</v>
      </c>
      <c r="J84" s="156">
        <f t="shared" si="1"/>
        <v>0</v>
      </c>
      <c r="K84" s="155">
        <f t="shared" si="2"/>
        <v>0</v>
      </c>
      <c r="L84" s="155" t="str">
        <f>IF(AND('Summary Sheet'!$E$23="No",$H$33&gt;0,H84&gt;=1),"",IF(AND('Summary Sheet'!$E$23="Yes",H84&lt;&gt;""),H84*'Summary Sheet'!$G$23,""))</f>
        <v/>
      </c>
      <c r="M84" s="154"/>
      <c r="N84" s="155">
        <f>SUM('Pay App 1:Pay App 51'!L84)+SUM('Pay App 1:Pay App 51'!M84)</f>
        <v>0</v>
      </c>
    </row>
    <row r="85" spans="1:14" ht="11.25" customHeight="1" x14ac:dyDescent="0.25">
      <c r="A85" s="152">
        <v>29</v>
      </c>
      <c r="B85" s="174" t="str">
        <f>'Pay App 1'!B85</f>
        <v>07 20 00</v>
      </c>
      <c r="C85" s="179" t="str">
        <f>'Pay App 1'!C85</f>
        <v>Insulation</v>
      </c>
      <c r="D85" s="155">
        <f>'Pay App 1'!D85</f>
        <v>0</v>
      </c>
      <c r="E85" s="155">
        <f>VLOOKUP(B85,'Graph Data'!$O$2:$BX$88,53,FALSE)</f>
        <v>0</v>
      </c>
      <c r="F85" s="155">
        <f>IFERROR(E85+'Pay App 50'!F85,"")</f>
        <v>0</v>
      </c>
      <c r="G85" s="155">
        <f>SUM('Pay App 1:Pay App 50'!H85)</f>
        <v>0</v>
      </c>
      <c r="H85" s="154"/>
      <c r="I85" s="155">
        <f t="shared" si="0"/>
        <v>0</v>
      </c>
      <c r="J85" s="156">
        <f t="shared" si="1"/>
        <v>0</v>
      </c>
      <c r="K85" s="155">
        <f t="shared" si="2"/>
        <v>0</v>
      </c>
      <c r="L85" s="155" t="str">
        <f>IF(AND('Summary Sheet'!$E$23="No",$H$33&gt;0,H85&gt;=1),"",IF(AND('Summary Sheet'!$E$23="Yes",H85&lt;&gt;""),H85*'Summary Sheet'!$G$23,""))</f>
        <v/>
      </c>
      <c r="M85" s="154"/>
      <c r="N85" s="155">
        <f>SUM('Pay App 1:Pay App 51'!L85)+SUM('Pay App 1:Pay App 51'!M85)</f>
        <v>0</v>
      </c>
    </row>
    <row r="86" spans="1:14" ht="11.25" customHeight="1" x14ac:dyDescent="0.25">
      <c r="A86" s="152">
        <v>30</v>
      </c>
      <c r="B86" s="174" t="str">
        <f>'Pay App 1'!B86</f>
        <v>07 24 00</v>
      </c>
      <c r="C86" s="179" t="str">
        <f>'Pay App 1'!C86</f>
        <v>EIFS</v>
      </c>
      <c r="D86" s="155">
        <f>'Pay App 1'!D86</f>
        <v>0</v>
      </c>
      <c r="E86" s="155">
        <f>VLOOKUP(B86,'Graph Data'!$O$2:$BX$88,53,FALSE)</f>
        <v>0</v>
      </c>
      <c r="F86" s="155">
        <f>IFERROR(E86+'Pay App 50'!F86,"")</f>
        <v>0</v>
      </c>
      <c r="G86" s="155">
        <f>SUM('Pay App 1:Pay App 50'!H86)</f>
        <v>0</v>
      </c>
      <c r="H86" s="154"/>
      <c r="I86" s="155">
        <f t="shared" si="0"/>
        <v>0</v>
      </c>
      <c r="J86" s="156">
        <f t="shared" si="1"/>
        <v>0</v>
      </c>
      <c r="K86" s="155">
        <f t="shared" si="2"/>
        <v>0</v>
      </c>
      <c r="L86" s="155" t="str">
        <f>IF(AND('Summary Sheet'!$E$23="No",$H$33&gt;0,H86&gt;=1),"",IF(AND('Summary Sheet'!$E$23="Yes",H86&lt;&gt;""),H86*'Summary Sheet'!$G$23,""))</f>
        <v/>
      </c>
      <c r="M86" s="154"/>
      <c r="N86" s="155">
        <f>SUM('Pay App 1:Pay App 51'!L86)+SUM('Pay App 1:Pay App 51'!M86)</f>
        <v>0</v>
      </c>
    </row>
    <row r="87" spans="1:14" ht="11.25" customHeight="1" x14ac:dyDescent="0.25">
      <c r="A87" s="152">
        <v>31</v>
      </c>
      <c r="B87" s="174" t="str">
        <f>'Pay App 1'!B87</f>
        <v>07 26 00</v>
      </c>
      <c r="C87" s="179" t="str">
        <f>'Pay App 1'!C87</f>
        <v>Vapor Retarders</v>
      </c>
      <c r="D87" s="155">
        <f>'Pay App 1'!D87</f>
        <v>0</v>
      </c>
      <c r="E87" s="155">
        <f>VLOOKUP(B87,'Graph Data'!$O$2:$BX$88,53,FALSE)</f>
        <v>0</v>
      </c>
      <c r="F87" s="155">
        <f>IFERROR(E87+'Pay App 50'!F87,"")</f>
        <v>0</v>
      </c>
      <c r="G87" s="155">
        <f>SUM('Pay App 1:Pay App 50'!H87)</f>
        <v>0</v>
      </c>
      <c r="H87" s="154"/>
      <c r="I87" s="155">
        <f t="shared" si="0"/>
        <v>0</v>
      </c>
      <c r="J87" s="156">
        <f t="shared" si="1"/>
        <v>0</v>
      </c>
      <c r="K87" s="155">
        <f t="shared" si="2"/>
        <v>0</v>
      </c>
      <c r="L87" s="155" t="str">
        <f>IF(AND('Summary Sheet'!$E$23="No",$H$33&gt;0,H87&gt;=1),"",IF(AND('Summary Sheet'!$E$23="Yes",H87&lt;&gt;""),H87*'Summary Sheet'!$G$23,""))</f>
        <v/>
      </c>
      <c r="M87" s="154"/>
      <c r="N87" s="155">
        <f>SUM('Pay App 1:Pay App 51'!L87)+SUM('Pay App 1:Pay App 51'!M87)</f>
        <v>0</v>
      </c>
    </row>
    <row r="88" spans="1:14" ht="11.25" customHeight="1" x14ac:dyDescent="0.25">
      <c r="A88" s="152">
        <v>32</v>
      </c>
      <c r="B88" s="174" t="str">
        <f>'Pay App 1'!B88</f>
        <v>07 41 00</v>
      </c>
      <c r="C88" s="179" t="str">
        <f>'Pay App 1'!C88</f>
        <v>Roofing</v>
      </c>
      <c r="D88" s="155">
        <f>'Pay App 1'!D88</f>
        <v>0</v>
      </c>
      <c r="E88" s="155">
        <f>VLOOKUP(B88,'Graph Data'!$O$2:$BX$88,53,FALSE)</f>
        <v>0</v>
      </c>
      <c r="F88" s="155">
        <f>IFERROR(E88+'Pay App 50'!F88,"")</f>
        <v>0</v>
      </c>
      <c r="G88" s="155">
        <f>SUM('Pay App 1:Pay App 50'!H88)</f>
        <v>0</v>
      </c>
      <c r="H88" s="154"/>
      <c r="I88" s="155">
        <f t="shared" si="0"/>
        <v>0</v>
      </c>
      <c r="J88" s="156">
        <f t="shared" si="1"/>
        <v>0</v>
      </c>
      <c r="K88" s="155">
        <f t="shared" si="2"/>
        <v>0</v>
      </c>
      <c r="L88" s="155" t="str">
        <f>IF(AND('Summary Sheet'!$E$23="No",$H$33&gt;0,H88&gt;=1),"",IF(AND('Summary Sheet'!$E$23="Yes",H88&lt;&gt;""),H88*'Summary Sheet'!$G$23,""))</f>
        <v/>
      </c>
      <c r="M88" s="154"/>
      <c r="N88" s="155">
        <f>SUM('Pay App 1:Pay App 51'!L88)+SUM('Pay App 1:Pay App 51'!M88)</f>
        <v>0</v>
      </c>
    </row>
    <row r="89" spans="1:14" ht="11.25" customHeight="1" x14ac:dyDescent="0.25">
      <c r="A89" s="152">
        <v>33</v>
      </c>
      <c r="B89" s="174" t="str">
        <f>'Pay App 1'!B89</f>
        <v>07 42 00</v>
      </c>
      <c r="C89" s="179" t="str">
        <f>'Pay App 1'!C89</f>
        <v>Metal Panels</v>
      </c>
      <c r="D89" s="155">
        <f>'Pay App 1'!D89</f>
        <v>0</v>
      </c>
      <c r="E89" s="155">
        <f>VLOOKUP(B89,'Graph Data'!$O$2:$BX$88,53,FALSE)</f>
        <v>0</v>
      </c>
      <c r="F89" s="155">
        <f>IFERROR(E89+'Pay App 50'!F89,"")</f>
        <v>0</v>
      </c>
      <c r="G89" s="155">
        <f>SUM('Pay App 1:Pay App 50'!H89)</f>
        <v>0</v>
      </c>
      <c r="H89" s="154"/>
      <c r="I89" s="155">
        <f t="shared" si="0"/>
        <v>0</v>
      </c>
      <c r="J89" s="156">
        <f t="shared" si="1"/>
        <v>0</v>
      </c>
      <c r="K89" s="155">
        <f t="shared" si="2"/>
        <v>0</v>
      </c>
      <c r="L89" s="155" t="str">
        <f>IF(AND('Summary Sheet'!$E$23="No",$H$33&gt;0,H89&gt;=1),"",IF(AND('Summary Sheet'!$E$23="Yes",H89&lt;&gt;""),H89*'Summary Sheet'!$G$23,""))</f>
        <v/>
      </c>
      <c r="M89" s="154"/>
      <c r="N89" s="155">
        <f>SUM('Pay App 1:Pay App 51'!L89)+SUM('Pay App 1:Pay App 51'!M89)</f>
        <v>0</v>
      </c>
    </row>
    <row r="90" spans="1:14" ht="11.25" customHeight="1" x14ac:dyDescent="0.25">
      <c r="A90" s="152">
        <v>34</v>
      </c>
      <c r="B90" s="174" t="str">
        <f>'Pay App 1'!B90</f>
        <v>07 60 00</v>
      </c>
      <c r="C90" s="179" t="str">
        <f>'Pay App 1'!C90</f>
        <v>Sheet Metal Flashing &amp; Trim</v>
      </c>
      <c r="D90" s="155">
        <f>'Pay App 1'!D90</f>
        <v>0</v>
      </c>
      <c r="E90" s="155">
        <f>VLOOKUP(B90,'Graph Data'!$O$2:$BX$88,53,FALSE)</f>
        <v>0</v>
      </c>
      <c r="F90" s="155">
        <f>IFERROR(E90+'Pay App 50'!F90,"")</f>
        <v>0</v>
      </c>
      <c r="G90" s="155">
        <f>SUM('Pay App 1:Pay App 50'!H90)</f>
        <v>0</v>
      </c>
      <c r="H90" s="154"/>
      <c r="I90" s="155">
        <f t="shared" si="0"/>
        <v>0</v>
      </c>
      <c r="J90" s="156">
        <f t="shared" si="1"/>
        <v>0</v>
      </c>
      <c r="K90" s="155">
        <f t="shared" si="2"/>
        <v>0</v>
      </c>
      <c r="L90" s="155" t="str">
        <f>IF(AND('Summary Sheet'!$E$23="No",$H$33&gt;0,H90&gt;=1),"",IF(AND('Summary Sheet'!$E$23="Yes",H90&lt;&gt;""),H90*'Summary Sheet'!$G$23,""))</f>
        <v/>
      </c>
      <c r="M90" s="154"/>
      <c r="N90" s="155">
        <f>SUM('Pay App 1:Pay App 51'!L90)+SUM('Pay App 1:Pay App 51'!M90)</f>
        <v>0</v>
      </c>
    </row>
    <row r="91" spans="1:14" ht="11.25" customHeight="1" x14ac:dyDescent="0.25">
      <c r="A91" s="152">
        <v>35</v>
      </c>
      <c r="B91" s="174" t="str">
        <f>'Pay App 1'!B91</f>
        <v>07 80 00</v>
      </c>
      <c r="C91" s="179" t="str">
        <f>'Pay App 1'!C91</f>
        <v>Fireproofing</v>
      </c>
      <c r="D91" s="155">
        <f>'Pay App 1'!D91</f>
        <v>0</v>
      </c>
      <c r="E91" s="155">
        <f>VLOOKUP(B91,'Graph Data'!$O$2:$BX$88,53,FALSE)</f>
        <v>0</v>
      </c>
      <c r="F91" s="155">
        <f>IFERROR(E91+'Pay App 50'!F91,"")</f>
        <v>0</v>
      </c>
      <c r="G91" s="155">
        <f>SUM('Pay App 1:Pay App 50'!H91)</f>
        <v>0</v>
      </c>
      <c r="H91" s="154"/>
      <c r="I91" s="155">
        <f t="shared" si="0"/>
        <v>0</v>
      </c>
      <c r="J91" s="156">
        <f t="shared" si="1"/>
        <v>0</v>
      </c>
      <c r="K91" s="155">
        <f t="shared" si="2"/>
        <v>0</v>
      </c>
      <c r="L91" s="155" t="str">
        <f>IF(AND('Summary Sheet'!$E$23="No",$H$33&gt;0,H91&gt;=1),"",IF(AND('Summary Sheet'!$E$23="Yes",H91&lt;&gt;""),H91*'Summary Sheet'!$G$23,""))</f>
        <v/>
      </c>
      <c r="M91" s="154"/>
      <c r="N91" s="155">
        <f>SUM('Pay App 1:Pay App 51'!L91)+SUM('Pay App 1:Pay App 51'!M91)</f>
        <v>0</v>
      </c>
    </row>
    <row r="92" spans="1:14" ht="11.25" customHeight="1" x14ac:dyDescent="0.25">
      <c r="A92" s="152">
        <v>36</v>
      </c>
      <c r="B92" s="174" t="str">
        <f>'Pay App 1'!B92</f>
        <v>07 90 00</v>
      </c>
      <c r="C92" s="179" t="str">
        <f>'Pay App 1'!C92</f>
        <v>Joint Sealants</v>
      </c>
      <c r="D92" s="155">
        <f>'Pay App 1'!D92</f>
        <v>0</v>
      </c>
      <c r="E92" s="155">
        <f>VLOOKUP(B92,'Graph Data'!$O$2:$BX$88,53,FALSE)</f>
        <v>0</v>
      </c>
      <c r="F92" s="155">
        <f>IFERROR(E92+'Pay App 50'!F92,"")</f>
        <v>0</v>
      </c>
      <c r="G92" s="155">
        <f>SUM('Pay App 1:Pay App 50'!H92)</f>
        <v>0</v>
      </c>
      <c r="H92" s="154"/>
      <c r="I92" s="155">
        <f t="shared" si="0"/>
        <v>0</v>
      </c>
      <c r="J92" s="156">
        <f t="shared" si="1"/>
        <v>0</v>
      </c>
      <c r="K92" s="155">
        <f t="shared" si="2"/>
        <v>0</v>
      </c>
      <c r="L92" s="155" t="str">
        <f>IF(AND('Summary Sheet'!$E$23="No",$H$33&gt;0,H92&gt;=1),"",IF(AND('Summary Sheet'!$E$23="Yes",H92&lt;&gt;""),H92*'Summary Sheet'!$G$23,""))</f>
        <v/>
      </c>
      <c r="M92" s="154"/>
      <c r="N92" s="155">
        <f>SUM('Pay App 1:Pay App 51'!L92)+SUM('Pay App 1:Pay App 51'!M92)</f>
        <v>0</v>
      </c>
    </row>
    <row r="93" spans="1:14" ht="11.25" customHeight="1" x14ac:dyDescent="0.25">
      <c r="A93" s="152">
        <v>37</v>
      </c>
      <c r="B93" s="174" t="str">
        <f>'Pay App 1'!B93</f>
        <v>07 95 00</v>
      </c>
      <c r="C93" s="179" t="str">
        <f>'Pay App 1'!C93</f>
        <v>Expansion Joints</v>
      </c>
      <c r="D93" s="155">
        <f>'Pay App 1'!D93</f>
        <v>0</v>
      </c>
      <c r="E93" s="155">
        <f>VLOOKUP(B93,'Graph Data'!$O$2:$BX$88,53,FALSE)</f>
        <v>0</v>
      </c>
      <c r="F93" s="155">
        <f>IFERROR(E93+'Pay App 50'!F93,"")</f>
        <v>0</v>
      </c>
      <c r="G93" s="155">
        <f>SUM('Pay App 1:Pay App 50'!H93)</f>
        <v>0</v>
      </c>
      <c r="H93" s="154"/>
      <c r="I93" s="155">
        <f t="shared" si="0"/>
        <v>0</v>
      </c>
      <c r="J93" s="156">
        <f t="shared" si="1"/>
        <v>0</v>
      </c>
      <c r="K93" s="155">
        <f t="shared" si="2"/>
        <v>0</v>
      </c>
      <c r="L93" s="155" t="str">
        <f>IF(AND('Summary Sheet'!$E$23="No",$H$33&gt;0,H93&gt;=1),"",IF(AND('Summary Sheet'!$E$23="Yes",H93&lt;&gt;""),H93*'Summary Sheet'!$G$23,""))</f>
        <v/>
      </c>
      <c r="M93" s="154"/>
      <c r="N93" s="155">
        <f>SUM('Pay App 1:Pay App 51'!L93)+SUM('Pay App 1:Pay App 51'!M93)</f>
        <v>0</v>
      </c>
    </row>
    <row r="94" spans="1:14" ht="11.25" customHeight="1" x14ac:dyDescent="0.25">
      <c r="A94" s="152">
        <v>38</v>
      </c>
      <c r="B94" s="175" t="str">
        <f>'Pay App 1'!B94</f>
        <v>08 10 00</v>
      </c>
      <c r="C94" s="180" t="str">
        <f>'Pay App 1'!C94</f>
        <v>Doors, Frames &amp; Hardware</v>
      </c>
      <c r="D94" s="155">
        <f>'Pay App 1'!D94</f>
        <v>0</v>
      </c>
      <c r="E94" s="155">
        <f>VLOOKUP(B94,'Graph Data'!$O$2:$BX$88,53,FALSE)</f>
        <v>0</v>
      </c>
      <c r="F94" s="155">
        <f>IFERROR(E94+'Pay App 50'!F94,"")</f>
        <v>0</v>
      </c>
      <c r="G94" s="155">
        <f>SUM('Pay App 1:Pay App 50'!H94)</f>
        <v>0</v>
      </c>
      <c r="H94" s="154"/>
      <c r="I94" s="155">
        <f t="shared" si="0"/>
        <v>0</v>
      </c>
      <c r="J94" s="156">
        <f t="shared" si="1"/>
        <v>0</v>
      </c>
      <c r="K94" s="155">
        <f t="shared" si="2"/>
        <v>0</v>
      </c>
      <c r="L94" s="155" t="str">
        <f>IF(AND('Summary Sheet'!$E$23="No",$H$33&gt;0,H94&gt;=1),"",IF(AND('Summary Sheet'!$E$23="Yes",H94&lt;&gt;""),H94*'Summary Sheet'!$G$23,""))</f>
        <v/>
      </c>
      <c r="M94" s="154"/>
      <c r="N94" s="155">
        <f>SUM('Pay App 1:Pay App 51'!L94)+SUM('Pay App 1:Pay App 51'!M94)</f>
        <v>0</v>
      </c>
    </row>
    <row r="95" spans="1:14" ht="11.25" customHeight="1" x14ac:dyDescent="0.25">
      <c r="A95" s="152">
        <v>39</v>
      </c>
      <c r="B95" s="175" t="str">
        <f>'Pay App 1'!B95</f>
        <v>08 30 00</v>
      </c>
      <c r="C95" s="180" t="str">
        <f>'Pay App 1'!C95</f>
        <v>Specialty Doors</v>
      </c>
      <c r="D95" s="155">
        <f>'Pay App 1'!D95</f>
        <v>0</v>
      </c>
      <c r="E95" s="155">
        <f>VLOOKUP(B95,'Graph Data'!$O$2:$BX$88,53,FALSE)</f>
        <v>0</v>
      </c>
      <c r="F95" s="155">
        <f>IFERROR(E95+'Pay App 50'!F95,"")</f>
        <v>0</v>
      </c>
      <c r="G95" s="155">
        <f>SUM('Pay App 1:Pay App 50'!H95)</f>
        <v>0</v>
      </c>
      <c r="H95" s="154"/>
      <c r="I95" s="155">
        <f t="shared" si="0"/>
        <v>0</v>
      </c>
      <c r="J95" s="156">
        <f t="shared" si="1"/>
        <v>0</v>
      </c>
      <c r="K95" s="155">
        <f t="shared" si="2"/>
        <v>0</v>
      </c>
      <c r="L95" s="155" t="str">
        <f>IF(AND('Summary Sheet'!$E$23="No",$H$33&gt;0,H95&gt;=1),"",IF(AND('Summary Sheet'!$E$23="Yes",H95&lt;&gt;""),H95*'Summary Sheet'!$G$23,""))</f>
        <v/>
      </c>
      <c r="M95" s="154"/>
      <c r="N95" s="155">
        <f>SUM('Pay App 1:Pay App 51'!L95)+SUM('Pay App 1:Pay App 51'!M95)</f>
        <v>0</v>
      </c>
    </row>
    <row r="96" spans="1:14" ht="11.25" customHeight="1" x14ac:dyDescent="0.25">
      <c r="A96" s="152">
        <v>40</v>
      </c>
      <c r="B96" s="175" t="str">
        <f>'Pay App 1'!B96</f>
        <v>08 33 00</v>
      </c>
      <c r="C96" s="180" t="str">
        <f>'Pay App 1'!C96</f>
        <v>Overhead Doors/Coiling Doors</v>
      </c>
      <c r="D96" s="155">
        <f>'Pay App 1'!D96</f>
        <v>0</v>
      </c>
      <c r="E96" s="155">
        <f>VLOOKUP(B96,'Graph Data'!$O$2:$BX$88,53,FALSE)</f>
        <v>0</v>
      </c>
      <c r="F96" s="155">
        <f>IFERROR(E96+'Pay App 50'!F96,"")</f>
        <v>0</v>
      </c>
      <c r="G96" s="155">
        <f>SUM('Pay App 1:Pay App 50'!H96)</f>
        <v>0</v>
      </c>
      <c r="H96" s="154"/>
      <c r="I96" s="155">
        <f t="shared" si="0"/>
        <v>0</v>
      </c>
      <c r="J96" s="156">
        <f t="shared" si="1"/>
        <v>0</v>
      </c>
      <c r="K96" s="155">
        <f t="shared" si="2"/>
        <v>0</v>
      </c>
      <c r="L96" s="155" t="str">
        <f>IF(AND('Summary Sheet'!$E$23="No",$H$33&gt;0,H96&gt;=1),"",IF(AND('Summary Sheet'!$E$23="Yes",H96&lt;&gt;""),H96*'Summary Sheet'!$G$23,""))</f>
        <v/>
      </c>
      <c r="M96" s="154"/>
      <c r="N96" s="155">
        <f>SUM('Pay App 1:Pay App 51'!L96)+SUM('Pay App 1:Pay App 51'!M96)</f>
        <v>0</v>
      </c>
    </row>
    <row r="97" spans="1:15" ht="11.25" customHeight="1" x14ac:dyDescent="0.25">
      <c r="A97" s="152">
        <v>41</v>
      </c>
      <c r="B97" s="175" t="str">
        <f>'Pay App 1'!B97</f>
        <v>08 40 00</v>
      </c>
      <c r="C97" s="180" t="str">
        <f>'Pay App 1'!C97</f>
        <v>Curtain Wall, Glass &amp; Glazing</v>
      </c>
      <c r="D97" s="155">
        <f>'Pay App 1'!D97</f>
        <v>0</v>
      </c>
      <c r="E97" s="155">
        <f>VLOOKUP(B97,'Graph Data'!$O$2:$BX$88,53,FALSE)</f>
        <v>0</v>
      </c>
      <c r="F97" s="155">
        <f>IFERROR(E97+'Pay App 50'!F97,"")</f>
        <v>0</v>
      </c>
      <c r="G97" s="155">
        <f>SUM('Pay App 1:Pay App 50'!H97)</f>
        <v>0</v>
      </c>
      <c r="H97" s="154"/>
      <c r="I97" s="155">
        <f t="shared" si="0"/>
        <v>0</v>
      </c>
      <c r="J97" s="156">
        <f t="shared" si="1"/>
        <v>0</v>
      </c>
      <c r="K97" s="155">
        <f t="shared" si="2"/>
        <v>0</v>
      </c>
      <c r="L97" s="155" t="str">
        <f>IF(AND('Summary Sheet'!$E$23="No",$H$33&gt;0,H97&gt;=1),"",IF(AND('Summary Sheet'!$E$23="Yes",H97&lt;&gt;""),H97*'Summary Sheet'!$G$23,""))</f>
        <v/>
      </c>
      <c r="M97" s="154"/>
      <c r="N97" s="155">
        <f>SUM('Pay App 1:Pay App 51'!L97)+SUM('Pay App 1:Pay App 51'!M97)</f>
        <v>0</v>
      </c>
    </row>
    <row r="98" spans="1:15" ht="10.9" customHeight="1" x14ac:dyDescent="0.25">
      <c r="A98" s="152">
        <v>42</v>
      </c>
      <c r="B98" s="175" t="str">
        <f>'Pay App 1'!B98</f>
        <v>08 60 00</v>
      </c>
      <c r="C98" s="180" t="str">
        <f>'Pay App 1'!C98</f>
        <v>Skylights</v>
      </c>
      <c r="D98" s="155">
        <f>'Pay App 1'!D98</f>
        <v>0</v>
      </c>
      <c r="E98" s="155">
        <f>VLOOKUP(B98,'Graph Data'!$O$2:$BX$88,53,FALSE)</f>
        <v>0</v>
      </c>
      <c r="F98" s="155">
        <f>IFERROR(E98+'Pay App 50'!F98,"")</f>
        <v>0</v>
      </c>
      <c r="G98" s="155">
        <f>SUM('Pay App 1:Pay App 50'!H98)</f>
        <v>0</v>
      </c>
      <c r="H98" s="154"/>
      <c r="I98" s="155">
        <f t="shared" si="0"/>
        <v>0</v>
      </c>
      <c r="J98" s="156">
        <f t="shared" si="1"/>
        <v>0</v>
      </c>
      <c r="K98" s="155">
        <f t="shared" si="2"/>
        <v>0</v>
      </c>
      <c r="L98" s="155" t="str">
        <f>IF(AND('Summary Sheet'!$E$23="No",$H$33&gt;0,H98&gt;=1),"",IF(AND('Summary Sheet'!$E$23="Yes",H98&lt;&gt;""),H98*'Summary Sheet'!$G$23,""))</f>
        <v/>
      </c>
      <c r="M98" s="154"/>
      <c r="N98" s="155">
        <f>SUM('Pay App 1:Pay App 51'!L98)+SUM('Pay App 1:Pay App 51'!M98)</f>
        <v>0</v>
      </c>
    </row>
    <row r="99" spans="1:15" ht="10.9" customHeight="1" x14ac:dyDescent="0.25">
      <c r="A99" s="152">
        <v>43</v>
      </c>
      <c r="B99" s="175" t="str">
        <f>'Pay App 1'!B99</f>
        <v>08 90 00</v>
      </c>
      <c r="C99" s="180" t="str">
        <f>'Pay App 1'!C99</f>
        <v>Louvers &amp; Vents</v>
      </c>
      <c r="D99" s="155">
        <f>'Pay App 1'!D99</f>
        <v>0</v>
      </c>
      <c r="E99" s="155">
        <f>VLOOKUP(B99,'Graph Data'!$O$2:$BX$88,53,FALSE)</f>
        <v>0</v>
      </c>
      <c r="F99" s="155">
        <f>IFERROR(E99+'Pay App 50'!F99,"")</f>
        <v>0</v>
      </c>
      <c r="G99" s="155">
        <f>SUM('Pay App 1:Pay App 50'!H99)</f>
        <v>0</v>
      </c>
      <c r="H99" s="154"/>
      <c r="I99" s="155">
        <f t="shared" si="0"/>
        <v>0</v>
      </c>
      <c r="J99" s="156">
        <f t="shared" si="1"/>
        <v>0</v>
      </c>
      <c r="K99" s="155">
        <f t="shared" si="2"/>
        <v>0</v>
      </c>
      <c r="L99" s="155" t="str">
        <f>IF(AND('Summary Sheet'!$E$23="No",$H$33&gt;0,H99&gt;=1),"",IF(AND('Summary Sheet'!$E$23="Yes",H99&lt;&gt;""),H99*'Summary Sheet'!$G$23,""))</f>
        <v/>
      </c>
      <c r="M99" s="154"/>
      <c r="N99" s="155">
        <f>SUM('Pay App 1:Pay App 51'!L99)+SUM('Pay App 1:Pay App 51'!M99)</f>
        <v>0</v>
      </c>
    </row>
    <row r="100" spans="1:15" ht="11.25" customHeight="1" x14ac:dyDescent="0.25">
      <c r="A100" s="153">
        <v>44</v>
      </c>
      <c r="B100" s="176" t="str">
        <f>'Pay App 1'!B100</f>
        <v>09 20 00</v>
      </c>
      <c r="C100" s="181" t="str">
        <f>'Pay App 1'!C100</f>
        <v>Gypsum Board Systems</v>
      </c>
      <c r="D100" s="155">
        <f>'Pay App 1'!D100</f>
        <v>0</v>
      </c>
      <c r="E100" s="155">
        <f>VLOOKUP(B100,'Graph Data'!$O$2:$BX$88,53,FALSE)</f>
        <v>0</v>
      </c>
      <c r="F100" s="155">
        <f>IFERROR(E100+'Pay App 50'!F100,"")</f>
        <v>0</v>
      </c>
      <c r="G100" s="155">
        <f>SUM('Pay App 1:Pay App 50'!H100)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51'!L100)+SUM('Pay App 1:Pay App 51'!M100)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51.2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Data'!$O$2:$BX$88,53,FALSE)</f>
        <v>0</v>
      </c>
      <c r="F106" s="155">
        <f>IFERROR(E106+'Pay App 50'!F106,"")</f>
        <v>0</v>
      </c>
      <c r="G106" s="155">
        <f>SUM('Pay App 1:Pay App 50'!H106)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51'!L106)+SUM('Pay App 1:Pay App 51'!M106)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Data'!$O$2:$BX$88,53,FALSE)</f>
        <v>0</v>
      </c>
      <c r="F107" s="155">
        <f>IFERROR(E107+'Pay App 50'!F107,"")</f>
        <v>0</v>
      </c>
      <c r="G107" s="155">
        <f>SUM('Pay App 1:Pay App 50'!H107)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51'!L107)+SUM('Pay App 1:Pay App 51'!M107)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Data'!$O$2:$BX$88,53,FALSE)</f>
        <v>0</v>
      </c>
      <c r="F108" s="155">
        <f>IFERROR(E108+'Pay App 50'!F108,"")</f>
        <v>0</v>
      </c>
      <c r="G108" s="155">
        <f>SUM('Pay App 1:Pay App 50'!H108)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51'!L108)+SUM('Pay App 1:Pay App 51'!M108)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Data'!$O$2:$BX$88,53,FALSE)</f>
        <v>0</v>
      </c>
      <c r="F109" s="155">
        <f>IFERROR(E109+'Pay App 50'!F109,"")</f>
        <v>0</v>
      </c>
      <c r="G109" s="155">
        <f>SUM('Pay App 1:Pay App 50'!H109)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51'!L109)+SUM('Pay App 1:Pay App 51'!M109)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Data'!$O$2:$BX$88,53,FALSE)</f>
        <v>0</v>
      </c>
      <c r="F110" s="155">
        <f>IFERROR(E110+'Pay App 50'!F110,"")</f>
        <v>0</v>
      </c>
      <c r="G110" s="155">
        <f>SUM('Pay App 1:Pay App 50'!H110)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51'!L110)+SUM('Pay App 1:Pay App 51'!M110)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Data'!$O$2:$BX$88,53,FALSE)</f>
        <v>0</v>
      </c>
      <c r="F111" s="155">
        <f>IFERROR(E111+'Pay App 50'!F111,"")</f>
        <v>0</v>
      </c>
      <c r="G111" s="155">
        <f>SUM('Pay App 1:Pay App 50'!H111)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51'!L111)+SUM('Pay App 1:Pay App 51'!M111)</f>
        <v>0</v>
      </c>
    </row>
    <row r="112" spans="1:15" ht="11.25" customHeight="1" x14ac:dyDescent="0.25">
      <c r="A112" s="152">
        <f t="shared" si="3"/>
        <v>51</v>
      </c>
      <c r="B112" s="148" t="str">
        <f>'Pay App 1'!B112</f>
        <v>09 90 00</v>
      </c>
      <c r="C112" s="143" t="str">
        <f>'Pay App 1'!C112</f>
        <v>Painting</v>
      </c>
      <c r="D112" s="155">
        <f>'Pay App 1'!D112</f>
        <v>0</v>
      </c>
      <c r="E112" s="155">
        <f>VLOOKUP(B112,'Graph Data'!$O$2:$BX$88,53,FALSE)</f>
        <v>0</v>
      </c>
      <c r="F112" s="155">
        <f>IFERROR(E112+'Pay App 50'!F112,"")</f>
        <v>0</v>
      </c>
      <c r="G112" s="155">
        <f>SUM('Pay App 1:Pay App 50'!H112)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51'!L112)+SUM('Pay App 1:Pay App 51'!M112)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Data'!$O$2:$BX$88,53,FALSE)</f>
        <v>0</v>
      </c>
      <c r="F113" s="155">
        <f>IFERROR(E113+'Pay App 50'!F113,"")</f>
        <v>0</v>
      </c>
      <c r="G113" s="155">
        <f>SUM('Pay App 1:Pay App 50'!H113)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51'!L113)+SUM('Pay App 1:Pay App 51'!M113)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Data'!$O$2:$BX$88,53,FALSE)</f>
        <v>0</v>
      </c>
      <c r="F114" s="155">
        <f>IFERROR(E114+'Pay App 50'!F114,"")</f>
        <v>0</v>
      </c>
      <c r="G114" s="155">
        <f>SUM('Pay App 1:Pay App 50'!H114)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51'!L114)+SUM('Pay App 1:Pay App 51'!M114)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Data'!$O$2:$BX$88,53,FALSE)</f>
        <v>0</v>
      </c>
      <c r="F115" s="155">
        <f>IFERROR(E115+'Pay App 50'!F115,"")</f>
        <v>0</v>
      </c>
      <c r="G115" s="155">
        <f>SUM('Pay App 1:Pay App 50'!H115)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51'!L115)+SUM('Pay App 1:Pay App 51'!M115)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Data'!$O$2:$BX$88,53,FALSE)</f>
        <v>0</v>
      </c>
      <c r="F116" s="155">
        <f>IFERROR(E116+'Pay App 50'!F116,"")</f>
        <v>0</v>
      </c>
      <c r="G116" s="155">
        <f>SUM('Pay App 1:Pay App 50'!H116)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51'!L116)+SUM('Pay App 1:Pay App 51'!M116)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Data'!$O$2:$BX$88,53,FALSE)</f>
        <v>0</v>
      </c>
      <c r="F117" s="155">
        <f>IFERROR(E117+'Pay App 50'!F117,"")</f>
        <v>0</v>
      </c>
      <c r="G117" s="155">
        <f>SUM('Pay App 1:Pay App 50'!H117)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51'!L117)+SUM('Pay App 1:Pay App 51'!M117)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Data'!$O$2:$BX$88,53,FALSE)</f>
        <v>0</v>
      </c>
      <c r="F118" s="155">
        <f>IFERROR(E118+'Pay App 50'!F118,"")</f>
        <v>0</v>
      </c>
      <c r="G118" s="155">
        <f>SUM('Pay App 1:Pay App 50'!H118)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51'!L118)+SUM('Pay App 1:Pay App 51'!M118)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Data'!$O$2:$BX$88,53,FALSE)</f>
        <v>0</v>
      </c>
      <c r="F119" s="155">
        <f>IFERROR(E119+'Pay App 50'!F119,"")</f>
        <v>0</v>
      </c>
      <c r="G119" s="155">
        <f>SUM('Pay App 1:Pay App 50'!H119)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51'!L119)+SUM('Pay App 1:Pay App 51'!M119)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Data'!$O$2:$BX$88,53,FALSE)</f>
        <v>0</v>
      </c>
      <c r="F120" s="155">
        <f>IFERROR(E120+'Pay App 50'!F120,"")</f>
        <v>0</v>
      </c>
      <c r="G120" s="155">
        <f>SUM('Pay App 1:Pay App 50'!H120)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51'!L120)+SUM('Pay App 1:Pay App 51'!M120)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Data'!$O$2:$BX$88,53,FALSE)</f>
        <v>0</v>
      </c>
      <c r="F121" s="155">
        <f>IFERROR(E121+'Pay App 50'!F121,"")</f>
        <v>0</v>
      </c>
      <c r="G121" s="155">
        <f>SUM('Pay App 1:Pay App 50'!H121)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51'!L121)+SUM('Pay App 1:Pay App 51'!M121)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Data'!$O$2:$BX$88,53,FALSE)</f>
        <v>0</v>
      </c>
      <c r="F122" s="155">
        <f>IFERROR(E122+'Pay App 50'!F122,"")</f>
        <v>0</v>
      </c>
      <c r="G122" s="155">
        <f>SUM('Pay App 1:Pay App 50'!H122)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51'!L122)+SUM('Pay App 1:Pay App 51'!M122)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Data'!$O$2:$BX$88,53,FALSE)</f>
        <v>0</v>
      </c>
      <c r="F123" s="155">
        <f>IFERROR(E123+'Pay App 50'!F123,"")</f>
        <v>0</v>
      </c>
      <c r="G123" s="155">
        <f>SUM('Pay App 1:Pay App 50'!H123)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51'!L123)+SUM('Pay App 1:Pay App 51'!M123)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Data'!$O$2:$BX$88,53,FALSE)</f>
        <v>0</v>
      </c>
      <c r="F124" s="155">
        <f>IFERROR(E124+'Pay App 50'!F124,"")</f>
        <v>0</v>
      </c>
      <c r="G124" s="155">
        <f>SUM('Pay App 1:Pay App 50'!H124)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51'!L124)+SUM('Pay App 1:Pay App 51'!M124)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Data'!$O$2:$BX$88,53,FALSE)</f>
        <v>0</v>
      </c>
      <c r="F125" s="155">
        <f>IFERROR(E125+'Pay App 50'!F125,"")</f>
        <v>0</v>
      </c>
      <c r="G125" s="155">
        <f>SUM('Pay App 1:Pay App 50'!H125)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51'!L125)+SUM('Pay App 1:Pay App 51'!M125)</f>
        <v>0</v>
      </c>
    </row>
    <row r="126" spans="1:14" ht="11.25" customHeight="1" x14ac:dyDescent="0.25">
      <c r="A126" s="152">
        <f t="shared" si="3"/>
        <v>65</v>
      </c>
      <c r="B126" s="188" t="str">
        <f>'Pay App 1'!B126</f>
        <v>14 20 00</v>
      </c>
      <c r="C126" s="194" t="str">
        <f>'Pay App 1'!C126</f>
        <v>Elevator</v>
      </c>
      <c r="D126" s="155">
        <f>'Pay App 1'!D126</f>
        <v>0</v>
      </c>
      <c r="E126" s="155">
        <f>VLOOKUP(B126,'Graph Data'!$O$2:$BX$88,53,FALSE)</f>
        <v>0</v>
      </c>
      <c r="F126" s="155">
        <f>IFERROR(E126+'Pay App 50'!F126,"")</f>
        <v>0</v>
      </c>
      <c r="G126" s="155">
        <f>SUM('Pay App 1:Pay App 50'!H126)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51'!L126)+SUM('Pay App 1:Pay App 51'!M126)</f>
        <v>0</v>
      </c>
    </row>
    <row r="127" spans="1:14" ht="11.25" customHeight="1" x14ac:dyDescent="0.25">
      <c r="A127" s="152">
        <f t="shared" si="3"/>
        <v>66</v>
      </c>
      <c r="B127" s="188" t="str">
        <f>'Pay App 1'!B127</f>
        <v>14 40 00</v>
      </c>
      <c r="C127" s="194" t="str">
        <f>'Pay App 1'!C127</f>
        <v>Lifts</v>
      </c>
      <c r="D127" s="155">
        <f>'Pay App 1'!D127</f>
        <v>0</v>
      </c>
      <c r="E127" s="155">
        <f>VLOOKUP(B127,'Graph Data'!$O$2:$BX$88,53,FALSE)</f>
        <v>0</v>
      </c>
      <c r="F127" s="155">
        <f>IFERROR(E127+'Pay App 50'!F127,"")</f>
        <v>0</v>
      </c>
      <c r="G127" s="155">
        <f>SUM('Pay App 1:Pay App 50'!H127)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51'!L127)+SUM('Pay App 1:Pay App 51'!M127)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Data'!$O$2:$BX$88,53,FALSE)</f>
        <v>0</v>
      </c>
      <c r="F128" s="155">
        <f>IFERROR(E128+'Pay App 50'!F128,"")</f>
        <v>0</v>
      </c>
      <c r="G128" s="155">
        <f>SUM('Pay App 1:Pay App 50'!H128)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51'!L128)+SUM('Pay App 1:Pay App 51'!M128)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Data'!$O$2:$BX$88,53,FALSE)</f>
        <v>0</v>
      </c>
      <c r="F129" s="155">
        <f>IFERROR(E129+'Pay App 50'!F129,"")</f>
        <v>0</v>
      </c>
      <c r="G129" s="155">
        <f>SUM('Pay App 1:Pay App 50'!H129)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51'!L129)+SUM('Pay App 1:Pay App 51'!M129)</f>
        <v>0</v>
      </c>
    </row>
    <row r="130" spans="1:14" ht="11.25" customHeight="1" x14ac:dyDescent="0.25">
      <c r="A130" s="152">
        <f t="shared" si="3"/>
        <v>69</v>
      </c>
      <c r="B130" s="185" t="str">
        <f>'Pay App 1'!B130</f>
        <v>22 00 00</v>
      </c>
      <c r="C130" s="191" t="str">
        <f>'Pay App 1'!C130</f>
        <v>Plumbing</v>
      </c>
      <c r="D130" s="155">
        <f>'Pay App 1'!D130</f>
        <v>0</v>
      </c>
      <c r="E130" s="155">
        <f>VLOOKUP(B130,'Graph Data'!$O$2:$BX$88,53,FALSE)</f>
        <v>0</v>
      </c>
      <c r="F130" s="155">
        <f>IFERROR(E130+'Pay App 50'!F130,"")</f>
        <v>0</v>
      </c>
      <c r="G130" s="155">
        <f>SUM('Pay App 1:Pay App 50'!H130)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51'!L130)+SUM('Pay App 1:Pay App 51'!M130)</f>
        <v>0</v>
      </c>
    </row>
    <row r="131" spans="1:14" ht="11.25" customHeight="1" x14ac:dyDescent="0.25">
      <c r="A131" s="152">
        <f t="shared" si="3"/>
        <v>70</v>
      </c>
      <c r="B131" s="186" t="str">
        <f>'Pay App 1'!B131</f>
        <v>23 00 00</v>
      </c>
      <c r="C131" s="192" t="str">
        <f>'Pay App 1'!C131</f>
        <v>HVAC</v>
      </c>
      <c r="D131" s="155">
        <f>'Pay App 1'!D131</f>
        <v>0</v>
      </c>
      <c r="E131" s="155">
        <f>VLOOKUP(B131,'Graph Data'!$O$2:$BX$88,53,FALSE)</f>
        <v>0</v>
      </c>
      <c r="F131" s="155">
        <f>IFERROR(E131+'Pay App 50'!F131,"")</f>
        <v>0</v>
      </c>
      <c r="G131" s="155">
        <f>SUM('Pay App 1:Pay App 50'!H131)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51'!L131)+SUM('Pay App 1:Pay App 51'!M131)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Data'!$O$2:$BX$88,53,FALSE)</f>
        <v>0</v>
      </c>
      <c r="F132" s="155">
        <f>IFERROR(E132+'Pay App 50'!F132,"")</f>
        <v>0</v>
      </c>
      <c r="G132" s="155">
        <f>SUM('Pay App 1:Pay App 50'!H132)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51'!L132)+SUM('Pay App 1:Pay App 51'!M132)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Data'!$O$2:$BX$88,53,FALSE)</f>
        <v>0</v>
      </c>
      <c r="F133" s="155">
        <f>IFERROR(E133+'Pay App 50'!F133,"")</f>
        <v>0</v>
      </c>
      <c r="G133" s="155">
        <f>SUM('Pay App 1:Pay App 50'!H133)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51'!L133)+SUM('Pay App 1:Pay App 51'!M133)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Data'!$O$2:$BX$88,53,FALSE)</f>
        <v>0</v>
      </c>
      <c r="F134" s="155">
        <f>IFERROR(E134+'Pay App 50'!F134,"")</f>
        <v>0</v>
      </c>
      <c r="G134" s="155">
        <f>SUM('Pay App 1:Pay App 50'!H134)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51'!L134)+SUM('Pay App 1:Pay App 51'!M134)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Data'!$O$2:$BX$88,53,FALSE)</f>
        <v>0</v>
      </c>
      <c r="F135" s="155">
        <f>IFERROR(E135+'Pay App 50'!F135,"")</f>
        <v>0</v>
      </c>
      <c r="G135" s="155">
        <f>SUM('Pay App 1:Pay App 50'!H135)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51'!L135)+SUM('Pay App 1:Pay App 51'!M135)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Data'!$O$2:$BX$88,53,FALSE)</f>
        <v>0</v>
      </c>
      <c r="F136" s="155">
        <f>IFERROR(E136+'Pay App 50'!F136,"")</f>
        <v>0</v>
      </c>
      <c r="G136" s="155">
        <f>SUM('Pay App 1:Pay App 50'!H136)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51'!L136)+SUM('Pay App 1:Pay App 51'!M136)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Data'!$O$2:$BX$88,53,FALSE)</f>
        <v>0</v>
      </c>
      <c r="F137" s="155">
        <f>IFERROR(E137+'Pay App 50'!F137,"")</f>
        <v>0</v>
      </c>
      <c r="G137" s="155">
        <f>SUM('Pay App 1:Pay App 50'!H137)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51'!L137)+SUM('Pay App 1:Pay App 51'!M137)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Data'!$O$2:$BX$88,53,FALSE)</f>
        <v>0</v>
      </c>
      <c r="F138" s="155">
        <f>IFERROR(E138+'Pay App 50'!F138,"")</f>
        <v>0</v>
      </c>
      <c r="G138" s="155">
        <f>SUM('Pay App 1:Pay App 50'!H138)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51'!L138)+SUM('Pay App 1:Pay App 51'!M138)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Data'!$O$2:$BX$88,53,FALSE)</f>
        <v>0</v>
      </c>
      <c r="F139" s="155">
        <f>IFERROR(E139+'Pay App 50'!F139,"")</f>
        <v>0</v>
      </c>
      <c r="G139" s="155">
        <f>SUM('Pay App 1:Pay App 50'!H139)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51'!L139)+SUM('Pay App 1:Pay App 51'!M139)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Data'!$O$2:$BX$88,53,FALSE)</f>
        <v>0</v>
      </c>
      <c r="F140" s="155">
        <f>IFERROR(E140+'Pay App 50'!F140,"")</f>
        <v>0</v>
      </c>
      <c r="G140" s="155">
        <f>SUM('Pay App 1:Pay App 50'!H140)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51'!L140)+SUM('Pay App 1:Pay App 51'!M140)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Data'!$O$2:$BX$88,53,FALSE)</f>
        <v>0</v>
      </c>
      <c r="F141" s="155">
        <f>IFERROR(E141+'Pay App 50'!F141,"")</f>
        <v>0</v>
      </c>
      <c r="G141" s="155">
        <f>SUM('Pay App 1:Pay App 50'!H141)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51'!L141)+SUM('Pay App 1:Pay App 51'!M141)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Data'!$O$2:$BX$88,53,FALSE)</f>
        <v>0</v>
      </c>
      <c r="F142" s="155">
        <f>IFERROR(E142+'Pay App 50'!F142,"")</f>
        <v>0</v>
      </c>
      <c r="G142" s="155">
        <f>SUM('Pay App 1:Pay App 50'!H142)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51'!L142)+SUM('Pay App 1:Pay App 51'!M142)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Data'!$O$2:$BX$88,53,FALSE)</f>
        <v>0</v>
      </c>
      <c r="F143" s="155">
        <f>IFERROR(E143+'Pay App 50'!F143,"")</f>
        <v>0</v>
      </c>
      <c r="G143" s="155">
        <f>SUM('Pay App 1:Pay App 50'!H143)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51'!L143)+SUM('Pay App 1:Pay App 51'!M143)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Data'!$O$2:$BX$88,53,FALSE)</f>
        <v>0</v>
      </c>
      <c r="F144" s="155">
        <f>IFERROR(E144+'Pay App 50'!F144,"")</f>
        <v>0</v>
      </c>
      <c r="G144" s="155">
        <f>SUM('Pay App 1:Pay App 50'!H144)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51'!L144)+SUM('Pay App 1:Pay App 51'!M144)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Data'!$O$2:$BX$88,53,FALSE)</f>
        <v>0</v>
      </c>
      <c r="F145" s="155">
        <f>IFERROR(E145+'Pay App 50'!F145,"")</f>
        <v>0</v>
      </c>
      <c r="G145" s="155">
        <f>SUM('Pay App 1:Pay App 50'!H145)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51'!L145)+SUM('Pay App 1:Pay App 51'!M145)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Data'!$O$2:$BX$88,53,FALSE)</f>
        <v>0</v>
      </c>
      <c r="F146" s="155">
        <f>IFERROR(E146+'Pay App 50'!F146,"")</f>
        <v>0</v>
      </c>
      <c r="G146" s="155">
        <f>SUM('Pay App 1:Pay App 50'!H146)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51'!L146)+SUM('Pay App 1:Pay App 51'!M146)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Data'!$O$2:$BX$88,53,FALSE)</f>
        <v>0</v>
      </c>
      <c r="F147" s="155">
        <f>IFERROR(E147+'Pay App 50'!F147,"")</f>
        <v>0</v>
      </c>
      <c r="G147" s="155">
        <f>SUM('Pay App 1:Pay App 50'!H147)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51'!L147)+SUM('Pay App 1:Pay App 51'!M147)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Data'!$O$2:$BX$88,53,FALSE)</f>
        <v>0</v>
      </c>
      <c r="F148" s="155">
        <f>IFERROR(E148+'Pay App 50'!F148,"")</f>
        <v>0</v>
      </c>
      <c r="G148" s="155">
        <f>SUM('Pay App 1:Pay App 50'!H148)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51'!L148)+SUM('Pay App 1:Pay App 51'!M148)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1AtN0MVZJSt0L0dO7bmUcApjaqIUrJOx8TSBku13SNXHC/w50ktfVQkhFUDomAL/qVrR7zU47+Ed7cPYIsqbjA==" saltValue="ruW7afavme3AHMHqowdJt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09" priority="2" operator="equal">
      <formula>0</formula>
    </cfRule>
  </conditionalFormatting>
  <conditionalFormatting sqref="D106:G148">
    <cfRule type="cellIs" dxfId="108" priority="1" operator="equal">
      <formula>0</formula>
    </cfRule>
  </conditionalFormatting>
  <conditionalFormatting sqref="D10:H10 D12:H14 D19:H21">
    <cfRule type="cellIs" dxfId="107" priority="6" operator="equal">
      <formula>0</formula>
    </cfRule>
  </conditionalFormatting>
  <conditionalFormatting sqref="H51">
    <cfRule type="cellIs" dxfId="106" priority="9" operator="lessThan">
      <formula>0</formula>
    </cfRule>
  </conditionalFormatting>
  <conditionalFormatting sqref="I57:I100 K57:K100 I106:I148 K106:K148 N106:N148">
    <cfRule type="cellIs" dxfId="105" priority="14" operator="equal">
      <formula>0</formula>
    </cfRule>
  </conditionalFormatting>
  <conditionalFormatting sqref="J57:J100 J106:J149">
    <cfRule type="cellIs" dxfId="104" priority="11" operator="greaterThan">
      <formula>1</formula>
    </cfRule>
    <cfRule type="cellIs" dxfId="103" priority="12" operator="equal">
      <formula>0</formula>
    </cfRule>
  </conditionalFormatting>
  <conditionalFormatting sqref="K57:K100 K106:K148">
    <cfRule type="cellIs" dxfId="102" priority="10" operator="lessThan">
      <formula>0</formula>
    </cfRule>
  </conditionalFormatting>
  <conditionalFormatting sqref="M57:M100">
    <cfRule type="cellIs" dxfId="101" priority="13" operator="lessThan">
      <formula>0</formula>
    </cfRule>
  </conditionalFormatting>
  <conditionalFormatting sqref="M106:M148">
    <cfRule type="cellIs" dxfId="100" priority="8" operator="lessThan">
      <formula>0</formula>
    </cfRule>
  </conditionalFormatting>
  <conditionalFormatting sqref="N57:N100">
    <cfRule type="cellIs" dxfId="99"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9ACA14A9-BCD9-4963-A46C-1734CF76A7FB}">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69FF4C6-CA4A-4EF7-9686-2D8588A3B669}">
          <x14:formula1>
            <xm:f>'Graph Data'!$M$74:$M$76</xm:f>
          </x14:formula1>
          <xm:sqref>G17</xm:sqref>
        </x14:dataValidation>
      </x14:dataValidation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7C791-9322-424A-A720-9ABD7A8C62A1}">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52</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52'!E149)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52'!G41)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51'!H49)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52.1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Data'!$O$2:$BX$88,54,FALSE)</f>
        <v>0</v>
      </c>
      <c r="F57" s="155">
        <f>IFERROR(E57+'Pay App 51'!F57,"")</f>
        <v>0</v>
      </c>
      <c r="G57" s="155">
        <f>SUM('Pay App 1:Pay App 51'!H57)</f>
        <v>0</v>
      </c>
      <c r="H57" s="154"/>
      <c r="I57" s="155">
        <f>G57+H57</f>
        <v>0</v>
      </c>
      <c r="J57" s="156">
        <f>IFERROR(I57/F57,0)</f>
        <v>0</v>
      </c>
      <c r="K57" s="155">
        <f>IFERROR(F57-I57,"")</f>
        <v>0</v>
      </c>
      <c r="L57" s="155" t="str">
        <f>IF(AND('Summary Sheet'!$E$23="No",$H$33&gt;0,H57&gt;=1),"",IF(AND('Summary Sheet'!$E$23="Yes",H57&lt;&gt;""),H57*'Summary Sheet'!$G$23,""))</f>
        <v/>
      </c>
      <c r="M57" s="154"/>
      <c r="N57" s="155">
        <f>SUM('Pay App 1:Pay App 52'!L57)+SUM('Pay App 1:Pay App 52'!M57)</f>
        <v>0</v>
      </c>
    </row>
    <row r="58" spans="1:16" ht="11.25" customHeight="1" x14ac:dyDescent="0.25">
      <c r="A58" s="152">
        <v>2</v>
      </c>
      <c r="B58" s="145" t="str">
        <f>'Pay App 1'!B58</f>
        <v>00 02 00</v>
      </c>
      <c r="C58" s="134" t="str">
        <f>'Pay App 1'!C58</f>
        <v>Preconstruction Services</v>
      </c>
      <c r="D58" s="155">
        <f>'Pay App 1'!D58</f>
        <v>0</v>
      </c>
      <c r="E58" s="155">
        <f>VLOOKUP(B58,'Graph Data'!$O$2:$BX$88,54,FALSE)</f>
        <v>0</v>
      </c>
      <c r="F58" s="155">
        <f>IFERROR(E58+'Pay App 51'!F58,"")</f>
        <v>0</v>
      </c>
      <c r="G58" s="155">
        <f>SUM('Pay App 1:Pay App 51'!H58)</f>
        <v>0</v>
      </c>
      <c r="H58" s="154"/>
      <c r="I58" s="155">
        <f>G58+H58</f>
        <v>0</v>
      </c>
      <c r="J58" s="156">
        <f>IFERROR(I58/F58,0)</f>
        <v>0</v>
      </c>
      <c r="K58" s="155">
        <f>IFERROR(F58-I58,"")</f>
        <v>0</v>
      </c>
      <c r="L58" s="155" t="str">
        <f>IF(AND('Summary Sheet'!$E$23="No",$H$33&gt;0,H58&gt;=1),"",IF(AND('Summary Sheet'!$E$23="Yes",H58&lt;&gt;""),H58*'Summary Sheet'!$G$23,""))</f>
        <v/>
      </c>
      <c r="M58" s="154"/>
      <c r="N58" s="155">
        <f>SUM('Pay App 1:Pay App 52'!L58)+SUM('Pay App 1:Pay App 52'!M58)</f>
        <v>0</v>
      </c>
    </row>
    <row r="59" spans="1:16" ht="11.25" customHeight="1" x14ac:dyDescent="0.25">
      <c r="A59" s="152">
        <v>3</v>
      </c>
      <c r="B59" s="174" t="str">
        <f>'Pay App 1'!B59</f>
        <v>01 00 00</v>
      </c>
      <c r="C59" s="179" t="str">
        <f>'Pay App 1'!C59</f>
        <v>General Conditions/Requirements</v>
      </c>
      <c r="D59" s="155">
        <f>'Pay App 1'!D59</f>
        <v>0</v>
      </c>
      <c r="E59" s="155">
        <f>VLOOKUP(B59,'Graph Data'!$O$2:$BX$88,54,FALSE)</f>
        <v>0</v>
      </c>
      <c r="F59" s="155">
        <f>IFERROR(E59+'Pay App 51'!F59,"")</f>
        <v>0</v>
      </c>
      <c r="G59" s="155">
        <f>SUM('Pay App 1:Pay App 51'!H59)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52'!L59)+SUM('Pay App 1:Pay App 52'!M59)</f>
        <v>0</v>
      </c>
    </row>
    <row r="60" spans="1:16" ht="11.25" customHeight="1" x14ac:dyDescent="0.25">
      <c r="A60" s="152">
        <v>4</v>
      </c>
      <c r="B60" s="174" t="str">
        <f>'Pay App 1'!B60</f>
        <v>01 13 41</v>
      </c>
      <c r="C60" s="179" t="str">
        <f>'Pay App 1'!C60</f>
        <v>Temp. Scaffolding and Platforms</v>
      </c>
      <c r="D60" s="155">
        <f>'Pay App 1'!D60</f>
        <v>0</v>
      </c>
      <c r="E60" s="155">
        <f>VLOOKUP(B60,'Graph Data'!$O$2:$BX$88,54,FALSE)</f>
        <v>0</v>
      </c>
      <c r="F60" s="155">
        <f>IFERROR(E60+'Pay App 51'!F60,"")</f>
        <v>0</v>
      </c>
      <c r="G60" s="155">
        <f>SUM('Pay App 1:Pay App 51'!H60)</f>
        <v>0</v>
      </c>
      <c r="H60" s="154"/>
      <c r="I60" s="155">
        <f t="shared" si="0"/>
        <v>0</v>
      </c>
      <c r="J60" s="156">
        <f t="shared" si="1"/>
        <v>0</v>
      </c>
      <c r="K60" s="155">
        <f t="shared" si="2"/>
        <v>0</v>
      </c>
      <c r="L60" s="155" t="str">
        <f>IF(AND('Summary Sheet'!$E$23="No",$H$33&gt;0,H60&gt;=1),"",IF(AND('Summary Sheet'!$E$23="Yes",H60&lt;&gt;""),H60*'Summary Sheet'!$G$23,""))</f>
        <v/>
      </c>
      <c r="M60" s="154"/>
      <c r="N60" s="155">
        <f>SUM('Pay App 1:Pay App 52'!L60)+SUM('Pay App 1:Pay App 52'!M60)</f>
        <v>0</v>
      </c>
    </row>
    <row r="61" spans="1:16" ht="11.25" customHeight="1" x14ac:dyDescent="0.25">
      <c r="A61" s="152">
        <v>5</v>
      </c>
      <c r="B61" s="174" t="str">
        <f>'Pay App 1'!B61</f>
        <v>01 13 60</v>
      </c>
      <c r="C61" s="179" t="str">
        <f>'Pay App 1'!C61</f>
        <v>SWPPP</v>
      </c>
      <c r="D61" s="155">
        <f>'Pay App 1'!D61</f>
        <v>0</v>
      </c>
      <c r="E61" s="155">
        <f>VLOOKUP(B61,'Graph Data'!$O$2:$BX$88,54,FALSE)</f>
        <v>0</v>
      </c>
      <c r="F61" s="155">
        <f>IFERROR(E61+'Pay App 51'!F61,"")</f>
        <v>0</v>
      </c>
      <c r="G61" s="155">
        <f>SUM('Pay App 1:Pay App 51'!H61)</f>
        <v>0</v>
      </c>
      <c r="H61" s="154"/>
      <c r="I61" s="155">
        <f t="shared" si="0"/>
        <v>0</v>
      </c>
      <c r="J61" s="156">
        <f t="shared" si="1"/>
        <v>0</v>
      </c>
      <c r="K61" s="155">
        <f t="shared" si="2"/>
        <v>0</v>
      </c>
      <c r="L61" s="155" t="str">
        <f>IF(AND('Summary Sheet'!$E$23="No",$H$33&gt;0,H61&gt;=1),"",IF(AND('Summary Sheet'!$E$23="Yes",H61&lt;&gt;""),H61*'Summary Sheet'!$G$23,""))</f>
        <v/>
      </c>
      <c r="M61" s="154"/>
      <c r="N61" s="155">
        <f>SUM('Pay App 1:Pay App 52'!L61)+SUM('Pay App 1:Pay App 52'!M61)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Data'!$O$2:$BX$88,54,FALSE)</f>
        <v>0</v>
      </c>
      <c r="F62" s="155">
        <f>IFERROR(E62+'Pay App 51'!F62,"")</f>
        <v>0</v>
      </c>
      <c r="G62" s="155">
        <f>SUM('Pay App 1:Pay App 51'!H62)</f>
        <v>0</v>
      </c>
      <c r="H62" s="154"/>
      <c r="I62" s="155">
        <f t="shared" si="0"/>
        <v>0</v>
      </c>
      <c r="J62" s="156">
        <f t="shared" si="1"/>
        <v>0</v>
      </c>
      <c r="K62" s="155">
        <f t="shared" si="2"/>
        <v>0</v>
      </c>
      <c r="L62" s="155" t="str">
        <f>IF(AND('Summary Sheet'!$E$23="No",$H$33&gt;0,H62&gt;=1),"",IF(AND('Summary Sheet'!$E$23="Yes",H62&lt;&gt;""),H62*'Summary Sheet'!$G$23,""))</f>
        <v/>
      </c>
      <c r="M62" s="154"/>
      <c r="N62" s="155">
        <f>SUM('Pay App 1:Pay App 52'!L62)+SUM('Pay App 1:Pay App 52'!M62)</f>
        <v>0</v>
      </c>
    </row>
    <row r="63" spans="1:16" ht="11.25" customHeight="1" x14ac:dyDescent="0.25">
      <c r="A63" s="152">
        <v>7</v>
      </c>
      <c r="B63" s="174" t="str">
        <f>'Pay App 1'!B63</f>
        <v>01 31 00</v>
      </c>
      <c r="C63" s="179" t="str">
        <f>'Pay App 1'!C63</f>
        <v>Contractor's Supervision</v>
      </c>
      <c r="D63" s="155">
        <f>'Pay App 1'!D63</f>
        <v>0</v>
      </c>
      <c r="E63" s="155">
        <f>VLOOKUP(B63,'Graph Data'!$O$2:$BX$88,54,FALSE)</f>
        <v>0</v>
      </c>
      <c r="F63" s="155">
        <f>IFERROR(E63+'Pay App 51'!F63,"")</f>
        <v>0</v>
      </c>
      <c r="G63" s="155">
        <f>SUM('Pay App 1:Pay App 51'!H63)</f>
        <v>0</v>
      </c>
      <c r="H63" s="154"/>
      <c r="I63" s="155">
        <f t="shared" si="0"/>
        <v>0</v>
      </c>
      <c r="J63" s="156">
        <f t="shared" si="1"/>
        <v>0</v>
      </c>
      <c r="K63" s="155">
        <f t="shared" si="2"/>
        <v>0</v>
      </c>
      <c r="L63" s="155" t="str">
        <f>IF(AND('Summary Sheet'!$E$23="No",$H$33&gt;0,H63&gt;=1),"",IF(AND('Summary Sheet'!$E$23="Yes",H63&lt;&gt;""),H63*'Summary Sheet'!$G$23,""))</f>
        <v/>
      </c>
      <c r="M63" s="154"/>
      <c r="N63" s="155">
        <f>SUM('Pay App 1:Pay App 52'!L63)+SUM('Pay App 1:Pay App 52'!M63)</f>
        <v>0</v>
      </c>
    </row>
    <row r="64" spans="1:16" ht="11.25" customHeight="1" x14ac:dyDescent="0.25">
      <c r="A64" s="152">
        <v>8</v>
      </c>
      <c r="B64" s="174" t="str">
        <f>'Pay App 1'!B64</f>
        <v>01 32 00</v>
      </c>
      <c r="C64" s="179" t="str">
        <f>'Pay App 1'!C64</f>
        <v>General Liability Insurance</v>
      </c>
      <c r="D64" s="155">
        <f>'Pay App 1'!D64</f>
        <v>0</v>
      </c>
      <c r="E64" s="155">
        <f>VLOOKUP(B64,'Graph Data'!$O$2:$BX$88,54,FALSE)</f>
        <v>0</v>
      </c>
      <c r="F64" s="155">
        <f>IFERROR(E64+'Pay App 51'!F64,"")</f>
        <v>0</v>
      </c>
      <c r="G64" s="155">
        <f>SUM('Pay App 1:Pay App 51'!H64)</f>
        <v>0</v>
      </c>
      <c r="H64" s="154"/>
      <c r="I64" s="155">
        <f t="shared" si="0"/>
        <v>0</v>
      </c>
      <c r="J64" s="156">
        <f t="shared" si="1"/>
        <v>0</v>
      </c>
      <c r="K64" s="155">
        <f t="shared" si="2"/>
        <v>0</v>
      </c>
      <c r="L64" s="155" t="str">
        <f>IF(AND('Summary Sheet'!$E$23="No",$H$33&gt;0,H64&gt;=1),"",IF(AND('Summary Sheet'!$E$23="Yes",H64&lt;&gt;""),H64*'Summary Sheet'!$G$23,""))</f>
        <v/>
      </c>
      <c r="M64" s="154"/>
      <c r="N64" s="155">
        <f>SUM('Pay App 1:Pay App 52'!L64)+SUM('Pay App 1:Pay App 52'!M64)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Data'!$O$2:$BX$88,54,FALSE)</f>
        <v>0</v>
      </c>
      <c r="F65" s="155">
        <f>IFERROR(E65+'Pay App 51'!F65,"")</f>
        <v>0</v>
      </c>
      <c r="G65" s="155">
        <f>SUM('Pay App 1:Pay App 51'!H65)</f>
        <v>0</v>
      </c>
      <c r="H65" s="154"/>
      <c r="I65" s="155">
        <f t="shared" si="0"/>
        <v>0</v>
      </c>
      <c r="J65" s="156">
        <f t="shared" si="1"/>
        <v>0</v>
      </c>
      <c r="K65" s="155">
        <f t="shared" si="2"/>
        <v>0</v>
      </c>
      <c r="L65" s="155" t="str">
        <f>IF(AND('Summary Sheet'!$E$23="No",$H$33&gt;0,H65&gt;=1),"",IF(AND('Summary Sheet'!$E$23="Yes",H65&lt;&gt;""),H65*'Summary Sheet'!$G$23,""))</f>
        <v/>
      </c>
      <c r="M65" s="154"/>
      <c r="N65" s="155">
        <f>SUM('Pay App 1:Pay App 52'!L65)+SUM('Pay App 1:Pay App 52'!M65)</f>
        <v>0</v>
      </c>
    </row>
    <row r="66" spans="1:17" ht="11.25" customHeight="1" x14ac:dyDescent="0.25">
      <c r="A66" s="152">
        <v>10</v>
      </c>
      <c r="B66" s="174" t="str">
        <f>'Pay App 1'!B66</f>
        <v>01 34 00</v>
      </c>
      <c r="C66" s="179" t="str">
        <f>'Pay App 1'!C66</f>
        <v>Subcontractor Default Insurance</v>
      </c>
      <c r="D66" s="155">
        <f>'Pay App 1'!D66</f>
        <v>0</v>
      </c>
      <c r="E66" s="155">
        <f>VLOOKUP(B66,'Graph Data'!$O$2:$BX$88,54,FALSE)</f>
        <v>0</v>
      </c>
      <c r="F66" s="155">
        <f>IFERROR(E66+'Pay App 51'!F66,"")</f>
        <v>0</v>
      </c>
      <c r="G66" s="155">
        <f>SUM('Pay App 1:Pay App 51'!H66)</f>
        <v>0</v>
      </c>
      <c r="H66" s="154"/>
      <c r="I66" s="155">
        <f t="shared" si="0"/>
        <v>0</v>
      </c>
      <c r="J66" s="156">
        <f t="shared" si="1"/>
        <v>0</v>
      </c>
      <c r="K66" s="155">
        <f t="shared" si="2"/>
        <v>0</v>
      </c>
      <c r="L66" s="155" t="str">
        <f>IF(AND('Summary Sheet'!$E$23="No",$H$33&gt;0,H66&gt;=1),"",IF(AND('Summary Sheet'!$E$23="Yes",H66&lt;&gt;""),H66*'Summary Sheet'!$G$23,""))</f>
        <v/>
      </c>
      <c r="M66" s="154"/>
      <c r="N66" s="155">
        <f>SUM('Pay App 1:Pay App 52'!L66)+SUM('Pay App 1:Pay App 52'!M66)</f>
        <v>0</v>
      </c>
    </row>
    <row r="67" spans="1:17" ht="11.25" customHeight="1" x14ac:dyDescent="0.25">
      <c r="A67" s="152">
        <v>11</v>
      </c>
      <c r="B67" s="174" t="str">
        <f>'Pay App 1'!B67</f>
        <v>01 35 00</v>
      </c>
      <c r="C67" s="179" t="str">
        <f>'Pay App 1'!C67</f>
        <v>Construction Management Fee</v>
      </c>
      <c r="D67" s="155">
        <f>'Pay App 1'!D67</f>
        <v>0</v>
      </c>
      <c r="E67" s="155">
        <f>VLOOKUP(B67,'Graph Data'!$O$2:$BX$88,54,FALSE)</f>
        <v>0</v>
      </c>
      <c r="F67" s="155">
        <f>IFERROR(E67+'Pay App 51'!F67,"")</f>
        <v>0</v>
      </c>
      <c r="G67" s="155">
        <f>SUM('Pay App 1:Pay App 51'!H67)</f>
        <v>0</v>
      </c>
      <c r="H67" s="154"/>
      <c r="I67" s="155">
        <f t="shared" si="0"/>
        <v>0</v>
      </c>
      <c r="J67" s="156">
        <f t="shared" si="1"/>
        <v>0</v>
      </c>
      <c r="K67" s="155">
        <f t="shared" si="2"/>
        <v>0</v>
      </c>
      <c r="L67" s="155" t="str">
        <f>IF(AND('Summary Sheet'!$E$23="No",$H$33&gt;0,H67&gt;=1),"",IF(AND('Summary Sheet'!$E$23="Yes",H67&lt;&gt;""),H67*'Summary Sheet'!$G$23,""))</f>
        <v/>
      </c>
      <c r="M67" s="154"/>
      <c r="N67" s="155">
        <f>SUM('Pay App 1:Pay App 52'!L67)+SUM('Pay App 1:Pay App 52'!M67)</f>
        <v>0</v>
      </c>
    </row>
    <row r="68" spans="1:17" ht="11.25" customHeight="1" x14ac:dyDescent="0.25">
      <c r="A68" s="152">
        <v>12</v>
      </c>
      <c r="B68" s="174" t="str">
        <f>'Pay App 1'!B68</f>
        <v>01 36 00</v>
      </c>
      <c r="C68" s="179" t="str">
        <f>'Pay App 1'!C68</f>
        <v>Contingency</v>
      </c>
      <c r="D68" s="155">
        <f>'Pay App 1'!D68</f>
        <v>0</v>
      </c>
      <c r="E68" s="155">
        <f>VLOOKUP(B68,'Graph Data'!$O$2:$BX$88,54,FALSE)</f>
        <v>0</v>
      </c>
      <c r="F68" s="155">
        <f>IFERROR(E68+'Pay App 51'!F68,"")</f>
        <v>0</v>
      </c>
      <c r="G68" s="155">
        <f>SUM('Pay App 1:Pay App 51'!H68)</f>
        <v>0</v>
      </c>
      <c r="H68" s="154"/>
      <c r="I68" s="155">
        <f t="shared" si="0"/>
        <v>0</v>
      </c>
      <c r="J68" s="156">
        <f t="shared" si="1"/>
        <v>0</v>
      </c>
      <c r="K68" s="155">
        <f t="shared" si="2"/>
        <v>0</v>
      </c>
      <c r="L68" s="155" t="str">
        <f>IF(AND('Summary Sheet'!$E$23="No",$H$33&gt;0,H68&gt;=1),"",IF(AND('Summary Sheet'!$E$23="Yes",H68&lt;&gt;""),H68*'Summary Sheet'!$G$23,""))</f>
        <v/>
      </c>
      <c r="M68" s="154"/>
      <c r="N68" s="155">
        <f>SUM('Pay App 1:Pay App 52'!L68)+SUM('Pay App 1:Pay App 52'!M68)</f>
        <v>0</v>
      </c>
    </row>
    <row r="69" spans="1:17" ht="11.25" customHeight="1" x14ac:dyDescent="0.25">
      <c r="A69" s="152">
        <v>13</v>
      </c>
      <c r="B69" s="174" t="str">
        <f>'Pay App 1'!B69</f>
        <v>01 37 00</v>
      </c>
      <c r="C69" s="179" t="str">
        <f>'Pay App 1'!C69</f>
        <v>Weather Allowance (All Trades)</v>
      </c>
      <c r="D69" s="155">
        <f>'Pay App 1'!D69</f>
        <v>0</v>
      </c>
      <c r="E69" s="155">
        <f>VLOOKUP(B69,'Graph Data'!$O$2:$BX$88,54,FALSE)</f>
        <v>0</v>
      </c>
      <c r="F69" s="155">
        <f>IFERROR(E69+'Pay App 51'!F69,"")</f>
        <v>0</v>
      </c>
      <c r="G69" s="155">
        <f>SUM('Pay App 1:Pay App 51'!H69)</f>
        <v>0</v>
      </c>
      <c r="H69" s="154"/>
      <c r="I69" s="155">
        <f t="shared" si="0"/>
        <v>0</v>
      </c>
      <c r="J69" s="156">
        <f t="shared" si="1"/>
        <v>0</v>
      </c>
      <c r="K69" s="155">
        <f t="shared" si="2"/>
        <v>0</v>
      </c>
      <c r="L69" s="155" t="str">
        <f>IF(AND('Summary Sheet'!$E$23="No",$H$33&gt;0,H69&gt;=1),"",IF(AND('Summary Sheet'!$E$23="Yes",H69&lt;&gt;""),H69*'Summary Sheet'!$G$23,""))</f>
        <v/>
      </c>
      <c r="M69" s="154"/>
      <c r="N69" s="155">
        <f>SUM('Pay App 1:Pay App 52'!L69)+SUM('Pay App 1:Pay App 52'!M69)</f>
        <v>0</v>
      </c>
    </row>
    <row r="70" spans="1:17" ht="11.25" customHeight="1" x14ac:dyDescent="0.25">
      <c r="A70" s="152">
        <v>14</v>
      </c>
      <c r="B70" s="174" t="str">
        <f>'Pay App 1'!B70</f>
        <v>01 74 23</v>
      </c>
      <c r="C70" s="179" t="str">
        <f>'Pay App 1'!C70</f>
        <v>Cleaning (Final)</v>
      </c>
      <c r="D70" s="155">
        <f>'Pay App 1'!D70</f>
        <v>0</v>
      </c>
      <c r="E70" s="155">
        <f>VLOOKUP(B70,'Graph Data'!$O$2:$BX$88,54,FALSE)</f>
        <v>0</v>
      </c>
      <c r="F70" s="155">
        <f>IFERROR(E70+'Pay App 51'!F70,"")</f>
        <v>0</v>
      </c>
      <c r="G70" s="155">
        <f>SUM('Pay App 1:Pay App 51'!H70)</f>
        <v>0</v>
      </c>
      <c r="H70" s="154"/>
      <c r="I70" s="155">
        <f t="shared" si="0"/>
        <v>0</v>
      </c>
      <c r="J70" s="156">
        <f t="shared" si="1"/>
        <v>0</v>
      </c>
      <c r="K70" s="155">
        <f t="shared" si="2"/>
        <v>0</v>
      </c>
      <c r="L70" s="155" t="str">
        <f>IF(AND('Summary Sheet'!$E$23="No",$H$33&gt;0,H70&gt;=1),"",IF(AND('Summary Sheet'!$E$23="Yes",H70&lt;&gt;""),H70*'Summary Sheet'!$G$23,""))</f>
        <v/>
      </c>
      <c r="M70" s="154"/>
      <c r="N70" s="155">
        <f>SUM('Pay App 1:Pay App 52'!L70)+SUM('Pay App 1:Pay App 52'!M70)</f>
        <v>0</v>
      </c>
    </row>
    <row r="71" spans="1:17" ht="11.25" customHeight="1" x14ac:dyDescent="0.25">
      <c r="A71" s="152">
        <v>15</v>
      </c>
      <c r="B71" s="175" t="str">
        <f>'Pay App 1'!B71</f>
        <v>02 21 00</v>
      </c>
      <c r="C71" s="180" t="str">
        <f>'Pay App 1'!C71</f>
        <v>Survey/Engineering</v>
      </c>
      <c r="D71" s="155">
        <f>'Pay App 1'!D71</f>
        <v>0</v>
      </c>
      <c r="E71" s="155">
        <f>VLOOKUP(B71,'Graph Data'!$O$2:$BX$88,54,FALSE)</f>
        <v>0</v>
      </c>
      <c r="F71" s="155">
        <f>IFERROR(E71+'Pay App 51'!F71,"")</f>
        <v>0</v>
      </c>
      <c r="G71" s="155">
        <f>SUM('Pay App 1:Pay App 51'!H71)</f>
        <v>0</v>
      </c>
      <c r="H71" s="154"/>
      <c r="I71" s="155">
        <f t="shared" si="0"/>
        <v>0</v>
      </c>
      <c r="J71" s="156">
        <f t="shared" si="1"/>
        <v>0</v>
      </c>
      <c r="K71" s="155">
        <f t="shared" si="2"/>
        <v>0</v>
      </c>
      <c r="L71" s="155" t="str">
        <f>IF(AND('Summary Sheet'!$E$23="No",$H$33&gt;0,H71&gt;=1),"",IF(AND('Summary Sheet'!$E$23="Yes",H71&lt;&gt;""),H71*'Summary Sheet'!$G$23,""))</f>
        <v/>
      </c>
      <c r="M71" s="154"/>
      <c r="N71" s="155">
        <f>SUM('Pay App 1:Pay App 52'!L71)+SUM('Pay App 1:Pay App 52'!M71)</f>
        <v>0</v>
      </c>
      <c r="Q71" s="28"/>
    </row>
    <row r="72" spans="1:17" ht="11.25" customHeight="1" x14ac:dyDescent="0.25">
      <c r="A72" s="152">
        <v>16</v>
      </c>
      <c r="B72" s="175" t="str">
        <f>'Pay App 1'!B72</f>
        <v>02 41 00</v>
      </c>
      <c r="C72" s="180" t="str">
        <f>'Pay App 1'!C72</f>
        <v>Demolition</v>
      </c>
      <c r="D72" s="155">
        <f>'Pay App 1'!D72</f>
        <v>0</v>
      </c>
      <c r="E72" s="155">
        <f>VLOOKUP(B72,'Graph Data'!$O$2:$BX$88,54,FALSE)</f>
        <v>0</v>
      </c>
      <c r="F72" s="155">
        <f>IFERROR(E72+'Pay App 51'!F72,"")</f>
        <v>0</v>
      </c>
      <c r="G72" s="155">
        <f>SUM('Pay App 1:Pay App 51'!H72)</f>
        <v>0</v>
      </c>
      <c r="H72" s="154"/>
      <c r="I72" s="155">
        <f t="shared" si="0"/>
        <v>0</v>
      </c>
      <c r="J72" s="156">
        <f t="shared" si="1"/>
        <v>0</v>
      </c>
      <c r="K72" s="155">
        <f t="shared" si="2"/>
        <v>0</v>
      </c>
      <c r="L72" s="155" t="str">
        <f>IF(AND('Summary Sheet'!$E$23="No",$H$33&gt;0,H72&gt;=1),"",IF(AND('Summary Sheet'!$E$23="Yes",H72&lt;&gt;""),H72*'Summary Sheet'!$G$23,""))</f>
        <v/>
      </c>
      <c r="M72" s="154"/>
      <c r="N72" s="155">
        <f>SUM('Pay App 1:Pay App 52'!L72)+SUM('Pay App 1:Pay App 52'!M72)</f>
        <v>0</v>
      </c>
      <c r="Q72" s="28"/>
    </row>
    <row r="73" spans="1:17" ht="11.25" customHeight="1" x14ac:dyDescent="0.25">
      <c r="A73" s="152">
        <v>17</v>
      </c>
      <c r="B73" s="175" t="str">
        <f>'Pay App 1'!B73</f>
        <v>02 82 00</v>
      </c>
      <c r="C73" s="180" t="str">
        <f>'Pay App 1'!C73</f>
        <v>Asbestos Abatement</v>
      </c>
      <c r="D73" s="155">
        <f>'Pay App 1'!D73</f>
        <v>0</v>
      </c>
      <c r="E73" s="155">
        <f>VLOOKUP(B73,'Graph Data'!$O$2:$BX$88,54,FALSE)</f>
        <v>0</v>
      </c>
      <c r="F73" s="155">
        <f>IFERROR(E73+'Pay App 51'!F73,"")</f>
        <v>0</v>
      </c>
      <c r="G73" s="155">
        <f>SUM('Pay App 1:Pay App 51'!H73)</f>
        <v>0</v>
      </c>
      <c r="H73" s="154"/>
      <c r="I73" s="155">
        <f t="shared" si="0"/>
        <v>0</v>
      </c>
      <c r="J73" s="156">
        <f t="shared" si="1"/>
        <v>0</v>
      </c>
      <c r="K73" s="155">
        <f t="shared" si="2"/>
        <v>0</v>
      </c>
      <c r="L73" s="155" t="str">
        <f>IF(AND('Summary Sheet'!$E$23="No",$H$33&gt;0,H73&gt;=1),"",IF(AND('Summary Sheet'!$E$23="Yes",H73&lt;&gt;""),H73*'Summary Sheet'!$G$23,""))</f>
        <v/>
      </c>
      <c r="M73" s="154"/>
      <c r="N73" s="155">
        <f>SUM('Pay App 1:Pay App 52'!L73)+SUM('Pay App 1:Pay App 52'!M73)</f>
        <v>0</v>
      </c>
    </row>
    <row r="74" spans="1:17" ht="11.25" customHeight="1" x14ac:dyDescent="0.25">
      <c r="A74" s="152">
        <v>18</v>
      </c>
      <c r="B74" s="176" t="str">
        <f>'Pay App 1'!B74</f>
        <v>03 00 00</v>
      </c>
      <c r="C74" s="181" t="str">
        <f>'Pay App 1'!C74</f>
        <v>Building Concrete</v>
      </c>
      <c r="D74" s="155">
        <f>'Pay App 1'!D74</f>
        <v>0</v>
      </c>
      <c r="E74" s="155">
        <f>VLOOKUP(B74,'Graph Data'!$O$2:$BX$88,54,FALSE)</f>
        <v>0</v>
      </c>
      <c r="F74" s="155">
        <f>IFERROR(E74+'Pay App 51'!F74,"")</f>
        <v>0</v>
      </c>
      <c r="G74" s="155">
        <f>SUM('Pay App 1:Pay App 51'!H74)</f>
        <v>0</v>
      </c>
      <c r="H74" s="154"/>
      <c r="I74" s="155">
        <f t="shared" si="0"/>
        <v>0</v>
      </c>
      <c r="J74" s="156">
        <f t="shared" si="1"/>
        <v>0</v>
      </c>
      <c r="K74" s="155">
        <f t="shared" si="2"/>
        <v>0</v>
      </c>
      <c r="L74" s="155" t="str">
        <f>IF(AND('Summary Sheet'!$E$23="No",$H$33&gt;0,H74&gt;=1),"",IF(AND('Summary Sheet'!$E$23="Yes",H74&lt;&gt;""),H74*'Summary Sheet'!$G$23,""))</f>
        <v/>
      </c>
      <c r="M74" s="154"/>
      <c r="N74" s="155">
        <f>SUM('Pay App 1:Pay App 52'!L74)+SUM('Pay App 1:Pay App 52'!M74)</f>
        <v>0</v>
      </c>
    </row>
    <row r="75" spans="1:17" ht="11.25" customHeight="1" x14ac:dyDescent="0.25">
      <c r="A75" s="152">
        <v>19</v>
      </c>
      <c r="B75" s="176" t="str">
        <f>'Pay App 1'!B75</f>
        <v>03 20 00</v>
      </c>
      <c r="C75" s="181" t="str">
        <f>'Pay App 1'!C75</f>
        <v>Building Concrete Reinforcing</v>
      </c>
      <c r="D75" s="155">
        <f>'Pay App 1'!D75</f>
        <v>0</v>
      </c>
      <c r="E75" s="155">
        <f>VLOOKUP(B75,'Graph Data'!$O$2:$BX$88,54,FALSE)</f>
        <v>0</v>
      </c>
      <c r="F75" s="155">
        <f>IFERROR(E75+'Pay App 51'!F75,"")</f>
        <v>0</v>
      </c>
      <c r="G75" s="155">
        <f>SUM('Pay App 1:Pay App 51'!H75)</f>
        <v>0</v>
      </c>
      <c r="H75" s="154"/>
      <c r="I75" s="155">
        <f t="shared" si="0"/>
        <v>0</v>
      </c>
      <c r="J75" s="156">
        <f t="shared" si="1"/>
        <v>0</v>
      </c>
      <c r="K75" s="155">
        <f t="shared" si="2"/>
        <v>0</v>
      </c>
      <c r="L75" s="155" t="str">
        <f>IF(AND('Summary Sheet'!$E$23="No",$H$33&gt;0,H75&gt;=1),"",IF(AND('Summary Sheet'!$E$23="Yes",H75&lt;&gt;""),H75*'Summary Sheet'!$G$23,""))</f>
        <v/>
      </c>
      <c r="M75" s="154"/>
      <c r="N75" s="155">
        <f>SUM('Pay App 1:Pay App 52'!L75)+SUM('Pay App 1:Pay App 52'!M75)</f>
        <v>0</v>
      </c>
    </row>
    <row r="76" spans="1:17" ht="11.25" customHeight="1" x14ac:dyDescent="0.25">
      <c r="A76" s="152">
        <v>20</v>
      </c>
      <c r="B76" s="176" t="str">
        <f>'Pay App 1'!B76</f>
        <v>03 40 00</v>
      </c>
      <c r="C76" s="181" t="str">
        <f>'Pay App 1'!C76</f>
        <v>Precast</v>
      </c>
      <c r="D76" s="155">
        <f>'Pay App 1'!D76</f>
        <v>0</v>
      </c>
      <c r="E76" s="155">
        <f>VLOOKUP(B76,'Graph Data'!$O$2:$BX$88,54,FALSE)</f>
        <v>0</v>
      </c>
      <c r="F76" s="155">
        <f>IFERROR(E76+'Pay App 51'!F76,"")</f>
        <v>0</v>
      </c>
      <c r="G76" s="155">
        <f>SUM('Pay App 1:Pay App 51'!H76)</f>
        <v>0</v>
      </c>
      <c r="H76" s="154"/>
      <c r="I76" s="155">
        <f t="shared" si="0"/>
        <v>0</v>
      </c>
      <c r="J76" s="156">
        <f t="shared" si="1"/>
        <v>0</v>
      </c>
      <c r="K76" s="155">
        <f t="shared" si="2"/>
        <v>0</v>
      </c>
      <c r="L76" s="155" t="str">
        <f>IF(AND('Summary Sheet'!$E$23="No",$H$33&gt;0,H76&gt;=1),"",IF(AND('Summary Sheet'!$E$23="Yes",H76&lt;&gt;""),H76*'Summary Sheet'!$G$23,""))</f>
        <v/>
      </c>
      <c r="M76" s="154"/>
      <c r="N76" s="155">
        <f>SUM('Pay App 1:Pay App 52'!L76)+SUM('Pay App 1:Pay App 52'!M76)</f>
        <v>0</v>
      </c>
    </row>
    <row r="77" spans="1:17" ht="11.25" customHeight="1" x14ac:dyDescent="0.25">
      <c r="A77" s="152">
        <v>21</v>
      </c>
      <c r="B77" s="177" t="str">
        <f>'Pay App 1'!B77</f>
        <v>04 00 00</v>
      </c>
      <c r="C77" s="182" t="str">
        <f>'Pay App 1'!C77</f>
        <v>Masonry</v>
      </c>
      <c r="D77" s="155">
        <f>'Pay App 1'!D77</f>
        <v>0</v>
      </c>
      <c r="E77" s="155">
        <f>VLOOKUP(B77,'Graph Data'!$O$2:$BX$88,54,FALSE)</f>
        <v>0</v>
      </c>
      <c r="F77" s="155">
        <f>IFERROR(E77+'Pay App 51'!F77,"")</f>
        <v>0</v>
      </c>
      <c r="G77" s="155">
        <f>SUM('Pay App 1:Pay App 51'!H77)</f>
        <v>0</v>
      </c>
      <c r="H77" s="154"/>
      <c r="I77" s="155">
        <f t="shared" si="0"/>
        <v>0</v>
      </c>
      <c r="J77" s="156">
        <f t="shared" si="1"/>
        <v>0</v>
      </c>
      <c r="K77" s="155">
        <f t="shared" si="2"/>
        <v>0</v>
      </c>
      <c r="L77" s="155" t="str">
        <f>IF(AND('Summary Sheet'!$E$23="No",$H$33&gt;0,H77&gt;=1),"",IF(AND('Summary Sheet'!$E$23="Yes",H77&lt;&gt;""),H77*'Summary Sheet'!$G$23,""))</f>
        <v/>
      </c>
      <c r="M77" s="154"/>
      <c r="N77" s="155">
        <f>SUM('Pay App 1:Pay App 52'!L77)+SUM('Pay App 1:Pay App 52'!M77)</f>
        <v>0</v>
      </c>
    </row>
    <row r="78" spans="1:17" ht="11.25" customHeight="1" x14ac:dyDescent="0.25">
      <c r="A78" s="152">
        <v>22</v>
      </c>
      <c r="B78" s="177" t="str">
        <f>'Pay App 1'!B78</f>
        <v>04 05 19</v>
      </c>
      <c r="C78" s="182" t="str">
        <f>'Pay App 1'!C78</f>
        <v>Masonry Reinforcing</v>
      </c>
      <c r="D78" s="155">
        <f>'Pay App 1'!D78</f>
        <v>0</v>
      </c>
      <c r="E78" s="155">
        <f>VLOOKUP(B78,'Graph Data'!$O$2:$BX$88,54,FALSE)</f>
        <v>0</v>
      </c>
      <c r="F78" s="155">
        <f>IFERROR(E78+'Pay App 51'!F78,"")</f>
        <v>0</v>
      </c>
      <c r="G78" s="155">
        <f>SUM('Pay App 1:Pay App 51'!H78)</f>
        <v>0</v>
      </c>
      <c r="H78" s="154"/>
      <c r="I78" s="155">
        <f t="shared" si="0"/>
        <v>0</v>
      </c>
      <c r="J78" s="156">
        <f t="shared" si="1"/>
        <v>0</v>
      </c>
      <c r="K78" s="155">
        <f t="shared" si="2"/>
        <v>0</v>
      </c>
      <c r="L78" s="155" t="str">
        <f>IF(AND('Summary Sheet'!$E$23="No",$H$33&gt;0,H78&gt;=1),"",IF(AND('Summary Sheet'!$E$23="Yes",H78&lt;&gt;""),H78*'Summary Sheet'!$G$23,""))</f>
        <v/>
      </c>
      <c r="M78" s="154"/>
      <c r="N78" s="155">
        <f>SUM('Pay App 1:Pay App 52'!L78)+SUM('Pay App 1:Pay App 52'!M78)</f>
        <v>0</v>
      </c>
    </row>
    <row r="79" spans="1:17" ht="11.25" customHeight="1" x14ac:dyDescent="0.25">
      <c r="A79" s="152">
        <v>23</v>
      </c>
      <c r="B79" s="178" t="str">
        <f>'Pay App 1'!B79</f>
        <v>05 10 00</v>
      </c>
      <c r="C79" s="183" t="str">
        <f>'Pay App 1'!C79</f>
        <v>Structural Steel/Misc. Steel Fab</v>
      </c>
      <c r="D79" s="155">
        <f>'Pay App 1'!D79</f>
        <v>0</v>
      </c>
      <c r="E79" s="155">
        <f>VLOOKUP(B79,'Graph Data'!$O$2:$BX$88,54,FALSE)</f>
        <v>0</v>
      </c>
      <c r="F79" s="155">
        <f>IFERROR(E79+'Pay App 51'!F79,"")</f>
        <v>0</v>
      </c>
      <c r="G79" s="155">
        <f>SUM('Pay App 1:Pay App 51'!H79)</f>
        <v>0</v>
      </c>
      <c r="H79" s="154"/>
      <c r="I79" s="155">
        <f t="shared" si="0"/>
        <v>0</v>
      </c>
      <c r="J79" s="156">
        <f t="shared" si="1"/>
        <v>0</v>
      </c>
      <c r="K79" s="155">
        <f t="shared" si="2"/>
        <v>0</v>
      </c>
      <c r="L79" s="155" t="str">
        <f>IF(AND('Summary Sheet'!$E$23="No",$H$33&gt;0,H79&gt;=1),"",IF(AND('Summary Sheet'!$E$23="Yes",H79&lt;&gt;""),H79*'Summary Sheet'!$G$23,""))</f>
        <v/>
      </c>
      <c r="M79" s="154"/>
      <c r="N79" s="155">
        <f>SUM('Pay App 1:Pay App 52'!L79)+SUM('Pay App 1:Pay App 52'!M79)</f>
        <v>0</v>
      </c>
    </row>
    <row r="80" spans="1:17" ht="11.25" customHeight="1" x14ac:dyDescent="0.25">
      <c r="A80" s="152">
        <v>24</v>
      </c>
      <c r="B80" s="178" t="str">
        <f>'Pay App 1'!B80</f>
        <v>05 20 00</v>
      </c>
      <c r="C80" s="183" t="str">
        <f>'Pay App 1'!C80</f>
        <v>Joists &amp; Deck</v>
      </c>
      <c r="D80" s="155">
        <f>'Pay App 1'!D80</f>
        <v>0</v>
      </c>
      <c r="E80" s="155">
        <f>VLOOKUP(B80,'Graph Data'!$O$2:$BX$88,54,FALSE)</f>
        <v>0</v>
      </c>
      <c r="F80" s="155">
        <f>IFERROR(E80+'Pay App 51'!F80,"")</f>
        <v>0</v>
      </c>
      <c r="G80" s="155">
        <f>SUM('Pay App 1:Pay App 51'!H80)</f>
        <v>0</v>
      </c>
      <c r="H80" s="154"/>
      <c r="I80" s="155">
        <f t="shared" si="0"/>
        <v>0</v>
      </c>
      <c r="J80" s="156">
        <f t="shared" si="1"/>
        <v>0</v>
      </c>
      <c r="K80" s="155">
        <f t="shared" si="2"/>
        <v>0</v>
      </c>
      <c r="L80" s="155" t="str">
        <f>IF(AND('Summary Sheet'!$E$23="No",$H$33&gt;0,H80&gt;=1),"",IF(AND('Summary Sheet'!$E$23="Yes",H80&lt;&gt;""),H80*'Summary Sheet'!$G$23,""))</f>
        <v/>
      </c>
      <c r="M80" s="154"/>
      <c r="N80" s="155">
        <f>SUM('Pay App 1:Pay App 52'!L80)+SUM('Pay App 1:Pay App 52'!M80)</f>
        <v>0</v>
      </c>
    </row>
    <row r="81" spans="1:14" ht="11.25" customHeight="1" x14ac:dyDescent="0.25">
      <c r="A81" s="152">
        <v>25</v>
      </c>
      <c r="B81" s="178" t="str">
        <f>'Pay App 1'!B81</f>
        <v>05 70 00</v>
      </c>
      <c r="C81" s="183" t="str">
        <f>'Pay App 1'!C81</f>
        <v>Ornamental Metal</v>
      </c>
      <c r="D81" s="155">
        <f>'Pay App 1'!D81</f>
        <v>0</v>
      </c>
      <c r="E81" s="155">
        <f>VLOOKUP(B81,'Graph Data'!$O$2:$BX$88,54,FALSE)</f>
        <v>0</v>
      </c>
      <c r="F81" s="155">
        <f>IFERROR(E81+'Pay App 51'!F81,"")</f>
        <v>0</v>
      </c>
      <c r="G81" s="155">
        <f>SUM('Pay App 1:Pay App 51'!H81)</f>
        <v>0</v>
      </c>
      <c r="H81" s="154"/>
      <c r="I81" s="155">
        <f t="shared" si="0"/>
        <v>0</v>
      </c>
      <c r="J81" s="156">
        <f t="shared" si="1"/>
        <v>0</v>
      </c>
      <c r="K81" s="155">
        <f t="shared" si="2"/>
        <v>0</v>
      </c>
      <c r="L81" s="155" t="str">
        <f>IF(AND('Summary Sheet'!$E$23="No",$H$33&gt;0,H81&gt;=1),"",IF(AND('Summary Sheet'!$E$23="Yes",H81&lt;&gt;""),H81*'Summary Sheet'!$G$23,""))</f>
        <v/>
      </c>
      <c r="M81" s="154"/>
      <c r="N81" s="155">
        <f>SUM('Pay App 1:Pay App 52'!L81)+SUM('Pay App 1:Pay App 52'!M81)</f>
        <v>0</v>
      </c>
    </row>
    <row r="82" spans="1:14" ht="11.25" customHeight="1" x14ac:dyDescent="0.25">
      <c r="A82" s="152">
        <v>26</v>
      </c>
      <c r="B82" s="145" t="str">
        <f>'Pay App 1'!B82</f>
        <v>06 10 00</v>
      </c>
      <c r="C82" s="134" t="str">
        <f>'Pay App 1'!C82</f>
        <v>Rough Carpentry</v>
      </c>
      <c r="D82" s="155">
        <f>'Pay App 1'!D82</f>
        <v>0</v>
      </c>
      <c r="E82" s="155">
        <f>VLOOKUP(B82,'Graph Data'!$O$2:$BX$88,54,FALSE)</f>
        <v>0</v>
      </c>
      <c r="F82" s="155">
        <f>IFERROR(E82+'Pay App 51'!F82,"")</f>
        <v>0</v>
      </c>
      <c r="G82" s="155">
        <f>SUM('Pay App 1:Pay App 51'!H82)</f>
        <v>0</v>
      </c>
      <c r="H82" s="154"/>
      <c r="I82" s="155">
        <f t="shared" si="0"/>
        <v>0</v>
      </c>
      <c r="J82" s="156">
        <f t="shared" si="1"/>
        <v>0</v>
      </c>
      <c r="K82" s="155">
        <f t="shared" si="2"/>
        <v>0</v>
      </c>
      <c r="L82" s="155" t="str">
        <f>IF(AND('Summary Sheet'!$E$23="No",$H$33&gt;0,H82&gt;=1),"",IF(AND('Summary Sheet'!$E$23="Yes",H82&lt;&gt;""),H82*'Summary Sheet'!$G$23,""))</f>
        <v/>
      </c>
      <c r="M82" s="154"/>
      <c r="N82" s="155">
        <f>SUM('Pay App 1:Pay App 52'!L82)+SUM('Pay App 1:Pay App 52'!M82)</f>
        <v>0</v>
      </c>
    </row>
    <row r="83" spans="1:14" ht="11.25" customHeight="1" x14ac:dyDescent="0.25">
      <c r="A83" s="152">
        <v>27</v>
      </c>
      <c r="B83" s="145" t="str">
        <f>'Pay App 1'!B83</f>
        <v>06 40 00</v>
      </c>
      <c r="C83" s="134" t="str">
        <f>'Pay App 1'!C83</f>
        <v>Arch. Woodwork &amp; Finish Carp.</v>
      </c>
      <c r="D83" s="155">
        <f>'Pay App 1'!D83</f>
        <v>0</v>
      </c>
      <c r="E83" s="155">
        <f>VLOOKUP(B83,'Graph Data'!$O$2:$BX$88,54,FALSE)</f>
        <v>0</v>
      </c>
      <c r="F83" s="155">
        <f>IFERROR(E83+'Pay App 51'!F83,"")</f>
        <v>0</v>
      </c>
      <c r="G83" s="155">
        <f>SUM('Pay App 1:Pay App 51'!H83)</f>
        <v>0</v>
      </c>
      <c r="H83" s="154"/>
      <c r="I83" s="155">
        <f t="shared" si="0"/>
        <v>0</v>
      </c>
      <c r="J83" s="156">
        <f t="shared" si="1"/>
        <v>0</v>
      </c>
      <c r="K83" s="155">
        <f t="shared" si="2"/>
        <v>0</v>
      </c>
      <c r="L83" s="155" t="str">
        <f>IF(AND('Summary Sheet'!$E$23="No",$H$33&gt;0,H83&gt;=1),"",IF(AND('Summary Sheet'!$E$23="Yes",H83&lt;&gt;""),H83*'Summary Sheet'!$G$23,""))</f>
        <v/>
      </c>
      <c r="M83" s="154"/>
      <c r="N83" s="155">
        <f>SUM('Pay App 1:Pay App 52'!L83)+SUM('Pay App 1:Pay App 52'!M83)</f>
        <v>0</v>
      </c>
    </row>
    <row r="84" spans="1:14" ht="11.25" customHeight="1" x14ac:dyDescent="0.25">
      <c r="A84" s="152">
        <v>28</v>
      </c>
      <c r="B84" s="174" t="str">
        <f>'Pay App 1'!B84</f>
        <v>07 10 00</v>
      </c>
      <c r="C84" s="179" t="str">
        <f>'Pay App 1'!C84</f>
        <v>Waterproofing/Water Repellents</v>
      </c>
      <c r="D84" s="155">
        <f>'Pay App 1'!D84</f>
        <v>0</v>
      </c>
      <c r="E84" s="155">
        <f>VLOOKUP(B84,'Graph Data'!$O$2:$BX$88,54,FALSE)</f>
        <v>0</v>
      </c>
      <c r="F84" s="155">
        <f>IFERROR(E84+'Pay App 51'!F84,"")</f>
        <v>0</v>
      </c>
      <c r="G84" s="155">
        <f>SUM('Pay App 1:Pay App 51'!H84)</f>
        <v>0</v>
      </c>
      <c r="H84" s="154"/>
      <c r="I84" s="155">
        <f t="shared" si="0"/>
        <v>0</v>
      </c>
      <c r="J84" s="156">
        <f t="shared" si="1"/>
        <v>0</v>
      </c>
      <c r="K84" s="155">
        <f t="shared" si="2"/>
        <v>0</v>
      </c>
      <c r="L84" s="155" t="str">
        <f>IF(AND('Summary Sheet'!$E$23="No",$H$33&gt;0,H84&gt;=1),"",IF(AND('Summary Sheet'!$E$23="Yes",H84&lt;&gt;""),H84*'Summary Sheet'!$G$23,""))</f>
        <v/>
      </c>
      <c r="M84" s="154"/>
      <c r="N84" s="155">
        <f>SUM('Pay App 1:Pay App 52'!L84)+SUM('Pay App 1:Pay App 52'!M84)</f>
        <v>0</v>
      </c>
    </row>
    <row r="85" spans="1:14" ht="11.25" customHeight="1" x14ac:dyDescent="0.25">
      <c r="A85" s="152">
        <v>29</v>
      </c>
      <c r="B85" s="174" t="str">
        <f>'Pay App 1'!B85</f>
        <v>07 20 00</v>
      </c>
      <c r="C85" s="179" t="str">
        <f>'Pay App 1'!C85</f>
        <v>Insulation</v>
      </c>
      <c r="D85" s="155">
        <f>'Pay App 1'!D85</f>
        <v>0</v>
      </c>
      <c r="E85" s="155">
        <f>VLOOKUP(B85,'Graph Data'!$O$2:$BX$88,54,FALSE)</f>
        <v>0</v>
      </c>
      <c r="F85" s="155">
        <f>IFERROR(E85+'Pay App 51'!F85,"")</f>
        <v>0</v>
      </c>
      <c r="G85" s="155">
        <f>SUM('Pay App 1:Pay App 51'!H85)</f>
        <v>0</v>
      </c>
      <c r="H85" s="154"/>
      <c r="I85" s="155">
        <f t="shared" si="0"/>
        <v>0</v>
      </c>
      <c r="J85" s="156">
        <f t="shared" si="1"/>
        <v>0</v>
      </c>
      <c r="K85" s="155">
        <f t="shared" si="2"/>
        <v>0</v>
      </c>
      <c r="L85" s="155" t="str">
        <f>IF(AND('Summary Sheet'!$E$23="No",$H$33&gt;0,H85&gt;=1),"",IF(AND('Summary Sheet'!$E$23="Yes",H85&lt;&gt;""),H85*'Summary Sheet'!$G$23,""))</f>
        <v/>
      </c>
      <c r="M85" s="154"/>
      <c r="N85" s="155">
        <f>SUM('Pay App 1:Pay App 52'!L85)+SUM('Pay App 1:Pay App 52'!M85)</f>
        <v>0</v>
      </c>
    </row>
    <row r="86" spans="1:14" ht="11.25" customHeight="1" x14ac:dyDescent="0.25">
      <c r="A86" s="152">
        <v>30</v>
      </c>
      <c r="B86" s="174" t="str">
        <f>'Pay App 1'!B86</f>
        <v>07 24 00</v>
      </c>
      <c r="C86" s="179" t="str">
        <f>'Pay App 1'!C86</f>
        <v>EIFS</v>
      </c>
      <c r="D86" s="155">
        <f>'Pay App 1'!D86</f>
        <v>0</v>
      </c>
      <c r="E86" s="155">
        <f>VLOOKUP(B86,'Graph Data'!$O$2:$BX$88,54,FALSE)</f>
        <v>0</v>
      </c>
      <c r="F86" s="155">
        <f>IFERROR(E86+'Pay App 51'!F86,"")</f>
        <v>0</v>
      </c>
      <c r="G86" s="155">
        <f>SUM('Pay App 1:Pay App 51'!H86)</f>
        <v>0</v>
      </c>
      <c r="H86" s="154"/>
      <c r="I86" s="155">
        <f t="shared" si="0"/>
        <v>0</v>
      </c>
      <c r="J86" s="156">
        <f t="shared" si="1"/>
        <v>0</v>
      </c>
      <c r="K86" s="155">
        <f t="shared" si="2"/>
        <v>0</v>
      </c>
      <c r="L86" s="155" t="str">
        <f>IF(AND('Summary Sheet'!$E$23="No",$H$33&gt;0,H86&gt;=1),"",IF(AND('Summary Sheet'!$E$23="Yes",H86&lt;&gt;""),H86*'Summary Sheet'!$G$23,""))</f>
        <v/>
      </c>
      <c r="M86" s="154"/>
      <c r="N86" s="155">
        <f>SUM('Pay App 1:Pay App 52'!L86)+SUM('Pay App 1:Pay App 52'!M86)</f>
        <v>0</v>
      </c>
    </row>
    <row r="87" spans="1:14" ht="11.25" customHeight="1" x14ac:dyDescent="0.25">
      <c r="A87" s="152">
        <v>31</v>
      </c>
      <c r="B87" s="174" t="str">
        <f>'Pay App 1'!B87</f>
        <v>07 26 00</v>
      </c>
      <c r="C87" s="179" t="str">
        <f>'Pay App 1'!C87</f>
        <v>Vapor Retarders</v>
      </c>
      <c r="D87" s="155">
        <f>'Pay App 1'!D87</f>
        <v>0</v>
      </c>
      <c r="E87" s="155">
        <f>VLOOKUP(B87,'Graph Data'!$O$2:$BX$88,54,FALSE)</f>
        <v>0</v>
      </c>
      <c r="F87" s="155">
        <f>IFERROR(E87+'Pay App 51'!F87,"")</f>
        <v>0</v>
      </c>
      <c r="G87" s="155">
        <f>SUM('Pay App 1:Pay App 51'!H87)</f>
        <v>0</v>
      </c>
      <c r="H87" s="154"/>
      <c r="I87" s="155">
        <f t="shared" si="0"/>
        <v>0</v>
      </c>
      <c r="J87" s="156">
        <f t="shared" si="1"/>
        <v>0</v>
      </c>
      <c r="K87" s="155">
        <f t="shared" si="2"/>
        <v>0</v>
      </c>
      <c r="L87" s="155" t="str">
        <f>IF(AND('Summary Sheet'!$E$23="No",$H$33&gt;0,H87&gt;=1),"",IF(AND('Summary Sheet'!$E$23="Yes",H87&lt;&gt;""),H87*'Summary Sheet'!$G$23,""))</f>
        <v/>
      </c>
      <c r="M87" s="154"/>
      <c r="N87" s="155">
        <f>SUM('Pay App 1:Pay App 52'!L87)+SUM('Pay App 1:Pay App 52'!M87)</f>
        <v>0</v>
      </c>
    </row>
    <row r="88" spans="1:14" ht="11.25" customHeight="1" x14ac:dyDescent="0.25">
      <c r="A88" s="152">
        <v>32</v>
      </c>
      <c r="B88" s="174" t="str">
        <f>'Pay App 1'!B88</f>
        <v>07 41 00</v>
      </c>
      <c r="C88" s="179" t="str">
        <f>'Pay App 1'!C88</f>
        <v>Roofing</v>
      </c>
      <c r="D88" s="155">
        <f>'Pay App 1'!D88</f>
        <v>0</v>
      </c>
      <c r="E88" s="155">
        <f>VLOOKUP(B88,'Graph Data'!$O$2:$BX$88,54,FALSE)</f>
        <v>0</v>
      </c>
      <c r="F88" s="155">
        <f>IFERROR(E88+'Pay App 51'!F88,"")</f>
        <v>0</v>
      </c>
      <c r="G88" s="155">
        <f>SUM('Pay App 1:Pay App 51'!H88)</f>
        <v>0</v>
      </c>
      <c r="H88" s="154"/>
      <c r="I88" s="155">
        <f t="shared" si="0"/>
        <v>0</v>
      </c>
      <c r="J88" s="156">
        <f t="shared" si="1"/>
        <v>0</v>
      </c>
      <c r="K88" s="155">
        <f t="shared" si="2"/>
        <v>0</v>
      </c>
      <c r="L88" s="155" t="str">
        <f>IF(AND('Summary Sheet'!$E$23="No",$H$33&gt;0,H88&gt;=1),"",IF(AND('Summary Sheet'!$E$23="Yes",H88&lt;&gt;""),H88*'Summary Sheet'!$G$23,""))</f>
        <v/>
      </c>
      <c r="M88" s="154"/>
      <c r="N88" s="155">
        <f>SUM('Pay App 1:Pay App 52'!L88)+SUM('Pay App 1:Pay App 52'!M88)</f>
        <v>0</v>
      </c>
    </row>
    <row r="89" spans="1:14" ht="11.25" customHeight="1" x14ac:dyDescent="0.25">
      <c r="A89" s="152">
        <v>33</v>
      </c>
      <c r="B89" s="174" t="str">
        <f>'Pay App 1'!B89</f>
        <v>07 42 00</v>
      </c>
      <c r="C89" s="179" t="str">
        <f>'Pay App 1'!C89</f>
        <v>Metal Panels</v>
      </c>
      <c r="D89" s="155">
        <f>'Pay App 1'!D89</f>
        <v>0</v>
      </c>
      <c r="E89" s="155">
        <f>VLOOKUP(B89,'Graph Data'!$O$2:$BX$88,54,FALSE)</f>
        <v>0</v>
      </c>
      <c r="F89" s="155">
        <f>IFERROR(E89+'Pay App 51'!F89,"")</f>
        <v>0</v>
      </c>
      <c r="G89" s="155">
        <f>SUM('Pay App 1:Pay App 51'!H89)</f>
        <v>0</v>
      </c>
      <c r="H89" s="154"/>
      <c r="I89" s="155">
        <f t="shared" si="0"/>
        <v>0</v>
      </c>
      <c r="J89" s="156">
        <f t="shared" si="1"/>
        <v>0</v>
      </c>
      <c r="K89" s="155">
        <f t="shared" si="2"/>
        <v>0</v>
      </c>
      <c r="L89" s="155" t="str">
        <f>IF(AND('Summary Sheet'!$E$23="No",$H$33&gt;0,H89&gt;=1),"",IF(AND('Summary Sheet'!$E$23="Yes",H89&lt;&gt;""),H89*'Summary Sheet'!$G$23,""))</f>
        <v/>
      </c>
      <c r="M89" s="154"/>
      <c r="N89" s="155">
        <f>SUM('Pay App 1:Pay App 52'!L89)+SUM('Pay App 1:Pay App 52'!M89)</f>
        <v>0</v>
      </c>
    </row>
    <row r="90" spans="1:14" ht="11.25" customHeight="1" x14ac:dyDescent="0.25">
      <c r="A90" s="152">
        <v>34</v>
      </c>
      <c r="B90" s="174" t="str">
        <f>'Pay App 1'!B90</f>
        <v>07 60 00</v>
      </c>
      <c r="C90" s="179" t="str">
        <f>'Pay App 1'!C90</f>
        <v>Sheet Metal Flashing &amp; Trim</v>
      </c>
      <c r="D90" s="155">
        <f>'Pay App 1'!D90</f>
        <v>0</v>
      </c>
      <c r="E90" s="155">
        <f>VLOOKUP(B90,'Graph Data'!$O$2:$BX$88,54,FALSE)</f>
        <v>0</v>
      </c>
      <c r="F90" s="155">
        <f>IFERROR(E90+'Pay App 51'!F90,"")</f>
        <v>0</v>
      </c>
      <c r="G90" s="155">
        <f>SUM('Pay App 1:Pay App 51'!H90)</f>
        <v>0</v>
      </c>
      <c r="H90" s="154"/>
      <c r="I90" s="155">
        <f t="shared" si="0"/>
        <v>0</v>
      </c>
      <c r="J90" s="156">
        <f t="shared" si="1"/>
        <v>0</v>
      </c>
      <c r="K90" s="155">
        <f t="shared" si="2"/>
        <v>0</v>
      </c>
      <c r="L90" s="155" t="str">
        <f>IF(AND('Summary Sheet'!$E$23="No",$H$33&gt;0,H90&gt;=1),"",IF(AND('Summary Sheet'!$E$23="Yes",H90&lt;&gt;""),H90*'Summary Sheet'!$G$23,""))</f>
        <v/>
      </c>
      <c r="M90" s="154"/>
      <c r="N90" s="155">
        <f>SUM('Pay App 1:Pay App 52'!L90)+SUM('Pay App 1:Pay App 52'!M90)</f>
        <v>0</v>
      </c>
    </row>
    <row r="91" spans="1:14" ht="11.25" customHeight="1" x14ac:dyDescent="0.25">
      <c r="A91" s="152">
        <v>35</v>
      </c>
      <c r="B91" s="174" t="str">
        <f>'Pay App 1'!B91</f>
        <v>07 80 00</v>
      </c>
      <c r="C91" s="179" t="str">
        <f>'Pay App 1'!C91</f>
        <v>Fireproofing</v>
      </c>
      <c r="D91" s="155">
        <f>'Pay App 1'!D91</f>
        <v>0</v>
      </c>
      <c r="E91" s="155">
        <f>VLOOKUP(B91,'Graph Data'!$O$2:$BX$88,54,FALSE)</f>
        <v>0</v>
      </c>
      <c r="F91" s="155">
        <f>IFERROR(E91+'Pay App 51'!F91,"")</f>
        <v>0</v>
      </c>
      <c r="G91" s="155">
        <f>SUM('Pay App 1:Pay App 51'!H91)</f>
        <v>0</v>
      </c>
      <c r="H91" s="154"/>
      <c r="I91" s="155">
        <f t="shared" si="0"/>
        <v>0</v>
      </c>
      <c r="J91" s="156">
        <f t="shared" si="1"/>
        <v>0</v>
      </c>
      <c r="K91" s="155">
        <f t="shared" si="2"/>
        <v>0</v>
      </c>
      <c r="L91" s="155" t="str">
        <f>IF(AND('Summary Sheet'!$E$23="No",$H$33&gt;0,H91&gt;=1),"",IF(AND('Summary Sheet'!$E$23="Yes",H91&lt;&gt;""),H91*'Summary Sheet'!$G$23,""))</f>
        <v/>
      </c>
      <c r="M91" s="154"/>
      <c r="N91" s="155">
        <f>SUM('Pay App 1:Pay App 52'!L91)+SUM('Pay App 1:Pay App 52'!M91)</f>
        <v>0</v>
      </c>
    </row>
    <row r="92" spans="1:14" ht="11.25" customHeight="1" x14ac:dyDescent="0.25">
      <c r="A92" s="152">
        <v>36</v>
      </c>
      <c r="B92" s="174" t="str">
        <f>'Pay App 1'!B92</f>
        <v>07 90 00</v>
      </c>
      <c r="C92" s="179" t="str">
        <f>'Pay App 1'!C92</f>
        <v>Joint Sealants</v>
      </c>
      <c r="D92" s="155">
        <f>'Pay App 1'!D92</f>
        <v>0</v>
      </c>
      <c r="E92" s="155">
        <f>VLOOKUP(B92,'Graph Data'!$O$2:$BX$88,54,FALSE)</f>
        <v>0</v>
      </c>
      <c r="F92" s="155">
        <f>IFERROR(E92+'Pay App 51'!F92,"")</f>
        <v>0</v>
      </c>
      <c r="G92" s="155">
        <f>SUM('Pay App 1:Pay App 51'!H92)</f>
        <v>0</v>
      </c>
      <c r="H92" s="154"/>
      <c r="I92" s="155">
        <f t="shared" si="0"/>
        <v>0</v>
      </c>
      <c r="J92" s="156">
        <f t="shared" si="1"/>
        <v>0</v>
      </c>
      <c r="K92" s="155">
        <f t="shared" si="2"/>
        <v>0</v>
      </c>
      <c r="L92" s="155" t="str">
        <f>IF(AND('Summary Sheet'!$E$23="No",$H$33&gt;0,H92&gt;=1),"",IF(AND('Summary Sheet'!$E$23="Yes",H92&lt;&gt;""),H92*'Summary Sheet'!$G$23,""))</f>
        <v/>
      </c>
      <c r="M92" s="154"/>
      <c r="N92" s="155">
        <f>SUM('Pay App 1:Pay App 52'!L92)+SUM('Pay App 1:Pay App 52'!M92)</f>
        <v>0</v>
      </c>
    </row>
    <row r="93" spans="1:14" ht="11.25" customHeight="1" x14ac:dyDescent="0.25">
      <c r="A93" s="152">
        <v>37</v>
      </c>
      <c r="B93" s="174" t="str">
        <f>'Pay App 1'!B93</f>
        <v>07 95 00</v>
      </c>
      <c r="C93" s="179" t="str">
        <f>'Pay App 1'!C93</f>
        <v>Expansion Joints</v>
      </c>
      <c r="D93" s="155">
        <f>'Pay App 1'!D93</f>
        <v>0</v>
      </c>
      <c r="E93" s="155">
        <f>VLOOKUP(B93,'Graph Data'!$O$2:$BX$88,54,FALSE)</f>
        <v>0</v>
      </c>
      <c r="F93" s="155">
        <f>IFERROR(E93+'Pay App 51'!F93,"")</f>
        <v>0</v>
      </c>
      <c r="G93" s="155">
        <f>SUM('Pay App 1:Pay App 51'!H93)</f>
        <v>0</v>
      </c>
      <c r="H93" s="154"/>
      <c r="I93" s="155">
        <f t="shared" si="0"/>
        <v>0</v>
      </c>
      <c r="J93" s="156">
        <f t="shared" si="1"/>
        <v>0</v>
      </c>
      <c r="K93" s="155">
        <f t="shared" si="2"/>
        <v>0</v>
      </c>
      <c r="L93" s="155" t="str">
        <f>IF(AND('Summary Sheet'!$E$23="No",$H$33&gt;0,H93&gt;=1),"",IF(AND('Summary Sheet'!$E$23="Yes",H93&lt;&gt;""),H93*'Summary Sheet'!$G$23,""))</f>
        <v/>
      </c>
      <c r="M93" s="154"/>
      <c r="N93" s="155">
        <f>SUM('Pay App 1:Pay App 52'!L93)+SUM('Pay App 1:Pay App 52'!M93)</f>
        <v>0</v>
      </c>
    </row>
    <row r="94" spans="1:14" ht="11.25" customHeight="1" x14ac:dyDescent="0.25">
      <c r="A94" s="152">
        <v>38</v>
      </c>
      <c r="B94" s="175" t="str">
        <f>'Pay App 1'!B94</f>
        <v>08 10 00</v>
      </c>
      <c r="C94" s="180" t="str">
        <f>'Pay App 1'!C94</f>
        <v>Doors, Frames &amp; Hardware</v>
      </c>
      <c r="D94" s="155">
        <f>'Pay App 1'!D94</f>
        <v>0</v>
      </c>
      <c r="E94" s="155">
        <f>VLOOKUP(B94,'Graph Data'!$O$2:$BX$88,54,FALSE)</f>
        <v>0</v>
      </c>
      <c r="F94" s="155">
        <f>IFERROR(E94+'Pay App 51'!F94,"")</f>
        <v>0</v>
      </c>
      <c r="G94" s="155">
        <f>SUM('Pay App 1:Pay App 51'!H94)</f>
        <v>0</v>
      </c>
      <c r="H94" s="154"/>
      <c r="I94" s="155">
        <f t="shared" si="0"/>
        <v>0</v>
      </c>
      <c r="J94" s="156">
        <f t="shared" si="1"/>
        <v>0</v>
      </c>
      <c r="K94" s="155">
        <f t="shared" si="2"/>
        <v>0</v>
      </c>
      <c r="L94" s="155" t="str">
        <f>IF(AND('Summary Sheet'!$E$23="No",$H$33&gt;0,H94&gt;=1),"",IF(AND('Summary Sheet'!$E$23="Yes",H94&lt;&gt;""),H94*'Summary Sheet'!$G$23,""))</f>
        <v/>
      </c>
      <c r="M94" s="154"/>
      <c r="N94" s="155">
        <f>SUM('Pay App 1:Pay App 52'!L94)+SUM('Pay App 1:Pay App 52'!M94)</f>
        <v>0</v>
      </c>
    </row>
    <row r="95" spans="1:14" ht="11.25" customHeight="1" x14ac:dyDescent="0.25">
      <c r="A95" s="152">
        <v>39</v>
      </c>
      <c r="B95" s="175" t="str">
        <f>'Pay App 1'!B95</f>
        <v>08 30 00</v>
      </c>
      <c r="C95" s="180" t="str">
        <f>'Pay App 1'!C95</f>
        <v>Specialty Doors</v>
      </c>
      <c r="D95" s="155">
        <f>'Pay App 1'!D95</f>
        <v>0</v>
      </c>
      <c r="E95" s="155">
        <f>VLOOKUP(B95,'Graph Data'!$O$2:$BX$88,54,FALSE)</f>
        <v>0</v>
      </c>
      <c r="F95" s="155">
        <f>IFERROR(E95+'Pay App 51'!F95,"")</f>
        <v>0</v>
      </c>
      <c r="G95" s="155">
        <f>SUM('Pay App 1:Pay App 51'!H95)</f>
        <v>0</v>
      </c>
      <c r="H95" s="154"/>
      <c r="I95" s="155">
        <f t="shared" si="0"/>
        <v>0</v>
      </c>
      <c r="J95" s="156">
        <f t="shared" si="1"/>
        <v>0</v>
      </c>
      <c r="K95" s="155">
        <f t="shared" si="2"/>
        <v>0</v>
      </c>
      <c r="L95" s="155" t="str">
        <f>IF(AND('Summary Sheet'!$E$23="No",$H$33&gt;0,H95&gt;=1),"",IF(AND('Summary Sheet'!$E$23="Yes",H95&lt;&gt;""),H95*'Summary Sheet'!$G$23,""))</f>
        <v/>
      </c>
      <c r="M95" s="154"/>
      <c r="N95" s="155">
        <f>SUM('Pay App 1:Pay App 52'!L95)+SUM('Pay App 1:Pay App 52'!M95)</f>
        <v>0</v>
      </c>
    </row>
    <row r="96" spans="1:14" ht="11.25" customHeight="1" x14ac:dyDescent="0.25">
      <c r="A96" s="152">
        <v>40</v>
      </c>
      <c r="B96" s="175" t="str">
        <f>'Pay App 1'!B96</f>
        <v>08 33 00</v>
      </c>
      <c r="C96" s="180" t="str">
        <f>'Pay App 1'!C96</f>
        <v>Overhead Doors/Coiling Doors</v>
      </c>
      <c r="D96" s="155">
        <f>'Pay App 1'!D96</f>
        <v>0</v>
      </c>
      <c r="E96" s="155">
        <f>VLOOKUP(B96,'Graph Data'!$O$2:$BX$88,54,FALSE)</f>
        <v>0</v>
      </c>
      <c r="F96" s="155">
        <f>IFERROR(E96+'Pay App 51'!F96,"")</f>
        <v>0</v>
      </c>
      <c r="G96" s="155">
        <f>SUM('Pay App 1:Pay App 51'!H96)</f>
        <v>0</v>
      </c>
      <c r="H96" s="154"/>
      <c r="I96" s="155">
        <f t="shared" si="0"/>
        <v>0</v>
      </c>
      <c r="J96" s="156">
        <f t="shared" si="1"/>
        <v>0</v>
      </c>
      <c r="K96" s="155">
        <f t="shared" si="2"/>
        <v>0</v>
      </c>
      <c r="L96" s="155" t="str">
        <f>IF(AND('Summary Sheet'!$E$23="No",$H$33&gt;0,H96&gt;=1),"",IF(AND('Summary Sheet'!$E$23="Yes",H96&lt;&gt;""),H96*'Summary Sheet'!$G$23,""))</f>
        <v/>
      </c>
      <c r="M96" s="154"/>
      <c r="N96" s="155">
        <f>SUM('Pay App 1:Pay App 52'!L96)+SUM('Pay App 1:Pay App 52'!M96)</f>
        <v>0</v>
      </c>
    </row>
    <row r="97" spans="1:15" ht="11.25" customHeight="1" x14ac:dyDescent="0.25">
      <c r="A97" s="152">
        <v>41</v>
      </c>
      <c r="B97" s="175" t="str">
        <f>'Pay App 1'!B97</f>
        <v>08 40 00</v>
      </c>
      <c r="C97" s="180" t="str">
        <f>'Pay App 1'!C97</f>
        <v>Curtain Wall, Glass &amp; Glazing</v>
      </c>
      <c r="D97" s="155">
        <f>'Pay App 1'!D97</f>
        <v>0</v>
      </c>
      <c r="E97" s="155">
        <f>VLOOKUP(B97,'Graph Data'!$O$2:$BX$88,54,FALSE)</f>
        <v>0</v>
      </c>
      <c r="F97" s="155">
        <f>IFERROR(E97+'Pay App 51'!F97,"")</f>
        <v>0</v>
      </c>
      <c r="G97" s="155">
        <f>SUM('Pay App 1:Pay App 51'!H97)</f>
        <v>0</v>
      </c>
      <c r="H97" s="154"/>
      <c r="I97" s="155">
        <f t="shared" si="0"/>
        <v>0</v>
      </c>
      <c r="J97" s="156">
        <f t="shared" si="1"/>
        <v>0</v>
      </c>
      <c r="K97" s="155">
        <f t="shared" si="2"/>
        <v>0</v>
      </c>
      <c r="L97" s="155" t="str">
        <f>IF(AND('Summary Sheet'!$E$23="No",$H$33&gt;0,H97&gt;=1),"",IF(AND('Summary Sheet'!$E$23="Yes",H97&lt;&gt;""),H97*'Summary Sheet'!$G$23,""))</f>
        <v/>
      </c>
      <c r="M97" s="154"/>
      <c r="N97" s="155">
        <f>SUM('Pay App 1:Pay App 52'!L97)+SUM('Pay App 1:Pay App 52'!M97)</f>
        <v>0</v>
      </c>
    </row>
    <row r="98" spans="1:15" ht="10.9" customHeight="1" x14ac:dyDescent="0.25">
      <c r="A98" s="152">
        <v>42</v>
      </c>
      <c r="B98" s="175" t="str">
        <f>'Pay App 1'!B98</f>
        <v>08 60 00</v>
      </c>
      <c r="C98" s="180" t="str">
        <f>'Pay App 1'!C98</f>
        <v>Skylights</v>
      </c>
      <c r="D98" s="155">
        <f>'Pay App 1'!D98</f>
        <v>0</v>
      </c>
      <c r="E98" s="155">
        <f>VLOOKUP(B98,'Graph Data'!$O$2:$BX$88,54,FALSE)</f>
        <v>0</v>
      </c>
      <c r="F98" s="155">
        <f>IFERROR(E98+'Pay App 51'!F98,"")</f>
        <v>0</v>
      </c>
      <c r="G98" s="155">
        <f>SUM('Pay App 1:Pay App 51'!H98)</f>
        <v>0</v>
      </c>
      <c r="H98" s="154"/>
      <c r="I98" s="155">
        <f t="shared" si="0"/>
        <v>0</v>
      </c>
      <c r="J98" s="156">
        <f t="shared" si="1"/>
        <v>0</v>
      </c>
      <c r="K98" s="155">
        <f t="shared" si="2"/>
        <v>0</v>
      </c>
      <c r="L98" s="155" t="str">
        <f>IF(AND('Summary Sheet'!$E$23="No",$H$33&gt;0,H98&gt;=1),"",IF(AND('Summary Sheet'!$E$23="Yes",H98&lt;&gt;""),H98*'Summary Sheet'!$G$23,""))</f>
        <v/>
      </c>
      <c r="M98" s="154"/>
      <c r="N98" s="155">
        <f>SUM('Pay App 1:Pay App 52'!L98)+SUM('Pay App 1:Pay App 52'!M98)</f>
        <v>0</v>
      </c>
    </row>
    <row r="99" spans="1:15" ht="10.9" customHeight="1" x14ac:dyDescent="0.25">
      <c r="A99" s="152">
        <v>43</v>
      </c>
      <c r="B99" s="175" t="str">
        <f>'Pay App 1'!B99</f>
        <v>08 90 00</v>
      </c>
      <c r="C99" s="180" t="str">
        <f>'Pay App 1'!C99</f>
        <v>Louvers &amp; Vents</v>
      </c>
      <c r="D99" s="155">
        <f>'Pay App 1'!D99</f>
        <v>0</v>
      </c>
      <c r="E99" s="155">
        <f>VLOOKUP(B99,'Graph Data'!$O$2:$BX$88,54,FALSE)</f>
        <v>0</v>
      </c>
      <c r="F99" s="155">
        <f>IFERROR(E99+'Pay App 51'!F99,"")</f>
        <v>0</v>
      </c>
      <c r="G99" s="155">
        <f>SUM('Pay App 1:Pay App 51'!H99)</f>
        <v>0</v>
      </c>
      <c r="H99" s="154"/>
      <c r="I99" s="155">
        <f t="shared" si="0"/>
        <v>0</v>
      </c>
      <c r="J99" s="156">
        <f t="shared" si="1"/>
        <v>0</v>
      </c>
      <c r="K99" s="155">
        <f t="shared" si="2"/>
        <v>0</v>
      </c>
      <c r="L99" s="155" t="str">
        <f>IF(AND('Summary Sheet'!$E$23="No",$H$33&gt;0,H99&gt;=1),"",IF(AND('Summary Sheet'!$E$23="Yes",H99&lt;&gt;""),H99*'Summary Sheet'!$G$23,""))</f>
        <v/>
      </c>
      <c r="M99" s="154"/>
      <c r="N99" s="155">
        <f>SUM('Pay App 1:Pay App 52'!L99)+SUM('Pay App 1:Pay App 52'!M99)</f>
        <v>0</v>
      </c>
    </row>
    <row r="100" spans="1:15" ht="11.25" customHeight="1" x14ac:dyDescent="0.25">
      <c r="A100" s="153">
        <v>44</v>
      </c>
      <c r="B100" s="176" t="str">
        <f>'Pay App 1'!B100</f>
        <v>09 20 00</v>
      </c>
      <c r="C100" s="181" t="str">
        <f>'Pay App 1'!C100</f>
        <v>Gypsum Board Systems</v>
      </c>
      <c r="D100" s="155">
        <f>'Pay App 1'!D100</f>
        <v>0</v>
      </c>
      <c r="E100" s="155">
        <f>VLOOKUP(B100,'Graph Data'!$O$2:$BX$88,54,FALSE)</f>
        <v>0</v>
      </c>
      <c r="F100" s="155">
        <f>IFERROR(E100+'Pay App 51'!F100,"")</f>
        <v>0</v>
      </c>
      <c r="G100" s="155">
        <f>SUM('Pay App 1:Pay App 51'!H100)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52'!L100)+SUM('Pay App 1:Pay App 52'!M100)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52.2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Data'!$O$2:$BX$88,54,FALSE)</f>
        <v>0</v>
      </c>
      <c r="F106" s="155">
        <f>IFERROR(E106+'Pay App 51'!F106,"")</f>
        <v>0</v>
      </c>
      <c r="G106" s="155">
        <f>SUM('Pay App 1:Pay App 51'!H106)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52'!L106)+SUM('Pay App 1:Pay App 52'!M106)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Data'!$O$2:$BX$88,54,FALSE)</f>
        <v>0</v>
      </c>
      <c r="F107" s="155">
        <f>IFERROR(E107+'Pay App 51'!F107,"")</f>
        <v>0</v>
      </c>
      <c r="G107" s="155">
        <f>SUM('Pay App 1:Pay App 51'!H107)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52'!L107)+SUM('Pay App 1:Pay App 52'!M107)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Data'!$O$2:$BX$88,54,FALSE)</f>
        <v>0</v>
      </c>
      <c r="F108" s="155">
        <f>IFERROR(E108+'Pay App 51'!F108,"")</f>
        <v>0</v>
      </c>
      <c r="G108" s="155">
        <f>SUM('Pay App 1:Pay App 51'!H108)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52'!L108)+SUM('Pay App 1:Pay App 52'!M108)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Data'!$O$2:$BX$88,54,FALSE)</f>
        <v>0</v>
      </c>
      <c r="F109" s="155">
        <f>IFERROR(E109+'Pay App 51'!F109,"")</f>
        <v>0</v>
      </c>
      <c r="G109" s="155">
        <f>SUM('Pay App 1:Pay App 51'!H109)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52'!L109)+SUM('Pay App 1:Pay App 52'!M109)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Data'!$O$2:$BX$88,54,FALSE)</f>
        <v>0</v>
      </c>
      <c r="F110" s="155">
        <f>IFERROR(E110+'Pay App 51'!F110,"")</f>
        <v>0</v>
      </c>
      <c r="G110" s="155">
        <f>SUM('Pay App 1:Pay App 51'!H110)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52'!L110)+SUM('Pay App 1:Pay App 52'!M110)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Data'!$O$2:$BX$88,54,FALSE)</f>
        <v>0</v>
      </c>
      <c r="F111" s="155">
        <f>IFERROR(E111+'Pay App 51'!F111,"")</f>
        <v>0</v>
      </c>
      <c r="G111" s="155">
        <f>SUM('Pay App 1:Pay App 51'!H111)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52'!L111)+SUM('Pay App 1:Pay App 52'!M111)</f>
        <v>0</v>
      </c>
    </row>
    <row r="112" spans="1:15" ht="11.25" customHeight="1" x14ac:dyDescent="0.25">
      <c r="A112" s="152">
        <f t="shared" si="3"/>
        <v>51</v>
      </c>
      <c r="B112" s="148" t="str">
        <f>'Pay App 1'!B112</f>
        <v>09 90 00</v>
      </c>
      <c r="C112" s="143" t="str">
        <f>'Pay App 1'!C112</f>
        <v>Painting</v>
      </c>
      <c r="D112" s="155">
        <f>'Pay App 1'!D112</f>
        <v>0</v>
      </c>
      <c r="E112" s="155">
        <f>VLOOKUP(B112,'Graph Data'!$O$2:$BX$88,54,FALSE)</f>
        <v>0</v>
      </c>
      <c r="F112" s="155">
        <f>IFERROR(E112+'Pay App 51'!F112,"")</f>
        <v>0</v>
      </c>
      <c r="G112" s="155">
        <f>SUM('Pay App 1:Pay App 51'!H112)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52'!L112)+SUM('Pay App 1:Pay App 52'!M112)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Data'!$O$2:$BX$88,54,FALSE)</f>
        <v>0</v>
      </c>
      <c r="F113" s="155">
        <f>IFERROR(E113+'Pay App 51'!F113,"")</f>
        <v>0</v>
      </c>
      <c r="G113" s="155">
        <f>SUM('Pay App 1:Pay App 51'!H113)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52'!L113)+SUM('Pay App 1:Pay App 52'!M113)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Data'!$O$2:$BX$88,54,FALSE)</f>
        <v>0</v>
      </c>
      <c r="F114" s="155">
        <f>IFERROR(E114+'Pay App 51'!F114,"")</f>
        <v>0</v>
      </c>
      <c r="G114" s="155">
        <f>SUM('Pay App 1:Pay App 51'!H114)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52'!L114)+SUM('Pay App 1:Pay App 52'!M114)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Data'!$O$2:$BX$88,54,FALSE)</f>
        <v>0</v>
      </c>
      <c r="F115" s="155">
        <f>IFERROR(E115+'Pay App 51'!F115,"")</f>
        <v>0</v>
      </c>
      <c r="G115" s="155">
        <f>SUM('Pay App 1:Pay App 51'!H115)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52'!L115)+SUM('Pay App 1:Pay App 52'!M115)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Data'!$O$2:$BX$88,54,FALSE)</f>
        <v>0</v>
      </c>
      <c r="F116" s="155">
        <f>IFERROR(E116+'Pay App 51'!F116,"")</f>
        <v>0</v>
      </c>
      <c r="G116" s="155">
        <f>SUM('Pay App 1:Pay App 51'!H116)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52'!L116)+SUM('Pay App 1:Pay App 52'!M116)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Data'!$O$2:$BX$88,54,FALSE)</f>
        <v>0</v>
      </c>
      <c r="F117" s="155">
        <f>IFERROR(E117+'Pay App 51'!F117,"")</f>
        <v>0</v>
      </c>
      <c r="G117" s="155">
        <f>SUM('Pay App 1:Pay App 51'!H117)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52'!L117)+SUM('Pay App 1:Pay App 52'!M117)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Data'!$O$2:$BX$88,54,FALSE)</f>
        <v>0</v>
      </c>
      <c r="F118" s="155">
        <f>IFERROR(E118+'Pay App 51'!F118,"")</f>
        <v>0</v>
      </c>
      <c r="G118" s="155">
        <f>SUM('Pay App 1:Pay App 51'!H118)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52'!L118)+SUM('Pay App 1:Pay App 52'!M118)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Data'!$O$2:$BX$88,54,FALSE)</f>
        <v>0</v>
      </c>
      <c r="F119" s="155">
        <f>IFERROR(E119+'Pay App 51'!F119,"")</f>
        <v>0</v>
      </c>
      <c r="G119" s="155">
        <f>SUM('Pay App 1:Pay App 51'!H119)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52'!L119)+SUM('Pay App 1:Pay App 52'!M119)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Data'!$O$2:$BX$88,54,FALSE)</f>
        <v>0</v>
      </c>
      <c r="F120" s="155">
        <f>IFERROR(E120+'Pay App 51'!F120,"")</f>
        <v>0</v>
      </c>
      <c r="G120" s="155">
        <f>SUM('Pay App 1:Pay App 51'!H120)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52'!L120)+SUM('Pay App 1:Pay App 52'!M120)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Data'!$O$2:$BX$88,54,FALSE)</f>
        <v>0</v>
      </c>
      <c r="F121" s="155">
        <f>IFERROR(E121+'Pay App 51'!F121,"")</f>
        <v>0</v>
      </c>
      <c r="G121" s="155">
        <f>SUM('Pay App 1:Pay App 51'!H121)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52'!L121)+SUM('Pay App 1:Pay App 52'!M121)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Data'!$O$2:$BX$88,54,FALSE)</f>
        <v>0</v>
      </c>
      <c r="F122" s="155">
        <f>IFERROR(E122+'Pay App 51'!F122,"")</f>
        <v>0</v>
      </c>
      <c r="G122" s="155">
        <f>SUM('Pay App 1:Pay App 51'!H122)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52'!L122)+SUM('Pay App 1:Pay App 52'!M122)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Data'!$O$2:$BX$88,54,FALSE)</f>
        <v>0</v>
      </c>
      <c r="F123" s="155">
        <f>IFERROR(E123+'Pay App 51'!F123,"")</f>
        <v>0</v>
      </c>
      <c r="G123" s="155">
        <f>SUM('Pay App 1:Pay App 51'!H123)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52'!L123)+SUM('Pay App 1:Pay App 52'!M123)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Data'!$O$2:$BX$88,54,FALSE)</f>
        <v>0</v>
      </c>
      <c r="F124" s="155">
        <f>IFERROR(E124+'Pay App 51'!F124,"")</f>
        <v>0</v>
      </c>
      <c r="G124" s="155">
        <f>SUM('Pay App 1:Pay App 51'!H124)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52'!L124)+SUM('Pay App 1:Pay App 52'!M124)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Data'!$O$2:$BX$88,54,FALSE)</f>
        <v>0</v>
      </c>
      <c r="F125" s="155">
        <f>IFERROR(E125+'Pay App 51'!F125,"")</f>
        <v>0</v>
      </c>
      <c r="G125" s="155">
        <f>SUM('Pay App 1:Pay App 51'!H125)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52'!L125)+SUM('Pay App 1:Pay App 52'!M125)</f>
        <v>0</v>
      </c>
    </row>
    <row r="126" spans="1:14" ht="11.25" customHeight="1" x14ac:dyDescent="0.25">
      <c r="A126" s="152">
        <f t="shared" si="3"/>
        <v>65</v>
      </c>
      <c r="B126" s="188" t="str">
        <f>'Pay App 1'!B126</f>
        <v>14 20 00</v>
      </c>
      <c r="C126" s="194" t="str">
        <f>'Pay App 1'!C126</f>
        <v>Elevator</v>
      </c>
      <c r="D126" s="155">
        <f>'Pay App 1'!D126</f>
        <v>0</v>
      </c>
      <c r="E126" s="155">
        <f>VLOOKUP(B126,'Graph Data'!$O$2:$BX$88,54,FALSE)</f>
        <v>0</v>
      </c>
      <c r="F126" s="155">
        <f>IFERROR(E126+'Pay App 51'!F126,"")</f>
        <v>0</v>
      </c>
      <c r="G126" s="155">
        <f>SUM('Pay App 1:Pay App 51'!H126)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52'!L126)+SUM('Pay App 1:Pay App 52'!M126)</f>
        <v>0</v>
      </c>
    </row>
    <row r="127" spans="1:14" ht="11.25" customHeight="1" x14ac:dyDescent="0.25">
      <c r="A127" s="152">
        <f t="shared" si="3"/>
        <v>66</v>
      </c>
      <c r="B127" s="188" t="str">
        <f>'Pay App 1'!B127</f>
        <v>14 40 00</v>
      </c>
      <c r="C127" s="194" t="str">
        <f>'Pay App 1'!C127</f>
        <v>Lifts</v>
      </c>
      <c r="D127" s="155">
        <f>'Pay App 1'!D127</f>
        <v>0</v>
      </c>
      <c r="E127" s="155">
        <f>VLOOKUP(B127,'Graph Data'!$O$2:$BX$88,54,FALSE)</f>
        <v>0</v>
      </c>
      <c r="F127" s="155">
        <f>IFERROR(E127+'Pay App 51'!F127,"")</f>
        <v>0</v>
      </c>
      <c r="G127" s="155">
        <f>SUM('Pay App 1:Pay App 51'!H127)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52'!L127)+SUM('Pay App 1:Pay App 52'!M127)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Data'!$O$2:$BX$88,54,FALSE)</f>
        <v>0</v>
      </c>
      <c r="F128" s="155">
        <f>IFERROR(E128+'Pay App 51'!F128,"")</f>
        <v>0</v>
      </c>
      <c r="G128" s="155">
        <f>SUM('Pay App 1:Pay App 51'!H128)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52'!L128)+SUM('Pay App 1:Pay App 52'!M128)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Data'!$O$2:$BX$88,54,FALSE)</f>
        <v>0</v>
      </c>
      <c r="F129" s="155">
        <f>IFERROR(E129+'Pay App 51'!F129,"")</f>
        <v>0</v>
      </c>
      <c r="G129" s="155">
        <f>SUM('Pay App 1:Pay App 51'!H129)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52'!L129)+SUM('Pay App 1:Pay App 52'!M129)</f>
        <v>0</v>
      </c>
    </row>
    <row r="130" spans="1:14" ht="11.25" customHeight="1" x14ac:dyDescent="0.25">
      <c r="A130" s="152">
        <f t="shared" si="3"/>
        <v>69</v>
      </c>
      <c r="B130" s="185" t="str">
        <f>'Pay App 1'!B130</f>
        <v>22 00 00</v>
      </c>
      <c r="C130" s="191" t="str">
        <f>'Pay App 1'!C130</f>
        <v>Plumbing</v>
      </c>
      <c r="D130" s="155">
        <f>'Pay App 1'!D130</f>
        <v>0</v>
      </c>
      <c r="E130" s="155">
        <f>VLOOKUP(B130,'Graph Data'!$O$2:$BX$88,54,FALSE)</f>
        <v>0</v>
      </c>
      <c r="F130" s="155">
        <f>IFERROR(E130+'Pay App 51'!F130,"")</f>
        <v>0</v>
      </c>
      <c r="G130" s="155">
        <f>SUM('Pay App 1:Pay App 51'!H130)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52'!L130)+SUM('Pay App 1:Pay App 52'!M130)</f>
        <v>0</v>
      </c>
    </row>
    <row r="131" spans="1:14" ht="11.25" customHeight="1" x14ac:dyDescent="0.25">
      <c r="A131" s="152">
        <f t="shared" si="3"/>
        <v>70</v>
      </c>
      <c r="B131" s="186" t="str">
        <f>'Pay App 1'!B131</f>
        <v>23 00 00</v>
      </c>
      <c r="C131" s="192" t="str">
        <f>'Pay App 1'!C131</f>
        <v>HVAC</v>
      </c>
      <c r="D131" s="155">
        <f>'Pay App 1'!D131</f>
        <v>0</v>
      </c>
      <c r="E131" s="155">
        <f>VLOOKUP(B131,'Graph Data'!$O$2:$BX$88,54,FALSE)</f>
        <v>0</v>
      </c>
      <c r="F131" s="155">
        <f>IFERROR(E131+'Pay App 51'!F131,"")</f>
        <v>0</v>
      </c>
      <c r="G131" s="155">
        <f>SUM('Pay App 1:Pay App 51'!H131)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52'!L131)+SUM('Pay App 1:Pay App 52'!M131)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Data'!$O$2:$BX$88,54,FALSE)</f>
        <v>0</v>
      </c>
      <c r="F132" s="155">
        <f>IFERROR(E132+'Pay App 51'!F132,"")</f>
        <v>0</v>
      </c>
      <c r="G132" s="155">
        <f>SUM('Pay App 1:Pay App 51'!H132)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52'!L132)+SUM('Pay App 1:Pay App 52'!M132)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Data'!$O$2:$BX$88,54,FALSE)</f>
        <v>0</v>
      </c>
      <c r="F133" s="155">
        <f>IFERROR(E133+'Pay App 51'!F133,"")</f>
        <v>0</v>
      </c>
      <c r="G133" s="155">
        <f>SUM('Pay App 1:Pay App 51'!H133)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52'!L133)+SUM('Pay App 1:Pay App 52'!M133)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Data'!$O$2:$BX$88,54,FALSE)</f>
        <v>0</v>
      </c>
      <c r="F134" s="155">
        <f>IFERROR(E134+'Pay App 51'!F134,"")</f>
        <v>0</v>
      </c>
      <c r="G134" s="155">
        <f>SUM('Pay App 1:Pay App 51'!H134)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52'!L134)+SUM('Pay App 1:Pay App 52'!M134)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Data'!$O$2:$BX$88,54,FALSE)</f>
        <v>0</v>
      </c>
      <c r="F135" s="155">
        <f>IFERROR(E135+'Pay App 51'!F135,"")</f>
        <v>0</v>
      </c>
      <c r="G135" s="155">
        <f>SUM('Pay App 1:Pay App 51'!H135)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52'!L135)+SUM('Pay App 1:Pay App 52'!M135)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Data'!$O$2:$BX$88,54,FALSE)</f>
        <v>0</v>
      </c>
      <c r="F136" s="155">
        <f>IFERROR(E136+'Pay App 51'!F136,"")</f>
        <v>0</v>
      </c>
      <c r="G136" s="155">
        <f>SUM('Pay App 1:Pay App 51'!H136)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52'!L136)+SUM('Pay App 1:Pay App 52'!M136)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Data'!$O$2:$BX$88,54,FALSE)</f>
        <v>0</v>
      </c>
      <c r="F137" s="155">
        <f>IFERROR(E137+'Pay App 51'!F137,"")</f>
        <v>0</v>
      </c>
      <c r="G137" s="155">
        <f>SUM('Pay App 1:Pay App 51'!H137)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52'!L137)+SUM('Pay App 1:Pay App 52'!M137)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Data'!$O$2:$BX$88,54,FALSE)</f>
        <v>0</v>
      </c>
      <c r="F138" s="155">
        <f>IFERROR(E138+'Pay App 51'!F138,"")</f>
        <v>0</v>
      </c>
      <c r="G138" s="155">
        <f>SUM('Pay App 1:Pay App 51'!H138)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52'!L138)+SUM('Pay App 1:Pay App 52'!M138)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Data'!$O$2:$BX$88,54,FALSE)</f>
        <v>0</v>
      </c>
      <c r="F139" s="155">
        <f>IFERROR(E139+'Pay App 51'!F139,"")</f>
        <v>0</v>
      </c>
      <c r="G139" s="155">
        <f>SUM('Pay App 1:Pay App 51'!H139)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52'!L139)+SUM('Pay App 1:Pay App 52'!M139)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Data'!$O$2:$BX$88,54,FALSE)</f>
        <v>0</v>
      </c>
      <c r="F140" s="155">
        <f>IFERROR(E140+'Pay App 51'!F140,"")</f>
        <v>0</v>
      </c>
      <c r="G140" s="155">
        <f>SUM('Pay App 1:Pay App 51'!H140)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52'!L140)+SUM('Pay App 1:Pay App 52'!M140)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Data'!$O$2:$BX$88,54,FALSE)</f>
        <v>0</v>
      </c>
      <c r="F141" s="155">
        <f>IFERROR(E141+'Pay App 51'!F141,"")</f>
        <v>0</v>
      </c>
      <c r="G141" s="155">
        <f>SUM('Pay App 1:Pay App 51'!H141)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52'!L141)+SUM('Pay App 1:Pay App 52'!M141)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Data'!$O$2:$BX$88,54,FALSE)</f>
        <v>0</v>
      </c>
      <c r="F142" s="155">
        <f>IFERROR(E142+'Pay App 51'!F142,"")</f>
        <v>0</v>
      </c>
      <c r="G142" s="155">
        <f>SUM('Pay App 1:Pay App 51'!H142)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52'!L142)+SUM('Pay App 1:Pay App 52'!M142)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Data'!$O$2:$BX$88,54,FALSE)</f>
        <v>0</v>
      </c>
      <c r="F143" s="155">
        <f>IFERROR(E143+'Pay App 51'!F143,"")</f>
        <v>0</v>
      </c>
      <c r="G143" s="155">
        <f>SUM('Pay App 1:Pay App 51'!H143)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52'!L143)+SUM('Pay App 1:Pay App 52'!M143)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Data'!$O$2:$BX$88,54,FALSE)</f>
        <v>0</v>
      </c>
      <c r="F144" s="155">
        <f>IFERROR(E144+'Pay App 51'!F144,"")</f>
        <v>0</v>
      </c>
      <c r="G144" s="155">
        <f>SUM('Pay App 1:Pay App 51'!H144)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52'!L144)+SUM('Pay App 1:Pay App 52'!M144)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Data'!$O$2:$BX$88,54,FALSE)</f>
        <v>0</v>
      </c>
      <c r="F145" s="155">
        <f>IFERROR(E145+'Pay App 51'!F145,"")</f>
        <v>0</v>
      </c>
      <c r="G145" s="155">
        <f>SUM('Pay App 1:Pay App 51'!H145)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52'!L145)+SUM('Pay App 1:Pay App 52'!M145)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Data'!$O$2:$BX$88,54,FALSE)</f>
        <v>0</v>
      </c>
      <c r="F146" s="155">
        <f>IFERROR(E146+'Pay App 51'!F146,"")</f>
        <v>0</v>
      </c>
      <c r="G146" s="155">
        <f>SUM('Pay App 1:Pay App 51'!H146)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52'!L146)+SUM('Pay App 1:Pay App 52'!M146)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Data'!$O$2:$BX$88,54,FALSE)</f>
        <v>0</v>
      </c>
      <c r="F147" s="155">
        <f>IFERROR(E147+'Pay App 51'!F147,"")</f>
        <v>0</v>
      </c>
      <c r="G147" s="155">
        <f>SUM('Pay App 1:Pay App 51'!H147)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52'!L147)+SUM('Pay App 1:Pay App 52'!M147)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Data'!$O$2:$BX$88,54,FALSE)</f>
        <v>0</v>
      </c>
      <c r="F148" s="155">
        <f>IFERROR(E148+'Pay App 51'!F148,"")</f>
        <v>0</v>
      </c>
      <c r="G148" s="155">
        <f>SUM('Pay App 1:Pay App 51'!H148)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52'!L148)+SUM('Pay App 1:Pay App 52'!M148)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wJ+VZSpSh92/tAOVsypg3sjQug+edBj8/blwdz9ojHZqPMA8H2aEj5eraKXQIfWckwUO/vSeyDRvGPu9pzIHCQ==" saltValue="BqydJnbxVOji4nJfX4Zuhg=="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98" priority="2" operator="equal">
      <formula>0</formula>
    </cfRule>
  </conditionalFormatting>
  <conditionalFormatting sqref="D106:G148">
    <cfRule type="cellIs" dxfId="97" priority="1" operator="equal">
      <formula>0</formula>
    </cfRule>
  </conditionalFormatting>
  <conditionalFormatting sqref="D10:H10 D12:H14 D19:H21">
    <cfRule type="cellIs" dxfId="96" priority="6" operator="equal">
      <formula>0</formula>
    </cfRule>
  </conditionalFormatting>
  <conditionalFormatting sqref="H51">
    <cfRule type="cellIs" dxfId="95" priority="9" operator="lessThan">
      <formula>0</formula>
    </cfRule>
  </conditionalFormatting>
  <conditionalFormatting sqref="I57:I100 K57:K100 I106:I148 K106:K148 N106:N148">
    <cfRule type="cellIs" dxfId="94" priority="14" operator="equal">
      <formula>0</formula>
    </cfRule>
  </conditionalFormatting>
  <conditionalFormatting sqref="J57:J100 J106:J149">
    <cfRule type="cellIs" dxfId="93" priority="11" operator="greaterThan">
      <formula>1</formula>
    </cfRule>
    <cfRule type="cellIs" dxfId="92" priority="12" operator="equal">
      <formula>0</formula>
    </cfRule>
  </conditionalFormatting>
  <conditionalFormatting sqref="K57:K100 K106:K148">
    <cfRule type="cellIs" dxfId="91" priority="10" operator="lessThan">
      <formula>0</formula>
    </cfRule>
  </conditionalFormatting>
  <conditionalFormatting sqref="M57:M100">
    <cfRule type="cellIs" dxfId="90" priority="13" operator="lessThan">
      <formula>0</formula>
    </cfRule>
  </conditionalFormatting>
  <conditionalFormatting sqref="M106:M148">
    <cfRule type="cellIs" dxfId="89" priority="8" operator="lessThan">
      <formula>0</formula>
    </cfRule>
  </conditionalFormatting>
  <conditionalFormatting sqref="N57:N100">
    <cfRule type="cellIs" dxfId="88"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B5B009FD-E4B9-4D75-B853-64718691DCC7}">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4204D8B-1324-40C7-A197-3EBE127371C5}">
          <x14:formula1>
            <xm:f>'Graph Data'!$M$74:$M$76</xm:f>
          </x14:formula1>
          <xm:sqref>G17</xm:sqref>
        </x14:dataValidation>
      </x14:dataValidation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96060-BAC8-4254-8364-9B5D2316C6C7}">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53</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53'!E149)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53'!G41)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52'!H49)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53.1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Data'!$O$2:$BX$88,55,FALSE)</f>
        <v>0</v>
      </c>
      <c r="F57" s="155">
        <f>IFERROR(E57+'Pay App 52'!F57,"")</f>
        <v>0</v>
      </c>
      <c r="G57" s="155">
        <f>SUM('Pay App 1:Pay App 52'!H57)</f>
        <v>0</v>
      </c>
      <c r="H57" s="154"/>
      <c r="I57" s="155">
        <f>G57+H57</f>
        <v>0</v>
      </c>
      <c r="J57" s="156">
        <f>IFERROR(I57/F57,0)</f>
        <v>0</v>
      </c>
      <c r="K57" s="155">
        <f>IFERROR(F57-I57,"")</f>
        <v>0</v>
      </c>
      <c r="L57" s="155" t="str">
        <f>IF(AND('Summary Sheet'!$E$23="No",$H$33&gt;0,H57&gt;=1),"",IF(AND('Summary Sheet'!$E$23="Yes",H57&lt;&gt;""),H57*'Summary Sheet'!$G$23,""))</f>
        <v/>
      </c>
      <c r="M57" s="154"/>
      <c r="N57" s="155">
        <f>SUM('Pay App 1:Pay App 53'!L57)+SUM('Pay App 1:Pay App 53'!M57)</f>
        <v>0</v>
      </c>
    </row>
    <row r="58" spans="1:16" ht="11.25" customHeight="1" x14ac:dyDescent="0.25">
      <c r="A58" s="152">
        <v>2</v>
      </c>
      <c r="B58" s="145" t="str">
        <f>'Pay App 1'!B58</f>
        <v>00 02 00</v>
      </c>
      <c r="C58" s="134" t="str">
        <f>'Pay App 1'!C58</f>
        <v>Preconstruction Services</v>
      </c>
      <c r="D58" s="155">
        <f>'Pay App 1'!D58</f>
        <v>0</v>
      </c>
      <c r="E58" s="155">
        <f>VLOOKUP(B58,'Graph Data'!$O$2:$BX$88,55,FALSE)</f>
        <v>0</v>
      </c>
      <c r="F58" s="155">
        <f>IFERROR(E58+'Pay App 52'!F58,"")</f>
        <v>0</v>
      </c>
      <c r="G58" s="155">
        <f>SUM('Pay App 1:Pay App 52'!H58)</f>
        <v>0</v>
      </c>
      <c r="H58" s="154"/>
      <c r="I58" s="155">
        <f>G58+H58</f>
        <v>0</v>
      </c>
      <c r="J58" s="156">
        <f>IFERROR(I58/F58,0)</f>
        <v>0</v>
      </c>
      <c r="K58" s="155">
        <f>IFERROR(F58-I58,"")</f>
        <v>0</v>
      </c>
      <c r="L58" s="155" t="str">
        <f>IF(AND('Summary Sheet'!$E$23="No",$H$33&gt;0,H58&gt;=1),"",IF(AND('Summary Sheet'!$E$23="Yes",H58&lt;&gt;""),H58*'Summary Sheet'!$G$23,""))</f>
        <v/>
      </c>
      <c r="M58" s="154"/>
      <c r="N58" s="155">
        <f>SUM('Pay App 1:Pay App 53'!L58)+SUM('Pay App 1:Pay App 53'!M58)</f>
        <v>0</v>
      </c>
    </row>
    <row r="59" spans="1:16" ht="11.25" customHeight="1" x14ac:dyDescent="0.25">
      <c r="A59" s="152">
        <v>3</v>
      </c>
      <c r="B59" s="174" t="str">
        <f>'Pay App 1'!B59</f>
        <v>01 00 00</v>
      </c>
      <c r="C59" s="179" t="str">
        <f>'Pay App 1'!C59</f>
        <v>General Conditions/Requirements</v>
      </c>
      <c r="D59" s="155">
        <f>'Pay App 1'!D59</f>
        <v>0</v>
      </c>
      <c r="E59" s="155">
        <f>VLOOKUP(B59,'Graph Data'!$O$2:$BX$88,55,FALSE)</f>
        <v>0</v>
      </c>
      <c r="F59" s="155">
        <f>IFERROR(E59+'Pay App 52'!F59,"")</f>
        <v>0</v>
      </c>
      <c r="G59" s="155">
        <f>SUM('Pay App 1:Pay App 52'!H59)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53'!L59)+SUM('Pay App 1:Pay App 53'!M59)</f>
        <v>0</v>
      </c>
    </row>
    <row r="60" spans="1:16" ht="11.25" customHeight="1" x14ac:dyDescent="0.25">
      <c r="A60" s="152">
        <v>4</v>
      </c>
      <c r="B60" s="174" t="str">
        <f>'Pay App 1'!B60</f>
        <v>01 13 41</v>
      </c>
      <c r="C60" s="179" t="str">
        <f>'Pay App 1'!C60</f>
        <v>Temp. Scaffolding and Platforms</v>
      </c>
      <c r="D60" s="155">
        <f>'Pay App 1'!D60</f>
        <v>0</v>
      </c>
      <c r="E60" s="155">
        <f>VLOOKUP(B60,'Graph Data'!$O$2:$BX$88,55,FALSE)</f>
        <v>0</v>
      </c>
      <c r="F60" s="155">
        <f>IFERROR(E60+'Pay App 52'!F60,"")</f>
        <v>0</v>
      </c>
      <c r="G60" s="155">
        <f>SUM('Pay App 1:Pay App 52'!H60)</f>
        <v>0</v>
      </c>
      <c r="H60" s="154"/>
      <c r="I60" s="155">
        <f t="shared" si="0"/>
        <v>0</v>
      </c>
      <c r="J60" s="156">
        <f t="shared" si="1"/>
        <v>0</v>
      </c>
      <c r="K60" s="155">
        <f t="shared" si="2"/>
        <v>0</v>
      </c>
      <c r="L60" s="155" t="str">
        <f>IF(AND('Summary Sheet'!$E$23="No",$H$33&gt;0,H60&gt;=1),"",IF(AND('Summary Sheet'!$E$23="Yes",H60&lt;&gt;""),H60*'Summary Sheet'!$G$23,""))</f>
        <v/>
      </c>
      <c r="M60" s="154"/>
      <c r="N60" s="155">
        <f>SUM('Pay App 1:Pay App 53'!L60)+SUM('Pay App 1:Pay App 53'!M60)</f>
        <v>0</v>
      </c>
    </row>
    <row r="61" spans="1:16" ht="11.25" customHeight="1" x14ac:dyDescent="0.25">
      <c r="A61" s="152">
        <v>5</v>
      </c>
      <c r="B61" s="174" t="str">
        <f>'Pay App 1'!B61</f>
        <v>01 13 60</v>
      </c>
      <c r="C61" s="179" t="str">
        <f>'Pay App 1'!C61</f>
        <v>SWPPP</v>
      </c>
      <c r="D61" s="155">
        <f>'Pay App 1'!D61</f>
        <v>0</v>
      </c>
      <c r="E61" s="155">
        <f>VLOOKUP(B61,'Graph Data'!$O$2:$BX$88,55,FALSE)</f>
        <v>0</v>
      </c>
      <c r="F61" s="155">
        <f>IFERROR(E61+'Pay App 52'!F61,"")</f>
        <v>0</v>
      </c>
      <c r="G61" s="155">
        <f>SUM('Pay App 1:Pay App 52'!H61)</f>
        <v>0</v>
      </c>
      <c r="H61" s="154"/>
      <c r="I61" s="155">
        <f t="shared" si="0"/>
        <v>0</v>
      </c>
      <c r="J61" s="156">
        <f t="shared" si="1"/>
        <v>0</v>
      </c>
      <c r="K61" s="155">
        <f t="shared" si="2"/>
        <v>0</v>
      </c>
      <c r="L61" s="155" t="str">
        <f>IF(AND('Summary Sheet'!$E$23="No",$H$33&gt;0,H61&gt;=1),"",IF(AND('Summary Sheet'!$E$23="Yes",H61&lt;&gt;""),H61*'Summary Sheet'!$G$23,""))</f>
        <v/>
      </c>
      <c r="M61" s="154"/>
      <c r="N61" s="155">
        <f>SUM('Pay App 1:Pay App 53'!L61)+SUM('Pay App 1:Pay App 53'!M61)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Data'!$O$2:$BX$88,55,FALSE)</f>
        <v>0</v>
      </c>
      <c r="F62" s="155">
        <f>IFERROR(E62+'Pay App 52'!F62,"")</f>
        <v>0</v>
      </c>
      <c r="G62" s="155">
        <f>SUM('Pay App 1:Pay App 52'!H62)</f>
        <v>0</v>
      </c>
      <c r="H62" s="154"/>
      <c r="I62" s="155">
        <f t="shared" si="0"/>
        <v>0</v>
      </c>
      <c r="J62" s="156">
        <f t="shared" si="1"/>
        <v>0</v>
      </c>
      <c r="K62" s="155">
        <f t="shared" si="2"/>
        <v>0</v>
      </c>
      <c r="L62" s="155" t="str">
        <f>IF(AND('Summary Sheet'!$E$23="No",$H$33&gt;0,H62&gt;=1),"",IF(AND('Summary Sheet'!$E$23="Yes",H62&lt;&gt;""),H62*'Summary Sheet'!$G$23,""))</f>
        <v/>
      </c>
      <c r="M62" s="154"/>
      <c r="N62" s="155">
        <f>SUM('Pay App 1:Pay App 53'!L62)+SUM('Pay App 1:Pay App 53'!M62)</f>
        <v>0</v>
      </c>
    </row>
    <row r="63" spans="1:16" ht="11.25" customHeight="1" x14ac:dyDescent="0.25">
      <c r="A63" s="152">
        <v>7</v>
      </c>
      <c r="B63" s="174" t="str">
        <f>'Pay App 1'!B63</f>
        <v>01 31 00</v>
      </c>
      <c r="C63" s="179" t="str">
        <f>'Pay App 1'!C63</f>
        <v>Contractor's Supervision</v>
      </c>
      <c r="D63" s="155">
        <f>'Pay App 1'!D63</f>
        <v>0</v>
      </c>
      <c r="E63" s="155">
        <f>VLOOKUP(B63,'Graph Data'!$O$2:$BX$88,55,FALSE)</f>
        <v>0</v>
      </c>
      <c r="F63" s="155">
        <f>IFERROR(E63+'Pay App 52'!F63,"")</f>
        <v>0</v>
      </c>
      <c r="G63" s="155">
        <f>SUM('Pay App 1:Pay App 52'!H63)</f>
        <v>0</v>
      </c>
      <c r="H63" s="154"/>
      <c r="I63" s="155">
        <f t="shared" si="0"/>
        <v>0</v>
      </c>
      <c r="J63" s="156">
        <f t="shared" si="1"/>
        <v>0</v>
      </c>
      <c r="K63" s="155">
        <f t="shared" si="2"/>
        <v>0</v>
      </c>
      <c r="L63" s="155" t="str">
        <f>IF(AND('Summary Sheet'!$E$23="No",$H$33&gt;0,H63&gt;=1),"",IF(AND('Summary Sheet'!$E$23="Yes",H63&lt;&gt;""),H63*'Summary Sheet'!$G$23,""))</f>
        <v/>
      </c>
      <c r="M63" s="154"/>
      <c r="N63" s="155">
        <f>SUM('Pay App 1:Pay App 53'!L63)+SUM('Pay App 1:Pay App 53'!M63)</f>
        <v>0</v>
      </c>
    </row>
    <row r="64" spans="1:16" ht="11.25" customHeight="1" x14ac:dyDescent="0.25">
      <c r="A64" s="152">
        <v>8</v>
      </c>
      <c r="B64" s="174" t="str">
        <f>'Pay App 1'!B64</f>
        <v>01 32 00</v>
      </c>
      <c r="C64" s="179" t="str">
        <f>'Pay App 1'!C64</f>
        <v>General Liability Insurance</v>
      </c>
      <c r="D64" s="155">
        <f>'Pay App 1'!D64</f>
        <v>0</v>
      </c>
      <c r="E64" s="155">
        <f>VLOOKUP(B64,'Graph Data'!$O$2:$BX$88,55,FALSE)</f>
        <v>0</v>
      </c>
      <c r="F64" s="155">
        <f>IFERROR(E64+'Pay App 52'!F64,"")</f>
        <v>0</v>
      </c>
      <c r="G64" s="155">
        <f>SUM('Pay App 1:Pay App 52'!H64)</f>
        <v>0</v>
      </c>
      <c r="H64" s="154"/>
      <c r="I64" s="155">
        <f t="shared" si="0"/>
        <v>0</v>
      </c>
      <c r="J64" s="156">
        <f t="shared" si="1"/>
        <v>0</v>
      </c>
      <c r="K64" s="155">
        <f t="shared" si="2"/>
        <v>0</v>
      </c>
      <c r="L64" s="155" t="str">
        <f>IF(AND('Summary Sheet'!$E$23="No",$H$33&gt;0,H64&gt;=1),"",IF(AND('Summary Sheet'!$E$23="Yes",H64&lt;&gt;""),H64*'Summary Sheet'!$G$23,""))</f>
        <v/>
      </c>
      <c r="M64" s="154"/>
      <c r="N64" s="155">
        <f>SUM('Pay App 1:Pay App 53'!L64)+SUM('Pay App 1:Pay App 53'!M64)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Data'!$O$2:$BX$88,55,FALSE)</f>
        <v>0</v>
      </c>
      <c r="F65" s="155">
        <f>IFERROR(E65+'Pay App 52'!F65,"")</f>
        <v>0</v>
      </c>
      <c r="G65" s="155">
        <f>SUM('Pay App 1:Pay App 52'!H65)</f>
        <v>0</v>
      </c>
      <c r="H65" s="154"/>
      <c r="I65" s="155">
        <f t="shared" si="0"/>
        <v>0</v>
      </c>
      <c r="J65" s="156">
        <f t="shared" si="1"/>
        <v>0</v>
      </c>
      <c r="K65" s="155">
        <f t="shared" si="2"/>
        <v>0</v>
      </c>
      <c r="L65" s="155" t="str">
        <f>IF(AND('Summary Sheet'!$E$23="No",$H$33&gt;0,H65&gt;=1),"",IF(AND('Summary Sheet'!$E$23="Yes",H65&lt;&gt;""),H65*'Summary Sheet'!$G$23,""))</f>
        <v/>
      </c>
      <c r="M65" s="154"/>
      <c r="N65" s="155">
        <f>SUM('Pay App 1:Pay App 53'!L65)+SUM('Pay App 1:Pay App 53'!M65)</f>
        <v>0</v>
      </c>
    </row>
    <row r="66" spans="1:17" ht="11.25" customHeight="1" x14ac:dyDescent="0.25">
      <c r="A66" s="152">
        <v>10</v>
      </c>
      <c r="B66" s="174" t="str">
        <f>'Pay App 1'!B66</f>
        <v>01 34 00</v>
      </c>
      <c r="C66" s="179" t="str">
        <f>'Pay App 1'!C66</f>
        <v>Subcontractor Default Insurance</v>
      </c>
      <c r="D66" s="155">
        <f>'Pay App 1'!D66</f>
        <v>0</v>
      </c>
      <c r="E66" s="155">
        <f>VLOOKUP(B66,'Graph Data'!$O$2:$BX$88,55,FALSE)</f>
        <v>0</v>
      </c>
      <c r="F66" s="155">
        <f>IFERROR(E66+'Pay App 52'!F66,"")</f>
        <v>0</v>
      </c>
      <c r="G66" s="155">
        <f>SUM('Pay App 1:Pay App 52'!H66)</f>
        <v>0</v>
      </c>
      <c r="H66" s="154"/>
      <c r="I66" s="155">
        <f t="shared" si="0"/>
        <v>0</v>
      </c>
      <c r="J66" s="156">
        <f t="shared" si="1"/>
        <v>0</v>
      </c>
      <c r="K66" s="155">
        <f t="shared" si="2"/>
        <v>0</v>
      </c>
      <c r="L66" s="155" t="str">
        <f>IF(AND('Summary Sheet'!$E$23="No",$H$33&gt;0,H66&gt;=1),"",IF(AND('Summary Sheet'!$E$23="Yes",H66&lt;&gt;""),H66*'Summary Sheet'!$G$23,""))</f>
        <v/>
      </c>
      <c r="M66" s="154"/>
      <c r="N66" s="155">
        <f>SUM('Pay App 1:Pay App 53'!L66)+SUM('Pay App 1:Pay App 53'!M66)</f>
        <v>0</v>
      </c>
    </row>
    <row r="67" spans="1:17" ht="11.25" customHeight="1" x14ac:dyDescent="0.25">
      <c r="A67" s="152">
        <v>11</v>
      </c>
      <c r="B67" s="174" t="str">
        <f>'Pay App 1'!B67</f>
        <v>01 35 00</v>
      </c>
      <c r="C67" s="179" t="str">
        <f>'Pay App 1'!C67</f>
        <v>Construction Management Fee</v>
      </c>
      <c r="D67" s="155">
        <f>'Pay App 1'!D67</f>
        <v>0</v>
      </c>
      <c r="E67" s="155">
        <f>VLOOKUP(B67,'Graph Data'!$O$2:$BX$88,55,FALSE)</f>
        <v>0</v>
      </c>
      <c r="F67" s="155">
        <f>IFERROR(E67+'Pay App 52'!F67,"")</f>
        <v>0</v>
      </c>
      <c r="G67" s="155">
        <f>SUM('Pay App 1:Pay App 52'!H67)</f>
        <v>0</v>
      </c>
      <c r="H67" s="154"/>
      <c r="I67" s="155">
        <f t="shared" si="0"/>
        <v>0</v>
      </c>
      <c r="J67" s="156">
        <f t="shared" si="1"/>
        <v>0</v>
      </c>
      <c r="K67" s="155">
        <f t="shared" si="2"/>
        <v>0</v>
      </c>
      <c r="L67" s="155" t="str">
        <f>IF(AND('Summary Sheet'!$E$23="No",$H$33&gt;0,H67&gt;=1),"",IF(AND('Summary Sheet'!$E$23="Yes",H67&lt;&gt;""),H67*'Summary Sheet'!$G$23,""))</f>
        <v/>
      </c>
      <c r="M67" s="154"/>
      <c r="N67" s="155">
        <f>SUM('Pay App 1:Pay App 53'!L67)+SUM('Pay App 1:Pay App 53'!M67)</f>
        <v>0</v>
      </c>
    </row>
    <row r="68" spans="1:17" ht="11.25" customHeight="1" x14ac:dyDescent="0.25">
      <c r="A68" s="152">
        <v>12</v>
      </c>
      <c r="B68" s="174" t="str">
        <f>'Pay App 1'!B68</f>
        <v>01 36 00</v>
      </c>
      <c r="C68" s="179" t="str">
        <f>'Pay App 1'!C68</f>
        <v>Contingency</v>
      </c>
      <c r="D68" s="155">
        <f>'Pay App 1'!D68</f>
        <v>0</v>
      </c>
      <c r="E68" s="155">
        <f>VLOOKUP(B68,'Graph Data'!$O$2:$BX$88,55,FALSE)</f>
        <v>0</v>
      </c>
      <c r="F68" s="155">
        <f>IFERROR(E68+'Pay App 52'!F68,"")</f>
        <v>0</v>
      </c>
      <c r="G68" s="155">
        <f>SUM('Pay App 1:Pay App 52'!H68)</f>
        <v>0</v>
      </c>
      <c r="H68" s="154"/>
      <c r="I68" s="155">
        <f t="shared" si="0"/>
        <v>0</v>
      </c>
      <c r="J68" s="156">
        <f t="shared" si="1"/>
        <v>0</v>
      </c>
      <c r="K68" s="155">
        <f t="shared" si="2"/>
        <v>0</v>
      </c>
      <c r="L68" s="155" t="str">
        <f>IF(AND('Summary Sheet'!$E$23="No",$H$33&gt;0,H68&gt;=1),"",IF(AND('Summary Sheet'!$E$23="Yes",H68&lt;&gt;""),H68*'Summary Sheet'!$G$23,""))</f>
        <v/>
      </c>
      <c r="M68" s="154"/>
      <c r="N68" s="155">
        <f>SUM('Pay App 1:Pay App 53'!L68)+SUM('Pay App 1:Pay App 53'!M68)</f>
        <v>0</v>
      </c>
    </row>
    <row r="69" spans="1:17" ht="11.25" customHeight="1" x14ac:dyDescent="0.25">
      <c r="A69" s="152">
        <v>13</v>
      </c>
      <c r="B69" s="174" t="str">
        <f>'Pay App 1'!B69</f>
        <v>01 37 00</v>
      </c>
      <c r="C69" s="179" t="str">
        <f>'Pay App 1'!C69</f>
        <v>Weather Allowance (All Trades)</v>
      </c>
      <c r="D69" s="155">
        <f>'Pay App 1'!D69</f>
        <v>0</v>
      </c>
      <c r="E69" s="155">
        <f>VLOOKUP(B69,'Graph Data'!$O$2:$BX$88,55,FALSE)</f>
        <v>0</v>
      </c>
      <c r="F69" s="155">
        <f>IFERROR(E69+'Pay App 52'!F69,"")</f>
        <v>0</v>
      </c>
      <c r="G69" s="155">
        <f>SUM('Pay App 1:Pay App 52'!H69)</f>
        <v>0</v>
      </c>
      <c r="H69" s="154"/>
      <c r="I69" s="155">
        <f t="shared" si="0"/>
        <v>0</v>
      </c>
      <c r="J69" s="156">
        <f t="shared" si="1"/>
        <v>0</v>
      </c>
      <c r="K69" s="155">
        <f t="shared" si="2"/>
        <v>0</v>
      </c>
      <c r="L69" s="155" t="str">
        <f>IF(AND('Summary Sheet'!$E$23="No",$H$33&gt;0,H69&gt;=1),"",IF(AND('Summary Sheet'!$E$23="Yes",H69&lt;&gt;""),H69*'Summary Sheet'!$G$23,""))</f>
        <v/>
      </c>
      <c r="M69" s="154"/>
      <c r="N69" s="155">
        <f>SUM('Pay App 1:Pay App 53'!L69)+SUM('Pay App 1:Pay App 53'!M69)</f>
        <v>0</v>
      </c>
    </row>
    <row r="70" spans="1:17" ht="11.25" customHeight="1" x14ac:dyDescent="0.25">
      <c r="A70" s="152">
        <v>14</v>
      </c>
      <c r="B70" s="174" t="str">
        <f>'Pay App 1'!B70</f>
        <v>01 74 23</v>
      </c>
      <c r="C70" s="179" t="str">
        <f>'Pay App 1'!C70</f>
        <v>Cleaning (Final)</v>
      </c>
      <c r="D70" s="155">
        <f>'Pay App 1'!D70</f>
        <v>0</v>
      </c>
      <c r="E70" s="155">
        <f>VLOOKUP(B70,'Graph Data'!$O$2:$BX$88,55,FALSE)</f>
        <v>0</v>
      </c>
      <c r="F70" s="155">
        <f>IFERROR(E70+'Pay App 52'!F70,"")</f>
        <v>0</v>
      </c>
      <c r="G70" s="155">
        <f>SUM('Pay App 1:Pay App 52'!H70)</f>
        <v>0</v>
      </c>
      <c r="H70" s="154"/>
      <c r="I70" s="155">
        <f t="shared" si="0"/>
        <v>0</v>
      </c>
      <c r="J70" s="156">
        <f t="shared" si="1"/>
        <v>0</v>
      </c>
      <c r="K70" s="155">
        <f t="shared" si="2"/>
        <v>0</v>
      </c>
      <c r="L70" s="155" t="str">
        <f>IF(AND('Summary Sheet'!$E$23="No",$H$33&gt;0,H70&gt;=1),"",IF(AND('Summary Sheet'!$E$23="Yes",H70&lt;&gt;""),H70*'Summary Sheet'!$G$23,""))</f>
        <v/>
      </c>
      <c r="M70" s="154"/>
      <c r="N70" s="155">
        <f>SUM('Pay App 1:Pay App 53'!L70)+SUM('Pay App 1:Pay App 53'!M70)</f>
        <v>0</v>
      </c>
    </row>
    <row r="71" spans="1:17" ht="11.25" customHeight="1" x14ac:dyDescent="0.25">
      <c r="A71" s="152">
        <v>15</v>
      </c>
      <c r="B71" s="175" t="str">
        <f>'Pay App 1'!B71</f>
        <v>02 21 00</v>
      </c>
      <c r="C71" s="180" t="str">
        <f>'Pay App 1'!C71</f>
        <v>Survey/Engineering</v>
      </c>
      <c r="D71" s="155">
        <f>'Pay App 1'!D71</f>
        <v>0</v>
      </c>
      <c r="E71" s="155">
        <f>VLOOKUP(B71,'Graph Data'!$O$2:$BX$88,55,FALSE)</f>
        <v>0</v>
      </c>
      <c r="F71" s="155">
        <f>IFERROR(E71+'Pay App 52'!F71,"")</f>
        <v>0</v>
      </c>
      <c r="G71" s="155">
        <f>SUM('Pay App 1:Pay App 52'!H71)</f>
        <v>0</v>
      </c>
      <c r="H71" s="154"/>
      <c r="I71" s="155">
        <f t="shared" si="0"/>
        <v>0</v>
      </c>
      <c r="J71" s="156">
        <f t="shared" si="1"/>
        <v>0</v>
      </c>
      <c r="K71" s="155">
        <f t="shared" si="2"/>
        <v>0</v>
      </c>
      <c r="L71" s="155" t="str">
        <f>IF(AND('Summary Sheet'!$E$23="No",$H$33&gt;0,H71&gt;=1),"",IF(AND('Summary Sheet'!$E$23="Yes",H71&lt;&gt;""),H71*'Summary Sheet'!$G$23,""))</f>
        <v/>
      </c>
      <c r="M71" s="154"/>
      <c r="N71" s="155">
        <f>SUM('Pay App 1:Pay App 53'!L71)+SUM('Pay App 1:Pay App 53'!M71)</f>
        <v>0</v>
      </c>
      <c r="Q71" s="28"/>
    </row>
    <row r="72" spans="1:17" ht="11.25" customHeight="1" x14ac:dyDescent="0.25">
      <c r="A72" s="152">
        <v>16</v>
      </c>
      <c r="B72" s="175" t="str">
        <f>'Pay App 1'!B72</f>
        <v>02 41 00</v>
      </c>
      <c r="C72" s="180" t="str">
        <f>'Pay App 1'!C72</f>
        <v>Demolition</v>
      </c>
      <c r="D72" s="155">
        <f>'Pay App 1'!D72</f>
        <v>0</v>
      </c>
      <c r="E72" s="155">
        <f>VLOOKUP(B72,'Graph Data'!$O$2:$BX$88,55,FALSE)</f>
        <v>0</v>
      </c>
      <c r="F72" s="155">
        <f>IFERROR(E72+'Pay App 52'!F72,"")</f>
        <v>0</v>
      </c>
      <c r="G72" s="155">
        <f>SUM('Pay App 1:Pay App 52'!H72)</f>
        <v>0</v>
      </c>
      <c r="H72" s="154"/>
      <c r="I72" s="155">
        <f t="shared" si="0"/>
        <v>0</v>
      </c>
      <c r="J72" s="156">
        <f t="shared" si="1"/>
        <v>0</v>
      </c>
      <c r="K72" s="155">
        <f t="shared" si="2"/>
        <v>0</v>
      </c>
      <c r="L72" s="155" t="str">
        <f>IF(AND('Summary Sheet'!$E$23="No",$H$33&gt;0,H72&gt;=1),"",IF(AND('Summary Sheet'!$E$23="Yes",H72&lt;&gt;""),H72*'Summary Sheet'!$G$23,""))</f>
        <v/>
      </c>
      <c r="M72" s="154"/>
      <c r="N72" s="155">
        <f>SUM('Pay App 1:Pay App 53'!L72)+SUM('Pay App 1:Pay App 53'!M72)</f>
        <v>0</v>
      </c>
      <c r="Q72" s="28"/>
    </row>
    <row r="73" spans="1:17" ht="11.25" customHeight="1" x14ac:dyDescent="0.25">
      <c r="A73" s="152">
        <v>17</v>
      </c>
      <c r="B73" s="175" t="str">
        <f>'Pay App 1'!B73</f>
        <v>02 82 00</v>
      </c>
      <c r="C73" s="180" t="str">
        <f>'Pay App 1'!C73</f>
        <v>Asbestos Abatement</v>
      </c>
      <c r="D73" s="155">
        <f>'Pay App 1'!D73</f>
        <v>0</v>
      </c>
      <c r="E73" s="155">
        <f>VLOOKUP(B73,'Graph Data'!$O$2:$BX$88,55,FALSE)</f>
        <v>0</v>
      </c>
      <c r="F73" s="155">
        <f>IFERROR(E73+'Pay App 52'!F73,"")</f>
        <v>0</v>
      </c>
      <c r="G73" s="155">
        <f>SUM('Pay App 1:Pay App 52'!H73)</f>
        <v>0</v>
      </c>
      <c r="H73" s="154"/>
      <c r="I73" s="155">
        <f t="shared" si="0"/>
        <v>0</v>
      </c>
      <c r="J73" s="156">
        <f t="shared" si="1"/>
        <v>0</v>
      </c>
      <c r="K73" s="155">
        <f t="shared" si="2"/>
        <v>0</v>
      </c>
      <c r="L73" s="155" t="str">
        <f>IF(AND('Summary Sheet'!$E$23="No",$H$33&gt;0,H73&gt;=1),"",IF(AND('Summary Sheet'!$E$23="Yes",H73&lt;&gt;""),H73*'Summary Sheet'!$G$23,""))</f>
        <v/>
      </c>
      <c r="M73" s="154"/>
      <c r="N73" s="155">
        <f>SUM('Pay App 1:Pay App 53'!L73)+SUM('Pay App 1:Pay App 53'!M73)</f>
        <v>0</v>
      </c>
    </row>
    <row r="74" spans="1:17" ht="11.25" customHeight="1" x14ac:dyDescent="0.25">
      <c r="A74" s="152">
        <v>18</v>
      </c>
      <c r="B74" s="176" t="str">
        <f>'Pay App 1'!B74</f>
        <v>03 00 00</v>
      </c>
      <c r="C74" s="181" t="str">
        <f>'Pay App 1'!C74</f>
        <v>Building Concrete</v>
      </c>
      <c r="D74" s="155">
        <f>'Pay App 1'!D74</f>
        <v>0</v>
      </c>
      <c r="E74" s="155">
        <f>VLOOKUP(B74,'Graph Data'!$O$2:$BX$88,55,FALSE)</f>
        <v>0</v>
      </c>
      <c r="F74" s="155">
        <f>IFERROR(E74+'Pay App 52'!F74,"")</f>
        <v>0</v>
      </c>
      <c r="G74" s="155">
        <f>SUM('Pay App 1:Pay App 52'!H74)</f>
        <v>0</v>
      </c>
      <c r="H74" s="154"/>
      <c r="I74" s="155">
        <f t="shared" si="0"/>
        <v>0</v>
      </c>
      <c r="J74" s="156">
        <f t="shared" si="1"/>
        <v>0</v>
      </c>
      <c r="K74" s="155">
        <f t="shared" si="2"/>
        <v>0</v>
      </c>
      <c r="L74" s="155" t="str">
        <f>IF(AND('Summary Sheet'!$E$23="No",$H$33&gt;0,H74&gt;=1),"",IF(AND('Summary Sheet'!$E$23="Yes",H74&lt;&gt;""),H74*'Summary Sheet'!$G$23,""))</f>
        <v/>
      </c>
      <c r="M74" s="154"/>
      <c r="N74" s="155">
        <f>SUM('Pay App 1:Pay App 53'!L74)+SUM('Pay App 1:Pay App 53'!M74)</f>
        <v>0</v>
      </c>
    </row>
    <row r="75" spans="1:17" ht="11.25" customHeight="1" x14ac:dyDescent="0.25">
      <c r="A75" s="152">
        <v>19</v>
      </c>
      <c r="B75" s="176" t="str">
        <f>'Pay App 1'!B75</f>
        <v>03 20 00</v>
      </c>
      <c r="C75" s="181" t="str">
        <f>'Pay App 1'!C75</f>
        <v>Building Concrete Reinforcing</v>
      </c>
      <c r="D75" s="155">
        <f>'Pay App 1'!D75</f>
        <v>0</v>
      </c>
      <c r="E75" s="155">
        <f>VLOOKUP(B75,'Graph Data'!$O$2:$BX$88,55,FALSE)</f>
        <v>0</v>
      </c>
      <c r="F75" s="155">
        <f>IFERROR(E75+'Pay App 52'!F75,"")</f>
        <v>0</v>
      </c>
      <c r="G75" s="155">
        <f>SUM('Pay App 1:Pay App 52'!H75)</f>
        <v>0</v>
      </c>
      <c r="H75" s="154"/>
      <c r="I75" s="155">
        <f t="shared" si="0"/>
        <v>0</v>
      </c>
      <c r="J75" s="156">
        <f t="shared" si="1"/>
        <v>0</v>
      </c>
      <c r="K75" s="155">
        <f t="shared" si="2"/>
        <v>0</v>
      </c>
      <c r="L75" s="155" t="str">
        <f>IF(AND('Summary Sheet'!$E$23="No",$H$33&gt;0,H75&gt;=1),"",IF(AND('Summary Sheet'!$E$23="Yes",H75&lt;&gt;""),H75*'Summary Sheet'!$G$23,""))</f>
        <v/>
      </c>
      <c r="M75" s="154"/>
      <c r="N75" s="155">
        <f>SUM('Pay App 1:Pay App 53'!L75)+SUM('Pay App 1:Pay App 53'!M75)</f>
        <v>0</v>
      </c>
    </row>
    <row r="76" spans="1:17" ht="11.25" customHeight="1" x14ac:dyDescent="0.25">
      <c r="A76" s="152">
        <v>20</v>
      </c>
      <c r="B76" s="176" t="str">
        <f>'Pay App 1'!B76</f>
        <v>03 40 00</v>
      </c>
      <c r="C76" s="181" t="str">
        <f>'Pay App 1'!C76</f>
        <v>Precast</v>
      </c>
      <c r="D76" s="155">
        <f>'Pay App 1'!D76</f>
        <v>0</v>
      </c>
      <c r="E76" s="155">
        <f>VLOOKUP(B76,'Graph Data'!$O$2:$BX$88,55,FALSE)</f>
        <v>0</v>
      </c>
      <c r="F76" s="155">
        <f>IFERROR(E76+'Pay App 52'!F76,"")</f>
        <v>0</v>
      </c>
      <c r="G76" s="155">
        <f>SUM('Pay App 1:Pay App 52'!H76)</f>
        <v>0</v>
      </c>
      <c r="H76" s="154"/>
      <c r="I76" s="155">
        <f t="shared" si="0"/>
        <v>0</v>
      </c>
      <c r="J76" s="156">
        <f t="shared" si="1"/>
        <v>0</v>
      </c>
      <c r="K76" s="155">
        <f t="shared" si="2"/>
        <v>0</v>
      </c>
      <c r="L76" s="155" t="str">
        <f>IF(AND('Summary Sheet'!$E$23="No",$H$33&gt;0,H76&gt;=1),"",IF(AND('Summary Sheet'!$E$23="Yes",H76&lt;&gt;""),H76*'Summary Sheet'!$G$23,""))</f>
        <v/>
      </c>
      <c r="M76" s="154"/>
      <c r="N76" s="155">
        <f>SUM('Pay App 1:Pay App 53'!L76)+SUM('Pay App 1:Pay App 53'!M76)</f>
        <v>0</v>
      </c>
    </row>
    <row r="77" spans="1:17" ht="11.25" customHeight="1" x14ac:dyDescent="0.25">
      <c r="A77" s="152">
        <v>21</v>
      </c>
      <c r="B77" s="177" t="str">
        <f>'Pay App 1'!B77</f>
        <v>04 00 00</v>
      </c>
      <c r="C77" s="182" t="str">
        <f>'Pay App 1'!C77</f>
        <v>Masonry</v>
      </c>
      <c r="D77" s="155">
        <f>'Pay App 1'!D77</f>
        <v>0</v>
      </c>
      <c r="E77" s="155">
        <f>VLOOKUP(B77,'Graph Data'!$O$2:$BX$88,55,FALSE)</f>
        <v>0</v>
      </c>
      <c r="F77" s="155">
        <f>IFERROR(E77+'Pay App 52'!F77,"")</f>
        <v>0</v>
      </c>
      <c r="G77" s="155">
        <f>SUM('Pay App 1:Pay App 52'!H77)</f>
        <v>0</v>
      </c>
      <c r="H77" s="154"/>
      <c r="I77" s="155">
        <f t="shared" si="0"/>
        <v>0</v>
      </c>
      <c r="J77" s="156">
        <f t="shared" si="1"/>
        <v>0</v>
      </c>
      <c r="K77" s="155">
        <f t="shared" si="2"/>
        <v>0</v>
      </c>
      <c r="L77" s="155" t="str">
        <f>IF(AND('Summary Sheet'!$E$23="No",$H$33&gt;0,H77&gt;=1),"",IF(AND('Summary Sheet'!$E$23="Yes",H77&lt;&gt;""),H77*'Summary Sheet'!$G$23,""))</f>
        <v/>
      </c>
      <c r="M77" s="154"/>
      <c r="N77" s="155">
        <f>SUM('Pay App 1:Pay App 53'!L77)+SUM('Pay App 1:Pay App 53'!M77)</f>
        <v>0</v>
      </c>
    </row>
    <row r="78" spans="1:17" ht="11.25" customHeight="1" x14ac:dyDescent="0.25">
      <c r="A78" s="152">
        <v>22</v>
      </c>
      <c r="B78" s="177" t="str">
        <f>'Pay App 1'!B78</f>
        <v>04 05 19</v>
      </c>
      <c r="C78" s="182" t="str">
        <f>'Pay App 1'!C78</f>
        <v>Masonry Reinforcing</v>
      </c>
      <c r="D78" s="155">
        <f>'Pay App 1'!D78</f>
        <v>0</v>
      </c>
      <c r="E78" s="155">
        <f>VLOOKUP(B78,'Graph Data'!$O$2:$BX$88,55,FALSE)</f>
        <v>0</v>
      </c>
      <c r="F78" s="155">
        <f>IFERROR(E78+'Pay App 52'!F78,"")</f>
        <v>0</v>
      </c>
      <c r="G78" s="155">
        <f>SUM('Pay App 1:Pay App 52'!H78)</f>
        <v>0</v>
      </c>
      <c r="H78" s="154"/>
      <c r="I78" s="155">
        <f t="shared" si="0"/>
        <v>0</v>
      </c>
      <c r="J78" s="156">
        <f t="shared" si="1"/>
        <v>0</v>
      </c>
      <c r="K78" s="155">
        <f t="shared" si="2"/>
        <v>0</v>
      </c>
      <c r="L78" s="155" t="str">
        <f>IF(AND('Summary Sheet'!$E$23="No",$H$33&gt;0,H78&gt;=1),"",IF(AND('Summary Sheet'!$E$23="Yes",H78&lt;&gt;""),H78*'Summary Sheet'!$G$23,""))</f>
        <v/>
      </c>
      <c r="M78" s="154"/>
      <c r="N78" s="155">
        <f>SUM('Pay App 1:Pay App 53'!L78)+SUM('Pay App 1:Pay App 53'!M78)</f>
        <v>0</v>
      </c>
    </row>
    <row r="79" spans="1:17" ht="11.25" customHeight="1" x14ac:dyDescent="0.25">
      <c r="A79" s="152">
        <v>23</v>
      </c>
      <c r="B79" s="178" t="str">
        <f>'Pay App 1'!B79</f>
        <v>05 10 00</v>
      </c>
      <c r="C79" s="183" t="str">
        <f>'Pay App 1'!C79</f>
        <v>Structural Steel/Misc. Steel Fab</v>
      </c>
      <c r="D79" s="155">
        <f>'Pay App 1'!D79</f>
        <v>0</v>
      </c>
      <c r="E79" s="155">
        <f>VLOOKUP(B79,'Graph Data'!$O$2:$BX$88,55,FALSE)</f>
        <v>0</v>
      </c>
      <c r="F79" s="155">
        <f>IFERROR(E79+'Pay App 52'!F79,"")</f>
        <v>0</v>
      </c>
      <c r="G79" s="155">
        <f>SUM('Pay App 1:Pay App 52'!H79)</f>
        <v>0</v>
      </c>
      <c r="H79" s="154"/>
      <c r="I79" s="155">
        <f t="shared" si="0"/>
        <v>0</v>
      </c>
      <c r="J79" s="156">
        <f t="shared" si="1"/>
        <v>0</v>
      </c>
      <c r="K79" s="155">
        <f t="shared" si="2"/>
        <v>0</v>
      </c>
      <c r="L79" s="155" t="str">
        <f>IF(AND('Summary Sheet'!$E$23="No",$H$33&gt;0,H79&gt;=1),"",IF(AND('Summary Sheet'!$E$23="Yes",H79&lt;&gt;""),H79*'Summary Sheet'!$G$23,""))</f>
        <v/>
      </c>
      <c r="M79" s="154"/>
      <c r="N79" s="155">
        <f>SUM('Pay App 1:Pay App 53'!L79)+SUM('Pay App 1:Pay App 53'!M79)</f>
        <v>0</v>
      </c>
    </row>
    <row r="80" spans="1:17" ht="11.25" customHeight="1" x14ac:dyDescent="0.25">
      <c r="A80" s="152">
        <v>24</v>
      </c>
      <c r="B80" s="178" t="str">
        <f>'Pay App 1'!B80</f>
        <v>05 20 00</v>
      </c>
      <c r="C80" s="183" t="str">
        <f>'Pay App 1'!C80</f>
        <v>Joists &amp; Deck</v>
      </c>
      <c r="D80" s="155">
        <f>'Pay App 1'!D80</f>
        <v>0</v>
      </c>
      <c r="E80" s="155">
        <f>VLOOKUP(B80,'Graph Data'!$O$2:$BX$88,55,FALSE)</f>
        <v>0</v>
      </c>
      <c r="F80" s="155">
        <f>IFERROR(E80+'Pay App 52'!F80,"")</f>
        <v>0</v>
      </c>
      <c r="G80" s="155">
        <f>SUM('Pay App 1:Pay App 52'!H80)</f>
        <v>0</v>
      </c>
      <c r="H80" s="154"/>
      <c r="I80" s="155">
        <f t="shared" si="0"/>
        <v>0</v>
      </c>
      <c r="J80" s="156">
        <f t="shared" si="1"/>
        <v>0</v>
      </c>
      <c r="K80" s="155">
        <f t="shared" si="2"/>
        <v>0</v>
      </c>
      <c r="L80" s="155" t="str">
        <f>IF(AND('Summary Sheet'!$E$23="No",$H$33&gt;0,H80&gt;=1),"",IF(AND('Summary Sheet'!$E$23="Yes",H80&lt;&gt;""),H80*'Summary Sheet'!$G$23,""))</f>
        <v/>
      </c>
      <c r="M80" s="154"/>
      <c r="N80" s="155">
        <f>SUM('Pay App 1:Pay App 53'!L80)+SUM('Pay App 1:Pay App 53'!M80)</f>
        <v>0</v>
      </c>
    </row>
    <row r="81" spans="1:14" ht="11.25" customHeight="1" x14ac:dyDescent="0.25">
      <c r="A81" s="152">
        <v>25</v>
      </c>
      <c r="B81" s="178" t="str">
        <f>'Pay App 1'!B81</f>
        <v>05 70 00</v>
      </c>
      <c r="C81" s="183" t="str">
        <f>'Pay App 1'!C81</f>
        <v>Ornamental Metal</v>
      </c>
      <c r="D81" s="155">
        <f>'Pay App 1'!D81</f>
        <v>0</v>
      </c>
      <c r="E81" s="155">
        <f>VLOOKUP(B81,'Graph Data'!$O$2:$BX$88,55,FALSE)</f>
        <v>0</v>
      </c>
      <c r="F81" s="155">
        <f>IFERROR(E81+'Pay App 52'!F81,"")</f>
        <v>0</v>
      </c>
      <c r="G81" s="155">
        <f>SUM('Pay App 1:Pay App 52'!H81)</f>
        <v>0</v>
      </c>
      <c r="H81" s="154"/>
      <c r="I81" s="155">
        <f t="shared" si="0"/>
        <v>0</v>
      </c>
      <c r="J81" s="156">
        <f t="shared" si="1"/>
        <v>0</v>
      </c>
      <c r="K81" s="155">
        <f t="shared" si="2"/>
        <v>0</v>
      </c>
      <c r="L81" s="155" t="str">
        <f>IF(AND('Summary Sheet'!$E$23="No",$H$33&gt;0,H81&gt;=1),"",IF(AND('Summary Sheet'!$E$23="Yes",H81&lt;&gt;""),H81*'Summary Sheet'!$G$23,""))</f>
        <v/>
      </c>
      <c r="M81" s="154"/>
      <c r="N81" s="155">
        <f>SUM('Pay App 1:Pay App 53'!L81)+SUM('Pay App 1:Pay App 53'!M81)</f>
        <v>0</v>
      </c>
    </row>
    <row r="82" spans="1:14" ht="11.25" customHeight="1" x14ac:dyDescent="0.25">
      <c r="A82" s="152">
        <v>26</v>
      </c>
      <c r="B82" s="145" t="str">
        <f>'Pay App 1'!B82</f>
        <v>06 10 00</v>
      </c>
      <c r="C82" s="134" t="str">
        <f>'Pay App 1'!C82</f>
        <v>Rough Carpentry</v>
      </c>
      <c r="D82" s="155">
        <f>'Pay App 1'!D82</f>
        <v>0</v>
      </c>
      <c r="E82" s="155">
        <f>VLOOKUP(B82,'Graph Data'!$O$2:$BX$88,55,FALSE)</f>
        <v>0</v>
      </c>
      <c r="F82" s="155">
        <f>IFERROR(E82+'Pay App 52'!F82,"")</f>
        <v>0</v>
      </c>
      <c r="G82" s="155">
        <f>SUM('Pay App 1:Pay App 52'!H82)</f>
        <v>0</v>
      </c>
      <c r="H82" s="154"/>
      <c r="I82" s="155">
        <f t="shared" si="0"/>
        <v>0</v>
      </c>
      <c r="J82" s="156">
        <f t="shared" si="1"/>
        <v>0</v>
      </c>
      <c r="K82" s="155">
        <f t="shared" si="2"/>
        <v>0</v>
      </c>
      <c r="L82" s="155" t="str">
        <f>IF(AND('Summary Sheet'!$E$23="No",$H$33&gt;0,H82&gt;=1),"",IF(AND('Summary Sheet'!$E$23="Yes",H82&lt;&gt;""),H82*'Summary Sheet'!$G$23,""))</f>
        <v/>
      </c>
      <c r="M82" s="154"/>
      <c r="N82" s="155">
        <f>SUM('Pay App 1:Pay App 53'!L82)+SUM('Pay App 1:Pay App 53'!M82)</f>
        <v>0</v>
      </c>
    </row>
    <row r="83" spans="1:14" ht="11.25" customHeight="1" x14ac:dyDescent="0.25">
      <c r="A83" s="152">
        <v>27</v>
      </c>
      <c r="B83" s="145" t="str">
        <f>'Pay App 1'!B83</f>
        <v>06 40 00</v>
      </c>
      <c r="C83" s="134" t="str">
        <f>'Pay App 1'!C83</f>
        <v>Arch. Woodwork &amp; Finish Carp.</v>
      </c>
      <c r="D83" s="155">
        <f>'Pay App 1'!D83</f>
        <v>0</v>
      </c>
      <c r="E83" s="155">
        <f>VLOOKUP(B83,'Graph Data'!$O$2:$BX$88,55,FALSE)</f>
        <v>0</v>
      </c>
      <c r="F83" s="155">
        <f>IFERROR(E83+'Pay App 52'!F83,"")</f>
        <v>0</v>
      </c>
      <c r="G83" s="155">
        <f>SUM('Pay App 1:Pay App 52'!H83)</f>
        <v>0</v>
      </c>
      <c r="H83" s="154"/>
      <c r="I83" s="155">
        <f t="shared" si="0"/>
        <v>0</v>
      </c>
      <c r="J83" s="156">
        <f t="shared" si="1"/>
        <v>0</v>
      </c>
      <c r="K83" s="155">
        <f t="shared" si="2"/>
        <v>0</v>
      </c>
      <c r="L83" s="155" t="str">
        <f>IF(AND('Summary Sheet'!$E$23="No",$H$33&gt;0,H83&gt;=1),"",IF(AND('Summary Sheet'!$E$23="Yes",H83&lt;&gt;""),H83*'Summary Sheet'!$G$23,""))</f>
        <v/>
      </c>
      <c r="M83" s="154"/>
      <c r="N83" s="155">
        <f>SUM('Pay App 1:Pay App 53'!L83)+SUM('Pay App 1:Pay App 53'!M83)</f>
        <v>0</v>
      </c>
    </row>
    <row r="84" spans="1:14" ht="11.25" customHeight="1" x14ac:dyDescent="0.25">
      <c r="A84" s="152">
        <v>28</v>
      </c>
      <c r="B84" s="174" t="str">
        <f>'Pay App 1'!B84</f>
        <v>07 10 00</v>
      </c>
      <c r="C84" s="179" t="str">
        <f>'Pay App 1'!C84</f>
        <v>Waterproofing/Water Repellents</v>
      </c>
      <c r="D84" s="155">
        <f>'Pay App 1'!D84</f>
        <v>0</v>
      </c>
      <c r="E84" s="155">
        <f>VLOOKUP(B84,'Graph Data'!$O$2:$BX$88,55,FALSE)</f>
        <v>0</v>
      </c>
      <c r="F84" s="155">
        <f>IFERROR(E84+'Pay App 52'!F84,"")</f>
        <v>0</v>
      </c>
      <c r="G84" s="155">
        <f>SUM('Pay App 1:Pay App 52'!H84)</f>
        <v>0</v>
      </c>
      <c r="H84" s="154"/>
      <c r="I84" s="155">
        <f t="shared" si="0"/>
        <v>0</v>
      </c>
      <c r="J84" s="156">
        <f t="shared" si="1"/>
        <v>0</v>
      </c>
      <c r="K84" s="155">
        <f t="shared" si="2"/>
        <v>0</v>
      </c>
      <c r="L84" s="155" t="str">
        <f>IF(AND('Summary Sheet'!$E$23="No",$H$33&gt;0,H84&gt;=1),"",IF(AND('Summary Sheet'!$E$23="Yes",H84&lt;&gt;""),H84*'Summary Sheet'!$G$23,""))</f>
        <v/>
      </c>
      <c r="M84" s="154"/>
      <c r="N84" s="155">
        <f>SUM('Pay App 1:Pay App 53'!L84)+SUM('Pay App 1:Pay App 53'!M84)</f>
        <v>0</v>
      </c>
    </row>
    <row r="85" spans="1:14" ht="11.25" customHeight="1" x14ac:dyDescent="0.25">
      <c r="A85" s="152">
        <v>29</v>
      </c>
      <c r="B85" s="174" t="str">
        <f>'Pay App 1'!B85</f>
        <v>07 20 00</v>
      </c>
      <c r="C85" s="179" t="str">
        <f>'Pay App 1'!C85</f>
        <v>Insulation</v>
      </c>
      <c r="D85" s="155">
        <f>'Pay App 1'!D85</f>
        <v>0</v>
      </c>
      <c r="E85" s="155">
        <f>VLOOKUP(B85,'Graph Data'!$O$2:$BX$88,55,FALSE)</f>
        <v>0</v>
      </c>
      <c r="F85" s="155">
        <f>IFERROR(E85+'Pay App 52'!F85,"")</f>
        <v>0</v>
      </c>
      <c r="G85" s="155">
        <f>SUM('Pay App 1:Pay App 52'!H85)</f>
        <v>0</v>
      </c>
      <c r="H85" s="154"/>
      <c r="I85" s="155">
        <f t="shared" si="0"/>
        <v>0</v>
      </c>
      <c r="J85" s="156">
        <f t="shared" si="1"/>
        <v>0</v>
      </c>
      <c r="K85" s="155">
        <f t="shared" si="2"/>
        <v>0</v>
      </c>
      <c r="L85" s="155" t="str">
        <f>IF(AND('Summary Sheet'!$E$23="No",$H$33&gt;0,H85&gt;=1),"",IF(AND('Summary Sheet'!$E$23="Yes",H85&lt;&gt;""),H85*'Summary Sheet'!$G$23,""))</f>
        <v/>
      </c>
      <c r="M85" s="154"/>
      <c r="N85" s="155">
        <f>SUM('Pay App 1:Pay App 53'!L85)+SUM('Pay App 1:Pay App 53'!M85)</f>
        <v>0</v>
      </c>
    </row>
    <row r="86" spans="1:14" ht="11.25" customHeight="1" x14ac:dyDescent="0.25">
      <c r="A86" s="152">
        <v>30</v>
      </c>
      <c r="B86" s="174" t="str">
        <f>'Pay App 1'!B86</f>
        <v>07 24 00</v>
      </c>
      <c r="C86" s="179" t="str">
        <f>'Pay App 1'!C86</f>
        <v>EIFS</v>
      </c>
      <c r="D86" s="155">
        <f>'Pay App 1'!D86</f>
        <v>0</v>
      </c>
      <c r="E86" s="155">
        <f>VLOOKUP(B86,'Graph Data'!$O$2:$BX$88,55,FALSE)</f>
        <v>0</v>
      </c>
      <c r="F86" s="155">
        <f>IFERROR(E86+'Pay App 52'!F86,"")</f>
        <v>0</v>
      </c>
      <c r="G86" s="155">
        <f>SUM('Pay App 1:Pay App 52'!H86)</f>
        <v>0</v>
      </c>
      <c r="H86" s="154"/>
      <c r="I86" s="155">
        <f t="shared" si="0"/>
        <v>0</v>
      </c>
      <c r="J86" s="156">
        <f t="shared" si="1"/>
        <v>0</v>
      </c>
      <c r="K86" s="155">
        <f t="shared" si="2"/>
        <v>0</v>
      </c>
      <c r="L86" s="155" t="str">
        <f>IF(AND('Summary Sheet'!$E$23="No",$H$33&gt;0,H86&gt;=1),"",IF(AND('Summary Sheet'!$E$23="Yes",H86&lt;&gt;""),H86*'Summary Sheet'!$G$23,""))</f>
        <v/>
      </c>
      <c r="M86" s="154"/>
      <c r="N86" s="155">
        <f>SUM('Pay App 1:Pay App 53'!L86)+SUM('Pay App 1:Pay App 53'!M86)</f>
        <v>0</v>
      </c>
    </row>
    <row r="87" spans="1:14" ht="11.25" customHeight="1" x14ac:dyDescent="0.25">
      <c r="A87" s="152">
        <v>31</v>
      </c>
      <c r="B87" s="174" t="str">
        <f>'Pay App 1'!B87</f>
        <v>07 26 00</v>
      </c>
      <c r="C87" s="179" t="str">
        <f>'Pay App 1'!C87</f>
        <v>Vapor Retarders</v>
      </c>
      <c r="D87" s="155">
        <f>'Pay App 1'!D87</f>
        <v>0</v>
      </c>
      <c r="E87" s="155">
        <f>VLOOKUP(B87,'Graph Data'!$O$2:$BX$88,55,FALSE)</f>
        <v>0</v>
      </c>
      <c r="F87" s="155">
        <f>IFERROR(E87+'Pay App 52'!F87,"")</f>
        <v>0</v>
      </c>
      <c r="G87" s="155">
        <f>SUM('Pay App 1:Pay App 52'!H87)</f>
        <v>0</v>
      </c>
      <c r="H87" s="154"/>
      <c r="I87" s="155">
        <f t="shared" si="0"/>
        <v>0</v>
      </c>
      <c r="J87" s="156">
        <f t="shared" si="1"/>
        <v>0</v>
      </c>
      <c r="K87" s="155">
        <f t="shared" si="2"/>
        <v>0</v>
      </c>
      <c r="L87" s="155" t="str">
        <f>IF(AND('Summary Sheet'!$E$23="No",$H$33&gt;0,H87&gt;=1),"",IF(AND('Summary Sheet'!$E$23="Yes",H87&lt;&gt;""),H87*'Summary Sheet'!$G$23,""))</f>
        <v/>
      </c>
      <c r="M87" s="154"/>
      <c r="N87" s="155">
        <f>SUM('Pay App 1:Pay App 53'!L87)+SUM('Pay App 1:Pay App 53'!M87)</f>
        <v>0</v>
      </c>
    </row>
    <row r="88" spans="1:14" ht="11.25" customHeight="1" x14ac:dyDescent="0.25">
      <c r="A88" s="152">
        <v>32</v>
      </c>
      <c r="B88" s="174" t="str">
        <f>'Pay App 1'!B88</f>
        <v>07 41 00</v>
      </c>
      <c r="C88" s="179" t="str">
        <f>'Pay App 1'!C88</f>
        <v>Roofing</v>
      </c>
      <c r="D88" s="155">
        <f>'Pay App 1'!D88</f>
        <v>0</v>
      </c>
      <c r="E88" s="155">
        <f>VLOOKUP(B88,'Graph Data'!$O$2:$BX$88,55,FALSE)</f>
        <v>0</v>
      </c>
      <c r="F88" s="155">
        <f>IFERROR(E88+'Pay App 52'!F88,"")</f>
        <v>0</v>
      </c>
      <c r="G88" s="155">
        <f>SUM('Pay App 1:Pay App 52'!H88)</f>
        <v>0</v>
      </c>
      <c r="H88" s="154"/>
      <c r="I88" s="155">
        <f t="shared" si="0"/>
        <v>0</v>
      </c>
      <c r="J88" s="156">
        <f t="shared" si="1"/>
        <v>0</v>
      </c>
      <c r="K88" s="155">
        <f t="shared" si="2"/>
        <v>0</v>
      </c>
      <c r="L88" s="155" t="str">
        <f>IF(AND('Summary Sheet'!$E$23="No",$H$33&gt;0,H88&gt;=1),"",IF(AND('Summary Sheet'!$E$23="Yes",H88&lt;&gt;""),H88*'Summary Sheet'!$G$23,""))</f>
        <v/>
      </c>
      <c r="M88" s="154"/>
      <c r="N88" s="155">
        <f>SUM('Pay App 1:Pay App 53'!L88)+SUM('Pay App 1:Pay App 53'!M88)</f>
        <v>0</v>
      </c>
    </row>
    <row r="89" spans="1:14" ht="11.25" customHeight="1" x14ac:dyDescent="0.25">
      <c r="A89" s="152">
        <v>33</v>
      </c>
      <c r="B89" s="174" t="str">
        <f>'Pay App 1'!B89</f>
        <v>07 42 00</v>
      </c>
      <c r="C89" s="179" t="str">
        <f>'Pay App 1'!C89</f>
        <v>Metal Panels</v>
      </c>
      <c r="D89" s="155">
        <f>'Pay App 1'!D89</f>
        <v>0</v>
      </c>
      <c r="E89" s="155">
        <f>VLOOKUP(B89,'Graph Data'!$O$2:$BX$88,55,FALSE)</f>
        <v>0</v>
      </c>
      <c r="F89" s="155">
        <f>IFERROR(E89+'Pay App 52'!F89,"")</f>
        <v>0</v>
      </c>
      <c r="G89" s="155">
        <f>SUM('Pay App 1:Pay App 52'!H89)</f>
        <v>0</v>
      </c>
      <c r="H89" s="154"/>
      <c r="I89" s="155">
        <f t="shared" si="0"/>
        <v>0</v>
      </c>
      <c r="J89" s="156">
        <f t="shared" si="1"/>
        <v>0</v>
      </c>
      <c r="K89" s="155">
        <f t="shared" si="2"/>
        <v>0</v>
      </c>
      <c r="L89" s="155" t="str">
        <f>IF(AND('Summary Sheet'!$E$23="No",$H$33&gt;0,H89&gt;=1),"",IF(AND('Summary Sheet'!$E$23="Yes",H89&lt;&gt;""),H89*'Summary Sheet'!$G$23,""))</f>
        <v/>
      </c>
      <c r="M89" s="154"/>
      <c r="N89" s="155">
        <f>SUM('Pay App 1:Pay App 53'!L89)+SUM('Pay App 1:Pay App 53'!M89)</f>
        <v>0</v>
      </c>
    </row>
    <row r="90" spans="1:14" ht="11.25" customHeight="1" x14ac:dyDescent="0.25">
      <c r="A90" s="152">
        <v>34</v>
      </c>
      <c r="B90" s="174" t="str">
        <f>'Pay App 1'!B90</f>
        <v>07 60 00</v>
      </c>
      <c r="C90" s="179" t="str">
        <f>'Pay App 1'!C90</f>
        <v>Sheet Metal Flashing &amp; Trim</v>
      </c>
      <c r="D90" s="155">
        <f>'Pay App 1'!D90</f>
        <v>0</v>
      </c>
      <c r="E90" s="155">
        <f>VLOOKUP(B90,'Graph Data'!$O$2:$BX$88,55,FALSE)</f>
        <v>0</v>
      </c>
      <c r="F90" s="155">
        <f>IFERROR(E90+'Pay App 52'!F90,"")</f>
        <v>0</v>
      </c>
      <c r="G90" s="155">
        <f>SUM('Pay App 1:Pay App 52'!H90)</f>
        <v>0</v>
      </c>
      <c r="H90" s="154"/>
      <c r="I90" s="155">
        <f t="shared" si="0"/>
        <v>0</v>
      </c>
      <c r="J90" s="156">
        <f t="shared" si="1"/>
        <v>0</v>
      </c>
      <c r="K90" s="155">
        <f t="shared" si="2"/>
        <v>0</v>
      </c>
      <c r="L90" s="155" t="str">
        <f>IF(AND('Summary Sheet'!$E$23="No",$H$33&gt;0,H90&gt;=1),"",IF(AND('Summary Sheet'!$E$23="Yes",H90&lt;&gt;""),H90*'Summary Sheet'!$G$23,""))</f>
        <v/>
      </c>
      <c r="M90" s="154"/>
      <c r="N90" s="155">
        <f>SUM('Pay App 1:Pay App 53'!L90)+SUM('Pay App 1:Pay App 53'!M90)</f>
        <v>0</v>
      </c>
    </row>
    <row r="91" spans="1:14" ht="11.25" customHeight="1" x14ac:dyDescent="0.25">
      <c r="A91" s="152">
        <v>35</v>
      </c>
      <c r="B91" s="174" t="str">
        <f>'Pay App 1'!B91</f>
        <v>07 80 00</v>
      </c>
      <c r="C91" s="179" t="str">
        <f>'Pay App 1'!C91</f>
        <v>Fireproofing</v>
      </c>
      <c r="D91" s="155">
        <f>'Pay App 1'!D91</f>
        <v>0</v>
      </c>
      <c r="E91" s="155">
        <f>VLOOKUP(B91,'Graph Data'!$O$2:$BX$88,55,FALSE)</f>
        <v>0</v>
      </c>
      <c r="F91" s="155">
        <f>IFERROR(E91+'Pay App 52'!F91,"")</f>
        <v>0</v>
      </c>
      <c r="G91" s="155">
        <f>SUM('Pay App 1:Pay App 52'!H91)</f>
        <v>0</v>
      </c>
      <c r="H91" s="154"/>
      <c r="I91" s="155">
        <f t="shared" si="0"/>
        <v>0</v>
      </c>
      <c r="J91" s="156">
        <f t="shared" si="1"/>
        <v>0</v>
      </c>
      <c r="K91" s="155">
        <f t="shared" si="2"/>
        <v>0</v>
      </c>
      <c r="L91" s="155" t="str">
        <f>IF(AND('Summary Sheet'!$E$23="No",$H$33&gt;0,H91&gt;=1),"",IF(AND('Summary Sheet'!$E$23="Yes",H91&lt;&gt;""),H91*'Summary Sheet'!$G$23,""))</f>
        <v/>
      </c>
      <c r="M91" s="154"/>
      <c r="N91" s="155">
        <f>SUM('Pay App 1:Pay App 53'!L91)+SUM('Pay App 1:Pay App 53'!M91)</f>
        <v>0</v>
      </c>
    </row>
    <row r="92" spans="1:14" ht="11.25" customHeight="1" x14ac:dyDescent="0.25">
      <c r="A92" s="152">
        <v>36</v>
      </c>
      <c r="B92" s="174" t="str">
        <f>'Pay App 1'!B92</f>
        <v>07 90 00</v>
      </c>
      <c r="C92" s="179" t="str">
        <f>'Pay App 1'!C92</f>
        <v>Joint Sealants</v>
      </c>
      <c r="D92" s="155">
        <f>'Pay App 1'!D92</f>
        <v>0</v>
      </c>
      <c r="E92" s="155">
        <f>VLOOKUP(B92,'Graph Data'!$O$2:$BX$88,55,FALSE)</f>
        <v>0</v>
      </c>
      <c r="F92" s="155">
        <f>IFERROR(E92+'Pay App 52'!F92,"")</f>
        <v>0</v>
      </c>
      <c r="G92" s="155">
        <f>SUM('Pay App 1:Pay App 52'!H92)</f>
        <v>0</v>
      </c>
      <c r="H92" s="154"/>
      <c r="I92" s="155">
        <f t="shared" si="0"/>
        <v>0</v>
      </c>
      <c r="J92" s="156">
        <f t="shared" si="1"/>
        <v>0</v>
      </c>
      <c r="K92" s="155">
        <f t="shared" si="2"/>
        <v>0</v>
      </c>
      <c r="L92" s="155" t="str">
        <f>IF(AND('Summary Sheet'!$E$23="No",$H$33&gt;0,H92&gt;=1),"",IF(AND('Summary Sheet'!$E$23="Yes",H92&lt;&gt;""),H92*'Summary Sheet'!$G$23,""))</f>
        <v/>
      </c>
      <c r="M92" s="154"/>
      <c r="N92" s="155">
        <f>SUM('Pay App 1:Pay App 53'!L92)+SUM('Pay App 1:Pay App 53'!M92)</f>
        <v>0</v>
      </c>
    </row>
    <row r="93" spans="1:14" ht="11.25" customHeight="1" x14ac:dyDescent="0.25">
      <c r="A93" s="152">
        <v>37</v>
      </c>
      <c r="B93" s="174" t="str">
        <f>'Pay App 1'!B93</f>
        <v>07 95 00</v>
      </c>
      <c r="C93" s="179" t="str">
        <f>'Pay App 1'!C93</f>
        <v>Expansion Joints</v>
      </c>
      <c r="D93" s="155">
        <f>'Pay App 1'!D93</f>
        <v>0</v>
      </c>
      <c r="E93" s="155">
        <f>VLOOKUP(B93,'Graph Data'!$O$2:$BX$88,55,FALSE)</f>
        <v>0</v>
      </c>
      <c r="F93" s="155">
        <f>IFERROR(E93+'Pay App 52'!F93,"")</f>
        <v>0</v>
      </c>
      <c r="G93" s="155">
        <f>SUM('Pay App 1:Pay App 52'!H93)</f>
        <v>0</v>
      </c>
      <c r="H93" s="154"/>
      <c r="I93" s="155">
        <f t="shared" si="0"/>
        <v>0</v>
      </c>
      <c r="J93" s="156">
        <f t="shared" si="1"/>
        <v>0</v>
      </c>
      <c r="K93" s="155">
        <f t="shared" si="2"/>
        <v>0</v>
      </c>
      <c r="L93" s="155" t="str">
        <f>IF(AND('Summary Sheet'!$E$23="No",$H$33&gt;0,H93&gt;=1),"",IF(AND('Summary Sheet'!$E$23="Yes",H93&lt;&gt;""),H93*'Summary Sheet'!$G$23,""))</f>
        <v/>
      </c>
      <c r="M93" s="154"/>
      <c r="N93" s="155">
        <f>SUM('Pay App 1:Pay App 53'!L93)+SUM('Pay App 1:Pay App 53'!M93)</f>
        <v>0</v>
      </c>
    </row>
    <row r="94" spans="1:14" ht="11.25" customHeight="1" x14ac:dyDescent="0.25">
      <c r="A94" s="152">
        <v>38</v>
      </c>
      <c r="B94" s="175" t="str">
        <f>'Pay App 1'!B94</f>
        <v>08 10 00</v>
      </c>
      <c r="C94" s="180" t="str">
        <f>'Pay App 1'!C94</f>
        <v>Doors, Frames &amp; Hardware</v>
      </c>
      <c r="D94" s="155">
        <f>'Pay App 1'!D94</f>
        <v>0</v>
      </c>
      <c r="E94" s="155">
        <f>VLOOKUP(B94,'Graph Data'!$O$2:$BX$88,55,FALSE)</f>
        <v>0</v>
      </c>
      <c r="F94" s="155">
        <f>IFERROR(E94+'Pay App 52'!F94,"")</f>
        <v>0</v>
      </c>
      <c r="G94" s="155">
        <f>SUM('Pay App 1:Pay App 52'!H94)</f>
        <v>0</v>
      </c>
      <c r="H94" s="154"/>
      <c r="I94" s="155">
        <f t="shared" si="0"/>
        <v>0</v>
      </c>
      <c r="J94" s="156">
        <f t="shared" si="1"/>
        <v>0</v>
      </c>
      <c r="K94" s="155">
        <f t="shared" si="2"/>
        <v>0</v>
      </c>
      <c r="L94" s="155" t="str">
        <f>IF(AND('Summary Sheet'!$E$23="No",$H$33&gt;0,H94&gt;=1),"",IF(AND('Summary Sheet'!$E$23="Yes",H94&lt;&gt;""),H94*'Summary Sheet'!$G$23,""))</f>
        <v/>
      </c>
      <c r="M94" s="154"/>
      <c r="N94" s="155">
        <f>SUM('Pay App 1:Pay App 53'!L94)+SUM('Pay App 1:Pay App 53'!M94)</f>
        <v>0</v>
      </c>
    </row>
    <row r="95" spans="1:14" ht="11.25" customHeight="1" x14ac:dyDescent="0.25">
      <c r="A95" s="152">
        <v>39</v>
      </c>
      <c r="B95" s="175" t="str">
        <f>'Pay App 1'!B95</f>
        <v>08 30 00</v>
      </c>
      <c r="C95" s="180" t="str">
        <f>'Pay App 1'!C95</f>
        <v>Specialty Doors</v>
      </c>
      <c r="D95" s="155">
        <f>'Pay App 1'!D95</f>
        <v>0</v>
      </c>
      <c r="E95" s="155">
        <f>VLOOKUP(B95,'Graph Data'!$O$2:$BX$88,55,FALSE)</f>
        <v>0</v>
      </c>
      <c r="F95" s="155">
        <f>IFERROR(E95+'Pay App 52'!F95,"")</f>
        <v>0</v>
      </c>
      <c r="G95" s="155">
        <f>SUM('Pay App 1:Pay App 52'!H95)</f>
        <v>0</v>
      </c>
      <c r="H95" s="154"/>
      <c r="I95" s="155">
        <f t="shared" si="0"/>
        <v>0</v>
      </c>
      <c r="J95" s="156">
        <f t="shared" si="1"/>
        <v>0</v>
      </c>
      <c r="K95" s="155">
        <f t="shared" si="2"/>
        <v>0</v>
      </c>
      <c r="L95" s="155" t="str">
        <f>IF(AND('Summary Sheet'!$E$23="No",$H$33&gt;0,H95&gt;=1),"",IF(AND('Summary Sheet'!$E$23="Yes",H95&lt;&gt;""),H95*'Summary Sheet'!$G$23,""))</f>
        <v/>
      </c>
      <c r="M95" s="154"/>
      <c r="N95" s="155">
        <f>SUM('Pay App 1:Pay App 53'!L95)+SUM('Pay App 1:Pay App 53'!M95)</f>
        <v>0</v>
      </c>
    </row>
    <row r="96" spans="1:14" ht="11.25" customHeight="1" x14ac:dyDescent="0.25">
      <c r="A96" s="152">
        <v>40</v>
      </c>
      <c r="B96" s="175" t="str">
        <f>'Pay App 1'!B96</f>
        <v>08 33 00</v>
      </c>
      <c r="C96" s="180" t="str">
        <f>'Pay App 1'!C96</f>
        <v>Overhead Doors/Coiling Doors</v>
      </c>
      <c r="D96" s="155">
        <f>'Pay App 1'!D96</f>
        <v>0</v>
      </c>
      <c r="E96" s="155">
        <f>VLOOKUP(B96,'Graph Data'!$O$2:$BX$88,55,FALSE)</f>
        <v>0</v>
      </c>
      <c r="F96" s="155">
        <f>IFERROR(E96+'Pay App 52'!F96,"")</f>
        <v>0</v>
      </c>
      <c r="G96" s="155">
        <f>SUM('Pay App 1:Pay App 52'!H96)</f>
        <v>0</v>
      </c>
      <c r="H96" s="154"/>
      <c r="I96" s="155">
        <f t="shared" si="0"/>
        <v>0</v>
      </c>
      <c r="J96" s="156">
        <f t="shared" si="1"/>
        <v>0</v>
      </c>
      <c r="K96" s="155">
        <f t="shared" si="2"/>
        <v>0</v>
      </c>
      <c r="L96" s="155" t="str">
        <f>IF(AND('Summary Sheet'!$E$23="No",$H$33&gt;0,H96&gt;=1),"",IF(AND('Summary Sheet'!$E$23="Yes",H96&lt;&gt;""),H96*'Summary Sheet'!$G$23,""))</f>
        <v/>
      </c>
      <c r="M96" s="154"/>
      <c r="N96" s="155">
        <f>SUM('Pay App 1:Pay App 53'!L96)+SUM('Pay App 1:Pay App 53'!M96)</f>
        <v>0</v>
      </c>
    </row>
    <row r="97" spans="1:15" ht="11.25" customHeight="1" x14ac:dyDescent="0.25">
      <c r="A97" s="152">
        <v>41</v>
      </c>
      <c r="B97" s="175" t="str">
        <f>'Pay App 1'!B97</f>
        <v>08 40 00</v>
      </c>
      <c r="C97" s="180" t="str">
        <f>'Pay App 1'!C97</f>
        <v>Curtain Wall, Glass &amp; Glazing</v>
      </c>
      <c r="D97" s="155">
        <f>'Pay App 1'!D97</f>
        <v>0</v>
      </c>
      <c r="E97" s="155">
        <f>VLOOKUP(B97,'Graph Data'!$O$2:$BX$88,55,FALSE)</f>
        <v>0</v>
      </c>
      <c r="F97" s="155">
        <f>IFERROR(E97+'Pay App 52'!F97,"")</f>
        <v>0</v>
      </c>
      <c r="G97" s="155">
        <f>SUM('Pay App 1:Pay App 52'!H97)</f>
        <v>0</v>
      </c>
      <c r="H97" s="154"/>
      <c r="I97" s="155">
        <f t="shared" si="0"/>
        <v>0</v>
      </c>
      <c r="J97" s="156">
        <f t="shared" si="1"/>
        <v>0</v>
      </c>
      <c r="K97" s="155">
        <f t="shared" si="2"/>
        <v>0</v>
      </c>
      <c r="L97" s="155" t="str">
        <f>IF(AND('Summary Sheet'!$E$23="No",$H$33&gt;0,H97&gt;=1),"",IF(AND('Summary Sheet'!$E$23="Yes",H97&lt;&gt;""),H97*'Summary Sheet'!$G$23,""))</f>
        <v/>
      </c>
      <c r="M97" s="154"/>
      <c r="N97" s="155">
        <f>SUM('Pay App 1:Pay App 53'!L97)+SUM('Pay App 1:Pay App 53'!M97)</f>
        <v>0</v>
      </c>
    </row>
    <row r="98" spans="1:15" ht="10.9" customHeight="1" x14ac:dyDescent="0.25">
      <c r="A98" s="152">
        <v>42</v>
      </c>
      <c r="B98" s="175" t="str">
        <f>'Pay App 1'!B98</f>
        <v>08 60 00</v>
      </c>
      <c r="C98" s="180" t="str">
        <f>'Pay App 1'!C98</f>
        <v>Skylights</v>
      </c>
      <c r="D98" s="155">
        <f>'Pay App 1'!D98</f>
        <v>0</v>
      </c>
      <c r="E98" s="155">
        <f>VLOOKUP(B98,'Graph Data'!$O$2:$BX$88,55,FALSE)</f>
        <v>0</v>
      </c>
      <c r="F98" s="155">
        <f>IFERROR(E98+'Pay App 52'!F98,"")</f>
        <v>0</v>
      </c>
      <c r="G98" s="155">
        <f>SUM('Pay App 1:Pay App 52'!H98)</f>
        <v>0</v>
      </c>
      <c r="H98" s="154"/>
      <c r="I98" s="155">
        <f t="shared" si="0"/>
        <v>0</v>
      </c>
      <c r="J98" s="156">
        <f t="shared" si="1"/>
        <v>0</v>
      </c>
      <c r="K98" s="155">
        <f t="shared" si="2"/>
        <v>0</v>
      </c>
      <c r="L98" s="155" t="str">
        <f>IF(AND('Summary Sheet'!$E$23="No",$H$33&gt;0,H98&gt;=1),"",IF(AND('Summary Sheet'!$E$23="Yes",H98&lt;&gt;""),H98*'Summary Sheet'!$G$23,""))</f>
        <v/>
      </c>
      <c r="M98" s="154"/>
      <c r="N98" s="155">
        <f>SUM('Pay App 1:Pay App 53'!L98)+SUM('Pay App 1:Pay App 53'!M98)</f>
        <v>0</v>
      </c>
    </row>
    <row r="99" spans="1:15" ht="10.9" customHeight="1" x14ac:dyDescent="0.25">
      <c r="A99" s="152">
        <v>43</v>
      </c>
      <c r="B99" s="175" t="str">
        <f>'Pay App 1'!B99</f>
        <v>08 90 00</v>
      </c>
      <c r="C99" s="180" t="str">
        <f>'Pay App 1'!C99</f>
        <v>Louvers &amp; Vents</v>
      </c>
      <c r="D99" s="155">
        <f>'Pay App 1'!D99</f>
        <v>0</v>
      </c>
      <c r="E99" s="155">
        <f>VLOOKUP(B99,'Graph Data'!$O$2:$BX$88,55,FALSE)</f>
        <v>0</v>
      </c>
      <c r="F99" s="155">
        <f>IFERROR(E99+'Pay App 52'!F99,"")</f>
        <v>0</v>
      </c>
      <c r="G99" s="155">
        <f>SUM('Pay App 1:Pay App 52'!H99)</f>
        <v>0</v>
      </c>
      <c r="H99" s="154"/>
      <c r="I99" s="155">
        <f t="shared" si="0"/>
        <v>0</v>
      </c>
      <c r="J99" s="156">
        <f t="shared" si="1"/>
        <v>0</v>
      </c>
      <c r="K99" s="155">
        <f t="shared" si="2"/>
        <v>0</v>
      </c>
      <c r="L99" s="155" t="str">
        <f>IF(AND('Summary Sheet'!$E$23="No",$H$33&gt;0,H99&gt;=1),"",IF(AND('Summary Sheet'!$E$23="Yes",H99&lt;&gt;""),H99*'Summary Sheet'!$G$23,""))</f>
        <v/>
      </c>
      <c r="M99" s="154"/>
      <c r="N99" s="155">
        <f>SUM('Pay App 1:Pay App 53'!L99)+SUM('Pay App 1:Pay App 53'!M99)</f>
        <v>0</v>
      </c>
    </row>
    <row r="100" spans="1:15" ht="11.25" customHeight="1" x14ac:dyDescent="0.25">
      <c r="A100" s="153">
        <v>44</v>
      </c>
      <c r="B100" s="176" t="str">
        <f>'Pay App 1'!B100</f>
        <v>09 20 00</v>
      </c>
      <c r="C100" s="181" t="str">
        <f>'Pay App 1'!C100</f>
        <v>Gypsum Board Systems</v>
      </c>
      <c r="D100" s="155">
        <f>'Pay App 1'!D100</f>
        <v>0</v>
      </c>
      <c r="E100" s="155">
        <f>VLOOKUP(B100,'Graph Data'!$O$2:$BX$88,55,FALSE)</f>
        <v>0</v>
      </c>
      <c r="F100" s="155">
        <f>IFERROR(E100+'Pay App 52'!F100,"")</f>
        <v>0</v>
      </c>
      <c r="G100" s="155">
        <f>SUM('Pay App 1:Pay App 52'!H100)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53'!L100)+SUM('Pay App 1:Pay App 53'!M100)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53.2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Data'!$O$2:$BX$88,55,FALSE)</f>
        <v>0</v>
      </c>
      <c r="F106" s="155">
        <f>IFERROR(E106+'Pay App 52'!F106,"")</f>
        <v>0</v>
      </c>
      <c r="G106" s="155">
        <f>SUM('Pay App 1:Pay App 52'!H106)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53'!L106)+SUM('Pay App 1:Pay App 53'!M106)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Data'!$O$2:$BX$88,55,FALSE)</f>
        <v>0</v>
      </c>
      <c r="F107" s="155">
        <f>IFERROR(E107+'Pay App 52'!F107,"")</f>
        <v>0</v>
      </c>
      <c r="G107" s="155">
        <f>SUM('Pay App 1:Pay App 52'!H107)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53'!L107)+SUM('Pay App 1:Pay App 53'!M107)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Data'!$O$2:$BX$88,55,FALSE)</f>
        <v>0</v>
      </c>
      <c r="F108" s="155">
        <f>IFERROR(E108+'Pay App 52'!F108,"")</f>
        <v>0</v>
      </c>
      <c r="G108" s="155">
        <f>SUM('Pay App 1:Pay App 52'!H108)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53'!L108)+SUM('Pay App 1:Pay App 53'!M108)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Data'!$O$2:$BX$88,55,FALSE)</f>
        <v>0</v>
      </c>
      <c r="F109" s="155">
        <f>IFERROR(E109+'Pay App 52'!F109,"")</f>
        <v>0</v>
      </c>
      <c r="G109" s="155">
        <f>SUM('Pay App 1:Pay App 52'!H109)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53'!L109)+SUM('Pay App 1:Pay App 53'!M109)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Data'!$O$2:$BX$88,55,FALSE)</f>
        <v>0</v>
      </c>
      <c r="F110" s="155">
        <f>IFERROR(E110+'Pay App 52'!F110,"")</f>
        <v>0</v>
      </c>
      <c r="G110" s="155">
        <f>SUM('Pay App 1:Pay App 52'!H110)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53'!L110)+SUM('Pay App 1:Pay App 53'!M110)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Data'!$O$2:$BX$88,55,FALSE)</f>
        <v>0</v>
      </c>
      <c r="F111" s="155">
        <f>IFERROR(E111+'Pay App 52'!F111,"")</f>
        <v>0</v>
      </c>
      <c r="G111" s="155">
        <f>SUM('Pay App 1:Pay App 52'!H111)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53'!L111)+SUM('Pay App 1:Pay App 53'!M111)</f>
        <v>0</v>
      </c>
    </row>
    <row r="112" spans="1:15" ht="11.25" customHeight="1" x14ac:dyDescent="0.25">
      <c r="A112" s="152">
        <f t="shared" si="3"/>
        <v>51</v>
      </c>
      <c r="B112" s="148" t="str">
        <f>'Pay App 1'!B112</f>
        <v>09 90 00</v>
      </c>
      <c r="C112" s="143" t="str">
        <f>'Pay App 1'!C112</f>
        <v>Painting</v>
      </c>
      <c r="D112" s="155">
        <f>'Pay App 1'!D112</f>
        <v>0</v>
      </c>
      <c r="E112" s="155">
        <f>VLOOKUP(B112,'Graph Data'!$O$2:$BX$88,55,FALSE)</f>
        <v>0</v>
      </c>
      <c r="F112" s="155">
        <f>IFERROR(E112+'Pay App 52'!F112,"")</f>
        <v>0</v>
      </c>
      <c r="G112" s="155">
        <f>SUM('Pay App 1:Pay App 52'!H112)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53'!L112)+SUM('Pay App 1:Pay App 53'!M112)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Data'!$O$2:$BX$88,55,FALSE)</f>
        <v>0</v>
      </c>
      <c r="F113" s="155">
        <f>IFERROR(E113+'Pay App 52'!F113,"")</f>
        <v>0</v>
      </c>
      <c r="G113" s="155">
        <f>SUM('Pay App 1:Pay App 52'!H113)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53'!L113)+SUM('Pay App 1:Pay App 53'!M113)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Data'!$O$2:$BX$88,55,FALSE)</f>
        <v>0</v>
      </c>
      <c r="F114" s="155">
        <f>IFERROR(E114+'Pay App 52'!F114,"")</f>
        <v>0</v>
      </c>
      <c r="G114" s="155">
        <f>SUM('Pay App 1:Pay App 52'!H114)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53'!L114)+SUM('Pay App 1:Pay App 53'!M114)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Data'!$O$2:$BX$88,55,FALSE)</f>
        <v>0</v>
      </c>
      <c r="F115" s="155">
        <f>IFERROR(E115+'Pay App 52'!F115,"")</f>
        <v>0</v>
      </c>
      <c r="G115" s="155">
        <f>SUM('Pay App 1:Pay App 52'!H115)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53'!L115)+SUM('Pay App 1:Pay App 53'!M115)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Data'!$O$2:$BX$88,55,FALSE)</f>
        <v>0</v>
      </c>
      <c r="F116" s="155">
        <f>IFERROR(E116+'Pay App 52'!F116,"")</f>
        <v>0</v>
      </c>
      <c r="G116" s="155">
        <f>SUM('Pay App 1:Pay App 52'!H116)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53'!L116)+SUM('Pay App 1:Pay App 53'!M116)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Data'!$O$2:$BX$88,55,FALSE)</f>
        <v>0</v>
      </c>
      <c r="F117" s="155">
        <f>IFERROR(E117+'Pay App 52'!F117,"")</f>
        <v>0</v>
      </c>
      <c r="G117" s="155">
        <f>SUM('Pay App 1:Pay App 52'!H117)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53'!L117)+SUM('Pay App 1:Pay App 53'!M117)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Data'!$O$2:$BX$88,55,FALSE)</f>
        <v>0</v>
      </c>
      <c r="F118" s="155">
        <f>IFERROR(E118+'Pay App 52'!F118,"")</f>
        <v>0</v>
      </c>
      <c r="G118" s="155">
        <f>SUM('Pay App 1:Pay App 52'!H118)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53'!L118)+SUM('Pay App 1:Pay App 53'!M118)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Data'!$O$2:$BX$88,55,FALSE)</f>
        <v>0</v>
      </c>
      <c r="F119" s="155">
        <f>IFERROR(E119+'Pay App 52'!F119,"")</f>
        <v>0</v>
      </c>
      <c r="G119" s="155">
        <f>SUM('Pay App 1:Pay App 52'!H119)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53'!L119)+SUM('Pay App 1:Pay App 53'!M119)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Data'!$O$2:$BX$88,55,FALSE)</f>
        <v>0</v>
      </c>
      <c r="F120" s="155">
        <f>IFERROR(E120+'Pay App 52'!F120,"")</f>
        <v>0</v>
      </c>
      <c r="G120" s="155">
        <f>SUM('Pay App 1:Pay App 52'!H120)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53'!L120)+SUM('Pay App 1:Pay App 53'!M120)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Data'!$O$2:$BX$88,55,FALSE)</f>
        <v>0</v>
      </c>
      <c r="F121" s="155">
        <f>IFERROR(E121+'Pay App 52'!F121,"")</f>
        <v>0</v>
      </c>
      <c r="G121" s="155">
        <f>SUM('Pay App 1:Pay App 52'!H121)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53'!L121)+SUM('Pay App 1:Pay App 53'!M121)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Data'!$O$2:$BX$88,55,FALSE)</f>
        <v>0</v>
      </c>
      <c r="F122" s="155">
        <f>IFERROR(E122+'Pay App 52'!F122,"")</f>
        <v>0</v>
      </c>
      <c r="G122" s="155">
        <f>SUM('Pay App 1:Pay App 52'!H122)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53'!L122)+SUM('Pay App 1:Pay App 53'!M122)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Data'!$O$2:$BX$88,55,FALSE)</f>
        <v>0</v>
      </c>
      <c r="F123" s="155">
        <f>IFERROR(E123+'Pay App 52'!F123,"")</f>
        <v>0</v>
      </c>
      <c r="G123" s="155">
        <f>SUM('Pay App 1:Pay App 52'!H123)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53'!L123)+SUM('Pay App 1:Pay App 53'!M123)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Data'!$O$2:$BX$88,55,FALSE)</f>
        <v>0</v>
      </c>
      <c r="F124" s="155">
        <f>IFERROR(E124+'Pay App 52'!F124,"")</f>
        <v>0</v>
      </c>
      <c r="G124" s="155">
        <f>SUM('Pay App 1:Pay App 52'!H124)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53'!L124)+SUM('Pay App 1:Pay App 53'!M124)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Data'!$O$2:$BX$88,55,FALSE)</f>
        <v>0</v>
      </c>
      <c r="F125" s="155">
        <f>IFERROR(E125+'Pay App 52'!F125,"")</f>
        <v>0</v>
      </c>
      <c r="G125" s="155">
        <f>SUM('Pay App 1:Pay App 52'!H125)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53'!L125)+SUM('Pay App 1:Pay App 53'!M125)</f>
        <v>0</v>
      </c>
    </row>
    <row r="126" spans="1:14" ht="11.25" customHeight="1" x14ac:dyDescent="0.25">
      <c r="A126" s="152">
        <f t="shared" si="3"/>
        <v>65</v>
      </c>
      <c r="B126" s="188" t="str">
        <f>'Pay App 1'!B126</f>
        <v>14 20 00</v>
      </c>
      <c r="C126" s="194" t="str">
        <f>'Pay App 1'!C126</f>
        <v>Elevator</v>
      </c>
      <c r="D126" s="155">
        <f>'Pay App 1'!D126</f>
        <v>0</v>
      </c>
      <c r="E126" s="155">
        <f>VLOOKUP(B126,'Graph Data'!$O$2:$BX$88,55,FALSE)</f>
        <v>0</v>
      </c>
      <c r="F126" s="155">
        <f>IFERROR(E126+'Pay App 52'!F126,"")</f>
        <v>0</v>
      </c>
      <c r="G126" s="155">
        <f>SUM('Pay App 1:Pay App 52'!H126)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53'!L126)+SUM('Pay App 1:Pay App 53'!M126)</f>
        <v>0</v>
      </c>
    </row>
    <row r="127" spans="1:14" ht="11.25" customHeight="1" x14ac:dyDescent="0.25">
      <c r="A127" s="152">
        <f t="shared" si="3"/>
        <v>66</v>
      </c>
      <c r="B127" s="188" t="str">
        <f>'Pay App 1'!B127</f>
        <v>14 40 00</v>
      </c>
      <c r="C127" s="194" t="str">
        <f>'Pay App 1'!C127</f>
        <v>Lifts</v>
      </c>
      <c r="D127" s="155">
        <f>'Pay App 1'!D127</f>
        <v>0</v>
      </c>
      <c r="E127" s="155">
        <f>VLOOKUP(B127,'Graph Data'!$O$2:$BX$88,55,FALSE)</f>
        <v>0</v>
      </c>
      <c r="F127" s="155">
        <f>IFERROR(E127+'Pay App 52'!F127,"")</f>
        <v>0</v>
      </c>
      <c r="G127" s="155">
        <f>SUM('Pay App 1:Pay App 52'!H127)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53'!L127)+SUM('Pay App 1:Pay App 53'!M127)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Data'!$O$2:$BX$88,55,FALSE)</f>
        <v>0</v>
      </c>
      <c r="F128" s="155">
        <f>IFERROR(E128+'Pay App 52'!F128,"")</f>
        <v>0</v>
      </c>
      <c r="G128" s="155">
        <f>SUM('Pay App 1:Pay App 52'!H128)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53'!L128)+SUM('Pay App 1:Pay App 53'!M128)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Data'!$O$2:$BX$88,55,FALSE)</f>
        <v>0</v>
      </c>
      <c r="F129" s="155">
        <f>IFERROR(E129+'Pay App 52'!F129,"")</f>
        <v>0</v>
      </c>
      <c r="G129" s="155">
        <f>SUM('Pay App 1:Pay App 52'!H129)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53'!L129)+SUM('Pay App 1:Pay App 53'!M129)</f>
        <v>0</v>
      </c>
    </row>
    <row r="130" spans="1:14" ht="11.25" customHeight="1" x14ac:dyDescent="0.25">
      <c r="A130" s="152">
        <f t="shared" si="3"/>
        <v>69</v>
      </c>
      <c r="B130" s="185" t="str">
        <f>'Pay App 1'!B130</f>
        <v>22 00 00</v>
      </c>
      <c r="C130" s="191" t="str">
        <f>'Pay App 1'!C130</f>
        <v>Plumbing</v>
      </c>
      <c r="D130" s="155">
        <f>'Pay App 1'!D130</f>
        <v>0</v>
      </c>
      <c r="E130" s="155">
        <f>VLOOKUP(B130,'Graph Data'!$O$2:$BX$88,55,FALSE)</f>
        <v>0</v>
      </c>
      <c r="F130" s="155">
        <f>IFERROR(E130+'Pay App 52'!F130,"")</f>
        <v>0</v>
      </c>
      <c r="G130" s="155">
        <f>SUM('Pay App 1:Pay App 52'!H130)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53'!L130)+SUM('Pay App 1:Pay App 53'!M130)</f>
        <v>0</v>
      </c>
    </row>
    <row r="131" spans="1:14" ht="11.25" customHeight="1" x14ac:dyDescent="0.25">
      <c r="A131" s="152">
        <f t="shared" si="3"/>
        <v>70</v>
      </c>
      <c r="B131" s="186" t="str">
        <f>'Pay App 1'!B131</f>
        <v>23 00 00</v>
      </c>
      <c r="C131" s="192" t="str">
        <f>'Pay App 1'!C131</f>
        <v>HVAC</v>
      </c>
      <c r="D131" s="155">
        <f>'Pay App 1'!D131</f>
        <v>0</v>
      </c>
      <c r="E131" s="155">
        <f>VLOOKUP(B131,'Graph Data'!$O$2:$BX$88,55,FALSE)</f>
        <v>0</v>
      </c>
      <c r="F131" s="155">
        <f>IFERROR(E131+'Pay App 52'!F131,"")</f>
        <v>0</v>
      </c>
      <c r="G131" s="155">
        <f>SUM('Pay App 1:Pay App 52'!H131)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53'!L131)+SUM('Pay App 1:Pay App 53'!M131)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Data'!$O$2:$BX$88,55,FALSE)</f>
        <v>0</v>
      </c>
      <c r="F132" s="155">
        <f>IFERROR(E132+'Pay App 52'!F132,"")</f>
        <v>0</v>
      </c>
      <c r="G132" s="155">
        <f>SUM('Pay App 1:Pay App 52'!H132)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53'!L132)+SUM('Pay App 1:Pay App 53'!M132)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Data'!$O$2:$BX$88,55,FALSE)</f>
        <v>0</v>
      </c>
      <c r="F133" s="155">
        <f>IFERROR(E133+'Pay App 52'!F133,"")</f>
        <v>0</v>
      </c>
      <c r="G133" s="155">
        <f>SUM('Pay App 1:Pay App 52'!H133)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53'!L133)+SUM('Pay App 1:Pay App 53'!M133)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Data'!$O$2:$BX$88,55,FALSE)</f>
        <v>0</v>
      </c>
      <c r="F134" s="155">
        <f>IFERROR(E134+'Pay App 52'!F134,"")</f>
        <v>0</v>
      </c>
      <c r="G134" s="155">
        <f>SUM('Pay App 1:Pay App 52'!H134)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53'!L134)+SUM('Pay App 1:Pay App 53'!M134)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Data'!$O$2:$BX$88,55,FALSE)</f>
        <v>0</v>
      </c>
      <c r="F135" s="155">
        <f>IFERROR(E135+'Pay App 52'!F135,"")</f>
        <v>0</v>
      </c>
      <c r="G135" s="155">
        <f>SUM('Pay App 1:Pay App 52'!H135)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53'!L135)+SUM('Pay App 1:Pay App 53'!M135)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Data'!$O$2:$BX$88,55,FALSE)</f>
        <v>0</v>
      </c>
      <c r="F136" s="155">
        <f>IFERROR(E136+'Pay App 52'!F136,"")</f>
        <v>0</v>
      </c>
      <c r="G136" s="155">
        <f>SUM('Pay App 1:Pay App 52'!H136)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53'!L136)+SUM('Pay App 1:Pay App 53'!M136)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Data'!$O$2:$BX$88,55,FALSE)</f>
        <v>0</v>
      </c>
      <c r="F137" s="155">
        <f>IFERROR(E137+'Pay App 52'!F137,"")</f>
        <v>0</v>
      </c>
      <c r="G137" s="155">
        <f>SUM('Pay App 1:Pay App 52'!H137)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53'!L137)+SUM('Pay App 1:Pay App 53'!M137)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Data'!$O$2:$BX$88,55,FALSE)</f>
        <v>0</v>
      </c>
      <c r="F138" s="155">
        <f>IFERROR(E138+'Pay App 52'!F138,"")</f>
        <v>0</v>
      </c>
      <c r="G138" s="155">
        <f>SUM('Pay App 1:Pay App 52'!H138)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53'!L138)+SUM('Pay App 1:Pay App 53'!M138)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Data'!$O$2:$BX$88,55,FALSE)</f>
        <v>0</v>
      </c>
      <c r="F139" s="155">
        <f>IFERROR(E139+'Pay App 52'!F139,"")</f>
        <v>0</v>
      </c>
      <c r="G139" s="155">
        <f>SUM('Pay App 1:Pay App 52'!H139)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53'!L139)+SUM('Pay App 1:Pay App 53'!M139)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Data'!$O$2:$BX$88,55,FALSE)</f>
        <v>0</v>
      </c>
      <c r="F140" s="155">
        <f>IFERROR(E140+'Pay App 52'!F140,"")</f>
        <v>0</v>
      </c>
      <c r="G140" s="155">
        <f>SUM('Pay App 1:Pay App 52'!H140)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53'!L140)+SUM('Pay App 1:Pay App 53'!M140)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Data'!$O$2:$BX$88,55,FALSE)</f>
        <v>0</v>
      </c>
      <c r="F141" s="155">
        <f>IFERROR(E141+'Pay App 52'!F141,"")</f>
        <v>0</v>
      </c>
      <c r="G141" s="155">
        <f>SUM('Pay App 1:Pay App 52'!H141)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53'!L141)+SUM('Pay App 1:Pay App 53'!M141)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Data'!$O$2:$BX$88,55,FALSE)</f>
        <v>0</v>
      </c>
      <c r="F142" s="155">
        <f>IFERROR(E142+'Pay App 52'!F142,"")</f>
        <v>0</v>
      </c>
      <c r="G142" s="155">
        <f>SUM('Pay App 1:Pay App 52'!H142)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53'!L142)+SUM('Pay App 1:Pay App 53'!M142)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Data'!$O$2:$BX$88,55,FALSE)</f>
        <v>0</v>
      </c>
      <c r="F143" s="155">
        <f>IFERROR(E143+'Pay App 52'!F143,"")</f>
        <v>0</v>
      </c>
      <c r="G143" s="155">
        <f>SUM('Pay App 1:Pay App 52'!H143)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53'!L143)+SUM('Pay App 1:Pay App 53'!M143)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Data'!$O$2:$BX$88,55,FALSE)</f>
        <v>0</v>
      </c>
      <c r="F144" s="155">
        <f>IFERROR(E144+'Pay App 52'!F144,"")</f>
        <v>0</v>
      </c>
      <c r="G144" s="155">
        <f>SUM('Pay App 1:Pay App 52'!H144)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53'!L144)+SUM('Pay App 1:Pay App 53'!M144)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Data'!$O$2:$BX$88,55,FALSE)</f>
        <v>0</v>
      </c>
      <c r="F145" s="155">
        <f>IFERROR(E145+'Pay App 52'!F145,"")</f>
        <v>0</v>
      </c>
      <c r="G145" s="155">
        <f>SUM('Pay App 1:Pay App 52'!H145)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53'!L145)+SUM('Pay App 1:Pay App 53'!M145)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Data'!$O$2:$BX$88,55,FALSE)</f>
        <v>0</v>
      </c>
      <c r="F146" s="155">
        <f>IFERROR(E146+'Pay App 52'!F146,"")</f>
        <v>0</v>
      </c>
      <c r="G146" s="155">
        <f>SUM('Pay App 1:Pay App 52'!H146)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53'!L146)+SUM('Pay App 1:Pay App 53'!M146)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Data'!$O$2:$BX$88,55,FALSE)</f>
        <v>0</v>
      </c>
      <c r="F147" s="155">
        <f>IFERROR(E147+'Pay App 52'!F147,"")</f>
        <v>0</v>
      </c>
      <c r="G147" s="155">
        <f>SUM('Pay App 1:Pay App 52'!H147)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53'!L147)+SUM('Pay App 1:Pay App 53'!M147)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Data'!$O$2:$BX$88,55,FALSE)</f>
        <v>0</v>
      </c>
      <c r="F148" s="155">
        <f>IFERROR(E148+'Pay App 52'!F148,"")</f>
        <v>0</v>
      </c>
      <c r="G148" s="155">
        <f>SUM('Pay App 1:Pay App 52'!H148)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53'!L148)+SUM('Pay App 1:Pay App 53'!M148)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9+TIUiEEwgSoKFAqLJITKx8IAmphjU6vn3yt1zmurFkSksAFr+tDlTRFTD1EnZLyvwgeUS+yq4V2mieH92NAPA==" saltValue="t+Ns7Q6ApIiqnpOa9/7UB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87" priority="2" operator="equal">
      <formula>0</formula>
    </cfRule>
  </conditionalFormatting>
  <conditionalFormatting sqref="D106:G148">
    <cfRule type="cellIs" dxfId="86" priority="1" operator="equal">
      <formula>0</formula>
    </cfRule>
  </conditionalFormatting>
  <conditionalFormatting sqref="D10:H10 D12:H14 D19:H21">
    <cfRule type="cellIs" dxfId="85" priority="6" operator="equal">
      <formula>0</formula>
    </cfRule>
  </conditionalFormatting>
  <conditionalFormatting sqref="H51">
    <cfRule type="cellIs" dxfId="84" priority="9" operator="lessThan">
      <formula>0</formula>
    </cfRule>
  </conditionalFormatting>
  <conditionalFormatting sqref="I57:I100 K57:K100 I106:I148 K106:K148 N106:N148">
    <cfRule type="cellIs" dxfId="83" priority="14" operator="equal">
      <formula>0</formula>
    </cfRule>
  </conditionalFormatting>
  <conditionalFormatting sqref="J57:J100 J106:J149">
    <cfRule type="cellIs" dxfId="82" priority="11" operator="greaterThan">
      <formula>1</formula>
    </cfRule>
    <cfRule type="cellIs" dxfId="81" priority="12" operator="equal">
      <formula>0</formula>
    </cfRule>
  </conditionalFormatting>
  <conditionalFormatting sqref="K57:K100 K106:K148">
    <cfRule type="cellIs" dxfId="80" priority="10" operator="lessThan">
      <formula>0</formula>
    </cfRule>
  </conditionalFormatting>
  <conditionalFormatting sqref="M57:M100">
    <cfRule type="cellIs" dxfId="79" priority="13" operator="lessThan">
      <formula>0</formula>
    </cfRule>
  </conditionalFormatting>
  <conditionalFormatting sqref="M106:M148">
    <cfRule type="cellIs" dxfId="78" priority="8" operator="lessThan">
      <formula>0</formula>
    </cfRule>
  </conditionalFormatting>
  <conditionalFormatting sqref="N57:N100">
    <cfRule type="cellIs" dxfId="77"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5597029A-090B-4B7D-9F06-0DE09A2B12FA}">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C57270DC-12DE-4DA9-9165-CE97B94D6648}">
          <x14:formula1>
            <xm:f>'Graph Data'!$M$74:$M$76</xm:f>
          </x14:formula1>
          <xm:sqref>G17</xm:sqref>
        </x14:dataValidation>
      </x14:dataValidation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36B0A-9977-4087-B93E-AC7F8461A134}">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54</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938</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54'!E149)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54'!G41)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53'!H49)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54.1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Data'!$O$2:$BX$88,56,FALSE)</f>
        <v>0</v>
      </c>
      <c r="F57" s="155">
        <f>IFERROR(E57+'Pay App 53'!F57,"")</f>
        <v>0</v>
      </c>
      <c r="G57" s="155">
        <f>SUM('Pay App 1:Pay App 53'!H57)</f>
        <v>0</v>
      </c>
      <c r="H57" s="154"/>
      <c r="I57" s="155">
        <f>G57+H57</f>
        <v>0</v>
      </c>
      <c r="J57" s="156">
        <f>IFERROR(I57/F57,0)</f>
        <v>0</v>
      </c>
      <c r="K57" s="155">
        <f>IFERROR(F57-I57,"")</f>
        <v>0</v>
      </c>
      <c r="L57" s="155" t="str">
        <f>IF(AND('Summary Sheet'!$E$23="No",$H$33&gt;0,H57&gt;=1),"",IF(AND('Summary Sheet'!$E$23="Yes",H57&lt;&gt;""),H57*'Summary Sheet'!$G$23,""))</f>
        <v/>
      </c>
      <c r="M57" s="154"/>
      <c r="N57" s="155">
        <f>SUM('Pay App 1:Pay App 54'!L57)+SUM('Pay App 1:Pay App 54'!M57)</f>
        <v>0</v>
      </c>
    </row>
    <row r="58" spans="1:16" ht="11.25" customHeight="1" x14ac:dyDescent="0.25">
      <c r="A58" s="152">
        <v>2</v>
      </c>
      <c r="B58" s="145" t="str">
        <f>'Pay App 1'!B58</f>
        <v>00 02 00</v>
      </c>
      <c r="C58" s="134" t="str">
        <f>'Pay App 1'!C58</f>
        <v>Preconstruction Services</v>
      </c>
      <c r="D58" s="155">
        <f>'Pay App 1'!D58</f>
        <v>0</v>
      </c>
      <c r="E58" s="155">
        <f>VLOOKUP(B58,'Graph Data'!$O$2:$BX$88,56,FALSE)</f>
        <v>0</v>
      </c>
      <c r="F58" s="155">
        <f>IFERROR(E58+'Pay App 53'!F58,"")</f>
        <v>0</v>
      </c>
      <c r="G58" s="155">
        <f>SUM('Pay App 1:Pay App 53'!H58)</f>
        <v>0</v>
      </c>
      <c r="H58" s="154"/>
      <c r="I58" s="155">
        <f>G58+H58</f>
        <v>0</v>
      </c>
      <c r="J58" s="156">
        <f>IFERROR(I58/F58,0)</f>
        <v>0</v>
      </c>
      <c r="K58" s="155">
        <f>IFERROR(F58-I58,"")</f>
        <v>0</v>
      </c>
      <c r="L58" s="155" t="str">
        <f>IF(AND('Summary Sheet'!$E$23="No",$H$33&gt;0,H58&gt;=1),"",IF(AND('Summary Sheet'!$E$23="Yes",H58&lt;&gt;""),H58*'Summary Sheet'!$G$23,""))</f>
        <v/>
      </c>
      <c r="M58" s="154"/>
      <c r="N58" s="155">
        <f>SUM('Pay App 1:Pay App 54'!L58)+SUM('Pay App 1:Pay App 54'!M58)</f>
        <v>0</v>
      </c>
    </row>
    <row r="59" spans="1:16" ht="11.25" customHeight="1" x14ac:dyDescent="0.25">
      <c r="A59" s="152">
        <v>3</v>
      </c>
      <c r="B59" s="174" t="str">
        <f>'Pay App 1'!B59</f>
        <v>01 00 00</v>
      </c>
      <c r="C59" s="179" t="str">
        <f>'Pay App 1'!C59</f>
        <v>General Conditions/Requirements</v>
      </c>
      <c r="D59" s="155">
        <f>'Pay App 1'!D59</f>
        <v>0</v>
      </c>
      <c r="E59" s="155">
        <f>VLOOKUP(B59,'Graph Data'!$O$2:$BX$88,56,FALSE)</f>
        <v>0</v>
      </c>
      <c r="F59" s="155">
        <f>IFERROR(E59+'Pay App 53'!F59,"")</f>
        <v>0</v>
      </c>
      <c r="G59" s="155">
        <f>SUM('Pay App 1:Pay App 53'!H59)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54'!L59)+SUM('Pay App 1:Pay App 54'!M59)</f>
        <v>0</v>
      </c>
    </row>
    <row r="60" spans="1:16" ht="11.25" customHeight="1" x14ac:dyDescent="0.25">
      <c r="A60" s="152">
        <v>4</v>
      </c>
      <c r="B60" s="174" t="str">
        <f>'Pay App 1'!B60</f>
        <v>01 13 41</v>
      </c>
      <c r="C60" s="179" t="str">
        <f>'Pay App 1'!C60</f>
        <v>Temp. Scaffolding and Platforms</v>
      </c>
      <c r="D60" s="155">
        <f>'Pay App 1'!D60</f>
        <v>0</v>
      </c>
      <c r="E60" s="155">
        <f>VLOOKUP(B60,'Graph Data'!$O$2:$BX$88,56,FALSE)</f>
        <v>0</v>
      </c>
      <c r="F60" s="155">
        <f>IFERROR(E60+'Pay App 53'!F60,"")</f>
        <v>0</v>
      </c>
      <c r="G60" s="155">
        <f>SUM('Pay App 1:Pay App 53'!H60)</f>
        <v>0</v>
      </c>
      <c r="H60" s="154"/>
      <c r="I60" s="155">
        <f t="shared" si="0"/>
        <v>0</v>
      </c>
      <c r="J60" s="156">
        <f t="shared" si="1"/>
        <v>0</v>
      </c>
      <c r="K60" s="155">
        <f t="shared" si="2"/>
        <v>0</v>
      </c>
      <c r="L60" s="155" t="str">
        <f>IF(AND('Summary Sheet'!$E$23="No",$H$33&gt;0,H60&gt;=1),"",IF(AND('Summary Sheet'!$E$23="Yes",H60&lt;&gt;""),H60*'Summary Sheet'!$G$23,""))</f>
        <v/>
      </c>
      <c r="M60" s="154"/>
      <c r="N60" s="155">
        <f>SUM('Pay App 1:Pay App 54'!L60)+SUM('Pay App 1:Pay App 54'!M60)</f>
        <v>0</v>
      </c>
    </row>
    <row r="61" spans="1:16" ht="11.25" customHeight="1" x14ac:dyDescent="0.25">
      <c r="A61" s="152">
        <v>5</v>
      </c>
      <c r="B61" s="174" t="str">
        <f>'Pay App 1'!B61</f>
        <v>01 13 60</v>
      </c>
      <c r="C61" s="179" t="str">
        <f>'Pay App 1'!C61</f>
        <v>SWPPP</v>
      </c>
      <c r="D61" s="155">
        <f>'Pay App 1'!D61</f>
        <v>0</v>
      </c>
      <c r="E61" s="155">
        <f>VLOOKUP(B61,'Graph Data'!$O$2:$BX$88,56,FALSE)</f>
        <v>0</v>
      </c>
      <c r="F61" s="155">
        <f>IFERROR(E61+'Pay App 53'!F61,"")</f>
        <v>0</v>
      </c>
      <c r="G61" s="155">
        <f>SUM('Pay App 1:Pay App 53'!H61)</f>
        <v>0</v>
      </c>
      <c r="H61" s="154"/>
      <c r="I61" s="155">
        <f t="shared" si="0"/>
        <v>0</v>
      </c>
      <c r="J61" s="156">
        <f t="shared" si="1"/>
        <v>0</v>
      </c>
      <c r="K61" s="155">
        <f t="shared" si="2"/>
        <v>0</v>
      </c>
      <c r="L61" s="155" t="str">
        <f>IF(AND('Summary Sheet'!$E$23="No",$H$33&gt;0,H61&gt;=1),"",IF(AND('Summary Sheet'!$E$23="Yes",H61&lt;&gt;""),H61*'Summary Sheet'!$G$23,""))</f>
        <v/>
      </c>
      <c r="M61" s="154"/>
      <c r="N61" s="155">
        <f>SUM('Pay App 1:Pay App 54'!L61)+SUM('Pay App 1:Pay App 54'!M61)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Data'!$O$2:$BX$88,56,FALSE)</f>
        <v>0</v>
      </c>
      <c r="F62" s="155">
        <f>IFERROR(E62+'Pay App 53'!F62,"")</f>
        <v>0</v>
      </c>
      <c r="G62" s="155">
        <f>SUM('Pay App 1:Pay App 53'!H62)</f>
        <v>0</v>
      </c>
      <c r="H62" s="154"/>
      <c r="I62" s="155">
        <f t="shared" si="0"/>
        <v>0</v>
      </c>
      <c r="J62" s="156">
        <f t="shared" si="1"/>
        <v>0</v>
      </c>
      <c r="K62" s="155">
        <f t="shared" si="2"/>
        <v>0</v>
      </c>
      <c r="L62" s="155" t="str">
        <f>IF(AND('Summary Sheet'!$E$23="No",$H$33&gt;0,H62&gt;=1),"",IF(AND('Summary Sheet'!$E$23="Yes",H62&lt;&gt;""),H62*'Summary Sheet'!$G$23,""))</f>
        <v/>
      </c>
      <c r="M62" s="154"/>
      <c r="N62" s="155">
        <f>SUM('Pay App 1:Pay App 54'!L62)+SUM('Pay App 1:Pay App 54'!M62)</f>
        <v>0</v>
      </c>
    </row>
    <row r="63" spans="1:16" ht="11.25" customHeight="1" x14ac:dyDescent="0.25">
      <c r="A63" s="152">
        <v>7</v>
      </c>
      <c r="B63" s="174" t="str">
        <f>'Pay App 1'!B63</f>
        <v>01 31 00</v>
      </c>
      <c r="C63" s="179" t="str">
        <f>'Pay App 1'!C63</f>
        <v>Contractor's Supervision</v>
      </c>
      <c r="D63" s="155">
        <f>'Pay App 1'!D63</f>
        <v>0</v>
      </c>
      <c r="E63" s="155">
        <f>VLOOKUP(B63,'Graph Data'!$O$2:$BX$88,56,FALSE)</f>
        <v>0</v>
      </c>
      <c r="F63" s="155">
        <f>IFERROR(E63+'Pay App 53'!F63,"")</f>
        <v>0</v>
      </c>
      <c r="G63" s="155">
        <f>SUM('Pay App 1:Pay App 53'!H63)</f>
        <v>0</v>
      </c>
      <c r="H63" s="154"/>
      <c r="I63" s="155">
        <f t="shared" si="0"/>
        <v>0</v>
      </c>
      <c r="J63" s="156">
        <f t="shared" si="1"/>
        <v>0</v>
      </c>
      <c r="K63" s="155">
        <f t="shared" si="2"/>
        <v>0</v>
      </c>
      <c r="L63" s="155" t="str">
        <f>IF(AND('Summary Sheet'!$E$23="No",$H$33&gt;0,H63&gt;=1),"",IF(AND('Summary Sheet'!$E$23="Yes",H63&lt;&gt;""),H63*'Summary Sheet'!$G$23,""))</f>
        <v/>
      </c>
      <c r="M63" s="154"/>
      <c r="N63" s="155">
        <f>SUM('Pay App 1:Pay App 54'!L63)+SUM('Pay App 1:Pay App 54'!M63)</f>
        <v>0</v>
      </c>
    </row>
    <row r="64" spans="1:16" ht="11.25" customHeight="1" x14ac:dyDescent="0.25">
      <c r="A64" s="152">
        <v>8</v>
      </c>
      <c r="B64" s="174" t="str">
        <f>'Pay App 1'!B64</f>
        <v>01 32 00</v>
      </c>
      <c r="C64" s="179" t="str">
        <f>'Pay App 1'!C64</f>
        <v>General Liability Insurance</v>
      </c>
      <c r="D64" s="155">
        <f>'Pay App 1'!D64</f>
        <v>0</v>
      </c>
      <c r="E64" s="155">
        <f>VLOOKUP(B64,'Graph Data'!$O$2:$BX$88,56,FALSE)</f>
        <v>0</v>
      </c>
      <c r="F64" s="155">
        <f>IFERROR(E64+'Pay App 53'!F64,"")</f>
        <v>0</v>
      </c>
      <c r="G64" s="155">
        <f>SUM('Pay App 1:Pay App 53'!H64)</f>
        <v>0</v>
      </c>
      <c r="H64" s="154"/>
      <c r="I64" s="155">
        <f t="shared" si="0"/>
        <v>0</v>
      </c>
      <c r="J64" s="156">
        <f t="shared" si="1"/>
        <v>0</v>
      </c>
      <c r="K64" s="155">
        <f t="shared" si="2"/>
        <v>0</v>
      </c>
      <c r="L64" s="155" t="str">
        <f>IF(AND('Summary Sheet'!$E$23="No",$H$33&gt;0,H64&gt;=1),"",IF(AND('Summary Sheet'!$E$23="Yes",H64&lt;&gt;""),H64*'Summary Sheet'!$G$23,""))</f>
        <v/>
      </c>
      <c r="M64" s="154"/>
      <c r="N64" s="155">
        <f>SUM('Pay App 1:Pay App 54'!L64)+SUM('Pay App 1:Pay App 54'!M64)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Data'!$O$2:$BX$88,56,FALSE)</f>
        <v>0</v>
      </c>
      <c r="F65" s="155">
        <f>IFERROR(E65+'Pay App 53'!F65,"")</f>
        <v>0</v>
      </c>
      <c r="G65" s="155">
        <f>SUM('Pay App 1:Pay App 53'!H65)</f>
        <v>0</v>
      </c>
      <c r="H65" s="154"/>
      <c r="I65" s="155">
        <f t="shared" si="0"/>
        <v>0</v>
      </c>
      <c r="J65" s="156">
        <f t="shared" si="1"/>
        <v>0</v>
      </c>
      <c r="K65" s="155">
        <f t="shared" si="2"/>
        <v>0</v>
      </c>
      <c r="L65" s="155" t="str">
        <f>IF(AND('Summary Sheet'!$E$23="No",$H$33&gt;0,H65&gt;=1),"",IF(AND('Summary Sheet'!$E$23="Yes",H65&lt;&gt;""),H65*'Summary Sheet'!$G$23,""))</f>
        <v/>
      </c>
      <c r="M65" s="154"/>
      <c r="N65" s="155">
        <f>SUM('Pay App 1:Pay App 54'!L65)+SUM('Pay App 1:Pay App 54'!M65)</f>
        <v>0</v>
      </c>
    </row>
    <row r="66" spans="1:17" ht="11.25" customHeight="1" x14ac:dyDescent="0.25">
      <c r="A66" s="152">
        <v>10</v>
      </c>
      <c r="B66" s="174" t="str">
        <f>'Pay App 1'!B66</f>
        <v>01 34 00</v>
      </c>
      <c r="C66" s="179" t="str">
        <f>'Pay App 1'!C66</f>
        <v>Subcontractor Default Insurance</v>
      </c>
      <c r="D66" s="155">
        <f>'Pay App 1'!D66</f>
        <v>0</v>
      </c>
      <c r="E66" s="155">
        <f>VLOOKUP(B66,'Graph Data'!$O$2:$BX$88,56,FALSE)</f>
        <v>0</v>
      </c>
      <c r="F66" s="155">
        <f>IFERROR(E66+'Pay App 53'!F66,"")</f>
        <v>0</v>
      </c>
      <c r="G66" s="155">
        <f>SUM('Pay App 1:Pay App 53'!H66)</f>
        <v>0</v>
      </c>
      <c r="H66" s="154"/>
      <c r="I66" s="155">
        <f t="shared" si="0"/>
        <v>0</v>
      </c>
      <c r="J66" s="156">
        <f t="shared" si="1"/>
        <v>0</v>
      </c>
      <c r="K66" s="155">
        <f t="shared" si="2"/>
        <v>0</v>
      </c>
      <c r="L66" s="155" t="str">
        <f>IF(AND('Summary Sheet'!$E$23="No",$H$33&gt;0,H66&gt;=1),"",IF(AND('Summary Sheet'!$E$23="Yes",H66&lt;&gt;""),H66*'Summary Sheet'!$G$23,""))</f>
        <v/>
      </c>
      <c r="M66" s="154"/>
      <c r="N66" s="155">
        <f>SUM('Pay App 1:Pay App 54'!L66)+SUM('Pay App 1:Pay App 54'!M66)</f>
        <v>0</v>
      </c>
    </row>
    <row r="67" spans="1:17" ht="11.25" customHeight="1" x14ac:dyDescent="0.25">
      <c r="A67" s="152">
        <v>11</v>
      </c>
      <c r="B67" s="174" t="str">
        <f>'Pay App 1'!B67</f>
        <v>01 35 00</v>
      </c>
      <c r="C67" s="179" t="str">
        <f>'Pay App 1'!C67</f>
        <v>Construction Management Fee</v>
      </c>
      <c r="D67" s="155">
        <f>'Pay App 1'!D67</f>
        <v>0</v>
      </c>
      <c r="E67" s="155">
        <f>VLOOKUP(B67,'Graph Data'!$O$2:$BX$88,56,FALSE)</f>
        <v>0</v>
      </c>
      <c r="F67" s="155">
        <f>IFERROR(E67+'Pay App 53'!F67,"")</f>
        <v>0</v>
      </c>
      <c r="G67" s="155">
        <f>SUM('Pay App 1:Pay App 53'!H67)</f>
        <v>0</v>
      </c>
      <c r="H67" s="154"/>
      <c r="I67" s="155">
        <f t="shared" si="0"/>
        <v>0</v>
      </c>
      <c r="J67" s="156">
        <f t="shared" si="1"/>
        <v>0</v>
      </c>
      <c r="K67" s="155">
        <f t="shared" si="2"/>
        <v>0</v>
      </c>
      <c r="L67" s="155" t="str">
        <f>IF(AND('Summary Sheet'!$E$23="No",$H$33&gt;0,H67&gt;=1),"",IF(AND('Summary Sheet'!$E$23="Yes",H67&lt;&gt;""),H67*'Summary Sheet'!$G$23,""))</f>
        <v/>
      </c>
      <c r="M67" s="154"/>
      <c r="N67" s="155">
        <f>SUM('Pay App 1:Pay App 54'!L67)+SUM('Pay App 1:Pay App 54'!M67)</f>
        <v>0</v>
      </c>
    </row>
    <row r="68" spans="1:17" ht="11.25" customHeight="1" x14ac:dyDescent="0.25">
      <c r="A68" s="152">
        <v>12</v>
      </c>
      <c r="B68" s="174" t="str">
        <f>'Pay App 1'!B68</f>
        <v>01 36 00</v>
      </c>
      <c r="C68" s="179" t="str">
        <f>'Pay App 1'!C68</f>
        <v>Contingency</v>
      </c>
      <c r="D68" s="155">
        <f>'Pay App 1'!D68</f>
        <v>0</v>
      </c>
      <c r="E68" s="155">
        <f>VLOOKUP(B68,'Graph Data'!$O$2:$BX$88,56,FALSE)</f>
        <v>0</v>
      </c>
      <c r="F68" s="155">
        <f>IFERROR(E68+'Pay App 53'!F68,"")</f>
        <v>0</v>
      </c>
      <c r="G68" s="155">
        <f>SUM('Pay App 1:Pay App 53'!H68)</f>
        <v>0</v>
      </c>
      <c r="H68" s="154"/>
      <c r="I68" s="155">
        <f t="shared" si="0"/>
        <v>0</v>
      </c>
      <c r="J68" s="156">
        <f t="shared" si="1"/>
        <v>0</v>
      </c>
      <c r="K68" s="155">
        <f t="shared" si="2"/>
        <v>0</v>
      </c>
      <c r="L68" s="155" t="str">
        <f>IF(AND('Summary Sheet'!$E$23="No",$H$33&gt;0,H68&gt;=1),"",IF(AND('Summary Sheet'!$E$23="Yes",H68&lt;&gt;""),H68*'Summary Sheet'!$G$23,""))</f>
        <v/>
      </c>
      <c r="M68" s="154"/>
      <c r="N68" s="155">
        <f>SUM('Pay App 1:Pay App 54'!L68)+SUM('Pay App 1:Pay App 54'!M68)</f>
        <v>0</v>
      </c>
    </row>
    <row r="69" spans="1:17" ht="11.25" customHeight="1" x14ac:dyDescent="0.25">
      <c r="A69" s="152">
        <v>13</v>
      </c>
      <c r="B69" s="174" t="str">
        <f>'Pay App 1'!B69</f>
        <v>01 37 00</v>
      </c>
      <c r="C69" s="179" t="str">
        <f>'Pay App 1'!C69</f>
        <v>Weather Allowance (All Trades)</v>
      </c>
      <c r="D69" s="155">
        <f>'Pay App 1'!D69</f>
        <v>0</v>
      </c>
      <c r="E69" s="155">
        <f>VLOOKUP(B69,'Graph Data'!$O$2:$BX$88,56,FALSE)</f>
        <v>0</v>
      </c>
      <c r="F69" s="155">
        <f>IFERROR(E69+'Pay App 53'!F69,"")</f>
        <v>0</v>
      </c>
      <c r="G69" s="155">
        <f>SUM('Pay App 1:Pay App 53'!H69)</f>
        <v>0</v>
      </c>
      <c r="H69" s="154"/>
      <c r="I69" s="155">
        <f t="shared" si="0"/>
        <v>0</v>
      </c>
      <c r="J69" s="156">
        <f t="shared" si="1"/>
        <v>0</v>
      </c>
      <c r="K69" s="155">
        <f t="shared" si="2"/>
        <v>0</v>
      </c>
      <c r="L69" s="155" t="str">
        <f>IF(AND('Summary Sheet'!$E$23="No",$H$33&gt;0,H69&gt;=1),"",IF(AND('Summary Sheet'!$E$23="Yes",H69&lt;&gt;""),H69*'Summary Sheet'!$G$23,""))</f>
        <v/>
      </c>
      <c r="M69" s="154"/>
      <c r="N69" s="155">
        <f>SUM('Pay App 1:Pay App 54'!L69)+SUM('Pay App 1:Pay App 54'!M69)</f>
        <v>0</v>
      </c>
    </row>
    <row r="70" spans="1:17" ht="11.25" customHeight="1" x14ac:dyDescent="0.25">
      <c r="A70" s="152">
        <v>14</v>
      </c>
      <c r="B70" s="174" t="str">
        <f>'Pay App 1'!B70</f>
        <v>01 74 23</v>
      </c>
      <c r="C70" s="179" t="str">
        <f>'Pay App 1'!C70</f>
        <v>Cleaning (Final)</v>
      </c>
      <c r="D70" s="155">
        <f>'Pay App 1'!D70</f>
        <v>0</v>
      </c>
      <c r="E70" s="155">
        <f>VLOOKUP(B70,'Graph Data'!$O$2:$BX$88,56,FALSE)</f>
        <v>0</v>
      </c>
      <c r="F70" s="155">
        <f>IFERROR(E70+'Pay App 53'!F70,"")</f>
        <v>0</v>
      </c>
      <c r="G70" s="155">
        <f>SUM('Pay App 1:Pay App 53'!H70)</f>
        <v>0</v>
      </c>
      <c r="H70" s="154"/>
      <c r="I70" s="155">
        <f t="shared" si="0"/>
        <v>0</v>
      </c>
      <c r="J70" s="156">
        <f t="shared" si="1"/>
        <v>0</v>
      </c>
      <c r="K70" s="155">
        <f t="shared" si="2"/>
        <v>0</v>
      </c>
      <c r="L70" s="155" t="str">
        <f>IF(AND('Summary Sheet'!$E$23="No",$H$33&gt;0,H70&gt;=1),"",IF(AND('Summary Sheet'!$E$23="Yes",H70&lt;&gt;""),H70*'Summary Sheet'!$G$23,""))</f>
        <v/>
      </c>
      <c r="M70" s="154"/>
      <c r="N70" s="155">
        <f>SUM('Pay App 1:Pay App 54'!L70)+SUM('Pay App 1:Pay App 54'!M70)</f>
        <v>0</v>
      </c>
    </row>
    <row r="71" spans="1:17" ht="11.25" customHeight="1" x14ac:dyDescent="0.25">
      <c r="A71" s="152">
        <v>15</v>
      </c>
      <c r="B71" s="175" t="str">
        <f>'Pay App 1'!B71</f>
        <v>02 21 00</v>
      </c>
      <c r="C71" s="180" t="str">
        <f>'Pay App 1'!C71</f>
        <v>Survey/Engineering</v>
      </c>
      <c r="D71" s="155">
        <f>'Pay App 1'!D71</f>
        <v>0</v>
      </c>
      <c r="E71" s="155">
        <f>VLOOKUP(B71,'Graph Data'!$O$2:$BX$88,56,FALSE)</f>
        <v>0</v>
      </c>
      <c r="F71" s="155">
        <f>IFERROR(E71+'Pay App 53'!F71,"")</f>
        <v>0</v>
      </c>
      <c r="G71" s="155">
        <f>SUM('Pay App 1:Pay App 53'!H71)</f>
        <v>0</v>
      </c>
      <c r="H71" s="154"/>
      <c r="I71" s="155">
        <f t="shared" si="0"/>
        <v>0</v>
      </c>
      <c r="J71" s="156">
        <f t="shared" si="1"/>
        <v>0</v>
      </c>
      <c r="K71" s="155">
        <f t="shared" si="2"/>
        <v>0</v>
      </c>
      <c r="L71" s="155" t="str">
        <f>IF(AND('Summary Sheet'!$E$23="No",$H$33&gt;0,H71&gt;=1),"",IF(AND('Summary Sheet'!$E$23="Yes",H71&lt;&gt;""),H71*'Summary Sheet'!$G$23,""))</f>
        <v/>
      </c>
      <c r="M71" s="154"/>
      <c r="N71" s="155">
        <f>SUM('Pay App 1:Pay App 54'!L71)+SUM('Pay App 1:Pay App 54'!M71)</f>
        <v>0</v>
      </c>
      <c r="Q71" s="28"/>
    </row>
    <row r="72" spans="1:17" ht="11.25" customHeight="1" x14ac:dyDescent="0.25">
      <c r="A72" s="152">
        <v>16</v>
      </c>
      <c r="B72" s="175" t="str">
        <f>'Pay App 1'!B72</f>
        <v>02 41 00</v>
      </c>
      <c r="C72" s="180" t="str">
        <f>'Pay App 1'!C72</f>
        <v>Demolition</v>
      </c>
      <c r="D72" s="155">
        <f>'Pay App 1'!D72</f>
        <v>0</v>
      </c>
      <c r="E72" s="155">
        <f>VLOOKUP(B72,'Graph Data'!$O$2:$BX$88,56,FALSE)</f>
        <v>0</v>
      </c>
      <c r="F72" s="155">
        <f>IFERROR(E72+'Pay App 53'!F72,"")</f>
        <v>0</v>
      </c>
      <c r="G72" s="155">
        <f>SUM('Pay App 1:Pay App 53'!H72)</f>
        <v>0</v>
      </c>
      <c r="H72" s="154"/>
      <c r="I72" s="155">
        <f t="shared" si="0"/>
        <v>0</v>
      </c>
      <c r="J72" s="156">
        <f t="shared" si="1"/>
        <v>0</v>
      </c>
      <c r="K72" s="155">
        <f t="shared" si="2"/>
        <v>0</v>
      </c>
      <c r="L72" s="155" t="str">
        <f>IF(AND('Summary Sheet'!$E$23="No",$H$33&gt;0,H72&gt;=1),"",IF(AND('Summary Sheet'!$E$23="Yes",H72&lt;&gt;""),H72*'Summary Sheet'!$G$23,""))</f>
        <v/>
      </c>
      <c r="M72" s="154"/>
      <c r="N72" s="155">
        <f>SUM('Pay App 1:Pay App 54'!L72)+SUM('Pay App 1:Pay App 54'!M72)</f>
        <v>0</v>
      </c>
      <c r="Q72" s="28"/>
    </row>
    <row r="73" spans="1:17" ht="11.25" customHeight="1" x14ac:dyDescent="0.25">
      <c r="A73" s="152">
        <v>17</v>
      </c>
      <c r="B73" s="175" t="str">
        <f>'Pay App 1'!B73</f>
        <v>02 82 00</v>
      </c>
      <c r="C73" s="180" t="str">
        <f>'Pay App 1'!C73</f>
        <v>Asbestos Abatement</v>
      </c>
      <c r="D73" s="155">
        <f>'Pay App 1'!D73</f>
        <v>0</v>
      </c>
      <c r="E73" s="155">
        <f>VLOOKUP(B73,'Graph Data'!$O$2:$BX$88,56,FALSE)</f>
        <v>0</v>
      </c>
      <c r="F73" s="155">
        <f>IFERROR(E73+'Pay App 53'!F73,"")</f>
        <v>0</v>
      </c>
      <c r="G73" s="155">
        <f>SUM('Pay App 1:Pay App 53'!H73)</f>
        <v>0</v>
      </c>
      <c r="H73" s="154"/>
      <c r="I73" s="155">
        <f t="shared" si="0"/>
        <v>0</v>
      </c>
      <c r="J73" s="156">
        <f t="shared" si="1"/>
        <v>0</v>
      </c>
      <c r="K73" s="155">
        <f t="shared" si="2"/>
        <v>0</v>
      </c>
      <c r="L73" s="155" t="str">
        <f>IF(AND('Summary Sheet'!$E$23="No",$H$33&gt;0,H73&gt;=1),"",IF(AND('Summary Sheet'!$E$23="Yes",H73&lt;&gt;""),H73*'Summary Sheet'!$G$23,""))</f>
        <v/>
      </c>
      <c r="M73" s="154"/>
      <c r="N73" s="155">
        <f>SUM('Pay App 1:Pay App 54'!L73)+SUM('Pay App 1:Pay App 54'!M73)</f>
        <v>0</v>
      </c>
    </row>
    <row r="74" spans="1:17" ht="11.25" customHeight="1" x14ac:dyDescent="0.25">
      <c r="A74" s="152">
        <v>18</v>
      </c>
      <c r="B74" s="176" t="str">
        <f>'Pay App 1'!B74</f>
        <v>03 00 00</v>
      </c>
      <c r="C74" s="181" t="str">
        <f>'Pay App 1'!C74</f>
        <v>Building Concrete</v>
      </c>
      <c r="D74" s="155">
        <f>'Pay App 1'!D74</f>
        <v>0</v>
      </c>
      <c r="E74" s="155">
        <f>VLOOKUP(B74,'Graph Data'!$O$2:$BX$88,56,FALSE)</f>
        <v>0</v>
      </c>
      <c r="F74" s="155">
        <f>IFERROR(E74+'Pay App 53'!F74,"")</f>
        <v>0</v>
      </c>
      <c r="G74" s="155">
        <f>SUM('Pay App 1:Pay App 53'!H74)</f>
        <v>0</v>
      </c>
      <c r="H74" s="154"/>
      <c r="I74" s="155">
        <f t="shared" si="0"/>
        <v>0</v>
      </c>
      <c r="J74" s="156">
        <f t="shared" si="1"/>
        <v>0</v>
      </c>
      <c r="K74" s="155">
        <f t="shared" si="2"/>
        <v>0</v>
      </c>
      <c r="L74" s="155" t="str">
        <f>IF(AND('Summary Sheet'!$E$23="No",$H$33&gt;0,H74&gt;=1),"",IF(AND('Summary Sheet'!$E$23="Yes",H74&lt;&gt;""),H74*'Summary Sheet'!$G$23,""))</f>
        <v/>
      </c>
      <c r="M74" s="154"/>
      <c r="N74" s="155">
        <f>SUM('Pay App 1:Pay App 54'!L74)+SUM('Pay App 1:Pay App 54'!M74)</f>
        <v>0</v>
      </c>
    </row>
    <row r="75" spans="1:17" ht="11.25" customHeight="1" x14ac:dyDescent="0.25">
      <c r="A75" s="152">
        <v>19</v>
      </c>
      <c r="B75" s="176" t="str">
        <f>'Pay App 1'!B75</f>
        <v>03 20 00</v>
      </c>
      <c r="C75" s="181" t="str">
        <f>'Pay App 1'!C75</f>
        <v>Building Concrete Reinforcing</v>
      </c>
      <c r="D75" s="155">
        <f>'Pay App 1'!D75</f>
        <v>0</v>
      </c>
      <c r="E75" s="155">
        <f>VLOOKUP(B75,'Graph Data'!$O$2:$BX$88,56,FALSE)</f>
        <v>0</v>
      </c>
      <c r="F75" s="155">
        <f>IFERROR(E75+'Pay App 53'!F75,"")</f>
        <v>0</v>
      </c>
      <c r="G75" s="155">
        <f>SUM('Pay App 1:Pay App 53'!H75)</f>
        <v>0</v>
      </c>
      <c r="H75" s="154"/>
      <c r="I75" s="155">
        <f t="shared" si="0"/>
        <v>0</v>
      </c>
      <c r="J75" s="156">
        <f t="shared" si="1"/>
        <v>0</v>
      </c>
      <c r="K75" s="155">
        <f t="shared" si="2"/>
        <v>0</v>
      </c>
      <c r="L75" s="155" t="str">
        <f>IF(AND('Summary Sheet'!$E$23="No",$H$33&gt;0,H75&gt;=1),"",IF(AND('Summary Sheet'!$E$23="Yes",H75&lt;&gt;""),H75*'Summary Sheet'!$G$23,""))</f>
        <v/>
      </c>
      <c r="M75" s="154"/>
      <c r="N75" s="155">
        <f>SUM('Pay App 1:Pay App 54'!L75)+SUM('Pay App 1:Pay App 54'!M75)</f>
        <v>0</v>
      </c>
    </row>
    <row r="76" spans="1:17" ht="11.25" customHeight="1" x14ac:dyDescent="0.25">
      <c r="A76" s="152">
        <v>20</v>
      </c>
      <c r="B76" s="176" t="str">
        <f>'Pay App 1'!B76</f>
        <v>03 40 00</v>
      </c>
      <c r="C76" s="181" t="str">
        <f>'Pay App 1'!C76</f>
        <v>Precast</v>
      </c>
      <c r="D76" s="155">
        <f>'Pay App 1'!D76</f>
        <v>0</v>
      </c>
      <c r="E76" s="155">
        <f>VLOOKUP(B76,'Graph Data'!$O$2:$BX$88,56,FALSE)</f>
        <v>0</v>
      </c>
      <c r="F76" s="155">
        <f>IFERROR(E76+'Pay App 53'!F76,"")</f>
        <v>0</v>
      </c>
      <c r="G76" s="155">
        <f>SUM('Pay App 1:Pay App 53'!H76)</f>
        <v>0</v>
      </c>
      <c r="H76" s="154"/>
      <c r="I76" s="155">
        <f t="shared" si="0"/>
        <v>0</v>
      </c>
      <c r="J76" s="156">
        <f t="shared" si="1"/>
        <v>0</v>
      </c>
      <c r="K76" s="155">
        <f t="shared" si="2"/>
        <v>0</v>
      </c>
      <c r="L76" s="155" t="str">
        <f>IF(AND('Summary Sheet'!$E$23="No",$H$33&gt;0,H76&gt;=1),"",IF(AND('Summary Sheet'!$E$23="Yes",H76&lt;&gt;""),H76*'Summary Sheet'!$G$23,""))</f>
        <v/>
      </c>
      <c r="M76" s="154"/>
      <c r="N76" s="155">
        <f>SUM('Pay App 1:Pay App 54'!L76)+SUM('Pay App 1:Pay App 54'!M76)</f>
        <v>0</v>
      </c>
    </row>
    <row r="77" spans="1:17" ht="11.25" customHeight="1" x14ac:dyDescent="0.25">
      <c r="A77" s="152">
        <v>21</v>
      </c>
      <c r="B77" s="177" t="str">
        <f>'Pay App 1'!B77</f>
        <v>04 00 00</v>
      </c>
      <c r="C77" s="182" t="str">
        <f>'Pay App 1'!C77</f>
        <v>Masonry</v>
      </c>
      <c r="D77" s="155">
        <f>'Pay App 1'!D77</f>
        <v>0</v>
      </c>
      <c r="E77" s="155">
        <f>VLOOKUP(B77,'Graph Data'!$O$2:$BX$88,56,FALSE)</f>
        <v>0</v>
      </c>
      <c r="F77" s="155">
        <f>IFERROR(E77+'Pay App 53'!F77,"")</f>
        <v>0</v>
      </c>
      <c r="G77" s="155">
        <f>SUM('Pay App 1:Pay App 53'!H77)</f>
        <v>0</v>
      </c>
      <c r="H77" s="154"/>
      <c r="I77" s="155">
        <f t="shared" si="0"/>
        <v>0</v>
      </c>
      <c r="J77" s="156">
        <f t="shared" si="1"/>
        <v>0</v>
      </c>
      <c r="K77" s="155">
        <f t="shared" si="2"/>
        <v>0</v>
      </c>
      <c r="L77" s="155" t="str">
        <f>IF(AND('Summary Sheet'!$E$23="No",$H$33&gt;0,H77&gt;=1),"",IF(AND('Summary Sheet'!$E$23="Yes",H77&lt;&gt;""),H77*'Summary Sheet'!$G$23,""))</f>
        <v/>
      </c>
      <c r="M77" s="154"/>
      <c r="N77" s="155">
        <f>SUM('Pay App 1:Pay App 54'!L77)+SUM('Pay App 1:Pay App 54'!M77)</f>
        <v>0</v>
      </c>
    </row>
    <row r="78" spans="1:17" ht="11.25" customHeight="1" x14ac:dyDescent="0.25">
      <c r="A78" s="152">
        <v>22</v>
      </c>
      <c r="B78" s="177" t="str">
        <f>'Pay App 1'!B78</f>
        <v>04 05 19</v>
      </c>
      <c r="C78" s="182" t="str">
        <f>'Pay App 1'!C78</f>
        <v>Masonry Reinforcing</v>
      </c>
      <c r="D78" s="155">
        <f>'Pay App 1'!D78</f>
        <v>0</v>
      </c>
      <c r="E78" s="155">
        <f>VLOOKUP(B78,'Graph Data'!$O$2:$BX$88,56,FALSE)</f>
        <v>0</v>
      </c>
      <c r="F78" s="155">
        <f>IFERROR(E78+'Pay App 53'!F78,"")</f>
        <v>0</v>
      </c>
      <c r="G78" s="155">
        <f>SUM('Pay App 1:Pay App 53'!H78)</f>
        <v>0</v>
      </c>
      <c r="H78" s="154"/>
      <c r="I78" s="155">
        <f t="shared" si="0"/>
        <v>0</v>
      </c>
      <c r="J78" s="156">
        <f t="shared" si="1"/>
        <v>0</v>
      </c>
      <c r="K78" s="155">
        <f t="shared" si="2"/>
        <v>0</v>
      </c>
      <c r="L78" s="155" t="str">
        <f>IF(AND('Summary Sheet'!$E$23="No",$H$33&gt;0,H78&gt;=1),"",IF(AND('Summary Sheet'!$E$23="Yes",H78&lt;&gt;""),H78*'Summary Sheet'!$G$23,""))</f>
        <v/>
      </c>
      <c r="M78" s="154"/>
      <c r="N78" s="155">
        <f>SUM('Pay App 1:Pay App 54'!L78)+SUM('Pay App 1:Pay App 54'!M78)</f>
        <v>0</v>
      </c>
    </row>
    <row r="79" spans="1:17" ht="11.25" customHeight="1" x14ac:dyDescent="0.25">
      <c r="A79" s="152">
        <v>23</v>
      </c>
      <c r="B79" s="178" t="str">
        <f>'Pay App 1'!B79</f>
        <v>05 10 00</v>
      </c>
      <c r="C79" s="183" t="str">
        <f>'Pay App 1'!C79</f>
        <v>Structural Steel/Misc. Steel Fab</v>
      </c>
      <c r="D79" s="155">
        <f>'Pay App 1'!D79</f>
        <v>0</v>
      </c>
      <c r="E79" s="155">
        <f>VLOOKUP(B79,'Graph Data'!$O$2:$BX$88,56,FALSE)</f>
        <v>0</v>
      </c>
      <c r="F79" s="155">
        <f>IFERROR(E79+'Pay App 53'!F79,"")</f>
        <v>0</v>
      </c>
      <c r="G79" s="155">
        <f>SUM('Pay App 1:Pay App 53'!H79)</f>
        <v>0</v>
      </c>
      <c r="H79" s="154"/>
      <c r="I79" s="155">
        <f t="shared" si="0"/>
        <v>0</v>
      </c>
      <c r="J79" s="156">
        <f t="shared" si="1"/>
        <v>0</v>
      </c>
      <c r="K79" s="155">
        <f t="shared" si="2"/>
        <v>0</v>
      </c>
      <c r="L79" s="155" t="str">
        <f>IF(AND('Summary Sheet'!$E$23="No",$H$33&gt;0,H79&gt;=1),"",IF(AND('Summary Sheet'!$E$23="Yes",H79&lt;&gt;""),H79*'Summary Sheet'!$G$23,""))</f>
        <v/>
      </c>
      <c r="M79" s="154"/>
      <c r="N79" s="155">
        <f>SUM('Pay App 1:Pay App 54'!L79)+SUM('Pay App 1:Pay App 54'!M79)</f>
        <v>0</v>
      </c>
    </row>
    <row r="80" spans="1:17" ht="11.25" customHeight="1" x14ac:dyDescent="0.25">
      <c r="A80" s="152">
        <v>24</v>
      </c>
      <c r="B80" s="178" t="str">
        <f>'Pay App 1'!B80</f>
        <v>05 20 00</v>
      </c>
      <c r="C80" s="183" t="str">
        <f>'Pay App 1'!C80</f>
        <v>Joists &amp; Deck</v>
      </c>
      <c r="D80" s="155">
        <f>'Pay App 1'!D80</f>
        <v>0</v>
      </c>
      <c r="E80" s="155">
        <f>VLOOKUP(B80,'Graph Data'!$O$2:$BX$88,56,FALSE)</f>
        <v>0</v>
      </c>
      <c r="F80" s="155">
        <f>IFERROR(E80+'Pay App 53'!F80,"")</f>
        <v>0</v>
      </c>
      <c r="G80" s="155">
        <f>SUM('Pay App 1:Pay App 53'!H80)</f>
        <v>0</v>
      </c>
      <c r="H80" s="154"/>
      <c r="I80" s="155">
        <f t="shared" si="0"/>
        <v>0</v>
      </c>
      <c r="J80" s="156">
        <f t="shared" si="1"/>
        <v>0</v>
      </c>
      <c r="K80" s="155">
        <f t="shared" si="2"/>
        <v>0</v>
      </c>
      <c r="L80" s="155" t="str">
        <f>IF(AND('Summary Sheet'!$E$23="No",$H$33&gt;0,H80&gt;=1),"",IF(AND('Summary Sheet'!$E$23="Yes",H80&lt;&gt;""),H80*'Summary Sheet'!$G$23,""))</f>
        <v/>
      </c>
      <c r="M80" s="154"/>
      <c r="N80" s="155">
        <f>SUM('Pay App 1:Pay App 54'!L80)+SUM('Pay App 1:Pay App 54'!M80)</f>
        <v>0</v>
      </c>
    </row>
    <row r="81" spans="1:14" ht="11.25" customHeight="1" x14ac:dyDescent="0.25">
      <c r="A81" s="152">
        <v>25</v>
      </c>
      <c r="B81" s="178" t="str">
        <f>'Pay App 1'!B81</f>
        <v>05 70 00</v>
      </c>
      <c r="C81" s="183" t="str">
        <f>'Pay App 1'!C81</f>
        <v>Ornamental Metal</v>
      </c>
      <c r="D81" s="155">
        <f>'Pay App 1'!D81</f>
        <v>0</v>
      </c>
      <c r="E81" s="155">
        <f>VLOOKUP(B81,'Graph Data'!$O$2:$BX$88,56,FALSE)</f>
        <v>0</v>
      </c>
      <c r="F81" s="155">
        <f>IFERROR(E81+'Pay App 53'!F81,"")</f>
        <v>0</v>
      </c>
      <c r="G81" s="155">
        <f>SUM('Pay App 1:Pay App 53'!H81)</f>
        <v>0</v>
      </c>
      <c r="H81" s="154"/>
      <c r="I81" s="155">
        <f t="shared" si="0"/>
        <v>0</v>
      </c>
      <c r="J81" s="156">
        <f t="shared" si="1"/>
        <v>0</v>
      </c>
      <c r="K81" s="155">
        <f t="shared" si="2"/>
        <v>0</v>
      </c>
      <c r="L81" s="155" t="str">
        <f>IF(AND('Summary Sheet'!$E$23="No",$H$33&gt;0,H81&gt;=1),"",IF(AND('Summary Sheet'!$E$23="Yes",H81&lt;&gt;""),H81*'Summary Sheet'!$G$23,""))</f>
        <v/>
      </c>
      <c r="M81" s="154"/>
      <c r="N81" s="155">
        <f>SUM('Pay App 1:Pay App 54'!L81)+SUM('Pay App 1:Pay App 54'!M81)</f>
        <v>0</v>
      </c>
    </row>
    <row r="82" spans="1:14" ht="11.25" customHeight="1" x14ac:dyDescent="0.25">
      <c r="A82" s="152">
        <v>26</v>
      </c>
      <c r="B82" s="145" t="str">
        <f>'Pay App 1'!B82</f>
        <v>06 10 00</v>
      </c>
      <c r="C82" s="134" t="str">
        <f>'Pay App 1'!C82</f>
        <v>Rough Carpentry</v>
      </c>
      <c r="D82" s="155">
        <f>'Pay App 1'!D82</f>
        <v>0</v>
      </c>
      <c r="E82" s="155">
        <f>VLOOKUP(B82,'Graph Data'!$O$2:$BX$88,56,FALSE)</f>
        <v>0</v>
      </c>
      <c r="F82" s="155">
        <f>IFERROR(E82+'Pay App 53'!F82,"")</f>
        <v>0</v>
      </c>
      <c r="G82" s="155">
        <f>SUM('Pay App 1:Pay App 53'!H82)</f>
        <v>0</v>
      </c>
      <c r="H82" s="154"/>
      <c r="I82" s="155">
        <f t="shared" si="0"/>
        <v>0</v>
      </c>
      <c r="J82" s="156">
        <f t="shared" si="1"/>
        <v>0</v>
      </c>
      <c r="K82" s="155">
        <f t="shared" si="2"/>
        <v>0</v>
      </c>
      <c r="L82" s="155" t="str">
        <f>IF(AND('Summary Sheet'!$E$23="No",$H$33&gt;0,H82&gt;=1),"",IF(AND('Summary Sheet'!$E$23="Yes",H82&lt;&gt;""),H82*'Summary Sheet'!$G$23,""))</f>
        <v/>
      </c>
      <c r="M82" s="154"/>
      <c r="N82" s="155">
        <f>SUM('Pay App 1:Pay App 54'!L82)+SUM('Pay App 1:Pay App 54'!M82)</f>
        <v>0</v>
      </c>
    </row>
    <row r="83" spans="1:14" ht="11.25" customHeight="1" x14ac:dyDescent="0.25">
      <c r="A83" s="152">
        <v>27</v>
      </c>
      <c r="B83" s="145" t="str">
        <f>'Pay App 1'!B83</f>
        <v>06 40 00</v>
      </c>
      <c r="C83" s="134" t="str">
        <f>'Pay App 1'!C83</f>
        <v>Arch. Woodwork &amp; Finish Carp.</v>
      </c>
      <c r="D83" s="155">
        <f>'Pay App 1'!D83</f>
        <v>0</v>
      </c>
      <c r="E83" s="155">
        <f>VLOOKUP(B83,'Graph Data'!$O$2:$BX$88,56,FALSE)</f>
        <v>0</v>
      </c>
      <c r="F83" s="155">
        <f>IFERROR(E83+'Pay App 53'!F83,"")</f>
        <v>0</v>
      </c>
      <c r="G83" s="155">
        <f>SUM('Pay App 1:Pay App 53'!H83)</f>
        <v>0</v>
      </c>
      <c r="H83" s="154"/>
      <c r="I83" s="155">
        <f t="shared" si="0"/>
        <v>0</v>
      </c>
      <c r="J83" s="156">
        <f t="shared" si="1"/>
        <v>0</v>
      </c>
      <c r="K83" s="155">
        <f t="shared" si="2"/>
        <v>0</v>
      </c>
      <c r="L83" s="155" t="str">
        <f>IF(AND('Summary Sheet'!$E$23="No",$H$33&gt;0,H83&gt;=1),"",IF(AND('Summary Sheet'!$E$23="Yes",H83&lt;&gt;""),H83*'Summary Sheet'!$G$23,""))</f>
        <v/>
      </c>
      <c r="M83" s="154"/>
      <c r="N83" s="155">
        <f>SUM('Pay App 1:Pay App 54'!L83)+SUM('Pay App 1:Pay App 54'!M83)</f>
        <v>0</v>
      </c>
    </row>
    <row r="84" spans="1:14" ht="11.25" customHeight="1" x14ac:dyDescent="0.25">
      <c r="A84" s="152">
        <v>28</v>
      </c>
      <c r="B84" s="174" t="str">
        <f>'Pay App 1'!B84</f>
        <v>07 10 00</v>
      </c>
      <c r="C84" s="179" t="str">
        <f>'Pay App 1'!C84</f>
        <v>Waterproofing/Water Repellents</v>
      </c>
      <c r="D84" s="155">
        <f>'Pay App 1'!D84</f>
        <v>0</v>
      </c>
      <c r="E84" s="155">
        <f>VLOOKUP(B84,'Graph Data'!$O$2:$BX$88,56,FALSE)</f>
        <v>0</v>
      </c>
      <c r="F84" s="155">
        <f>IFERROR(E84+'Pay App 53'!F84,"")</f>
        <v>0</v>
      </c>
      <c r="G84" s="155">
        <f>SUM('Pay App 1:Pay App 53'!H84)</f>
        <v>0</v>
      </c>
      <c r="H84" s="154"/>
      <c r="I84" s="155">
        <f t="shared" si="0"/>
        <v>0</v>
      </c>
      <c r="J84" s="156">
        <f t="shared" si="1"/>
        <v>0</v>
      </c>
      <c r="K84" s="155">
        <f t="shared" si="2"/>
        <v>0</v>
      </c>
      <c r="L84" s="155" t="str">
        <f>IF(AND('Summary Sheet'!$E$23="No",$H$33&gt;0,H84&gt;=1),"",IF(AND('Summary Sheet'!$E$23="Yes",H84&lt;&gt;""),H84*'Summary Sheet'!$G$23,""))</f>
        <v/>
      </c>
      <c r="M84" s="154"/>
      <c r="N84" s="155">
        <f>SUM('Pay App 1:Pay App 54'!L84)+SUM('Pay App 1:Pay App 54'!M84)</f>
        <v>0</v>
      </c>
    </row>
    <row r="85" spans="1:14" ht="11.25" customHeight="1" x14ac:dyDescent="0.25">
      <c r="A85" s="152">
        <v>29</v>
      </c>
      <c r="B85" s="174" t="str">
        <f>'Pay App 1'!B85</f>
        <v>07 20 00</v>
      </c>
      <c r="C85" s="179" t="str">
        <f>'Pay App 1'!C85</f>
        <v>Insulation</v>
      </c>
      <c r="D85" s="155">
        <f>'Pay App 1'!D85</f>
        <v>0</v>
      </c>
      <c r="E85" s="155">
        <f>VLOOKUP(B85,'Graph Data'!$O$2:$BX$88,56,FALSE)</f>
        <v>0</v>
      </c>
      <c r="F85" s="155">
        <f>IFERROR(E85+'Pay App 53'!F85,"")</f>
        <v>0</v>
      </c>
      <c r="G85" s="155">
        <f>SUM('Pay App 1:Pay App 53'!H85)</f>
        <v>0</v>
      </c>
      <c r="H85" s="154"/>
      <c r="I85" s="155">
        <f t="shared" si="0"/>
        <v>0</v>
      </c>
      <c r="J85" s="156">
        <f t="shared" si="1"/>
        <v>0</v>
      </c>
      <c r="K85" s="155">
        <f t="shared" si="2"/>
        <v>0</v>
      </c>
      <c r="L85" s="155" t="str">
        <f>IF(AND('Summary Sheet'!$E$23="No",$H$33&gt;0,H85&gt;=1),"",IF(AND('Summary Sheet'!$E$23="Yes",H85&lt;&gt;""),H85*'Summary Sheet'!$G$23,""))</f>
        <v/>
      </c>
      <c r="M85" s="154"/>
      <c r="N85" s="155">
        <f>SUM('Pay App 1:Pay App 54'!L85)+SUM('Pay App 1:Pay App 54'!M85)</f>
        <v>0</v>
      </c>
    </row>
    <row r="86" spans="1:14" ht="11.25" customHeight="1" x14ac:dyDescent="0.25">
      <c r="A86" s="152">
        <v>30</v>
      </c>
      <c r="B86" s="174" t="str">
        <f>'Pay App 1'!B86</f>
        <v>07 24 00</v>
      </c>
      <c r="C86" s="179" t="str">
        <f>'Pay App 1'!C86</f>
        <v>EIFS</v>
      </c>
      <c r="D86" s="155">
        <f>'Pay App 1'!D86</f>
        <v>0</v>
      </c>
      <c r="E86" s="155">
        <f>VLOOKUP(B86,'Graph Data'!$O$2:$BX$88,56,FALSE)</f>
        <v>0</v>
      </c>
      <c r="F86" s="155">
        <f>IFERROR(E86+'Pay App 53'!F86,"")</f>
        <v>0</v>
      </c>
      <c r="G86" s="155">
        <f>SUM('Pay App 1:Pay App 53'!H86)</f>
        <v>0</v>
      </c>
      <c r="H86" s="154"/>
      <c r="I86" s="155">
        <f t="shared" si="0"/>
        <v>0</v>
      </c>
      <c r="J86" s="156">
        <f t="shared" si="1"/>
        <v>0</v>
      </c>
      <c r="K86" s="155">
        <f t="shared" si="2"/>
        <v>0</v>
      </c>
      <c r="L86" s="155" t="str">
        <f>IF(AND('Summary Sheet'!$E$23="No",$H$33&gt;0,H86&gt;=1),"",IF(AND('Summary Sheet'!$E$23="Yes",H86&lt;&gt;""),H86*'Summary Sheet'!$G$23,""))</f>
        <v/>
      </c>
      <c r="M86" s="154"/>
      <c r="N86" s="155">
        <f>SUM('Pay App 1:Pay App 54'!L86)+SUM('Pay App 1:Pay App 54'!M86)</f>
        <v>0</v>
      </c>
    </row>
    <row r="87" spans="1:14" ht="11.25" customHeight="1" x14ac:dyDescent="0.25">
      <c r="A87" s="152">
        <v>31</v>
      </c>
      <c r="B87" s="174" t="str">
        <f>'Pay App 1'!B87</f>
        <v>07 26 00</v>
      </c>
      <c r="C87" s="179" t="str">
        <f>'Pay App 1'!C87</f>
        <v>Vapor Retarders</v>
      </c>
      <c r="D87" s="155">
        <f>'Pay App 1'!D87</f>
        <v>0</v>
      </c>
      <c r="E87" s="155">
        <f>VLOOKUP(B87,'Graph Data'!$O$2:$BX$88,56,FALSE)</f>
        <v>0</v>
      </c>
      <c r="F87" s="155">
        <f>IFERROR(E87+'Pay App 53'!F87,"")</f>
        <v>0</v>
      </c>
      <c r="G87" s="155">
        <f>SUM('Pay App 1:Pay App 53'!H87)</f>
        <v>0</v>
      </c>
      <c r="H87" s="154"/>
      <c r="I87" s="155">
        <f t="shared" si="0"/>
        <v>0</v>
      </c>
      <c r="J87" s="156">
        <f t="shared" si="1"/>
        <v>0</v>
      </c>
      <c r="K87" s="155">
        <f t="shared" si="2"/>
        <v>0</v>
      </c>
      <c r="L87" s="155" t="str">
        <f>IF(AND('Summary Sheet'!$E$23="No",$H$33&gt;0,H87&gt;=1),"",IF(AND('Summary Sheet'!$E$23="Yes",H87&lt;&gt;""),H87*'Summary Sheet'!$G$23,""))</f>
        <v/>
      </c>
      <c r="M87" s="154"/>
      <c r="N87" s="155">
        <f>SUM('Pay App 1:Pay App 54'!L87)+SUM('Pay App 1:Pay App 54'!M87)</f>
        <v>0</v>
      </c>
    </row>
    <row r="88" spans="1:14" ht="11.25" customHeight="1" x14ac:dyDescent="0.25">
      <c r="A88" s="152">
        <v>32</v>
      </c>
      <c r="B88" s="174" t="str">
        <f>'Pay App 1'!B88</f>
        <v>07 41 00</v>
      </c>
      <c r="C88" s="179" t="str">
        <f>'Pay App 1'!C88</f>
        <v>Roofing</v>
      </c>
      <c r="D88" s="155">
        <f>'Pay App 1'!D88</f>
        <v>0</v>
      </c>
      <c r="E88" s="155">
        <f>VLOOKUP(B88,'Graph Data'!$O$2:$BX$88,56,FALSE)</f>
        <v>0</v>
      </c>
      <c r="F88" s="155">
        <f>IFERROR(E88+'Pay App 53'!F88,"")</f>
        <v>0</v>
      </c>
      <c r="G88" s="155">
        <f>SUM('Pay App 1:Pay App 53'!H88)</f>
        <v>0</v>
      </c>
      <c r="H88" s="154"/>
      <c r="I88" s="155">
        <f t="shared" si="0"/>
        <v>0</v>
      </c>
      <c r="J88" s="156">
        <f t="shared" si="1"/>
        <v>0</v>
      </c>
      <c r="K88" s="155">
        <f t="shared" si="2"/>
        <v>0</v>
      </c>
      <c r="L88" s="155" t="str">
        <f>IF(AND('Summary Sheet'!$E$23="No",$H$33&gt;0,H88&gt;=1),"",IF(AND('Summary Sheet'!$E$23="Yes",H88&lt;&gt;""),H88*'Summary Sheet'!$G$23,""))</f>
        <v/>
      </c>
      <c r="M88" s="154"/>
      <c r="N88" s="155">
        <f>SUM('Pay App 1:Pay App 54'!L88)+SUM('Pay App 1:Pay App 54'!M88)</f>
        <v>0</v>
      </c>
    </row>
    <row r="89" spans="1:14" ht="11.25" customHeight="1" x14ac:dyDescent="0.25">
      <c r="A89" s="152">
        <v>33</v>
      </c>
      <c r="B89" s="174" t="str">
        <f>'Pay App 1'!B89</f>
        <v>07 42 00</v>
      </c>
      <c r="C89" s="179" t="str">
        <f>'Pay App 1'!C89</f>
        <v>Metal Panels</v>
      </c>
      <c r="D89" s="155">
        <f>'Pay App 1'!D89</f>
        <v>0</v>
      </c>
      <c r="E89" s="155">
        <f>VLOOKUP(B89,'Graph Data'!$O$2:$BX$88,56,FALSE)</f>
        <v>0</v>
      </c>
      <c r="F89" s="155">
        <f>IFERROR(E89+'Pay App 53'!F89,"")</f>
        <v>0</v>
      </c>
      <c r="G89" s="155">
        <f>SUM('Pay App 1:Pay App 53'!H89)</f>
        <v>0</v>
      </c>
      <c r="H89" s="154"/>
      <c r="I89" s="155">
        <f t="shared" si="0"/>
        <v>0</v>
      </c>
      <c r="J89" s="156">
        <f t="shared" si="1"/>
        <v>0</v>
      </c>
      <c r="K89" s="155">
        <f t="shared" si="2"/>
        <v>0</v>
      </c>
      <c r="L89" s="155" t="str">
        <f>IF(AND('Summary Sheet'!$E$23="No",$H$33&gt;0,H89&gt;=1),"",IF(AND('Summary Sheet'!$E$23="Yes",H89&lt;&gt;""),H89*'Summary Sheet'!$G$23,""))</f>
        <v/>
      </c>
      <c r="M89" s="154"/>
      <c r="N89" s="155">
        <f>SUM('Pay App 1:Pay App 54'!L89)+SUM('Pay App 1:Pay App 54'!M89)</f>
        <v>0</v>
      </c>
    </row>
    <row r="90" spans="1:14" ht="11.25" customHeight="1" x14ac:dyDescent="0.25">
      <c r="A90" s="152">
        <v>34</v>
      </c>
      <c r="B90" s="174" t="str">
        <f>'Pay App 1'!B90</f>
        <v>07 60 00</v>
      </c>
      <c r="C90" s="179" t="str">
        <f>'Pay App 1'!C90</f>
        <v>Sheet Metal Flashing &amp; Trim</v>
      </c>
      <c r="D90" s="155">
        <f>'Pay App 1'!D90</f>
        <v>0</v>
      </c>
      <c r="E90" s="155">
        <f>VLOOKUP(B90,'Graph Data'!$O$2:$BX$88,56,FALSE)</f>
        <v>0</v>
      </c>
      <c r="F90" s="155">
        <f>IFERROR(E90+'Pay App 53'!F90,"")</f>
        <v>0</v>
      </c>
      <c r="G90" s="155">
        <f>SUM('Pay App 1:Pay App 53'!H90)</f>
        <v>0</v>
      </c>
      <c r="H90" s="154"/>
      <c r="I90" s="155">
        <f t="shared" si="0"/>
        <v>0</v>
      </c>
      <c r="J90" s="156">
        <f t="shared" si="1"/>
        <v>0</v>
      </c>
      <c r="K90" s="155">
        <f t="shared" si="2"/>
        <v>0</v>
      </c>
      <c r="L90" s="155" t="str">
        <f>IF(AND('Summary Sheet'!$E$23="No",$H$33&gt;0,H90&gt;=1),"",IF(AND('Summary Sheet'!$E$23="Yes",H90&lt;&gt;""),H90*'Summary Sheet'!$G$23,""))</f>
        <v/>
      </c>
      <c r="M90" s="154"/>
      <c r="N90" s="155">
        <f>SUM('Pay App 1:Pay App 54'!L90)+SUM('Pay App 1:Pay App 54'!M90)</f>
        <v>0</v>
      </c>
    </row>
    <row r="91" spans="1:14" ht="11.25" customHeight="1" x14ac:dyDescent="0.25">
      <c r="A91" s="152">
        <v>35</v>
      </c>
      <c r="B91" s="174" t="str">
        <f>'Pay App 1'!B91</f>
        <v>07 80 00</v>
      </c>
      <c r="C91" s="179" t="str">
        <f>'Pay App 1'!C91</f>
        <v>Fireproofing</v>
      </c>
      <c r="D91" s="155">
        <f>'Pay App 1'!D91</f>
        <v>0</v>
      </c>
      <c r="E91" s="155">
        <f>VLOOKUP(B91,'Graph Data'!$O$2:$BX$88,56,FALSE)</f>
        <v>0</v>
      </c>
      <c r="F91" s="155">
        <f>IFERROR(E91+'Pay App 53'!F91,"")</f>
        <v>0</v>
      </c>
      <c r="G91" s="155">
        <f>SUM('Pay App 1:Pay App 53'!H91)</f>
        <v>0</v>
      </c>
      <c r="H91" s="154"/>
      <c r="I91" s="155">
        <f t="shared" si="0"/>
        <v>0</v>
      </c>
      <c r="J91" s="156">
        <f t="shared" si="1"/>
        <v>0</v>
      </c>
      <c r="K91" s="155">
        <f t="shared" si="2"/>
        <v>0</v>
      </c>
      <c r="L91" s="155" t="str">
        <f>IF(AND('Summary Sheet'!$E$23="No",$H$33&gt;0,H91&gt;=1),"",IF(AND('Summary Sheet'!$E$23="Yes",H91&lt;&gt;""),H91*'Summary Sheet'!$G$23,""))</f>
        <v/>
      </c>
      <c r="M91" s="154"/>
      <c r="N91" s="155">
        <f>SUM('Pay App 1:Pay App 54'!L91)+SUM('Pay App 1:Pay App 54'!M91)</f>
        <v>0</v>
      </c>
    </row>
    <row r="92" spans="1:14" ht="11.25" customHeight="1" x14ac:dyDescent="0.25">
      <c r="A92" s="152">
        <v>36</v>
      </c>
      <c r="B92" s="174" t="str">
        <f>'Pay App 1'!B92</f>
        <v>07 90 00</v>
      </c>
      <c r="C92" s="179" t="str">
        <f>'Pay App 1'!C92</f>
        <v>Joint Sealants</v>
      </c>
      <c r="D92" s="155">
        <f>'Pay App 1'!D92</f>
        <v>0</v>
      </c>
      <c r="E92" s="155">
        <f>VLOOKUP(B92,'Graph Data'!$O$2:$BX$88,56,FALSE)</f>
        <v>0</v>
      </c>
      <c r="F92" s="155">
        <f>IFERROR(E92+'Pay App 53'!F92,"")</f>
        <v>0</v>
      </c>
      <c r="G92" s="155">
        <f>SUM('Pay App 1:Pay App 53'!H92)</f>
        <v>0</v>
      </c>
      <c r="H92" s="154"/>
      <c r="I92" s="155">
        <f t="shared" si="0"/>
        <v>0</v>
      </c>
      <c r="J92" s="156">
        <f t="shared" si="1"/>
        <v>0</v>
      </c>
      <c r="K92" s="155">
        <f t="shared" si="2"/>
        <v>0</v>
      </c>
      <c r="L92" s="155" t="str">
        <f>IF(AND('Summary Sheet'!$E$23="No",$H$33&gt;0,H92&gt;=1),"",IF(AND('Summary Sheet'!$E$23="Yes",H92&lt;&gt;""),H92*'Summary Sheet'!$G$23,""))</f>
        <v/>
      </c>
      <c r="M92" s="154"/>
      <c r="N92" s="155">
        <f>SUM('Pay App 1:Pay App 54'!L92)+SUM('Pay App 1:Pay App 54'!M92)</f>
        <v>0</v>
      </c>
    </row>
    <row r="93" spans="1:14" ht="11.25" customHeight="1" x14ac:dyDescent="0.25">
      <c r="A93" s="152">
        <v>37</v>
      </c>
      <c r="B93" s="174" t="str">
        <f>'Pay App 1'!B93</f>
        <v>07 95 00</v>
      </c>
      <c r="C93" s="179" t="str">
        <f>'Pay App 1'!C93</f>
        <v>Expansion Joints</v>
      </c>
      <c r="D93" s="155">
        <f>'Pay App 1'!D93</f>
        <v>0</v>
      </c>
      <c r="E93" s="155">
        <f>VLOOKUP(B93,'Graph Data'!$O$2:$BX$88,56,FALSE)</f>
        <v>0</v>
      </c>
      <c r="F93" s="155">
        <f>IFERROR(E93+'Pay App 53'!F93,"")</f>
        <v>0</v>
      </c>
      <c r="G93" s="155">
        <f>SUM('Pay App 1:Pay App 53'!H93)</f>
        <v>0</v>
      </c>
      <c r="H93" s="154"/>
      <c r="I93" s="155">
        <f t="shared" si="0"/>
        <v>0</v>
      </c>
      <c r="J93" s="156">
        <f t="shared" si="1"/>
        <v>0</v>
      </c>
      <c r="K93" s="155">
        <f t="shared" si="2"/>
        <v>0</v>
      </c>
      <c r="L93" s="155" t="str">
        <f>IF(AND('Summary Sheet'!$E$23="No",$H$33&gt;0,H93&gt;=1),"",IF(AND('Summary Sheet'!$E$23="Yes",H93&lt;&gt;""),H93*'Summary Sheet'!$G$23,""))</f>
        <v/>
      </c>
      <c r="M93" s="154"/>
      <c r="N93" s="155">
        <f>SUM('Pay App 1:Pay App 54'!L93)+SUM('Pay App 1:Pay App 54'!M93)</f>
        <v>0</v>
      </c>
    </row>
    <row r="94" spans="1:14" ht="11.25" customHeight="1" x14ac:dyDescent="0.25">
      <c r="A94" s="152">
        <v>38</v>
      </c>
      <c r="B94" s="175" t="str">
        <f>'Pay App 1'!B94</f>
        <v>08 10 00</v>
      </c>
      <c r="C94" s="180" t="str">
        <f>'Pay App 1'!C94</f>
        <v>Doors, Frames &amp; Hardware</v>
      </c>
      <c r="D94" s="155">
        <f>'Pay App 1'!D94</f>
        <v>0</v>
      </c>
      <c r="E94" s="155">
        <f>VLOOKUP(B94,'Graph Data'!$O$2:$BX$88,56,FALSE)</f>
        <v>0</v>
      </c>
      <c r="F94" s="155">
        <f>IFERROR(E94+'Pay App 53'!F94,"")</f>
        <v>0</v>
      </c>
      <c r="G94" s="155">
        <f>SUM('Pay App 1:Pay App 53'!H94)</f>
        <v>0</v>
      </c>
      <c r="H94" s="154"/>
      <c r="I94" s="155">
        <f t="shared" si="0"/>
        <v>0</v>
      </c>
      <c r="J94" s="156">
        <f t="shared" si="1"/>
        <v>0</v>
      </c>
      <c r="K94" s="155">
        <f t="shared" si="2"/>
        <v>0</v>
      </c>
      <c r="L94" s="155" t="str">
        <f>IF(AND('Summary Sheet'!$E$23="No",$H$33&gt;0,H94&gt;=1),"",IF(AND('Summary Sheet'!$E$23="Yes",H94&lt;&gt;""),H94*'Summary Sheet'!$G$23,""))</f>
        <v/>
      </c>
      <c r="M94" s="154"/>
      <c r="N94" s="155">
        <f>SUM('Pay App 1:Pay App 54'!L94)+SUM('Pay App 1:Pay App 54'!M94)</f>
        <v>0</v>
      </c>
    </row>
    <row r="95" spans="1:14" ht="11.25" customHeight="1" x14ac:dyDescent="0.25">
      <c r="A95" s="152">
        <v>39</v>
      </c>
      <c r="B95" s="175" t="str">
        <f>'Pay App 1'!B95</f>
        <v>08 30 00</v>
      </c>
      <c r="C95" s="180" t="str">
        <f>'Pay App 1'!C95</f>
        <v>Specialty Doors</v>
      </c>
      <c r="D95" s="155">
        <f>'Pay App 1'!D95</f>
        <v>0</v>
      </c>
      <c r="E95" s="155">
        <f>VLOOKUP(B95,'Graph Data'!$O$2:$BX$88,56,FALSE)</f>
        <v>0</v>
      </c>
      <c r="F95" s="155">
        <f>IFERROR(E95+'Pay App 53'!F95,"")</f>
        <v>0</v>
      </c>
      <c r="G95" s="155">
        <f>SUM('Pay App 1:Pay App 53'!H95)</f>
        <v>0</v>
      </c>
      <c r="H95" s="154"/>
      <c r="I95" s="155">
        <f t="shared" si="0"/>
        <v>0</v>
      </c>
      <c r="J95" s="156">
        <f t="shared" si="1"/>
        <v>0</v>
      </c>
      <c r="K95" s="155">
        <f t="shared" si="2"/>
        <v>0</v>
      </c>
      <c r="L95" s="155" t="str">
        <f>IF(AND('Summary Sheet'!$E$23="No",$H$33&gt;0,H95&gt;=1),"",IF(AND('Summary Sheet'!$E$23="Yes",H95&lt;&gt;""),H95*'Summary Sheet'!$G$23,""))</f>
        <v/>
      </c>
      <c r="M95" s="154"/>
      <c r="N95" s="155">
        <f>SUM('Pay App 1:Pay App 54'!L95)+SUM('Pay App 1:Pay App 54'!M95)</f>
        <v>0</v>
      </c>
    </row>
    <row r="96" spans="1:14" ht="11.25" customHeight="1" x14ac:dyDescent="0.25">
      <c r="A96" s="152">
        <v>40</v>
      </c>
      <c r="B96" s="175" t="str">
        <f>'Pay App 1'!B96</f>
        <v>08 33 00</v>
      </c>
      <c r="C96" s="180" t="str">
        <f>'Pay App 1'!C96</f>
        <v>Overhead Doors/Coiling Doors</v>
      </c>
      <c r="D96" s="155">
        <f>'Pay App 1'!D96</f>
        <v>0</v>
      </c>
      <c r="E96" s="155">
        <f>VLOOKUP(B96,'Graph Data'!$O$2:$BX$88,56,FALSE)</f>
        <v>0</v>
      </c>
      <c r="F96" s="155">
        <f>IFERROR(E96+'Pay App 53'!F96,"")</f>
        <v>0</v>
      </c>
      <c r="G96" s="155">
        <f>SUM('Pay App 1:Pay App 53'!H96)</f>
        <v>0</v>
      </c>
      <c r="H96" s="154"/>
      <c r="I96" s="155">
        <f t="shared" si="0"/>
        <v>0</v>
      </c>
      <c r="J96" s="156">
        <f t="shared" si="1"/>
        <v>0</v>
      </c>
      <c r="K96" s="155">
        <f t="shared" si="2"/>
        <v>0</v>
      </c>
      <c r="L96" s="155" t="str">
        <f>IF(AND('Summary Sheet'!$E$23="No",$H$33&gt;0,H96&gt;=1),"",IF(AND('Summary Sheet'!$E$23="Yes",H96&lt;&gt;""),H96*'Summary Sheet'!$G$23,""))</f>
        <v/>
      </c>
      <c r="M96" s="154"/>
      <c r="N96" s="155">
        <f>SUM('Pay App 1:Pay App 54'!L96)+SUM('Pay App 1:Pay App 54'!M96)</f>
        <v>0</v>
      </c>
    </row>
    <row r="97" spans="1:15" ht="11.25" customHeight="1" x14ac:dyDescent="0.25">
      <c r="A97" s="152">
        <v>41</v>
      </c>
      <c r="B97" s="175" t="str">
        <f>'Pay App 1'!B97</f>
        <v>08 40 00</v>
      </c>
      <c r="C97" s="180" t="str">
        <f>'Pay App 1'!C97</f>
        <v>Curtain Wall, Glass &amp; Glazing</v>
      </c>
      <c r="D97" s="155">
        <f>'Pay App 1'!D97</f>
        <v>0</v>
      </c>
      <c r="E97" s="155">
        <f>VLOOKUP(B97,'Graph Data'!$O$2:$BX$88,56,FALSE)</f>
        <v>0</v>
      </c>
      <c r="F97" s="155">
        <f>IFERROR(E97+'Pay App 53'!F97,"")</f>
        <v>0</v>
      </c>
      <c r="G97" s="155">
        <f>SUM('Pay App 1:Pay App 53'!H97)</f>
        <v>0</v>
      </c>
      <c r="H97" s="154"/>
      <c r="I97" s="155">
        <f t="shared" si="0"/>
        <v>0</v>
      </c>
      <c r="J97" s="156">
        <f t="shared" si="1"/>
        <v>0</v>
      </c>
      <c r="K97" s="155">
        <f t="shared" si="2"/>
        <v>0</v>
      </c>
      <c r="L97" s="155" t="str">
        <f>IF(AND('Summary Sheet'!$E$23="No",$H$33&gt;0,H97&gt;=1),"",IF(AND('Summary Sheet'!$E$23="Yes",H97&lt;&gt;""),H97*'Summary Sheet'!$G$23,""))</f>
        <v/>
      </c>
      <c r="M97" s="154"/>
      <c r="N97" s="155">
        <f>SUM('Pay App 1:Pay App 54'!L97)+SUM('Pay App 1:Pay App 54'!M97)</f>
        <v>0</v>
      </c>
    </row>
    <row r="98" spans="1:15" ht="10.9" customHeight="1" x14ac:dyDescent="0.25">
      <c r="A98" s="152">
        <v>42</v>
      </c>
      <c r="B98" s="175" t="str">
        <f>'Pay App 1'!B98</f>
        <v>08 60 00</v>
      </c>
      <c r="C98" s="180" t="str">
        <f>'Pay App 1'!C98</f>
        <v>Skylights</v>
      </c>
      <c r="D98" s="155">
        <f>'Pay App 1'!D98</f>
        <v>0</v>
      </c>
      <c r="E98" s="155">
        <f>VLOOKUP(B98,'Graph Data'!$O$2:$BX$88,56,FALSE)</f>
        <v>0</v>
      </c>
      <c r="F98" s="155">
        <f>IFERROR(E98+'Pay App 53'!F98,"")</f>
        <v>0</v>
      </c>
      <c r="G98" s="155">
        <f>SUM('Pay App 1:Pay App 53'!H98)</f>
        <v>0</v>
      </c>
      <c r="H98" s="154"/>
      <c r="I98" s="155">
        <f t="shared" si="0"/>
        <v>0</v>
      </c>
      <c r="J98" s="156">
        <f t="shared" si="1"/>
        <v>0</v>
      </c>
      <c r="K98" s="155">
        <f t="shared" si="2"/>
        <v>0</v>
      </c>
      <c r="L98" s="155" t="str">
        <f>IF(AND('Summary Sheet'!$E$23="No",$H$33&gt;0,H98&gt;=1),"",IF(AND('Summary Sheet'!$E$23="Yes",H98&lt;&gt;""),H98*'Summary Sheet'!$G$23,""))</f>
        <v/>
      </c>
      <c r="M98" s="154"/>
      <c r="N98" s="155">
        <f>SUM('Pay App 1:Pay App 54'!L98)+SUM('Pay App 1:Pay App 54'!M98)</f>
        <v>0</v>
      </c>
    </row>
    <row r="99" spans="1:15" ht="10.9" customHeight="1" x14ac:dyDescent="0.25">
      <c r="A99" s="152">
        <v>43</v>
      </c>
      <c r="B99" s="175" t="str">
        <f>'Pay App 1'!B99</f>
        <v>08 90 00</v>
      </c>
      <c r="C99" s="180" t="str">
        <f>'Pay App 1'!C99</f>
        <v>Louvers &amp; Vents</v>
      </c>
      <c r="D99" s="155">
        <f>'Pay App 1'!D99</f>
        <v>0</v>
      </c>
      <c r="E99" s="155">
        <f>VLOOKUP(B99,'Graph Data'!$O$2:$BX$88,56,FALSE)</f>
        <v>0</v>
      </c>
      <c r="F99" s="155">
        <f>IFERROR(E99+'Pay App 53'!F99,"")</f>
        <v>0</v>
      </c>
      <c r="G99" s="155">
        <f>SUM('Pay App 1:Pay App 53'!H99)</f>
        <v>0</v>
      </c>
      <c r="H99" s="154"/>
      <c r="I99" s="155">
        <f t="shared" si="0"/>
        <v>0</v>
      </c>
      <c r="J99" s="156">
        <f t="shared" si="1"/>
        <v>0</v>
      </c>
      <c r="K99" s="155">
        <f t="shared" si="2"/>
        <v>0</v>
      </c>
      <c r="L99" s="155" t="str">
        <f>IF(AND('Summary Sheet'!$E$23="No",$H$33&gt;0,H99&gt;=1),"",IF(AND('Summary Sheet'!$E$23="Yes",H99&lt;&gt;""),H99*'Summary Sheet'!$G$23,""))</f>
        <v/>
      </c>
      <c r="M99" s="154"/>
      <c r="N99" s="155">
        <f>SUM('Pay App 1:Pay App 54'!L99)+SUM('Pay App 1:Pay App 54'!M99)</f>
        <v>0</v>
      </c>
    </row>
    <row r="100" spans="1:15" ht="11.25" customHeight="1" x14ac:dyDescent="0.25">
      <c r="A100" s="153">
        <v>44</v>
      </c>
      <c r="B100" s="176" t="str">
        <f>'Pay App 1'!B100</f>
        <v>09 20 00</v>
      </c>
      <c r="C100" s="181" t="str">
        <f>'Pay App 1'!C100</f>
        <v>Gypsum Board Systems</v>
      </c>
      <c r="D100" s="155">
        <f>'Pay App 1'!D100</f>
        <v>0</v>
      </c>
      <c r="E100" s="155">
        <f>VLOOKUP(B100,'Graph Data'!$O$2:$BX$88,56,FALSE)</f>
        <v>0</v>
      </c>
      <c r="F100" s="155">
        <f>IFERROR(E100+'Pay App 53'!F100,"")</f>
        <v>0</v>
      </c>
      <c r="G100" s="155">
        <f>SUM('Pay App 1:Pay App 53'!H100)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54'!L100)+SUM('Pay App 1:Pay App 54'!M100)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54.2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Data'!$O$2:$BX$88,56,FALSE)</f>
        <v>0</v>
      </c>
      <c r="F106" s="155">
        <f>IFERROR(E106+'Pay App 53'!F106,"")</f>
        <v>0</v>
      </c>
      <c r="G106" s="155">
        <f>SUM('Pay App 1:Pay App 53'!H106)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54'!L106)+SUM('Pay App 1:Pay App 54'!M106)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Data'!$O$2:$BX$88,56,FALSE)</f>
        <v>0</v>
      </c>
      <c r="F107" s="155">
        <f>IFERROR(E107+'Pay App 53'!F107,"")</f>
        <v>0</v>
      </c>
      <c r="G107" s="155">
        <f>SUM('Pay App 1:Pay App 53'!H107)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54'!L107)+SUM('Pay App 1:Pay App 54'!M107)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Data'!$O$2:$BX$88,56,FALSE)</f>
        <v>0</v>
      </c>
      <c r="F108" s="155">
        <f>IFERROR(E108+'Pay App 53'!F108,"")</f>
        <v>0</v>
      </c>
      <c r="G108" s="155">
        <f>SUM('Pay App 1:Pay App 53'!H108)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54'!L108)+SUM('Pay App 1:Pay App 54'!M108)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Data'!$O$2:$BX$88,56,FALSE)</f>
        <v>0</v>
      </c>
      <c r="F109" s="155">
        <f>IFERROR(E109+'Pay App 53'!F109,"")</f>
        <v>0</v>
      </c>
      <c r="G109" s="155">
        <f>SUM('Pay App 1:Pay App 53'!H109)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54'!L109)+SUM('Pay App 1:Pay App 54'!M109)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Data'!$O$2:$BX$88,56,FALSE)</f>
        <v>0</v>
      </c>
      <c r="F110" s="155">
        <f>IFERROR(E110+'Pay App 53'!F110,"")</f>
        <v>0</v>
      </c>
      <c r="G110" s="155">
        <f>SUM('Pay App 1:Pay App 53'!H110)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54'!L110)+SUM('Pay App 1:Pay App 54'!M110)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Data'!$O$2:$BX$88,56,FALSE)</f>
        <v>0</v>
      </c>
      <c r="F111" s="155">
        <f>IFERROR(E111+'Pay App 53'!F111,"")</f>
        <v>0</v>
      </c>
      <c r="G111" s="155">
        <f>SUM('Pay App 1:Pay App 53'!H111)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54'!L111)+SUM('Pay App 1:Pay App 54'!M111)</f>
        <v>0</v>
      </c>
    </row>
    <row r="112" spans="1:15" ht="11.25" customHeight="1" x14ac:dyDescent="0.25">
      <c r="A112" s="152">
        <f t="shared" si="3"/>
        <v>51</v>
      </c>
      <c r="B112" s="148" t="str">
        <f>'Pay App 1'!B112</f>
        <v>09 90 00</v>
      </c>
      <c r="C112" s="143" t="str">
        <f>'Pay App 1'!C112</f>
        <v>Painting</v>
      </c>
      <c r="D112" s="155">
        <f>'Pay App 1'!D112</f>
        <v>0</v>
      </c>
      <c r="E112" s="155">
        <f>VLOOKUP(B112,'Graph Data'!$O$2:$BX$88,56,FALSE)</f>
        <v>0</v>
      </c>
      <c r="F112" s="155">
        <f>IFERROR(E112+'Pay App 53'!F112,"")</f>
        <v>0</v>
      </c>
      <c r="G112" s="155">
        <f>SUM('Pay App 1:Pay App 53'!H112)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54'!L112)+SUM('Pay App 1:Pay App 54'!M112)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Data'!$O$2:$BX$88,56,FALSE)</f>
        <v>0</v>
      </c>
      <c r="F113" s="155">
        <f>IFERROR(E113+'Pay App 53'!F113,"")</f>
        <v>0</v>
      </c>
      <c r="G113" s="155">
        <f>SUM('Pay App 1:Pay App 53'!H113)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54'!L113)+SUM('Pay App 1:Pay App 54'!M113)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Data'!$O$2:$BX$88,56,FALSE)</f>
        <v>0</v>
      </c>
      <c r="F114" s="155">
        <f>IFERROR(E114+'Pay App 53'!F114,"")</f>
        <v>0</v>
      </c>
      <c r="G114" s="155">
        <f>SUM('Pay App 1:Pay App 53'!H114)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54'!L114)+SUM('Pay App 1:Pay App 54'!M114)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Data'!$O$2:$BX$88,56,FALSE)</f>
        <v>0</v>
      </c>
      <c r="F115" s="155">
        <f>IFERROR(E115+'Pay App 53'!F115,"")</f>
        <v>0</v>
      </c>
      <c r="G115" s="155">
        <f>SUM('Pay App 1:Pay App 53'!H115)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54'!L115)+SUM('Pay App 1:Pay App 54'!M115)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Data'!$O$2:$BX$88,56,FALSE)</f>
        <v>0</v>
      </c>
      <c r="F116" s="155">
        <f>IFERROR(E116+'Pay App 53'!F116,"")</f>
        <v>0</v>
      </c>
      <c r="G116" s="155">
        <f>SUM('Pay App 1:Pay App 53'!H116)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54'!L116)+SUM('Pay App 1:Pay App 54'!M116)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Data'!$O$2:$BX$88,56,FALSE)</f>
        <v>0</v>
      </c>
      <c r="F117" s="155">
        <f>IFERROR(E117+'Pay App 53'!F117,"")</f>
        <v>0</v>
      </c>
      <c r="G117" s="155">
        <f>SUM('Pay App 1:Pay App 53'!H117)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54'!L117)+SUM('Pay App 1:Pay App 54'!M117)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Data'!$O$2:$BX$88,56,FALSE)</f>
        <v>0</v>
      </c>
      <c r="F118" s="155">
        <f>IFERROR(E118+'Pay App 53'!F118,"")</f>
        <v>0</v>
      </c>
      <c r="G118" s="155">
        <f>SUM('Pay App 1:Pay App 53'!H118)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54'!L118)+SUM('Pay App 1:Pay App 54'!M118)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Data'!$O$2:$BX$88,56,FALSE)</f>
        <v>0</v>
      </c>
      <c r="F119" s="155">
        <f>IFERROR(E119+'Pay App 53'!F119,"")</f>
        <v>0</v>
      </c>
      <c r="G119" s="155">
        <f>SUM('Pay App 1:Pay App 53'!H119)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54'!L119)+SUM('Pay App 1:Pay App 54'!M119)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Data'!$O$2:$BX$88,56,FALSE)</f>
        <v>0</v>
      </c>
      <c r="F120" s="155">
        <f>IFERROR(E120+'Pay App 53'!F120,"")</f>
        <v>0</v>
      </c>
      <c r="G120" s="155">
        <f>SUM('Pay App 1:Pay App 53'!H120)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54'!L120)+SUM('Pay App 1:Pay App 54'!M120)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Data'!$O$2:$BX$88,56,FALSE)</f>
        <v>0</v>
      </c>
      <c r="F121" s="155">
        <f>IFERROR(E121+'Pay App 53'!F121,"")</f>
        <v>0</v>
      </c>
      <c r="G121" s="155">
        <f>SUM('Pay App 1:Pay App 53'!H121)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54'!L121)+SUM('Pay App 1:Pay App 54'!M121)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Data'!$O$2:$BX$88,56,FALSE)</f>
        <v>0</v>
      </c>
      <c r="F122" s="155">
        <f>IFERROR(E122+'Pay App 53'!F122,"")</f>
        <v>0</v>
      </c>
      <c r="G122" s="155">
        <f>SUM('Pay App 1:Pay App 53'!H122)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54'!L122)+SUM('Pay App 1:Pay App 54'!M122)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Data'!$O$2:$BX$88,56,FALSE)</f>
        <v>0</v>
      </c>
      <c r="F123" s="155">
        <f>IFERROR(E123+'Pay App 53'!F123,"")</f>
        <v>0</v>
      </c>
      <c r="G123" s="155">
        <f>SUM('Pay App 1:Pay App 53'!H123)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54'!L123)+SUM('Pay App 1:Pay App 54'!M123)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Data'!$O$2:$BX$88,56,FALSE)</f>
        <v>0</v>
      </c>
      <c r="F124" s="155">
        <f>IFERROR(E124+'Pay App 53'!F124,"")</f>
        <v>0</v>
      </c>
      <c r="G124" s="155">
        <f>SUM('Pay App 1:Pay App 53'!H124)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54'!L124)+SUM('Pay App 1:Pay App 54'!M124)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Data'!$O$2:$BX$88,56,FALSE)</f>
        <v>0</v>
      </c>
      <c r="F125" s="155">
        <f>IFERROR(E125+'Pay App 53'!F125,"")</f>
        <v>0</v>
      </c>
      <c r="G125" s="155">
        <f>SUM('Pay App 1:Pay App 53'!H125)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54'!L125)+SUM('Pay App 1:Pay App 54'!M125)</f>
        <v>0</v>
      </c>
    </row>
    <row r="126" spans="1:14" ht="11.25" customHeight="1" x14ac:dyDescent="0.25">
      <c r="A126" s="152">
        <f t="shared" si="3"/>
        <v>65</v>
      </c>
      <c r="B126" s="188" t="str">
        <f>'Pay App 1'!B126</f>
        <v>14 20 00</v>
      </c>
      <c r="C126" s="194" t="str">
        <f>'Pay App 1'!C126</f>
        <v>Elevator</v>
      </c>
      <c r="D126" s="155">
        <f>'Pay App 1'!D126</f>
        <v>0</v>
      </c>
      <c r="E126" s="155">
        <f>VLOOKUP(B126,'Graph Data'!$O$2:$BX$88,56,FALSE)</f>
        <v>0</v>
      </c>
      <c r="F126" s="155">
        <f>IFERROR(E126+'Pay App 53'!F126,"")</f>
        <v>0</v>
      </c>
      <c r="G126" s="155">
        <f>SUM('Pay App 1:Pay App 53'!H126)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54'!L126)+SUM('Pay App 1:Pay App 54'!M126)</f>
        <v>0</v>
      </c>
    </row>
    <row r="127" spans="1:14" ht="11.25" customHeight="1" x14ac:dyDescent="0.25">
      <c r="A127" s="152">
        <f t="shared" si="3"/>
        <v>66</v>
      </c>
      <c r="B127" s="188" t="str">
        <f>'Pay App 1'!B127</f>
        <v>14 40 00</v>
      </c>
      <c r="C127" s="194" t="str">
        <f>'Pay App 1'!C127</f>
        <v>Lifts</v>
      </c>
      <c r="D127" s="155">
        <f>'Pay App 1'!D127</f>
        <v>0</v>
      </c>
      <c r="E127" s="155">
        <f>VLOOKUP(B127,'Graph Data'!$O$2:$BX$88,56,FALSE)</f>
        <v>0</v>
      </c>
      <c r="F127" s="155">
        <f>IFERROR(E127+'Pay App 53'!F127,"")</f>
        <v>0</v>
      </c>
      <c r="G127" s="155">
        <f>SUM('Pay App 1:Pay App 53'!H127)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54'!L127)+SUM('Pay App 1:Pay App 54'!M127)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Data'!$O$2:$BX$88,56,FALSE)</f>
        <v>0</v>
      </c>
      <c r="F128" s="155">
        <f>IFERROR(E128+'Pay App 53'!F128,"")</f>
        <v>0</v>
      </c>
      <c r="G128" s="155">
        <f>SUM('Pay App 1:Pay App 53'!H128)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54'!L128)+SUM('Pay App 1:Pay App 54'!M128)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Data'!$O$2:$BX$88,56,FALSE)</f>
        <v>0</v>
      </c>
      <c r="F129" s="155">
        <f>IFERROR(E129+'Pay App 53'!F129,"")</f>
        <v>0</v>
      </c>
      <c r="G129" s="155">
        <f>SUM('Pay App 1:Pay App 53'!H129)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54'!L129)+SUM('Pay App 1:Pay App 54'!M129)</f>
        <v>0</v>
      </c>
    </row>
    <row r="130" spans="1:14" ht="11.25" customHeight="1" x14ac:dyDescent="0.25">
      <c r="A130" s="152">
        <f t="shared" si="3"/>
        <v>69</v>
      </c>
      <c r="B130" s="185" t="str">
        <f>'Pay App 1'!B130</f>
        <v>22 00 00</v>
      </c>
      <c r="C130" s="191" t="str">
        <f>'Pay App 1'!C130</f>
        <v>Plumbing</v>
      </c>
      <c r="D130" s="155">
        <f>'Pay App 1'!D130</f>
        <v>0</v>
      </c>
      <c r="E130" s="155">
        <f>VLOOKUP(B130,'Graph Data'!$O$2:$BX$88,56,FALSE)</f>
        <v>0</v>
      </c>
      <c r="F130" s="155">
        <f>IFERROR(E130+'Pay App 53'!F130,"")</f>
        <v>0</v>
      </c>
      <c r="G130" s="155">
        <f>SUM('Pay App 1:Pay App 53'!H130)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54'!L130)+SUM('Pay App 1:Pay App 54'!M130)</f>
        <v>0</v>
      </c>
    </row>
    <row r="131" spans="1:14" ht="11.25" customHeight="1" x14ac:dyDescent="0.25">
      <c r="A131" s="152">
        <f t="shared" si="3"/>
        <v>70</v>
      </c>
      <c r="B131" s="186" t="str">
        <f>'Pay App 1'!B131</f>
        <v>23 00 00</v>
      </c>
      <c r="C131" s="192" t="str">
        <f>'Pay App 1'!C131</f>
        <v>HVAC</v>
      </c>
      <c r="D131" s="155">
        <f>'Pay App 1'!D131</f>
        <v>0</v>
      </c>
      <c r="E131" s="155">
        <f>VLOOKUP(B131,'Graph Data'!$O$2:$BX$88,56,FALSE)</f>
        <v>0</v>
      </c>
      <c r="F131" s="155">
        <f>IFERROR(E131+'Pay App 53'!F131,"")</f>
        <v>0</v>
      </c>
      <c r="G131" s="155">
        <f>SUM('Pay App 1:Pay App 53'!H131)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54'!L131)+SUM('Pay App 1:Pay App 54'!M131)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Data'!$O$2:$BX$88,56,FALSE)</f>
        <v>0</v>
      </c>
      <c r="F132" s="155">
        <f>IFERROR(E132+'Pay App 53'!F132,"")</f>
        <v>0</v>
      </c>
      <c r="G132" s="155">
        <f>SUM('Pay App 1:Pay App 53'!H132)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54'!L132)+SUM('Pay App 1:Pay App 54'!M132)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Data'!$O$2:$BX$88,56,FALSE)</f>
        <v>0</v>
      </c>
      <c r="F133" s="155">
        <f>IFERROR(E133+'Pay App 53'!F133,"")</f>
        <v>0</v>
      </c>
      <c r="G133" s="155">
        <f>SUM('Pay App 1:Pay App 53'!H133)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54'!L133)+SUM('Pay App 1:Pay App 54'!M133)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Data'!$O$2:$BX$88,56,FALSE)</f>
        <v>0</v>
      </c>
      <c r="F134" s="155">
        <f>IFERROR(E134+'Pay App 53'!F134,"")</f>
        <v>0</v>
      </c>
      <c r="G134" s="155">
        <f>SUM('Pay App 1:Pay App 53'!H134)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54'!L134)+SUM('Pay App 1:Pay App 54'!M134)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Data'!$O$2:$BX$88,56,FALSE)</f>
        <v>0</v>
      </c>
      <c r="F135" s="155">
        <f>IFERROR(E135+'Pay App 53'!F135,"")</f>
        <v>0</v>
      </c>
      <c r="G135" s="155">
        <f>SUM('Pay App 1:Pay App 53'!H135)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54'!L135)+SUM('Pay App 1:Pay App 54'!M135)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Data'!$O$2:$BX$88,56,FALSE)</f>
        <v>0</v>
      </c>
      <c r="F136" s="155">
        <f>IFERROR(E136+'Pay App 53'!F136,"")</f>
        <v>0</v>
      </c>
      <c r="G136" s="155">
        <f>SUM('Pay App 1:Pay App 53'!H136)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54'!L136)+SUM('Pay App 1:Pay App 54'!M136)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Data'!$O$2:$BX$88,56,FALSE)</f>
        <v>0</v>
      </c>
      <c r="F137" s="155">
        <f>IFERROR(E137+'Pay App 53'!F137,"")</f>
        <v>0</v>
      </c>
      <c r="G137" s="155">
        <f>SUM('Pay App 1:Pay App 53'!H137)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54'!L137)+SUM('Pay App 1:Pay App 54'!M137)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Data'!$O$2:$BX$88,56,FALSE)</f>
        <v>0</v>
      </c>
      <c r="F138" s="155">
        <f>IFERROR(E138+'Pay App 53'!F138,"")</f>
        <v>0</v>
      </c>
      <c r="G138" s="155">
        <f>SUM('Pay App 1:Pay App 53'!H138)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54'!L138)+SUM('Pay App 1:Pay App 54'!M138)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Data'!$O$2:$BX$88,56,FALSE)</f>
        <v>0</v>
      </c>
      <c r="F139" s="155">
        <f>IFERROR(E139+'Pay App 53'!F139,"")</f>
        <v>0</v>
      </c>
      <c r="G139" s="155">
        <f>SUM('Pay App 1:Pay App 53'!H139)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54'!L139)+SUM('Pay App 1:Pay App 54'!M139)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Data'!$O$2:$BX$88,56,FALSE)</f>
        <v>0</v>
      </c>
      <c r="F140" s="155">
        <f>IFERROR(E140+'Pay App 53'!F140,"")</f>
        <v>0</v>
      </c>
      <c r="G140" s="155">
        <f>SUM('Pay App 1:Pay App 53'!H140)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54'!L140)+SUM('Pay App 1:Pay App 54'!M140)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Data'!$O$2:$BX$88,56,FALSE)</f>
        <v>0</v>
      </c>
      <c r="F141" s="155">
        <f>IFERROR(E141+'Pay App 53'!F141,"")</f>
        <v>0</v>
      </c>
      <c r="G141" s="155">
        <f>SUM('Pay App 1:Pay App 53'!H141)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54'!L141)+SUM('Pay App 1:Pay App 54'!M141)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Data'!$O$2:$BX$88,56,FALSE)</f>
        <v>0</v>
      </c>
      <c r="F142" s="155">
        <f>IFERROR(E142+'Pay App 53'!F142,"")</f>
        <v>0</v>
      </c>
      <c r="G142" s="155">
        <f>SUM('Pay App 1:Pay App 53'!H142)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54'!L142)+SUM('Pay App 1:Pay App 54'!M142)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Data'!$O$2:$BX$88,56,FALSE)</f>
        <v>0</v>
      </c>
      <c r="F143" s="155">
        <f>IFERROR(E143+'Pay App 53'!F143,"")</f>
        <v>0</v>
      </c>
      <c r="G143" s="155">
        <f>SUM('Pay App 1:Pay App 53'!H143)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54'!L143)+SUM('Pay App 1:Pay App 54'!M143)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Data'!$O$2:$BX$88,56,FALSE)</f>
        <v>0</v>
      </c>
      <c r="F144" s="155">
        <f>IFERROR(E144+'Pay App 53'!F144,"")</f>
        <v>0</v>
      </c>
      <c r="G144" s="155">
        <f>SUM('Pay App 1:Pay App 53'!H144)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54'!L144)+SUM('Pay App 1:Pay App 54'!M144)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Data'!$O$2:$BX$88,56,FALSE)</f>
        <v>0</v>
      </c>
      <c r="F145" s="155">
        <f>IFERROR(E145+'Pay App 53'!F145,"")</f>
        <v>0</v>
      </c>
      <c r="G145" s="155">
        <f>SUM('Pay App 1:Pay App 53'!H145)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54'!L145)+SUM('Pay App 1:Pay App 54'!M145)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Data'!$O$2:$BX$88,56,FALSE)</f>
        <v>0</v>
      </c>
      <c r="F146" s="155">
        <f>IFERROR(E146+'Pay App 53'!F146,"")</f>
        <v>0</v>
      </c>
      <c r="G146" s="155">
        <f>SUM('Pay App 1:Pay App 53'!H146)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54'!L146)+SUM('Pay App 1:Pay App 54'!M146)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Data'!$O$2:$BX$88,56,FALSE)</f>
        <v>0</v>
      </c>
      <c r="F147" s="155">
        <f>IFERROR(E147+'Pay App 53'!F147,"")</f>
        <v>0</v>
      </c>
      <c r="G147" s="155">
        <f>SUM('Pay App 1:Pay App 53'!H147)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54'!L147)+SUM('Pay App 1:Pay App 54'!M147)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Data'!$O$2:$BX$88,56,FALSE)</f>
        <v>0</v>
      </c>
      <c r="F148" s="155">
        <f>IFERROR(E148+'Pay App 53'!F148,"")</f>
        <v>0</v>
      </c>
      <c r="G148" s="155">
        <f>SUM('Pay App 1:Pay App 53'!H148)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54'!L148)+SUM('Pay App 1:Pay App 54'!M148)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qOmjxoecQNHot4Y47kLjc69Pqks/D2VvPBw6b0f7knGoWBiCFeB9fJvl5YwxBQDUCzqmL2b3sl1hCuFEWVi/6Q==" saltValue="W8T6Q94wutSbWP7BPuK7G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76" priority="2" operator="equal">
      <formula>0</formula>
    </cfRule>
  </conditionalFormatting>
  <conditionalFormatting sqref="D106:G148">
    <cfRule type="cellIs" dxfId="75" priority="1" operator="equal">
      <formula>0</formula>
    </cfRule>
  </conditionalFormatting>
  <conditionalFormatting sqref="D10:H10 D12:H14 D19:H21">
    <cfRule type="cellIs" dxfId="74" priority="6" operator="equal">
      <formula>0</formula>
    </cfRule>
  </conditionalFormatting>
  <conditionalFormatting sqref="H51">
    <cfRule type="cellIs" dxfId="73" priority="9" operator="lessThan">
      <formula>0</formula>
    </cfRule>
  </conditionalFormatting>
  <conditionalFormatting sqref="I57:I100 K57:K100 I106:I148 K106:K148 N106:N148">
    <cfRule type="cellIs" dxfId="72" priority="14" operator="equal">
      <formula>0</formula>
    </cfRule>
  </conditionalFormatting>
  <conditionalFormatting sqref="J57:J100 J106:J149">
    <cfRule type="cellIs" dxfId="71" priority="11" operator="greaterThan">
      <formula>1</formula>
    </cfRule>
    <cfRule type="cellIs" dxfId="70" priority="12" operator="equal">
      <formula>0</formula>
    </cfRule>
  </conditionalFormatting>
  <conditionalFormatting sqref="K57:K100 K106:K148">
    <cfRule type="cellIs" dxfId="69" priority="10" operator="lessThan">
      <formula>0</formula>
    </cfRule>
  </conditionalFormatting>
  <conditionalFormatting sqref="M57:M100">
    <cfRule type="cellIs" dxfId="68" priority="13" operator="lessThan">
      <formula>0</formula>
    </cfRule>
  </conditionalFormatting>
  <conditionalFormatting sqref="M106:M148">
    <cfRule type="cellIs" dxfId="67" priority="8" operator="lessThan">
      <formula>0</formula>
    </cfRule>
  </conditionalFormatting>
  <conditionalFormatting sqref="N57:N100">
    <cfRule type="cellIs" dxfId="66"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F983115D-1915-4E95-B726-66880F48C951}">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FB023641-A091-40B4-BED1-931A87C4BCF3}">
          <x14:formula1>
            <xm:f>'Graph Data'!$M$74:$M$76</xm:f>
          </x14:formula1>
          <xm:sqref>G17</xm:sqref>
        </x14:dataValidation>
      </x14:dataValidations>
    </ext>
  </extLs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FECD-C9D2-4573-B77E-2A24069F8843}">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55</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55'!E149)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55'!G41)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54'!H49)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55.1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Data'!$O$2:$BX$88,57,FALSE)</f>
        <v>0</v>
      </c>
      <c r="F57" s="155">
        <f>IFERROR(E57+'Pay App 54'!F57,"")</f>
        <v>0</v>
      </c>
      <c r="G57" s="155">
        <f>SUM('Pay App 1:Pay App 54'!H57)</f>
        <v>0</v>
      </c>
      <c r="H57" s="154"/>
      <c r="I57" s="155">
        <f>G57+H57</f>
        <v>0</v>
      </c>
      <c r="J57" s="156">
        <f>IFERROR(I57/F57,0)</f>
        <v>0</v>
      </c>
      <c r="K57" s="155">
        <f>IFERROR(F57-I57,"")</f>
        <v>0</v>
      </c>
      <c r="L57" s="155" t="str">
        <f>IF(AND('Summary Sheet'!$E$23="No",$H$33&gt;0,H57&gt;=1),"",IF(AND('Summary Sheet'!$E$23="Yes",H57&lt;&gt;""),H57*'Summary Sheet'!$G$23,""))</f>
        <v/>
      </c>
      <c r="M57" s="154"/>
      <c r="N57" s="155">
        <f>SUM('Pay App 1:Pay App 55'!L57)+SUM('Pay App 1:Pay App 55'!M57)</f>
        <v>0</v>
      </c>
    </row>
    <row r="58" spans="1:16" ht="11.25" customHeight="1" x14ac:dyDescent="0.25">
      <c r="A58" s="152">
        <v>2</v>
      </c>
      <c r="B58" s="145" t="str">
        <f>'Pay App 1'!B58</f>
        <v>00 02 00</v>
      </c>
      <c r="C58" s="134" t="str">
        <f>'Pay App 1'!C58</f>
        <v>Preconstruction Services</v>
      </c>
      <c r="D58" s="155">
        <f>'Pay App 1'!D58</f>
        <v>0</v>
      </c>
      <c r="E58" s="155">
        <f>VLOOKUP(B58,'Graph Data'!$O$2:$BX$88,57,FALSE)</f>
        <v>0</v>
      </c>
      <c r="F58" s="155">
        <f>IFERROR(E58+'Pay App 54'!F58,"")</f>
        <v>0</v>
      </c>
      <c r="G58" s="155">
        <f>SUM('Pay App 1:Pay App 54'!H58)</f>
        <v>0</v>
      </c>
      <c r="H58" s="154"/>
      <c r="I58" s="155">
        <f>G58+H58</f>
        <v>0</v>
      </c>
      <c r="J58" s="156">
        <f>IFERROR(I58/F58,0)</f>
        <v>0</v>
      </c>
      <c r="K58" s="155">
        <f>IFERROR(F58-I58,"")</f>
        <v>0</v>
      </c>
      <c r="L58" s="155" t="str">
        <f>IF(AND('Summary Sheet'!$E$23="No",$H$33&gt;0,H58&gt;=1),"",IF(AND('Summary Sheet'!$E$23="Yes",H58&lt;&gt;""),H58*'Summary Sheet'!$G$23,""))</f>
        <v/>
      </c>
      <c r="M58" s="154"/>
      <c r="N58" s="155">
        <f>SUM('Pay App 1:Pay App 55'!L58)+SUM('Pay App 1:Pay App 55'!M58)</f>
        <v>0</v>
      </c>
    </row>
    <row r="59" spans="1:16" ht="11.25" customHeight="1" x14ac:dyDescent="0.25">
      <c r="A59" s="152">
        <v>3</v>
      </c>
      <c r="B59" s="174" t="str">
        <f>'Pay App 1'!B59</f>
        <v>01 00 00</v>
      </c>
      <c r="C59" s="179" t="str">
        <f>'Pay App 1'!C59</f>
        <v>General Conditions/Requirements</v>
      </c>
      <c r="D59" s="155">
        <f>'Pay App 1'!D59</f>
        <v>0</v>
      </c>
      <c r="E59" s="155">
        <f>VLOOKUP(B59,'Graph Data'!$O$2:$BX$88,57,FALSE)</f>
        <v>0</v>
      </c>
      <c r="F59" s="155">
        <f>IFERROR(E59+'Pay App 54'!F59,"")</f>
        <v>0</v>
      </c>
      <c r="G59" s="155">
        <f>SUM('Pay App 1:Pay App 54'!H59)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55'!L59)+SUM('Pay App 1:Pay App 55'!M59)</f>
        <v>0</v>
      </c>
    </row>
    <row r="60" spans="1:16" ht="11.25" customHeight="1" x14ac:dyDescent="0.25">
      <c r="A60" s="152">
        <v>4</v>
      </c>
      <c r="B60" s="174" t="str">
        <f>'Pay App 1'!B60</f>
        <v>01 13 41</v>
      </c>
      <c r="C60" s="179" t="str">
        <f>'Pay App 1'!C60</f>
        <v>Temp. Scaffolding and Platforms</v>
      </c>
      <c r="D60" s="155">
        <f>'Pay App 1'!D60</f>
        <v>0</v>
      </c>
      <c r="E60" s="155">
        <f>VLOOKUP(B60,'Graph Data'!$O$2:$BX$88,57,FALSE)</f>
        <v>0</v>
      </c>
      <c r="F60" s="155">
        <f>IFERROR(E60+'Pay App 54'!F60,"")</f>
        <v>0</v>
      </c>
      <c r="G60" s="155">
        <f>SUM('Pay App 1:Pay App 54'!H60)</f>
        <v>0</v>
      </c>
      <c r="H60" s="154"/>
      <c r="I60" s="155">
        <f t="shared" si="0"/>
        <v>0</v>
      </c>
      <c r="J60" s="156">
        <f t="shared" si="1"/>
        <v>0</v>
      </c>
      <c r="K60" s="155">
        <f t="shared" si="2"/>
        <v>0</v>
      </c>
      <c r="L60" s="155" t="str">
        <f>IF(AND('Summary Sheet'!$E$23="No",$H$33&gt;0,H60&gt;=1),"",IF(AND('Summary Sheet'!$E$23="Yes",H60&lt;&gt;""),H60*'Summary Sheet'!$G$23,""))</f>
        <v/>
      </c>
      <c r="M60" s="154"/>
      <c r="N60" s="155">
        <f>SUM('Pay App 1:Pay App 55'!L60)+SUM('Pay App 1:Pay App 55'!M60)</f>
        <v>0</v>
      </c>
    </row>
    <row r="61" spans="1:16" ht="11.25" customHeight="1" x14ac:dyDescent="0.25">
      <c r="A61" s="152">
        <v>5</v>
      </c>
      <c r="B61" s="174" t="str">
        <f>'Pay App 1'!B61</f>
        <v>01 13 60</v>
      </c>
      <c r="C61" s="179" t="str">
        <f>'Pay App 1'!C61</f>
        <v>SWPPP</v>
      </c>
      <c r="D61" s="155">
        <f>'Pay App 1'!D61</f>
        <v>0</v>
      </c>
      <c r="E61" s="155">
        <f>VLOOKUP(B61,'Graph Data'!$O$2:$BX$88,57,FALSE)</f>
        <v>0</v>
      </c>
      <c r="F61" s="155">
        <f>IFERROR(E61+'Pay App 54'!F61,"")</f>
        <v>0</v>
      </c>
      <c r="G61" s="155">
        <f>SUM('Pay App 1:Pay App 54'!H61)</f>
        <v>0</v>
      </c>
      <c r="H61" s="154"/>
      <c r="I61" s="155">
        <f t="shared" si="0"/>
        <v>0</v>
      </c>
      <c r="J61" s="156">
        <f t="shared" si="1"/>
        <v>0</v>
      </c>
      <c r="K61" s="155">
        <f t="shared" si="2"/>
        <v>0</v>
      </c>
      <c r="L61" s="155" t="str">
        <f>IF(AND('Summary Sheet'!$E$23="No",$H$33&gt;0,H61&gt;=1),"",IF(AND('Summary Sheet'!$E$23="Yes",H61&lt;&gt;""),H61*'Summary Sheet'!$G$23,""))</f>
        <v/>
      </c>
      <c r="M61" s="154"/>
      <c r="N61" s="155">
        <f>SUM('Pay App 1:Pay App 55'!L61)+SUM('Pay App 1:Pay App 55'!M61)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Data'!$O$2:$BX$88,57,FALSE)</f>
        <v>0</v>
      </c>
      <c r="F62" s="155">
        <f>IFERROR(E62+'Pay App 54'!F62,"")</f>
        <v>0</v>
      </c>
      <c r="G62" s="155">
        <f>SUM('Pay App 1:Pay App 54'!H62)</f>
        <v>0</v>
      </c>
      <c r="H62" s="154"/>
      <c r="I62" s="155">
        <f t="shared" si="0"/>
        <v>0</v>
      </c>
      <c r="J62" s="156">
        <f t="shared" si="1"/>
        <v>0</v>
      </c>
      <c r="K62" s="155">
        <f t="shared" si="2"/>
        <v>0</v>
      </c>
      <c r="L62" s="155" t="str">
        <f>IF(AND('Summary Sheet'!$E$23="No",$H$33&gt;0,H62&gt;=1),"",IF(AND('Summary Sheet'!$E$23="Yes",H62&lt;&gt;""),H62*'Summary Sheet'!$G$23,""))</f>
        <v/>
      </c>
      <c r="M62" s="154"/>
      <c r="N62" s="155">
        <f>SUM('Pay App 1:Pay App 55'!L62)+SUM('Pay App 1:Pay App 55'!M62)</f>
        <v>0</v>
      </c>
    </row>
    <row r="63" spans="1:16" ht="11.25" customHeight="1" x14ac:dyDescent="0.25">
      <c r="A63" s="152">
        <v>7</v>
      </c>
      <c r="B63" s="174" t="str">
        <f>'Pay App 1'!B63</f>
        <v>01 31 00</v>
      </c>
      <c r="C63" s="179" t="str">
        <f>'Pay App 1'!C63</f>
        <v>Contractor's Supervision</v>
      </c>
      <c r="D63" s="155">
        <f>'Pay App 1'!D63</f>
        <v>0</v>
      </c>
      <c r="E63" s="155">
        <f>VLOOKUP(B63,'Graph Data'!$O$2:$BX$88,57,FALSE)</f>
        <v>0</v>
      </c>
      <c r="F63" s="155">
        <f>IFERROR(E63+'Pay App 54'!F63,"")</f>
        <v>0</v>
      </c>
      <c r="G63" s="155">
        <f>SUM('Pay App 1:Pay App 54'!H63)</f>
        <v>0</v>
      </c>
      <c r="H63" s="154"/>
      <c r="I63" s="155">
        <f t="shared" si="0"/>
        <v>0</v>
      </c>
      <c r="J63" s="156">
        <f t="shared" si="1"/>
        <v>0</v>
      </c>
      <c r="K63" s="155">
        <f t="shared" si="2"/>
        <v>0</v>
      </c>
      <c r="L63" s="155" t="str">
        <f>IF(AND('Summary Sheet'!$E$23="No",$H$33&gt;0,H63&gt;=1),"",IF(AND('Summary Sheet'!$E$23="Yes",H63&lt;&gt;""),H63*'Summary Sheet'!$G$23,""))</f>
        <v/>
      </c>
      <c r="M63" s="154"/>
      <c r="N63" s="155">
        <f>SUM('Pay App 1:Pay App 55'!L63)+SUM('Pay App 1:Pay App 55'!M63)</f>
        <v>0</v>
      </c>
    </row>
    <row r="64" spans="1:16" ht="11.25" customHeight="1" x14ac:dyDescent="0.25">
      <c r="A64" s="152">
        <v>8</v>
      </c>
      <c r="B64" s="174" t="str">
        <f>'Pay App 1'!B64</f>
        <v>01 32 00</v>
      </c>
      <c r="C64" s="179" t="str">
        <f>'Pay App 1'!C64</f>
        <v>General Liability Insurance</v>
      </c>
      <c r="D64" s="155">
        <f>'Pay App 1'!D64</f>
        <v>0</v>
      </c>
      <c r="E64" s="155">
        <f>VLOOKUP(B64,'Graph Data'!$O$2:$BX$88,57,FALSE)</f>
        <v>0</v>
      </c>
      <c r="F64" s="155">
        <f>IFERROR(E64+'Pay App 54'!F64,"")</f>
        <v>0</v>
      </c>
      <c r="G64" s="155">
        <f>SUM('Pay App 1:Pay App 54'!H64)</f>
        <v>0</v>
      </c>
      <c r="H64" s="154"/>
      <c r="I64" s="155">
        <f t="shared" si="0"/>
        <v>0</v>
      </c>
      <c r="J64" s="156">
        <f t="shared" si="1"/>
        <v>0</v>
      </c>
      <c r="K64" s="155">
        <f t="shared" si="2"/>
        <v>0</v>
      </c>
      <c r="L64" s="155" t="str">
        <f>IF(AND('Summary Sheet'!$E$23="No",$H$33&gt;0,H64&gt;=1),"",IF(AND('Summary Sheet'!$E$23="Yes",H64&lt;&gt;""),H64*'Summary Sheet'!$G$23,""))</f>
        <v/>
      </c>
      <c r="M64" s="154"/>
      <c r="N64" s="155">
        <f>SUM('Pay App 1:Pay App 55'!L64)+SUM('Pay App 1:Pay App 55'!M64)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Data'!$O$2:$BX$88,57,FALSE)</f>
        <v>0</v>
      </c>
      <c r="F65" s="155">
        <f>IFERROR(E65+'Pay App 54'!F65,"")</f>
        <v>0</v>
      </c>
      <c r="G65" s="155">
        <f>SUM('Pay App 1:Pay App 54'!H65)</f>
        <v>0</v>
      </c>
      <c r="H65" s="154"/>
      <c r="I65" s="155">
        <f t="shared" si="0"/>
        <v>0</v>
      </c>
      <c r="J65" s="156">
        <f t="shared" si="1"/>
        <v>0</v>
      </c>
      <c r="K65" s="155">
        <f t="shared" si="2"/>
        <v>0</v>
      </c>
      <c r="L65" s="155" t="str">
        <f>IF(AND('Summary Sheet'!$E$23="No",$H$33&gt;0,H65&gt;=1),"",IF(AND('Summary Sheet'!$E$23="Yes",H65&lt;&gt;""),H65*'Summary Sheet'!$G$23,""))</f>
        <v/>
      </c>
      <c r="M65" s="154"/>
      <c r="N65" s="155">
        <f>SUM('Pay App 1:Pay App 55'!L65)+SUM('Pay App 1:Pay App 55'!M65)</f>
        <v>0</v>
      </c>
    </row>
    <row r="66" spans="1:17" ht="11.25" customHeight="1" x14ac:dyDescent="0.25">
      <c r="A66" s="152">
        <v>10</v>
      </c>
      <c r="B66" s="174" t="str">
        <f>'Pay App 1'!B66</f>
        <v>01 34 00</v>
      </c>
      <c r="C66" s="179" t="str">
        <f>'Pay App 1'!C66</f>
        <v>Subcontractor Default Insurance</v>
      </c>
      <c r="D66" s="155">
        <f>'Pay App 1'!D66</f>
        <v>0</v>
      </c>
      <c r="E66" s="155">
        <f>VLOOKUP(B66,'Graph Data'!$O$2:$BX$88,57,FALSE)</f>
        <v>0</v>
      </c>
      <c r="F66" s="155">
        <f>IFERROR(E66+'Pay App 54'!F66,"")</f>
        <v>0</v>
      </c>
      <c r="G66" s="155">
        <f>SUM('Pay App 1:Pay App 54'!H66)</f>
        <v>0</v>
      </c>
      <c r="H66" s="154"/>
      <c r="I66" s="155">
        <f t="shared" si="0"/>
        <v>0</v>
      </c>
      <c r="J66" s="156">
        <f t="shared" si="1"/>
        <v>0</v>
      </c>
      <c r="K66" s="155">
        <f t="shared" si="2"/>
        <v>0</v>
      </c>
      <c r="L66" s="155" t="str">
        <f>IF(AND('Summary Sheet'!$E$23="No",$H$33&gt;0,H66&gt;=1),"",IF(AND('Summary Sheet'!$E$23="Yes",H66&lt;&gt;""),H66*'Summary Sheet'!$G$23,""))</f>
        <v/>
      </c>
      <c r="M66" s="154"/>
      <c r="N66" s="155">
        <f>SUM('Pay App 1:Pay App 55'!L66)+SUM('Pay App 1:Pay App 55'!M66)</f>
        <v>0</v>
      </c>
    </row>
    <row r="67" spans="1:17" ht="11.25" customHeight="1" x14ac:dyDescent="0.25">
      <c r="A67" s="152">
        <v>11</v>
      </c>
      <c r="B67" s="174" t="str">
        <f>'Pay App 1'!B67</f>
        <v>01 35 00</v>
      </c>
      <c r="C67" s="179" t="str">
        <f>'Pay App 1'!C67</f>
        <v>Construction Management Fee</v>
      </c>
      <c r="D67" s="155">
        <f>'Pay App 1'!D67</f>
        <v>0</v>
      </c>
      <c r="E67" s="155">
        <f>VLOOKUP(B67,'Graph Data'!$O$2:$BX$88,57,FALSE)</f>
        <v>0</v>
      </c>
      <c r="F67" s="155">
        <f>IFERROR(E67+'Pay App 54'!F67,"")</f>
        <v>0</v>
      </c>
      <c r="G67" s="155">
        <f>SUM('Pay App 1:Pay App 54'!H67)</f>
        <v>0</v>
      </c>
      <c r="H67" s="154"/>
      <c r="I67" s="155">
        <f t="shared" si="0"/>
        <v>0</v>
      </c>
      <c r="J67" s="156">
        <f t="shared" si="1"/>
        <v>0</v>
      </c>
      <c r="K67" s="155">
        <f t="shared" si="2"/>
        <v>0</v>
      </c>
      <c r="L67" s="155" t="str">
        <f>IF(AND('Summary Sheet'!$E$23="No",$H$33&gt;0,H67&gt;=1),"",IF(AND('Summary Sheet'!$E$23="Yes",H67&lt;&gt;""),H67*'Summary Sheet'!$G$23,""))</f>
        <v/>
      </c>
      <c r="M67" s="154"/>
      <c r="N67" s="155">
        <f>SUM('Pay App 1:Pay App 55'!L67)+SUM('Pay App 1:Pay App 55'!M67)</f>
        <v>0</v>
      </c>
    </row>
    <row r="68" spans="1:17" ht="11.25" customHeight="1" x14ac:dyDescent="0.25">
      <c r="A68" s="152">
        <v>12</v>
      </c>
      <c r="B68" s="174" t="str">
        <f>'Pay App 1'!B68</f>
        <v>01 36 00</v>
      </c>
      <c r="C68" s="179" t="str">
        <f>'Pay App 1'!C68</f>
        <v>Contingency</v>
      </c>
      <c r="D68" s="155">
        <f>'Pay App 1'!D68</f>
        <v>0</v>
      </c>
      <c r="E68" s="155">
        <f>VLOOKUP(B68,'Graph Data'!$O$2:$BX$88,57,FALSE)</f>
        <v>0</v>
      </c>
      <c r="F68" s="155">
        <f>IFERROR(E68+'Pay App 54'!F68,"")</f>
        <v>0</v>
      </c>
      <c r="G68" s="155">
        <f>SUM('Pay App 1:Pay App 54'!H68)</f>
        <v>0</v>
      </c>
      <c r="H68" s="154"/>
      <c r="I68" s="155">
        <f t="shared" si="0"/>
        <v>0</v>
      </c>
      <c r="J68" s="156">
        <f t="shared" si="1"/>
        <v>0</v>
      </c>
      <c r="K68" s="155">
        <f t="shared" si="2"/>
        <v>0</v>
      </c>
      <c r="L68" s="155" t="str">
        <f>IF(AND('Summary Sheet'!$E$23="No",$H$33&gt;0,H68&gt;=1),"",IF(AND('Summary Sheet'!$E$23="Yes",H68&lt;&gt;""),H68*'Summary Sheet'!$G$23,""))</f>
        <v/>
      </c>
      <c r="M68" s="154"/>
      <c r="N68" s="155">
        <f>SUM('Pay App 1:Pay App 55'!L68)+SUM('Pay App 1:Pay App 55'!M68)</f>
        <v>0</v>
      </c>
    </row>
    <row r="69" spans="1:17" ht="11.25" customHeight="1" x14ac:dyDescent="0.25">
      <c r="A69" s="152">
        <v>13</v>
      </c>
      <c r="B69" s="174" t="str">
        <f>'Pay App 1'!B69</f>
        <v>01 37 00</v>
      </c>
      <c r="C69" s="179" t="str">
        <f>'Pay App 1'!C69</f>
        <v>Weather Allowance (All Trades)</v>
      </c>
      <c r="D69" s="155">
        <f>'Pay App 1'!D69</f>
        <v>0</v>
      </c>
      <c r="E69" s="155">
        <f>VLOOKUP(B69,'Graph Data'!$O$2:$BX$88,57,FALSE)</f>
        <v>0</v>
      </c>
      <c r="F69" s="155">
        <f>IFERROR(E69+'Pay App 54'!F69,"")</f>
        <v>0</v>
      </c>
      <c r="G69" s="155">
        <f>SUM('Pay App 1:Pay App 54'!H69)</f>
        <v>0</v>
      </c>
      <c r="H69" s="154"/>
      <c r="I69" s="155">
        <f t="shared" si="0"/>
        <v>0</v>
      </c>
      <c r="J69" s="156">
        <f t="shared" si="1"/>
        <v>0</v>
      </c>
      <c r="K69" s="155">
        <f t="shared" si="2"/>
        <v>0</v>
      </c>
      <c r="L69" s="155" t="str">
        <f>IF(AND('Summary Sheet'!$E$23="No",$H$33&gt;0,H69&gt;=1),"",IF(AND('Summary Sheet'!$E$23="Yes",H69&lt;&gt;""),H69*'Summary Sheet'!$G$23,""))</f>
        <v/>
      </c>
      <c r="M69" s="154"/>
      <c r="N69" s="155">
        <f>SUM('Pay App 1:Pay App 55'!L69)+SUM('Pay App 1:Pay App 55'!M69)</f>
        <v>0</v>
      </c>
    </row>
    <row r="70" spans="1:17" ht="11.25" customHeight="1" x14ac:dyDescent="0.25">
      <c r="A70" s="152">
        <v>14</v>
      </c>
      <c r="B70" s="174" t="str">
        <f>'Pay App 1'!B70</f>
        <v>01 74 23</v>
      </c>
      <c r="C70" s="179" t="str">
        <f>'Pay App 1'!C70</f>
        <v>Cleaning (Final)</v>
      </c>
      <c r="D70" s="155">
        <f>'Pay App 1'!D70</f>
        <v>0</v>
      </c>
      <c r="E70" s="155">
        <f>VLOOKUP(B70,'Graph Data'!$O$2:$BX$88,57,FALSE)</f>
        <v>0</v>
      </c>
      <c r="F70" s="155">
        <f>IFERROR(E70+'Pay App 54'!F70,"")</f>
        <v>0</v>
      </c>
      <c r="G70" s="155">
        <f>SUM('Pay App 1:Pay App 54'!H70)</f>
        <v>0</v>
      </c>
      <c r="H70" s="154"/>
      <c r="I70" s="155">
        <f t="shared" si="0"/>
        <v>0</v>
      </c>
      <c r="J70" s="156">
        <f t="shared" si="1"/>
        <v>0</v>
      </c>
      <c r="K70" s="155">
        <f t="shared" si="2"/>
        <v>0</v>
      </c>
      <c r="L70" s="155" t="str">
        <f>IF(AND('Summary Sheet'!$E$23="No",$H$33&gt;0,H70&gt;=1),"",IF(AND('Summary Sheet'!$E$23="Yes",H70&lt;&gt;""),H70*'Summary Sheet'!$G$23,""))</f>
        <v/>
      </c>
      <c r="M70" s="154"/>
      <c r="N70" s="155">
        <f>SUM('Pay App 1:Pay App 55'!L70)+SUM('Pay App 1:Pay App 55'!M70)</f>
        <v>0</v>
      </c>
    </row>
    <row r="71" spans="1:17" ht="11.25" customHeight="1" x14ac:dyDescent="0.25">
      <c r="A71" s="152">
        <v>15</v>
      </c>
      <c r="B71" s="175" t="str">
        <f>'Pay App 1'!B71</f>
        <v>02 21 00</v>
      </c>
      <c r="C71" s="180" t="str">
        <f>'Pay App 1'!C71</f>
        <v>Survey/Engineering</v>
      </c>
      <c r="D71" s="155">
        <f>'Pay App 1'!D71</f>
        <v>0</v>
      </c>
      <c r="E71" s="155">
        <f>VLOOKUP(B71,'Graph Data'!$O$2:$BX$88,57,FALSE)</f>
        <v>0</v>
      </c>
      <c r="F71" s="155">
        <f>IFERROR(E71+'Pay App 54'!F71,"")</f>
        <v>0</v>
      </c>
      <c r="G71" s="155">
        <f>SUM('Pay App 1:Pay App 54'!H71)</f>
        <v>0</v>
      </c>
      <c r="H71" s="154"/>
      <c r="I71" s="155">
        <f t="shared" si="0"/>
        <v>0</v>
      </c>
      <c r="J71" s="156">
        <f t="shared" si="1"/>
        <v>0</v>
      </c>
      <c r="K71" s="155">
        <f t="shared" si="2"/>
        <v>0</v>
      </c>
      <c r="L71" s="155" t="str">
        <f>IF(AND('Summary Sheet'!$E$23="No",$H$33&gt;0,H71&gt;=1),"",IF(AND('Summary Sheet'!$E$23="Yes",H71&lt;&gt;""),H71*'Summary Sheet'!$G$23,""))</f>
        <v/>
      </c>
      <c r="M71" s="154"/>
      <c r="N71" s="155">
        <f>SUM('Pay App 1:Pay App 55'!L71)+SUM('Pay App 1:Pay App 55'!M71)</f>
        <v>0</v>
      </c>
      <c r="Q71" s="28"/>
    </row>
    <row r="72" spans="1:17" ht="11.25" customHeight="1" x14ac:dyDescent="0.25">
      <c r="A72" s="152">
        <v>16</v>
      </c>
      <c r="B72" s="175" t="str">
        <f>'Pay App 1'!B72</f>
        <v>02 41 00</v>
      </c>
      <c r="C72" s="180" t="str">
        <f>'Pay App 1'!C72</f>
        <v>Demolition</v>
      </c>
      <c r="D72" s="155">
        <f>'Pay App 1'!D72</f>
        <v>0</v>
      </c>
      <c r="E72" s="155">
        <f>VLOOKUP(B72,'Graph Data'!$O$2:$BX$88,57,FALSE)</f>
        <v>0</v>
      </c>
      <c r="F72" s="155">
        <f>IFERROR(E72+'Pay App 54'!F72,"")</f>
        <v>0</v>
      </c>
      <c r="G72" s="155">
        <f>SUM('Pay App 1:Pay App 54'!H72)</f>
        <v>0</v>
      </c>
      <c r="H72" s="154"/>
      <c r="I72" s="155">
        <f t="shared" si="0"/>
        <v>0</v>
      </c>
      <c r="J72" s="156">
        <f t="shared" si="1"/>
        <v>0</v>
      </c>
      <c r="K72" s="155">
        <f t="shared" si="2"/>
        <v>0</v>
      </c>
      <c r="L72" s="155" t="str">
        <f>IF(AND('Summary Sheet'!$E$23="No",$H$33&gt;0,H72&gt;=1),"",IF(AND('Summary Sheet'!$E$23="Yes",H72&lt;&gt;""),H72*'Summary Sheet'!$G$23,""))</f>
        <v/>
      </c>
      <c r="M72" s="154"/>
      <c r="N72" s="155">
        <f>SUM('Pay App 1:Pay App 55'!L72)+SUM('Pay App 1:Pay App 55'!M72)</f>
        <v>0</v>
      </c>
      <c r="Q72" s="28"/>
    </row>
    <row r="73" spans="1:17" ht="11.25" customHeight="1" x14ac:dyDescent="0.25">
      <c r="A73" s="152">
        <v>17</v>
      </c>
      <c r="B73" s="175" t="str">
        <f>'Pay App 1'!B73</f>
        <v>02 82 00</v>
      </c>
      <c r="C73" s="180" t="str">
        <f>'Pay App 1'!C73</f>
        <v>Asbestos Abatement</v>
      </c>
      <c r="D73" s="155">
        <f>'Pay App 1'!D73</f>
        <v>0</v>
      </c>
      <c r="E73" s="155">
        <f>VLOOKUP(B73,'Graph Data'!$O$2:$BX$88,57,FALSE)</f>
        <v>0</v>
      </c>
      <c r="F73" s="155">
        <f>IFERROR(E73+'Pay App 54'!F73,"")</f>
        <v>0</v>
      </c>
      <c r="G73" s="155">
        <f>SUM('Pay App 1:Pay App 54'!H73)</f>
        <v>0</v>
      </c>
      <c r="H73" s="154"/>
      <c r="I73" s="155">
        <f t="shared" si="0"/>
        <v>0</v>
      </c>
      <c r="J73" s="156">
        <f t="shared" si="1"/>
        <v>0</v>
      </c>
      <c r="K73" s="155">
        <f t="shared" si="2"/>
        <v>0</v>
      </c>
      <c r="L73" s="155" t="str">
        <f>IF(AND('Summary Sheet'!$E$23="No",$H$33&gt;0,H73&gt;=1),"",IF(AND('Summary Sheet'!$E$23="Yes",H73&lt;&gt;""),H73*'Summary Sheet'!$G$23,""))</f>
        <v/>
      </c>
      <c r="M73" s="154"/>
      <c r="N73" s="155">
        <f>SUM('Pay App 1:Pay App 55'!L73)+SUM('Pay App 1:Pay App 55'!M73)</f>
        <v>0</v>
      </c>
    </row>
    <row r="74" spans="1:17" ht="11.25" customHeight="1" x14ac:dyDescent="0.25">
      <c r="A74" s="152">
        <v>18</v>
      </c>
      <c r="B74" s="176" t="str">
        <f>'Pay App 1'!B74</f>
        <v>03 00 00</v>
      </c>
      <c r="C74" s="181" t="str">
        <f>'Pay App 1'!C74</f>
        <v>Building Concrete</v>
      </c>
      <c r="D74" s="155">
        <f>'Pay App 1'!D74</f>
        <v>0</v>
      </c>
      <c r="E74" s="155">
        <f>VLOOKUP(B74,'Graph Data'!$O$2:$BX$88,57,FALSE)</f>
        <v>0</v>
      </c>
      <c r="F74" s="155">
        <f>IFERROR(E74+'Pay App 54'!F74,"")</f>
        <v>0</v>
      </c>
      <c r="G74" s="155">
        <f>SUM('Pay App 1:Pay App 54'!H74)</f>
        <v>0</v>
      </c>
      <c r="H74" s="154"/>
      <c r="I74" s="155">
        <f t="shared" si="0"/>
        <v>0</v>
      </c>
      <c r="J74" s="156">
        <f t="shared" si="1"/>
        <v>0</v>
      </c>
      <c r="K74" s="155">
        <f t="shared" si="2"/>
        <v>0</v>
      </c>
      <c r="L74" s="155" t="str">
        <f>IF(AND('Summary Sheet'!$E$23="No",$H$33&gt;0,H74&gt;=1),"",IF(AND('Summary Sheet'!$E$23="Yes",H74&lt;&gt;""),H74*'Summary Sheet'!$G$23,""))</f>
        <v/>
      </c>
      <c r="M74" s="154"/>
      <c r="N74" s="155">
        <f>SUM('Pay App 1:Pay App 55'!L74)+SUM('Pay App 1:Pay App 55'!M74)</f>
        <v>0</v>
      </c>
    </row>
    <row r="75" spans="1:17" ht="11.25" customHeight="1" x14ac:dyDescent="0.25">
      <c r="A75" s="152">
        <v>19</v>
      </c>
      <c r="B75" s="176" t="str">
        <f>'Pay App 1'!B75</f>
        <v>03 20 00</v>
      </c>
      <c r="C75" s="181" t="str">
        <f>'Pay App 1'!C75</f>
        <v>Building Concrete Reinforcing</v>
      </c>
      <c r="D75" s="155">
        <f>'Pay App 1'!D75</f>
        <v>0</v>
      </c>
      <c r="E75" s="155">
        <f>VLOOKUP(B75,'Graph Data'!$O$2:$BX$88,57,FALSE)</f>
        <v>0</v>
      </c>
      <c r="F75" s="155">
        <f>IFERROR(E75+'Pay App 54'!F75,"")</f>
        <v>0</v>
      </c>
      <c r="G75" s="155">
        <f>SUM('Pay App 1:Pay App 54'!H75)</f>
        <v>0</v>
      </c>
      <c r="H75" s="154"/>
      <c r="I75" s="155">
        <f t="shared" si="0"/>
        <v>0</v>
      </c>
      <c r="J75" s="156">
        <f t="shared" si="1"/>
        <v>0</v>
      </c>
      <c r="K75" s="155">
        <f t="shared" si="2"/>
        <v>0</v>
      </c>
      <c r="L75" s="155" t="str">
        <f>IF(AND('Summary Sheet'!$E$23="No",$H$33&gt;0,H75&gt;=1),"",IF(AND('Summary Sheet'!$E$23="Yes",H75&lt;&gt;""),H75*'Summary Sheet'!$G$23,""))</f>
        <v/>
      </c>
      <c r="M75" s="154"/>
      <c r="N75" s="155">
        <f>SUM('Pay App 1:Pay App 55'!L75)+SUM('Pay App 1:Pay App 55'!M75)</f>
        <v>0</v>
      </c>
    </row>
    <row r="76" spans="1:17" ht="11.25" customHeight="1" x14ac:dyDescent="0.25">
      <c r="A76" s="152">
        <v>20</v>
      </c>
      <c r="B76" s="176" t="str">
        <f>'Pay App 1'!B76</f>
        <v>03 40 00</v>
      </c>
      <c r="C76" s="181" t="str">
        <f>'Pay App 1'!C76</f>
        <v>Precast</v>
      </c>
      <c r="D76" s="155">
        <f>'Pay App 1'!D76</f>
        <v>0</v>
      </c>
      <c r="E76" s="155">
        <f>VLOOKUP(B76,'Graph Data'!$O$2:$BX$88,57,FALSE)</f>
        <v>0</v>
      </c>
      <c r="F76" s="155">
        <f>IFERROR(E76+'Pay App 54'!F76,"")</f>
        <v>0</v>
      </c>
      <c r="G76" s="155">
        <f>SUM('Pay App 1:Pay App 54'!H76)</f>
        <v>0</v>
      </c>
      <c r="H76" s="154"/>
      <c r="I76" s="155">
        <f t="shared" si="0"/>
        <v>0</v>
      </c>
      <c r="J76" s="156">
        <f t="shared" si="1"/>
        <v>0</v>
      </c>
      <c r="K76" s="155">
        <f t="shared" si="2"/>
        <v>0</v>
      </c>
      <c r="L76" s="155" t="str">
        <f>IF(AND('Summary Sheet'!$E$23="No",$H$33&gt;0,H76&gt;=1),"",IF(AND('Summary Sheet'!$E$23="Yes",H76&lt;&gt;""),H76*'Summary Sheet'!$G$23,""))</f>
        <v/>
      </c>
      <c r="M76" s="154"/>
      <c r="N76" s="155">
        <f>SUM('Pay App 1:Pay App 55'!L76)+SUM('Pay App 1:Pay App 55'!M76)</f>
        <v>0</v>
      </c>
    </row>
    <row r="77" spans="1:17" ht="11.25" customHeight="1" x14ac:dyDescent="0.25">
      <c r="A77" s="152">
        <v>21</v>
      </c>
      <c r="B77" s="177" t="str">
        <f>'Pay App 1'!B77</f>
        <v>04 00 00</v>
      </c>
      <c r="C77" s="182" t="str">
        <f>'Pay App 1'!C77</f>
        <v>Masonry</v>
      </c>
      <c r="D77" s="155">
        <f>'Pay App 1'!D77</f>
        <v>0</v>
      </c>
      <c r="E77" s="155">
        <f>VLOOKUP(B77,'Graph Data'!$O$2:$BX$88,57,FALSE)</f>
        <v>0</v>
      </c>
      <c r="F77" s="155">
        <f>IFERROR(E77+'Pay App 54'!F77,"")</f>
        <v>0</v>
      </c>
      <c r="G77" s="155">
        <f>SUM('Pay App 1:Pay App 54'!H77)</f>
        <v>0</v>
      </c>
      <c r="H77" s="154"/>
      <c r="I77" s="155">
        <f t="shared" si="0"/>
        <v>0</v>
      </c>
      <c r="J77" s="156">
        <f t="shared" si="1"/>
        <v>0</v>
      </c>
      <c r="K77" s="155">
        <f t="shared" si="2"/>
        <v>0</v>
      </c>
      <c r="L77" s="155" t="str">
        <f>IF(AND('Summary Sheet'!$E$23="No",$H$33&gt;0,H77&gt;=1),"",IF(AND('Summary Sheet'!$E$23="Yes",H77&lt;&gt;""),H77*'Summary Sheet'!$G$23,""))</f>
        <v/>
      </c>
      <c r="M77" s="154"/>
      <c r="N77" s="155">
        <f>SUM('Pay App 1:Pay App 55'!L77)+SUM('Pay App 1:Pay App 55'!M77)</f>
        <v>0</v>
      </c>
    </row>
    <row r="78" spans="1:17" ht="11.25" customHeight="1" x14ac:dyDescent="0.25">
      <c r="A78" s="152">
        <v>22</v>
      </c>
      <c r="B78" s="177" t="str">
        <f>'Pay App 1'!B78</f>
        <v>04 05 19</v>
      </c>
      <c r="C78" s="182" t="str">
        <f>'Pay App 1'!C78</f>
        <v>Masonry Reinforcing</v>
      </c>
      <c r="D78" s="155">
        <f>'Pay App 1'!D78</f>
        <v>0</v>
      </c>
      <c r="E78" s="155">
        <f>VLOOKUP(B78,'Graph Data'!$O$2:$BX$88,57,FALSE)</f>
        <v>0</v>
      </c>
      <c r="F78" s="155">
        <f>IFERROR(E78+'Pay App 54'!F78,"")</f>
        <v>0</v>
      </c>
      <c r="G78" s="155">
        <f>SUM('Pay App 1:Pay App 54'!H78)</f>
        <v>0</v>
      </c>
      <c r="H78" s="154"/>
      <c r="I78" s="155">
        <f t="shared" si="0"/>
        <v>0</v>
      </c>
      <c r="J78" s="156">
        <f t="shared" si="1"/>
        <v>0</v>
      </c>
      <c r="K78" s="155">
        <f t="shared" si="2"/>
        <v>0</v>
      </c>
      <c r="L78" s="155" t="str">
        <f>IF(AND('Summary Sheet'!$E$23="No",$H$33&gt;0,H78&gt;=1),"",IF(AND('Summary Sheet'!$E$23="Yes",H78&lt;&gt;""),H78*'Summary Sheet'!$G$23,""))</f>
        <v/>
      </c>
      <c r="M78" s="154"/>
      <c r="N78" s="155">
        <f>SUM('Pay App 1:Pay App 55'!L78)+SUM('Pay App 1:Pay App 55'!M78)</f>
        <v>0</v>
      </c>
    </row>
    <row r="79" spans="1:17" ht="11.25" customHeight="1" x14ac:dyDescent="0.25">
      <c r="A79" s="152">
        <v>23</v>
      </c>
      <c r="B79" s="178" t="str">
        <f>'Pay App 1'!B79</f>
        <v>05 10 00</v>
      </c>
      <c r="C79" s="183" t="str">
        <f>'Pay App 1'!C79</f>
        <v>Structural Steel/Misc. Steel Fab</v>
      </c>
      <c r="D79" s="155">
        <f>'Pay App 1'!D79</f>
        <v>0</v>
      </c>
      <c r="E79" s="155">
        <f>VLOOKUP(B79,'Graph Data'!$O$2:$BX$88,57,FALSE)</f>
        <v>0</v>
      </c>
      <c r="F79" s="155">
        <f>IFERROR(E79+'Pay App 54'!F79,"")</f>
        <v>0</v>
      </c>
      <c r="G79" s="155">
        <f>SUM('Pay App 1:Pay App 54'!H79)</f>
        <v>0</v>
      </c>
      <c r="H79" s="154"/>
      <c r="I79" s="155">
        <f t="shared" si="0"/>
        <v>0</v>
      </c>
      <c r="J79" s="156">
        <f t="shared" si="1"/>
        <v>0</v>
      </c>
      <c r="K79" s="155">
        <f t="shared" si="2"/>
        <v>0</v>
      </c>
      <c r="L79" s="155" t="str">
        <f>IF(AND('Summary Sheet'!$E$23="No",$H$33&gt;0,H79&gt;=1),"",IF(AND('Summary Sheet'!$E$23="Yes",H79&lt;&gt;""),H79*'Summary Sheet'!$G$23,""))</f>
        <v/>
      </c>
      <c r="M79" s="154"/>
      <c r="N79" s="155">
        <f>SUM('Pay App 1:Pay App 55'!L79)+SUM('Pay App 1:Pay App 55'!M79)</f>
        <v>0</v>
      </c>
    </row>
    <row r="80" spans="1:17" ht="11.25" customHeight="1" x14ac:dyDescent="0.25">
      <c r="A80" s="152">
        <v>24</v>
      </c>
      <c r="B80" s="178" t="str">
        <f>'Pay App 1'!B80</f>
        <v>05 20 00</v>
      </c>
      <c r="C80" s="183" t="str">
        <f>'Pay App 1'!C80</f>
        <v>Joists &amp; Deck</v>
      </c>
      <c r="D80" s="155">
        <f>'Pay App 1'!D80</f>
        <v>0</v>
      </c>
      <c r="E80" s="155">
        <f>VLOOKUP(B80,'Graph Data'!$O$2:$BX$88,57,FALSE)</f>
        <v>0</v>
      </c>
      <c r="F80" s="155">
        <f>IFERROR(E80+'Pay App 54'!F80,"")</f>
        <v>0</v>
      </c>
      <c r="G80" s="155">
        <f>SUM('Pay App 1:Pay App 54'!H80)</f>
        <v>0</v>
      </c>
      <c r="H80" s="154"/>
      <c r="I80" s="155">
        <f t="shared" si="0"/>
        <v>0</v>
      </c>
      <c r="J80" s="156">
        <f t="shared" si="1"/>
        <v>0</v>
      </c>
      <c r="K80" s="155">
        <f t="shared" si="2"/>
        <v>0</v>
      </c>
      <c r="L80" s="155" t="str">
        <f>IF(AND('Summary Sheet'!$E$23="No",$H$33&gt;0,H80&gt;=1),"",IF(AND('Summary Sheet'!$E$23="Yes",H80&lt;&gt;""),H80*'Summary Sheet'!$G$23,""))</f>
        <v/>
      </c>
      <c r="M80" s="154"/>
      <c r="N80" s="155">
        <f>SUM('Pay App 1:Pay App 55'!L80)+SUM('Pay App 1:Pay App 55'!M80)</f>
        <v>0</v>
      </c>
    </row>
    <row r="81" spans="1:14" ht="11.25" customHeight="1" x14ac:dyDescent="0.25">
      <c r="A81" s="152">
        <v>25</v>
      </c>
      <c r="B81" s="178" t="str">
        <f>'Pay App 1'!B81</f>
        <v>05 70 00</v>
      </c>
      <c r="C81" s="183" t="str">
        <f>'Pay App 1'!C81</f>
        <v>Ornamental Metal</v>
      </c>
      <c r="D81" s="155">
        <f>'Pay App 1'!D81</f>
        <v>0</v>
      </c>
      <c r="E81" s="155">
        <f>VLOOKUP(B81,'Graph Data'!$O$2:$BX$88,57,FALSE)</f>
        <v>0</v>
      </c>
      <c r="F81" s="155">
        <f>IFERROR(E81+'Pay App 54'!F81,"")</f>
        <v>0</v>
      </c>
      <c r="G81" s="155">
        <f>SUM('Pay App 1:Pay App 54'!H81)</f>
        <v>0</v>
      </c>
      <c r="H81" s="154"/>
      <c r="I81" s="155">
        <f t="shared" si="0"/>
        <v>0</v>
      </c>
      <c r="J81" s="156">
        <f t="shared" si="1"/>
        <v>0</v>
      </c>
      <c r="K81" s="155">
        <f t="shared" si="2"/>
        <v>0</v>
      </c>
      <c r="L81" s="155" t="str">
        <f>IF(AND('Summary Sheet'!$E$23="No",$H$33&gt;0,H81&gt;=1),"",IF(AND('Summary Sheet'!$E$23="Yes",H81&lt;&gt;""),H81*'Summary Sheet'!$G$23,""))</f>
        <v/>
      </c>
      <c r="M81" s="154"/>
      <c r="N81" s="155">
        <f>SUM('Pay App 1:Pay App 55'!L81)+SUM('Pay App 1:Pay App 55'!M81)</f>
        <v>0</v>
      </c>
    </row>
    <row r="82" spans="1:14" ht="11.25" customHeight="1" x14ac:dyDescent="0.25">
      <c r="A82" s="152">
        <v>26</v>
      </c>
      <c r="B82" s="145" t="str">
        <f>'Pay App 1'!B82</f>
        <v>06 10 00</v>
      </c>
      <c r="C82" s="134" t="str">
        <f>'Pay App 1'!C82</f>
        <v>Rough Carpentry</v>
      </c>
      <c r="D82" s="155">
        <f>'Pay App 1'!D82</f>
        <v>0</v>
      </c>
      <c r="E82" s="155">
        <f>VLOOKUP(B82,'Graph Data'!$O$2:$BX$88,57,FALSE)</f>
        <v>0</v>
      </c>
      <c r="F82" s="155">
        <f>IFERROR(E82+'Pay App 54'!F82,"")</f>
        <v>0</v>
      </c>
      <c r="G82" s="155">
        <f>SUM('Pay App 1:Pay App 54'!H82)</f>
        <v>0</v>
      </c>
      <c r="H82" s="154"/>
      <c r="I82" s="155">
        <f t="shared" si="0"/>
        <v>0</v>
      </c>
      <c r="J82" s="156">
        <f t="shared" si="1"/>
        <v>0</v>
      </c>
      <c r="K82" s="155">
        <f t="shared" si="2"/>
        <v>0</v>
      </c>
      <c r="L82" s="155" t="str">
        <f>IF(AND('Summary Sheet'!$E$23="No",$H$33&gt;0,H82&gt;=1),"",IF(AND('Summary Sheet'!$E$23="Yes",H82&lt;&gt;""),H82*'Summary Sheet'!$G$23,""))</f>
        <v/>
      </c>
      <c r="M82" s="154"/>
      <c r="N82" s="155">
        <f>SUM('Pay App 1:Pay App 55'!L82)+SUM('Pay App 1:Pay App 55'!M82)</f>
        <v>0</v>
      </c>
    </row>
    <row r="83" spans="1:14" ht="11.25" customHeight="1" x14ac:dyDescent="0.25">
      <c r="A83" s="152">
        <v>27</v>
      </c>
      <c r="B83" s="145" t="str">
        <f>'Pay App 1'!B83</f>
        <v>06 40 00</v>
      </c>
      <c r="C83" s="134" t="str">
        <f>'Pay App 1'!C83</f>
        <v>Arch. Woodwork &amp; Finish Carp.</v>
      </c>
      <c r="D83" s="155">
        <f>'Pay App 1'!D83</f>
        <v>0</v>
      </c>
      <c r="E83" s="155">
        <f>VLOOKUP(B83,'Graph Data'!$O$2:$BX$88,57,FALSE)</f>
        <v>0</v>
      </c>
      <c r="F83" s="155">
        <f>IFERROR(E83+'Pay App 54'!F83,"")</f>
        <v>0</v>
      </c>
      <c r="G83" s="155">
        <f>SUM('Pay App 1:Pay App 54'!H83)</f>
        <v>0</v>
      </c>
      <c r="H83" s="154"/>
      <c r="I83" s="155">
        <f t="shared" si="0"/>
        <v>0</v>
      </c>
      <c r="J83" s="156">
        <f t="shared" si="1"/>
        <v>0</v>
      </c>
      <c r="K83" s="155">
        <f t="shared" si="2"/>
        <v>0</v>
      </c>
      <c r="L83" s="155" t="str">
        <f>IF(AND('Summary Sheet'!$E$23="No",$H$33&gt;0,H83&gt;=1),"",IF(AND('Summary Sheet'!$E$23="Yes",H83&lt;&gt;""),H83*'Summary Sheet'!$G$23,""))</f>
        <v/>
      </c>
      <c r="M83" s="154"/>
      <c r="N83" s="155">
        <f>SUM('Pay App 1:Pay App 55'!L83)+SUM('Pay App 1:Pay App 55'!M83)</f>
        <v>0</v>
      </c>
    </row>
    <row r="84" spans="1:14" ht="11.25" customHeight="1" x14ac:dyDescent="0.25">
      <c r="A84" s="152">
        <v>28</v>
      </c>
      <c r="B84" s="174" t="str">
        <f>'Pay App 1'!B84</f>
        <v>07 10 00</v>
      </c>
      <c r="C84" s="179" t="str">
        <f>'Pay App 1'!C84</f>
        <v>Waterproofing/Water Repellents</v>
      </c>
      <c r="D84" s="155">
        <f>'Pay App 1'!D84</f>
        <v>0</v>
      </c>
      <c r="E84" s="155">
        <f>VLOOKUP(B84,'Graph Data'!$O$2:$BX$88,57,FALSE)</f>
        <v>0</v>
      </c>
      <c r="F84" s="155">
        <f>IFERROR(E84+'Pay App 54'!F84,"")</f>
        <v>0</v>
      </c>
      <c r="G84" s="155">
        <f>SUM('Pay App 1:Pay App 54'!H84)</f>
        <v>0</v>
      </c>
      <c r="H84" s="154"/>
      <c r="I84" s="155">
        <f t="shared" si="0"/>
        <v>0</v>
      </c>
      <c r="J84" s="156">
        <f t="shared" si="1"/>
        <v>0</v>
      </c>
      <c r="K84" s="155">
        <f t="shared" si="2"/>
        <v>0</v>
      </c>
      <c r="L84" s="155" t="str">
        <f>IF(AND('Summary Sheet'!$E$23="No",$H$33&gt;0,H84&gt;=1),"",IF(AND('Summary Sheet'!$E$23="Yes",H84&lt;&gt;""),H84*'Summary Sheet'!$G$23,""))</f>
        <v/>
      </c>
      <c r="M84" s="154"/>
      <c r="N84" s="155">
        <f>SUM('Pay App 1:Pay App 55'!L84)+SUM('Pay App 1:Pay App 55'!M84)</f>
        <v>0</v>
      </c>
    </row>
    <row r="85" spans="1:14" ht="11.25" customHeight="1" x14ac:dyDescent="0.25">
      <c r="A85" s="152">
        <v>29</v>
      </c>
      <c r="B85" s="174" t="str">
        <f>'Pay App 1'!B85</f>
        <v>07 20 00</v>
      </c>
      <c r="C85" s="179" t="str">
        <f>'Pay App 1'!C85</f>
        <v>Insulation</v>
      </c>
      <c r="D85" s="155">
        <f>'Pay App 1'!D85</f>
        <v>0</v>
      </c>
      <c r="E85" s="155">
        <f>VLOOKUP(B85,'Graph Data'!$O$2:$BX$88,57,FALSE)</f>
        <v>0</v>
      </c>
      <c r="F85" s="155">
        <f>IFERROR(E85+'Pay App 54'!F85,"")</f>
        <v>0</v>
      </c>
      <c r="G85" s="155">
        <f>SUM('Pay App 1:Pay App 54'!H85)</f>
        <v>0</v>
      </c>
      <c r="H85" s="154"/>
      <c r="I85" s="155">
        <f t="shared" si="0"/>
        <v>0</v>
      </c>
      <c r="J85" s="156">
        <f t="shared" si="1"/>
        <v>0</v>
      </c>
      <c r="K85" s="155">
        <f t="shared" si="2"/>
        <v>0</v>
      </c>
      <c r="L85" s="155" t="str">
        <f>IF(AND('Summary Sheet'!$E$23="No",$H$33&gt;0,H85&gt;=1),"",IF(AND('Summary Sheet'!$E$23="Yes",H85&lt;&gt;""),H85*'Summary Sheet'!$G$23,""))</f>
        <v/>
      </c>
      <c r="M85" s="154"/>
      <c r="N85" s="155">
        <f>SUM('Pay App 1:Pay App 55'!L85)+SUM('Pay App 1:Pay App 55'!M85)</f>
        <v>0</v>
      </c>
    </row>
    <row r="86" spans="1:14" ht="11.25" customHeight="1" x14ac:dyDescent="0.25">
      <c r="A86" s="152">
        <v>30</v>
      </c>
      <c r="B86" s="174" t="str">
        <f>'Pay App 1'!B86</f>
        <v>07 24 00</v>
      </c>
      <c r="C86" s="179" t="str">
        <f>'Pay App 1'!C86</f>
        <v>EIFS</v>
      </c>
      <c r="D86" s="155">
        <f>'Pay App 1'!D86</f>
        <v>0</v>
      </c>
      <c r="E86" s="155">
        <f>VLOOKUP(B86,'Graph Data'!$O$2:$BX$88,57,FALSE)</f>
        <v>0</v>
      </c>
      <c r="F86" s="155">
        <f>IFERROR(E86+'Pay App 54'!F86,"")</f>
        <v>0</v>
      </c>
      <c r="G86" s="155">
        <f>SUM('Pay App 1:Pay App 54'!H86)</f>
        <v>0</v>
      </c>
      <c r="H86" s="154"/>
      <c r="I86" s="155">
        <f t="shared" si="0"/>
        <v>0</v>
      </c>
      <c r="J86" s="156">
        <f t="shared" si="1"/>
        <v>0</v>
      </c>
      <c r="K86" s="155">
        <f t="shared" si="2"/>
        <v>0</v>
      </c>
      <c r="L86" s="155" t="str">
        <f>IF(AND('Summary Sheet'!$E$23="No",$H$33&gt;0,H86&gt;=1),"",IF(AND('Summary Sheet'!$E$23="Yes",H86&lt;&gt;""),H86*'Summary Sheet'!$G$23,""))</f>
        <v/>
      </c>
      <c r="M86" s="154"/>
      <c r="N86" s="155">
        <f>SUM('Pay App 1:Pay App 55'!L86)+SUM('Pay App 1:Pay App 55'!M86)</f>
        <v>0</v>
      </c>
    </row>
    <row r="87" spans="1:14" ht="11.25" customHeight="1" x14ac:dyDescent="0.25">
      <c r="A87" s="152">
        <v>31</v>
      </c>
      <c r="B87" s="174" t="str">
        <f>'Pay App 1'!B87</f>
        <v>07 26 00</v>
      </c>
      <c r="C87" s="179" t="str">
        <f>'Pay App 1'!C87</f>
        <v>Vapor Retarders</v>
      </c>
      <c r="D87" s="155">
        <f>'Pay App 1'!D87</f>
        <v>0</v>
      </c>
      <c r="E87" s="155">
        <f>VLOOKUP(B87,'Graph Data'!$O$2:$BX$88,57,FALSE)</f>
        <v>0</v>
      </c>
      <c r="F87" s="155">
        <f>IFERROR(E87+'Pay App 54'!F87,"")</f>
        <v>0</v>
      </c>
      <c r="G87" s="155">
        <f>SUM('Pay App 1:Pay App 54'!H87)</f>
        <v>0</v>
      </c>
      <c r="H87" s="154"/>
      <c r="I87" s="155">
        <f t="shared" si="0"/>
        <v>0</v>
      </c>
      <c r="J87" s="156">
        <f t="shared" si="1"/>
        <v>0</v>
      </c>
      <c r="K87" s="155">
        <f t="shared" si="2"/>
        <v>0</v>
      </c>
      <c r="L87" s="155" t="str">
        <f>IF(AND('Summary Sheet'!$E$23="No",$H$33&gt;0,H87&gt;=1),"",IF(AND('Summary Sheet'!$E$23="Yes",H87&lt;&gt;""),H87*'Summary Sheet'!$G$23,""))</f>
        <v/>
      </c>
      <c r="M87" s="154"/>
      <c r="N87" s="155">
        <f>SUM('Pay App 1:Pay App 55'!L87)+SUM('Pay App 1:Pay App 55'!M87)</f>
        <v>0</v>
      </c>
    </row>
    <row r="88" spans="1:14" ht="11.25" customHeight="1" x14ac:dyDescent="0.25">
      <c r="A88" s="152">
        <v>32</v>
      </c>
      <c r="B88" s="174" t="str">
        <f>'Pay App 1'!B88</f>
        <v>07 41 00</v>
      </c>
      <c r="C88" s="179" t="str">
        <f>'Pay App 1'!C88</f>
        <v>Roofing</v>
      </c>
      <c r="D88" s="155">
        <f>'Pay App 1'!D88</f>
        <v>0</v>
      </c>
      <c r="E88" s="155">
        <f>VLOOKUP(B88,'Graph Data'!$O$2:$BX$88,57,FALSE)</f>
        <v>0</v>
      </c>
      <c r="F88" s="155">
        <f>IFERROR(E88+'Pay App 54'!F88,"")</f>
        <v>0</v>
      </c>
      <c r="G88" s="155">
        <f>SUM('Pay App 1:Pay App 54'!H88)</f>
        <v>0</v>
      </c>
      <c r="H88" s="154"/>
      <c r="I88" s="155">
        <f t="shared" si="0"/>
        <v>0</v>
      </c>
      <c r="J88" s="156">
        <f t="shared" si="1"/>
        <v>0</v>
      </c>
      <c r="K88" s="155">
        <f t="shared" si="2"/>
        <v>0</v>
      </c>
      <c r="L88" s="155" t="str">
        <f>IF(AND('Summary Sheet'!$E$23="No",$H$33&gt;0,H88&gt;=1),"",IF(AND('Summary Sheet'!$E$23="Yes",H88&lt;&gt;""),H88*'Summary Sheet'!$G$23,""))</f>
        <v/>
      </c>
      <c r="M88" s="154"/>
      <c r="N88" s="155">
        <f>SUM('Pay App 1:Pay App 55'!L88)+SUM('Pay App 1:Pay App 55'!M88)</f>
        <v>0</v>
      </c>
    </row>
    <row r="89" spans="1:14" ht="11.25" customHeight="1" x14ac:dyDescent="0.25">
      <c r="A89" s="152">
        <v>33</v>
      </c>
      <c r="B89" s="174" t="str">
        <f>'Pay App 1'!B89</f>
        <v>07 42 00</v>
      </c>
      <c r="C89" s="179" t="str">
        <f>'Pay App 1'!C89</f>
        <v>Metal Panels</v>
      </c>
      <c r="D89" s="155">
        <f>'Pay App 1'!D89</f>
        <v>0</v>
      </c>
      <c r="E89" s="155">
        <f>VLOOKUP(B89,'Graph Data'!$O$2:$BX$88,57,FALSE)</f>
        <v>0</v>
      </c>
      <c r="F89" s="155">
        <f>IFERROR(E89+'Pay App 54'!F89,"")</f>
        <v>0</v>
      </c>
      <c r="G89" s="155">
        <f>SUM('Pay App 1:Pay App 54'!H89)</f>
        <v>0</v>
      </c>
      <c r="H89" s="154"/>
      <c r="I89" s="155">
        <f t="shared" si="0"/>
        <v>0</v>
      </c>
      <c r="J89" s="156">
        <f t="shared" si="1"/>
        <v>0</v>
      </c>
      <c r="K89" s="155">
        <f t="shared" si="2"/>
        <v>0</v>
      </c>
      <c r="L89" s="155" t="str">
        <f>IF(AND('Summary Sheet'!$E$23="No",$H$33&gt;0,H89&gt;=1),"",IF(AND('Summary Sheet'!$E$23="Yes",H89&lt;&gt;""),H89*'Summary Sheet'!$G$23,""))</f>
        <v/>
      </c>
      <c r="M89" s="154"/>
      <c r="N89" s="155">
        <f>SUM('Pay App 1:Pay App 55'!L89)+SUM('Pay App 1:Pay App 55'!M89)</f>
        <v>0</v>
      </c>
    </row>
    <row r="90" spans="1:14" ht="11.25" customHeight="1" x14ac:dyDescent="0.25">
      <c r="A90" s="152">
        <v>34</v>
      </c>
      <c r="B90" s="174" t="str">
        <f>'Pay App 1'!B90</f>
        <v>07 60 00</v>
      </c>
      <c r="C90" s="179" t="str">
        <f>'Pay App 1'!C90</f>
        <v>Sheet Metal Flashing &amp; Trim</v>
      </c>
      <c r="D90" s="155">
        <f>'Pay App 1'!D90</f>
        <v>0</v>
      </c>
      <c r="E90" s="155">
        <f>VLOOKUP(B90,'Graph Data'!$O$2:$BX$88,57,FALSE)</f>
        <v>0</v>
      </c>
      <c r="F90" s="155">
        <f>IFERROR(E90+'Pay App 54'!F90,"")</f>
        <v>0</v>
      </c>
      <c r="G90" s="155">
        <f>SUM('Pay App 1:Pay App 54'!H90)</f>
        <v>0</v>
      </c>
      <c r="H90" s="154"/>
      <c r="I90" s="155">
        <f t="shared" si="0"/>
        <v>0</v>
      </c>
      <c r="J90" s="156">
        <f t="shared" si="1"/>
        <v>0</v>
      </c>
      <c r="K90" s="155">
        <f t="shared" si="2"/>
        <v>0</v>
      </c>
      <c r="L90" s="155" t="str">
        <f>IF(AND('Summary Sheet'!$E$23="No",$H$33&gt;0,H90&gt;=1),"",IF(AND('Summary Sheet'!$E$23="Yes",H90&lt;&gt;""),H90*'Summary Sheet'!$G$23,""))</f>
        <v/>
      </c>
      <c r="M90" s="154"/>
      <c r="N90" s="155">
        <f>SUM('Pay App 1:Pay App 55'!L90)+SUM('Pay App 1:Pay App 55'!M90)</f>
        <v>0</v>
      </c>
    </row>
    <row r="91" spans="1:14" ht="11.25" customHeight="1" x14ac:dyDescent="0.25">
      <c r="A91" s="152">
        <v>35</v>
      </c>
      <c r="B91" s="174" t="str">
        <f>'Pay App 1'!B91</f>
        <v>07 80 00</v>
      </c>
      <c r="C91" s="179" t="str">
        <f>'Pay App 1'!C91</f>
        <v>Fireproofing</v>
      </c>
      <c r="D91" s="155">
        <f>'Pay App 1'!D91</f>
        <v>0</v>
      </c>
      <c r="E91" s="155">
        <f>VLOOKUP(B91,'Graph Data'!$O$2:$BX$88,57,FALSE)</f>
        <v>0</v>
      </c>
      <c r="F91" s="155">
        <f>IFERROR(E91+'Pay App 54'!F91,"")</f>
        <v>0</v>
      </c>
      <c r="G91" s="155">
        <f>SUM('Pay App 1:Pay App 54'!H91)</f>
        <v>0</v>
      </c>
      <c r="H91" s="154"/>
      <c r="I91" s="155">
        <f t="shared" si="0"/>
        <v>0</v>
      </c>
      <c r="J91" s="156">
        <f t="shared" si="1"/>
        <v>0</v>
      </c>
      <c r="K91" s="155">
        <f t="shared" si="2"/>
        <v>0</v>
      </c>
      <c r="L91" s="155" t="str">
        <f>IF(AND('Summary Sheet'!$E$23="No",$H$33&gt;0,H91&gt;=1),"",IF(AND('Summary Sheet'!$E$23="Yes",H91&lt;&gt;""),H91*'Summary Sheet'!$G$23,""))</f>
        <v/>
      </c>
      <c r="M91" s="154"/>
      <c r="N91" s="155">
        <f>SUM('Pay App 1:Pay App 55'!L91)+SUM('Pay App 1:Pay App 55'!M91)</f>
        <v>0</v>
      </c>
    </row>
    <row r="92" spans="1:14" ht="11.25" customHeight="1" x14ac:dyDescent="0.25">
      <c r="A92" s="152">
        <v>36</v>
      </c>
      <c r="B92" s="174" t="str">
        <f>'Pay App 1'!B92</f>
        <v>07 90 00</v>
      </c>
      <c r="C92" s="179" t="str">
        <f>'Pay App 1'!C92</f>
        <v>Joint Sealants</v>
      </c>
      <c r="D92" s="155">
        <f>'Pay App 1'!D92</f>
        <v>0</v>
      </c>
      <c r="E92" s="155">
        <f>VLOOKUP(B92,'Graph Data'!$O$2:$BX$88,57,FALSE)</f>
        <v>0</v>
      </c>
      <c r="F92" s="155">
        <f>IFERROR(E92+'Pay App 54'!F92,"")</f>
        <v>0</v>
      </c>
      <c r="G92" s="155">
        <f>SUM('Pay App 1:Pay App 54'!H92)</f>
        <v>0</v>
      </c>
      <c r="H92" s="154"/>
      <c r="I92" s="155">
        <f t="shared" si="0"/>
        <v>0</v>
      </c>
      <c r="J92" s="156">
        <f t="shared" si="1"/>
        <v>0</v>
      </c>
      <c r="K92" s="155">
        <f t="shared" si="2"/>
        <v>0</v>
      </c>
      <c r="L92" s="155" t="str">
        <f>IF(AND('Summary Sheet'!$E$23="No",$H$33&gt;0,H92&gt;=1),"",IF(AND('Summary Sheet'!$E$23="Yes",H92&lt;&gt;""),H92*'Summary Sheet'!$G$23,""))</f>
        <v/>
      </c>
      <c r="M92" s="154"/>
      <c r="N92" s="155">
        <f>SUM('Pay App 1:Pay App 55'!L92)+SUM('Pay App 1:Pay App 55'!M92)</f>
        <v>0</v>
      </c>
    </row>
    <row r="93" spans="1:14" ht="11.25" customHeight="1" x14ac:dyDescent="0.25">
      <c r="A93" s="152">
        <v>37</v>
      </c>
      <c r="B93" s="174" t="str">
        <f>'Pay App 1'!B93</f>
        <v>07 95 00</v>
      </c>
      <c r="C93" s="179" t="str">
        <f>'Pay App 1'!C93</f>
        <v>Expansion Joints</v>
      </c>
      <c r="D93" s="155">
        <f>'Pay App 1'!D93</f>
        <v>0</v>
      </c>
      <c r="E93" s="155">
        <f>VLOOKUP(B93,'Graph Data'!$O$2:$BX$88,57,FALSE)</f>
        <v>0</v>
      </c>
      <c r="F93" s="155">
        <f>IFERROR(E93+'Pay App 54'!F93,"")</f>
        <v>0</v>
      </c>
      <c r="G93" s="155">
        <f>SUM('Pay App 1:Pay App 54'!H93)</f>
        <v>0</v>
      </c>
      <c r="H93" s="154"/>
      <c r="I93" s="155">
        <f t="shared" si="0"/>
        <v>0</v>
      </c>
      <c r="J93" s="156">
        <f t="shared" si="1"/>
        <v>0</v>
      </c>
      <c r="K93" s="155">
        <f t="shared" si="2"/>
        <v>0</v>
      </c>
      <c r="L93" s="155" t="str">
        <f>IF(AND('Summary Sheet'!$E$23="No",$H$33&gt;0,H93&gt;=1),"",IF(AND('Summary Sheet'!$E$23="Yes",H93&lt;&gt;""),H93*'Summary Sheet'!$G$23,""))</f>
        <v/>
      </c>
      <c r="M93" s="154"/>
      <c r="N93" s="155">
        <f>SUM('Pay App 1:Pay App 55'!L93)+SUM('Pay App 1:Pay App 55'!M93)</f>
        <v>0</v>
      </c>
    </row>
    <row r="94" spans="1:14" ht="11.25" customHeight="1" x14ac:dyDescent="0.25">
      <c r="A94" s="152">
        <v>38</v>
      </c>
      <c r="B94" s="175" t="str">
        <f>'Pay App 1'!B94</f>
        <v>08 10 00</v>
      </c>
      <c r="C94" s="180" t="str">
        <f>'Pay App 1'!C94</f>
        <v>Doors, Frames &amp; Hardware</v>
      </c>
      <c r="D94" s="155">
        <f>'Pay App 1'!D94</f>
        <v>0</v>
      </c>
      <c r="E94" s="155">
        <f>VLOOKUP(B94,'Graph Data'!$O$2:$BX$88,57,FALSE)</f>
        <v>0</v>
      </c>
      <c r="F94" s="155">
        <f>IFERROR(E94+'Pay App 54'!F94,"")</f>
        <v>0</v>
      </c>
      <c r="G94" s="155">
        <f>SUM('Pay App 1:Pay App 54'!H94)</f>
        <v>0</v>
      </c>
      <c r="H94" s="154"/>
      <c r="I94" s="155">
        <f t="shared" si="0"/>
        <v>0</v>
      </c>
      <c r="J94" s="156">
        <f t="shared" si="1"/>
        <v>0</v>
      </c>
      <c r="K94" s="155">
        <f t="shared" si="2"/>
        <v>0</v>
      </c>
      <c r="L94" s="155" t="str">
        <f>IF(AND('Summary Sheet'!$E$23="No",$H$33&gt;0,H94&gt;=1),"",IF(AND('Summary Sheet'!$E$23="Yes",H94&lt;&gt;""),H94*'Summary Sheet'!$G$23,""))</f>
        <v/>
      </c>
      <c r="M94" s="154"/>
      <c r="N94" s="155">
        <f>SUM('Pay App 1:Pay App 55'!L94)+SUM('Pay App 1:Pay App 55'!M94)</f>
        <v>0</v>
      </c>
    </row>
    <row r="95" spans="1:14" ht="11.25" customHeight="1" x14ac:dyDescent="0.25">
      <c r="A95" s="152">
        <v>39</v>
      </c>
      <c r="B95" s="175" t="str">
        <f>'Pay App 1'!B95</f>
        <v>08 30 00</v>
      </c>
      <c r="C95" s="180" t="str">
        <f>'Pay App 1'!C95</f>
        <v>Specialty Doors</v>
      </c>
      <c r="D95" s="155">
        <f>'Pay App 1'!D95</f>
        <v>0</v>
      </c>
      <c r="E95" s="155">
        <f>VLOOKUP(B95,'Graph Data'!$O$2:$BX$88,57,FALSE)</f>
        <v>0</v>
      </c>
      <c r="F95" s="155">
        <f>IFERROR(E95+'Pay App 54'!F95,"")</f>
        <v>0</v>
      </c>
      <c r="G95" s="155">
        <f>SUM('Pay App 1:Pay App 54'!H95)</f>
        <v>0</v>
      </c>
      <c r="H95" s="154"/>
      <c r="I95" s="155">
        <f t="shared" si="0"/>
        <v>0</v>
      </c>
      <c r="J95" s="156">
        <f t="shared" si="1"/>
        <v>0</v>
      </c>
      <c r="K95" s="155">
        <f t="shared" si="2"/>
        <v>0</v>
      </c>
      <c r="L95" s="155" t="str">
        <f>IF(AND('Summary Sheet'!$E$23="No",$H$33&gt;0,H95&gt;=1),"",IF(AND('Summary Sheet'!$E$23="Yes",H95&lt;&gt;""),H95*'Summary Sheet'!$G$23,""))</f>
        <v/>
      </c>
      <c r="M95" s="154"/>
      <c r="N95" s="155">
        <f>SUM('Pay App 1:Pay App 55'!L95)+SUM('Pay App 1:Pay App 55'!M95)</f>
        <v>0</v>
      </c>
    </row>
    <row r="96" spans="1:14" ht="11.25" customHeight="1" x14ac:dyDescent="0.25">
      <c r="A96" s="152">
        <v>40</v>
      </c>
      <c r="B96" s="175" t="str">
        <f>'Pay App 1'!B96</f>
        <v>08 33 00</v>
      </c>
      <c r="C96" s="180" t="str">
        <f>'Pay App 1'!C96</f>
        <v>Overhead Doors/Coiling Doors</v>
      </c>
      <c r="D96" s="155">
        <f>'Pay App 1'!D96</f>
        <v>0</v>
      </c>
      <c r="E96" s="155">
        <f>VLOOKUP(B96,'Graph Data'!$O$2:$BX$88,57,FALSE)</f>
        <v>0</v>
      </c>
      <c r="F96" s="155">
        <f>IFERROR(E96+'Pay App 54'!F96,"")</f>
        <v>0</v>
      </c>
      <c r="G96" s="155">
        <f>SUM('Pay App 1:Pay App 54'!H96)</f>
        <v>0</v>
      </c>
      <c r="H96" s="154"/>
      <c r="I96" s="155">
        <f t="shared" si="0"/>
        <v>0</v>
      </c>
      <c r="J96" s="156">
        <f t="shared" si="1"/>
        <v>0</v>
      </c>
      <c r="K96" s="155">
        <f t="shared" si="2"/>
        <v>0</v>
      </c>
      <c r="L96" s="155" t="str">
        <f>IF(AND('Summary Sheet'!$E$23="No",$H$33&gt;0,H96&gt;=1),"",IF(AND('Summary Sheet'!$E$23="Yes",H96&lt;&gt;""),H96*'Summary Sheet'!$G$23,""))</f>
        <v/>
      </c>
      <c r="M96" s="154"/>
      <c r="N96" s="155">
        <f>SUM('Pay App 1:Pay App 55'!L96)+SUM('Pay App 1:Pay App 55'!M96)</f>
        <v>0</v>
      </c>
    </row>
    <row r="97" spans="1:15" ht="11.25" customHeight="1" x14ac:dyDescent="0.25">
      <c r="A97" s="152">
        <v>41</v>
      </c>
      <c r="B97" s="175" t="str">
        <f>'Pay App 1'!B97</f>
        <v>08 40 00</v>
      </c>
      <c r="C97" s="180" t="str">
        <f>'Pay App 1'!C97</f>
        <v>Curtain Wall, Glass &amp; Glazing</v>
      </c>
      <c r="D97" s="155">
        <f>'Pay App 1'!D97</f>
        <v>0</v>
      </c>
      <c r="E97" s="155">
        <f>VLOOKUP(B97,'Graph Data'!$O$2:$BX$88,57,FALSE)</f>
        <v>0</v>
      </c>
      <c r="F97" s="155">
        <f>IFERROR(E97+'Pay App 54'!F97,"")</f>
        <v>0</v>
      </c>
      <c r="G97" s="155">
        <f>SUM('Pay App 1:Pay App 54'!H97)</f>
        <v>0</v>
      </c>
      <c r="H97" s="154"/>
      <c r="I97" s="155">
        <f t="shared" si="0"/>
        <v>0</v>
      </c>
      <c r="J97" s="156">
        <f t="shared" si="1"/>
        <v>0</v>
      </c>
      <c r="K97" s="155">
        <f t="shared" si="2"/>
        <v>0</v>
      </c>
      <c r="L97" s="155" t="str">
        <f>IF(AND('Summary Sheet'!$E$23="No",$H$33&gt;0,H97&gt;=1),"",IF(AND('Summary Sheet'!$E$23="Yes",H97&lt;&gt;""),H97*'Summary Sheet'!$G$23,""))</f>
        <v/>
      </c>
      <c r="M97" s="154"/>
      <c r="N97" s="155">
        <f>SUM('Pay App 1:Pay App 55'!L97)+SUM('Pay App 1:Pay App 55'!M97)</f>
        <v>0</v>
      </c>
    </row>
    <row r="98" spans="1:15" ht="10.9" customHeight="1" x14ac:dyDescent="0.25">
      <c r="A98" s="152">
        <v>42</v>
      </c>
      <c r="B98" s="175" t="str">
        <f>'Pay App 1'!B98</f>
        <v>08 60 00</v>
      </c>
      <c r="C98" s="180" t="str">
        <f>'Pay App 1'!C98</f>
        <v>Skylights</v>
      </c>
      <c r="D98" s="155">
        <f>'Pay App 1'!D98</f>
        <v>0</v>
      </c>
      <c r="E98" s="155">
        <f>VLOOKUP(B98,'Graph Data'!$O$2:$BX$88,57,FALSE)</f>
        <v>0</v>
      </c>
      <c r="F98" s="155">
        <f>IFERROR(E98+'Pay App 54'!F98,"")</f>
        <v>0</v>
      </c>
      <c r="G98" s="155">
        <f>SUM('Pay App 1:Pay App 54'!H98)</f>
        <v>0</v>
      </c>
      <c r="H98" s="154"/>
      <c r="I98" s="155">
        <f t="shared" si="0"/>
        <v>0</v>
      </c>
      <c r="J98" s="156">
        <f t="shared" si="1"/>
        <v>0</v>
      </c>
      <c r="K98" s="155">
        <f t="shared" si="2"/>
        <v>0</v>
      </c>
      <c r="L98" s="155" t="str">
        <f>IF(AND('Summary Sheet'!$E$23="No",$H$33&gt;0,H98&gt;=1),"",IF(AND('Summary Sheet'!$E$23="Yes",H98&lt;&gt;""),H98*'Summary Sheet'!$G$23,""))</f>
        <v/>
      </c>
      <c r="M98" s="154"/>
      <c r="N98" s="155">
        <f>SUM('Pay App 1:Pay App 55'!L98)+SUM('Pay App 1:Pay App 55'!M98)</f>
        <v>0</v>
      </c>
    </row>
    <row r="99" spans="1:15" ht="10.9" customHeight="1" x14ac:dyDescent="0.25">
      <c r="A99" s="152">
        <v>43</v>
      </c>
      <c r="B99" s="175" t="str">
        <f>'Pay App 1'!B99</f>
        <v>08 90 00</v>
      </c>
      <c r="C99" s="180" t="str">
        <f>'Pay App 1'!C99</f>
        <v>Louvers &amp; Vents</v>
      </c>
      <c r="D99" s="155">
        <f>'Pay App 1'!D99</f>
        <v>0</v>
      </c>
      <c r="E99" s="155">
        <f>VLOOKUP(B99,'Graph Data'!$O$2:$BX$88,57,FALSE)</f>
        <v>0</v>
      </c>
      <c r="F99" s="155">
        <f>IFERROR(E99+'Pay App 54'!F99,"")</f>
        <v>0</v>
      </c>
      <c r="G99" s="155">
        <f>SUM('Pay App 1:Pay App 54'!H99)</f>
        <v>0</v>
      </c>
      <c r="H99" s="154"/>
      <c r="I99" s="155">
        <f t="shared" si="0"/>
        <v>0</v>
      </c>
      <c r="J99" s="156">
        <f t="shared" si="1"/>
        <v>0</v>
      </c>
      <c r="K99" s="155">
        <f t="shared" si="2"/>
        <v>0</v>
      </c>
      <c r="L99" s="155" t="str">
        <f>IF(AND('Summary Sheet'!$E$23="No",$H$33&gt;0,H99&gt;=1),"",IF(AND('Summary Sheet'!$E$23="Yes",H99&lt;&gt;""),H99*'Summary Sheet'!$G$23,""))</f>
        <v/>
      </c>
      <c r="M99" s="154"/>
      <c r="N99" s="155">
        <f>SUM('Pay App 1:Pay App 55'!L99)+SUM('Pay App 1:Pay App 55'!M99)</f>
        <v>0</v>
      </c>
    </row>
    <row r="100" spans="1:15" ht="11.25" customHeight="1" x14ac:dyDescent="0.25">
      <c r="A100" s="153">
        <v>44</v>
      </c>
      <c r="B100" s="176" t="str">
        <f>'Pay App 1'!B100</f>
        <v>09 20 00</v>
      </c>
      <c r="C100" s="181" t="str">
        <f>'Pay App 1'!C100</f>
        <v>Gypsum Board Systems</v>
      </c>
      <c r="D100" s="155">
        <f>'Pay App 1'!D100</f>
        <v>0</v>
      </c>
      <c r="E100" s="155">
        <f>VLOOKUP(B100,'Graph Data'!$O$2:$BX$88,57,FALSE)</f>
        <v>0</v>
      </c>
      <c r="F100" s="155">
        <f>IFERROR(E100+'Pay App 54'!F100,"")</f>
        <v>0</v>
      </c>
      <c r="G100" s="155">
        <f>SUM('Pay App 1:Pay App 54'!H100)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55'!L100)+SUM('Pay App 1:Pay App 55'!M100)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55.2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Data'!$O$2:$BX$88,57,FALSE)</f>
        <v>0</v>
      </c>
      <c r="F106" s="155">
        <f>IFERROR(E106+'Pay App 54'!F106,"")</f>
        <v>0</v>
      </c>
      <c r="G106" s="155">
        <f>SUM('Pay App 1:Pay App 54'!H106)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55'!L106)+SUM('Pay App 1:Pay App 55'!M106)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Data'!$O$2:$BX$88,57,FALSE)</f>
        <v>0</v>
      </c>
      <c r="F107" s="155">
        <f>IFERROR(E107+'Pay App 54'!F107,"")</f>
        <v>0</v>
      </c>
      <c r="G107" s="155">
        <f>SUM('Pay App 1:Pay App 54'!H107)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55'!L107)+SUM('Pay App 1:Pay App 55'!M107)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Data'!$O$2:$BX$88,57,FALSE)</f>
        <v>0</v>
      </c>
      <c r="F108" s="155">
        <f>IFERROR(E108+'Pay App 54'!F108,"")</f>
        <v>0</v>
      </c>
      <c r="G108" s="155">
        <f>SUM('Pay App 1:Pay App 54'!H108)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55'!L108)+SUM('Pay App 1:Pay App 55'!M108)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Data'!$O$2:$BX$88,57,FALSE)</f>
        <v>0</v>
      </c>
      <c r="F109" s="155">
        <f>IFERROR(E109+'Pay App 54'!F109,"")</f>
        <v>0</v>
      </c>
      <c r="G109" s="155">
        <f>SUM('Pay App 1:Pay App 54'!H109)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55'!L109)+SUM('Pay App 1:Pay App 55'!M109)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Data'!$O$2:$BX$88,57,FALSE)</f>
        <v>0</v>
      </c>
      <c r="F110" s="155">
        <f>IFERROR(E110+'Pay App 54'!F110,"")</f>
        <v>0</v>
      </c>
      <c r="G110" s="155">
        <f>SUM('Pay App 1:Pay App 54'!H110)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55'!L110)+SUM('Pay App 1:Pay App 55'!M110)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Data'!$O$2:$BX$88,57,FALSE)</f>
        <v>0</v>
      </c>
      <c r="F111" s="155">
        <f>IFERROR(E111+'Pay App 54'!F111,"")</f>
        <v>0</v>
      </c>
      <c r="G111" s="155">
        <f>SUM('Pay App 1:Pay App 54'!H111)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55'!L111)+SUM('Pay App 1:Pay App 55'!M111)</f>
        <v>0</v>
      </c>
    </row>
    <row r="112" spans="1:15" ht="11.25" customHeight="1" x14ac:dyDescent="0.25">
      <c r="A112" s="152">
        <f t="shared" si="3"/>
        <v>51</v>
      </c>
      <c r="B112" s="148" t="str">
        <f>'Pay App 1'!B112</f>
        <v>09 90 00</v>
      </c>
      <c r="C112" s="143" t="str">
        <f>'Pay App 1'!C112</f>
        <v>Painting</v>
      </c>
      <c r="D112" s="155">
        <f>'Pay App 1'!D112</f>
        <v>0</v>
      </c>
      <c r="E112" s="155">
        <f>VLOOKUP(B112,'Graph Data'!$O$2:$BX$88,57,FALSE)</f>
        <v>0</v>
      </c>
      <c r="F112" s="155">
        <f>IFERROR(E112+'Pay App 54'!F112,"")</f>
        <v>0</v>
      </c>
      <c r="G112" s="155">
        <f>SUM('Pay App 1:Pay App 54'!H112)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55'!L112)+SUM('Pay App 1:Pay App 55'!M112)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Data'!$O$2:$BX$88,57,FALSE)</f>
        <v>0</v>
      </c>
      <c r="F113" s="155">
        <f>IFERROR(E113+'Pay App 54'!F113,"")</f>
        <v>0</v>
      </c>
      <c r="G113" s="155">
        <f>SUM('Pay App 1:Pay App 54'!H113)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55'!L113)+SUM('Pay App 1:Pay App 55'!M113)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Data'!$O$2:$BX$88,57,FALSE)</f>
        <v>0</v>
      </c>
      <c r="F114" s="155">
        <f>IFERROR(E114+'Pay App 54'!F114,"")</f>
        <v>0</v>
      </c>
      <c r="G114" s="155">
        <f>SUM('Pay App 1:Pay App 54'!H114)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55'!L114)+SUM('Pay App 1:Pay App 55'!M114)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Data'!$O$2:$BX$88,57,FALSE)</f>
        <v>0</v>
      </c>
      <c r="F115" s="155">
        <f>IFERROR(E115+'Pay App 54'!F115,"")</f>
        <v>0</v>
      </c>
      <c r="G115" s="155">
        <f>SUM('Pay App 1:Pay App 54'!H115)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55'!L115)+SUM('Pay App 1:Pay App 55'!M115)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Data'!$O$2:$BX$88,57,FALSE)</f>
        <v>0</v>
      </c>
      <c r="F116" s="155">
        <f>IFERROR(E116+'Pay App 54'!F116,"")</f>
        <v>0</v>
      </c>
      <c r="G116" s="155">
        <f>SUM('Pay App 1:Pay App 54'!H116)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55'!L116)+SUM('Pay App 1:Pay App 55'!M116)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Data'!$O$2:$BX$88,57,FALSE)</f>
        <v>0</v>
      </c>
      <c r="F117" s="155">
        <f>IFERROR(E117+'Pay App 54'!F117,"")</f>
        <v>0</v>
      </c>
      <c r="G117" s="155">
        <f>SUM('Pay App 1:Pay App 54'!H117)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55'!L117)+SUM('Pay App 1:Pay App 55'!M117)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Data'!$O$2:$BX$88,57,FALSE)</f>
        <v>0</v>
      </c>
      <c r="F118" s="155">
        <f>IFERROR(E118+'Pay App 54'!F118,"")</f>
        <v>0</v>
      </c>
      <c r="G118" s="155">
        <f>SUM('Pay App 1:Pay App 54'!H118)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55'!L118)+SUM('Pay App 1:Pay App 55'!M118)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Data'!$O$2:$BX$88,57,FALSE)</f>
        <v>0</v>
      </c>
      <c r="F119" s="155">
        <f>IFERROR(E119+'Pay App 54'!F119,"")</f>
        <v>0</v>
      </c>
      <c r="G119" s="155">
        <f>SUM('Pay App 1:Pay App 54'!H119)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55'!L119)+SUM('Pay App 1:Pay App 55'!M119)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Data'!$O$2:$BX$88,57,FALSE)</f>
        <v>0</v>
      </c>
      <c r="F120" s="155">
        <f>IFERROR(E120+'Pay App 54'!F120,"")</f>
        <v>0</v>
      </c>
      <c r="G120" s="155">
        <f>SUM('Pay App 1:Pay App 54'!H120)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55'!L120)+SUM('Pay App 1:Pay App 55'!M120)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Data'!$O$2:$BX$88,57,FALSE)</f>
        <v>0</v>
      </c>
      <c r="F121" s="155">
        <f>IFERROR(E121+'Pay App 54'!F121,"")</f>
        <v>0</v>
      </c>
      <c r="G121" s="155">
        <f>SUM('Pay App 1:Pay App 54'!H121)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55'!L121)+SUM('Pay App 1:Pay App 55'!M121)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Data'!$O$2:$BX$88,57,FALSE)</f>
        <v>0</v>
      </c>
      <c r="F122" s="155">
        <f>IFERROR(E122+'Pay App 54'!F122,"")</f>
        <v>0</v>
      </c>
      <c r="G122" s="155">
        <f>SUM('Pay App 1:Pay App 54'!H122)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55'!L122)+SUM('Pay App 1:Pay App 55'!M122)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Data'!$O$2:$BX$88,57,FALSE)</f>
        <v>0</v>
      </c>
      <c r="F123" s="155">
        <f>IFERROR(E123+'Pay App 54'!F123,"")</f>
        <v>0</v>
      </c>
      <c r="G123" s="155">
        <f>SUM('Pay App 1:Pay App 54'!H123)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55'!L123)+SUM('Pay App 1:Pay App 55'!M123)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Data'!$O$2:$BX$88,57,FALSE)</f>
        <v>0</v>
      </c>
      <c r="F124" s="155">
        <f>IFERROR(E124+'Pay App 54'!F124,"")</f>
        <v>0</v>
      </c>
      <c r="G124" s="155">
        <f>SUM('Pay App 1:Pay App 54'!H124)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55'!L124)+SUM('Pay App 1:Pay App 55'!M124)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Data'!$O$2:$BX$88,57,FALSE)</f>
        <v>0</v>
      </c>
      <c r="F125" s="155">
        <f>IFERROR(E125+'Pay App 54'!F125,"")</f>
        <v>0</v>
      </c>
      <c r="G125" s="155">
        <f>SUM('Pay App 1:Pay App 54'!H125)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55'!L125)+SUM('Pay App 1:Pay App 55'!M125)</f>
        <v>0</v>
      </c>
    </row>
    <row r="126" spans="1:14" ht="11.25" customHeight="1" x14ac:dyDescent="0.25">
      <c r="A126" s="152">
        <f t="shared" si="3"/>
        <v>65</v>
      </c>
      <c r="B126" s="188" t="str">
        <f>'Pay App 1'!B126</f>
        <v>14 20 00</v>
      </c>
      <c r="C126" s="194" t="str">
        <f>'Pay App 1'!C126</f>
        <v>Elevator</v>
      </c>
      <c r="D126" s="155">
        <f>'Pay App 1'!D126</f>
        <v>0</v>
      </c>
      <c r="E126" s="155">
        <f>VLOOKUP(B126,'Graph Data'!$O$2:$BX$88,57,FALSE)</f>
        <v>0</v>
      </c>
      <c r="F126" s="155">
        <f>IFERROR(E126+'Pay App 54'!F126,"")</f>
        <v>0</v>
      </c>
      <c r="G126" s="155">
        <f>SUM('Pay App 1:Pay App 54'!H126)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55'!L126)+SUM('Pay App 1:Pay App 55'!M126)</f>
        <v>0</v>
      </c>
    </row>
    <row r="127" spans="1:14" ht="11.25" customHeight="1" x14ac:dyDescent="0.25">
      <c r="A127" s="152">
        <f t="shared" si="3"/>
        <v>66</v>
      </c>
      <c r="B127" s="188" t="str">
        <f>'Pay App 1'!B127</f>
        <v>14 40 00</v>
      </c>
      <c r="C127" s="194" t="str">
        <f>'Pay App 1'!C127</f>
        <v>Lifts</v>
      </c>
      <c r="D127" s="155">
        <f>'Pay App 1'!D127</f>
        <v>0</v>
      </c>
      <c r="E127" s="155">
        <f>VLOOKUP(B127,'Graph Data'!$O$2:$BX$88,57,FALSE)</f>
        <v>0</v>
      </c>
      <c r="F127" s="155">
        <f>IFERROR(E127+'Pay App 54'!F127,"")</f>
        <v>0</v>
      </c>
      <c r="G127" s="155">
        <f>SUM('Pay App 1:Pay App 54'!H127)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55'!L127)+SUM('Pay App 1:Pay App 55'!M127)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Data'!$O$2:$BX$88,57,FALSE)</f>
        <v>0</v>
      </c>
      <c r="F128" s="155">
        <f>IFERROR(E128+'Pay App 54'!F128,"")</f>
        <v>0</v>
      </c>
      <c r="G128" s="155">
        <f>SUM('Pay App 1:Pay App 54'!H128)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55'!L128)+SUM('Pay App 1:Pay App 55'!M128)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Data'!$O$2:$BX$88,57,FALSE)</f>
        <v>0</v>
      </c>
      <c r="F129" s="155">
        <f>IFERROR(E129+'Pay App 54'!F129,"")</f>
        <v>0</v>
      </c>
      <c r="G129" s="155">
        <f>SUM('Pay App 1:Pay App 54'!H129)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55'!L129)+SUM('Pay App 1:Pay App 55'!M129)</f>
        <v>0</v>
      </c>
    </row>
    <row r="130" spans="1:14" ht="11.25" customHeight="1" x14ac:dyDescent="0.25">
      <c r="A130" s="152">
        <f t="shared" si="3"/>
        <v>69</v>
      </c>
      <c r="B130" s="185" t="str">
        <f>'Pay App 1'!B130</f>
        <v>22 00 00</v>
      </c>
      <c r="C130" s="191" t="str">
        <f>'Pay App 1'!C130</f>
        <v>Plumbing</v>
      </c>
      <c r="D130" s="155">
        <f>'Pay App 1'!D130</f>
        <v>0</v>
      </c>
      <c r="E130" s="155">
        <f>VLOOKUP(B130,'Graph Data'!$O$2:$BX$88,57,FALSE)</f>
        <v>0</v>
      </c>
      <c r="F130" s="155">
        <f>IFERROR(E130+'Pay App 54'!F130,"")</f>
        <v>0</v>
      </c>
      <c r="G130" s="155">
        <f>SUM('Pay App 1:Pay App 54'!H130)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55'!L130)+SUM('Pay App 1:Pay App 55'!M130)</f>
        <v>0</v>
      </c>
    </row>
    <row r="131" spans="1:14" ht="11.25" customHeight="1" x14ac:dyDescent="0.25">
      <c r="A131" s="152">
        <f t="shared" si="3"/>
        <v>70</v>
      </c>
      <c r="B131" s="186" t="str">
        <f>'Pay App 1'!B131</f>
        <v>23 00 00</v>
      </c>
      <c r="C131" s="192" t="str">
        <f>'Pay App 1'!C131</f>
        <v>HVAC</v>
      </c>
      <c r="D131" s="155">
        <f>'Pay App 1'!D131</f>
        <v>0</v>
      </c>
      <c r="E131" s="155">
        <f>VLOOKUP(B131,'Graph Data'!$O$2:$BX$88,57,FALSE)</f>
        <v>0</v>
      </c>
      <c r="F131" s="155">
        <f>IFERROR(E131+'Pay App 54'!F131,"")</f>
        <v>0</v>
      </c>
      <c r="G131" s="155">
        <f>SUM('Pay App 1:Pay App 54'!H131)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55'!L131)+SUM('Pay App 1:Pay App 55'!M131)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Data'!$O$2:$BX$88,57,FALSE)</f>
        <v>0</v>
      </c>
      <c r="F132" s="155">
        <f>IFERROR(E132+'Pay App 54'!F132,"")</f>
        <v>0</v>
      </c>
      <c r="G132" s="155">
        <f>SUM('Pay App 1:Pay App 54'!H132)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55'!L132)+SUM('Pay App 1:Pay App 55'!M132)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Data'!$O$2:$BX$88,57,FALSE)</f>
        <v>0</v>
      </c>
      <c r="F133" s="155">
        <f>IFERROR(E133+'Pay App 54'!F133,"")</f>
        <v>0</v>
      </c>
      <c r="G133" s="155">
        <f>SUM('Pay App 1:Pay App 54'!H133)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55'!L133)+SUM('Pay App 1:Pay App 55'!M133)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Data'!$O$2:$BX$88,57,FALSE)</f>
        <v>0</v>
      </c>
      <c r="F134" s="155">
        <f>IFERROR(E134+'Pay App 54'!F134,"")</f>
        <v>0</v>
      </c>
      <c r="G134" s="155">
        <f>SUM('Pay App 1:Pay App 54'!H134)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55'!L134)+SUM('Pay App 1:Pay App 55'!M134)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Data'!$O$2:$BX$88,57,FALSE)</f>
        <v>0</v>
      </c>
      <c r="F135" s="155">
        <f>IFERROR(E135+'Pay App 54'!F135,"")</f>
        <v>0</v>
      </c>
      <c r="G135" s="155">
        <f>SUM('Pay App 1:Pay App 54'!H135)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55'!L135)+SUM('Pay App 1:Pay App 55'!M135)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Data'!$O$2:$BX$88,57,FALSE)</f>
        <v>0</v>
      </c>
      <c r="F136" s="155">
        <f>IFERROR(E136+'Pay App 54'!F136,"")</f>
        <v>0</v>
      </c>
      <c r="G136" s="155">
        <f>SUM('Pay App 1:Pay App 54'!H136)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55'!L136)+SUM('Pay App 1:Pay App 55'!M136)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Data'!$O$2:$BX$88,57,FALSE)</f>
        <v>0</v>
      </c>
      <c r="F137" s="155">
        <f>IFERROR(E137+'Pay App 54'!F137,"")</f>
        <v>0</v>
      </c>
      <c r="G137" s="155">
        <f>SUM('Pay App 1:Pay App 54'!H137)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55'!L137)+SUM('Pay App 1:Pay App 55'!M137)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Data'!$O$2:$BX$88,57,FALSE)</f>
        <v>0</v>
      </c>
      <c r="F138" s="155">
        <f>IFERROR(E138+'Pay App 54'!F138,"")</f>
        <v>0</v>
      </c>
      <c r="G138" s="155">
        <f>SUM('Pay App 1:Pay App 54'!H138)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55'!L138)+SUM('Pay App 1:Pay App 55'!M138)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Data'!$O$2:$BX$88,57,FALSE)</f>
        <v>0</v>
      </c>
      <c r="F139" s="155">
        <f>IFERROR(E139+'Pay App 54'!F139,"")</f>
        <v>0</v>
      </c>
      <c r="G139" s="155">
        <f>SUM('Pay App 1:Pay App 54'!H139)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55'!L139)+SUM('Pay App 1:Pay App 55'!M139)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Data'!$O$2:$BX$88,57,FALSE)</f>
        <v>0</v>
      </c>
      <c r="F140" s="155">
        <f>IFERROR(E140+'Pay App 54'!F140,"")</f>
        <v>0</v>
      </c>
      <c r="G140" s="155">
        <f>SUM('Pay App 1:Pay App 54'!H140)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55'!L140)+SUM('Pay App 1:Pay App 55'!M140)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Data'!$O$2:$BX$88,57,FALSE)</f>
        <v>0</v>
      </c>
      <c r="F141" s="155">
        <f>IFERROR(E141+'Pay App 54'!F141,"")</f>
        <v>0</v>
      </c>
      <c r="G141" s="155">
        <f>SUM('Pay App 1:Pay App 54'!H141)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55'!L141)+SUM('Pay App 1:Pay App 55'!M141)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Data'!$O$2:$BX$88,57,FALSE)</f>
        <v>0</v>
      </c>
      <c r="F142" s="155">
        <f>IFERROR(E142+'Pay App 54'!F142,"")</f>
        <v>0</v>
      </c>
      <c r="G142" s="155">
        <f>SUM('Pay App 1:Pay App 54'!H142)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55'!L142)+SUM('Pay App 1:Pay App 55'!M142)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Data'!$O$2:$BX$88,57,FALSE)</f>
        <v>0</v>
      </c>
      <c r="F143" s="155">
        <f>IFERROR(E143+'Pay App 54'!F143,"")</f>
        <v>0</v>
      </c>
      <c r="G143" s="155">
        <f>SUM('Pay App 1:Pay App 54'!H143)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55'!L143)+SUM('Pay App 1:Pay App 55'!M143)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Data'!$O$2:$BX$88,57,FALSE)</f>
        <v>0</v>
      </c>
      <c r="F144" s="155">
        <f>IFERROR(E144+'Pay App 54'!F144,"")</f>
        <v>0</v>
      </c>
      <c r="G144" s="155">
        <f>SUM('Pay App 1:Pay App 54'!H144)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55'!L144)+SUM('Pay App 1:Pay App 55'!M144)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Data'!$O$2:$BX$88,57,FALSE)</f>
        <v>0</v>
      </c>
      <c r="F145" s="155">
        <f>IFERROR(E145+'Pay App 54'!F145,"")</f>
        <v>0</v>
      </c>
      <c r="G145" s="155">
        <f>SUM('Pay App 1:Pay App 54'!H145)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55'!L145)+SUM('Pay App 1:Pay App 55'!M145)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Data'!$O$2:$BX$88,57,FALSE)</f>
        <v>0</v>
      </c>
      <c r="F146" s="155">
        <f>IFERROR(E146+'Pay App 54'!F146,"")</f>
        <v>0</v>
      </c>
      <c r="G146" s="155">
        <f>SUM('Pay App 1:Pay App 54'!H146)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55'!L146)+SUM('Pay App 1:Pay App 55'!M146)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Data'!$O$2:$BX$88,57,FALSE)</f>
        <v>0</v>
      </c>
      <c r="F147" s="155">
        <f>IFERROR(E147+'Pay App 54'!F147,"")</f>
        <v>0</v>
      </c>
      <c r="G147" s="155">
        <f>SUM('Pay App 1:Pay App 54'!H147)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55'!L147)+SUM('Pay App 1:Pay App 55'!M147)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Data'!$O$2:$BX$88,57,FALSE)</f>
        <v>0</v>
      </c>
      <c r="F148" s="155">
        <f>IFERROR(E148+'Pay App 54'!F148,"")</f>
        <v>0</v>
      </c>
      <c r="G148" s="155">
        <f>SUM('Pay App 1:Pay App 54'!H148)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55'!L148)+SUM('Pay App 1:Pay App 55'!M148)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ZJneNRQ1pvLxFBJvp4j9yisRqNWy0jL2qgReHLvUpZpEXUTveXGpoGqoikEs8UiAgIfgsm+M4xextr+ukBoYxg==" saltValue="dWpiH286S8piWhCpuRZfw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65" priority="2" operator="equal">
      <formula>0</formula>
    </cfRule>
  </conditionalFormatting>
  <conditionalFormatting sqref="D106:G148">
    <cfRule type="cellIs" dxfId="64" priority="1" operator="equal">
      <formula>0</formula>
    </cfRule>
  </conditionalFormatting>
  <conditionalFormatting sqref="D10:H10 D12:H14 D19:H21">
    <cfRule type="cellIs" dxfId="63" priority="6" operator="equal">
      <formula>0</formula>
    </cfRule>
  </conditionalFormatting>
  <conditionalFormatting sqref="H51">
    <cfRule type="cellIs" dxfId="62" priority="9" operator="lessThan">
      <formula>0</formula>
    </cfRule>
  </conditionalFormatting>
  <conditionalFormatting sqref="I57:I100 K57:K100 I106:I148 K106:K148 N106:N148">
    <cfRule type="cellIs" dxfId="61" priority="14" operator="equal">
      <formula>0</formula>
    </cfRule>
  </conditionalFormatting>
  <conditionalFormatting sqref="J57:J100 J106:J149">
    <cfRule type="cellIs" dxfId="60" priority="11" operator="greaterThan">
      <formula>1</formula>
    </cfRule>
    <cfRule type="cellIs" dxfId="59" priority="12" operator="equal">
      <formula>0</formula>
    </cfRule>
  </conditionalFormatting>
  <conditionalFormatting sqref="K57:K100 K106:K148">
    <cfRule type="cellIs" dxfId="58" priority="10" operator="lessThan">
      <formula>0</formula>
    </cfRule>
  </conditionalFormatting>
  <conditionalFormatting sqref="M57:M100">
    <cfRule type="cellIs" dxfId="57" priority="13" operator="lessThan">
      <formula>0</formula>
    </cfRule>
  </conditionalFormatting>
  <conditionalFormatting sqref="M106:M148">
    <cfRule type="cellIs" dxfId="56" priority="8" operator="lessThan">
      <formula>0</formula>
    </cfRule>
  </conditionalFormatting>
  <conditionalFormatting sqref="N57:N100">
    <cfRule type="cellIs" dxfId="55"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82770064-7C44-47BB-8E7F-D271F2416618}">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FDF993B-3393-48A1-9A1F-373A2F8ED29C}">
          <x14:formula1>
            <xm:f>'Graph Data'!$M$74:$M$76</xm:f>
          </x14:formula1>
          <xm:sqref>G17</xm:sqref>
        </x14:dataValidation>
      </x14:dataValidation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A4595-0560-4685-B41A-1B4998B12B99}">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56</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56'!E149)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56'!G41)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55'!H49)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56.1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Data'!$O$2:$BX$88,58,FALSE)</f>
        <v>0</v>
      </c>
      <c r="F57" s="155">
        <f>IFERROR(E57+'Pay App 55'!F57,"")</f>
        <v>0</v>
      </c>
      <c r="G57" s="155">
        <f>SUM('Pay App 1:Pay App 55'!H57)</f>
        <v>0</v>
      </c>
      <c r="H57" s="154"/>
      <c r="I57" s="155">
        <f>G57+H57</f>
        <v>0</v>
      </c>
      <c r="J57" s="156">
        <f>IFERROR(I57/F57,0)</f>
        <v>0</v>
      </c>
      <c r="K57" s="155">
        <f>IFERROR(F57-I57,"")</f>
        <v>0</v>
      </c>
      <c r="L57" s="155" t="str">
        <f>IF(AND('Summary Sheet'!$E$23="No",$H$33&gt;0,H57&gt;=1),"",IF(AND('Summary Sheet'!$E$23="Yes",H57&lt;&gt;""),H57*'Summary Sheet'!$G$23,""))</f>
        <v/>
      </c>
      <c r="M57" s="154"/>
      <c r="N57" s="155">
        <f>SUM('Pay App 1:Pay App 56'!L57)+SUM('Pay App 1:Pay App 56'!M57)</f>
        <v>0</v>
      </c>
    </row>
    <row r="58" spans="1:16" ht="11.25" customHeight="1" x14ac:dyDescent="0.25">
      <c r="A58" s="152">
        <v>2</v>
      </c>
      <c r="B58" s="145" t="str">
        <f>'Pay App 1'!B58</f>
        <v>00 02 00</v>
      </c>
      <c r="C58" s="134" t="str">
        <f>'Pay App 1'!C58</f>
        <v>Preconstruction Services</v>
      </c>
      <c r="D58" s="155">
        <f>'Pay App 1'!D58</f>
        <v>0</v>
      </c>
      <c r="E58" s="155">
        <f>VLOOKUP(B58,'Graph Data'!$O$2:$BX$88,58,FALSE)</f>
        <v>0</v>
      </c>
      <c r="F58" s="155">
        <f>IFERROR(E58+'Pay App 55'!F58,"")</f>
        <v>0</v>
      </c>
      <c r="G58" s="155">
        <f>SUM('Pay App 1:Pay App 55'!H58)</f>
        <v>0</v>
      </c>
      <c r="H58" s="154"/>
      <c r="I58" s="155">
        <f>G58+H58</f>
        <v>0</v>
      </c>
      <c r="J58" s="156">
        <f>IFERROR(I58/F58,0)</f>
        <v>0</v>
      </c>
      <c r="K58" s="155">
        <f>IFERROR(F58-I58,"")</f>
        <v>0</v>
      </c>
      <c r="L58" s="155" t="str">
        <f>IF(AND('Summary Sheet'!$E$23="No",$H$33&gt;0,H58&gt;=1),"",IF(AND('Summary Sheet'!$E$23="Yes",H58&lt;&gt;""),H58*'Summary Sheet'!$G$23,""))</f>
        <v/>
      </c>
      <c r="M58" s="154"/>
      <c r="N58" s="155">
        <f>SUM('Pay App 1:Pay App 56'!L58)+SUM('Pay App 1:Pay App 56'!M58)</f>
        <v>0</v>
      </c>
    </row>
    <row r="59" spans="1:16" ht="11.25" customHeight="1" x14ac:dyDescent="0.25">
      <c r="A59" s="152">
        <v>3</v>
      </c>
      <c r="B59" s="174" t="str">
        <f>'Pay App 1'!B59</f>
        <v>01 00 00</v>
      </c>
      <c r="C59" s="179" t="str">
        <f>'Pay App 1'!C59</f>
        <v>General Conditions/Requirements</v>
      </c>
      <c r="D59" s="155">
        <f>'Pay App 1'!D59</f>
        <v>0</v>
      </c>
      <c r="E59" s="155">
        <f>VLOOKUP(B59,'Graph Data'!$O$2:$BX$88,58,FALSE)</f>
        <v>0</v>
      </c>
      <c r="F59" s="155">
        <f>IFERROR(E59+'Pay App 55'!F59,"")</f>
        <v>0</v>
      </c>
      <c r="G59" s="155">
        <f>SUM('Pay App 1:Pay App 55'!H59)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56'!L59)+SUM('Pay App 1:Pay App 56'!M59)</f>
        <v>0</v>
      </c>
    </row>
    <row r="60" spans="1:16" ht="11.25" customHeight="1" x14ac:dyDescent="0.25">
      <c r="A60" s="152">
        <v>4</v>
      </c>
      <c r="B60" s="174" t="str">
        <f>'Pay App 1'!B60</f>
        <v>01 13 41</v>
      </c>
      <c r="C60" s="179" t="str">
        <f>'Pay App 1'!C60</f>
        <v>Temp. Scaffolding and Platforms</v>
      </c>
      <c r="D60" s="155">
        <f>'Pay App 1'!D60</f>
        <v>0</v>
      </c>
      <c r="E60" s="155">
        <f>VLOOKUP(B60,'Graph Data'!$O$2:$BX$88,58,FALSE)</f>
        <v>0</v>
      </c>
      <c r="F60" s="155">
        <f>IFERROR(E60+'Pay App 55'!F60,"")</f>
        <v>0</v>
      </c>
      <c r="G60" s="155">
        <f>SUM('Pay App 1:Pay App 55'!H60)</f>
        <v>0</v>
      </c>
      <c r="H60" s="154"/>
      <c r="I60" s="155">
        <f t="shared" si="0"/>
        <v>0</v>
      </c>
      <c r="J60" s="156">
        <f t="shared" si="1"/>
        <v>0</v>
      </c>
      <c r="K60" s="155">
        <f t="shared" si="2"/>
        <v>0</v>
      </c>
      <c r="L60" s="155" t="str">
        <f>IF(AND('Summary Sheet'!$E$23="No",$H$33&gt;0,H60&gt;=1),"",IF(AND('Summary Sheet'!$E$23="Yes",H60&lt;&gt;""),H60*'Summary Sheet'!$G$23,""))</f>
        <v/>
      </c>
      <c r="M60" s="154"/>
      <c r="N60" s="155">
        <f>SUM('Pay App 1:Pay App 56'!L60)+SUM('Pay App 1:Pay App 56'!M60)</f>
        <v>0</v>
      </c>
    </row>
    <row r="61" spans="1:16" ht="11.25" customHeight="1" x14ac:dyDescent="0.25">
      <c r="A61" s="152">
        <v>5</v>
      </c>
      <c r="B61" s="174" t="str">
        <f>'Pay App 1'!B61</f>
        <v>01 13 60</v>
      </c>
      <c r="C61" s="179" t="str">
        <f>'Pay App 1'!C61</f>
        <v>SWPPP</v>
      </c>
      <c r="D61" s="155">
        <f>'Pay App 1'!D61</f>
        <v>0</v>
      </c>
      <c r="E61" s="155">
        <f>VLOOKUP(B61,'Graph Data'!$O$2:$BX$88,58,FALSE)</f>
        <v>0</v>
      </c>
      <c r="F61" s="155">
        <f>IFERROR(E61+'Pay App 55'!F61,"")</f>
        <v>0</v>
      </c>
      <c r="G61" s="155">
        <f>SUM('Pay App 1:Pay App 55'!H61)</f>
        <v>0</v>
      </c>
      <c r="H61" s="154"/>
      <c r="I61" s="155">
        <f t="shared" si="0"/>
        <v>0</v>
      </c>
      <c r="J61" s="156">
        <f t="shared" si="1"/>
        <v>0</v>
      </c>
      <c r="K61" s="155">
        <f t="shared" si="2"/>
        <v>0</v>
      </c>
      <c r="L61" s="155" t="str">
        <f>IF(AND('Summary Sheet'!$E$23="No",$H$33&gt;0,H61&gt;=1),"",IF(AND('Summary Sheet'!$E$23="Yes",H61&lt;&gt;""),H61*'Summary Sheet'!$G$23,""))</f>
        <v/>
      </c>
      <c r="M61" s="154"/>
      <c r="N61" s="155">
        <f>SUM('Pay App 1:Pay App 56'!L61)+SUM('Pay App 1:Pay App 56'!M61)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Data'!$O$2:$BX$88,58,FALSE)</f>
        <v>0</v>
      </c>
      <c r="F62" s="155">
        <f>IFERROR(E62+'Pay App 55'!F62,"")</f>
        <v>0</v>
      </c>
      <c r="G62" s="155">
        <f>SUM('Pay App 1:Pay App 55'!H62)</f>
        <v>0</v>
      </c>
      <c r="H62" s="154"/>
      <c r="I62" s="155">
        <f t="shared" si="0"/>
        <v>0</v>
      </c>
      <c r="J62" s="156">
        <f t="shared" si="1"/>
        <v>0</v>
      </c>
      <c r="K62" s="155">
        <f t="shared" si="2"/>
        <v>0</v>
      </c>
      <c r="L62" s="155" t="str">
        <f>IF(AND('Summary Sheet'!$E$23="No",$H$33&gt;0,H62&gt;=1),"",IF(AND('Summary Sheet'!$E$23="Yes",H62&lt;&gt;""),H62*'Summary Sheet'!$G$23,""))</f>
        <v/>
      </c>
      <c r="M62" s="154"/>
      <c r="N62" s="155">
        <f>SUM('Pay App 1:Pay App 56'!L62)+SUM('Pay App 1:Pay App 56'!M62)</f>
        <v>0</v>
      </c>
    </row>
    <row r="63" spans="1:16" ht="11.25" customHeight="1" x14ac:dyDescent="0.25">
      <c r="A63" s="152">
        <v>7</v>
      </c>
      <c r="B63" s="174" t="str">
        <f>'Pay App 1'!B63</f>
        <v>01 31 00</v>
      </c>
      <c r="C63" s="179" t="str">
        <f>'Pay App 1'!C63</f>
        <v>Contractor's Supervision</v>
      </c>
      <c r="D63" s="155">
        <f>'Pay App 1'!D63</f>
        <v>0</v>
      </c>
      <c r="E63" s="155">
        <f>VLOOKUP(B63,'Graph Data'!$O$2:$BX$88,58,FALSE)</f>
        <v>0</v>
      </c>
      <c r="F63" s="155">
        <f>IFERROR(E63+'Pay App 55'!F63,"")</f>
        <v>0</v>
      </c>
      <c r="G63" s="155">
        <f>SUM('Pay App 1:Pay App 55'!H63)</f>
        <v>0</v>
      </c>
      <c r="H63" s="154"/>
      <c r="I63" s="155">
        <f t="shared" si="0"/>
        <v>0</v>
      </c>
      <c r="J63" s="156">
        <f t="shared" si="1"/>
        <v>0</v>
      </c>
      <c r="K63" s="155">
        <f t="shared" si="2"/>
        <v>0</v>
      </c>
      <c r="L63" s="155" t="str">
        <f>IF(AND('Summary Sheet'!$E$23="No",$H$33&gt;0,H63&gt;=1),"",IF(AND('Summary Sheet'!$E$23="Yes",H63&lt;&gt;""),H63*'Summary Sheet'!$G$23,""))</f>
        <v/>
      </c>
      <c r="M63" s="154"/>
      <c r="N63" s="155">
        <f>SUM('Pay App 1:Pay App 56'!L63)+SUM('Pay App 1:Pay App 56'!M63)</f>
        <v>0</v>
      </c>
    </row>
    <row r="64" spans="1:16" ht="11.25" customHeight="1" x14ac:dyDescent="0.25">
      <c r="A64" s="152">
        <v>8</v>
      </c>
      <c r="B64" s="174" t="str">
        <f>'Pay App 1'!B64</f>
        <v>01 32 00</v>
      </c>
      <c r="C64" s="179" t="str">
        <f>'Pay App 1'!C64</f>
        <v>General Liability Insurance</v>
      </c>
      <c r="D64" s="155">
        <f>'Pay App 1'!D64</f>
        <v>0</v>
      </c>
      <c r="E64" s="155">
        <f>VLOOKUP(B64,'Graph Data'!$O$2:$BX$88,58,FALSE)</f>
        <v>0</v>
      </c>
      <c r="F64" s="155">
        <f>IFERROR(E64+'Pay App 55'!F64,"")</f>
        <v>0</v>
      </c>
      <c r="G64" s="155">
        <f>SUM('Pay App 1:Pay App 55'!H64)</f>
        <v>0</v>
      </c>
      <c r="H64" s="154"/>
      <c r="I64" s="155">
        <f t="shared" si="0"/>
        <v>0</v>
      </c>
      <c r="J64" s="156">
        <f t="shared" si="1"/>
        <v>0</v>
      </c>
      <c r="K64" s="155">
        <f t="shared" si="2"/>
        <v>0</v>
      </c>
      <c r="L64" s="155" t="str">
        <f>IF(AND('Summary Sheet'!$E$23="No",$H$33&gt;0,H64&gt;=1),"",IF(AND('Summary Sheet'!$E$23="Yes",H64&lt;&gt;""),H64*'Summary Sheet'!$G$23,""))</f>
        <v/>
      </c>
      <c r="M64" s="154"/>
      <c r="N64" s="155">
        <f>SUM('Pay App 1:Pay App 56'!L64)+SUM('Pay App 1:Pay App 56'!M64)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Data'!$O$2:$BX$88,58,FALSE)</f>
        <v>0</v>
      </c>
      <c r="F65" s="155">
        <f>IFERROR(E65+'Pay App 55'!F65,"")</f>
        <v>0</v>
      </c>
      <c r="G65" s="155">
        <f>SUM('Pay App 1:Pay App 55'!H65)</f>
        <v>0</v>
      </c>
      <c r="H65" s="154"/>
      <c r="I65" s="155">
        <f t="shared" si="0"/>
        <v>0</v>
      </c>
      <c r="J65" s="156">
        <f t="shared" si="1"/>
        <v>0</v>
      </c>
      <c r="K65" s="155">
        <f t="shared" si="2"/>
        <v>0</v>
      </c>
      <c r="L65" s="155" t="str">
        <f>IF(AND('Summary Sheet'!$E$23="No",$H$33&gt;0,H65&gt;=1),"",IF(AND('Summary Sheet'!$E$23="Yes",H65&lt;&gt;""),H65*'Summary Sheet'!$G$23,""))</f>
        <v/>
      </c>
      <c r="M65" s="154"/>
      <c r="N65" s="155">
        <f>SUM('Pay App 1:Pay App 56'!L65)+SUM('Pay App 1:Pay App 56'!M65)</f>
        <v>0</v>
      </c>
    </row>
    <row r="66" spans="1:17" ht="11.25" customHeight="1" x14ac:dyDescent="0.25">
      <c r="A66" s="152">
        <v>10</v>
      </c>
      <c r="B66" s="174" t="str">
        <f>'Pay App 1'!B66</f>
        <v>01 34 00</v>
      </c>
      <c r="C66" s="179" t="str">
        <f>'Pay App 1'!C66</f>
        <v>Subcontractor Default Insurance</v>
      </c>
      <c r="D66" s="155">
        <f>'Pay App 1'!D66</f>
        <v>0</v>
      </c>
      <c r="E66" s="155">
        <f>VLOOKUP(B66,'Graph Data'!$O$2:$BX$88,58,FALSE)</f>
        <v>0</v>
      </c>
      <c r="F66" s="155">
        <f>IFERROR(E66+'Pay App 55'!F66,"")</f>
        <v>0</v>
      </c>
      <c r="G66" s="155">
        <f>SUM('Pay App 1:Pay App 55'!H66)</f>
        <v>0</v>
      </c>
      <c r="H66" s="154"/>
      <c r="I66" s="155">
        <f t="shared" si="0"/>
        <v>0</v>
      </c>
      <c r="J66" s="156">
        <f t="shared" si="1"/>
        <v>0</v>
      </c>
      <c r="K66" s="155">
        <f t="shared" si="2"/>
        <v>0</v>
      </c>
      <c r="L66" s="155" t="str">
        <f>IF(AND('Summary Sheet'!$E$23="No",$H$33&gt;0,H66&gt;=1),"",IF(AND('Summary Sheet'!$E$23="Yes",H66&lt;&gt;""),H66*'Summary Sheet'!$G$23,""))</f>
        <v/>
      </c>
      <c r="M66" s="154"/>
      <c r="N66" s="155">
        <f>SUM('Pay App 1:Pay App 56'!L66)+SUM('Pay App 1:Pay App 56'!M66)</f>
        <v>0</v>
      </c>
    </row>
    <row r="67" spans="1:17" ht="11.25" customHeight="1" x14ac:dyDescent="0.25">
      <c r="A67" s="152">
        <v>11</v>
      </c>
      <c r="B67" s="174" t="str">
        <f>'Pay App 1'!B67</f>
        <v>01 35 00</v>
      </c>
      <c r="C67" s="179" t="str">
        <f>'Pay App 1'!C67</f>
        <v>Construction Management Fee</v>
      </c>
      <c r="D67" s="155">
        <f>'Pay App 1'!D67</f>
        <v>0</v>
      </c>
      <c r="E67" s="155">
        <f>VLOOKUP(B67,'Graph Data'!$O$2:$BX$88,58,FALSE)</f>
        <v>0</v>
      </c>
      <c r="F67" s="155">
        <f>IFERROR(E67+'Pay App 55'!F67,"")</f>
        <v>0</v>
      </c>
      <c r="G67" s="155">
        <f>SUM('Pay App 1:Pay App 55'!H67)</f>
        <v>0</v>
      </c>
      <c r="H67" s="154"/>
      <c r="I67" s="155">
        <f t="shared" si="0"/>
        <v>0</v>
      </c>
      <c r="J67" s="156">
        <f t="shared" si="1"/>
        <v>0</v>
      </c>
      <c r="K67" s="155">
        <f t="shared" si="2"/>
        <v>0</v>
      </c>
      <c r="L67" s="155" t="str">
        <f>IF(AND('Summary Sheet'!$E$23="No",$H$33&gt;0,H67&gt;=1),"",IF(AND('Summary Sheet'!$E$23="Yes",H67&lt;&gt;""),H67*'Summary Sheet'!$G$23,""))</f>
        <v/>
      </c>
      <c r="M67" s="154"/>
      <c r="N67" s="155">
        <f>SUM('Pay App 1:Pay App 56'!L67)+SUM('Pay App 1:Pay App 56'!M67)</f>
        <v>0</v>
      </c>
    </row>
    <row r="68" spans="1:17" ht="11.25" customHeight="1" x14ac:dyDescent="0.25">
      <c r="A68" s="152">
        <v>12</v>
      </c>
      <c r="B68" s="174" t="str">
        <f>'Pay App 1'!B68</f>
        <v>01 36 00</v>
      </c>
      <c r="C68" s="179" t="str">
        <f>'Pay App 1'!C68</f>
        <v>Contingency</v>
      </c>
      <c r="D68" s="155">
        <f>'Pay App 1'!D68</f>
        <v>0</v>
      </c>
      <c r="E68" s="155">
        <f>VLOOKUP(B68,'Graph Data'!$O$2:$BX$88,58,FALSE)</f>
        <v>0</v>
      </c>
      <c r="F68" s="155">
        <f>IFERROR(E68+'Pay App 55'!F68,"")</f>
        <v>0</v>
      </c>
      <c r="G68" s="155">
        <f>SUM('Pay App 1:Pay App 55'!H68)</f>
        <v>0</v>
      </c>
      <c r="H68" s="154"/>
      <c r="I68" s="155">
        <f t="shared" si="0"/>
        <v>0</v>
      </c>
      <c r="J68" s="156">
        <f t="shared" si="1"/>
        <v>0</v>
      </c>
      <c r="K68" s="155">
        <f t="shared" si="2"/>
        <v>0</v>
      </c>
      <c r="L68" s="155" t="str">
        <f>IF(AND('Summary Sheet'!$E$23="No",$H$33&gt;0,H68&gt;=1),"",IF(AND('Summary Sheet'!$E$23="Yes",H68&lt;&gt;""),H68*'Summary Sheet'!$G$23,""))</f>
        <v/>
      </c>
      <c r="M68" s="154"/>
      <c r="N68" s="155">
        <f>SUM('Pay App 1:Pay App 56'!L68)+SUM('Pay App 1:Pay App 56'!M68)</f>
        <v>0</v>
      </c>
    </row>
    <row r="69" spans="1:17" ht="11.25" customHeight="1" x14ac:dyDescent="0.25">
      <c r="A69" s="152">
        <v>13</v>
      </c>
      <c r="B69" s="174" t="str">
        <f>'Pay App 1'!B69</f>
        <v>01 37 00</v>
      </c>
      <c r="C69" s="179" t="str">
        <f>'Pay App 1'!C69</f>
        <v>Weather Allowance (All Trades)</v>
      </c>
      <c r="D69" s="155">
        <f>'Pay App 1'!D69</f>
        <v>0</v>
      </c>
      <c r="E69" s="155">
        <f>VLOOKUP(B69,'Graph Data'!$O$2:$BX$88,58,FALSE)</f>
        <v>0</v>
      </c>
      <c r="F69" s="155">
        <f>IFERROR(E69+'Pay App 55'!F69,"")</f>
        <v>0</v>
      </c>
      <c r="G69" s="155">
        <f>SUM('Pay App 1:Pay App 55'!H69)</f>
        <v>0</v>
      </c>
      <c r="H69" s="154"/>
      <c r="I69" s="155">
        <f t="shared" si="0"/>
        <v>0</v>
      </c>
      <c r="J69" s="156">
        <f t="shared" si="1"/>
        <v>0</v>
      </c>
      <c r="K69" s="155">
        <f t="shared" si="2"/>
        <v>0</v>
      </c>
      <c r="L69" s="155" t="str">
        <f>IF(AND('Summary Sheet'!$E$23="No",$H$33&gt;0,H69&gt;=1),"",IF(AND('Summary Sheet'!$E$23="Yes",H69&lt;&gt;""),H69*'Summary Sheet'!$G$23,""))</f>
        <v/>
      </c>
      <c r="M69" s="154"/>
      <c r="N69" s="155">
        <f>SUM('Pay App 1:Pay App 56'!L69)+SUM('Pay App 1:Pay App 56'!M69)</f>
        <v>0</v>
      </c>
    </row>
    <row r="70" spans="1:17" ht="11.25" customHeight="1" x14ac:dyDescent="0.25">
      <c r="A70" s="152">
        <v>14</v>
      </c>
      <c r="B70" s="174" t="str">
        <f>'Pay App 1'!B70</f>
        <v>01 74 23</v>
      </c>
      <c r="C70" s="179" t="str">
        <f>'Pay App 1'!C70</f>
        <v>Cleaning (Final)</v>
      </c>
      <c r="D70" s="155">
        <f>'Pay App 1'!D70</f>
        <v>0</v>
      </c>
      <c r="E70" s="155">
        <f>VLOOKUP(B70,'Graph Data'!$O$2:$BX$88,58,FALSE)</f>
        <v>0</v>
      </c>
      <c r="F70" s="155">
        <f>IFERROR(E70+'Pay App 55'!F70,"")</f>
        <v>0</v>
      </c>
      <c r="G70" s="155">
        <f>SUM('Pay App 1:Pay App 55'!H70)</f>
        <v>0</v>
      </c>
      <c r="H70" s="154"/>
      <c r="I70" s="155">
        <f t="shared" si="0"/>
        <v>0</v>
      </c>
      <c r="J70" s="156">
        <f t="shared" si="1"/>
        <v>0</v>
      </c>
      <c r="K70" s="155">
        <f t="shared" si="2"/>
        <v>0</v>
      </c>
      <c r="L70" s="155" t="str">
        <f>IF(AND('Summary Sheet'!$E$23="No",$H$33&gt;0,H70&gt;=1),"",IF(AND('Summary Sheet'!$E$23="Yes",H70&lt;&gt;""),H70*'Summary Sheet'!$G$23,""))</f>
        <v/>
      </c>
      <c r="M70" s="154"/>
      <c r="N70" s="155">
        <f>SUM('Pay App 1:Pay App 56'!L70)+SUM('Pay App 1:Pay App 56'!M70)</f>
        <v>0</v>
      </c>
    </row>
    <row r="71" spans="1:17" ht="11.25" customHeight="1" x14ac:dyDescent="0.25">
      <c r="A71" s="152">
        <v>15</v>
      </c>
      <c r="B71" s="175" t="str">
        <f>'Pay App 1'!B71</f>
        <v>02 21 00</v>
      </c>
      <c r="C71" s="180" t="str">
        <f>'Pay App 1'!C71</f>
        <v>Survey/Engineering</v>
      </c>
      <c r="D71" s="155">
        <f>'Pay App 1'!D71</f>
        <v>0</v>
      </c>
      <c r="E71" s="155">
        <f>VLOOKUP(B71,'Graph Data'!$O$2:$BX$88,58,FALSE)</f>
        <v>0</v>
      </c>
      <c r="F71" s="155">
        <f>IFERROR(E71+'Pay App 55'!F71,"")</f>
        <v>0</v>
      </c>
      <c r="G71" s="155">
        <f>SUM('Pay App 1:Pay App 55'!H71)</f>
        <v>0</v>
      </c>
      <c r="H71" s="154"/>
      <c r="I71" s="155">
        <f t="shared" si="0"/>
        <v>0</v>
      </c>
      <c r="J71" s="156">
        <f t="shared" si="1"/>
        <v>0</v>
      </c>
      <c r="K71" s="155">
        <f t="shared" si="2"/>
        <v>0</v>
      </c>
      <c r="L71" s="155" t="str">
        <f>IF(AND('Summary Sheet'!$E$23="No",$H$33&gt;0,H71&gt;=1),"",IF(AND('Summary Sheet'!$E$23="Yes",H71&lt;&gt;""),H71*'Summary Sheet'!$G$23,""))</f>
        <v/>
      </c>
      <c r="M71" s="154"/>
      <c r="N71" s="155">
        <f>SUM('Pay App 1:Pay App 56'!L71)+SUM('Pay App 1:Pay App 56'!M71)</f>
        <v>0</v>
      </c>
      <c r="Q71" s="28"/>
    </row>
    <row r="72" spans="1:17" ht="11.25" customHeight="1" x14ac:dyDescent="0.25">
      <c r="A72" s="152">
        <v>16</v>
      </c>
      <c r="B72" s="175" t="str">
        <f>'Pay App 1'!B72</f>
        <v>02 41 00</v>
      </c>
      <c r="C72" s="180" t="str">
        <f>'Pay App 1'!C72</f>
        <v>Demolition</v>
      </c>
      <c r="D72" s="155">
        <f>'Pay App 1'!D72</f>
        <v>0</v>
      </c>
      <c r="E72" s="155">
        <f>VLOOKUP(B72,'Graph Data'!$O$2:$BX$88,58,FALSE)</f>
        <v>0</v>
      </c>
      <c r="F72" s="155">
        <f>IFERROR(E72+'Pay App 55'!F72,"")</f>
        <v>0</v>
      </c>
      <c r="G72" s="155">
        <f>SUM('Pay App 1:Pay App 55'!H72)</f>
        <v>0</v>
      </c>
      <c r="H72" s="154"/>
      <c r="I72" s="155">
        <f t="shared" si="0"/>
        <v>0</v>
      </c>
      <c r="J72" s="156">
        <f t="shared" si="1"/>
        <v>0</v>
      </c>
      <c r="K72" s="155">
        <f t="shared" si="2"/>
        <v>0</v>
      </c>
      <c r="L72" s="155" t="str">
        <f>IF(AND('Summary Sheet'!$E$23="No",$H$33&gt;0,H72&gt;=1),"",IF(AND('Summary Sheet'!$E$23="Yes",H72&lt;&gt;""),H72*'Summary Sheet'!$G$23,""))</f>
        <v/>
      </c>
      <c r="M72" s="154"/>
      <c r="N72" s="155">
        <f>SUM('Pay App 1:Pay App 56'!L72)+SUM('Pay App 1:Pay App 56'!M72)</f>
        <v>0</v>
      </c>
      <c r="Q72" s="28"/>
    </row>
    <row r="73" spans="1:17" ht="11.25" customHeight="1" x14ac:dyDescent="0.25">
      <c r="A73" s="152">
        <v>17</v>
      </c>
      <c r="B73" s="175" t="str">
        <f>'Pay App 1'!B73</f>
        <v>02 82 00</v>
      </c>
      <c r="C73" s="180" t="str">
        <f>'Pay App 1'!C73</f>
        <v>Asbestos Abatement</v>
      </c>
      <c r="D73" s="155">
        <f>'Pay App 1'!D73</f>
        <v>0</v>
      </c>
      <c r="E73" s="155">
        <f>VLOOKUP(B73,'Graph Data'!$O$2:$BX$88,58,FALSE)</f>
        <v>0</v>
      </c>
      <c r="F73" s="155">
        <f>IFERROR(E73+'Pay App 55'!F73,"")</f>
        <v>0</v>
      </c>
      <c r="G73" s="155">
        <f>SUM('Pay App 1:Pay App 55'!H73)</f>
        <v>0</v>
      </c>
      <c r="H73" s="154"/>
      <c r="I73" s="155">
        <f t="shared" si="0"/>
        <v>0</v>
      </c>
      <c r="J73" s="156">
        <f t="shared" si="1"/>
        <v>0</v>
      </c>
      <c r="K73" s="155">
        <f t="shared" si="2"/>
        <v>0</v>
      </c>
      <c r="L73" s="155" t="str">
        <f>IF(AND('Summary Sheet'!$E$23="No",$H$33&gt;0,H73&gt;=1),"",IF(AND('Summary Sheet'!$E$23="Yes",H73&lt;&gt;""),H73*'Summary Sheet'!$G$23,""))</f>
        <v/>
      </c>
      <c r="M73" s="154"/>
      <c r="N73" s="155">
        <f>SUM('Pay App 1:Pay App 56'!L73)+SUM('Pay App 1:Pay App 56'!M73)</f>
        <v>0</v>
      </c>
    </row>
    <row r="74" spans="1:17" ht="11.25" customHeight="1" x14ac:dyDescent="0.25">
      <c r="A74" s="152">
        <v>18</v>
      </c>
      <c r="B74" s="176" t="str">
        <f>'Pay App 1'!B74</f>
        <v>03 00 00</v>
      </c>
      <c r="C74" s="181" t="str">
        <f>'Pay App 1'!C74</f>
        <v>Building Concrete</v>
      </c>
      <c r="D74" s="155">
        <f>'Pay App 1'!D74</f>
        <v>0</v>
      </c>
      <c r="E74" s="155">
        <f>VLOOKUP(B74,'Graph Data'!$O$2:$BX$88,58,FALSE)</f>
        <v>0</v>
      </c>
      <c r="F74" s="155">
        <f>IFERROR(E74+'Pay App 55'!F74,"")</f>
        <v>0</v>
      </c>
      <c r="G74" s="155">
        <f>SUM('Pay App 1:Pay App 55'!H74)</f>
        <v>0</v>
      </c>
      <c r="H74" s="154"/>
      <c r="I74" s="155">
        <f t="shared" si="0"/>
        <v>0</v>
      </c>
      <c r="J74" s="156">
        <f t="shared" si="1"/>
        <v>0</v>
      </c>
      <c r="K74" s="155">
        <f t="shared" si="2"/>
        <v>0</v>
      </c>
      <c r="L74" s="155" t="str">
        <f>IF(AND('Summary Sheet'!$E$23="No",$H$33&gt;0,H74&gt;=1),"",IF(AND('Summary Sheet'!$E$23="Yes",H74&lt;&gt;""),H74*'Summary Sheet'!$G$23,""))</f>
        <v/>
      </c>
      <c r="M74" s="154"/>
      <c r="N74" s="155">
        <f>SUM('Pay App 1:Pay App 56'!L74)+SUM('Pay App 1:Pay App 56'!M74)</f>
        <v>0</v>
      </c>
    </row>
    <row r="75" spans="1:17" ht="11.25" customHeight="1" x14ac:dyDescent="0.25">
      <c r="A75" s="152">
        <v>19</v>
      </c>
      <c r="B75" s="176" t="str">
        <f>'Pay App 1'!B75</f>
        <v>03 20 00</v>
      </c>
      <c r="C75" s="181" t="str">
        <f>'Pay App 1'!C75</f>
        <v>Building Concrete Reinforcing</v>
      </c>
      <c r="D75" s="155">
        <f>'Pay App 1'!D75</f>
        <v>0</v>
      </c>
      <c r="E75" s="155">
        <f>VLOOKUP(B75,'Graph Data'!$O$2:$BX$88,58,FALSE)</f>
        <v>0</v>
      </c>
      <c r="F75" s="155">
        <f>IFERROR(E75+'Pay App 55'!F75,"")</f>
        <v>0</v>
      </c>
      <c r="G75" s="155">
        <f>SUM('Pay App 1:Pay App 55'!H75)</f>
        <v>0</v>
      </c>
      <c r="H75" s="154"/>
      <c r="I75" s="155">
        <f t="shared" si="0"/>
        <v>0</v>
      </c>
      <c r="J75" s="156">
        <f t="shared" si="1"/>
        <v>0</v>
      </c>
      <c r="K75" s="155">
        <f t="shared" si="2"/>
        <v>0</v>
      </c>
      <c r="L75" s="155" t="str">
        <f>IF(AND('Summary Sheet'!$E$23="No",$H$33&gt;0,H75&gt;=1),"",IF(AND('Summary Sheet'!$E$23="Yes",H75&lt;&gt;""),H75*'Summary Sheet'!$G$23,""))</f>
        <v/>
      </c>
      <c r="M75" s="154"/>
      <c r="N75" s="155">
        <f>SUM('Pay App 1:Pay App 56'!L75)+SUM('Pay App 1:Pay App 56'!M75)</f>
        <v>0</v>
      </c>
    </row>
    <row r="76" spans="1:17" ht="11.25" customHeight="1" x14ac:dyDescent="0.25">
      <c r="A76" s="152">
        <v>20</v>
      </c>
      <c r="B76" s="176" t="str">
        <f>'Pay App 1'!B76</f>
        <v>03 40 00</v>
      </c>
      <c r="C76" s="181" t="str">
        <f>'Pay App 1'!C76</f>
        <v>Precast</v>
      </c>
      <c r="D76" s="155">
        <f>'Pay App 1'!D76</f>
        <v>0</v>
      </c>
      <c r="E76" s="155">
        <f>VLOOKUP(B76,'Graph Data'!$O$2:$BX$88,58,FALSE)</f>
        <v>0</v>
      </c>
      <c r="F76" s="155">
        <f>IFERROR(E76+'Pay App 55'!F76,"")</f>
        <v>0</v>
      </c>
      <c r="G76" s="155">
        <f>SUM('Pay App 1:Pay App 55'!H76)</f>
        <v>0</v>
      </c>
      <c r="H76" s="154"/>
      <c r="I76" s="155">
        <f t="shared" si="0"/>
        <v>0</v>
      </c>
      <c r="J76" s="156">
        <f t="shared" si="1"/>
        <v>0</v>
      </c>
      <c r="K76" s="155">
        <f t="shared" si="2"/>
        <v>0</v>
      </c>
      <c r="L76" s="155" t="str">
        <f>IF(AND('Summary Sheet'!$E$23="No",$H$33&gt;0,H76&gt;=1),"",IF(AND('Summary Sheet'!$E$23="Yes",H76&lt;&gt;""),H76*'Summary Sheet'!$G$23,""))</f>
        <v/>
      </c>
      <c r="M76" s="154"/>
      <c r="N76" s="155">
        <f>SUM('Pay App 1:Pay App 56'!L76)+SUM('Pay App 1:Pay App 56'!M76)</f>
        <v>0</v>
      </c>
    </row>
    <row r="77" spans="1:17" ht="11.25" customHeight="1" x14ac:dyDescent="0.25">
      <c r="A77" s="152">
        <v>21</v>
      </c>
      <c r="B77" s="177" t="str">
        <f>'Pay App 1'!B77</f>
        <v>04 00 00</v>
      </c>
      <c r="C77" s="182" t="str">
        <f>'Pay App 1'!C77</f>
        <v>Masonry</v>
      </c>
      <c r="D77" s="155">
        <f>'Pay App 1'!D77</f>
        <v>0</v>
      </c>
      <c r="E77" s="155">
        <f>VLOOKUP(B77,'Graph Data'!$O$2:$BX$88,58,FALSE)</f>
        <v>0</v>
      </c>
      <c r="F77" s="155">
        <f>IFERROR(E77+'Pay App 55'!F77,"")</f>
        <v>0</v>
      </c>
      <c r="G77" s="155">
        <f>SUM('Pay App 1:Pay App 55'!H77)</f>
        <v>0</v>
      </c>
      <c r="H77" s="154"/>
      <c r="I77" s="155">
        <f t="shared" si="0"/>
        <v>0</v>
      </c>
      <c r="J77" s="156">
        <f t="shared" si="1"/>
        <v>0</v>
      </c>
      <c r="K77" s="155">
        <f t="shared" si="2"/>
        <v>0</v>
      </c>
      <c r="L77" s="155" t="str">
        <f>IF(AND('Summary Sheet'!$E$23="No",$H$33&gt;0,H77&gt;=1),"",IF(AND('Summary Sheet'!$E$23="Yes",H77&lt;&gt;""),H77*'Summary Sheet'!$G$23,""))</f>
        <v/>
      </c>
      <c r="M77" s="154"/>
      <c r="N77" s="155">
        <f>SUM('Pay App 1:Pay App 56'!L77)+SUM('Pay App 1:Pay App 56'!M77)</f>
        <v>0</v>
      </c>
    </row>
    <row r="78" spans="1:17" ht="11.25" customHeight="1" x14ac:dyDescent="0.25">
      <c r="A78" s="152">
        <v>22</v>
      </c>
      <c r="B78" s="177" t="str">
        <f>'Pay App 1'!B78</f>
        <v>04 05 19</v>
      </c>
      <c r="C78" s="182" t="str">
        <f>'Pay App 1'!C78</f>
        <v>Masonry Reinforcing</v>
      </c>
      <c r="D78" s="155">
        <f>'Pay App 1'!D78</f>
        <v>0</v>
      </c>
      <c r="E78" s="155">
        <f>VLOOKUP(B78,'Graph Data'!$O$2:$BX$88,58,FALSE)</f>
        <v>0</v>
      </c>
      <c r="F78" s="155">
        <f>IFERROR(E78+'Pay App 55'!F78,"")</f>
        <v>0</v>
      </c>
      <c r="G78" s="155">
        <f>SUM('Pay App 1:Pay App 55'!H78)</f>
        <v>0</v>
      </c>
      <c r="H78" s="154"/>
      <c r="I78" s="155">
        <f t="shared" si="0"/>
        <v>0</v>
      </c>
      <c r="J78" s="156">
        <f t="shared" si="1"/>
        <v>0</v>
      </c>
      <c r="K78" s="155">
        <f t="shared" si="2"/>
        <v>0</v>
      </c>
      <c r="L78" s="155" t="str">
        <f>IF(AND('Summary Sheet'!$E$23="No",$H$33&gt;0,H78&gt;=1),"",IF(AND('Summary Sheet'!$E$23="Yes",H78&lt;&gt;""),H78*'Summary Sheet'!$G$23,""))</f>
        <v/>
      </c>
      <c r="M78" s="154"/>
      <c r="N78" s="155">
        <f>SUM('Pay App 1:Pay App 56'!L78)+SUM('Pay App 1:Pay App 56'!M78)</f>
        <v>0</v>
      </c>
    </row>
    <row r="79" spans="1:17" ht="11.25" customHeight="1" x14ac:dyDescent="0.25">
      <c r="A79" s="152">
        <v>23</v>
      </c>
      <c r="B79" s="178" t="str">
        <f>'Pay App 1'!B79</f>
        <v>05 10 00</v>
      </c>
      <c r="C79" s="183" t="str">
        <f>'Pay App 1'!C79</f>
        <v>Structural Steel/Misc. Steel Fab</v>
      </c>
      <c r="D79" s="155">
        <f>'Pay App 1'!D79</f>
        <v>0</v>
      </c>
      <c r="E79" s="155">
        <f>VLOOKUP(B79,'Graph Data'!$O$2:$BX$88,58,FALSE)</f>
        <v>0</v>
      </c>
      <c r="F79" s="155">
        <f>IFERROR(E79+'Pay App 55'!F79,"")</f>
        <v>0</v>
      </c>
      <c r="G79" s="155">
        <f>SUM('Pay App 1:Pay App 55'!H79)</f>
        <v>0</v>
      </c>
      <c r="H79" s="154"/>
      <c r="I79" s="155">
        <f t="shared" si="0"/>
        <v>0</v>
      </c>
      <c r="J79" s="156">
        <f t="shared" si="1"/>
        <v>0</v>
      </c>
      <c r="K79" s="155">
        <f t="shared" si="2"/>
        <v>0</v>
      </c>
      <c r="L79" s="155" t="str">
        <f>IF(AND('Summary Sheet'!$E$23="No",$H$33&gt;0,H79&gt;=1),"",IF(AND('Summary Sheet'!$E$23="Yes",H79&lt;&gt;""),H79*'Summary Sheet'!$G$23,""))</f>
        <v/>
      </c>
      <c r="M79" s="154"/>
      <c r="N79" s="155">
        <f>SUM('Pay App 1:Pay App 56'!L79)+SUM('Pay App 1:Pay App 56'!M79)</f>
        <v>0</v>
      </c>
    </row>
    <row r="80" spans="1:17" ht="11.25" customHeight="1" x14ac:dyDescent="0.25">
      <c r="A80" s="152">
        <v>24</v>
      </c>
      <c r="B80" s="178" t="str">
        <f>'Pay App 1'!B80</f>
        <v>05 20 00</v>
      </c>
      <c r="C80" s="183" t="str">
        <f>'Pay App 1'!C80</f>
        <v>Joists &amp; Deck</v>
      </c>
      <c r="D80" s="155">
        <f>'Pay App 1'!D80</f>
        <v>0</v>
      </c>
      <c r="E80" s="155">
        <f>VLOOKUP(B80,'Graph Data'!$O$2:$BX$88,58,FALSE)</f>
        <v>0</v>
      </c>
      <c r="F80" s="155">
        <f>IFERROR(E80+'Pay App 55'!F80,"")</f>
        <v>0</v>
      </c>
      <c r="G80" s="155">
        <f>SUM('Pay App 1:Pay App 55'!H80)</f>
        <v>0</v>
      </c>
      <c r="H80" s="154"/>
      <c r="I80" s="155">
        <f t="shared" si="0"/>
        <v>0</v>
      </c>
      <c r="J80" s="156">
        <f t="shared" si="1"/>
        <v>0</v>
      </c>
      <c r="K80" s="155">
        <f t="shared" si="2"/>
        <v>0</v>
      </c>
      <c r="L80" s="155" t="str">
        <f>IF(AND('Summary Sheet'!$E$23="No",$H$33&gt;0,H80&gt;=1),"",IF(AND('Summary Sheet'!$E$23="Yes",H80&lt;&gt;""),H80*'Summary Sheet'!$G$23,""))</f>
        <v/>
      </c>
      <c r="M80" s="154"/>
      <c r="N80" s="155">
        <f>SUM('Pay App 1:Pay App 56'!L80)+SUM('Pay App 1:Pay App 56'!M80)</f>
        <v>0</v>
      </c>
    </row>
    <row r="81" spans="1:14" ht="11.25" customHeight="1" x14ac:dyDescent="0.25">
      <c r="A81" s="152">
        <v>25</v>
      </c>
      <c r="B81" s="178" t="str">
        <f>'Pay App 1'!B81</f>
        <v>05 70 00</v>
      </c>
      <c r="C81" s="183" t="str">
        <f>'Pay App 1'!C81</f>
        <v>Ornamental Metal</v>
      </c>
      <c r="D81" s="155">
        <f>'Pay App 1'!D81</f>
        <v>0</v>
      </c>
      <c r="E81" s="155">
        <f>VLOOKUP(B81,'Graph Data'!$O$2:$BX$88,58,FALSE)</f>
        <v>0</v>
      </c>
      <c r="F81" s="155">
        <f>IFERROR(E81+'Pay App 55'!F81,"")</f>
        <v>0</v>
      </c>
      <c r="G81" s="155">
        <f>SUM('Pay App 1:Pay App 55'!H81)</f>
        <v>0</v>
      </c>
      <c r="H81" s="154"/>
      <c r="I81" s="155">
        <f t="shared" si="0"/>
        <v>0</v>
      </c>
      <c r="J81" s="156">
        <f t="shared" si="1"/>
        <v>0</v>
      </c>
      <c r="K81" s="155">
        <f t="shared" si="2"/>
        <v>0</v>
      </c>
      <c r="L81" s="155" t="str">
        <f>IF(AND('Summary Sheet'!$E$23="No",$H$33&gt;0,H81&gt;=1),"",IF(AND('Summary Sheet'!$E$23="Yes",H81&lt;&gt;""),H81*'Summary Sheet'!$G$23,""))</f>
        <v/>
      </c>
      <c r="M81" s="154"/>
      <c r="N81" s="155">
        <f>SUM('Pay App 1:Pay App 56'!L81)+SUM('Pay App 1:Pay App 56'!M81)</f>
        <v>0</v>
      </c>
    </row>
    <row r="82" spans="1:14" ht="11.25" customHeight="1" x14ac:dyDescent="0.25">
      <c r="A82" s="152">
        <v>26</v>
      </c>
      <c r="B82" s="145" t="str">
        <f>'Pay App 1'!B82</f>
        <v>06 10 00</v>
      </c>
      <c r="C82" s="134" t="str">
        <f>'Pay App 1'!C82</f>
        <v>Rough Carpentry</v>
      </c>
      <c r="D82" s="155">
        <f>'Pay App 1'!D82</f>
        <v>0</v>
      </c>
      <c r="E82" s="155">
        <f>VLOOKUP(B82,'Graph Data'!$O$2:$BX$88,58,FALSE)</f>
        <v>0</v>
      </c>
      <c r="F82" s="155">
        <f>IFERROR(E82+'Pay App 55'!F82,"")</f>
        <v>0</v>
      </c>
      <c r="G82" s="155">
        <f>SUM('Pay App 1:Pay App 55'!H82)</f>
        <v>0</v>
      </c>
      <c r="H82" s="154"/>
      <c r="I82" s="155">
        <f t="shared" si="0"/>
        <v>0</v>
      </c>
      <c r="J82" s="156">
        <f t="shared" si="1"/>
        <v>0</v>
      </c>
      <c r="K82" s="155">
        <f t="shared" si="2"/>
        <v>0</v>
      </c>
      <c r="L82" s="155" t="str">
        <f>IF(AND('Summary Sheet'!$E$23="No",$H$33&gt;0,H82&gt;=1),"",IF(AND('Summary Sheet'!$E$23="Yes",H82&lt;&gt;""),H82*'Summary Sheet'!$G$23,""))</f>
        <v/>
      </c>
      <c r="M82" s="154"/>
      <c r="N82" s="155">
        <f>SUM('Pay App 1:Pay App 56'!L82)+SUM('Pay App 1:Pay App 56'!M82)</f>
        <v>0</v>
      </c>
    </row>
    <row r="83" spans="1:14" ht="11.25" customHeight="1" x14ac:dyDescent="0.25">
      <c r="A83" s="152">
        <v>27</v>
      </c>
      <c r="B83" s="145" t="str">
        <f>'Pay App 1'!B83</f>
        <v>06 40 00</v>
      </c>
      <c r="C83" s="134" t="str">
        <f>'Pay App 1'!C83</f>
        <v>Arch. Woodwork &amp; Finish Carp.</v>
      </c>
      <c r="D83" s="155">
        <f>'Pay App 1'!D83</f>
        <v>0</v>
      </c>
      <c r="E83" s="155">
        <f>VLOOKUP(B83,'Graph Data'!$O$2:$BX$88,58,FALSE)</f>
        <v>0</v>
      </c>
      <c r="F83" s="155">
        <f>IFERROR(E83+'Pay App 55'!F83,"")</f>
        <v>0</v>
      </c>
      <c r="G83" s="155">
        <f>SUM('Pay App 1:Pay App 55'!H83)</f>
        <v>0</v>
      </c>
      <c r="H83" s="154"/>
      <c r="I83" s="155">
        <f t="shared" si="0"/>
        <v>0</v>
      </c>
      <c r="J83" s="156">
        <f t="shared" si="1"/>
        <v>0</v>
      </c>
      <c r="K83" s="155">
        <f t="shared" si="2"/>
        <v>0</v>
      </c>
      <c r="L83" s="155" t="str">
        <f>IF(AND('Summary Sheet'!$E$23="No",$H$33&gt;0,H83&gt;=1),"",IF(AND('Summary Sheet'!$E$23="Yes",H83&lt;&gt;""),H83*'Summary Sheet'!$G$23,""))</f>
        <v/>
      </c>
      <c r="M83" s="154"/>
      <c r="N83" s="155">
        <f>SUM('Pay App 1:Pay App 56'!L83)+SUM('Pay App 1:Pay App 56'!M83)</f>
        <v>0</v>
      </c>
    </row>
    <row r="84" spans="1:14" ht="11.25" customHeight="1" x14ac:dyDescent="0.25">
      <c r="A84" s="152">
        <v>28</v>
      </c>
      <c r="B84" s="174" t="str">
        <f>'Pay App 1'!B84</f>
        <v>07 10 00</v>
      </c>
      <c r="C84" s="179" t="str">
        <f>'Pay App 1'!C84</f>
        <v>Waterproofing/Water Repellents</v>
      </c>
      <c r="D84" s="155">
        <f>'Pay App 1'!D84</f>
        <v>0</v>
      </c>
      <c r="E84" s="155">
        <f>VLOOKUP(B84,'Graph Data'!$O$2:$BX$88,58,FALSE)</f>
        <v>0</v>
      </c>
      <c r="F84" s="155">
        <f>IFERROR(E84+'Pay App 55'!F84,"")</f>
        <v>0</v>
      </c>
      <c r="G84" s="155">
        <f>SUM('Pay App 1:Pay App 55'!H84)</f>
        <v>0</v>
      </c>
      <c r="H84" s="154"/>
      <c r="I84" s="155">
        <f t="shared" si="0"/>
        <v>0</v>
      </c>
      <c r="J84" s="156">
        <f t="shared" si="1"/>
        <v>0</v>
      </c>
      <c r="K84" s="155">
        <f t="shared" si="2"/>
        <v>0</v>
      </c>
      <c r="L84" s="155" t="str">
        <f>IF(AND('Summary Sheet'!$E$23="No",$H$33&gt;0,H84&gt;=1),"",IF(AND('Summary Sheet'!$E$23="Yes",H84&lt;&gt;""),H84*'Summary Sheet'!$G$23,""))</f>
        <v/>
      </c>
      <c r="M84" s="154"/>
      <c r="N84" s="155">
        <f>SUM('Pay App 1:Pay App 56'!L84)+SUM('Pay App 1:Pay App 56'!M84)</f>
        <v>0</v>
      </c>
    </row>
    <row r="85" spans="1:14" ht="11.25" customHeight="1" x14ac:dyDescent="0.25">
      <c r="A85" s="152">
        <v>29</v>
      </c>
      <c r="B85" s="174" t="str">
        <f>'Pay App 1'!B85</f>
        <v>07 20 00</v>
      </c>
      <c r="C85" s="179" t="str">
        <f>'Pay App 1'!C85</f>
        <v>Insulation</v>
      </c>
      <c r="D85" s="155">
        <f>'Pay App 1'!D85</f>
        <v>0</v>
      </c>
      <c r="E85" s="155">
        <f>VLOOKUP(B85,'Graph Data'!$O$2:$BX$88,58,FALSE)</f>
        <v>0</v>
      </c>
      <c r="F85" s="155">
        <f>IFERROR(E85+'Pay App 55'!F85,"")</f>
        <v>0</v>
      </c>
      <c r="G85" s="155">
        <f>SUM('Pay App 1:Pay App 55'!H85)</f>
        <v>0</v>
      </c>
      <c r="H85" s="154"/>
      <c r="I85" s="155">
        <f t="shared" si="0"/>
        <v>0</v>
      </c>
      <c r="J85" s="156">
        <f t="shared" si="1"/>
        <v>0</v>
      </c>
      <c r="K85" s="155">
        <f t="shared" si="2"/>
        <v>0</v>
      </c>
      <c r="L85" s="155" t="str">
        <f>IF(AND('Summary Sheet'!$E$23="No",$H$33&gt;0,H85&gt;=1),"",IF(AND('Summary Sheet'!$E$23="Yes",H85&lt;&gt;""),H85*'Summary Sheet'!$G$23,""))</f>
        <v/>
      </c>
      <c r="M85" s="154"/>
      <c r="N85" s="155">
        <f>SUM('Pay App 1:Pay App 56'!L85)+SUM('Pay App 1:Pay App 56'!M85)</f>
        <v>0</v>
      </c>
    </row>
    <row r="86" spans="1:14" ht="11.25" customHeight="1" x14ac:dyDescent="0.25">
      <c r="A86" s="152">
        <v>30</v>
      </c>
      <c r="B86" s="174" t="str">
        <f>'Pay App 1'!B86</f>
        <v>07 24 00</v>
      </c>
      <c r="C86" s="179" t="str">
        <f>'Pay App 1'!C86</f>
        <v>EIFS</v>
      </c>
      <c r="D86" s="155">
        <f>'Pay App 1'!D86</f>
        <v>0</v>
      </c>
      <c r="E86" s="155">
        <f>VLOOKUP(B86,'Graph Data'!$O$2:$BX$88,58,FALSE)</f>
        <v>0</v>
      </c>
      <c r="F86" s="155">
        <f>IFERROR(E86+'Pay App 55'!F86,"")</f>
        <v>0</v>
      </c>
      <c r="G86" s="155">
        <f>SUM('Pay App 1:Pay App 55'!H86)</f>
        <v>0</v>
      </c>
      <c r="H86" s="154"/>
      <c r="I86" s="155">
        <f t="shared" si="0"/>
        <v>0</v>
      </c>
      <c r="J86" s="156">
        <f t="shared" si="1"/>
        <v>0</v>
      </c>
      <c r="K86" s="155">
        <f t="shared" si="2"/>
        <v>0</v>
      </c>
      <c r="L86" s="155" t="str">
        <f>IF(AND('Summary Sheet'!$E$23="No",$H$33&gt;0,H86&gt;=1),"",IF(AND('Summary Sheet'!$E$23="Yes",H86&lt;&gt;""),H86*'Summary Sheet'!$G$23,""))</f>
        <v/>
      </c>
      <c r="M86" s="154"/>
      <c r="N86" s="155">
        <f>SUM('Pay App 1:Pay App 56'!L86)+SUM('Pay App 1:Pay App 56'!M86)</f>
        <v>0</v>
      </c>
    </row>
    <row r="87" spans="1:14" ht="11.25" customHeight="1" x14ac:dyDescent="0.25">
      <c r="A87" s="152">
        <v>31</v>
      </c>
      <c r="B87" s="174" t="str">
        <f>'Pay App 1'!B87</f>
        <v>07 26 00</v>
      </c>
      <c r="C87" s="179" t="str">
        <f>'Pay App 1'!C87</f>
        <v>Vapor Retarders</v>
      </c>
      <c r="D87" s="155">
        <f>'Pay App 1'!D87</f>
        <v>0</v>
      </c>
      <c r="E87" s="155">
        <f>VLOOKUP(B87,'Graph Data'!$O$2:$BX$88,58,FALSE)</f>
        <v>0</v>
      </c>
      <c r="F87" s="155">
        <f>IFERROR(E87+'Pay App 55'!F87,"")</f>
        <v>0</v>
      </c>
      <c r="G87" s="155">
        <f>SUM('Pay App 1:Pay App 55'!H87)</f>
        <v>0</v>
      </c>
      <c r="H87" s="154"/>
      <c r="I87" s="155">
        <f t="shared" si="0"/>
        <v>0</v>
      </c>
      <c r="J87" s="156">
        <f t="shared" si="1"/>
        <v>0</v>
      </c>
      <c r="K87" s="155">
        <f t="shared" si="2"/>
        <v>0</v>
      </c>
      <c r="L87" s="155" t="str">
        <f>IF(AND('Summary Sheet'!$E$23="No",$H$33&gt;0,H87&gt;=1),"",IF(AND('Summary Sheet'!$E$23="Yes",H87&lt;&gt;""),H87*'Summary Sheet'!$G$23,""))</f>
        <v/>
      </c>
      <c r="M87" s="154"/>
      <c r="N87" s="155">
        <f>SUM('Pay App 1:Pay App 56'!L87)+SUM('Pay App 1:Pay App 56'!M87)</f>
        <v>0</v>
      </c>
    </row>
    <row r="88" spans="1:14" ht="11.25" customHeight="1" x14ac:dyDescent="0.25">
      <c r="A88" s="152">
        <v>32</v>
      </c>
      <c r="B88" s="174" t="str">
        <f>'Pay App 1'!B88</f>
        <v>07 41 00</v>
      </c>
      <c r="C88" s="179" t="str">
        <f>'Pay App 1'!C88</f>
        <v>Roofing</v>
      </c>
      <c r="D88" s="155">
        <f>'Pay App 1'!D88</f>
        <v>0</v>
      </c>
      <c r="E88" s="155">
        <f>VLOOKUP(B88,'Graph Data'!$O$2:$BX$88,58,FALSE)</f>
        <v>0</v>
      </c>
      <c r="F88" s="155">
        <f>IFERROR(E88+'Pay App 55'!F88,"")</f>
        <v>0</v>
      </c>
      <c r="G88" s="155">
        <f>SUM('Pay App 1:Pay App 55'!H88)</f>
        <v>0</v>
      </c>
      <c r="H88" s="154"/>
      <c r="I88" s="155">
        <f t="shared" si="0"/>
        <v>0</v>
      </c>
      <c r="J88" s="156">
        <f t="shared" si="1"/>
        <v>0</v>
      </c>
      <c r="K88" s="155">
        <f t="shared" si="2"/>
        <v>0</v>
      </c>
      <c r="L88" s="155" t="str">
        <f>IF(AND('Summary Sheet'!$E$23="No",$H$33&gt;0,H88&gt;=1),"",IF(AND('Summary Sheet'!$E$23="Yes",H88&lt;&gt;""),H88*'Summary Sheet'!$G$23,""))</f>
        <v/>
      </c>
      <c r="M88" s="154"/>
      <c r="N88" s="155">
        <f>SUM('Pay App 1:Pay App 56'!L88)+SUM('Pay App 1:Pay App 56'!M88)</f>
        <v>0</v>
      </c>
    </row>
    <row r="89" spans="1:14" ht="11.25" customHeight="1" x14ac:dyDescent="0.25">
      <c r="A89" s="152">
        <v>33</v>
      </c>
      <c r="B89" s="174" t="str">
        <f>'Pay App 1'!B89</f>
        <v>07 42 00</v>
      </c>
      <c r="C89" s="179" t="str">
        <f>'Pay App 1'!C89</f>
        <v>Metal Panels</v>
      </c>
      <c r="D89" s="155">
        <f>'Pay App 1'!D89</f>
        <v>0</v>
      </c>
      <c r="E89" s="155">
        <f>VLOOKUP(B89,'Graph Data'!$O$2:$BX$88,58,FALSE)</f>
        <v>0</v>
      </c>
      <c r="F89" s="155">
        <f>IFERROR(E89+'Pay App 55'!F89,"")</f>
        <v>0</v>
      </c>
      <c r="G89" s="155">
        <f>SUM('Pay App 1:Pay App 55'!H89)</f>
        <v>0</v>
      </c>
      <c r="H89" s="154"/>
      <c r="I89" s="155">
        <f t="shared" si="0"/>
        <v>0</v>
      </c>
      <c r="J89" s="156">
        <f t="shared" si="1"/>
        <v>0</v>
      </c>
      <c r="K89" s="155">
        <f t="shared" si="2"/>
        <v>0</v>
      </c>
      <c r="L89" s="155" t="str">
        <f>IF(AND('Summary Sheet'!$E$23="No",$H$33&gt;0,H89&gt;=1),"",IF(AND('Summary Sheet'!$E$23="Yes",H89&lt;&gt;""),H89*'Summary Sheet'!$G$23,""))</f>
        <v/>
      </c>
      <c r="M89" s="154"/>
      <c r="N89" s="155">
        <f>SUM('Pay App 1:Pay App 56'!L89)+SUM('Pay App 1:Pay App 56'!M89)</f>
        <v>0</v>
      </c>
    </row>
    <row r="90" spans="1:14" ht="11.25" customHeight="1" x14ac:dyDescent="0.25">
      <c r="A90" s="152">
        <v>34</v>
      </c>
      <c r="B90" s="174" t="str">
        <f>'Pay App 1'!B90</f>
        <v>07 60 00</v>
      </c>
      <c r="C90" s="179" t="str">
        <f>'Pay App 1'!C90</f>
        <v>Sheet Metal Flashing &amp; Trim</v>
      </c>
      <c r="D90" s="155">
        <f>'Pay App 1'!D90</f>
        <v>0</v>
      </c>
      <c r="E90" s="155">
        <f>VLOOKUP(B90,'Graph Data'!$O$2:$BX$88,58,FALSE)</f>
        <v>0</v>
      </c>
      <c r="F90" s="155">
        <f>IFERROR(E90+'Pay App 55'!F90,"")</f>
        <v>0</v>
      </c>
      <c r="G90" s="155">
        <f>SUM('Pay App 1:Pay App 55'!H90)</f>
        <v>0</v>
      </c>
      <c r="H90" s="154"/>
      <c r="I90" s="155">
        <f t="shared" si="0"/>
        <v>0</v>
      </c>
      <c r="J90" s="156">
        <f t="shared" si="1"/>
        <v>0</v>
      </c>
      <c r="K90" s="155">
        <f t="shared" si="2"/>
        <v>0</v>
      </c>
      <c r="L90" s="155" t="str">
        <f>IF(AND('Summary Sheet'!$E$23="No",$H$33&gt;0,H90&gt;=1),"",IF(AND('Summary Sheet'!$E$23="Yes",H90&lt;&gt;""),H90*'Summary Sheet'!$G$23,""))</f>
        <v/>
      </c>
      <c r="M90" s="154"/>
      <c r="N90" s="155">
        <f>SUM('Pay App 1:Pay App 56'!L90)+SUM('Pay App 1:Pay App 56'!M90)</f>
        <v>0</v>
      </c>
    </row>
    <row r="91" spans="1:14" ht="11.25" customHeight="1" x14ac:dyDescent="0.25">
      <c r="A91" s="152">
        <v>35</v>
      </c>
      <c r="B91" s="174" t="str">
        <f>'Pay App 1'!B91</f>
        <v>07 80 00</v>
      </c>
      <c r="C91" s="179" t="str">
        <f>'Pay App 1'!C91</f>
        <v>Fireproofing</v>
      </c>
      <c r="D91" s="155">
        <f>'Pay App 1'!D91</f>
        <v>0</v>
      </c>
      <c r="E91" s="155">
        <f>VLOOKUP(B91,'Graph Data'!$O$2:$BX$88,58,FALSE)</f>
        <v>0</v>
      </c>
      <c r="F91" s="155">
        <f>IFERROR(E91+'Pay App 55'!F91,"")</f>
        <v>0</v>
      </c>
      <c r="G91" s="155">
        <f>SUM('Pay App 1:Pay App 55'!H91)</f>
        <v>0</v>
      </c>
      <c r="H91" s="154"/>
      <c r="I91" s="155">
        <f t="shared" si="0"/>
        <v>0</v>
      </c>
      <c r="J91" s="156">
        <f t="shared" si="1"/>
        <v>0</v>
      </c>
      <c r="K91" s="155">
        <f t="shared" si="2"/>
        <v>0</v>
      </c>
      <c r="L91" s="155" t="str">
        <f>IF(AND('Summary Sheet'!$E$23="No",$H$33&gt;0,H91&gt;=1),"",IF(AND('Summary Sheet'!$E$23="Yes",H91&lt;&gt;""),H91*'Summary Sheet'!$G$23,""))</f>
        <v/>
      </c>
      <c r="M91" s="154"/>
      <c r="N91" s="155">
        <f>SUM('Pay App 1:Pay App 56'!L91)+SUM('Pay App 1:Pay App 56'!M91)</f>
        <v>0</v>
      </c>
    </row>
    <row r="92" spans="1:14" ht="11.25" customHeight="1" x14ac:dyDescent="0.25">
      <c r="A92" s="152">
        <v>36</v>
      </c>
      <c r="B92" s="174" t="str">
        <f>'Pay App 1'!B92</f>
        <v>07 90 00</v>
      </c>
      <c r="C92" s="179" t="str">
        <f>'Pay App 1'!C92</f>
        <v>Joint Sealants</v>
      </c>
      <c r="D92" s="155">
        <f>'Pay App 1'!D92</f>
        <v>0</v>
      </c>
      <c r="E92" s="155">
        <f>VLOOKUP(B92,'Graph Data'!$O$2:$BX$88,58,FALSE)</f>
        <v>0</v>
      </c>
      <c r="F92" s="155">
        <f>IFERROR(E92+'Pay App 55'!F92,"")</f>
        <v>0</v>
      </c>
      <c r="G92" s="155">
        <f>SUM('Pay App 1:Pay App 55'!H92)</f>
        <v>0</v>
      </c>
      <c r="H92" s="154"/>
      <c r="I92" s="155">
        <f t="shared" si="0"/>
        <v>0</v>
      </c>
      <c r="J92" s="156">
        <f t="shared" si="1"/>
        <v>0</v>
      </c>
      <c r="K92" s="155">
        <f t="shared" si="2"/>
        <v>0</v>
      </c>
      <c r="L92" s="155" t="str">
        <f>IF(AND('Summary Sheet'!$E$23="No",$H$33&gt;0,H92&gt;=1),"",IF(AND('Summary Sheet'!$E$23="Yes",H92&lt;&gt;""),H92*'Summary Sheet'!$G$23,""))</f>
        <v/>
      </c>
      <c r="M92" s="154"/>
      <c r="N92" s="155">
        <f>SUM('Pay App 1:Pay App 56'!L92)+SUM('Pay App 1:Pay App 56'!M92)</f>
        <v>0</v>
      </c>
    </row>
    <row r="93" spans="1:14" ht="11.25" customHeight="1" x14ac:dyDescent="0.25">
      <c r="A93" s="152">
        <v>37</v>
      </c>
      <c r="B93" s="174" t="str">
        <f>'Pay App 1'!B93</f>
        <v>07 95 00</v>
      </c>
      <c r="C93" s="179" t="str">
        <f>'Pay App 1'!C93</f>
        <v>Expansion Joints</v>
      </c>
      <c r="D93" s="155">
        <f>'Pay App 1'!D93</f>
        <v>0</v>
      </c>
      <c r="E93" s="155">
        <f>VLOOKUP(B93,'Graph Data'!$O$2:$BX$88,58,FALSE)</f>
        <v>0</v>
      </c>
      <c r="F93" s="155">
        <f>IFERROR(E93+'Pay App 55'!F93,"")</f>
        <v>0</v>
      </c>
      <c r="G93" s="155">
        <f>SUM('Pay App 1:Pay App 55'!H93)</f>
        <v>0</v>
      </c>
      <c r="H93" s="154"/>
      <c r="I93" s="155">
        <f t="shared" si="0"/>
        <v>0</v>
      </c>
      <c r="J93" s="156">
        <f t="shared" si="1"/>
        <v>0</v>
      </c>
      <c r="K93" s="155">
        <f t="shared" si="2"/>
        <v>0</v>
      </c>
      <c r="L93" s="155" t="str">
        <f>IF(AND('Summary Sheet'!$E$23="No",$H$33&gt;0,H93&gt;=1),"",IF(AND('Summary Sheet'!$E$23="Yes",H93&lt;&gt;""),H93*'Summary Sheet'!$G$23,""))</f>
        <v/>
      </c>
      <c r="M93" s="154"/>
      <c r="N93" s="155">
        <f>SUM('Pay App 1:Pay App 56'!L93)+SUM('Pay App 1:Pay App 56'!M93)</f>
        <v>0</v>
      </c>
    </row>
    <row r="94" spans="1:14" ht="11.25" customHeight="1" x14ac:dyDescent="0.25">
      <c r="A94" s="152">
        <v>38</v>
      </c>
      <c r="B94" s="175" t="str">
        <f>'Pay App 1'!B94</f>
        <v>08 10 00</v>
      </c>
      <c r="C94" s="180" t="str">
        <f>'Pay App 1'!C94</f>
        <v>Doors, Frames &amp; Hardware</v>
      </c>
      <c r="D94" s="155">
        <f>'Pay App 1'!D94</f>
        <v>0</v>
      </c>
      <c r="E94" s="155">
        <f>VLOOKUP(B94,'Graph Data'!$O$2:$BX$88,58,FALSE)</f>
        <v>0</v>
      </c>
      <c r="F94" s="155">
        <f>IFERROR(E94+'Pay App 55'!F94,"")</f>
        <v>0</v>
      </c>
      <c r="G94" s="155">
        <f>SUM('Pay App 1:Pay App 55'!H94)</f>
        <v>0</v>
      </c>
      <c r="H94" s="154"/>
      <c r="I94" s="155">
        <f t="shared" si="0"/>
        <v>0</v>
      </c>
      <c r="J94" s="156">
        <f t="shared" si="1"/>
        <v>0</v>
      </c>
      <c r="K94" s="155">
        <f t="shared" si="2"/>
        <v>0</v>
      </c>
      <c r="L94" s="155" t="str">
        <f>IF(AND('Summary Sheet'!$E$23="No",$H$33&gt;0,H94&gt;=1),"",IF(AND('Summary Sheet'!$E$23="Yes",H94&lt;&gt;""),H94*'Summary Sheet'!$G$23,""))</f>
        <v/>
      </c>
      <c r="M94" s="154"/>
      <c r="N94" s="155">
        <f>SUM('Pay App 1:Pay App 56'!L94)+SUM('Pay App 1:Pay App 56'!M94)</f>
        <v>0</v>
      </c>
    </row>
    <row r="95" spans="1:14" ht="11.25" customHeight="1" x14ac:dyDescent="0.25">
      <c r="A95" s="152">
        <v>39</v>
      </c>
      <c r="B95" s="175" t="str">
        <f>'Pay App 1'!B95</f>
        <v>08 30 00</v>
      </c>
      <c r="C95" s="180" t="str">
        <f>'Pay App 1'!C95</f>
        <v>Specialty Doors</v>
      </c>
      <c r="D95" s="155">
        <f>'Pay App 1'!D95</f>
        <v>0</v>
      </c>
      <c r="E95" s="155">
        <f>VLOOKUP(B95,'Graph Data'!$O$2:$BX$88,58,FALSE)</f>
        <v>0</v>
      </c>
      <c r="F95" s="155">
        <f>IFERROR(E95+'Pay App 55'!F95,"")</f>
        <v>0</v>
      </c>
      <c r="G95" s="155">
        <f>SUM('Pay App 1:Pay App 55'!H95)</f>
        <v>0</v>
      </c>
      <c r="H95" s="154"/>
      <c r="I95" s="155">
        <f t="shared" si="0"/>
        <v>0</v>
      </c>
      <c r="J95" s="156">
        <f t="shared" si="1"/>
        <v>0</v>
      </c>
      <c r="K95" s="155">
        <f t="shared" si="2"/>
        <v>0</v>
      </c>
      <c r="L95" s="155" t="str">
        <f>IF(AND('Summary Sheet'!$E$23="No",$H$33&gt;0,H95&gt;=1),"",IF(AND('Summary Sheet'!$E$23="Yes",H95&lt;&gt;""),H95*'Summary Sheet'!$G$23,""))</f>
        <v/>
      </c>
      <c r="M95" s="154"/>
      <c r="N95" s="155">
        <f>SUM('Pay App 1:Pay App 56'!L95)+SUM('Pay App 1:Pay App 56'!M95)</f>
        <v>0</v>
      </c>
    </row>
    <row r="96" spans="1:14" ht="11.25" customHeight="1" x14ac:dyDescent="0.25">
      <c r="A96" s="152">
        <v>40</v>
      </c>
      <c r="B96" s="175" t="str">
        <f>'Pay App 1'!B96</f>
        <v>08 33 00</v>
      </c>
      <c r="C96" s="180" t="str">
        <f>'Pay App 1'!C96</f>
        <v>Overhead Doors/Coiling Doors</v>
      </c>
      <c r="D96" s="155">
        <f>'Pay App 1'!D96</f>
        <v>0</v>
      </c>
      <c r="E96" s="155">
        <f>VLOOKUP(B96,'Graph Data'!$O$2:$BX$88,58,FALSE)</f>
        <v>0</v>
      </c>
      <c r="F96" s="155">
        <f>IFERROR(E96+'Pay App 55'!F96,"")</f>
        <v>0</v>
      </c>
      <c r="G96" s="155">
        <f>SUM('Pay App 1:Pay App 55'!H96)</f>
        <v>0</v>
      </c>
      <c r="H96" s="154"/>
      <c r="I96" s="155">
        <f t="shared" si="0"/>
        <v>0</v>
      </c>
      <c r="J96" s="156">
        <f t="shared" si="1"/>
        <v>0</v>
      </c>
      <c r="K96" s="155">
        <f t="shared" si="2"/>
        <v>0</v>
      </c>
      <c r="L96" s="155" t="str">
        <f>IF(AND('Summary Sheet'!$E$23="No",$H$33&gt;0,H96&gt;=1),"",IF(AND('Summary Sheet'!$E$23="Yes",H96&lt;&gt;""),H96*'Summary Sheet'!$G$23,""))</f>
        <v/>
      </c>
      <c r="M96" s="154"/>
      <c r="N96" s="155">
        <f>SUM('Pay App 1:Pay App 56'!L96)+SUM('Pay App 1:Pay App 56'!M96)</f>
        <v>0</v>
      </c>
    </row>
    <row r="97" spans="1:15" ht="11.25" customHeight="1" x14ac:dyDescent="0.25">
      <c r="A97" s="152">
        <v>41</v>
      </c>
      <c r="B97" s="175" t="str">
        <f>'Pay App 1'!B97</f>
        <v>08 40 00</v>
      </c>
      <c r="C97" s="180" t="str">
        <f>'Pay App 1'!C97</f>
        <v>Curtain Wall, Glass &amp; Glazing</v>
      </c>
      <c r="D97" s="155">
        <f>'Pay App 1'!D97</f>
        <v>0</v>
      </c>
      <c r="E97" s="155">
        <f>VLOOKUP(B97,'Graph Data'!$O$2:$BX$88,58,FALSE)</f>
        <v>0</v>
      </c>
      <c r="F97" s="155">
        <f>IFERROR(E97+'Pay App 55'!F97,"")</f>
        <v>0</v>
      </c>
      <c r="G97" s="155">
        <f>SUM('Pay App 1:Pay App 55'!H97)</f>
        <v>0</v>
      </c>
      <c r="H97" s="154"/>
      <c r="I97" s="155">
        <f t="shared" si="0"/>
        <v>0</v>
      </c>
      <c r="J97" s="156">
        <f t="shared" si="1"/>
        <v>0</v>
      </c>
      <c r="K97" s="155">
        <f t="shared" si="2"/>
        <v>0</v>
      </c>
      <c r="L97" s="155" t="str">
        <f>IF(AND('Summary Sheet'!$E$23="No",$H$33&gt;0,H97&gt;=1),"",IF(AND('Summary Sheet'!$E$23="Yes",H97&lt;&gt;""),H97*'Summary Sheet'!$G$23,""))</f>
        <v/>
      </c>
      <c r="M97" s="154"/>
      <c r="N97" s="155">
        <f>SUM('Pay App 1:Pay App 56'!L97)+SUM('Pay App 1:Pay App 56'!M97)</f>
        <v>0</v>
      </c>
    </row>
    <row r="98" spans="1:15" ht="10.9" customHeight="1" x14ac:dyDescent="0.25">
      <c r="A98" s="152">
        <v>42</v>
      </c>
      <c r="B98" s="175" t="str">
        <f>'Pay App 1'!B98</f>
        <v>08 60 00</v>
      </c>
      <c r="C98" s="180" t="str">
        <f>'Pay App 1'!C98</f>
        <v>Skylights</v>
      </c>
      <c r="D98" s="155">
        <f>'Pay App 1'!D98</f>
        <v>0</v>
      </c>
      <c r="E98" s="155">
        <f>VLOOKUP(B98,'Graph Data'!$O$2:$BX$88,58,FALSE)</f>
        <v>0</v>
      </c>
      <c r="F98" s="155">
        <f>IFERROR(E98+'Pay App 55'!F98,"")</f>
        <v>0</v>
      </c>
      <c r="G98" s="155">
        <f>SUM('Pay App 1:Pay App 55'!H98)</f>
        <v>0</v>
      </c>
      <c r="H98" s="154"/>
      <c r="I98" s="155">
        <f t="shared" si="0"/>
        <v>0</v>
      </c>
      <c r="J98" s="156">
        <f t="shared" si="1"/>
        <v>0</v>
      </c>
      <c r="K98" s="155">
        <f t="shared" si="2"/>
        <v>0</v>
      </c>
      <c r="L98" s="155" t="str">
        <f>IF(AND('Summary Sheet'!$E$23="No",$H$33&gt;0,H98&gt;=1),"",IF(AND('Summary Sheet'!$E$23="Yes",H98&lt;&gt;""),H98*'Summary Sheet'!$G$23,""))</f>
        <v/>
      </c>
      <c r="M98" s="154"/>
      <c r="N98" s="155">
        <f>SUM('Pay App 1:Pay App 56'!L98)+SUM('Pay App 1:Pay App 56'!M98)</f>
        <v>0</v>
      </c>
    </row>
    <row r="99" spans="1:15" ht="10.9" customHeight="1" x14ac:dyDescent="0.25">
      <c r="A99" s="152">
        <v>43</v>
      </c>
      <c r="B99" s="175" t="str">
        <f>'Pay App 1'!B99</f>
        <v>08 90 00</v>
      </c>
      <c r="C99" s="180" t="str">
        <f>'Pay App 1'!C99</f>
        <v>Louvers &amp; Vents</v>
      </c>
      <c r="D99" s="155">
        <f>'Pay App 1'!D99</f>
        <v>0</v>
      </c>
      <c r="E99" s="155">
        <f>VLOOKUP(B99,'Graph Data'!$O$2:$BX$88,58,FALSE)</f>
        <v>0</v>
      </c>
      <c r="F99" s="155">
        <f>IFERROR(E99+'Pay App 55'!F99,"")</f>
        <v>0</v>
      </c>
      <c r="G99" s="155">
        <f>SUM('Pay App 1:Pay App 55'!H99)</f>
        <v>0</v>
      </c>
      <c r="H99" s="154"/>
      <c r="I99" s="155">
        <f t="shared" si="0"/>
        <v>0</v>
      </c>
      <c r="J99" s="156">
        <f t="shared" si="1"/>
        <v>0</v>
      </c>
      <c r="K99" s="155">
        <f t="shared" si="2"/>
        <v>0</v>
      </c>
      <c r="L99" s="155" t="str">
        <f>IF(AND('Summary Sheet'!$E$23="No",$H$33&gt;0,H99&gt;=1),"",IF(AND('Summary Sheet'!$E$23="Yes",H99&lt;&gt;""),H99*'Summary Sheet'!$G$23,""))</f>
        <v/>
      </c>
      <c r="M99" s="154"/>
      <c r="N99" s="155">
        <f>SUM('Pay App 1:Pay App 56'!L99)+SUM('Pay App 1:Pay App 56'!M99)</f>
        <v>0</v>
      </c>
    </row>
    <row r="100" spans="1:15" ht="11.25" customHeight="1" x14ac:dyDescent="0.25">
      <c r="A100" s="153">
        <v>44</v>
      </c>
      <c r="B100" s="176" t="str">
        <f>'Pay App 1'!B100</f>
        <v>09 20 00</v>
      </c>
      <c r="C100" s="181" t="str">
        <f>'Pay App 1'!C100</f>
        <v>Gypsum Board Systems</v>
      </c>
      <c r="D100" s="155">
        <f>'Pay App 1'!D100</f>
        <v>0</v>
      </c>
      <c r="E100" s="155">
        <f>VLOOKUP(B100,'Graph Data'!$O$2:$BX$88,58,FALSE)</f>
        <v>0</v>
      </c>
      <c r="F100" s="155">
        <f>IFERROR(E100+'Pay App 55'!F100,"")</f>
        <v>0</v>
      </c>
      <c r="G100" s="155">
        <f>SUM('Pay App 1:Pay App 55'!H100)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56'!L100)+SUM('Pay App 1:Pay App 56'!M100)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56.2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Data'!$O$2:$BX$88,58,FALSE)</f>
        <v>0</v>
      </c>
      <c r="F106" s="155">
        <f>IFERROR(E106+'Pay App 55'!F106,"")</f>
        <v>0</v>
      </c>
      <c r="G106" s="155">
        <f>SUM('Pay App 1:Pay App 55'!H106)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56'!L106)+SUM('Pay App 1:Pay App 56'!M106)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Data'!$O$2:$BX$88,58,FALSE)</f>
        <v>0</v>
      </c>
      <c r="F107" s="155">
        <f>IFERROR(E107+'Pay App 55'!F107,"")</f>
        <v>0</v>
      </c>
      <c r="G107" s="155">
        <f>SUM('Pay App 1:Pay App 55'!H107)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56'!L107)+SUM('Pay App 1:Pay App 56'!M107)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Data'!$O$2:$BX$88,58,FALSE)</f>
        <v>0</v>
      </c>
      <c r="F108" s="155">
        <f>IFERROR(E108+'Pay App 55'!F108,"")</f>
        <v>0</v>
      </c>
      <c r="G108" s="155">
        <f>SUM('Pay App 1:Pay App 55'!H108)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56'!L108)+SUM('Pay App 1:Pay App 56'!M108)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Data'!$O$2:$BX$88,58,FALSE)</f>
        <v>0</v>
      </c>
      <c r="F109" s="155">
        <f>IFERROR(E109+'Pay App 55'!F109,"")</f>
        <v>0</v>
      </c>
      <c r="G109" s="155">
        <f>SUM('Pay App 1:Pay App 55'!H109)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56'!L109)+SUM('Pay App 1:Pay App 56'!M109)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Data'!$O$2:$BX$88,58,FALSE)</f>
        <v>0</v>
      </c>
      <c r="F110" s="155">
        <f>IFERROR(E110+'Pay App 55'!F110,"")</f>
        <v>0</v>
      </c>
      <c r="G110" s="155">
        <f>SUM('Pay App 1:Pay App 55'!H110)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56'!L110)+SUM('Pay App 1:Pay App 56'!M110)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Data'!$O$2:$BX$88,58,FALSE)</f>
        <v>0</v>
      </c>
      <c r="F111" s="155">
        <f>IFERROR(E111+'Pay App 55'!F111,"")</f>
        <v>0</v>
      </c>
      <c r="G111" s="155">
        <f>SUM('Pay App 1:Pay App 55'!H111)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56'!L111)+SUM('Pay App 1:Pay App 56'!M111)</f>
        <v>0</v>
      </c>
    </row>
    <row r="112" spans="1:15" ht="11.25" customHeight="1" x14ac:dyDescent="0.25">
      <c r="A112" s="152">
        <f t="shared" si="3"/>
        <v>51</v>
      </c>
      <c r="B112" s="148" t="str">
        <f>'Pay App 1'!B112</f>
        <v>09 90 00</v>
      </c>
      <c r="C112" s="143" t="str">
        <f>'Pay App 1'!C112</f>
        <v>Painting</v>
      </c>
      <c r="D112" s="155">
        <f>'Pay App 1'!D112</f>
        <v>0</v>
      </c>
      <c r="E112" s="155">
        <f>VLOOKUP(B112,'Graph Data'!$O$2:$BX$88,58,FALSE)</f>
        <v>0</v>
      </c>
      <c r="F112" s="155">
        <f>IFERROR(E112+'Pay App 55'!F112,"")</f>
        <v>0</v>
      </c>
      <c r="G112" s="155">
        <f>SUM('Pay App 1:Pay App 55'!H112)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56'!L112)+SUM('Pay App 1:Pay App 56'!M112)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Data'!$O$2:$BX$88,58,FALSE)</f>
        <v>0</v>
      </c>
      <c r="F113" s="155">
        <f>IFERROR(E113+'Pay App 55'!F113,"")</f>
        <v>0</v>
      </c>
      <c r="G113" s="155">
        <f>SUM('Pay App 1:Pay App 55'!H113)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56'!L113)+SUM('Pay App 1:Pay App 56'!M113)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Data'!$O$2:$BX$88,58,FALSE)</f>
        <v>0</v>
      </c>
      <c r="F114" s="155">
        <f>IFERROR(E114+'Pay App 55'!F114,"")</f>
        <v>0</v>
      </c>
      <c r="G114" s="155">
        <f>SUM('Pay App 1:Pay App 55'!H114)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56'!L114)+SUM('Pay App 1:Pay App 56'!M114)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Data'!$O$2:$BX$88,58,FALSE)</f>
        <v>0</v>
      </c>
      <c r="F115" s="155">
        <f>IFERROR(E115+'Pay App 55'!F115,"")</f>
        <v>0</v>
      </c>
      <c r="G115" s="155">
        <f>SUM('Pay App 1:Pay App 55'!H115)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56'!L115)+SUM('Pay App 1:Pay App 56'!M115)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Data'!$O$2:$BX$88,58,FALSE)</f>
        <v>0</v>
      </c>
      <c r="F116" s="155">
        <f>IFERROR(E116+'Pay App 55'!F116,"")</f>
        <v>0</v>
      </c>
      <c r="G116" s="155">
        <f>SUM('Pay App 1:Pay App 55'!H116)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56'!L116)+SUM('Pay App 1:Pay App 56'!M116)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Data'!$O$2:$BX$88,58,FALSE)</f>
        <v>0</v>
      </c>
      <c r="F117" s="155">
        <f>IFERROR(E117+'Pay App 55'!F117,"")</f>
        <v>0</v>
      </c>
      <c r="G117" s="155">
        <f>SUM('Pay App 1:Pay App 55'!H117)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56'!L117)+SUM('Pay App 1:Pay App 56'!M117)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Data'!$O$2:$BX$88,58,FALSE)</f>
        <v>0</v>
      </c>
      <c r="F118" s="155">
        <f>IFERROR(E118+'Pay App 55'!F118,"")</f>
        <v>0</v>
      </c>
      <c r="G118" s="155">
        <f>SUM('Pay App 1:Pay App 55'!H118)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56'!L118)+SUM('Pay App 1:Pay App 56'!M118)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Data'!$O$2:$BX$88,58,FALSE)</f>
        <v>0</v>
      </c>
      <c r="F119" s="155">
        <f>IFERROR(E119+'Pay App 55'!F119,"")</f>
        <v>0</v>
      </c>
      <c r="G119" s="155">
        <f>SUM('Pay App 1:Pay App 55'!H119)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56'!L119)+SUM('Pay App 1:Pay App 56'!M119)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Data'!$O$2:$BX$88,58,FALSE)</f>
        <v>0</v>
      </c>
      <c r="F120" s="155">
        <f>IFERROR(E120+'Pay App 55'!F120,"")</f>
        <v>0</v>
      </c>
      <c r="G120" s="155">
        <f>SUM('Pay App 1:Pay App 55'!H120)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56'!L120)+SUM('Pay App 1:Pay App 56'!M120)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Data'!$O$2:$BX$88,58,FALSE)</f>
        <v>0</v>
      </c>
      <c r="F121" s="155">
        <f>IFERROR(E121+'Pay App 55'!F121,"")</f>
        <v>0</v>
      </c>
      <c r="G121" s="155">
        <f>SUM('Pay App 1:Pay App 55'!H121)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56'!L121)+SUM('Pay App 1:Pay App 56'!M121)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Data'!$O$2:$BX$88,58,FALSE)</f>
        <v>0</v>
      </c>
      <c r="F122" s="155">
        <f>IFERROR(E122+'Pay App 55'!F122,"")</f>
        <v>0</v>
      </c>
      <c r="G122" s="155">
        <f>SUM('Pay App 1:Pay App 55'!H122)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56'!L122)+SUM('Pay App 1:Pay App 56'!M122)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Data'!$O$2:$BX$88,58,FALSE)</f>
        <v>0</v>
      </c>
      <c r="F123" s="155">
        <f>IFERROR(E123+'Pay App 55'!F123,"")</f>
        <v>0</v>
      </c>
      <c r="G123" s="155">
        <f>SUM('Pay App 1:Pay App 55'!H123)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56'!L123)+SUM('Pay App 1:Pay App 56'!M123)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Data'!$O$2:$BX$88,58,FALSE)</f>
        <v>0</v>
      </c>
      <c r="F124" s="155">
        <f>IFERROR(E124+'Pay App 55'!F124,"")</f>
        <v>0</v>
      </c>
      <c r="G124" s="155">
        <f>SUM('Pay App 1:Pay App 55'!H124)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56'!L124)+SUM('Pay App 1:Pay App 56'!M124)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Data'!$O$2:$BX$88,58,FALSE)</f>
        <v>0</v>
      </c>
      <c r="F125" s="155">
        <f>IFERROR(E125+'Pay App 55'!F125,"")</f>
        <v>0</v>
      </c>
      <c r="G125" s="155">
        <f>SUM('Pay App 1:Pay App 55'!H125)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56'!L125)+SUM('Pay App 1:Pay App 56'!M125)</f>
        <v>0</v>
      </c>
    </row>
    <row r="126" spans="1:14" ht="11.25" customHeight="1" x14ac:dyDescent="0.25">
      <c r="A126" s="152">
        <f t="shared" si="3"/>
        <v>65</v>
      </c>
      <c r="B126" s="188" t="str">
        <f>'Pay App 1'!B126</f>
        <v>14 20 00</v>
      </c>
      <c r="C126" s="194" t="str">
        <f>'Pay App 1'!C126</f>
        <v>Elevator</v>
      </c>
      <c r="D126" s="155">
        <f>'Pay App 1'!D126</f>
        <v>0</v>
      </c>
      <c r="E126" s="155">
        <f>VLOOKUP(B126,'Graph Data'!$O$2:$BX$88,58,FALSE)</f>
        <v>0</v>
      </c>
      <c r="F126" s="155">
        <f>IFERROR(E126+'Pay App 55'!F126,"")</f>
        <v>0</v>
      </c>
      <c r="G126" s="155">
        <f>SUM('Pay App 1:Pay App 55'!H126)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56'!L126)+SUM('Pay App 1:Pay App 56'!M126)</f>
        <v>0</v>
      </c>
    </row>
    <row r="127" spans="1:14" ht="11.25" customHeight="1" x14ac:dyDescent="0.25">
      <c r="A127" s="152">
        <f t="shared" si="3"/>
        <v>66</v>
      </c>
      <c r="B127" s="188" t="str">
        <f>'Pay App 1'!B127</f>
        <v>14 40 00</v>
      </c>
      <c r="C127" s="194" t="str">
        <f>'Pay App 1'!C127</f>
        <v>Lifts</v>
      </c>
      <c r="D127" s="155">
        <f>'Pay App 1'!D127</f>
        <v>0</v>
      </c>
      <c r="E127" s="155">
        <f>VLOOKUP(B127,'Graph Data'!$O$2:$BX$88,58,FALSE)</f>
        <v>0</v>
      </c>
      <c r="F127" s="155">
        <f>IFERROR(E127+'Pay App 55'!F127,"")</f>
        <v>0</v>
      </c>
      <c r="G127" s="155">
        <f>SUM('Pay App 1:Pay App 55'!H127)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56'!L127)+SUM('Pay App 1:Pay App 56'!M127)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Data'!$O$2:$BX$88,58,FALSE)</f>
        <v>0</v>
      </c>
      <c r="F128" s="155">
        <f>IFERROR(E128+'Pay App 55'!F128,"")</f>
        <v>0</v>
      </c>
      <c r="G128" s="155">
        <f>SUM('Pay App 1:Pay App 55'!H128)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56'!L128)+SUM('Pay App 1:Pay App 56'!M128)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Data'!$O$2:$BX$88,58,FALSE)</f>
        <v>0</v>
      </c>
      <c r="F129" s="155">
        <f>IFERROR(E129+'Pay App 55'!F129,"")</f>
        <v>0</v>
      </c>
      <c r="G129" s="155">
        <f>SUM('Pay App 1:Pay App 55'!H129)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56'!L129)+SUM('Pay App 1:Pay App 56'!M129)</f>
        <v>0</v>
      </c>
    </row>
    <row r="130" spans="1:14" ht="11.25" customHeight="1" x14ac:dyDescent="0.25">
      <c r="A130" s="152">
        <f t="shared" si="3"/>
        <v>69</v>
      </c>
      <c r="B130" s="185" t="str">
        <f>'Pay App 1'!B130</f>
        <v>22 00 00</v>
      </c>
      <c r="C130" s="191" t="str">
        <f>'Pay App 1'!C130</f>
        <v>Plumbing</v>
      </c>
      <c r="D130" s="155">
        <f>'Pay App 1'!D130</f>
        <v>0</v>
      </c>
      <c r="E130" s="155">
        <f>VLOOKUP(B130,'Graph Data'!$O$2:$BX$88,58,FALSE)</f>
        <v>0</v>
      </c>
      <c r="F130" s="155">
        <f>IFERROR(E130+'Pay App 55'!F130,"")</f>
        <v>0</v>
      </c>
      <c r="G130" s="155">
        <f>SUM('Pay App 1:Pay App 55'!H130)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56'!L130)+SUM('Pay App 1:Pay App 56'!M130)</f>
        <v>0</v>
      </c>
    </row>
    <row r="131" spans="1:14" ht="11.25" customHeight="1" x14ac:dyDescent="0.25">
      <c r="A131" s="152">
        <f t="shared" si="3"/>
        <v>70</v>
      </c>
      <c r="B131" s="186" t="str">
        <f>'Pay App 1'!B131</f>
        <v>23 00 00</v>
      </c>
      <c r="C131" s="192" t="str">
        <f>'Pay App 1'!C131</f>
        <v>HVAC</v>
      </c>
      <c r="D131" s="155">
        <f>'Pay App 1'!D131</f>
        <v>0</v>
      </c>
      <c r="E131" s="155">
        <f>VLOOKUP(B131,'Graph Data'!$O$2:$BX$88,58,FALSE)</f>
        <v>0</v>
      </c>
      <c r="F131" s="155">
        <f>IFERROR(E131+'Pay App 55'!F131,"")</f>
        <v>0</v>
      </c>
      <c r="G131" s="155">
        <f>SUM('Pay App 1:Pay App 55'!H131)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56'!L131)+SUM('Pay App 1:Pay App 56'!M131)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Data'!$O$2:$BX$88,58,FALSE)</f>
        <v>0</v>
      </c>
      <c r="F132" s="155">
        <f>IFERROR(E132+'Pay App 55'!F132,"")</f>
        <v>0</v>
      </c>
      <c r="G132" s="155">
        <f>SUM('Pay App 1:Pay App 55'!H132)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56'!L132)+SUM('Pay App 1:Pay App 56'!M132)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Data'!$O$2:$BX$88,58,FALSE)</f>
        <v>0</v>
      </c>
      <c r="F133" s="155">
        <f>IFERROR(E133+'Pay App 55'!F133,"")</f>
        <v>0</v>
      </c>
      <c r="G133" s="155">
        <f>SUM('Pay App 1:Pay App 55'!H133)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56'!L133)+SUM('Pay App 1:Pay App 56'!M133)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Data'!$O$2:$BX$88,58,FALSE)</f>
        <v>0</v>
      </c>
      <c r="F134" s="155">
        <f>IFERROR(E134+'Pay App 55'!F134,"")</f>
        <v>0</v>
      </c>
      <c r="G134" s="155">
        <f>SUM('Pay App 1:Pay App 55'!H134)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56'!L134)+SUM('Pay App 1:Pay App 56'!M134)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Data'!$O$2:$BX$88,58,FALSE)</f>
        <v>0</v>
      </c>
      <c r="F135" s="155">
        <f>IFERROR(E135+'Pay App 55'!F135,"")</f>
        <v>0</v>
      </c>
      <c r="G135" s="155">
        <f>SUM('Pay App 1:Pay App 55'!H135)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56'!L135)+SUM('Pay App 1:Pay App 56'!M135)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Data'!$O$2:$BX$88,58,FALSE)</f>
        <v>0</v>
      </c>
      <c r="F136" s="155">
        <f>IFERROR(E136+'Pay App 55'!F136,"")</f>
        <v>0</v>
      </c>
      <c r="G136" s="155">
        <f>SUM('Pay App 1:Pay App 55'!H136)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56'!L136)+SUM('Pay App 1:Pay App 56'!M136)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Data'!$O$2:$BX$88,58,FALSE)</f>
        <v>0</v>
      </c>
      <c r="F137" s="155">
        <f>IFERROR(E137+'Pay App 55'!F137,"")</f>
        <v>0</v>
      </c>
      <c r="G137" s="155">
        <f>SUM('Pay App 1:Pay App 55'!H137)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56'!L137)+SUM('Pay App 1:Pay App 56'!M137)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Data'!$O$2:$BX$88,58,FALSE)</f>
        <v>0</v>
      </c>
      <c r="F138" s="155">
        <f>IFERROR(E138+'Pay App 55'!F138,"")</f>
        <v>0</v>
      </c>
      <c r="G138" s="155">
        <f>SUM('Pay App 1:Pay App 55'!H138)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56'!L138)+SUM('Pay App 1:Pay App 56'!M138)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Data'!$O$2:$BX$88,58,FALSE)</f>
        <v>0</v>
      </c>
      <c r="F139" s="155">
        <f>IFERROR(E139+'Pay App 55'!F139,"")</f>
        <v>0</v>
      </c>
      <c r="G139" s="155">
        <f>SUM('Pay App 1:Pay App 55'!H139)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56'!L139)+SUM('Pay App 1:Pay App 56'!M139)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Data'!$O$2:$BX$88,58,FALSE)</f>
        <v>0</v>
      </c>
      <c r="F140" s="155">
        <f>IFERROR(E140+'Pay App 55'!F140,"")</f>
        <v>0</v>
      </c>
      <c r="G140" s="155">
        <f>SUM('Pay App 1:Pay App 55'!H140)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56'!L140)+SUM('Pay App 1:Pay App 56'!M140)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Data'!$O$2:$BX$88,58,FALSE)</f>
        <v>0</v>
      </c>
      <c r="F141" s="155">
        <f>IFERROR(E141+'Pay App 55'!F141,"")</f>
        <v>0</v>
      </c>
      <c r="G141" s="155">
        <f>SUM('Pay App 1:Pay App 55'!H141)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56'!L141)+SUM('Pay App 1:Pay App 56'!M141)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Data'!$O$2:$BX$88,58,FALSE)</f>
        <v>0</v>
      </c>
      <c r="F142" s="155">
        <f>IFERROR(E142+'Pay App 55'!F142,"")</f>
        <v>0</v>
      </c>
      <c r="G142" s="155">
        <f>SUM('Pay App 1:Pay App 55'!H142)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56'!L142)+SUM('Pay App 1:Pay App 56'!M142)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Data'!$O$2:$BX$88,58,FALSE)</f>
        <v>0</v>
      </c>
      <c r="F143" s="155">
        <f>IFERROR(E143+'Pay App 55'!F143,"")</f>
        <v>0</v>
      </c>
      <c r="G143" s="155">
        <f>SUM('Pay App 1:Pay App 55'!H143)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56'!L143)+SUM('Pay App 1:Pay App 56'!M143)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Data'!$O$2:$BX$88,58,FALSE)</f>
        <v>0</v>
      </c>
      <c r="F144" s="155">
        <f>IFERROR(E144+'Pay App 55'!F144,"")</f>
        <v>0</v>
      </c>
      <c r="G144" s="155">
        <f>SUM('Pay App 1:Pay App 55'!H144)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56'!L144)+SUM('Pay App 1:Pay App 56'!M144)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Data'!$O$2:$BX$88,58,FALSE)</f>
        <v>0</v>
      </c>
      <c r="F145" s="155">
        <f>IFERROR(E145+'Pay App 55'!F145,"")</f>
        <v>0</v>
      </c>
      <c r="G145" s="155">
        <f>SUM('Pay App 1:Pay App 55'!H145)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56'!L145)+SUM('Pay App 1:Pay App 56'!M145)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Data'!$O$2:$BX$88,58,FALSE)</f>
        <v>0</v>
      </c>
      <c r="F146" s="155">
        <f>IFERROR(E146+'Pay App 55'!F146,"")</f>
        <v>0</v>
      </c>
      <c r="G146" s="155">
        <f>SUM('Pay App 1:Pay App 55'!H146)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56'!L146)+SUM('Pay App 1:Pay App 56'!M146)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Data'!$O$2:$BX$88,58,FALSE)</f>
        <v>0</v>
      </c>
      <c r="F147" s="155">
        <f>IFERROR(E147+'Pay App 55'!F147,"")</f>
        <v>0</v>
      </c>
      <c r="G147" s="155">
        <f>SUM('Pay App 1:Pay App 55'!H147)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56'!L147)+SUM('Pay App 1:Pay App 56'!M147)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Data'!$O$2:$BX$88,58,FALSE)</f>
        <v>0</v>
      </c>
      <c r="F148" s="155">
        <f>IFERROR(E148+'Pay App 55'!F148,"")</f>
        <v>0</v>
      </c>
      <c r="G148" s="155">
        <f>SUM('Pay App 1:Pay App 55'!H148)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56'!L148)+SUM('Pay App 1:Pay App 56'!M148)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I5mcTMqfo+URZW3QFehkC48XFm8Wleaa/BCjlDbTqFE//G1DQW4D6MxSBn4wx8vLarCDuEiZWw/xQ7xhQjf84w==" saltValue="0zrZDdkNz8zE9nlrkIg0z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54" priority="2" operator="equal">
      <formula>0</formula>
    </cfRule>
  </conditionalFormatting>
  <conditionalFormatting sqref="D106:G148">
    <cfRule type="cellIs" dxfId="53" priority="1" operator="equal">
      <formula>0</formula>
    </cfRule>
  </conditionalFormatting>
  <conditionalFormatting sqref="D10:H10 D12:H14 D19:H21">
    <cfRule type="cellIs" dxfId="52" priority="6" operator="equal">
      <formula>0</formula>
    </cfRule>
  </conditionalFormatting>
  <conditionalFormatting sqref="H51">
    <cfRule type="cellIs" dxfId="51" priority="9" operator="lessThan">
      <formula>0</formula>
    </cfRule>
  </conditionalFormatting>
  <conditionalFormatting sqref="I57:I100 K57:K100 I106:I148 K106:K148 N106:N148">
    <cfRule type="cellIs" dxfId="50" priority="14" operator="equal">
      <formula>0</formula>
    </cfRule>
  </conditionalFormatting>
  <conditionalFormatting sqref="J57:J100 J106:J149">
    <cfRule type="cellIs" dxfId="49" priority="11" operator="greaterThan">
      <formula>1</formula>
    </cfRule>
    <cfRule type="cellIs" dxfId="48" priority="12" operator="equal">
      <formula>0</formula>
    </cfRule>
  </conditionalFormatting>
  <conditionalFormatting sqref="K57:K100 K106:K148">
    <cfRule type="cellIs" dxfId="47" priority="10" operator="lessThan">
      <formula>0</formula>
    </cfRule>
  </conditionalFormatting>
  <conditionalFormatting sqref="M57:M100">
    <cfRule type="cellIs" dxfId="46" priority="13" operator="lessThan">
      <formula>0</formula>
    </cfRule>
  </conditionalFormatting>
  <conditionalFormatting sqref="M106:M148">
    <cfRule type="cellIs" dxfId="45" priority="8" operator="lessThan">
      <formula>0</formula>
    </cfRule>
  </conditionalFormatting>
  <conditionalFormatting sqref="N57:N100">
    <cfRule type="cellIs" dxfId="44"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184BEEC3-DFB2-4118-B384-6CAD9A416A34}">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D159E3DC-0F72-4CF7-9F10-71D2641BFCD3}">
          <x14:formula1>
            <xm:f>'Graph Data'!$M$74:$M$76</xm:f>
          </x14:formula1>
          <xm:sqref>G17</xm:sqref>
        </x14:dataValidation>
      </x14:dataValidation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03424-B94A-4D73-8CB4-70A3275860E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57</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57'!E149)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57'!G41)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56'!H49)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57.1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Data'!$O$2:$BX$88,59,FALSE)</f>
        <v>0</v>
      </c>
      <c r="F57" s="155">
        <f>IFERROR(E57+'Pay App 56'!F57,"")</f>
        <v>0</v>
      </c>
      <c r="G57" s="155">
        <f>SUM('Pay App 1:Pay App 56'!H57)</f>
        <v>0</v>
      </c>
      <c r="H57" s="154"/>
      <c r="I57" s="155">
        <f>G57+H57</f>
        <v>0</v>
      </c>
      <c r="J57" s="156">
        <f>IFERROR(I57/F57,0)</f>
        <v>0</v>
      </c>
      <c r="K57" s="155">
        <f>IFERROR(F57-I57,"")</f>
        <v>0</v>
      </c>
      <c r="L57" s="155" t="str">
        <f>IF(AND('Summary Sheet'!$E$23="No",$H$33&gt;0,H57&gt;=1),"",IF(AND('Summary Sheet'!$E$23="Yes",H57&lt;&gt;""),H57*'Summary Sheet'!$G$23,""))</f>
        <v/>
      </c>
      <c r="M57" s="154"/>
      <c r="N57" s="155">
        <f>SUM('Pay App 1:Pay App 57'!L57)+SUM('Pay App 1:Pay App 57'!M57)</f>
        <v>0</v>
      </c>
    </row>
    <row r="58" spans="1:16" ht="11.25" customHeight="1" x14ac:dyDescent="0.25">
      <c r="A58" s="152">
        <v>2</v>
      </c>
      <c r="B58" s="145" t="str">
        <f>'Pay App 1'!B58</f>
        <v>00 02 00</v>
      </c>
      <c r="C58" s="134" t="str">
        <f>'Pay App 1'!C58</f>
        <v>Preconstruction Services</v>
      </c>
      <c r="D58" s="155">
        <f>'Pay App 1'!D58</f>
        <v>0</v>
      </c>
      <c r="E58" s="155">
        <f>VLOOKUP(B58,'Graph Data'!$O$2:$BX$88,59,FALSE)</f>
        <v>0</v>
      </c>
      <c r="F58" s="155">
        <f>IFERROR(E58+'Pay App 56'!F58,"")</f>
        <v>0</v>
      </c>
      <c r="G58" s="155">
        <f>SUM('Pay App 1:Pay App 56'!H58)</f>
        <v>0</v>
      </c>
      <c r="H58" s="154"/>
      <c r="I58" s="155">
        <f>G58+H58</f>
        <v>0</v>
      </c>
      <c r="J58" s="156">
        <f>IFERROR(I58/F58,0)</f>
        <v>0</v>
      </c>
      <c r="K58" s="155">
        <f>IFERROR(F58-I58,"")</f>
        <v>0</v>
      </c>
      <c r="L58" s="155" t="str">
        <f>IF(AND('Summary Sheet'!$E$23="No",$H$33&gt;0,H58&gt;=1),"",IF(AND('Summary Sheet'!$E$23="Yes",H58&lt;&gt;""),H58*'Summary Sheet'!$G$23,""))</f>
        <v/>
      </c>
      <c r="M58" s="154"/>
      <c r="N58" s="155">
        <f>SUM('Pay App 1:Pay App 57'!L58)+SUM('Pay App 1:Pay App 57'!M58)</f>
        <v>0</v>
      </c>
    </row>
    <row r="59" spans="1:16" ht="11.25" customHeight="1" x14ac:dyDescent="0.25">
      <c r="A59" s="152">
        <v>3</v>
      </c>
      <c r="B59" s="174" t="str">
        <f>'Pay App 1'!B59</f>
        <v>01 00 00</v>
      </c>
      <c r="C59" s="179" t="str">
        <f>'Pay App 1'!C59</f>
        <v>General Conditions/Requirements</v>
      </c>
      <c r="D59" s="155">
        <f>'Pay App 1'!D59</f>
        <v>0</v>
      </c>
      <c r="E59" s="155">
        <f>VLOOKUP(B59,'Graph Data'!$O$2:$BX$88,59,FALSE)</f>
        <v>0</v>
      </c>
      <c r="F59" s="155">
        <f>IFERROR(E59+'Pay App 56'!F59,"")</f>
        <v>0</v>
      </c>
      <c r="G59" s="155">
        <f>SUM('Pay App 1:Pay App 56'!H59)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57'!L59)+SUM('Pay App 1:Pay App 57'!M59)</f>
        <v>0</v>
      </c>
    </row>
    <row r="60" spans="1:16" ht="11.25" customHeight="1" x14ac:dyDescent="0.25">
      <c r="A60" s="152">
        <v>4</v>
      </c>
      <c r="B60" s="174" t="str">
        <f>'Pay App 1'!B60</f>
        <v>01 13 41</v>
      </c>
      <c r="C60" s="179" t="str">
        <f>'Pay App 1'!C60</f>
        <v>Temp. Scaffolding and Platforms</v>
      </c>
      <c r="D60" s="155">
        <f>'Pay App 1'!D60</f>
        <v>0</v>
      </c>
      <c r="E60" s="155">
        <f>VLOOKUP(B60,'Graph Data'!$O$2:$BX$88,59,FALSE)</f>
        <v>0</v>
      </c>
      <c r="F60" s="155">
        <f>IFERROR(E60+'Pay App 56'!F60,"")</f>
        <v>0</v>
      </c>
      <c r="G60" s="155">
        <f>SUM('Pay App 1:Pay App 56'!H60)</f>
        <v>0</v>
      </c>
      <c r="H60" s="154"/>
      <c r="I60" s="155">
        <f t="shared" si="0"/>
        <v>0</v>
      </c>
      <c r="J60" s="156">
        <f t="shared" si="1"/>
        <v>0</v>
      </c>
      <c r="K60" s="155">
        <f t="shared" si="2"/>
        <v>0</v>
      </c>
      <c r="L60" s="155" t="str">
        <f>IF(AND('Summary Sheet'!$E$23="No",$H$33&gt;0,H60&gt;=1),"",IF(AND('Summary Sheet'!$E$23="Yes",H60&lt;&gt;""),H60*'Summary Sheet'!$G$23,""))</f>
        <v/>
      </c>
      <c r="M60" s="154"/>
      <c r="N60" s="155">
        <f>SUM('Pay App 1:Pay App 57'!L60)+SUM('Pay App 1:Pay App 57'!M60)</f>
        <v>0</v>
      </c>
    </row>
    <row r="61" spans="1:16" ht="11.25" customHeight="1" x14ac:dyDescent="0.25">
      <c r="A61" s="152">
        <v>5</v>
      </c>
      <c r="B61" s="174" t="str">
        <f>'Pay App 1'!B61</f>
        <v>01 13 60</v>
      </c>
      <c r="C61" s="179" t="str">
        <f>'Pay App 1'!C61</f>
        <v>SWPPP</v>
      </c>
      <c r="D61" s="155">
        <f>'Pay App 1'!D61</f>
        <v>0</v>
      </c>
      <c r="E61" s="155">
        <f>VLOOKUP(B61,'Graph Data'!$O$2:$BX$88,59,FALSE)</f>
        <v>0</v>
      </c>
      <c r="F61" s="155">
        <f>IFERROR(E61+'Pay App 56'!F61,"")</f>
        <v>0</v>
      </c>
      <c r="G61" s="155">
        <f>SUM('Pay App 1:Pay App 56'!H61)</f>
        <v>0</v>
      </c>
      <c r="H61" s="154"/>
      <c r="I61" s="155">
        <f t="shared" si="0"/>
        <v>0</v>
      </c>
      <c r="J61" s="156">
        <f t="shared" si="1"/>
        <v>0</v>
      </c>
      <c r="K61" s="155">
        <f t="shared" si="2"/>
        <v>0</v>
      </c>
      <c r="L61" s="155" t="str">
        <f>IF(AND('Summary Sheet'!$E$23="No",$H$33&gt;0,H61&gt;=1),"",IF(AND('Summary Sheet'!$E$23="Yes",H61&lt;&gt;""),H61*'Summary Sheet'!$G$23,""))</f>
        <v/>
      </c>
      <c r="M61" s="154"/>
      <c r="N61" s="155">
        <f>SUM('Pay App 1:Pay App 57'!L61)+SUM('Pay App 1:Pay App 57'!M61)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Data'!$O$2:$BX$88,59,FALSE)</f>
        <v>0</v>
      </c>
      <c r="F62" s="155">
        <f>IFERROR(E62+'Pay App 56'!F62,"")</f>
        <v>0</v>
      </c>
      <c r="G62" s="155">
        <f>SUM('Pay App 1:Pay App 56'!H62)</f>
        <v>0</v>
      </c>
      <c r="H62" s="154"/>
      <c r="I62" s="155">
        <f t="shared" si="0"/>
        <v>0</v>
      </c>
      <c r="J62" s="156">
        <f t="shared" si="1"/>
        <v>0</v>
      </c>
      <c r="K62" s="155">
        <f t="shared" si="2"/>
        <v>0</v>
      </c>
      <c r="L62" s="155" t="str">
        <f>IF(AND('Summary Sheet'!$E$23="No",$H$33&gt;0,H62&gt;=1),"",IF(AND('Summary Sheet'!$E$23="Yes",H62&lt;&gt;""),H62*'Summary Sheet'!$G$23,""))</f>
        <v/>
      </c>
      <c r="M62" s="154"/>
      <c r="N62" s="155">
        <f>SUM('Pay App 1:Pay App 57'!L62)+SUM('Pay App 1:Pay App 57'!M62)</f>
        <v>0</v>
      </c>
    </row>
    <row r="63" spans="1:16" ht="11.25" customHeight="1" x14ac:dyDescent="0.25">
      <c r="A63" s="152">
        <v>7</v>
      </c>
      <c r="B63" s="174" t="str">
        <f>'Pay App 1'!B63</f>
        <v>01 31 00</v>
      </c>
      <c r="C63" s="179" t="str">
        <f>'Pay App 1'!C63</f>
        <v>Contractor's Supervision</v>
      </c>
      <c r="D63" s="155">
        <f>'Pay App 1'!D63</f>
        <v>0</v>
      </c>
      <c r="E63" s="155">
        <f>VLOOKUP(B63,'Graph Data'!$O$2:$BX$88,59,FALSE)</f>
        <v>0</v>
      </c>
      <c r="F63" s="155">
        <f>IFERROR(E63+'Pay App 56'!F63,"")</f>
        <v>0</v>
      </c>
      <c r="G63" s="155">
        <f>SUM('Pay App 1:Pay App 56'!H63)</f>
        <v>0</v>
      </c>
      <c r="H63" s="154"/>
      <c r="I63" s="155">
        <f t="shared" si="0"/>
        <v>0</v>
      </c>
      <c r="J63" s="156">
        <f t="shared" si="1"/>
        <v>0</v>
      </c>
      <c r="K63" s="155">
        <f t="shared" si="2"/>
        <v>0</v>
      </c>
      <c r="L63" s="155" t="str">
        <f>IF(AND('Summary Sheet'!$E$23="No",$H$33&gt;0,H63&gt;=1),"",IF(AND('Summary Sheet'!$E$23="Yes",H63&lt;&gt;""),H63*'Summary Sheet'!$G$23,""))</f>
        <v/>
      </c>
      <c r="M63" s="154"/>
      <c r="N63" s="155">
        <f>SUM('Pay App 1:Pay App 57'!L63)+SUM('Pay App 1:Pay App 57'!M63)</f>
        <v>0</v>
      </c>
    </row>
    <row r="64" spans="1:16" ht="11.25" customHeight="1" x14ac:dyDescent="0.25">
      <c r="A64" s="152">
        <v>8</v>
      </c>
      <c r="B64" s="174" t="str">
        <f>'Pay App 1'!B64</f>
        <v>01 32 00</v>
      </c>
      <c r="C64" s="179" t="str">
        <f>'Pay App 1'!C64</f>
        <v>General Liability Insurance</v>
      </c>
      <c r="D64" s="155">
        <f>'Pay App 1'!D64</f>
        <v>0</v>
      </c>
      <c r="E64" s="155">
        <f>VLOOKUP(B64,'Graph Data'!$O$2:$BX$88,59,FALSE)</f>
        <v>0</v>
      </c>
      <c r="F64" s="155">
        <f>IFERROR(E64+'Pay App 56'!F64,"")</f>
        <v>0</v>
      </c>
      <c r="G64" s="155">
        <f>SUM('Pay App 1:Pay App 56'!H64)</f>
        <v>0</v>
      </c>
      <c r="H64" s="154"/>
      <c r="I64" s="155">
        <f t="shared" si="0"/>
        <v>0</v>
      </c>
      <c r="J64" s="156">
        <f t="shared" si="1"/>
        <v>0</v>
      </c>
      <c r="K64" s="155">
        <f t="shared" si="2"/>
        <v>0</v>
      </c>
      <c r="L64" s="155" t="str">
        <f>IF(AND('Summary Sheet'!$E$23="No",$H$33&gt;0,H64&gt;=1),"",IF(AND('Summary Sheet'!$E$23="Yes",H64&lt;&gt;""),H64*'Summary Sheet'!$G$23,""))</f>
        <v/>
      </c>
      <c r="M64" s="154"/>
      <c r="N64" s="155">
        <f>SUM('Pay App 1:Pay App 57'!L64)+SUM('Pay App 1:Pay App 57'!M64)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Data'!$O$2:$BX$88,59,FALSE)</f>
        <v>0</v>
      </c>
      <c r="F65" s="155">
        <f>IFERROR(E65+'Pay App 56'!F65,"")</f>
        <v>0</v>
      </c>
      <c r="G65" s="155">
        <f>SUM('Pay App 1:Pay App 56'!H65)</f>
        <v>0</v>
      </c>
      <c r="H65" s="154"/>
      <c r="I65" s="155">
        <f t="shared" si="0"/>
        <v>0</v>
      </c>
      <c r="J65" s="156">
        <f t="shared" si="1"/>
        <v>0</v>
      </c>
      <c r="K65" s="155">
        <f t="shared" si="2"/>
        <v>0</v>
      </c>
      <c r="L65" s="155" t="str">
        <f>IF(AND('Summary Sheet'!$E$23="No",$H$33&gt;0,H65&gt;=1),"",IF(AND('Summary Sheet'!$E$23="Yes",H65&lt;&gt;""),H65*'Summary Sheet'!$G$23,""))</f>
        <v/>
      </c>
      <c r="M65" s="154"/>
      <c r="N65" s="155">
        <f>SUM('Pay App 1:Pay App 57'!L65)+SUM('Pay App 1:Pay App 57'!M65)</f>
        <v>0</v>
      </c>
    </row>
    <row r="66" spans="1:17" ht="11.25" customHeight="1" x14ac:dyDescent="0.25">
      <c r="A66" s="152">
        <v>10</v>
      </c>
      <c r="B66" s="174" t="str">
        <f>'Pay App 1'!B66</f>
        <v>01 34 00</v>
      </c>
      <c r="C66" s="179" t="str">
        <f>'Pay App 1'!C66</f>
        <v>Subcontractor Default Insurance</v>
      </c>
      <c r="D66" s="155">
        <f>'Pay App 1'!D66</f>
        <v>0</v>
      </c>
      <c r="E66" s="155">
        <f>VLOOKUP(B66,'Graph Data'!$O$2:$BX$88,59,FALSE)</f>
        <v>0</v>
      </c>
      <c r="F66" s="155">
        <f>IFERROR(E66+'Pay App 56'!F66,"")</f>
        <v>0</v>
      </c>
      <c r="G66" s="155">
        <f>SUM('Pay App 1:Pay App 56'!H66)</f>
        <v>0</v>
      </c>
      <c r="H66" s="154"/>
      <c r="I66" s="155">
        <f t="shared" si="0"/>
        <v>0</v>
      </c>
      <c r="J66" s="156">
        <f t="shared" si="1"/>
        <v>0</v>
      </c>
      <c r="K66" s="155">
        <f t="shared" si="2"/>
        <v>0</v>
      </c>
      <c r="L66" s="155" t="str">
        <f>IF(AND('Summary Sheet'!$E$23="No",$H$33&gt;0,H66&gt;=1),"",IF(AND('Summary Sheet'!$E$23="Yes",H66&lt;&gt;""),H66*'Summary Sheet'!$G$23,""))</f>
        <v/>
      </c>
      <c r="M66" s="154"/>
      <c r="N66" s="155">
        <f>SUM('Pay App 1:Pay App 57'!L66)+SUM('Pay App 1:Pay App 57'!M66)</f>
        <v>0</v>
      </c>
    </row>
    <row r="67" spans="1:17" ht="11.25" customHeight="1" x14ac:dyDescent="0.25">
      <c r="A67" s="152">
        <v>11</v>
      </c>
      <c r="B67" s="174" t="str">
        <f>'Pay App 1'!B67</f>
        <v>01 35 00</v>
      </c>
      <c r="C67" s="179" t="str">
        <f>'Pay App 1'!C67</f>
        <v>Construction Management Fee</v>
      </c>
      <c r="D67" s="155">
        <f>'Pay App 1'!D67</f>
        <v>0</v>
      </c>
      <c r="E67" s="155">
        <f>VLOOKUP(B67,'Graph Data'!$O$2:$BX$88,59,FALSE)</f>
        <v>0</v>
      </c>
      <c r="F67" s="155">
        <f>IFERROR(E67+'Pay App 56'!F67,"")</f>
        <v>0</v>
      </c>
      <c r="G67" s="155">
        <f>SUM('Pay App 1:Pay App 56'!H67)</f>
        <v>0</v>
      </c>
      <c r="H67" s="154"/>
      <c r="I67" s="155">
        <f t="shared" si="0"/>
        <v>0</v>
      </c>
      <c r="J67" s="156">
        <f t="shared" si="1"/>
        <v>0</v>
      </c>
      <c r="K67" s="155">
        <f t="shared" si="2"/>
        <v>0</v>
      </c>
      <c r="L67" s="155" t="str">
        <f>IF(AND('Summary Sheet'!$E$23="No",$H$33&gt;0,H67&gt;=1),"",IF(AND('Summary Sheet'!$E$23="Yes",H67&lt;&gt;""),H67*'Summary Sheet'!$G$23,""))</f>
        <v/>
      </c>
      <c r="M67" s="154"/>
      <c r="N67" s="155">
        <f>SUM('Pay App 1:Pay App 57'!L67)+SUM('Pay App 1:Pay App 57'!M67)</f>
        <v>0</v>
      </c>
    </row>
    <row r="68" spans="1:17" ht="11.25" customHeight="1" x14ac:dyDescent="0.25">
      <c r="A68" s="152">
        <v>12</v>
      </c>
      <c r="B68" s="174" t="str">
        <f>'Pay App 1'!B68</f>
        <v>01 36 00</v>
      </c>
      <c r="C68" s="179" t="str">
        <f>'Pay App 1'!C68</f>
        <v>Contingency</v>
      </c>
      <c r="D68" s="155">
        <f>'Pay App 1'!D68</f>
        <v>0</v>
      </c>
      <c r="E68" s="155">
        <f>VLOOKUP(B68,'Graph Data'!$O$2:$BX$88,59,FALSE)</f>
        <v>0</v>
      </c>
      <c r="F68" s="155">
        <f>IFERROR(E68+'Pay App 56'!F68,"")</f>
        <v>0</v>
      </c>
      <c r="G68" s="155">
        <f>SUM('Pay App 1:Pay App 56'!H68)</f>
        <v>0</v>
      </c>
      <c r="H68" s="154"/>
      <c r="I68" s="155">
        <f t="shared" si="0"/>
        <v>0</v>
      </c>
      <c r="J68" s="156">
        <f t="shared" si="1"/>
        <v>0</v>
      </c>
      <c r="K68" s="155">
        <f t="shared" si="2"/>
        <v>0</v>
      </c>
      <c r="L68" s="155" t="str">
        <f>IF(AND('Summary Sheet'!$E$23="No",$H$33&gt;0,H68&gt;=1),"",IF(AND('Summary Sheet'!$E$23="Yes",H68&lt;&gt;""),H68*'Summary Sheet'!$G$23,""))</f>
        <v/>
      </c>
      <c r="M68" s="154"/>
      <c r="N68" s="155">
        <f>SUM('Pay App 1:Pay App 57'!L68)+SUM('Pay App 1:Pay App 57'!M68)</f>
        <v>0</v>
      </c>
    </row>
    <row r="69" spans="1:17" ht="11.25" customHeight="1" x14ac:dyDescent="0.25">
      <c r="A69" s="152">
        <v>13</v>
      </c>
      <c r="B69" s="174" t="str">
        <f>'Pay App 1'!B69</f>
        <v>01 37 00</v>
      </c>
      <c r="C69" s="179" t="str">
        <f>'Pay App 1'!C69</f>
        <v>Weather Allowance (All Trades)</v>
      </c>
      <c r="D69" s="155">
        <f>'Pay App 1'!D69</f>
        <v>0</v>
      </c>
      <c r="E69" s="155">
        <f>VLOOKUP(B69,'Graph Data'!$O$2:$BX$88,59,FALSE)</f>
        <v>0</v>
      </c>
      <c r="F69" s="155">
        <f>IFERROR(E69+'Pay App 56'!F69,"")</f>
        <v>0</v>
      </c>
      <c r="G69" s="155">
        <f>SUM('Pay App 1:Pay App 56'!H69)</f>
        <v>0</v>
      </c>
      <c r="H69" s="154"/>
      <c r="I69" s="155">
        <f t="shared" si="0"/>
        <v>0</v>
      </c>
      <c r="J69" s="156">
        <f t="shared" si="1"/>
        <v>0</v>
      </c>
      <c r="K69" s="155">
        <f t="shared" si="2"/>
        <v>0</v>
      </c>
      <c r="L69" s="155" t="str">
        <f>IF(AND('Summary Sheet'!$E$23="No",$H$33&gt;0,H69&gt;=1),"",IF(AND('Summary Sheet'!$E$23="Yes",H69&lt;&gt;""),H69*'Summary Sheet'!$G$23,""))</f>
        <v/>
      </c>
      <c r="M69" s="154"/>
      <c r="N69" s="155">
        <f>SUM('Pay App 1:Pay App 57'!L69)+SUM('Pay App 1:Pay App 57'!M69)</f>
        <v>0</v>
      </c>
    </row>
    <row r="70" spans="1:17" ht="11.25" customHeight="1" x14ac:dyDescent="0.25">
      <c r="A70" s="152">
        <v>14</v>
      </c>
      <c r="B70" s="174" t="str">
        <f>'Pay App 1'!B70</f>
        <v>01 74 23</v>
      </c>
      <c r="C70" s="179" t="str">
        <f>'Pay App 1'!C70</f>
        <v>Cleaning (Final)</v>
      </c>
      <c r="D70" s="155">
        <f>'Pay App 1'!D70</f>
        <v>0</v>
      </c>
      <c r="E70" s="155">
        <f>VLOOKUP(B70,'Graph Data'!$O$2:$BX$88,59,FALSE)</f>
        <v>0</v>
      </c>
      <c r="F70" s="155">
        <f>IFERROR(E70+'Pay App 56'!F70,"")</f>
        <v>0</v>
      </c>
      <c r="G70" s="155">
        <f>SUM('Pay App 1:Pay App 56'!H70)</f>
        <v>0</v>
      </c>
      <c r="H70" s="154"/>
      <c r="I70" s="155">
        <f t="shared" si="0"/>
        <v>0</v>
      </c>
      <c r="J70" s="156">
        <f t="shared" si="1"/>
        <v>0</v>
      </c>
      <c r="K70" s="155">
        <f t="shared" si="2"/>
        <v>0</v>
      </c>
      <c r="L70" s="155" t="str">
        <f>IF(AND('Summary Sheet'!$E$23="No",$H$33&gt;0,H70&gt;=1),"",IF(AND('Summary Sheet'!$E$23="Yes",H70&lt;&gt;""),H70*'Summary Sheet'!$G$23,""))</f>
        <v/>
      </c>
      <c r="M70" s="154"/>
      <c r="N70" s="155">
        <f>SUM('Pay App 1:Pay App 57'!L70)+SUM('Pay App 1:Pay App 57'!M70)</f>
        <v>0</v>
      </c>
    </row>
    <row r="71" spans="1:17" ht="11.25" customHeight="1" x14ac:dyDescent="0.25">
      <c r="A71" s="152">
        <v>15</v>
      </c>
      <c r="B71" s="175" t="str">
        <f>'Pay App 1'!B71</f>
        <v>02 21 00</v>
      </c>
      <c r="C71" s="180" t="str">
        <f>'Pay App 1'!C71</f>
        <v>Survey/Engineering</v>
      </c>
      <c r="D71" s="155">
        <f>'Pay App 1'!D71</f>
        <v>0</v>
      </c>
      <c r="E71" s="155">
        <f>VLOOKUP(B71,'Graph Data'!$O$2:$BX$88,59,FALSE)</f>
        <v>0</v>
      </c>
      <c r="F71" s="155">
        <f>IFERROR(E71+'Pay App 56'!F71,"")</f>
        <v>0</v>
      </c>
      <c r="G71" s="155">
        <f>SUM('Pay App 1:Pay App 56'!H71)</f>
        <v>0</v>
      </c>
      <c r="H71" s="154"/>
      <c r="I71" s="155">
        <f t="shared" si="0"/>
        <v>0</v>
      </c>
      <c r="J71" s="156">
        <f t="shared" si="1"/>
        <v>0</v>
      </c>
      <c r="K71" s="155">
        <f t="shared" si="2"/>
        <v>0</v>
      </c>
      <c r="L71" s="155" t="str">
        <f>IF(AND('Summary Sheet'!$E$23="No",$H$33&gt;0,H71&gt;=1),"",IF(AND('Summary Sheet'!$E$23="Yes",H71&lt;&gt;""),H71*'Summary Sheet'!$G$23,""))</f>
        <v/>
      </c>
      <c r="M71" s="154"/>
      <c r="N71" s="155">
        <f>SUM('Pay App 1:Pay App 57'!L71)+SUM('Pay App 1:Pay App 57'!M71)</f>
        <v>0</v>
      </c>
      <c r="Q71" s="28"/>
    </row>
    <row r="72" spans="1:17" ht="11.25" customHeight="1" x14ac:dyDescent="0.25">
      <c r="A72" s="152">
        <v>16</v>
      </c>
      <c r="B72" s="175" t="str">
        <f>'Pay App 1'!B72</f>
        <v>02 41 00</v>
      </c>
      <c r="C72" s="180" t="str">
        <f>'Pay App 1'!C72</f>
        <v>Demolition</v>
      </c>
      <c r="D72" s="155">
        <f>'Pay App 1'!D72</f>
        <v>0</v>
      </c>
      <c r="E72" s="155">
        <f>VLOOKUP(B72,'Graph Data'!$O$2:$BX$88,59,FALSE)</f>
        <v>0</v>
      </c>
      <c r="F72" s="155">
        <f>IFERROR(E72+'Pay App 56'!F72,"")</f>
        <v>0</v>
      </c>
      <c r="G72" s="155">
        <f>SUM('Pay App 1:Pay App 56'!H72)</f>
        <v>0</v>
      </c>
      <c r="H72" s="154"/>
      <c r="I72" s="155">
        <f t="shared" si="0"/>
        <v>0</v>
      </c>
      <c r="J72" s="156">
        <f t="shared" si="1"/>
        <v>0</v>
      </c>
      <c r="K72" s="155">
        <f t="shared" si="2"/>
        <v>0</v>
      </c>
      <c r="L72" s="155" t="str">
        <f>IF(AND('Summary Sheet'!$E$23="No",$H$33&gt;0,H72&gt;=1),"",IF(AND('Summary Sheet'!$E$23="Yes",H72&lt;&gt;""),H72*'Summary Sheet'!$G$23,""))</f>
        <v/>
      </c>
      <c r="M72" s="154"/>
      <c r="N72" s="155">
        <f>SUM('Pay App 1:Pay App 57'!L72)+SUM('Pay App 1:Pay App 57'!M72)</f>
        <v>0</v>
      </c>
      <c r="Q72" s="28"/>
    </row>
    <row r="73" spans="1:17" ht="11.25" customHeight="1" x14ac:dyDescent="0.25">
      <c r="A73" s="152">
        <v>17</v>
      </c>
      <c r="B73" s="175" t="str">
        <f>'Pay App 1'!B73</f>
        <v>02 82 00</v>
      </c>
      <c r="C73" s="180" t="str">
        <f>'Pay App 1'!C73</f>
        <v>Asbestos Abatement</v>
      </c>
      <c r="D73" s="155">
        <f>'Pay App 1'!D73</f>
        <v>0</v>
      </c>
      <c r="E73" s="155">
        <f>VLOOKUP(B73,'Graph Data'!$O$2:$BX$88,59,FALSE)</f>
        <v>0</v>
      </c>
      <c r="F73" s="155">
        <f>IFERROR(E73+'Pay App 56'!F73,"")</f>
        <v>0</v>
      </c>
      <c r="G73" s="155">
        <f>SUM('Pay App 1:Pay App 56'!H73)</f>
        <v>0</v>
      </c>
      <c r="H73" s="154"/>
      <c r="I73" s="155">
        <f t="shared" si="0"/>
        <v>0</v>
      </c>
      <c r="J73" s="156">
        <f t="shared" si="1"/>
        <v>0</v>
      </c>
      <c r="K73" s="155">
        <f t="shared" si="2"/>
        <v>0</v>
      </c>
      <c r="L73" s="155" t="str">
        <f>IF(AND('Summary Sheet'!$E$23="No",$H$33&gt;0,H73&gt;=1),"",IF(AND('Summary Sheet'!$E$23="Yes",H73&lt;&gt;""),H73*'Summary Sheet'!$G$23,""))</f>
        <v/>
      </c>
      <c r="M73" s="154"/>
      <c r="N73" s="155">
        <f>SUM('Pay App 1:Pay App 57'!L73)+SUM('Pay App 1:Pay App 57'!M73)</f>
        <v>0</v>
      </c>
    </row>
    <row r="74" spans="1:17" ht="11.25" customHeight="1" x14ac:dyDescent="0.25">
      <c r="A74" s="152">
        <v>18</v>
      </c>
      <c r="B74" s="176" t="str">
        <f>'Pay App 1'!B74</f>
        <v>03 00 00</v>
      </c>
      <c r="C74" s="181" t="str">
        <f>'Pay App 1'!C74</f>
        <v>Building Concrete</v>
      </c>
      <c r="D74" s="155">
        <f>'Pay App 1'!D74</f>
        <v>0</v>
      </c>
      <c r="E74" s="155">
        <f>VLOOKUP(B74,'Graph Data'!$O$2:$BX$88,59,FALSE)</f>
        <v>0</v>
      </c>
      <c r="F74" s="155">
        <f>IFERROR(E74+'Pay App 56'!F74,"")</f>
        <v>0</v>
      </c>
      <c r="G74" s="155">
        <f>SUM('Pay App 1:Pay App 56'!H74)</f>
        <v>0</v>
      </c>
      <c r="H74" s="154"/>
      <c r="I74" s="155">
        <f t="shared" si="0"/>
        <v>0</v>
      </c>
      <c r="J74" s="156">
        <f t="shared" si="1"/>
        <v>0</v>
      </c>
      <c r="K74" s="155">
        <f t="shared" si="2"/>
        <v>0</v>
      </c>
      <c r="L74" s="155" t="str">
        <f>IF(AND('Summary Sheet'!$E$23="No",$H$33&gt;0,H74&gt;=1),"",IF(AND('Summary Sheet'!$E$23="Yes",H74&lt;&gt;""),H74*'Summary Sheet'!$G$23,""))</f>
        <v/>
      </c>
      <c r="M74" s="154"/>
      <c r="N74" s="155">
        <f>SUM('Pay App 1:Pay App 57'!L74)+SUM('Pay App 1:Pay App 57'!M74)</f>
        <v>0</v>
      </c>
    </row>
    <row r="75" spans="1:17" ht="11.25" customHeight="1" x14ac:dyDescent="0.25">
      <c r="A75" s="152">
        <v>19</v>
      </c>
      <c r="B75" s="176" t="str">
        <f>'Pay App 1'!B75</f>
        <v>03 20 00</v>
      </c>
      <c r="C75" s="181" t="str">
        <f>'Pay App 1'!C75</f>
        <v>Building Concrete Reinforcing</v>
      </c>
      <c r="D75" s="155">
        <f>'Pay App 1'!D75</f>
        <v>0</v>
      </c>
      <c r="E75" s="155">
        <f>VLOOKUP(B75,'Graph Data'!$O$2:$BX$88,59,FALSE)</f>
        <v>0</v>
      </c>
      <c r="F75" s="155">
        <f>IFERROR(E75+'Pay App 56'!F75,"")</f>
        <v>0</v>
      </c>
      <c r="G75" s="155">
        <f>SUM('Pay App 1:Pay App 56'!H75)</f>
        <v>0</v>
      </c>
      <c r="H75" s="154"/>
      <c r="I75" s="155">
        <f t="shared" si="0"/>
        <v>0</v>
      </c>
      <c r="J75" s="156">
        <f t="shared" si="1"/>
        <v>0</v>
      </c>
      <c r="K75" s="155">
        <f t="shared" si="2"/>
        <v>0</v>
      </c>
      <c r="L75" s="155" t="str">
        <f>IF(AND('Summary Sheet'!$E$23="No",$H$33&gt;0,H75&gt;=1),"",IF(AND('Summary Sheet'!$E$23="Yes",H75&lt;&gt;""),H75*'Summary Sheet'!$G$23,""))</f>
        <v/>
      </c>
      <c r="M75" s="154"/>
      <c r="N75" s="155">
        <f>SUM('Pay App 1:Pay App 57'!L75)+SUM('Pay App 1:Pay App 57'!M75)</f>
        <v>0</v>
      </c>
    </row>
    <row r="76" spans="1:17" ht="11.25" customHeight="1" x14ac:dyDescent="0.25">
      <c r="A76" s="152">
        <v>20</v>
      </c>
      <c r="B76" s="176" t="str">
        <f>'Pay App 1'!B76</f>
        <v>03 40 00</v>
      </c>
      <c r="C76" s="181" t="str">
        <f>'Pay App 1'!C76</f>
        <v>Precast</v>
      </c>
      <c r="D76" s="155">
        <f>'Pay App 1'!D76</f>
        <v>0</v>
      </c>
      <c r="E76" s="155">
        <f>VLOOKUP(B76,'Graph Data'!$O$2:$BX$88,59,FALSE)</f>
        <v>0</v>
      </c>
      <c r="F76" s="155">
        <f>IFERROR(E76+'Pay App 56'!F76,"")</f>
        <v>0</v>
      </c>
      <c r="G76" s="155">
        <f>SUM('Pay App 1:Pay App 56'!H76)</f>
        <v>0</v>
      </c>
      <c r="H76" s="154"/>
      <c r="I76" s="155">
        <f t="shared" si="0"/>
        <v>0</v>
      </c>
      <c r="J76" s="156">
        <f t="shared" si="1"/>
        <v>0</v>
      </c>
      <c r="K76" s="155">
        <f t="shared" si="2"/>
        <v>0</v>
      </c>
      <c r="L76" s="155" t="str">
        <f>IF(AND('Summary Sheet'!$E$23="No",$H$33&gt;0,H76&gt;=1),"",IF(AND('Summary Sheet'!$E$23="Yes",H76&lt;&gt;""),H76*'Summary Sheet'!$G$23,""))</f>
        <v/>
      </c>
      <c r="M76" s="154"/>
      <c r="N76" s="155">
        <f>SUM('Pay App 1:Pay App 57'!L76)+SUM('Pay App 1:Pay App 57'!M76)</f>
        <v>0</v>
      </c>
    </row>
    <row r="77" spans="1:17" ht="11.25" customHeight="1" x14ac:dyDescent="0.25">
      <c r="A77" s="152">
        <v>21</v>
      </c>
      <c r="B77" s="177" t="str">
        <f>'Pay App 1'!B77</f>
        <v>04 00 00</v>
      </c>
      <c r="C77" s="182" t="str">
        <f>'Pay App 1'!C77</f>
        <v>Masonry</v>
      </c>
      <c r="D77" s="155">
        <f>'Pay App 1'!D77</f>
        <v>0</v>
      </c>
      <c r="E77" s="155">
        <f>VLOOKUP(B77,'Graph Data'!$O$2:$BX$88,59,FALSE)</f>
        <v>0</v>
      </c>
      <c r="F77" s="155">
        <f>IFERROR(E77+'Pay App 56'!F77,"")</f>
        <v>0</v>
      </c>
      <c r="G77" s="155">
        <f>SUM('Pay App 1:Pay App 56'!H77)</f>
        <v>0</v>
      </c>
      <c r="H77" s="154"/>
      <c r="I77" s="155">
        <f t="shared" si="0"/>
        <v>0</v>
      </c>
      <c r="J77" s="156">
        <f t="shared" si="1"/>
        <v>0</v>
      </c>
      <c r="K77" s="155">
        <f t="shared" si="2"/>
        <v>0</v>
      </c>
      <c r="L77" s="155" t="str">
        <f>IF(AND('Summary Sheet'!$E$23="No",$H$33&gt;0,H77&gt;=1),"",IF(AND('Summary Sheet'!$E$23="Yes",H77&lt;&gt;""),H77*'Summary Sheet'!$G$23,""))</f>
        <v/>
      </c>
      <c r="M77" s="154"/>
      <c r="N77" s="155">
        <f>SUM('Pay App 1:Pay App 57'!L77)+SUM('Pay App 1:Pay App 57'!M77)</f>
        <v>0</v>
      </c>
    </row>
    <row r="78" spans="1:17" ht="11.25" customHeight="1" x14ac:dyDescent="0.25">
      <c r="A78" s="152">
        <v>22</v>
      </c>
      <c r="B78" s="177" t="str">
        <f>'Pay App 1'!B78</f>
        <v>04 05 19</v>
      </c>
      <c r="C78" s="182" t="str">
        <f>'Pay App 1'!C78</f>
        <v>Masonry Reinforcing</v>
      </c>
      <c r="D78" s="155">
        <f>'Pay App 1'!D78</f>
        <v>0</v>
      </c>
      <c r="E78" s="155">
        <f>VLOOKUP(B78,'Graph Data'!$O$2:$BX$88,59,FALSE)</f>
        <v>0</v>
      </c>
      <c r="F78" s="155">
        <f>IFERROR(E78+'Pay App 56'!F78,"")</f>
        <v>0</v>
      </c>
      <c r="G78" s="155">
        <f>SUM('Pay App 1:Pay App 56'!H78)</f>
        <v>0</v>
      </c>
      <c r="H78" s="154"/>
      <c r="I78" s="155">
        <f t="shared" si="0"/>
        <v>0</v>
      </c>
      <c r="J78" s="156">
        <f t="shared" si="1"/>
        <v>0</v>
      </c>
      <c r="K78" s="155">
        <f t="shared" si="2"/>
        <v>0</v>
      </c>
      <c r="L78" s="155" t="str">
        <f>IF(AND('Summary Sheet'!$E$23="No",$H$33&gt;0,H78&gt;=1),"",IF(AND('Summary Sheet'!$E$23="Yes",H78&lt;&gt;""),H78*'Summary Sheet'!$G$23,""))</f>
        <v/>
      </c>
      <c r="M78" s="154"/>
      <c r="N78" s="155">
        <f>SUM('Pay App 1:Pay App 57'!L78)+SUM('Pay App 1:Pay App 57'!M78)</f>
        <v>0</v>
      </c>
    </row>
    <row r="79" spans="1:17" ht="11.25" customHeight="1" x14ac:dyDescent="0.25">
      <c r="A79" s="152">
        <v>23</v>
      </c>
      <c r="B79" s="178" t="str">
        <f>'Pay App 1'!B79</f>
        <v>05 10 00</v>
      </c>
      <c r="C79" s="183" t="str">
        <f>'Pay App 1'!C79</f>
        <v>Structural Steel/Misc. Steel Fab</v>
      </c>
      <c r="D79" s="155">
        <f>'Pay App 1'!D79</f>
        <v>0</v>
      </c>
      <c r="E79" s="155">
        <f>VLOOKUP(B79,'Graph Data'!$O$2:$BX$88,59,FALSE)</f>
        <v>0</v>
      </c>
      <c r="F79" s="155">
        <f>IFERROR(E79+'Pay App 56'!F79,"")</f>
        <v>0</v>
      </c>
      <c r="G79" s="155">
        <f>SUM('Pay App 1:Pay App 56'!H79)</f>
        <v>0</v>
      </c>
      <c r="H79" s="154"/>
      <c r="I79" s="155">
        <f t="shared" si="0"/>
        <v>0</v>
      </c>
      <c r="J79" s="156">
        <f t="shared" si="1"/>
        <v>0</v>
      </c>
      <c r="K79" s="155">
        <f t="shared" si="2"/>
        <v>0</v>
      </c>
      <c r="L79" s="155" t="str">
        <f>IF(AND('Summary Sheet'!$E$23="No",$H$33&gt;0,H79&gt;=1),"",IF(AND('Summary Sheet'!$E$23="Yes",H79&lt;&gt;""),H79*'Summary Sheet'!$G$23,""))</f>
        <v/>
      </c>
      <c r="M79" s="154"/>
      <c r="N79" s="155">
        <f>SUM('Pay App 1:Pay App 57'!L79)+SUM('Pay App 1:Pay App 57'!M79)</f>
        <v>0</v>
      </c>
    </row>
    <row r="80" spans="1:17" ht="11.25" customHeight="1" x14ac:dyDescent="0.25">
      <c r="A80" s="152">
        <v>24</v>
      </c>
      <c r="B80" s="178" t="str">
        <f>'Pay App 1'!B80</f>
        <v>05 20 00</v>
      </c>
      <c r="C80" s="183" t="str">
        <f>'Pay App 1'!C80</f>
        <v>Joists &amp; Deck</v>
      </c>
      <c r="D80" s="155">
        <f>'Pay App 1'!D80</f>
        <v>0</v>
      </c>
      <c r="E80" s="155">
        <f>VLOOKUP(B80,'Graph Data'!$O$2:$BX$88,59,FALSE)</f>
        <v>0</v>
      </c>
      <c r="F80" s="155">
        <f>IFERROR(E80+'Pay App 56'!F80,"")</f>
        <v>0</v>
      </c>
      <c r="G80" s="155">
        <f>SUM('Pay App 1:Pay App 56'!H80)</f>
        <v>0</v>
      </c>
      <c r="H80" s="154"/>
      <c r="I80" s="155">
        <f t="shared" si="0"/>
        <v>0</v>
      </c>
      <c r="J80" s="156">
        <f t="shared" si="1"/>
        <v>0</v>
      </c>
      <c r="K80" s="155">
        <f t="shared" si="2"/>
        <v>0</v>
      </c>
      <c r="L80" s="155" t="str">
        <f>IF(AND('Summary Sheet'!$E$23="No",$H$33&gt;0,H80&gt;=1),"",IF(AND('Summary Sheet'!$E$23="Yes",H80&lt;&gt;""),H80*'Summary Sheet'!$G$23,""))</f>
        <v/>
      </c>
      <c r="M80" s="154"/>
      <c r="N80" s="155">
        <f>SUM('Pay App 1:Pay App 57'!L80)+SUM('Pay App 1:Pay App 57'!M80)</f>
        <v>0</v>
      </c>
    </row>
    <row r="81" spans="1:14" ht="11.25" customHeight="1" x14ac:dyDescent="0.25">
      <c r="A81" s="152">
        <v>25</v>
      </c>
      <c r="B81" s="178" t="str">
        <f>'Pay App 1'!B81</f>
        <v>05 70 00</v>
      </c>
      <c r="C81" s="183" t="str">
        <f>'Pay App 1'!C81</f>
        <v>Ornamental Metal</v>
      </c>
      <c r="D81" s="155">
        <f>'Pay App 1'!D81</f>
        <v>0</v>
      </c>
      <c r="E81" s="155">
        <f>VLOOKUP(B81,'Graph Data'!$O$2:$BX$88,59,FALSE)</f>
        <v>0</v>
      </c>
      <c r="F81" s="155">
        <f>IFERROR(E81+'Pay App 56'!F81,"")</f>
        <v>0</v>
      </c>
      <c r="G81" s="155">
        <f>SUM('Pay App 1:Pay App 56'!H81)</f>
        <v>0</v>
      </c>
      <c r="H81" s="154"/>
      <c r="I81" s="155">
        <f t="shared" si="0"/>
        <v>0</v>
      </c>
      <c r="J81" s="156">
        <f t="shared" si="1"/>
        <v>0</v>
      </c>
      <c r="K81" s="155">
        <f t="shared" si="2"/>
        <v>0</v>
      </c>
      <c r="L81" s="155" t="str">
        <f>IF(AND('Summary Sheet'!$E$23="No",$H$33&gt;0,H81&gt;=1),"",IF(AND('Summary Sheet'!$E$23="Yes",H81&lt;&gt;""),H81*'Summary Sheet'!$G$23,""))</f>
        <v/>
      </c>
      <c r="M81" s="154"/>
      <c r="N81" s="155">
        <f>SUM('Pay App 1:Pay App 57'!L81)+SUM('Pay App 1:Pay App 57'!M81)</f>
        <v>0</v>
      </c>
    </row>
    <row r="82" spans="1:14" ht="11.25" customHeight="1" x14ac:dyDescent="0.25">
      <c r="A82" s="152">
        <v>26</v>
      </c>
      <c r="B82" s="145" t="str">
        <f>'Pay App 1'!B82</f>
        <v>06 10 00</v>
      </c>
      <c r="C82" s="134" t="str">
        <f>'Pay App 1'!C82</f>
        <v>Rough Carpentry</v>
      </c>
      <c r="D82" s="155">
        <f>'Pay App 1'!D82</f>
        <v>0</v>
      </c>
      <c r="E82" s="155">
        <f>VLOOKUP(B82,'Graph Data'!$O$2:$BX$88,59,FALSE)</f>
        <v>0</v>
      </c>
      <c r="F82" s="155">
        <f>IFERROR(E82+'Pay App 56'!F82,"")</f>
        <v>0</v>
      </c>
      <c r="G82" s="155">
        <f>SUM('Pay App 1:Pay App 56'!H82)</f>
        <v>0</v>
      </c>
      <c r="H82" s="154"/>
      <c r="I82" s="155">
        <f t="shared" si="0"/>
        <v>0</v>
      </c>
      <c r="J82" s="156">
        <f t="shared" si="1"/>
        <v>0</v>
      </c>
      <c r="K82" s="155">
        <f t="shared" si="2"/>
        <v>0</v>
      </c>
      <c r="L82" s="155" t="str">
        <f>IF(AND('Summary Sheet'!$E$23="No",$H$33&gt;0,H82&gt;=1),"",IF(AND('Summary Sheet'!$E$23="Yes",H82&lt;&gt;""),H82*'Summary Sheet'!$G$23,""))</f>
        <v/>
      </c>
      <c r="M82" s="154"/>
      <c r="N82" s="155">
        <f>SUM('Pay App 1:Pay App 57'!L82)+SUM('Pay App 1:Pay App 57'!M82)</f>
        <v>0</v>
      </c>
    </row>
    <row r="83" spans="1:14" ht="11.25" customHeight="1" x14ac:dyDescent="0.25">
      <c r="A83" s="152">
        <v>27</v>
      </c>
      <c r="B83" s="145" t="str">
        <f>'Pay App 1'!B83</f>
        <v>06 40 00</v>
      </c>
      <c r="C83" s="134" t="str">
        <f>'Pay App 1'!C83</f>
        <v>Arch. Woodwork &amp; Finish Carp.</v>
      </c>
      <c r="D83" s="155">
        <f>'Pay App 1'!D83</f>
        <v>0</v>
      </c>
      <c r="E83" s="155">
        <f>VLOOKUP(B83,'Graph Data'!$O$2:$BX$88,59,FALSE)</f>
        <v>0</v>
      </c>
      <c r="F83" s="155">
        <f>IFERROR(E83+'Pay App 56'!F83,"")</f>
        <v>0</v>
      </c>
      <c r="G83" s="155">
        <f>SUM('Pay App 1:Pay App 56'!H83)</f>
        <v>0</v>
      </c>
      <c r="H83" s="154"/>
      <c r="I83" s="155">
        <f t="shared" si="0"/>
        <v>0</v>
      </c>
      <c r="J83" s="156">
        <f t="shared" si="1"/>
        <v>0</v>
      </c>
      <c r="K83" s="155">
        <f t="shared" si="2"/>
        <v>0</v>
      </c>
      <c r="L83" s="155" t="str">
        <f>IF(AND('Summary Sheet'!$E$23="No",$H$33&gt;0,H83&gt;=1),"",IF(AND('Summary Sheet'!$E$23="Yes",H83&lt;&gt;""),H83*'Summary Sheet'!$G$23,""))</f>
        <v/>
      </c>
      <c r="M83" s="154"/>
      <c r="N83" s="155">
        <f>SUM('Pay App 1:Pay App 57'!L83)+SUM('Pay App 1:Pay App 57'!M83)</f>
        <v>0</v>
      </c>
    </row>
    <row r="84" spans="1:14" ht="11.25" customHeight="1" x14ac:dyDescent="0.25">
      <c r="A84" s="152">
        <v>28</v>
      </c>
      <c r="B84" s="174" t="str">
        <f>'Pay App 1'!B84</f>
        <v>07 10 00</v>
      </c>
      <c r="C84" s="179" t="str">
        <f>'Pay App 1'!C84</f>
        <v>Waterproofing/Water Repellents</v>
      </c>
      <c r="D84" s="155">
        <f>'Pay App 1'!D84</f>
        <v>0</v>
      </c>
      <c r="E84" s="155">
        <f>VLOOKUP(B84,'Graph Data'!$O$2:$BX$88,59,FALSE)</f>
        <v>0</v>
      </c>
      <c r="F84" s="155">
        <f>IFERROR(E84+'Pay App 56'!F84,"")</f>
        <v>0</v>
      </c>
      <c r="G84" s="155">
        <f>SUM('Pay App 1:Pay App 56'!H84)</f>
        <v>0</v>
      </c>
      <c r="H84" s="154"/>
      <c r="I84" s="155">
        <f t="shared" si="0"/>
        <v>0</v>
      </c>
      <c r="J84" s="156">
        <f t="shared" si="1"/>
        <v>0</v>
      </c>
      <c r="K84" s="155">
        <f t="shared" si="2"/>
        <v>0</v>
      </c>
      <c r="L84" s="155" t="str">
        <f>IF(AND('Summary Sheet'!$E$23="No",$H$33&gt;0,H84&gt;=1),"",IF(AND('Summary Sheet'!$E$23="Yes",H84&lt;&gt;""),H84*'Summary Sheet'!$G$23,""))</f>
        <v/>
      </c>
      <c r="M84" s="154"/>
      <c r="N84" s="155">
        <f>SUM('Pay App 1:Pay App 57'!L84)+SUM('Pay App 1:Pay App 57'!M84)</f>
        <v>0</v>
      </c>
    </row>
    <row r="85" spans="1:14" ht="11.25" customHeight="1" x14ac:dyDescent="0.25">
      <c r="A85" s="152">
        <v>29</v>
      </c>
      <c r="B85" s="174" t="str">
        <f>'Pay App 1'!B85</f>
        <v>07 20 00</v>
      </c>
      <c r="C85" s="179" t="str">
        <f>'Pay App 1'!C85</f>
        <v>Insulation</v>
      </c>
      <c r="D85" s="155">
        <f>'Pay App 1'!D85</f>
        <v>0</v>
      </c>
      <c r="E85" s="155">
        <f>VLOOKUP(B85,'Graph Data'!$O$2:$BX$88,59,FALSE)</f>
        <v>0</v>
      </c>
      <c r="F85" s="155">
        <f>IFERROR(E85+'Pay App 56'!F85,"")</f>
        <v>0</v>
      </c>
      <c r="G85" s="155">
        <f>SUM('Pay App 1:Pay App 56'!H85)</f>
        <v>0</v>
      </c>
      <c r="H85" s="154"/>
      <c r="I85" s="155">
        <f t="shared" si="0"/>
        <v>0</v>
      </c>
      <c r="J85" s="156">
        <f t="shared" si="1"/>
        <v>0</v>
      </c>
      <c r="K85" s="155">
        <f t="shared" si="2"/>
        <v>0</v>
      </c>
      <c r="L85" s="155" t="str">
        <f>IF(AND('Summary Sheet'!$E$23="No",$H$33&gt;0,H85&gt;=1),"",IF(AND('Summary Sheet'!$E$23="Yes",H85&lt;&gt;""),H85*'Summary Sheet'!$G$23,""))</f>
        <v/>
      </c>
      <c r="M85" s="154"/>
      <c r="N85" s="155">
        <f>SUM('Pay App 1:Pay App 57'!L85)+SUM('Pay App 1:Pay App 57'!M85)</f>
        <v>0</v>
      </c>
    </row>
    <row r="86" spans="1:14" ht="11.25" customHeight="1" x14ac:dyDescent="0.25">
      <c r="A86" s="152">
        <v>30</v>
      </c>
      <c r="B86" s="174" t="str">
        <f>'Pay App 1'!B86</f>
        <v>07 24 00</v>
      </c>
      <c r="C86" s="179" t="str">
        <f>'Pay App 1'!C86</f>
        <v>EIFS</v>
      </c>
      <c r="D86" s="155">
        <f>'Pay App 1'!D86</f>
        <v>0</v>
      </c>
      <c r="E86" s="155">
        <f>VLOOKUP(B86,'Graph Data'!$O$2:$BX$88,59,FALSE)</f>
        <v>0</v>
      </c>
      <c r="F86" s="155">
        <f>IFERROR(E86+'Pay App 56'!F86,"")</f>
        <v>0</v>
      </c>
      <c r="G86" s="155">
        <f>SUM('Pay App 1:Pay App 56'!H86)</f>
        <v>0</v>
      </c>
      <c r="H86" s="154"/>
      <c r="I86" s="155">
        <f t="shared" si="0"/>
        <v>0</v>
      </c>
      <c r="J86" s="156">
        <f t="shared" si="1"/>
        <v>0</v>
      </c>
      <c r="K86" s="155">
        <f t="shared" si="2"/>
        <v>0</v>
      </c>
      <c r="L86" s="155" t="str">
        <f>IF(AND('Summary Sheet'!$E$23="No",$H$33&gt;0,H86&gt;=1),"",IF(AND('Summary Sheet'!$E$23="Yes",H86&lt;&gt;""),H86*'Summary Sheet'!$G$23,""))</f>
        <v/>
      </c>
      <c r="M86" s="154"/>
      <c r="N86" s="155">
        <f>SUM('Pay App 1:Pay App 57'!L86)+SUM('Pay App 1:Pay App 57'!M86)</f>
        <v>0</v>
      </c>
    </row>
    <row r="87" spans="1:14" ht="11.25" customHeight="1" x14ac:dyDescent="0.25">
      <c r="A87" s="152">
        <v>31</v>
      </c>
      <c r="B87" s="174" t="str">
        <f>'Pay App 1'!B87</f>
        <v>07 26 00</v>
      </c>
      <c r="C87" s="179" t="str">
        <f>'Pay App 1'!C87</f>
        <v>Vapor Retarders</v>
      </c>
      <c r="D87" s="155">
        <f>'Pay App 1'!D87</f>
        <v>0</v>
      </c>
      <c r="E87" s="155">
        <f>VLOOKUP(B87,'Graph Data'!$O$2:$BX$88,59,FALSE)</f>
        <v>0</v>
      </c>
      <c r="F87" s="155">
        <f>IFERROR(E87+'Pay App 56'!F87,"")</f>
        <v>0</v>
      </c>
      <c r="G87" s="155">
        <f>SUM('Pay App 1:Pay App 56'!H87)</f>
        <v>0</v>
      </c>
      <c r="H87" s="154"/>
      <c r="I87" s="155">
        <f t="shared" si="0"/>
        <v>0</v>
      </c>
      <c r="J87" s="156">
        <f t="shared" si="1"/>
        <v>0</v>
      </c>
      <c r="K87" s="155">
        <f t="shared" si="2"/>
        <v>0</v>
      </c>
      <c r="L87" s="155" t="str">
        <f>IF(AND('Summary Sheet'!$E$23="No",$H$33&gt;0,H87&gt;=1),"",IF(AND('Summary Sheet'!$E$23="Yes",H87&lt;&gt;""),H87*'Summary Sheet'!$G$23,""))</f>
        <v/>
      </c>
      <c r="M87" s="154"/>
      <c r="N87" s="155">
        <f>SUM('Pay App 1:Pay App 57'!L87)+SUM('Pay App 1:Pay App 57'!M87)</f>
        <v>0</v>
      </c>
    </row>
    <row r="88" spans="1:14" ht="11.25" customHeight="1" x14ac:dyDescent="0.25">
      <c r="A88" s="152">
        <v>32</v>
      </c>
      <c r="B88" s="174" t="str">
        <f>'Pay App 1'!B88</f>
        <v>07 41 00</v>
      </c>
      <c r="C88" s="179" t="str">
        <f>'Pay App 1'!C88</f>
        <v>Roofing</v>
      </c>
      <c r="D88" s="155">
        <f>'Pay App 1'!D88</f>
        <v>0</v>
      </c>
      <c r="E88" s="155">
        <f>VLOOKUP(B88,'Graph Data'!$O$2:$BX$88,59,FALSE)</f>
        <v>0</v>
      </c>
      <c r="F88" s="155">
        <f>IFERROR(E88+'Pay App 56'!F88,"")</f>
        <v>0</v>
      </c>
      <c r="G88" s="155">
        <f>SUM('Pay App 1:Pay App 56'!H88)</f>
        <v>0</v>
      </c>
      <c r="H88" s="154"/>
      <c r="I88" s="155">
        <f t="shared" si="0"/>
        <v>0</v>
      </c>
      <c r="J88" s="156">
        <f t="shared" si="1"/>
        <v>0</v>
      </c>
      <c r="K88" s="155">
        <f t="shared" si="2"/>
        <v>0</v>
      </c>
      <c r="L88" s="155" t="str">
        <f>IF(AND('Summary Sheet'!$E$23="No",$H$33&gt;0,H88&gt;=1),"",IF(AND('Summary Sheet'!$E$23="Yes",H88&lt;&gt;""),H88*'Summary Sheet'!$G$23,""))</f>
        <v/>
      </c>
      <c r="M88" s="154"/>
      <c r="N88" s="155">
        <f>SUM('Pay App 1:Pay App 57'!L88)+SUM('Pay App 1:Pay App 57'!M88)</f>
        <v>0</v>
      </c>
    </row>
    <row r="89" spans="1:14" ht="11.25" customHeight="1" x14ac:dyDescent="0.25">
      <c r="A89" s="152">
        <v>33</v>
      </c>
      <c r="B89" s="174" t="str">
        <f>'Pay App 1'!B89</f>
        <v>07 42 00</v>
      </c>
      <c r="C89" s="179" t="str">
        <f>'Pay App 1'!C89</f>
        <v>Metal Panels</v>
      </c>
      <c r="D89" s="155">
        <f>'Pay App 1'!D89</f>
        <v>0</v>
      </c>
      <c r="E89" s="155">
        <f>VLOOKUP(B89,'Graph Data'!$O$2:$BX$88,59,FALSE)</f>
        <v>0</v>
      </c>
      <c r="F89" s="155">
        <f>IFERROR(E89+'Pay App 56'!F89,"")</f>
        <v>0</v>
      </c>
      <c r="G89" s="155">
        <f>SUM('Pay App 1:Pay App 56'!H89)</f>
        <v>0</v>
      </c>
      <c r="H89" s="154"/>
      <c r="I89" s="155">
        <f t="shared" si="0"/>
        <v>0</v>
      </c>
      <c r="J89" s="156">
        <f t="shared" si="1"/>
        <v>0</v>
      </c>
      <c r="K89" s="155">
        <f t="shared" si="2"/>
        <v>0</v>
      </c>
      <c r="L89" s="155" t="str">
        <f>IF(AND('Summary Sheet'!$E$23="No",$H$33&gt;0,H89&gt;=1),"",IF(AND('Summary Sheet'!$E$23="Yes",H89&lt;&gt;""),H89*'Summary Sheet'!$G$23,""))</f>
        <v/>
      </c>
      <c r="M89" s="154"/>
      <c r="N89" s="155">
        <f>SUM('Pay App 1:Pay App 57'!L89)+SUM('Pay App 1:Pay App 57'!M89)</f>
        <v>0</v>
      </c>
    </row>
    <row r="90" spans="1:14" ht="11.25" customHeight="1" x14ac:dyDescent="0.25">
      <c r="A90" s="152">
        <v>34</v>
      </c>
      <c r="B90" s="174" t="str">
        <f>'Pay App 1'!B90</f>
        <v>07 60 00</v>
      </c>
      <c r="C90" s="179" t="str">
        <f>'Pay App 1'!C90</f>
        <v>Sheet Metal Flashing &amp; Trim</v>
      </c>
      <c r="D90" s="155">
        <f>'Pay App 1'!D90</f>
        <v>0</v>
      </c>
      <c r="E90" s="155">
        <f>VLOOKUP(B90,'Graph Data'!$O$2:$BX$88,59,FALSE)</f>
        <v>0</v>
      </c>
      <c r="F90" s="155">
        <f>IFERROR(E90+'Pay App 56'!F90,"")</f>
        <v>0</v>
      </c>
      <c r="G90" s="155">
        <f>SUM('Pay App 1:Pay App 56'!H90)</f>
        <v>0</v>
      </c>
      <c r="H90" s="154"/>
      <c r="I90" s="155">
        <f t="shared" si="0"/>
        <v>0</v>
      </c>
      <c r="J90" s="156">
        <f t="shared" si="1"/>
        <v>0</v>
      </c>
      <c r="K90" s="155">
        <f t="shared" si="2"/>
        <v>0</v>
      </c>
      <c r="L90" s="155" t="str">
        <f>IF(AND('Summary Sheet'!$E$23="No",$H$33&gt;0,H90&gt;=1),"",IF(AND('Summary Sheet'!$E$23="Yes",H90&lt;&gt;""),H90*'Summary Sheet'!$G$23,""))</f>
        <v/>
      </c>
      <c r="M90" s="154"/>
      <c r="N90" s="155">
        <f>SUM('Pay App 1:Pay App 57'!L90)+SUM('Pay App 1:Pay App 57'!M90)</f>
        <v>0</v>
      </c>
    </row>
    <row r="91" spans="1:14" ht="11.25" customHeight="1" x14ac:dyDescent="0.25">
      <c r="A91" s="152">
        <v>35</v>
      </c>
      <c r="B91" s="174" t="str">
        <f>'Pay App 1'!B91</f>
        <v>07 80 00</v>
      </c>
      <c r="C91" s="179" t="str">
        <f>'Pay App 1'!C91</f>
        <v>Fireproofing</v>
      </c>
      <c r="D91" s="155">
        <f>'Pay App 1'!D91</f>
        <v>0</v>
      </c>
      <c r="E91" s="155">
        <f>VLOOKUP(B91,'Graph Data'!$O$2:$BX$88,59,FALSE)</f>
        <v>0</v>
      </c>
      <c r="F91" s="155">
        <f>IFERROR(E91+'Pay App 56'!F91,"")</f>
        <v>0</v>
      </c>
      <c r="G91" s="155">
        <f>SUM('Pay App 1:Pay App 56'!H91)</f>
        <v>0</v>
      </c>
      <c r="H91" s="154"/>
      <c r="I91" s="155">
        <f t="shared" si="0"/>
        <v>0</v>
      </c>
      <c r="J91" s="156">
        <f t="shared" si="1"/>
        <v>0</v>
      </c>
      <c r="K91" s="155">
        <f t="shared" si="2"/>
        <v>0</v>
      </c>
      <c r="L91" s="155" t="str">
        <f>IF(AND('Summary Sheet'!$E$23="No",$H$33&gt;0,H91&gt;=1),"",IF(AND('Summary Sheet'!$E$23="Yes",H91&lt;&gt;""),H91*'Summary Sheet'!$G$23,""))</f>
        <v/>
      </c>
      <c r="M91" s="154"/>
      <c r="N91" s="155">
        <f>SUM('Pay App 1:Pay App 57'!L91)+SUM('Pay App 1:Pay App 57'!M91)</f>
        <v>0</v>
      </c>
    </row>
    <row r="92" spans="1:14" ht="11.25" customHeight="1" x14ac:dyDescent="0.25">
      <c r="A92" s="152">
        <v>36</v>
      </c>
      <c r="B92" s="174" t="str">
        <f>'Pay App 1'!B92</f>
        <v>07 90 00</v>
      </c>
      <c r="C92" s="179" t="str">
        <f>'Pay App 1'!C92</f>
        <v>Joint Sealants</v>
      </c>
      <c r="D92" s="155">
        <f>'Pay App 1'!D92</f>
        <v>0</v>
      </c>
      <c r="E92" s="155">
        <f>VLOOKUP(B92,'Graph Data'!$O$2:$BX$88,59,FALSE)</f>
        <v>0</v>
      </c>
      <c r="F92" s="155">
        <f>IFERROR(E92+'Pay App 56'!F92,"")</f>
        <v>0</v>
      </c>
      <c r="G92" s="155">
        <f>SUM('Pay App 1:Pay App 56'!H92)</f>
        <v>0</v>
      </c>
      <c r="H92" s="154"/>
      <c r="I92" s="155">
        <f t="shared" si="0"/>
        <v>0</v>
      </c>
      <c r="J92" s="156">
        <f t="shared" si="1"/>
        <v>0</v>
      </c>
      <c r="K92" s="155">
        <f t="shared" si="2"/>
        <v>0</v>
      </c>
      <c r="L92" s="155" t="str">
        <f>IF(AND('Summary Sheet'!$E$23="No",$H$33&gt;0,H92&gt;=1),"",IF(AND('Summary Sheet'!$E$23="Yes",H92&lt;&gt;""),H92*'Summary Sheet'!$G$23,""))</f>
        <v/>
      </c>
      <c r="M92" s="154"/>
      <c r="N92" s="155">
        <f>SUM('Pay App 1:Pay App 57'!L92)+SUM('Pay App 1:Pay App 57'!M92)</f>
        <v>0</v>
      </c>
    </row>
    <row r="93" spans="1:14" ht="11.25" customHeight="1" x14ac:dyDescent="0.25">
      <c r="A93" s="152">
        <v>37</v>
      </c>
      <c r="B93" s="174" t="str">
        <f>'Pay App 1'!B93</f>
        <v>07 95 00</v>
      </c>
      <c r="C93" s="179" t="str">
        <f>'Pay App 1'!C93</f>
        <v>Expansion Joints</v>
      </c>
      <c r="D93" s="155">
        <f>'Pay App 1'!D93</f>
        <v>0</v>
      </c>
      <c r="E93" s="155">
        <f>VLOOKUP(B93,'Graph Data'!$O$2:$BX$88,59,FALSE)</f>
        <v>0</v>
      </c>
      <c r="F93" s="155">
        <f>IFERROR(E93+'Pay App 56'!F93,"")</f>
        <v>0</v>
      </c>
      <c r="G93" s="155">
        <f>SUM('Pay App 1:Pay App 56'!H93)</f>
        <v>0</v>
      </c>
      <c r="H93" s="154"/>
      <c r="I93" s="155">
        <f t="shared" si="0"/>
        <v>0</v>
      </c>
      <c r="J93" s="156">
        <f t="shared" si="1"/>
        <v>0</v>
      </c>
      <c r="K93" s="155">
        <f t="shared" si="2"/>
        <v>0</v>
      </c>
      <c r="L93" s="155" t="str">
        <f>IF(AND('Summary Sheet'!$E$23="No",$H$33&gt;0,H93&gt;=1),"",IF(AND('Summary Sheet'!$E$23="Yes",H93&lt;&gt;""),H93*'Summary Sheet'!$G$23,""))</f>
        <v/>
      </c>
      <c r="M93" s="154"/>
      <c r="N93" s="155">
        <f>SUM('Pay App 1:Pay App 57'!L93)+SUM('Pay App 1:Pay App 57'!M93)</f>
        <v>0</v>
      </c>
    </row>
    <row r="94" spans="1:14" ht="11.25" customHeight="1" x14ac:dyDescent="0.25">
      <c r="A94" s="152">
        <v>38</v>
      </c>
      <c r="B94" s="175" t="str">
        <f>'Pay App 1'!B94</f>
        <v>08 10 00</v>
      </c>
      <c r="C94" s="180" t="str">
        <f>'Pay App 1'!C94</f>
        <v>Doors, Frames &amp; Hardware</v>
      </c>
      <c r="D94" s="155">
        <f>'Pay App 1'!D94</f>
        <v>0</v>
      </c>
      <c r="E94" s="155">
        <f>VLOOKUP(B94,'Graph Data'!$O$2:$BX$88,59,FALSE)</f>
        <v>0</v>
      </c>
      <c r="F94" s="155">
        <f>IFERROR(E94+'Pay App 56'!F94,"")</f>
        <v>0</v>
      </c>
      <c r="G94" s="155">
        <f>SUM('Pay App 1:Pay App 56'!H94)</f>
        <v>0</v>
      </c>
      <c r="H94" s="154"/>
      <c r="I94" s="155">
        <f t="shared" si="0"/>
        <v>0</v>
      </c>
      <c r="J94" s="156">
        <f t="shared" si="1"/>
        <v>0</v>
      </c>
      <c r="K94" s="155">
        <f t="shared" si="2"/>
        <v>0</v>
      </c>
      <c r="L94" s="155" t="str">
        <f>IF(AND('Summary Sheet'!$E$23="No",$H$33&gt;0,H94&gt;=1),"",IF(AND('Summary Sheet'!$E$23="Yes",H94&lt;&gt;""),H94*'Summary Sheet'!$G$23,""))</f>
        <v/>
      </c>
      <c r="M94" s="154"/>
      <c r="N94" s="155">
        <f>SUM('Pay App 1:Pay App 57'!L94)+SUM('Pay App 1:Pay App 57'!M94)</f>
        <v>0</v>
      </c>
    </row>
    <row r="95" spans="1:14" ht="11.25" customHeight="1" x14ac:dyDescent="0.25">
      <c r="A95" s="152">
        <v>39</v>
      </c>
      <c r="B95" s="175" t="str">
        <f>'Pay App 1'!B95</f>
        <v>08 30 00</v>
      </c>
      <c r="C95" s="180" t="str">
        <f>'Pay App 1'!C95</f>
        <v>Specialty Doors</v>
      </c>
      <c r="D95" s="155">
        <f>'Pay App 1'!D95</f>
        <v>0</v>
      </c>
      <c r="E95" s="155">
        <f>VLOOKUP(B95,'Graph Data'!$O$2:$BX$88,59,FALSE)</f>
        <v>0</v>
      </c>
      <c r="F95" s="155">
        <f>IFERROR(E95+'Pay App 56'!F95,"")</f>
        <v>0</v>
      </c>
      <c r="G95" s="155">
        <f>SUM('Pay App 1:Pay App 56'!H95)</f>
        <v>0</v>
      </c>
      <c r="H95" s="154"/>
      <c r="I95" s="155">
        <f t="shared" si="0"/>
        <v>0</v>
      </c>
      <c r="J95" s="156">
        <f t="shared" si="1"/>
        <v>0</v>
      </c>
      <c r="K95" s="155">
        <f t="shared" si="2"/>
        <v>0</v>
      </c>
      <c r="L95" s="155" t="str">
        <f>IF(AND('Summary Sheet'!$E$23="No",$H$33&gt;0,H95&gt;=1),"",IF(AND('Summary Sheet'!$E$23="Yes",H95&lt;&gt;""),H95*'Summary Sheet'!$G$23,""))</f>
        <v/>
      </c>
      <c r="M95" s="154"/>
      <c r="N95" s="155">
        <f>SUM('Pay App 1:Pay App 57'!L95)+SUM('Pay App 1:Pay App 57'!M95)</f>
        <v>0</v>
      </c>
    </row>
    <row r="96" spans="1:14" ht="11.25" customHeight="1" x14ac:dyDescent="0.25">
      <c r="A96" s="152">
        <v>40</v>
      </c>
      <c r="B96" s="175" t="str">
        <f>'Pay App 1'!B96</f>
        <v>08 33 00</v>
      </c>
      <c r="C96" s="180" t="str">
        <f>'Pay App 1'!C96</f>
        <v>Overhead Doors/Coiling Doors</v>
      </c>
      <c r="D96" s="155">
        <f>'Pay App 1'!D96</f>
        <v>0</v>
      </c>
      <c r="E96" s="155">
        <f>VLOOKUP(B96,'Graph Data'!$O$2:$BX$88,59,FALSE)</f>
        <v>0</v>
      </c>
      <c r="F96" s="155">
        <f>IFERROR(E96+'Pay App 56'!F96,"")</f>
        <v>0</v>
      </c>
      <c r="G96" s="155">
        <f>SUM('Pay App 1:Pay App 56'!H96)</f>
        <v>0</v>
      </c>
      <c r="H96" s="154"/>
      <c r="I96" s="155">
        <f t="shared" si="0"/>
        <v>0</v>
      </c>
      <c r="J96" s="156">
        <f t="shared" si="1"/>
        <v>0</v>
      </c>
      <c r="K96" s="155">
        <f t="shared" si="2"/>
        <v>0</v>
      </c>
      <c r="L96" s="155" t="str">
        <f>IF(AND('Summary Sheet'!$E$23="No",$H$33&gt;0,H96&gt;=1),"",IF(AND('Summary Sheet'!$E$23="Yes",H96&lt;&gt;""),H96*'Summary Sheet'!$G$23,""))</f>
        <v/>
      </c>
      <c r="M96" s="154"/>
      <c r="N96" s="155">
        <f>SUM('Pay App 1:Pay App 57'!L96)+SUM('Pay App 1:Pay App 57'!M96)</f>
        <v>0</v>
      </c>
    </row>
    <row r="97" spans="1:15" ht="11.25" customHeight="1" x14ac:dyDescent="0.25">
      <c r="A97" s="152">
        <v>41</v>
      </c>
      <c r="B97" s="175" t="str">
        <f>'Pay App 1'!B97</f>
        <v>08 40 00</v>
      </c>
      <c r="C97" s="180" t="str">
        <f>'Pay App 1'!C97</f>
        <v>Curtain Wall, Glass &amp; Glazing</v>
      </c>
      <c r="D97" s="155">
        <f>'Pay App 1'!D97</f>
        <v>0</v>
      </c>
      <c r="E97" s="155">
        <f>VLOOKUP(B97,'Graph Data'!$O$2:$BX$88,59,FALSE)</f>
        <v>0</v>
      </c>
      <c r="F97" s="155">
        <f>IFERROR(E97+'Pay App 56'!F97,"")</f>
        <v>0</v>
      </c>
      <c r="G97" s="155">
        <f>SUM('Pay App 1:Pay App 56'!H97)</f>
        <v>0</v>
      </c>
      <c r="H97" s="154"/>
      <c r="I97" s="155">
        <f t="shared" si="0"/>
        <v>0</v>
      </c>
      <c r="J97" s="156">
        <f t="shared" si="1"/>
        <v>0</v>
      </c>
      <c r="K97" s="155">
        <f t="shared" si="2"/>
        <v>0</v>
      </c>
      <c r="L97" s="155" t="str">
        <f>IF(AND('Summary Sheet'!$E$23="No",$H$33&gt;0,H97&gt;=1),"",IF(AND('Summary Sheet'!$E$23="Yes",H97&lt;&gt;""),H97*'Summary Sheet'!$G$23,""))</f>
        <v/>
      </c>
      <c r="M97" s="154"/>
      <c r="N97" s="155">
        <f>SUM('Pay App 1:Pay App 57'!L97)+SUM('Pay App 1:Pay App 57'!M97)</f>
        <v>0</v>
      </c>
    </row>
    <row r="98" spans="1:15" ht="10.9" customHeight="1" x14ac:dyDescent="0.25">
      <c r="A98" s="152">
        <v>42</v>
      </c>
      <c r="B98" s="175" t="str">
        <f>'Pay App 1'!B98</f>
        <v>08 60 00</v>
      </c>
      <c r="C98" s="180" t="str">
        <f>'Pay App 1'!C98</f>
        <v>Skylights</v>
      </c>
      <c r="D98" s="155">
        <f>'Pay App 1'!D98</f>
        <v>0</v>
      </c>
      <c r="E98" s="155">
        <f>VLOOKUP(B98,'Graph Data'!$O$2:$BX$88,59,FALSE)</f>
        <v>0</v>
      </c>
      <c r="F98" s="155">
        <f>IFERROR(E98+'Pay App 56'!F98,"")</f>
        <v>0</v>
      </c>
      <c r="G98" s="155">
        <f>SUM('Pay App 1:Pay App 56'!H98)</f>
        <v>0</v>
      </c>
      <c r="H98" s="154"/>
      <c r="I98" s="155">
        <f t="shared" si="0"/>
        <v>0</v>
      </c>
      <c r="J98" s="156">
        <f t="shared" si="1"/>
        <v>0</v>
      </c>
      <c r="K98" s="155">
        <f t="shared" si="2"/>
        <v>0</v>
      </c>
      <c r="L98" s="155" t="str">
        <f>IF(AND('Summary Sheet'!$E$23="No",$H$33&gt;0,H98&gt;=1),"",IF(AND('Summary Sheet'!$E$23="Yes",H98&lt;&gt;""),H98*'Summary Sheet'!$G$23,""))</f>
        <v/>
      </c>
      <c r="M98" s="154"/>
      <c r="N98" s="155">
        <f>SUM('Pay App 1:Pay App 57'!L98)+SUM('Pay App 1:Pay App 57'!M98)</f>
        <v>0</v>
      </c>
    </row>
    <row r="99" spans="1:15" ht="10.9" customHeight="1" x14ac:dyDescent="0.25">
      <c r="A99" s="152">
        <v>43</v>
      </c>
      <c r="B99" s="175" t="str">
        <f>'Pay App 1'!B99</f>
        <v>08 90 00</v>
      </c>
      <c r="C99" s="180" t="str">
        <f>'Pay App 1'!C99</f>
        <v>Louvers &amp; Vents</v>
      </c>
      <c r="D99" s="155">
        <f>'Pay App 1'!D99</f>
        <v>0</v>
      </c>
      <c r="E99" s="155">
        <f>VLOOKUP(B99,'Graph Data'!$O$2:$BX$88,59,FALSE)</f>
        <v>0</v>
      </c>
      <c r="F99" s="155">
        <f>IFERROR(E99+'Pay App 56'!F99,"")</f>
        <v>0</v>
      </c>
      <c r="G99" s="155">
        <f>SUM('Pay App 1:Pay App 56'!H99)</f>
        <v>0</v>
      </c>
      <c r="H99" s="154"/>
      <c r="I99" s="155">
        <f t="shared" si="0"/>
        <v>0</v>
      </c>
      <c r="J99" s="156">
        <f t="shared" si="1"/>
        <v>0</v>
      </c>
      <c r="K99" s="155">
        <f t="shared" si="2"/>
        <v>0</v>
      </c>
      <c r="L99" s="155" t="str">
        <f>IF(AND('Summary Sheet'!$E$23="No",$H$33&gt;0,H99&gt;=1),"",IF(AND('Summary Sheet'!$E$23="Yes",H99&lt;&gt;""),H99*'Summary Sheet'!$G$23,""))</f>
        <v/>
      </c>
      <c r="M99" s="154"/>
      <c r="N99" s="155">
        <f>SUM('Pay App 1:Pay App 57'!L99)+SUM('Pay App 1:Pay App 57'!M99)</f>
        <v>0</v>
      </c>
    </row>
    <row r="100" spans="1:15" ht="11.25" customHeight="1" x14ac:dyDescent="0.25">
      <c r="A100" s="153">
        <v>44</v>
      </c>
      <c r="B100" s="176" t="str">
        <f>'Pay App 1'!B100</f>
        <v>09 20 00</v>
      </c>
      <c r="C100" s="181" t="str">
        <f>'Pay App 1'!C100</f>
        <v>Gypsum Board Systems</v>
      </c>
      <c r="D100" s="155">
        <f>'Pay App 1'!D100</f>
        <v>0</v>
      </c>
      <c r="E100" s="155">
        <f>VLOOKUP(B100,'Graph Data'!$O$2:$BX$88,59,FALSE)</f>
        <v>0</v>
      </c>
      <c r="F100" s="155">
        <f>IFERROR(E100+'Pay App 56'!F100,"")</f>
        <v>0</v>
      </c>
      <c r="G100" s="155">
        <f>SUM('Pay App 1:Pay App 56'!H100)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57'!L100)+SUM('Pay App 1:Pay App 57'!M100)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57.2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Data'!$O$2:$BX$88,59,FALSE)</f>
        <v>0</v>
      </c>
      <c r="F106" s="155">
        <f>IFERROR(E106+'Pay App 56'!F106,"")</f>
        <v>0</v>
      </c>
      <c r="G106" s="155">
        <f>SUM('Pay App 1:Pay App 56'!H106)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57'!L106)+SUM('Pay App 1:Pay App 57'!M106)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Data'!$O$2:$BX$88,59,FALSE)</f>
        <v>0</v>
      </c>
      <c r="F107" s="155">
        <f>IFERROR(E107+'Pay App 56'!F107,"")</f>
        <v>0</v>
      </c>
      <c r="G107" s="155">
        <f>SUM('Pay App 1:Pay App 56'!H107)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57'!L107)+SUM('Pay App 1:Pay App 57'!M107)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Data'!$O$2:$BX$88,59,FALSE)</f>
        <v>0</v>
      </c>
      <c r="F108" s="155">
        <f>IFERROR(E108+'Pay App 56'!F108,"")</f>
        <v>0</v>
      </c>
      <c r="G108" s="155">
        <f>SUM('Pay App 1:Pay App 56'!H108)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57'!L108)+SUM('Pay App 1:Pay App 57'!M108)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Data'!$O$2:$BX$88,59,FALSE)</f>
        <v>0</v>
      </c>
      <c r="F109" s="155">
        <f>IFERROR(E109+'Pay App 56'!F109,"")</f>
        <v>0</v>
      </c>
      <c r="G109" s="155">
        <f>SUM('Pay App 1:Pay App 56'!H109)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57'!L109)+SUM('Pay App 1:Pay App 57'!M109)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Data'!$O$2:$BX$88,59,FALSE)</f>
        <v>0</v>
      </c>
      <c r="F110" s="155">
        <f>IFERROR(E110+'Pay App 56'!F110,"")</f>
        <v>0</v>
      </c>
      <c r="G110" s="155">
        <f>SUM('Pay App 1:Pay App 56'!H110)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57'!L110)+SUM('Pay App 1:Pay App 57'!M110)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Data'!$O$2:$BX$88,59,FALSE)</f>
        <v>0</v>
      </c>
      <c r="F111" s="155">
        <f>IFERROR(E111+'Pay App 56'!F111,"")</f>
        <v>0</v>
      </c>
      <c r="G111" s="155">
        <f>SUM('Pay App 1:Pay App 56'!H111)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57'!L111)+SUM('Pay App 1:Pay App 57'!M111)</f>
        <v>0</v>
      </c>
    </row>
    <row r="112" spans="1:15" ht="11.25" customHeight="1" x14ac:dyDescent="0.25">
      <c r="A112" s="152">
        <f t="shared" si="3"/>
        <v>51</v>
      </c>
      <c r="B112" s="148" t="str">
        <f>'Pay App 1'!B112</f>
        <v>09 90 00</v>
      </c>
      <c r="C112" s="143" t="str">
        <f>'Pay App 1'!C112</f>
        <v>Painting</v>
      </c>
      <c r="D112" s="155">
        <f>'Pay App 1'!D112</f>
        <v>0</v>
      </c>
      <c r="E112" s="155">
        <f>VLOOKUP(B112,'Graph Data'!$O$2:$BX$88,59,FALSE)</f>
        <v>0</v>
      </c>
      <c r="F112" s="155">
        <f>IFERROR(E112+'Pay App 56'!F112,"")</f>
        <v>0</v>
      </c>
      <c r="G112" s="155">
        <f>SUM('Pay App 1:Pay App 56'!H112)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57'!L112)+SUM('Pay App 1:Pay App 57'!M112)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Data'!$O$2:$BX$88,59,FALSE)</f>
        <v>0</v>
      </c>
      <c r="F113" s="155">
        <f>IFERROR(E113+'Pay App 56'!F113,"")</f>
        <v>0</v>
      </c>
      <c r="G113" s="155">
        <f>SUM('Pay App 1:Pay App 56'!H113)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57'!L113)+SUM('Pay App 1:Pay App 57'!M113)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Data'!$O$2:$BX$88,59,FALSE)</f>
        <v>0</v>
      </c>
      <c r="F114" s="155">
        <f>IFERROR(E114+'Pay App 56'!F114,"")</f>
        <v>0</v>
      </c>
      <c r="G114" s="155">
        <f>SUM('Pay App 1:Pay App 56'!H114)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57'!L114)+SUM('Pay App 1:Pay App 57'!M114)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Data'!$O$2:$BX$88,59,FALSE)</f>
        <v>0</v>
      </c>
      <c r="F115" s="155">
        <f>IFERROR(E115+'Pay App 56'!F115,"")</f>
        <v>0</v>
      </c>
      <c r="G115" s="155">
        <f>SUM('Pay App 1:Pay App 56'!H115)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57'!L115)+SUM('Pay App 1:Pay App 57'!M115)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Data'!$O$2:$BX$88,59,FALSE)</f>
        <v>0</v>
      </c>
      <c r="F116" s="155">
        <f>IFERROR(E116+'Pay App 56'!F116,"")</f>
        <v>0</v>
      </c>
      <c r="G116" s="155">
        <f>SUM('Pay App 1:Pay App 56'!H116)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57'!L116)+SUM('Pay App 1:Pay App 57'!M116)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Data'!$O$2:$BX$88,59,FALSE)</f>
        <v>0</v>
      </c>
      <c r="F117" s="155">
        <f>IFERROR(E117+'Pay App 56'!F117,"")</f>
        <v>0</v>
      </c>
      <c r="G117" s="155">
        <f>SUM('Pay App 1:Pay App 56'!H117)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57'!L117)+SUM('Pay App 1:Pay App 57'!M117)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Data'!$O$2:$BX$88,59,FALSE)</f>
        <v>0</v>
      </c>
      <c r="F118" s="155">
        <f>IFERROR(E118+'Pay App 56'!F118,"")</f>
        <v>0</v>
      </c>
      <c r="G118" s="155">
        <f>SUM('Pay App 1:Pay App 56'!H118)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57'!L118)+SUM('Pay App 1:Pay App 57'!M118)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Data'!$O$2:$BX$88,59,FALSE)</f>
        <v>0</v>
      </c>
      <c r="F119" s="155">
        <f>IFERROR(E119+'Pay App 56'!F119,"")</f>
        <v>0</v>
      </c>
      <c r="G119" s="155">
        <f>SUM('Pay App 1:Pay App 56'!H119)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57'!L119)+SUM('Pay App 1:Pay App 57'!M119)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Data'!$O$2:$BX$88,59,FALSE)</f>
        <v>0</v>
      </c>
      <c r="F120" s="155">
        <f>IFERROR(E120+'Pay App 56'!F120,"")</f>
        <v>0</v>
      </c>
      <c r="G120" s="155">
        <f>SUM('Pay App 1:Pay App 56'!H120)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57'!L120)+SUM('Pay App 1:Pay App 57'!M120)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Data'!$O$2:$BX$88,59,FALSE)</f>
        <v>0</v>
      </c>
      <c r="F121" s="155">
        <f>IFERROR(E121+'Pay App 56'!F121,"")</f>
        <v>0</v>
      </c>
      <c r="G121" s="155">
        <f>SUM('Pay App 1:Pay App 56'!H121)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57'!L121)+SUM('Pay App 1:Pay App 57'!M121)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Data'!$O$2:$BX$88,59,FALSE)</f>
        <v>0</v>
      </c>
      <c r="F122" s="155">
        <f>IFERROR(E122+'Pay App 56'!F122,"")</f>
        <v>0</v>
      </c>
      <c r="G122" s="155">
        <f>SUM('Pay App 1:Pay App 56'!H122)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57'!L122)+SUM('Pay App 1:Pay App 57'!M122)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Data'!$O$2:$BX$88,59,FALSE)</f>
        <v>0</v>
      </c>
      <c r="F123" s="155">
        <f>IFERROR(E123+'Pay App 56'!F123,"")</f>
        <v>0</v>
      </c>
      <c r="G123" s="155">
        <f>SUM('Pay App 1:Pay App 56'!H123)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57'!L123)+SUM('Pay App 1:Pay App 57'!M123)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Data'!$O$2:$BX$88,59,FALSE)</f>
        <v>0</v>
      </c>
      <c r="F124" s="155">
        <f>IFERROR(E124+'Pay App 56'!F124,"")</f>
        <v>0</v>
      </c>
      <c r="G124" s="155">
        <f>SUM('Pay App 1:Pay App 56'!H124)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57'!L124)+SUM('Pay App 1:Pay App 57'!M124)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Data'!$O$2:$BX$88,59,FALSE)</f>
        <v>0</v>
      </c>
      <c r="F125" s="155">
        <f>IFERROR(E125+'Pay App 56'!F125,"")</f>
        <v>0</v>
      </c>
      <c r="G125" s="155">
        <f>SUM('Pay App 1:Pay App 56'!H125)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57'!L125)+SUM('Pay App 1:Pay App 57'!M125)</f>
        <v>0</v>
      </c>
    </row>
    <row r="126" spans="1:14" ht="11.25" customHeight="1" x14ac:dyDescent="0.25">
      <c r="A126" s="152">
        <f t="shared" si="3"/>
        <v>65</v>
      </c>
      <c r="B126" s="188" t="str">
        <f>'Pay App 1'!B126</f>
        <v>14 20 00</v>
      </c>
      <c r="C126" s="194" t="str">
        <f>'Pay App 1'!C126</f>
        <v>Elevator</v>
      </c>
      <c r="D126" s="155">
        <f>'Pay App 1'!D126</f>
        <v>0</v>
      </c>
      <c r="E126" s="155">
        <f>VLOOKUP(B126,'Graph Data'!$O$2:$BX$88,59,FALSE)</f>
        <v>0</v>
      </c>
      <c r="F126" s="155">
        <f>IFERROR(E126+'Pay App 56'!F126,"")</f>
        <v>0</v>
      </c>
      <c r="G126" s="155">
        <f>SUM('Pay App 1:Pay App 56'!H126)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57'!L126)+SUM('Pay App 1:Pay App 57'!M126)</f>
        <v>0</v>
      </c>
    </row>
    <row r="127" spans="1:14" ht="11.25" customHeight="1" x14ac:dyDescent="0.25">
      <c r="A127" s="152">
        <f t="shared" si="3"/>
        <v>66</v>
      </c>
      <c r="B127" s="188" t="str">
        <f>'Pay App 1'!B127</f>
        <v>14 40 00</v>
      </c>
      <c r="C127" s="194" t="str">
        <f>'Pay App 1'!C127</f>
        <v>Lifts</v>
      </c>
      <c r="D127" s="155">
        <f>'Pay App 1'!D127</f>
        <v>0</v>
      </c>
      <c r="E127" s="155">
        <f>VLOOKUP(B127,'Graph Data'!$O$2:$BX$88,59,FALSE)</f>
        <v>0</v>
      </c>
      <c r="F127" s="155">
        <f>IFERROR(E127+'Pay App 56'!F127,"")</f>
        <v>0</v>
      </c>
      <c r="G127" s="155">
        <f>SUM('Pay App 1:Pay App 56'!H127)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57'!L127)+SUM('Pay App 1:Pay App 57'!M127)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Data'!$O$2:$BX$88,59,FALSE)</f>
        <v>0</v>
      </c>
      <c r="F128" s="155">
        <f>IFERROR(E128+'Pay App 56'!F128,"")</f>
        <v>0</v>
      </c>
      <c r="G128" s="155">
        <f>SUM('Pay App 1:Pay App 56'!H128)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57'!L128)+SUM('Pay App 1:Pay App 57'!M128)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Data'!$O$2:$BX$88,59,FALSE)</f>
        <v>0</v>
      </c>
      <c r="F129" s="155">
        <f>IFERROR(E129+'Pay App 56'!F129,"")</f>
        <v>0</v>
      </c>
      <c r="G129" s="155">
        <f>SUM('Pay App 1:Pay App 56'!H129)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57'!L129)+SUM('Pay App 1:Pay App 57'!M129)</f>
        <v>0</v>
      </c>
    </row>
    <row r="130" spans="1:14" ht="11.25" customHeight="1" x14ac:dyDescent="0.25">
      <c r="A130" s="152">
        <f t="shared" si="3"/>
        <v>69</v>
      </c>
      <c r="B130" s="185" t="str">
        <f>'Pay App 1'!B130</f>
        <v>22 00 00</v>
      </c>
      <c r="C130" s="191" t="str">
        <f>'Pay App 1'!C130</f>
        <v>Plumbing</v>
      </c>
      <c r="D130" s="155">
        <f>'Pay App 1'!D130</f>
        <v>0</v>
      </c>
      <c r="E130" s="155">
        <f>VLOOKUP(B130,'Graph Data'!$O$2:$BX$88,59,FALSE)</f>
        <v>0</v>
      </c>
      <c r="F130" s="155">
        <f>IFERROR(E130+'Pay App 56'!F130,"")</f>
        <v>0</v>
      </c>
      <c r="G130" s="155">
        <f>SUM('Pay App 1:Pay App 56'!H130)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57'!L130)+SUM('Pay App 1:Pay App 57'!M130)</f>
        <v>0</v>
      </c>
    </row>
    <row r="131" spans="1:14" ht="11.25" customHeight="1" x14ac:dyDescent="0.25">
      <c r="A131" s="152">
        <f t="shared" si="3"/>
        <v>70</v>
      </c>
      <c r="B131" s="186" t="str">
        <f>'Pay App 1'!B131</f>
        <v>23 00 00</v>
      </c>
      <c r="C131" s="192" t="str">
        <f>'Pay App 1'!C131</f>
        <v>HVAC</v>
      </c>
      <c r="D131" s="155">
        <f>'Pay App 1'!D131</f>
        <v>0</v>
      </c>
      <c r="E131" s="155">
        <f>VLOOKUP(B131,'Graph Data'!$O$2:$BX$88,59,FALSE)</f>
        <v>0</v>
      </c>
      <c r="F131" s="155">
        <f>IFERROR(E131+'Pay App 56'!F131,"")</f>
        <v>0</v>
      </c>
      <c r="G131" s="155">
        <f>SUM('Pay App 1:Pay App 56'!H131)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57'!L131)+SUM('Pay App 1:Pay App 57'!M131)</f>
        <v>0</v>
      </c>
    </row>
    <row r="132" spans="1:14" ht="11.25" customHeight="1" x14ac:dyDescent="0.25">
      <c r="A132" s="152">
        <f t="shared" si="3"/>
        <v>71</v>
      </c>
      <c r="B132" s="187" t="str">
        <f>'Pay App 1'!B132</f>
        <v>26 00 00</v>
      </c>
      <c r="C132" s="193" t="str">
        <f>'Pay App 1'!C132</f>
        <v>Electrical</v>
      </c>
      <c r="D132" s="155">
        <f>'Pay App 1'!D132</f>
        <v>0</v>
      </c>
      <c r="E132" s="155">
        <f>VLOOKUP(B132,'Graph Data'!$O$2:$BX$88,59,FALSE)</f>
        <v>0</v>
      </c>
      <c r="F132" s="155">
        <f>IFERROR(E132+'Pay App 56'!F132,"")</f>
        <v>0</v>
      </c>
      <c r="G132" s="155">
        <f>SUM('Pay App 1:Pay App 56'!H132)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57'!L132)+SUM('Pay App 1:Pay App 57'!M132)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Data'!$O$2:$BX$88,59,FALSE)</f>
        <v>0</v>
      </c>
      <c r="F133" s="155">
        <f>IFERROR(E133+'Pay App 56'!F133,"")</f>
        <v>0</v>
      </c>
      <c r="G133" s="155">
        <f>SUM('Pay App 1:Pay App 56'!H133)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57'!L133)+SUM('Pay App 1:Pay App 57'!M133)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Data'!$O$2:$BX$88,59,FALSE)</f>
        <v>0</v>
      </c>
      <c r="F134" s="155">
        <f>IFERROR(E134+'Pay App 56'!F134,"")</f>
        <v>0</v>
      </c>
      <c r="G134" s="155">
        <f>SUM('Pay App 1:Pay App 56'!H134)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57'!L134)+SUM('Pay App 1:Pay App 57'!M134)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Data'!$O$2:$BX$88,59,FALSE)</f>
        <v>0</v>
      </c>
      <c r="F135" s="155">
        <f>IFERROR(E135+'Pay App 56'!F135,"")</f>
        <v>0</v>
      </c>
      <c r="G135" s="155">
        <f>SUM('Pay App 1:Pay App 56'!H135)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57'!L135)+SUM('Pay App 1:Pay App 57'!M135)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Data'!$O$2:$BX$88,59,FALSE)</f>
        <v>0</v>
      </c>
      <c r="F136" s="155">
        <f>IFERROR(E136+'Pay App 56'!F136,"")</f>
        <v>0</v>
      </c>
      <c r="G136" s="155">
        <f>SUM('Pay App 1:Pay App 56'!H136)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57'!L136)+SUM('Pay App 1:Pay App 57'!M136)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Data'!$O$2:$BX$88,59,FALSE)</f>
        <v>0</v>
      </c>
      <c r="F137" s="155">
        <f>IFERROR(E137+'Pay App 56'!F137,"")</f>
        <v>0</v>
      </c>
      <c r="G137" s="155">
        <f>SUM('Pay App 1:Pay App 56'!H137)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57'!L137)+SUM('Pay App 1:Pay App 57'!M137)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Data'!$O$2:$BX$88,59,FALSE)</f>
        <v>0</v>
      </c>
      <c r="F138" s="155">
        <f>IFERROR(E138+'Pay App 56'!F138,"")</f>
        <v>0</v>
      </c>
      <c r="G138" s="155">
        <f>SUM('Pay App 1:Pay App 56'!H138)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57'!L138)+SUM('Pay App 1:Pay App 57'!M138)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Data'!$O$2:$BX$88,59,FALSE)</f>
        <v>0</v>
      </c>
      <c r="F139" s="155">
        <f>IFERROR(E139+'Pay App 56'!F139,"")</f>
        <v>0</v>
      </c>
      <c r="G139" s="155">
        <f>SUM('Pay App 1:Pay App 56'!H139)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57'!L139)+SUM('Pay App 1:Pay App 57'!M139)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Data'!$O$2:$BX$88,59,FALSE)</f>
        <v>0</v>
      </c>
      <c r="F140" s="155">
        <f>IFERROR(E140+'Pay App 56'!F140,"")</f>
        <v>0</v>
      </c>
      <c r="G140" s="155">
        <f>SUM('Pay App 1:Pay App 56'!H140)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57'!L140)+SUM('Pay App 1:Pay App 57'!M140)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Data'!$O$2:$BX$88,59,FALSE)</f>
        <v>0</v>
      </c>
      <c r="F141" s="155">
        <f>IFERROR(E141+'Pay App 56'!F141,"")</f>
        <v>0</v>
      </c>
      <c r="G141" s="155">
        <f>SUM('Pay App 1:Pay App 56'!H141)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57'!L141)+SUM('Pay App 1:Pay App 57'!M141)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Data'!$O$2:$BX$88,59,FALSE)</f>
        <v>0</v>
      </c>
      <c r="F142" s="155">
        <f>IFERROR(E142+'Pay App 56'!F142,"")</f>
        <v>0</v>
      </c>
      <c r="G142" s="155">
        <f>SUM('Pay App 1:Pay App 56'!H142)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57'!L142)+SUM('Pay App 1:Pay App 57'!M142)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Data'!$O$2:$BX$88,59,FALSE)</f>
        <v>0</v>
      </c>
      <c r="F143" s="155">
        <f>IFERROR(E143+'Pay App 56'!F143,"")</f>
        <v>0</v>
      </c>
      <c r="G143" s="155">
        <f>SUM('Pay App 1:Pay App 56'!H143)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57'!L143)+SUM('Pay App 1:Pay App 57'!M143)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Data'!$O$2:$BX$88,59,FALSE)</f>
        <v>0</v>
      </c>
      <c r="F144" s="155">
        <f>IFERROR(E144+'Pay App 56'!F144,"")</f>
        <v>0</v>
      </c>
      <c r="G144" s="155">
        <f>SUM('Pay App 1:Pay App 56'!H144)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57'!L144)+SUM('Pay App 1:Pay App 57'!M144)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Data'!$O$2:$BX$88,59,FALSE)</f>
        <v>0</v>
      </c>
      <c r="F145" s="155">
        <f>IFERROR(E145+'Pay App 56'!F145,"")</f>
        <v>0</v>
      </c>
      <c r="G145" s="155">
        <f>SUM('Pay App 1:Pay App 56'!H145)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57'!L145)+SUM('Pay App 1:Pay App 57'!M145)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Data'!$O$2:$BX$88,59,FALSE)</f>
        <v>0</v>
      </c>
      <c r="F146" s="155">
        <f>IFERROR(E146+'Pay App 56'!F146,"")</f>
        <v>0</v>
      </c>
      <c r="G146" s="155">
        <f>SUM('Pay App 1:Pay App 56'!H146)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57'!L146)+SUM('Pay App 1:Pay App 57'!M146)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Data'!$O$2:$BX$88,59,FALSE)</f>
        <v>0</v>
      </c>
      <c r="F147" s="155">
        <f>IFERROR(E147+'Pay App 56'!F147,"")</f>
        <v>0</v>
      </c>
      <c r="G147" s="155">
        <f>SUM('Pay App 1:Pay App 56'!H147)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57'!L147)+SUM('Pay App 1:Pay App 57'!M147)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Data'!$O$2:$BX$88,59,FALSE)</f>
        <v>0</v>
      </c>
      <c r="F148" s="155">
        <f>IFERROR(E148+'Pay App 56'!F148,"")</f>
        <v>0</v>
      </c>
      <c r="G148" s="155">
        <f>SUM('Pay App 1:Pay App 56'!H148)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57'!L148)+SUM('Pay App 1:Pay App 57'!M148)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xTAWORBuALTO+1jP5jxQqSZoTG1Hr1y4Zo52AJypP+4/0HrE0Ak40dFAgbg1JmT5LXuquD7/FPQ6tiAAeZI4qQ==" saltValue="Dwuv9vRy+yJab5w92AXffQ=="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43" priority="2" operator="equal">
      <formula>0</formula>
    </cfRule>
  </conditionalFormatting>
  <conditionalFormatting sqref="D106:G148">
    <cfRule type="cellIs" dxfId="42" priority="1" operator="equal">
      <formula>0</formula>
    </cfRule>
  </conditionalFormatting>
  <conditionalFormatting sqref="D10:H10 D12:H14 D19:H21">
    <cfRule type="cellIs" dxfId="41" priority="6" operator="equal">
      <formula>0</formula>
    </cfRule>
  </conditionalFormatting>
  <conditionalFormatting sqref="H51">
    <cfRule type="cellIs" dxfId="40" priority="9" operator="lessThan">
      <formula>0</formula>
    </cfRule>
  </conditionalFormatting>
  <conditionalFormatting sqref="I57:I100 K57:K100 I106:I148 K106:K148 N106:N148">
    <cfRule type="cellIs" dxfId="39" priority="14" operator="equal">
      <formula>0</formula>
    </cfRule>
  </conditionalFormatting>
  <conditionalFormatting sqref="J57:J100 J106:J149">
    <cfRule type="cellIs" dxfId="38" priority="11" operator="greaterThan">
      <formula>1</formula>
    </cfRule>
    <cfRule type="cellIs" dxfId="37" priority="12" operator="equal">
      <formula>0</formula>
    </cfRule>
  </conditionalFormatting>
  <conditionalFormatting sqref="K57:K100 K106:K148">
    <cfRule type="cellIs" dxfId="36" priority="10" operator="lessThan">
      <formula>0</formula>
    </cfRule>
  </conditionalFormatting>
  <conditionalFormatting sqref="M57:M100">
    <cfRule type="cellIs" dxfId="35" priority="13" operator="lessThan">
      <formula>0</formula>
    </cfRule>
  </conditionalFormatting>
  <conditionalFormatting sqref="M106:M148">
    <cfRule type="cellIs" dxfId="34" priority="8" operator="lessThan">
      <formula>0</formula>
    </cfRule>
  </conditionalFormatting>
  <conditionalFormatting sqref="N57:N100">
    <cfRule type="cellIs" dxfId="33"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268998B6-80ED-4F62-A533-1730FD523E65}">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B3809B0D-02C1-4097-865F-0F31FF4215C4}">
          <x14:formula1>
            <xm:f>'Graph Data'!$M$74:$M$76</xm:f>
          </x14:formula1>
          <xm:sqref>G17</xm:sqref>
        </x14:dataValidation>
      </x14:dataValidations>
    </ext>
  </extLs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1250F-B109-41D4-99D2-B3CD0CE6A09C}">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58</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58'!E149)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58'!G41)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57'!H49)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58.1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Data'!$O$2:$BX$88,60,FALSE)</f>
        <v>0</v>
      </c>
      <c r="F57" s="155">
        <f>IFERROR(E57+'Pay App 57'!F57,"")</f>
        <v>0</v>
      </c>
      <c r="G57" s="155">
        <f>SUM('Pay App 1:Pay App 57'!H57)</f>
        <v>0</v>
      </c>
      <c r="H57" s="154"/>
      <c r="I57" s="155">
        <f>G57+H57</f>
        <v>0</v>
      </c>
      <c r="J57" s="156">
        <f>IFERROR(I57/F57,0)</f>
        <v>0</v>
      </c>
      <c r="K57" s="155">
        <f>IFERROR(F57-I57,"")</f>
        <v>0</v>
      </c>
      <c r="L57" s="155" t="str">
        <f>IF(AND('Summary Sheet'!$E$23="No",$H$33&gt;0,H57&gt;=1),"",IF(AND('Summary Sheet'!$E$23="Yes",H57&lt;&gt;""),H57*'Summary Sheet'!$G$23,""))</f>
        <v/>
      </c>
      <c r="M57" s="154"/>
      <c r="N57" s="155">
        <f>SUM('Pay App 1:Pay App 58'!L57)+SUM('Pay App 1:Pay App 58'!M57)</f>
        <v>0</v>
      </c>
    </row>
    <row r="58" spans="1:16" ht="11.25" customHeight="1" x14ac:dyDescent="0.25">
      <c r="A58" s="152">
        <v>2</v>
      </c>
      <c r="B58" s="145" t="str">
        <f>'Pay App 1'!B58</f>
        <v>00 02 00</v>
      </c>
      <c r="C58" s="134" t="str">
        <f>'Pay App 1'!C58</f>
        <v>Preconstruction Services</v>
      </c>
      <c r="D58" s="155">
        <f>'Pay App 1'!D58</f>
        <v>0</v>
      </c>
      <c r="E58" s="155">
        <f>VLOOKUP(B58,'Graph Data'!$O$2:$BX$88,60,FALSE)</f>
        <v>0</v>
      </c>
      <c r="F58" s="155">
        <f>IFERROR(E58+'Pay App 57'!F58,"")</f>
        <v>0</v>
      </c>
      <c r="G58" s="155">
        <f>SUM('Pay App 1:Pay App 57'!H58)</f>
        <v>0</v>
      </c>
      <c r="H58" s="154"/>
      <c r="I58" s="155">
        <f>G58+H58</f>
        <v>0</v>
      </c>
      <c r="J58" s="156">
        <f>IFERROR(I58/F58,0)</f>
        <v>0</v>
      </c>
      <c r="K58" s="155">
        <f>IFERROR(F58-I58,"")</f>
        <v>0</v>
      </c>
      <c r="L58" s="155" t="str">
        <f>IF(AND('Summary Sheet'!$E$23="No",$H$33&gt;0,H58&gt;=1),"",IF(AND('Summary Sheet'!$E$23="Yes",H58&lt;&gt;""),H58*'Summary Sheet'!$G$23,""))</f>
        <v/>
      </c>
      <c r="M58" s="154"/>
      <c r="N58" s="155">
        <f>SUM('Pay App 1:Pay App 58'!L58)+SUM('Pay App 1:Pay App 58'!M58)</f>
        <v>0</v>
      </c>
    </row>
    <row r="59" spans="1:16" ht="11.25" customHeight="1" x14ac:dyDescent="0.25">
      <c r="A59" s="152">
        <v>3</v>
      </c>
      <c r="B59" s="174" t="str">
        <f>'Pay App 1'!B59</f>
        <v>01 00 00</v>
      </c>
      <c r="C59" s="179" t="str">
        <f>'Pay App 1'!C59</f>
        <v>General Conditions/Requirements</v>
      </c>
      <c r="D59" s="155">
        <f>'Pay App 1'!D59</f>
        <v>0</v>
      </c>
      <c r="E59" s="155">
        <f>VLOOKUP(B59,'Graph Data'!$O$2:$BX$88,60,FALSE)</f>
        <v>0</v>
      </c>
      <c r="F59" s="155">
        <f>IFERROR(E59+'Pay App 57'!F59,"")</f>
        <v>0</v>
      </c>
      <c r="G59" s="155">
        <f>SUM('Pay App 1:Pay App 57'!H59)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58'!L59)+SUM('Pay App 1:Pay App 58'!M59)</f>
        <v>0</v>
      </c>
    </row>
    <row r="60" spans="1:16" ht="11.25" customHeight="1" x14ac:dyDescent="0.25">
      <c r="A60" s="152">
        <v>4</v>
      </c>
      <c r="B60" s="174" t="str">
        <f>'Pay App 1'!B60</f>
        <v>01 13 41</v>
      </c>
      <c r="C60" s="179" t="str">
        <f>'Pay App 1'!C60</f>
        <v>Temp. Scaffolding and Platforms</v>
      </c>
      <c r="D60" s="155">
        <f>'Pay App 1'!D60</f>
        <v>0</v>
      </c>
      <c r="E60" s="155">
        <f>VLOOKUP(B60,'Graph Data'!$O$2:$BX$88,60,FALSE)</f>
        <v>0</v>
      </c>
      <c r="F60" s="155">
        <f>IFERROR(E60+'Pay App 57'!F60,"")</f>
        <v>0</v>
      </c>
      <c r="G60" s="155">
        <f>SUM('Pay App 1:Pay App 57'!H60)</f>
        <v>0</v>
      </c>
      <c r="H60" s="154"/>
      <c r="I60" s="155">
        <f t="shared" si="0"/>
        <v>0</v>
      </c>
      <c r="J60" s="156">
        <f t="shared" si="1"/>
        <v>0</v>
      </c>
      <c r="K60" s="155">
        <f t="shared" si="2"/>
        <v>0</v>
      </c>
      <c r="L60" s="155" t="str">
        <f>IF(AND('Summary Sheet'!$E$23="No",$H$33&gt;0,H60&gt;=1),"",IF(AND('Summary Sheet'!$E$23="Yes",H60&lt;&gt;""),H60*'Summary Sheet'!$G$23,""))</f>
        <v/>
      </c>
      <c r="M60" s="154"/>
      <c r="N60" s="155">
        <f>SUM('Pay App 1:Pay App 58'!L60)+SUM('Pay App 1:Pay App 58'!M60)</f>
        <v>0</v>
      </c>
    </row>
    <row r="61" spans="1:16" ht="11.25" customHeight="1" x14ac:dyDescent="0.25">
      <c r="A61" s="152">
        <v>5</v>
      </c>
      <c r="B61" s="174" t="str">
        <f>'Pay App 1'!B61</f>
        <v>01 13 60</v>
      </c>
      <c r="C61" s="179" t="str">
        <f>'Pay App 1'!C61</f>
        <v>SWPPP</v>
      </c>
      <c r="D61" s="155">
        <f>'Pay App 1'!D61</f>
        <v>0</v>
      </c>
      <c r="E61" s="155">
        <f>VLOOKUP(B61,'Graph Data'!$O$2:$BX$88,60,FALSE)</f>
        <v>0</v>
      </c>
      <c r="F61" s="155">
        <f>IFERROR(E61+'Pay App 57'!F61,"")</f>
        <v>0</v>
      </c>
      <c r="G61" s="155">
        <f>SUM('Pay App 1:Pay App 57'!H61)</f>
        <v>0</v>
      </c>
      <c r="H61" s="154"/>
      <c r="I61" s="155">
        <f t="shared" si="0"/>
        <v>0</v>
      </c>
      <c r="J61" s="156">
        <f t="shared" si="1"/>
        <v>0</v>
      </c>
      <c r="K61" s="155">
        <f t="shared" si="2"/>
        <v>0</v>
      </c>
      <c r="L61" s="155" t="str">
        <f>IF(AND('Summary Sheet'!$E$23="No",$H$33&gt;0,H61&gt;=1),"",IF(AND('Summary Sheet'!$E$23="Yes",H61&lt;&gt;""),H61*'Summary Sheet'!$G$23,""))</f>
        <v/>
      </c>
      <c r="M61" s="154"/>
      <c r="N61" s="155">
        <f>SUM('Pay App 1:Pay App 58'!L61)+SUM('Pay App 1:Pay App 58'!M61)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Data'!$O$2:$BX$88,60,FALSE)</f>
        <v>0</v>
      </c>
      <c r="F62" s="155">
        <f>IFERROR(E62+'Pay App 57'!F62,"")</f>
        <v>0</v>
      </c>
      <c r="G62" s="155">
        <f>SUM('Pay App 1:Pay App 57'!H62)</f>
        <v>0</v>
      </c>
      <c r="H62" s="154"/>
      <c r="I62" s="155">
        <f t="shared" si="0"/>
        <v>0</v>
      </c>
      <c r="J62" s="156">
        <f t="shared" si="1"/>
        <v>0</v>
      </c>
      <c r="K62" s="155">
        <f t="shared" si="2"/>
        <v>0</v>
      </c>
      <c r="L62" s="155" t="str">
        <f>IF(AND('Summary Sheet'!$E$23="No",$H$33&gt;0,H62&gt;=1),"",IF(AND('Summary Sheet'!$E$23="Yes",H62&lt;&gt;""),H62*'Summary Sheet'!$G$23,""))</f>
        <v/>
      </c>
      <c r="M62" s="154"/>
      <c r="N62" s="155">
        <f>SUM('Pay App 1:Pay App 58'!L62)+SUM('Pay App 1:Pay App 58'!M62)</f>
        <v>0</v>
      </c>
    </row>
    <row r="63" spans="1:16" ht="11.25" customHeight="1" x14ac:dyDescent="0.25">
      <c r="A63" s="152">
        <v>7</v>
      </c>
      <c r="B63" s="174" t="str">
        <f>'Pay App 1'!B63</f>
        <v>01 31 00</v>
      </c>
      <c r="C63" s="179" t="str">
        <f>'Pay App 1'!C63</f>
        <v>Contractor's Supervision</v>
      </c>
      <c r="D63" s="155">
        <f>'Pay App 1'!D63</f>
        <v>0</v>
      </c>
      <c r="E63" s="155">
        <f>VLOOKUP(B63,'Graph Data'!$O$2:$BX$88,60,FALSE)</f>
        <v>0</v>
      </c>
      <c r="F63" s="155">
        <f>IFERROR(E63+'Pay App 57'!F63,"")</f>
        <v>0</v>
      </c>
      <c r="G63" s="155">
        <f>SUM('Pay App 1:Pay App 57'!H63)</f>
        <v>0</v>
      </c>
      <c r="H63" s="154"/>
      <c r="I63" s="155">
        <f t="shared" si="0"/>
        <v>0</v>
      </c>
      <c r="J63" s="156">
        <f t="shared" si="1"/>
        <v>0</v>
      </c>
      <c r="K63" s="155">
        <f t="shared" si="2"/>
        <v>0</v>
      </c>
      <c r="L63" s="155" t="str">
        <f>IF(AND('Summary Sheet'!$E$23="No",$H$33&gt;0,H63&gt;=1),"",IF(AND('Summary Sheet'!$E$23="Yes",H63&lt;&gt;""),H63*'Summary Sheet'!$G$23,""))</f>
        <v/>
      </c>
      <c r="M63" s="154"/>
      <c r="N63" s="155">
        <f>SUM('Pay App 1:Pay App 58'!L63)+SUM('Pay App 1:Pay App 58'!M63)</f>
        <v>0</v>
      </c>
    </row>
    <row r="64" spans="1:16" ht="11.25" customHeight="1" x14ac:dyDescent="0.25">
      <c r="A64" s="152">
        <v>8</v>
      </c>
      <c r="B64" s="174" t="str">
        <f>'Pay App 1'!B64</f>
        <v>01 32 00</v>
      </c>
      <c r="C64" s="179" t="str">
        <f>'Pay App 1'!C64</f>
        <v>General Liability Insurance</v>
      </c>
      <c r="D64" s="155">
        <f>'Pay App 1'!D64</f>
        <v>0</v>
      </c>
      <c r="E64" s="155">
        <f>VLOOKUP(B64,'Graph Data'!$O$2:$BX$88,60,FALSE)</f>
        <v>0</v>
      </c>
      <c r="F64" s="155">
        <f>IFERROR(E64+'Pay App 57'!F64,"")</f>
        <v>0</v>
      </c>
      <c r="G64" s="155">
        <f>SUM('Pay App 1:Pay App 57'!H64)</f>
        <v>0</v>
      </c>
      <c r="H64" s="154"/>
      <c r="I64" s="155">
        <f t="shared" si="0"/>
        <v>0</v>
      </c>
      <c r="J64" s="156">
        <f t="shared" si="1"/>
        <v>0</v>
      </c>
      <c r="K64" s="155">
        <f t="shared" si="2"/>
        <v>0</v>
      </c>
      <c r="L64" s="155" t="str">
        <f>IF(AND('Summary Sheet'!$E$23="No",$H$33&gt;0,H64&gt;=1),"",IF(AND('Summary Sheet'!$E$23="Yes",H64&lt;&gt;""),H64*'Summary Sheet'!$G$23,""))</f>
        <v/>
      </c>
      <c r="M64" s="154"/>
      <c r="N64" s="155">
        <f>SUM('Pay App 1:Pay App 58'!L64)+SUM('Pay App 1:Pay App 58'!M64)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Data'!$O$2:$BX$88,60,FALSE)</f>
        <v>0</v>
      </c>
      <c r="F65" s="155">
        <f>IFERROR(E65+'Pay App 57'!F65,"")</f>
        <v>0</v>
      </c>
      <c r="G65" s="155">
        <f>SUM('Pay App 1:Pay App 57'!H65)</f>
        <v>0</v>
      </c>
      <c r="H65" s="154"/>
      <c r="I65" s="155">
        <f t="shared" si="0"/>
        <v>0</v>
      </c>
      <c r="J65" s="156">
        <f t="shared" si="1"/>
        <v>0</v>
      </c>
      <c r="K65" s="155">
        <f t="shared" si="2"/>
        <v>0</v>
      </c>
      <c r="L65" s="155" t="str">
        <f>IF(AND('Summary Sheet'!$E$23="No",$H$33&gt;0,H65&gt;=1),"",IF(AND('Summary Sheet'!$E$23="Yes",H65&lt;&gt;""),H65*'Summary Sheet'!$G$23,""))</f>
        <v/>
      </c>
      <c r="M65" s="154"/>
      <c r="N65" s="155">
        <f>SUM('Pay App 1:Pay App 58'!L65)+SUM('Pay App 1:Pay App 58'!M65)</f>
        <v>0</v>
      </c>
    </row>
    <row r="66" spans="1:17" ht="11.25" customHeight="1" x14ac:dyDescent="0.25">
      <c r="A66" s="152">
        <v>10</v>
      </c>
      <c r="B66" s="174" t="str">
        <f>'Pay App 1'!B66</f>
        <v>01 34 00</v>
      </c>
      <c r="C66" s="179" t="str">
        <f>'Pay App 1'!C66</f>
        <v>Subcontractor Default Insurance</v>
      </c>
      <c r="D66" s="155">
        <f>'Pay App 1'!D66</f>
        <v>0</v>
      </c>
      <c r="E66" s="155">
        <f>VLOOKUP(B66,'Graph Data'!$O$2:$BX$88,60,FALSE)</f>
        <v>0</v>
      </c>
      <c r="F66" s="155">
        <f>IFERROR(E66+'Pay App 57'!F66,"")</f>
        <v>0</v>
      </c>
      <c r="G66" s="155">
        <f>SUM('Pay App 1:Pay App 57'!H66)</f>
        <v>0</v>
      </c>
      <c r="H66" s="154"/>
      <c r="I66" s="155">
        <f t="shared" si="0"/>
        <v>0</v>
      </c>
      <c r="J66" s="156">
        <f t="shared" si="1"/>
        <v>0</v>
      </c>
      <c r="K66" s="155">
        <f t="shared" si="2"/>
        <v>0</v>
      </c>
      <c r="L66" s="155" t="str">
        <f>IF(AND('Summary Sheet'!$E$23="No",$H$33&gt;0,H66&gt;=1),"",IF(AND('Summary Sheet'!$E$23="Yes",H66&lt;&gt;""),H66*'Summary Sheet'!$G$23,""))</f>
        <v/>
      </c>
      <c r="M66" s="154"/>
      <c r="N66" s="155">
        <f>SUM('Pay App 1:Pay App 58'!L66)+SUM('Pay App 1:Pay App 58'!M66)</f>
        <v>0</v>
      </c>
    </row>
    <row r="67" spans="1:17" ht="11.25" customHeight="1" x14ac:dyDescent="0.25">
      <c r="A67" s="152">
        <v>11</v>
      </c>
      <c r="B67" s="174" t="str">
        <f>'Pay App 1'!B67</f>
        <v>01 35 00</v>
      </c>
      <c r="C67" s="179" t="str">
        <f>'Pay App 1'!C67</f>
        <v>Construction Management Fee</v>
      </c>
      <c r="D67" s="155">
        <f>'Pay App 1'!D67</f>
        <v>0</v>
      </c>
      <c r="E67" s="155">
        <f>VLOOKUP(B67,'Graph Data'!$O$2:$BX$88,60,FALSE)</f>
        <v>0</v>
      </c>
      <c r="F67" s="155">
        <f>IFERROR(E67+'Pay App 57'!F67,"")</f>
        <v>0</v>
      </c>
      <c r="G67" s="155">
        <f>SUM('Pay App 1:Pay App 57'!H67)</f>
        <v>0</v>
      </c>
      <c r="H67" s="154"/>
      <c r="I67" s="155">
        <f t="shared" si="0"/>
        <v>0</v>
      </c>
      <c r="J67" s="156">
        <f t="shared" si="1"/>
        <v>0</v>
      </c>
      <c r="K67" s="155">
        <f t="shared" si="2"/>
        <v>0</v>
      </c>
      <c r="L67" s="155" t="str">
        <f>IF(AND('Summary Sheet'!$E$23="No",$H$33&gt;0,H67&gt;=1),"",IF(AND('Summary Sheet'!$E$23="Yes",H67&lt;&gt;""),H67*'Summary Sheet'!$G$23,""))</f>
        <v/>
      </c>
      <c r="M67" s="154"/>
      <c r="N67" s="155">
        <f>SUM('Pay App 1:Pay App 58'!L67)+SUM('Pay App 1:Pay App 58'!M67)</f>
        <v>0</v>
      </c>
    </row>
    <row r="68" spans="1:17" ht="11.25" customHeight="1" x14ac:dyDescent="0.25">
      <c r="A68" s="152">
        <v>12</v>
      </c>
      <c r="B68" s="174" t="str">
        <f>'Pay App 1'!B68</f>
        <v>01 36 00</v>
      </c>
      <c r="C68" s="179" t="str">
        <f>'Pay App 1'!C68</f>
        <v>Contingency</v>
      </c>
      <c r="D68" s="155">
        <f>'Pay App 1'!D68</f>
        <v>0</v>
      </c>
      <c r="E68" s="155">
        <f>VLOOKUP(B68,'Graph Data'!$O$2:$BX$88,60,FALSE)</f>
        <v>0</v>
      </c>
      <c r="F68" s="155">
        <f>IFERROR(E68+'Pay App 57'!F68,"")</f>
        <v>0</v>
      </c>
      <c r="G68" s="155">
        <f>SUM('Pay App 1:Pay App 57'!H68)</f>
        <v>0</v>
      </c>
      <c r="H68" s="154"/>
      <c r="I68" s="155">
        <f t="shared" si="0"/>
        <v>0</v>
      </c>
      <c r="J68" s="156">
        <f t="shared" si="1"/>
        <v>0</v>
      </c>
      <c r="K68" s="155">
        <f t="shared" si="2"/>
        <v>0</v>
      </c>
      <c r="L68" s="155" t="str">
        <f>IF(AND('Summary Sheet'!$E$23="No",$H$33&gt;0,H68&gt;=1),"",IF(AND('Summary Sheet'!$E$23="Yes",H68&lt;&gt;""),H68*'Summary Sheet'!$G$23,""))</f>
        <v/>
      </c>
      <c r="M68" s="154"/>
      <c r="N68" s="155">
        <f>SUM('Pay App 1:Pay App 58'!L68)+SUM('Pay App 1:Pay App 58'!M68)</f>
        <v>0</v>
      </c>
    </row>
    <row r="69" spans="1:17" ht="11.25" customHeight="1" x14ac:dyDescent="0.25">
      <c r="A69" s="152">
        <v>13</v>
      </c>
      <c r="B69" s="174" t="str">
        <f>'Pay App 1'!B69</f>
        <v>01 37 00</v>
      </c>
      <c r="C69" s="179" t="str">
        <f>'Pay App 1'!C69</f>
        <v>Weather Allowance (All Trades)</v>
      </c>
      <c r="D69" s="155">
        <f>'Pay App 1'!D69</f>
        <v>0</v>
      </c>
      <c r="E69" s="155">
        <f>VLOOKUP(B69,'Graph Data'!$O$2:$BX$88,60,FALSE)</f>
        <v>0</v>
      </c>
      <c r="F69" s="155">
        <f>IFERROR(E69+'Pay App 57'!F69,"")</f>
        <v>0</v>
      </c>
      <c r="G69" s="155">
        <f>SUM('Pay App 1:Pay App 57'!H69)</f>
        <v>0</v>
      </c>
      <c r="H69" s="154"/>
      <c r="I69" s="155">
        <f t="shared" si="0"/>
        <v>0</v>
      </c>
      <c r="J69" s="156">
        <f t="shared" si="1"/>
        <v>0</v>
      </c>
      <c r="K69" s="155">
        <f t="shared" si="2"/>
        <v>0</v>
      </c>
      <c r="L69" s="155" t="str">
        <f>IF(AND('Summary Sheet'!$E$23="No",$H$33&gt;0,H69&gt;=1),"",IF(AND('Summary Sheet'!$E$23="Yes",H69&lt;&gt;""),H69*'Summary Sheet'!$G$23,""))</f>
        <v/>
      </c>
      <c r="M69" s="154"/>
      <c r="N69" s="155">
        <f>SUM('Pay App 1:Pay App 58'!L69)+SUM('Pay App 1:Pay App 58'!M69)</f>
        <v>0</v>
      </c>
    </row>
    <row r="70" spans="1:17" ht="11.25" customHeight="1" x14ac:dyDescent="0.25">
      <c r="A70" s="152">
        <v>14</v>
      </c>
      <c r="B70" s="174" t="str">
        <f>'Pay App 1'!B70</f>
        <v>01 74 23</v>
      </c>
      <c r="C70" s="179" t="str">
        <f>'Pay App 1'!C70</f>
        <v>Cleaning (Final)</v>
      </c>
      <c r="D70" s="155">
        <f>'Pay App 1'!D70</f>
        <v>0</v>
      </c>
      <c r="E70" s="155">
        <f>VLOOKUP(B70,'Graph Data'!$O$2:$BX$88,60,FALSE)</f>
        <v>0</v>
      </c>
      <c r="F70" s="155">
        <f>IFERROR(E70+'Pay App 57'!F70,"")</f>
        <v>0</v>
      </c>
      <c r="G70" s="155">
        <f>SUM('Pay App 1:Pay App 57'!H70)</f>
        <v>0</v>
      </c>
      <c r="H70" s="154"/>
      <c r="I70" s="155">
        <f t="shared" si="0"/>
        <v>0</v>
      </c>
      <c r="J70" s="156">
        <f t="shared" si="1"/>
        <v>0</v>
      </c>
      <c r="K70" s="155">
        <f t="shared" si="2"/>
        <v>0</v>
      </c>
      <c r="L70" s="155" t="str">
        <f>IF(AND('Summary Sheet'!$E$23="No",$H$33&gt;0,H70&gt;=1),"",IF(AND('Summary Sheet'!$E$23="Yes",H70&lt;&gt;""),H70*'Summary Sheet'!$G$23,""))</f>
        <v/>
      </c>
      <c r="M70" s="154"/>
      <c r="N70" s="155">
        <f>SUM('Pay App 1:Pay App 58'!L70)+SUM('Pay App 1:Pay App 58'!M70)</f>
        <v>0</v>
      </c>
    </row>
    <row r="71" spans="1:17" ht="11.25" customHeight="1" x14ac:dyDescent="0.25">
      <c r="A71" s="152">
        <v>15</v>
      </c>
      <c r="B71" s="175" t="str">
        <f>'Pay App 1'!B71</f>
        <v>02 21 00</v>
      </c>
      <c r="C71" s="180" t="str">
        <f>'Pay App 1'!C71</f>
        <v>Survey/Engineering</v>
      </c>
      <c r="D71" s="155">
        <f>'Pay App 1'!D71</f>
        <v>0</v>
      </c>
      <c r="E71" s="155">
        <f>VLOOKUP(B71,'Graph Data'!$O$2:$BX$88,60,FALSE)</f>
        <v>0</v>
      </c>
      <c r="F71" s="155">
        <f>IFERROR(E71+'Pay App 57'!F71,"")</f>
        <v>0</v>
      </c>
      <c r="G71" s="155">
        <f>SUM('Pay App 1:Pay App 57'!H71)</f>
        <v>0</v>
      </c>
      <c r="H71" s="154"/>
      <c r="I71" s="155">
        <f t="shared" si="0"/>
        <v>0</v>
      </c>
      <c r="J71" s="156">
        <f t="shared" si="1"/>
        <v>0</v>
      </c>
      <c r="K71" s="155">
        <f t="shared" si="2"/>
        <v>0</v>
      </c>
      <c r="L71" s="155" t="str">
        <f>IF(AND('Summary Sheet'!$E$23="No",$H$33&gt;0,H71&gt;=1),"",IF(AND('Summary Sheet'!$E$23="Yes",H71&lt;&gt;""),H71*'Summary Sheet'!$G$23,""))</f>
        <v/>
      </c>
      <c r="M71" s="154"/>
      <c r="N71" s="155">
        <f>SUM('Pay App 1:Pay App 58'!L71)+SUM('Pay App 1:Pay App 58'!M71)</f>
        <v>0</v>
      </c>
      <c r="Q71" s="28"/>
    </row>
    <row r="72" spans="1:17" ht="11.25" customHeight="1" x14ac:dyDescent="0.25">
      <c r="A72" s="152">
        <v>16</v>
      </c>
      <c r="B72" s="175" t="str">
        <f>'Pay App 1'!B72</f>
        <v>02 41 00</v>
      </c>
      <c r="C72" s="180" t="str">
        <f>'Pay App 1'!C72</f>
        <v>Demolition</v>
      </c>
      <c r="D72" s="155">
        <f>'Pay App 1'!D72</f>
        <v>0</v>
      </c>
      <c r="E72" s="155">
        <f>VLOOKUP(B72,'Graph Data'!$O$2:$BX$88,60,FALSE)</f>
        <v>0</v>
      </c>
      <c r="F72" s="155">
        <f>IFERROR(E72+'Pay App 57'!F72,"")</f>
        <v>0</v>
      </c>
      <c r="G72" s="155">
        <f>SUM('Pay App 1:Pay App 57'!H72)</f>
        <v>0</v>
      </c>
      <c r="H72" s="154"/>
      <c r="I72" s="155">
        <f t="shared" si="0"/>
        <v>0</v>
      </c>
      <c r="J72" s="156">
        <f t="shared" si="1"/>
        <v>0</v>
      </c>
      <c r="K72" s="155">
        <f t="shared" si="2"/>
        <v>0</v>
      </c>
      <c r="L72" s="155" t="str">
        <f>IF(AND('Summary Sheet'!$E$23="No",$H$33&gt;0,H72&gt;=1),"",IF(AND('Summary Sheet'!$E$23="Yes",H72&lt;&gt;""),H72*'Summary Sheet'!$G$23,""))</f>
        <v/>
      </c>
      <c r="M72" s="154"/>
      <c r="N72" s="155">
        <f>SUM('Pay App 1:Pay App 58'!L72)+SUM('Pay App 1:Pay App 58'!M72)</f>
        <v>0</v>
      </c>
      <c r="Q72" s="28"/>
    </row>
    <row r="73" spans="1:17" ht="11.25" customHeight="1" x14ac:dyDescent="0.25">
      <c r="A73" s="152">
        <v>17</v>
      </c>
      <c r="B73" s="175" t="str">
        <f>'Pay App 1'!B73</f>
        <v>02 82 00</v>
      </c>
      <c r="C73" s="180" t="str">
        <f>'Pay App 1'!C73</f>
        <v>Asbestos Abatement</v>
      </c>
      <c r="D73" s="155">
        <f>'Pay App 1'!D73</f>
        <v>0</v>
      </c>
      <c r="E73" s="155">
        <f>VLOOKUP(B73,'Graph Data'!$O$2:$BX$88,60,FALSE)</f>
        <v>0</v>
      </c>
      <c r="F73" s="155">
        <f>IFERROR(E73+'Pay App 57'!F73,"")</f>
        <v>0</v>
      </c>
      <c r="G73" s="155">
        <f>SUM('Pay App 1:Pay App 57'!H73)</f>
        <v>0</v>
      </c>
      <c r="H73" s="154"/>
      <c r="I73" s="155">
        <f t="shared" si="0"/>
        <v>0</v>
      </c>
      <c r="J73" s="156">
        <f t="shared" si="1"/>
        <v>0</v>
      </c>
      <c r="K73" s="155">
        <f t="shared" si="2"/>
        <v>0</v>
      </c>
      <c r="L73" s="155" t="str">
        <f>IF(AND('Summary Sheet'!$E$23="No",$H$33&gt;0,H73&gt;=1),"",IF(AND('Summary Sheet'!$E$23="Yes",H73&lt;&gt;""),H73*'Summary Sheet'!$G$23,""))</f>
        <v/>
      </c>
      <c r="M73" s="154"/>
      <c r="N73" s="155">
        <f>SUM('Pay App 1:Pay App 58'!L73)+SUM('Pay App 1:Pay App 58'!M73)</f>
        <v>0</v>
      </c>
    </row>
    <row r="74" spans="1:17" ht="11.25" customHeight="1" x14ac:dyDescent="0.25">
      <c r="A74" s="152">
        <v>18</v>
      </c>
      <c r="B74" s="176" t="str">
        <f>'Pay App 1'!B74</f>
        <v>03 00 00</v>
      </c>
      <c r="C74" s="181" t="str">
        <f>'Pay App 1'!C74</f>
        <v>Building Concrete</v>
      </c>
      <c r="D74" s="155">
        <f>'Pay App 1'!D74</f>
        <v>0</v>
      </c>
      <c r="E74" s="155">
        <f>VLOOKUP(B74,'Graph Data'!$O$2:$BX$88,60,FALSE)</f>
        <v>0</v>
      </c>
      <c r="F74" s="155">
        <f>IFERROR(E74+'Pay App 57'!F74,"")</f>
        <v>0</v>
      </c>
      <c r="G74" s="155">
        <f>SUM('Pay App 1:Pay App 57'!H74)</f>
        <v>0</v>
      </c>
      <c r="H74" s="154"/>
      <c r="I74" s="155">
        <f t="shared" si="0"/>
        <v>0</v>
      </c>
      <c r="J74" s="156">
        <f t="shared" si="1"/>
        <v>0</v>
      </c>
      <c r="K74" s="155">
        <f t="shared" si="2"/>
        <v>0</v>
      </c>
      <c r="L74" s="155" t="str">
        <f>IF(AND('Summary Sheet'!$E$23="No",$H$33&gt;0,H74&gt;=1),"",IF(AND('Summary Sheet'!$E$23="Yes",H74&lt;&gt;""),H74*'Summary Sheet'!$G$23,""))</f>
        <v/>
      </c>
      <c r="M74" s="154"/>
      <c r="N74" s="155">
        <f>SUM('Pay App 1:Pay App 58'!L74)+SUM('Pay App 1:Pay App 58'!M74)</f>
        <v>0</v>
      </c>
    </row>
    <row r="75" spans="1:17" ht="11.25" customHeight="1" x14ac:dyDescent="0.25">
      <c r="A75" s="152">
        <v>19</v>
      </c>
      <c r="B75" s="176" t="str">
        <f>'Pay App 1'!B75</f>
        <v>03 20 00</v>
      </c>
      <c r="C75" s="181" t="str">
        <f>'Pay App 1'!C75</f>
        <v>Building Concrete Reinforcing</v>
      </c>
      <c r="D75" s="155">
        <f>'Pay App 1'!D75</f>
        <v>0</v>
      </c>
      <c r="E75" s="155">
        <f>VLOOKUP(B75,'Graph Data'!$O$2:$BX$88,60,FALSE)</f>
        <v>0</v>
      </c>
      <c r="F75" s="155">
        <f>IFERROR(E75+'Pay App 57'!F75,"")</f>
        <v>0</v>
      </c>
      <c r="G75" s="155">
        <f>SUM('Pay App 1:Pay App 57'!H75)</f>
        <v>0</v>
      </c>
      <c r="H75" s="154"/>
      <c r="I75" s="155">
        <f t="shared" si="0"/>
        <v>0</v>
      </c>
      <c r="J75" s="156">
        <f t="shared" si="1"/>
        <v>0</v>
      </c>
      <c r="K75" s="155">
        <f t="shared" si="2"/>
        <v>0</v>
      </c>
      <c r="L75" s="155" t="str">
        <f>IF(AND('Summary Sheet'!$E$23="No",$H$33&gt;0,H75&gt;=1),"",IF(AND('Summary Sheet'!$E$23="Yes",H75&lt;&gt;""),H75*'Summary Sheet'!$G$23,""))</f>
        <v/>
      </c>
      <c r="M75" s="154"/>
      <c r="N75" s="155">
        <f>SUM('Pay App 1:Pay App 58'!L75)+SUM('Pay App 1:Pay App 58'!M75)</f>
        <v>0</v>
      </c>
    </row>
    <row r="76" spans="1:17" ht="11.25" customHeight="1" x14ac:dyDescent="0.25">
      <c r="A76" s="152">
        <v>20</v>
      </c>
      <c r="B76" s="176" t="str">
        <f>'Pay App 1'!B76</f>
        <v>03 40 00</v>
      </c>
      <c r="C76" s="181" t="str">
        <f>'Pay App 1'!C76</f>
        <v>Precast</v>
      </c>
      <c r="D76" s="155">
        <f>'Pay App 1'!D76</f>
        <v>0</v>
      </c>
      <c r="E76" s="155">
        <f>VLOOKUP(B76,'Graph Data'!$O$2:$BX$88,60,FALSE)</f>
        <v>0</v>
      </c>
      <c r="F76" s="155">
        <f>IFERROR(E76+'Pay App 57'!F76,"")</f>
        <v>0</v>
      </c>
      <c r="G76" s="155">
        <f>SUM('Pay App 1:Pay App 57'!H76)</f>
        <v>0</v>
      </c>
      <c r="H76" s="154"/>
      <c r="I76" s="155">
        <f t="shared" si="0"/>
        <v>0</v>
      </c>
      <c r="J76" s="156">
        <f t="shared" si="1"/>
        <v>0</v>
      </c>
      <c r="K76" s="155">
        <f t="shared" si="2"/>
        <v>0</v>
      </c>
      <c r="L76" s="155" t="str">
        <f>IF(AND('Summary Sheet'!$E$23="No",$H$33&gt;0,H76&gt;=1),"",IF(AND('Summary Sheet'!$E$23="Yes",H76&lt;&gt;""),H76*'Summary Sheet'!$G$23,""))</f>
        <v/>
      </c>
      <c r="M76" s="154"/>
      <c r="N76" s="155">
        <f>SUM('Pay App 1:Pay App 58'!L76)+SUM('Pay App 1:Pay App 58'!M76)</f>
        <v>0</v>
      </c>
    </row>
    <row r="77" spans="1:17" ht="11.25" customHeight="1" x14ac:dyDescent="0.25">
      <c r="A77" s="152">
        <v>21</v>
      </c>
      <c r="B77" s="177" t="str">
        <f>'Pay App 1'!B77</f>
        <v>04 00 00</v>
      </c>
      <c r="C77" s="182" t="str">
        <f>'Pay App 1'!C77</f>
        <v>Masonry</v>
      </c>
      <c r="D77" s="155">
        <f>'Pay App 1'!D77</f>
        <v>0</v>
      </c>
      <c r="E77" s="155">
        <f>VLOOKUP(B77,'Graph Data'!$O$2:$BX$88,60,FALSE)</f>
        <v>0</v>
      </c>
      <c r="F77" s="155">
        <f>IFERROR(E77+'Pay App 57'!F77,"")</f>
        <v>0</v>
      </c>
      <c r="G77" s="155">
        <f>SUM('Pay App 1:Pay App 57'!H77)</f>
        <v>0</v>
      </c>
      <c r="H77" s="154"/>
      <c r="I77" s="155">
        <f t="shared" si="0"/>
        <v>0</v>
      </c>
      <c r="J77" s="156">
        <f t="shared" si="1"/>
        <v>0</v>
      </c>
      <c r="K77" s="155">
        <f t="shared" si="2"/>
        <v>0</v>
      </c>
      <c r="L77" s="155" t="str">
        <f>IF(AND('Summary Sheet'!$E$23="No",$H$33&gt;0,H77&gt;=1),"",IF(AND('Summary Sheet'!$E$23="Yes",H77&lt;&gt;""),H77*'Summary Sheet'!$G$23,""))</f>
        <v/>
      </c>
      <c r="M77" s="154"/>
      <c r="N77" s="155">
        <f>SUM('Pay App 1:Pay App 58'!L77)+SUM('Pay App 1:Pay App 58'!M77)</f>
        <v>0</v>
      </c>
    </row>
    <row r="78" spans="1:17" ht="11.25" customHeight="1" x14ac:dyDescent="0.25">
      <c r="A78" s="152">
        <v>22</v>
      </c>
      <c r="B78" s="177" t="str">
        <f>'Pay App 1'!B78</f>
        <v>04 05 19</v>
      </c>
      <c r="C78" s="182" t="str">
        <f>'Pay App 1'!C78</f>
        <v>Masonry Reinforcing</v>
      </c>
      <c r="D78" s="155">
        <f>'Pay App 1'!D78</f>
        <v>0</v>
      </c>
      <c r="E78" s="155">
        <f>VLOOKUP(B78,'Graph Data'!$O$2:$BX$88,60,FALSE)</f>
        <v>0</v>
      </c>
      <c r="F78" s="155">
        <f>IFERROR(E78+'Pay App 57'!F78,"")</f>
        <v>0</v>
      </c>
      <c r="G78" s="155">
        <f>SUM('Pay App 1:Pay App 57'!H78)</f>
        <v>0</v>
      </c>
      <c r="H78" s="154"/>
      <c r="I78" s="155">
        <f t="shared" si="0"/>
        <v>0</v>
      </c>
      <c r="J78" s="156">
        <f t="shared" si="1"/>
        <v>0</v>
      </c>
      <c r="K78" s="155">
        <f t="shared" si="2"/>
        <v>0</v>
      </c>
      <c r="L78" s="155" t="str">
        <f>IF(AND('Summary Sheet'!$E$23="No",$H$33&gt;0,H78&gt;=1),"",IF(AND('Summary Sheet'!$E$23="Yes",H78&lt;&gt;""),H78*'Summary Sheet'!$G$23,""))</f>
        <v/>
      </c>
      <c r="M78" s="154"/>
      <c r="N78" s="155">
        <f>SUM('Pay App 1:Pay App 58'!L78)+SUM('Pay App 1:Pay App 58'!M78)</f>
        <v>0</v>
      </c>
    </row>
    <row r="79" spans="1:17" ht="11.25" customHeight="1" x14ac:dyDescent="0.25">
      <c r="A79" s="152">
        <v>23</v>
      </c>
      <c r="B79" s="178" t="str">
        <f>'Pay App 1'!B79</f>
        <v>05 10 00</v>
      </c>
      <c r="C79" s="183" t="str">
        <f>'Pay App 1'!C79</f>
        <v>Structural Steel/Misc. Steel Fab</v>
      </c>
      <c r="D79" s="155">
        <f>'Pay App 1'!D79</f>
        <v>0</v>
      </c>
      <c r="E79" s="155">
        <f>VLOOKUP(B79,'Graph Data'!$O$2:$BX$88,60,FALSE)</f>
        <v>0</v>
      </c>
      <c r="F79" s="155">
        <f>IFERROR(E79+'Pay App 57'!F79,"")</f>
        <v>0</v>
      </c>
      <c r="G79" s="155">
        <f>SUM('Pay App 1:Pay App 57'!H79)</f>
        <v>0</v>
      </c>
      <c r="H79" s="154"/>
      <c r="I79" s="155">
        <f t="shared" si="0"/>
        <v>0</v>
      </c>
      <c r="J79" s="156">
        <f t="shared" si="1"/>
        <v>0</v>
      </c>
      <c r="K79" s="155">
        <f t="shared" si="2"/>
        <v>0</v>
      </c>
      <c r="L79" s="155" t="str">
        <f>IF(AND('Summary Sheet'!$E$23="No",$H$33&gt;0,H79&gt;=1),"",IF(AND('Summary Sheet'!$E$23="Yes",H79&lt;&gt;""),H79*'Summary Sheet'!$G$23,""))</f>
        <v/>
      </c>
      <c r="M79" s="154"/>
      <c r="N79" s="155">
        <f>SUM('Pay App 1:Pay App 58'!L79)+SUM('Pay App 1:Pay App 58'!M79)</f>
        <v>0</v>
      </c>
    </row>
    <row r="80" spans="1:17" ht="11.25" customHeight="1" x14ac:dyDescent="0.25">
      <c r="A80" s="152">
        <v>24</v>
      </c>
      <c r="B80" s="178" t="str">
        <f>'Pay App 1'!B80</f>
        <v>05 20 00</v>
      </c>
      <c r="C80" s="183" t="str">
        <f>'Pay App 1'!C80</f>
        <v>Joists &amp; Deck</v>
      </c>
      <c r="D80" s="155">
        <f>'Pay App 1'!D80</f>
        <v>0</v>
      </c>
      <c r="E80" s="155">
        <f>VLOOKUP(B80,'Graph Data'!$O$2:$BX$88,60,FALSE)</f>
        <v>0</v>
      </c>
      <c r="F80" s="155">
        <f>IFERROR(E80+'Pay App 57'!F80,"")</f>
        <v>0</v>
      </c>
      <c r="G80" s="155">
        <f>SUM('Pay App 1:Pay App 57'!H80)</f>
        <v>0</v>
      </c>
      <c r="H80" s="154"/>
      <c r="I80" s="155">
        <f t="shared" si="0"/>
        <v>0</v>
      </c>
      <c r="J80" s="156">
        <f t="shared" si="1"/>
        <v>0</v>
      </c>
      <c r="K80" s="155">
        <f t="shared" si="2"/>
        <v>0</v>
      </c>
      <c r="L80" s="155" t="str">
        <f>IF(AND('Summary Sheet'!$E$23="No",$H$33&gt;0,H80&gt;=1),"",IF(AND('Summary Sheet'!$E$23="Yes",H80&lt;&gt;""),H80*'Summary Sheet'!$G$23,""))</f>
        <v/>
      </c>
      <c r="M80" s="154"/>
      <c r="N80" s="155">
        <f>SUM('Pay App 1:Pay App 58'!L80)+SUM('Pay App 1:Pay App 58'!M80)</f>
        <v>0</v>
      </c>
    </row>
    <row r="81" spans="1:14" ht="11.25" customHeight="1" x14ac:dyDescent="0.25">
      <c r="A81" s="152">
        <v>25</v>
      </c>
      <c r="B81" s="178" t="str">
        <f>'Pay App 1'!B81</f>
        <v>05 70 00</v>
      </c>
      <c r="C81" s="183" t="str">
        <f>'Pay App 1'!C81</f>
        <v>Ornamental Metal</v>
      </c>
      <c r="D81" s="155">
        <f>'Pay App 1'!D81</f>
        <v>0</v>
      </c>
      <c r="E81" s="155">
        <f>VLOOKUP(B81,'Graph Data'!$O$2:$BX$88,60,FALSE)</f>
        <v>0</v>
      </c>
      <c r="F81" s="155">
        <f>IFERROR(E81+'Pay App 57'!F81,"")</f>
        <v>0</v>
      </c>
      <c r="G81" s="155">
        <f>SUM('Pay App 1:Pay App 57'!H81)</f>
        <v>0</v>
      </c>
      <c r="H81" s="154"/>
      <c r="I81" s="155">
        <f t="shared" si="0"/>
        <v>0</v>
      </c>
      <c r="J81" s="156">
        <f t="shared" si="1"/>
        <v>0</v>
      </c>
      <c r="K81" s="155">
        <f t="shared" si="2"/>
        <v>0</v>
      </c>
      <c r="L81" s="155" t="str">
        <f>IF(AND('Summary Sheet'!$E$23="No",$H$33&gt;0,H81&gt;=1),"",IF(AND('Summary Sheet'!$E$23="Yes",H81&lt;&gt;""),H81*'Summary Sheet'!$G$23,""))</f>
        <v/>
      </c>
      <c r="M81" s="154"/>
      <c r="N81" s="155">
        <f>SUM('Pay App 1:Pay App 58'!L81)+SUM('Pay App 1:Pay App 58'!M81)</f>
        <v>0</v>
      </c>
    </row>
    <row r="82" spans="1:14" ht="11.25" customHeight="1" x14ac:dyDescent="0.25">
      <c r="A82" s="152">
        <v>26</v>
      </c>
      <c r="B82" s="145" t="str">
        <f>'Pay App 1'!B82</f>
        <v>06 10 00</v>
      </c>
      <c r="C82" s="134" t="str">
        <f>'Pay App 1'!C82</f>
        <v>Rough Carpentry</v>
      </c>
      <c r="D82" s="155">
        <f>'Pay App 1'!D82</f>
        <v>0</v>
      </c>
      <c r="E82" s="155">
        <f>VLOOKUP(B82,'Graph Data'!$O$2:$BX$88,60,FALSE)</f>
        <v>0</v>
      </c>
      <c r="F82" s="155">
        <f>IFERROR(E82+'Pay App 57'!F82,"")</f>
        <v>0</v>
      </c>
      <c r="G82" s="155">
        <f>SUM('Pay App 1:Pay App 57'!H82)</f>
        <v>0</v>
      </c>
      <c r="H82" s="154"/>
      <c r="I82" s="155">
        <f t="shared" si="0"/>
        <v>0</v>
      </c>
      <c r="J82" s="156">
        <f t="shared" si="1"/>
        <v>0</v>
      </c>
      <c r="K82" s="155">
        <f t="shared" si="2"/>
        <v>0</v>
      </c>
      <c r="L82" s="155" t="str">
        <f>IF(AND('Summary Sheet'!$E$23="No",$H$33&gt;0,H82&gt;=1),"",IF(AND('Summary Sheet'!$E$23="Yes",H82&lt;&gt;""),H82*'Summary Sheet'!$G$23,""))</f>
        <v/>
      </c>
      <c r="M82" s="154"/>
      <c r="N82" s="155">
        <f>SUM('Pay App 1:Pay App 58'!L82)+SUM('Pay App 1:Pay App 58'!M82)</f>
        <v>0</v>
      </c>
    </row>
    <row r="83" spans="1:14" ht="11.25" customHeight="1" x14ac:dyDescent="0.25">
      <c r="A83" s="152">
        <v>27</v>
      </c>
      <c r="B83" s="145" t="str">
        <f>'Pay App 1'!B83</f>
        <v>06 40 00</v>
      </c>
      <c r="C83" s="134" t="str">
        <f>'Pay App 1'!C83</f>
        <v>Arch. Woodwork &amp; Finish Carp.</v>
      </c>
      <c r="D83" s="155">
        <f>'Pay App 1'!D83</f>
        <v>0</v>
      </c>
      <c r="E83" s="155">
        <f>VLOOKUP(B83,'Graph Data'!$O$2:$BX$88,60,FALSE)</f>
        <v>0</v>
      </c>
      <c r="F83" s="155">
        <f>IFERROR(E83+'Pay App 57'!F83,"")</f>
        <v>0</v>
      </c>
      <c r="G83" s="155">
        <f>SUM('Pay App 1:Pay App 57'!H83)</f>
        <v>0</v>
      </c>
      <c r="H83" s="154"/>
      <c r="I83" s="155">
        <f t="shared" si="0"/>
        <v>0</v>
      </c>
      <c r="J83" s="156">
        <f t="shared" si="1"/>
        <v>0</v>
      </c>
      <c r="K83" s="155">
        <f t="shared" si="2"/>
        <v>0</v>
      </c>
      <c r="L83" s="155" t="str">
        <f>IF(AND('Summary Sheet'!$E$23="No",$H$33&gt;0,H83&gt;=1),"",IF(AND('Summary Sheet'!$E$23="Yes",H83&lt;&gt;""),H83*'Summary Sheet'!$G$23,""))</f>
        <v/>
      </c>
      <c r="M83" s="154"/>
      <c r="N83" s="155">
        <f>SUM('Pay App 1:Pay App 58'!L83)+SUM('Pay App 1:Pay App 58'!M83)</f>
        <v>0</v>
      </c>
    </row>
    <row r="84" spans="1:14" ht="11.25" customHeight="1" x14ac:dyDescent="0.25">
      <c r="A84" s="152">
        <v>28</v>
      </c>
      <c r="B84" s="174" t="str">
        <f>'Pay App 1'!B84</f>
        <v>07 10 00</v>
      </c>
      <c r="C84" s="179" t="str">
        <f>'Pay App 1'!C84</f>
        <v>Waterproofing/Water Repellents</v>
      </c>
      <c r="D84" s="155">
        <f>'Pay App 1'!D84</f>
        <v>0</v>
      </c>
      <c r="E84" s="155">
        <f>VLOOKUP(B84,'Graph Data'!$O$2:$BX$88,60,FALSE)</f>
        <v>0</v>
      </c>
      <c r="F84" s="155">
        <f>IFERROR(E84+'Pay App 57'!F84,"")</f>
        <v>0</v>
      </c>
      <c r="G84" s="155">
        <f>SUM('Pay App 1:Pay App 57'!H84)</f>
        <v>0</v>
      </c>
      <c r="H84" s="154"/>
      <c r="I84" s="155">
        <f t="shared" si="0"/>
        <v>0</v>
      </c>
      <c r="J84" s="156">
        <f t="shared" si="1"/>
        <v>0</v>
      </c>
      <c r="K84" s="155">
        <f t="shared" si="2"/>
        <v>0</v>
      </c>
      <c r="L84" s="155" t="str">
        <f>IF(AND('Summary Sheet'!$E$23="No",$H$33&gt;0,H84&gt;=1),"",IF(AND('Summary Sheet'!$E$23="Yes",H84&lt;&gt;""),H84*'Summary Sheet'!$G$23,""))</f>
        <v/>
      </c>
      <c r="M84" s="154"/>
      <c r="N84" s="155">
        <f>SUM('Pay App 1:Pay App 58'!L84)+SUM('Pay App 1:Pay App 58'!M84)</f>
        <v>0</v>
      </c>
    </row>
    <row r="85" spans="1:14" ht="11.25" customHeight="1" x14ac:dyDescent="0.25">
      <c r="A85" s="152">
        <v>29</v>
      </c>
      <c r="B85" s="174" t="str">
        <f>'Pay App 1'!B85</f>
        <v>07 20 00</v>
      </c>
      <c r="C85" s="179" t="str">
        <f>'Pay App 1'!C85</f>
        <v>Insulation</v>
      </c>
      <c r="D85" s="155">
        <f>'Pay App 1'!D85</f>
        <v>0</v>
      </c>
      <c r="E85" s="155">
        <f>VLOOKUP(B85,'Graph Data'!$O$2:$BX$88,60,FALSE)</f>
        <v>0</v>
      </c>
      <c r="F85" s="155">
        <f>IFERROR(E85+'Pay App 57'!F85,"")</f>
        <v>0</v>
      </c>
      <c r="G85" s="155">
        <f>SUM('Pay App 1:Pay App 57'!H85)</f>
        <v>0</v>
      </c>
      <c r="H85" s="154"/>
      <c r="I85" s="155">
        <f t="shared" si="0"/>
        <v>0</v>
      </c>
      <c r="J85" s="156">
        <f t="shared" si="1"/>
        <v>0</v>
      </c>
      <c r="K85" s="155">
        <f t="shared" si="2"/>
        <v>0</v>
      </c>
      <c r="L85" s="155" t="str">
        <f>IF(AND('Summary Sheet'!$E$23="No",$H$33&gt;0,H85&gt;=1),"",IF(AND('Summary Sheet'!$E$23="Yes",H85&lt;&gt;""),H85*'Summary Sheet'!$G$23,""))</f>
        <v/>
      </c>
      <c r="M85" s="154"/>
      <c r="N85" s="155">
        <f>SUM('Pay App 1:Pay App 58'!L85)+SUM('Pay App 1:Pay App 58'!M85)</f>
        <v>0</v>
      </c>
    </row>
    <row r="86" spans="1:14" ht="11.25" customHeight="1" x14ac:dyDescent="0.25">
      <c r="A86" s="152">
        <v>30</v>
      </c>
      <c r="B86" s="174" t="str">
        <f>'Pay App 1'!B86</f>
        <v>07 24 00</v>
      </c>
      <c r="C86" s="179" t="str">
        <f>'Pay App 1'!C86</f>
        <v>EIFS</v>
      </c>
      <c r="D86" s="155">
        <f>'Pay App 1'!D86</f>
        <v>0</v>
      </c>
      <c r="E86" s="155">
        <f>VLOOKUP(B86,'Graph Data'!$O$2:$BX$88,60,FALSE)</f>
        <v>0</v>
      </c>
      <c r="F86" s="155">
        <f>IFERROR(E86+'Pay App 57'!F86,"")</f>
        <v>0</v>
      </c>
      <c r="G86" s="155">
        <f>SUM('Pay App 1:Pay App 57'!H86)</f>
        <v>0</v>
      </c>
      <c r="H86" s="154"/>
      <c r="I86" s="155">
        <f t="shared" si="0"/>
        <v>0</v>
      </c>
      <c r="J86" s="156">
        <f t="shared" si="1"/>
        <v>0</v>
      </c>
      <c r="K86" s="155">
        <f t="shared" si="2"/>
        <v>0</v>
      </c>
      <c r="L86" s="155" t="str">
        <f>IF(AND('Summary Sheet'!$E$23="No",$H$33&gt;0,H86&gt;=1),"",IF(AND('Summary Sheet'!$E$23="Yes",H86&lt;&gt;""),H86*'Summary Sheet'!$G$23,""))</f>
        <v/>
      </c>
      <c r="M86" s="154"/>
      <c r="N86" s="155">
        <f>SUM('Pay App 1:Pay App 58'!L86)+SUM('Pay App 1:Pay App 58'!M86)</f>
        <v>0</v>
      </c>
    </row>
    <row r="87" spans="1:14" ht="11.25" customHeight="1" x14ac:dyDescent="0.25">
      <c r="A87" s="152">
        <v>31</v>
      </c>
      <c r="B87" s="174" t="str">
        <f>'Pay App 1'!B87</f>
        <v>07 26 00</v>
      </c>
      <c r="C87" s="179" t="str">
        <f>'Pay App 1'!C87</f>
        <v>Vapor Retarders</v>
      </c>
      <c r="D87" s="155">
        <f>'Pay App 1'!D87</f>
        <v>0</v>
      </c>
      <c r="E87" s="155">
        <f>VLOOKUP(B87,'Graph Data'!$O$2:$BX$88,60,FALSE)</f>
        <v>0</v>
      </c>
      <c r="F87" s="155">
        <f>IFERROR(E87+'Pay App 57'!F87,"")</f>
        <v>0</v>
      </c>
      <c r="G87" s="155">
        <f>SUM('Pay App 1:Pay App 57'!H87)</f>
        <v>0</v>
      </c>
      <c r="H87" s="154"/>
      <c r="I87" s="155">
        <f t="shared" si="0"/>
        <v>0</v>
      </c>
      <c r="J87" s="156">
        <f t="shared" si="1"/>
        <v>0</v>
      </c>
      <c r="K87" s="155">
        <f t="shared" si="2"/>
        <v>0</v>
      </c>
      <c r="L87" s="155" t="str">
        <f>IF(AND('Summary Sheet'!$E$23="No",$H$33&gt;0,H87&gt;=1),"",IF(AND('Summary Sheet'!$E$23="Yes",H87&lt;&gt;""),H87*'Summary Sheet'!$G$23,""))</f>
        <v/>
      </c>
      <c r="M87" s="154"/>
      <c r="N87" s="155">
        <f>SUM('Pay App 1:Pay App 58'!L87)+SUM('Pay App 1:Pay App 58'!M87)</f>
        <v>0</v>
      </c>
    </row>
    <row r="88" spans="1:14" ht="11.25" customHeight="1" x14ac:dyDescent="0.25">
      <c r="A88" s="152">
        <v>32</v>
      </c>
      <c r="B88" s="174" t="str">
        <f>'Pay App 1'!B88</f>
        <v>07 41 00</v>
      </c>
      <c r="C88" s="179" t="str">
        <f>'Pay App 1'!C88</f>
        <v>Roofing</v>
      </c>
      <c r="D88" s="155">
        <f>'Pay App 1'!D88</f>
        <v>0</v>
      </c>
      <c r="E88" s="155">
        <f>VLOOKUP(B88,'Graph Data'!$O$2:$BX$88,60,FALSE)</f>
        <v>0</v>
      </c>
      <c r="F88" s="155">
        <f>IFERROR(E88+'Pay App 57'!F88,"")</f>
        <v>0</v>
      </c>
      <c r="G88" s="155">
        <f>SUM('Pay App 1:Pay App 57'!H88)</f>
        <v>0</v>
      </c>
      <c r="H88" s="154"/>
      <c r="I88" s="155">
        <f t="shared" si="0"/>
        <v>0</v>
      </c>
      <c r="J88" s="156">
        <f t="shared" si="1"/>
        <v>0</v>
      </c>
      <c r="K88" s="155">
        <f t="shared" si="2"/>
        <v>0</v>
      </c>
      <c r="L88" s="155" t="str">
        <f>IF(AND('Summary Sheet'!$E$23="No",$H$33&gt;0,H88&gt;=1),"",IF(AND('Summary Sheet'!$E$23="Yes",H88&lt;&gt;""),H88*'Summary Sheet'!$G$23,""))</f>
        <v/>
      </c>
      <c r="M88" s="154"/>
      <c r="N88" s="155">
        <f>SUM('Pay App 1:Pay App 58'!L88)+SUM('Pay App 1:Pay App 58'!M88)</f>
        <v>0</v>
      </c>
    </row>
    <row r="89" spans="1:14" ht="11.25" customHeight="1" x14ac:dyDescent="0.25">
      <c r="A89" s="152">
        <v>33</v>
      </c>
      <c r="B89" s="174" t="str">
        <f>'Pay App 1'!B89</f>
        <v>07 42 00</v>
      </c>
      <c r="C89" s="179" t="str">
        <f>'Pay App 1'!C89</f>
        <v>Metal Panels</v>
      </c>
      <c r="D89" s="155">
        <f>'Pay App 1'!D89</f>
        <v>0</v>
      </c>
      <c r="E89" s="155">
        <f>VLOOKUP(B89,'Graph Data'!$O$2:$BX$88,60,FALSE)</f>
        <v>0</v>
      </c>
      <c r="F89" s="155">
        <f>IFERROR(E89+'Pay App 57'!F89,"")</f>
        <v>0</v>
      </c>
      <c r="G89" s="155">
        <f>SUM('Pay App 1:Pay App 57'!H89)</f>
        <v>0</v>
      </c>
      <c r="H89" s="154"/>
      <c r="I89" s="155">
        <f t="shared" si="0"/>
        <v>0</v>
      </c>
      <c r="J89" s="156">
        <f t="shared" si="1"/>
        <v>0</v>
      </c>
      <c r="K89" s="155">
        <f t="shared" si="2"/>
        <v>0</v>
      </c>
      <c r="L89" s="155" t="str">
        <f>IF(AND('Summary Sheet'!$E$23="No",$H$33&gt;0,H89&gt;=1),"",IF(AND('Summary Sheet'!$E$23="Yes",H89&lt;&gt;""),H89*'Summary Sheet'!$G$23,""))</f>
        <v/>
      </c>
      <c r="M89" s="154"/>
      <c r="N89" s="155">
        <f>SUM('Pay App 1:Pay App 58'!L89)+SUM('Pay App 1:Pay App 58'!M89)</f>
        <v>0</v>
      </c>
    </row>
    <row r="90" spans="1:14" ht="11.25" customHeight="1" x14ac:dyDescent="0.25">
      <c r="A90" s="152">
        <v>34</v>
      </c>
      <c r="B90" s="174" t="str">
        <f>'Pay App 1'!B90</f>
        <v>07 60 00</v>
      </c>
      <c r="C90" s="179" t="str">
        <f>'Pay App 1'!C90</f>
        <v>Sheet Metal Flashing &amp; Trim</v>
      </c>
      <c r="D90" s="155">
        <f>'Pay App 1'!D90</f>
        <v>0</v>
      </c>
      <c r="E90" s="155">
        <f>VLOOKUP(B90,'Graph Data'!$O$2:$BX$88,60,FALSE)</f>
        <v>0</v>
      </c>
      <c r="F90" s="155">
        <f>IFERROR(E90+'Pay App 57'!F90,"")</f>
        <v>0</v>
      </c>
      <c r="G90" s="155">
        <f>SUM('Pay App 1:Pay App 57'!H90)</f>
        <v>0</v>
      </c>
      <c r="H90" s="154"/>
      <c r="I90" s="155">
        <f t="shared" si="0"/>
        <v>0</v>
      </c>
      <c r="J90" s="156">
        <f t="shared" si="1"/>
        <v>0</v>
      </c>
      <c r="K90" s="155">
        <f t="shared" si="2"/>
        <v>0</v>
      </c>
      <c r="L90" s="155" t="str">
        <f>IF(AND('Summary Sheet'!$E$23="No",$H$33&gt;0,H90&gt;=1),"",IF(AND('Summary Sheet'!$E$23="Yes",H90&lt;&gt;""),H90*'Summary Sheet'!$G$23,""))</f>
        <v/>
      </c>
      <c r="M90" s="154"/>
      <c r="N90" s="155">
        <f>SUM('Pay App 1:Pay App 58'!L90)+SUM('Pay App 1:Pay App 58'!M90)</f>
        <v>0</v>
      </c>
    </row>
    <row r="91" spans="1:14" ht="11.25" customHeight="1" x14ac:dyDescent="0.25">
      <c r="A91" s="152">
        <v>35</v>
      </c>
      <c r="B91" s="174" t="str">
        <f>'Pay App 1'!B91</f>
        <v>07 80 00</v>
      </c>
      <c r="C91" s="179" t="str">
        <f>'Pay App 1'!C91</f>
        <v>Fireproofing</v>
      </c>
      <c r="D91" s="155">
        <f>'Pay App 1'!D91</f>
        <v>0</v>
      </c>
      <c r="E91" s="155">
        <f>VLOOKUP(B91,'Graph Data'!$O$2:$BX$88,60,FALSE)</f>
        <v>0</v>
      </c>
      <c r="F91" s="155">
        <f>IFERROR(E91+'Pay App 57'!F91,"")</f>
        <v>0</v>
      </c>
      <c r="G91" s="155">
        <f>SUM('Pay App 1:Pay App 57'!H91)</f>
        <v>0</v>
      </c>
      <c r="H91" s="154"/>
      <c r="I91" s="155">
        <f t="shared" si="0"/>
        <v>0</v>
      </c>
      <c r="J91" s="156">
        <f t="shared" si="1"/>
        <v>0</v>
      </c>
      <c r="K91" s="155">
        <f t="shared" si="2"/>
        <v>0</v>
      </c>
      <c r="L91" s="155" t="str">
        <f>IF(AND('Summary Sheet'!$E$23="No",$H$33&gt;0,H91&gt;=1),"",IF(AND('Summary Sheet'!$E$23="Yes",H91&lt;&gt;""),H91*'Summary Sheet'!$G$23,""))</f>
        <v/>
      </c>
      <c r="M91" s="154"/>
      <c r="N91" s="155">
        <f>SUM('Pay App 1:Pay App 58'!L91)+SUM('Pay App 1:Pay App 58'!M91)</f>
        <v>0</v>
      </c>
    </row>
    <row r="92" spans="1:14" ht="11.25" customHeight="1" x14ac:dyDescent="0.25">
      <c r="A92" s="152">
        <v>36</v>
      </c>
      <c r="B92" s="174" t="str">
        <f>'Pay App 1'!B92</f>
        <v>07 90 00</v>
      </c>
      <c r="C92" s="179" t="str">
        <f>'Pay App 1'!C92</f>
        <v>Joint Sealants</v>
      </c>
      <c r="D92" s="155">
        <f>'Pay App 1'!D92</f>
        <v>0</v>
      </c>
      <c r="E92" s="155">
        <f>VLOOKUP(B92,'Graph Data'!$O$2:$BX$88,60,FALSE)</f>
        <v>0</v>
      </c>
      <c r="F92" s="155">
        <f>IFERROR(E92+'Pay App 57'!F92,"")</f>
        <v>0</v>
      </c>
      <c r="G92" s="155">
        <f>SUM('Pay App 1:Pay App 57'!H92)</f>
        <v>0</v>
      </c>
      <c r="H92" s="154"/>
      <c r="I92" s="155">
        <f t="shared" si="0"/>
        <v>0</v>
      </c>
      <c r="J92" s="156">
        <f t="shared" si="1"/>
        <v>0</v>
      </c>
      <c r="K92" s="155">
        <f t="shared" si="2"/>
        <v>0</v>
      </c>
      <c r="L92" s="155" t="str">
        <f>IF(AND('Summary Sheet'!$E$23="No",$H$33&gt;0,H92&gt;=1),"",IF(AND('Summary Sheet'!$E$23="Yes",H92&lt;&gt;""),H92*'Summary Sheet'!$G$23,""))</f>
        <v/>
      </c>
      <c r="M92" s="154"/>
      <c r="N92" s="155">
        <f>SUM('Pay App 1:Pay App 58'!L92)+SUM('Pay App 1:Pay App 58'!M92)</f>
        <v>0</v>
      </c>
    </row>
    <row r="93" spans="1:14" ht="11.25" customHeight="1" x14ac:dyDescent="0.25">
      <c r="A93" s="152">
        <v>37</v>
      </c>
      <c r="B93" s="174" t="str">
        <f>'Pay App 1'!B93</f>
        <v>07 95 00</v>
      </c>
      <c r="C93" s="179" t="str">
        <f>'Pay App 1'!C93</f>
        <v>Expansion Joints</v>
      </c>
      <c r="D93" s="155">
        <f>'Pay App 1'!D93</f>
        <v>0</v>
      </c>
      <c r="E93" s="155">
        <f>VLOOKUP(B93,'Graph Data'!$O$2:$BX$88,60,FALSE)</f>
        <v>0</v>
      </c>
      <c r="F93" s="155">
        <f>IFERROR(E93+'Pay App 57'!F93,"")</f>
        <v>0</v>
      </c>
      <c r="G93" s="155">
        <f>SUM('Pay App 1:Pay App 57'!H93)</f>
        <v>0</v>
      </c>
      <c r="H93" s="154"/>
      <c r="I93" s="155">
        <f t="shared" si="0"/>
        <v>0</v>
      </c>
      <c r="J93" s="156">
        <f t="shared" si="1"/>
        <v>0</v>
      </c>
      <c r="K93" s="155">
        <f t="shared" si="2"/>
        <v>0</v>
      </c>
      <c r="L93" s="155" t="str">
        <f>IF(AND('Summary Sheet'!$E$23="No",$H$33&gt;0,H93&gt;=1),"",IF(AND('Summary Sheet'!$E$23="Yes",H93&lt;&gt;""),H93*'Summary Sheet'!$G$23,""))</f>
        <v/>
      </c>
      <c r="M93" s="154"/>
      <c r="N93" s="155">
        <f>SUM('Pay App 1:Pay App 58'!L93)+SUM('Pay App 1:Pay App 58'!M93)</f>
        <v>0</v>
      </c>
    </row>
    <row r="94" spans="1:14" ht="11.25" customHeight="1" x14ac:dyDescent="0.25">
      <c r="A94" s="152">
        <v>38</v>
      </c>
      <c r="B94" s="175" t="str">
        <f>'Pay App 1'!B94</f>
        <v>08 10 00</v>
      </c>
      <c r="C94" s="180" t="str">
        <f>'Pay App 1'!C94</f>
        <v>Doors, Frames &amp; Hardware</v>
      </c>
      <c r="D94" s="155">
        <f>'Pay App 1'!D94</f>
        <v>0</v>
      </c>
      <c r="E94" s="155">
        <f>VLOOKUP(B94,'Graph Data'!$O$2:$BX$88,60,FALSE)</f>
        <v>0</v>
      </c>
      <c r="F94" s="155">
        <f>IFERROR(E94+'Pay App 57'!F94,"")</f>
        <v>0</v>
      </c>
      <c r="G94" s="155">
        <f>SUM('Pay App 1:Pay App 57'!H94)</f>
        <v>0</v>
      </c>
      <c r="H94" s="154"/>
      <c r="I94" s="155">
        <f t="shared" si="0"/>
        <v>0</v>
      </c>
      <c r="J94" s="156">
        <f t="shared" si="1"/>
        <v>0</v>
      </c>
      <c r="K94" s="155">
        <f t="shared" si="2"/>
        <v>0</v>
      </c>
      <c r="L94" s="155" t="str">
        <f>IF(AND('Summary Sheet'!$E$23="No",$H$33&gt;0,H94&gt;=1),"",IF(AND('Summary Sheet'!$E$23="Yes",H94&lt;&gt;""),H94*'Summary Sheet'!$G$23,""))</f>
        <v/>
      </c>
      <c r="M94" s="154"/>
      <c r="N94" s="155">
        <f>SUM('Pay App 1:Pay App 58'!L94)+SUM('Pay App 1:Pay App 58'!M94)</f>
        <v>0</v>
      </c>
    </row>
    <row r="95" spans="1:14" ht="11.25" customHeight="1" x14ac:dyDescent="0.25">
      <c r="A95" s="152">
        <v>39</v>
      </c>
      <c r="B95" s="175" t="str">
        <f>'Pay App 1'!B95</f>
        <v>08 30 00</v>
      </c>
      <c r="C95" s="180" t="str">
        <f>'Pay App 1'!C95</f>
        <v>Specialty Doors</v>
      </c>
      <c r="D95" s="155">
        <f>'Pay App 1'!D95</f>
        <v>0</v>
      </c>
      <c r="E95" s="155">
        <f>VLOOKUP(B95,'Graph Data'!$O$2:$BX$88,60,FALSE)</f>
        <v>0</v>
      </c>
      <c r="F95" s="155">
        <f>IFERROR(E95+'Pay App 57'!F95,"")</f>
        <v>0</v>
      </c>
      <c r="G95" s="155">
        <f>SUM('Pay App 1:Pay App 57'!H95)</f>
        <v>0</v>
      </c>
      <c r="H95" s="154"/>
      <c r="I95" s="155">
        <f t="shared" si="0"/>
        <v>0</v>
      </c>
      <c r="J95" s="156">
        <f t="shared" si="1"/>
        <v>0</v>
      </c>
      <c r="K95" s="155">
        <f t="shared" si="2"/>
        <v>0</v>
      </c>
      <c r="L95" s="155" t="str">
        <f>IF(AND('Summary Sheet'!$E$23="No",$H$33&gt;0,H95&gt;=1),"",IF(AND('Summary Sheet'!$E$23="Yes",H95&lt;&gt;""),H95*'Summary Sheet'!$G$23,""))</f>
        <v/>
      </c>
      <c r="M95" s="154"/>
      <c r="N95" s="155">
        <f>SUM('Pay App 1:Pay App 58'!L95)+SUM('Pay App 1:Pay App 58'!M95)</f>
        <v>0</v>
      </c>
    </row>
    <row r="96" spans="1:14" ht="11.25" customHeight="1" x14ac:dyDescent="0.25">
      <c r="A96" s="152">
        <v>40</v>
      </c>
      <c r="B96" s="175" t="str">
        <f>'Pay App 1'!B96</f>
        <v>08 33 00</v>
      </c>
      <c r="C96" s="180" t="str">
        <f>'Pay App 1'!C96</f>
        <v>Overhead Doors/Coiling Doors</v>
      </c>
      <c r="D96" s="155">
        <f>'Pay App 1'!D96</f>
        <v>0</v>
      </c>
      <c r="E96" s="155">
        <f>VLOOKUP(B96,'Graph Data'!$O$2:$BX$88,60,FALSE)</f>
        <v>0</v>
      </c>
      <c r="F96" s="155">
        <f>IFERROR(E96+'Pay App 57'!F96,"")</f>
        <v>0</v>
      </c>
      <c r="G96" s="155">
        <f>SUM('Pay App 1:Pay App 57'!H96)</f>
        <v>0</v>
      </c>
      <c r="H96" s="154"/>
      <c r="I96" s="155">
        <f t="shared" si="0"/>
        <v>0</v>
      </c>
      <c r="J96" s="156">
        <f t="shared" si="1"/>
        <v>0</v>
      </c>
      <c r="K96" s="155">
        <f t="shared" si="2"/>
        <v>0</v>
      </c>
      <c r="L96" s="155" t="str">
        <f>IF(AND('Summary Sheet'!$E$23="No",$H$33&gt;0,H96&gt;=1),"",IF(AND('Summary Sheet'!$E$23="Yes",H96&lt;&gt;""),H96*'Summary Sheet'!$G$23,""))</f>
        <v/>
      </c>
      <c r="M96" s="154"/>
      <c r="N96" s="155">
        <f>SUM('Pay App 1:Pay App 58'!L96)+SUM('Pay App 1:Pay App 58'!M96)</f>
        <v>0</v>
      </c>
    </row>
    <row r="97" spans="1:15" ht="11.25" customHeight="1" x14ac:dyDescent="0.25">
      <c r="A97" s="152">
        <v>41</v>
      </c>
      <c r="B97" s="175" t="str">
        <f>'Pay App 1'!B97</f>
        <v>08 40 00</v>
      </c>
      <c r="C97" s="180" t="str">
        <f>'Pay App 1'!C97</f>
        <v>Curtain Wall, Glass &amp; Glazing</v>
      </c>
      <c r="D97" s="155">
        <f>'Pay App 1'!D97</f>
        <v>0</v>
      </c>
      <c r="E97" s="155">
        <f>VLOOKUP(B97,'Graph Data'!$O$2:$BX$88,60,FALSE)</f>
        <v>0</v>
      </c>
      <c r="F97" s="155">
        <f>IFERROR(E97+'Pay App 57'!F97,"")</f>
        <v>0</v>
      </c>
      <c r="G97" s="155">
        <f>SUM('Pay App 1:Pay App 57'!H97)</f>
        <v>0</v>
      </c>
      <c r="H97" s="154"/>
      <c r="I97" s="155">
        <f t="shared" si="0"/>
        <v>0</v>
      </c>
      <c r="J97" s="156">
        <f t="shared" si="1"/>
        <v>0</v>
      </c>
      <c r="K97" s="155">
        <f t="shared" si="2"/>
        <v>0</v>
      </c>
      <c r="L97" s="155" t="str">
        <f>IF(AND('Summary Sheet'!$E$23="No",$H$33&gt;0,H97&gt;=1),"",IF(AND('Summary Sheet'!$E$23="Yes",H97&lt;&gt;""),H97*'Summary Sheet'!$G$23,""))</f>
        <v/>
      </c>
      <c r="M97" s="154"/>
      <c r="N97" s="155">
        <f>SUM('Pay App 1:Pay App 58'!L97)+SUM('Pay App 1:Pay App 58'!M97)</f>
        <v>0</v>
      </c>
    </row>
    <row r="98" spans="1:15" ht="10.9" customHeight="1" x14ac:dyDescent="0.25">
      <c r="A98" s="152">
        <v>42</v>
      </c>
      <c r="B98" s="175" t="str">
        <f>'Pay App 1'!B98</f>
        <v>08 60 00</v>
      </c>
      <c r="C98" s="180" t="str">
        <f>'Pay App 1'!C98</f>
        <v>Skylights</v>
      </c>
      <c r="D98" s="155">
        <f>'Pay App 1'!D98</f>
        <v>0</v>
      </c>
      <c r="E98" s="155">
        <f>VLOOKUP(B98,'Graph Data'!$O$2:$BX$88,60,FALSE)</f>
        <v>0</v>
      </c>
      <c r="F98" s="155">
        <f>IFERROR(E98+'Pay App 57'!F98,"")</f>
        <v>0</v>
      </c>
      <c r="G98" s="155">
        <f>SUM('Pay App 1:Pay App 57'!H98)</f>
        <v>0</v>
      </c>
      <c r="H98" s="154"/>
      <c r="I98" s="155">
        <f t="shared" si="0"/>
        <v>0</v>
      </c>
      <c r="J98" s="156">
        <f t="shared" si="1"/>
        <v>0</v>
      </c>
      <c r="K98" s="155">
        <f t="shared" si="2"/>
        <v>0</v>
      </c>
      <c r="L98" s="155" t="str">
        <f>IF(AND('Summary Sheet'!$E$23="No",$H$33&gt;0,H98&gt;=1),"",IF(AND('Summary Sheet'!$E$23="Yes",H98&lt;&gt;""),H98*'Summary Sheet'!$G$23,""))</f>
        <v/>
      </c>
      <c r="M98" s="154"/>
      <c r="N98" s="155">
        <f>SUM('Pay App 1:Pay App 58'!L98)+SUM('Pay App 1:Pay App 58'!M98)</f>
        <v>0</v>
      </c>
    </row>
    <row r="99" spans="1:15" ht="10.9" customHeight="1" x14ac:dyDescent="0.25">
      <c r="A99" s="152">
        <v>43</v>
      </c>
      <c r="B99" s="175" t="str">
        <f>'Pay App 1'!B99</f>
        <v>08 90 00</v>
      </c>
      <c r="C99" s="180" t="str">
        <f>'Pay App 1'!C99</f>
        <v>Louvers &amp; Vents</v>
      </c>
      <c r="D99" s="155">
        <f>'Pay App 1'!D99</f>
        <v>0</v>
      </c>
      <c r="E99" s="155">
        <f>VLOOKUP(B99,'Graph Data'!$O$2:$BX$88,60,FALSE)</f>
        <v>0</v>
      </c>
      <c r="F99" s="155">
        <f>IFERROR(E99+'Pay App 57'!F99,"")</f>
        <v>0</v>
      </c>
      <c r="G99" s="155">
        <f>SUM('Pay App 1:Pay App 57'!H99)</f>
        <v>0</v>
      </c>
      <c r="H99" s="154"/>
      <c r="I99" s="155">
        <f t="shared" si="0"/>
        <v>0</v>
      </c>
      <c r="J99" s="156">
        <f t="shared" si="1"/>
        <v>0</v>
      </c>
      <c r="K99" s="155">
        <f t="shared" si="2"/>
        <v>0</v>
      </c>
      <c r="L99" s="155" t="str">
        <f>IF(AND('Summary Sheet'!$E$23="No",$H$33&gt;0,H99&gt;=1),"",IF(AND('Summary Sheet'!$E$23="Yes",H99&lt;&gt;""),H99*'Summary Sheet'!$G$23,""))</f>
        <v/>
      </c>
      <c r="M99" s="154"/>
      <c r="N99" s="155">
        <f>SUM('Pay App 1:Pay App 58'!L99)+SUM('Pay App 1:Pay App 58'!M99)</f>
        <v>0</v>
      </c>
    </row>
    <row r="100" spans="1:15" ht="11.25" customHeight="1" x14ac:dyDescent="0.25">
      <c r="A100" s="153">
        <v>44</v>
      </c>
      <c r="B100" s="176" t="str">
        <f>'Pay App 1'!B100</f>
        <v>09 20 00</v>
      </c>
      <c r="C100" s="181" t="str">
        <f>'Pay App 1'!C100</f>
        <v>Gypsum Board Systems</v>
      </c>
      <c r="D100" s="155">
        <f>'Pay App 1'!D100</f>
        <v>0</v>
      </c>
      <c r="E100" s="155">
        <f>VLOOKUP(B100,'Graph Data'!$O$2:$BX$88,60,FALSE)</f>
        <v>0</v>
      </c>
      <c r="F100" s="155">
        <f>IFERROR(E100+'Pay App 57'!F100,"")</f>
        <v>0</v>
      </c>
      <c r="G100" s="155">
        <f>SUM('Pay App 1:Pay App 57'!H100)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58'!L100)+SUM('Pay App 1:Pay App 58'!M100)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58.2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Data'!$O$2:$BX$88,60,FALSE)</f>
        <v>0</v>
      </c>
      <c r="F106" s="155">
        <f>IFERROR(E106+'Pay App 57'!F106,"")</f>
        <v>0</v>
      </c>
      <c r="G106" s="155">
        <f>SUM('Pay App 1:Pay App 57'!H106)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58'!L106)+SUM('Pay App 1:Pay App 58'!M106)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Data'!$O$2:$BX$88,60,FALSE)</f>
        <v>0</v>
      </c>
      <c r="F107" s="155">
        <f>IFERROR(E107+'Pay App 57'!F107,"")</f>
        <v>0</v>
      </c>
      <c r="G107" s="155">
        <f>SUM('Pay App 1:Pay App 57'!H107)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58'!L107)+SUM('Pay App 1:Pay App 58'!M107)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Data'!$O$2:$BX$88,60,FALSE)</f>
        <v>0</v>
      </c>
      <c r="F108" s="155">
        <f>IFERROR(E108+'Pay App 57'!F108,"")</f>
        <v>0</v>
      </c>
      <c r="G108" s="155">
        <f>SUM('Pay App 1:Pay App 57'!H108)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58'!L108)+SUM('Pay App 1:Pay App 58'!M108)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Data'!$O$2:$BX$88,60,FALSE)</f>
        <v>0</v>
      </c>
      <c r="F109" s="155">
        <f>IFERROR(E109+'Pay App 57'!F109,"")</f>
        <v>0</v>
      </c>
      <c r="G109" s="155">
        <f>SUM('Pay App 1:Pay App 57'!H109)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58'!L109)+SUM('Pay App 1:Pay App 58'!M109)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Data'!$O$2:$BX$88,60,FALSE)</f>
        <v>0</v>
      </c>
      <c r="F110" s="155">
        <f>IFERROR(E110+'Pay App 57'!F110,"")</f>
        <v>0</v>
      </c>
      <c r="G110" s="155">
        <f>SUM('Pay App 1:Pay App 57'!H110)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58'!L110)+SUM('Pay App 1:Pay App 58'!M110)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Data'!$O$2:$BX$88,60,FALSE)</f>
        <v>0</v>
      </c>
      <c r="F111" s="155">
        <f>IFERROR(E111+'Pay App 57'!F111,"")</f>
        <v>0</v>
      </c>
      <c r="G111" s="155">
        <f>SUM('Pay App 1:Pay App 57'!H111)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58'!L111)+SUM('Pay App 1:Pay App 58'!M111)</f>
        <v>0</v>
      </c>
    </row>
    <row r="112" spans="1:15" ht="11.25" customHeight="1" x14ac:dyDescent="0.25">
      <c r="A112" s="152">
        <f t="shared" si="3"/>
        <v>51</v>
      </c>
      <c r="B112" s="148" t="str">
        <f>'Pay App 1'!B112</f>
        <v>09 90 00</v>
      </c>
      <c r="C112" s="143" t="str">
        <f>'Pay App 1'!C112</f>
        <v>Painting</v>
      </c>
      <c r="D112" s="155">
        <f>'Pay App 1'!D112</f>
        <v>0</v>
      </c>
      <c r="E112" s="155">
        <f>VLOOKUP(B112,'Graph Data'!$O$2:$BX$88,60,FALSE)</f>
        <v>0</v>
      </c>
      <c r="F112" s="155">
        <f>IFERROR(E112+'Pay App 57'!F112,"")</f>
        <v>0</v>
      </c>
      <c r="G112" s="155">
        <f>SUM('Pay App 1:Pay App 57'!H112)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58'!L112)+SUM('Pay App 1:Pay App 58'!M112)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Data'!$O$2:$BX$88,60,FALSE)</f>
        <v>0</v>
      </c>
      <c r="F113" s="155">
        <f>IFERROR(E113+'Pay App 57'!F113,"")</f>
        <v>0</v>
      </c>
      <c r="G113" s="155">
        <f>SUM('Pay App 1:Pay App 57'!H113)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58'!L113)+SUM('Pay App 1:Pay App 58'!M113)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Data'!$O$2:$BX$88,60,FALSE)</f>
        <v>0</v>
      </c>
      <c r="F114" s="155">
        <f>IFERROR(E114+'Pay App 57'!F114,"")</f>
        <v>0</v>
      </c>
      <c r="G114" s="155">
        <f>SUM('Pay App 1:Pay App 57'!H114)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58'!L114)+SUM('Pay App 1:Pay App 58'!M114)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Data'!$O$2:$BX$88,60,FALSE)</f>
        <v>0</v>
      </c>
      <c r="F115" s="155">
        <f>IFERROR(E115+'Pay App 57'!F115,"")</f>
        <v>0</v>
      </c>
      <c r="G115" s="155">
        <f>SUM('Pay App 1:Pay App 57'!H115)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58'!L115)+SUM('Pay App 1:Pay App 58'!M115)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Data'!$O$2:$BX$88,60,FALSE)</f>
        <v>0</v>
      </c>
      <c r="F116" s="155">
        <f>IFERROR(E116+'Pay App 57'!F116,"")</f>
        <v>0</v>
      </c>
      <c r="G116" s="155">
        <f>SUM('Pay App 1:Pay App 57'!H116)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58'!L116)+SUM('Pay App 1:Pay App 58'!M116)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Data'!$O$2:$BX$88,60,FALSE)</f>
        <v>0</v>
      </c>
      <c r="F117" s="155">
        <f>IFERROR(E117+'Pay App 57'!F117,"")</f>
        <v>0</v>
      </c>
      <c r="G117" s="155">
        <f>SUM('Pay App 1:Pay App 57'!H117)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58'!L117)+SUM('Pay App 1:Pay App 58'!M117)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Data'!$O$2:$BX$88,60,FALSE)</f>
        <v>0</v>
      </c>
      <c r="F118" s="155">
        <f>IFERROR(E118+'Pay App 57'!F118,"")</f>
        <v>0</v>
      </c>
      <c r="G118" s="155">
        <f>SUM('Pay App 1:Pay App 57'!H118)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58'!L118)+SUM('Pay App 1:Pay App 58'!M118)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Data'!$O$2:$BX$88,60,FALSE)</f>
        <v>0</v>
      </c>
      <c r="F119" s="155">
        <f>IFERROR(E119+'Pay App 57'!F119,"")</f>
        <v>0</v>
      </c>
      <c r="G119" s="155">
        <f>SUM('Pay App 1:Pay App 57'!H119)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58'!L119)+SUM('Pay App 1:Pay App 58'!M119)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Data'!$O$2:$BX$88,60,FALSE)</f>
        <v>0</v>
      </c>
      <c r="F120" s="155">
        <f>IFERROR(E120+'Pay App 57'!F120,"")</f>
        <v>0</v>
      </c>
      <c r="G120" s="155">
        <f>SUM('Pay App 1:Pay App 57'!H120)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58'!L120)+SUM('Pay App 1:Pay App 58'!M120)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Data'!$O$2:$BX$88,60,FALSE)</f>
        <v>0</v>
      </c>
      <c r="F121" s="155">
        <f>IFERROR(E121+'Pay App 57'!F121,"")</f>
        <v>0</v>
      </c>
      <c r="G121" s="155">
        <f>SUM('Pay App 1:Pay App 57'!H121)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58'!L121)+SUM('Pay App 1:Pay App 58'!M121)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Data'!$O$2:$BX$88,60,FALSE)</f>
        <v>0</v>
      </c>
      <c r="F122" s="155">
        <f>IFERROR(E122+'Pay App 57'!F122,"")</f>
        <v>0</v>
      </c>
      <c r="G122" s="155">
        <f>SUM('Pay App 1:Pay App 57'!H122)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58'!L122)+SUM('Pay App 1:Pay App 58'!M122)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Data'!$O$2:$BX$88,60,FALSE)</f>
        <v>0</v>
      </c>
      <c r="F123" s="155">
        <f>IFERROR(E123+'Pay App 57'!F123,"")</f>
        <v>0</v>
      </c>
      <c r="G123" s="155">
        <f>SUM('Pay App 1:Pay App 57'!H123)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58'!L123)+SUM('Pay App 1:Pay App 58'!M123)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Data'!$O$2:$BX$88,60,FALSE)</f>
        <v>0</v>
      </c>
      <c r="F124" s="155">
        <f>IFERROR(E124+'Pay App 57'!F124,"")</f>
        <v>0</v>
      </c>
      <c r="G124" s="155">
        <f>SUM('Pay App 1:Pay App 57'!H124)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58'!L124)+SUM('Pay App 1:Pay App 58'!M124)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Data'!$O$2:$BX$88,60,FALSE)</f>
        <v>0</v>
      </c>
      <c r="F125" s="155">
        <f>IFERROR(E125+'Pay App 57'!F125,"")</f>
        <v>0</v>
      </c>
      <c r="G125" s="155">
        <f>SUM('Pay App 1:Pay App 57'!H125)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58'!L125)+SUM('Pay App 1:Pay App 58'!M125)</f>
        <v>0</v>
      </c>
    </row>
    <row r="126" spans="1:14" ht="11.25" customHeight="1" x14ac:dyDescent="0.25">
      <c r="A126" s="152">
        <f t="shared" si="3"/>
        <v>65</v>
      </c>
      <c r="B126" s="188" t="str">
        <f>'Pay App 1'!B126</f>
        <v>14 20 00</v>
      </c>
      <c r="C126" s="194" t="str">
        <f>'Pay App 1'!C126</f>
        <v>Elevator</v>
      </c>
      <c r="D126" s="155">
        <f>'Pay App 1'!D126</f>
        <v>0</v>
      </c>
      <c r="E126" s="155">
        <f>VLOOKUP(B126,'Graph Data'!$O$2:$BX$88,60,FALSE)</f>
        <v>0</v>
      </c>
      <c r="F126" s="155">
        <f>IFERROR(E126+'Pay App 57'!F126,"")</f>
        <v>0</v>
      </c>
      <c r="G126" s="155">
        <f>SUM('Pay App 1:Pay App 57'!H126)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58'!L126)+SUM('Pay App 1:Pay App 58'!M126)</f>
        <v>0</v>
      </c>
    </row>
    <row r="127" spans="1:14" ht="11.25" customHeight="1" x14ac:dyDescent="0.25">
      <c r="A127" s="152">
        <f t="shared" si="3"/>
        <v>66</v>
      </c>
      <c r="B127" s="188" t="str">
        <f>'Pay App 1'!B127</f>
        <v>14 40 00</v>
      </c>
      <c r="C127" s="194" t="str">
        <f>'Pay App 1'!C127</f>
        <v>Lifts</v>
      </c>
      <c r="D127" s="155">
        <f>'Pay App 1'!D127</f>
        <v>0</v>
      </c>
      <c r="E127" s="155">
        <f>VLOOKUP(B127,'Graph Data'!$O$2:$BX$88,60,FALSE)</f>
        <v>0</v>
      </c>
      <c r="F127" s="155">
        <f>IFERROR(E127+'Pay App 57'!F127,"")</f>
        <v>0</v>
      </c>
      <c r="G127" s="155">
        <f>SUM('Pay App 1:Pay App 57'!H127)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58'!L127)+SUM('Pay App 1:Pay App 58'!M127)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Data'!$O$2:$BX$88,60,FALSE)</f>
        <v>0</v>
      </c>
      <c r="F128" s="155">
        <f>IFERROR(E128+'Pay App 57'!F128,"")</f>
        <v>0</v>
      </c>
      <c r="G128" s="155">
        <f>SUM('Pay App 1:Pay App 57'!H128)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58'!L128)+SUM('Pay App 1:Pay App 58'!M128)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Data'!$O$2:$BX$88,60,FALSE)</f>
        <v>0</v>
      </c>
      <c r="F129" s="155">
        <f>IFERROR(E129+'Pay App 57'!F129,"")</f>
        <v>0</v>
      </c>
      <c r="G129" s="155">
        <f>SUM('Pay App 1:Pay App 57'!H129)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58'!L129)+SUM('Pay App 1:Pay App 58'!M129)</f>
        <v>0</v>
      </c>
    </row>
    <row r="130" spans="1:14" ht="11.25" customHeight="1" x14ac:dyDescent="0.25">
      <c r="A130" s="152">
        <f t="shared" si="3"/>
        <v>69</v>
      </c>
      <c r="B130" s="185" t="str">
        <f>'Pay App 1'!B130</f>
        <v>22 00 00</v>
      </c>
      <c r="C130" s="191" t="str">
        <f>'Pay App 1'!C130</f>
        <v>Plumbing</v>
      </c>
      <c r="D130" s="155">
        <f>'Pay App 1'!D130</f>
        <v>0</v>
      </c>
      <c r="E130" s="155">
        <f>VLOOKUP(B130,'Graph Data'!$O$2:$BX$88,60,FALSE)</f>
        <v>0</v>
      </c>
      <c r="F130" s="155">
        <f>IFERROR(E130+'Pay App 57'!F130,"")</f>
        <v>0</v>
      </c>
      <c r="G130" s="155">
        <f>SUM('Pay App 1:Pay App 57'!H130)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58'!L130)+SUM('Pay App 1:Pay App 58'!M130)</f>
        <v>0</v>
      </c>
    </row>
    <row r="131" spans="1:14" ht="11.25" customHeight="1" x14ac:dyDescent="0.25">
      <c r="A131" s="152">
        <f t="shared" si="3"/>
        <v>70</v>
      </c>
      <c r="B131" s="186" t="str">
        <f>'Pay App 1'!B131</f>
        <v>23 00 00</v>
      </c>
      <c r="C131" s="192" t="str">
        <f>'Pay App 1'!C131</f>
        <v>HVAC</v>
      </c>
      <c r="D131" s="155">
        <f>'Pay App 1'!D131</f>
        <v>0</v>
      </c>
      <c r="E131" s="155">
        <f>VLOOKUP(B131,'Graph Data'!$O$2:$BX$88,60,FALSE)</f>
        <v>0</v>
      </c>
      <c r="F131" s="155">
        <f>IFERROR(E131+'Pay App 57'!F131,"")</f>
        <v>0</v>
      </c>
      <c r="G131" s="155">
        <f>SUM('Pay App 1:Pay App 57'!H131)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58'!L131)+SUM('Pay App 1:Pay App 58'!M131)</f>
        <v>0</v>
      </c>
    </row>
    <row r="132" spans="1:14" ht="11.25" customHeight="1" x14ac:dyDescent="0.25">
      <c r="A132" s="152">
        <f t="shared" si="3"/>
        <v>71</v>
      </c>
      <c r="B132" s="187" t="str">
        <f>'Pay App 1'!B132</f>
        <v>26 00 00</v>
      </c>
      <c r="C132" s="193" t="str">
        <f>'Pay App 1'!C132</f>
        <v>Electrical</v>
      </c>
      <c r="D132" s="155">
        <f>'Pay App 1'!D132</f>
        <v>0</v>
      </c>
      <c r="E132" s="155">
        <f>VLOOKUP(B132,'Graph Data'!$O$2:$BX$88,60,FALSE)</f>
        <v>0</v>
      </c>
      <c r="F132" s="155">
        <f>IFERROR(E132+'Pay App 57'!F132,"")</f>
        <v>0</v>
      </c>
      <c r="G132" s="155">
        <f>SUM('Pay App 1:Pay App 57'!H132)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58'!L132)+SUM('Pay App 1:Pay App 58'!M132)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Data'!$O$2:$BX$88,60,FALSE)</f>
        <v>0</v>
      </c>
      <c r="F133" s="155">
        <f>IFERROR(E133+'Pay App 57'!F133,"")</f>
        <v>0</v>
      </c>
      <c r="G133" s="155">
        <f>SUM('Pay App 1:Pay App 57'!H133)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58'!L133)+SUM('Pay App 1:Pay App 58'!M133)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Data'!$O$2:$BX$88,60,FALSE)</f>
        <v>0</v>
      </c>
      <c r="F134" s="155">
        <f>IFERROR(E134+'Pay App 57'!F134,"")</f>
        <v>0</v>
      </c>
      <c r="G134" s="155">
        <f>SUM('Pay App 1:Pay App 57'!H134)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58'!L134)+SUM('Pay App 1:Pay App 58'!M134)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Data'!$O$2:$BX$88,60,FALSE)</f>
        <v>0</v>
      </c>
      <c r="F135" s="155">
        <f>IFERROR(E135+'Pay App 57'!F135,"")</f>
        <v>0</v>
      </c>
      <c r="G135" s="155">
        <f>SUM('Pay App 1:Pay App 57'!H135)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58'!L135)+SUM('Pay App 1:Pay App 58'!M135)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Data'!$O$2:$BX$88,60,FALSE)</f>
        <v>0</v>
      </c>
      <c r="F136" s="155">
        <f>IFERROR(E136+'Pay App 57'!F136,"")</f>
        <v>0</v>
      </c>
      <c r="G136" s="155">
        <f>SUM('Pay App 1:Pay App 57'!H136)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58'!L136)+SUM('Pay App 1:Pay App 58'!M136)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Data'!$O$2:$BX$88,60,FALSE)</f>
        <v>0</v>
      </c>
      <c r="F137" s="155">
        <f>IFERROR(E137+'Pay App 57'!F137,"")</f>
        <v>0</v>
      </c>
      <c r="G137" s="155">
        <f>SUM('Pay App 1:Pay App 57'!H137)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58'!L137)+SUM('Pay App 1:Pay App 58'!M137)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Data'!$O$2:$BX$88,60,FALSE)</f>
        <v>0</v>
      </c>
      <c r="F138" s="155">
        <f>IFERROR(E138+'Pay App 57'!F138,"")</f>
        <v>0</v>
      </c>
      <c r="G138" s="155">
        <f>SUM('Pay App 1:Pay App 57'!H138)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58'!L138)+SUM('Pay App 1:Pay App 58'!M138)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Data'!$O$2:$BX$88,60,FALSE)</f>
        <v>0</v>
      </c>
      <c r="F139" s="155">
        <f>IFERROR(E139+'Pay App 57'!F139,"")</f>
        <v>0</v>
      </c>
      <c r="G139" s="155">
        <f>SUM('Pay App 1:Pay App 57'!H139)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58'!L139)+SUM('Pay App 1:Pay App 58'!M139)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Data'!$O$2:$BX$88,60,FALSE)</f>
        <v>0</v>
      </c>
      <c r="F140" s="155">
        <f>IFERROR(E140+'Pay App 57'!F140,"")</f>
        <v>0</v>
      </c>
      <c r="G140" s="155">
        <f>SUM('Pay App 1:Pay App 57'!H140)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58'!L140)+SUM('Pay App 1:Pay App 58'!M140)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Data'!$O$2:$BX$88,60,FALSE)</f>
        <v>0</v>
      </c>
      <c r="F141" s="155">
        <f>IFERROR(E141+'Pay App 57'!F141,"")</f>
        <v>0</v>
      </c>
      <c r="G141" s="155">
        <f>SUM('Pay App 1:Pay App 57'!H141)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58'!L141)+SUM('Pay App 1:Pay App 58'!M141)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Data'!$O$2:$BX$88,60,FALSE)</f>
        <v>0</v>
      </c>
      <c r="F142" s="155">
        <f>IFERROR(E142+'Pay App 57'!F142,"")</f>
        <v>0</v>
      </c>
      <c r="G142" s="155">
        <f>SUM('Pay App 1:Pay App 57'!H142)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58'!L142)+SUM('Pay App 1:Pay App 58'!M142)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Data'!$O$2:$BX$88,60,FALSE)</f>
        <v>0</v>
      </c>
      <c r="F143" s="155">
        <f>IFERROR(E143+'Pay App 57'!F143,"")</f>
        <v>0</v>
      </c>
      <c r="G143" s="155">
        <f>SUM('Pay App 1:Pay App 57'!H143)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58'!L143)+SUM('Pay App 1:Pay App 58'!M143)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Data'!$O$2:$BX$88,60,FALSE)</f>
        <v>0</v>
      </c>
      <c r="F144" s="155">
        <f>IFERROR(E144+'Pay App 57'!F144,"")</f>
        <v>0</v>
      </c>
      <c r="G144" s="155">
        <f>SUM('Pay App 1:Pay App 57'!H144)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58'!L144)+SUM('Pay App 1:Pay App 58'!M144)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Data'!$O$2:$BX$88,60,FALSE)</f>
        <v>0</v>
      </c>
      <c r="F145" s="155">
        <f>IFERROR(E145+'Pay App 57'!F145,"")</f>
        <v>0</v>
      </c>
      <c r="G145" s="155">
        <f>SUM('Pay App 1:Pay App 57'!H145)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58'!L145)+SUM('Pay App 1:Pay App 58'!M145)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Data'!$O$2:$BX$88,60,FALSE)</f>
        <v>0</v>
      </c>
      <c r="F146" s="155">
        <f>IFERROR(E146+'Pay App 57'!F146,"")</f>
        <v>0</v>
      </c>
      <c r="G146" s="155">
        <f>SUM('Pay App 1:Pay App 57'!H146)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58'!L146)+SUM('Pay App 1:Pay App 58'!M146)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Data'!$O$2:$BX$88,60,FALSE)</f>
        <v>0</v>
      </c>
      <c r="F147" s="155">
        <f>IFERROR(E147+'Pay App 57'!F147,"")</f>
        <v>0</v>
      </c>
      <c r="G147" s="155">
        <f>SUM('Pay App 1:Pay App 57'!H147)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58'!L147)+SUM('Pay App 1:Pay App 58'!M147)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Data'!$O$2:$BX$88,60,FALSE)</f>
        <v>0</v>
      </c>
      <c r="F148" s="155">
        <f>IFERROR(E148+'Pay App 57'!F148,"")</f>
        <v>0</v>
      </c>
      <c r="G148" s="155">
        <f>SUM('Pay App 1:Pay App 57'!H148)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58'!L148)+SUM('Pay App 1:Pay App 58'!M148)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6WswF1cOMOoFeQRyu0qy2+Der0KKX8kKyNbkJIoTow0UQlyUKfUhw5MZlk/t8d1iXClx8TuOU+DTgtR7aibNCw==" saltValue="0Z0LQmtERevah6PvHe89uA=="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32" priority="2" operator="equal">
      <formula>0</formula>
    </cfRule>
  </conditionalFormatting>
  <conditionalFormatting sqref="D106:G148">
    <cfRule type="cellIs" dxfId="31" priority="1" operator="equal">
      <formula>0</formula>
    </cfRule>
  </conditionalFormatting>
  <conditionalFormatting sqref="D10:H10 D12:H14 D19:H21">
    <cfRule type="cellIs" dxfId="30" priority="6" operator="equal">
      <formula>0</formula>
    </cfRule>
  </conditionalFormatting>
  <conditionalFormatting sqref="H51">
    <cfRule type="cellIs" dxfId="29" priority="9" operator="lessThan">
      <formula>0</formula>
    </cfRule>
  </conditionalFormatting>
  <conditionalFormatting sqref="I57:I100 K57:K100 I106:I148 K106:K148 N106:N148">
    <cfRule type="cellIs" dxfId="28" priority="14" operator="equal">
      <formula>0</formula>
    </cfRule>
  </conditionalFormatting>
  <conditionalFormatting sqref="J57:J100 J106:J149">
    <cfRule type="cellIs" dxfId="27" priority="11" operator="greaterThan">
      <formula>1</formula>
    </cfRule>
    <cfRule type="cellIs" dxfId="26" priority="12" operator="equal">
      <formula>0</formula>
    </cfRule>
  </conditionalFormatting>
  <conditionalFormatting sqref="K57:K100 K106:K148">
    <cfRule type="cellIs" dxfId="25" priority="10" operator="lessThan">
      <formula>0</formula>
    </cfRule>
  </conditionalFormatting>
  <conditionalFormatting sqref="M57:M100">
    <cfRule type="cellIs" dxfId="24" priority="13" operator="lessThan">
      <formula>0</formula>
    </cfRule>
  </conditionalFormatting>
  <conditionalFormatting sqref="M106:M148">
    <cfRule type="cellIs" dxfId="23" priority="8" operator="lessThan">
      <formula>0</formula>
    </cfRule>
  </conditionalFormatting>
  <conditionalFormatting sqref="N57:N100">
    <cfRule type="cellIs" dxfId="22"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04A4124F-8CDA-4887-AC01-06585441B07C}">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83277E05-BDD3-488F-81FC-F03A9BC137A5}">
          <x14:formula1>
            <xm:f>'Graph Data'!$M$74:$M$76</xm:f>
          </x14:formula1>
          <xm:sqref>G17</xm:sqref>
        </x14:dataValidation>
      </x14:dataValidation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53C42-539E-4CC2-BD11-C3B7F8DDFE8E}">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59</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ht="12" customHeight="1"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59'!E149)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59'!G41)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58'!H49)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59.1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Data'!$O$2:$BX$88,61,FALSE)</f>
        <v>0</v>
      </c>
      <c r="F57" s="155">
        <f>IFERROR(E57+'Pay App 58'!F57,"")</f>
        <v>0</v>
      </c>
      <c r="G57" s="155">
        <f>SUM('Pay App 1:Pay App 58'!H57)</f>
        <v>0</v>
      </c>
      <c r="H57" s="154"/>
      <c r="I57" s="155">
        <f>G57+H57</f>
        <v>0</v>
      </c>
      <c r="J57" s="156">
        <f>IFERROR(I57/F57,0)</f>
        <v>0</v>
      </c>
      <c r="K57" s="155">
        <f>IFERROR(F57-I57,"")</f>
        <v>0</v>
      </c>
      <c r="L57" s="155" t="str">
        <f>IF(AND('Summary Sheet'!$E$23="No",$H$33&gt;0,H57&gt;=1),"",IF(AND('Summary Sheet'!$E$23="Yes",H57&lt;&gt;""),H57*'Summary Sheet'!$G$23,""))</f>
        <v/>
      </c>
      <c r="M57" s="154"/>
      <c r="N57" s="155">
        <f>SUM('Pay App 1:Pay App 59'!L57)+SUM('Pay App 1:Pay App 59'!M57)</f>
        <v>0</v>
      </c>
    </row>
    <row r="58" spans="1:16" ht="11.25" customHeight="1" x14ac:dyDescent="0.25">
      <c r="A58" s="152">
        <v>2</v>
      </c>
      <c r="B58" s="145" t="str">
        <f>'Pay App 1'!B58</f>
        <v>00 02 00</v>
      </c>
      <c r="C58" s="134" t="str">
        <f>'Pay App 1'!C58</f>
        <v>Preconstruction Services</v>
      </c>
      <c r="D58" s="155">
        <f>'Pay App 1'!D58</f>
        <v>0</v>
      </c>
      <c r="E58" s="155">
        <f>VLOOKUP(B58,'Graph Data'!$O$2:$BX$88,61,FALSE)</f>
        <v>0</v>
      </c>
      <c r="F58" s="155">
        <f>IFERROR(E58+'Pay App 58'!F58,"")</f>
        <v>0</v>
      </c>
      <c r="G58" s="155">
        <f>SUM('Pay App 1:Pay App 58'!H58)</f>
        <v>0</v>
      </c>
      <c r="H58" s="154"/>
      <c r="I58" s="155">
        <f>G58+H58</f>
        <v>0</v>
      </c>
      <c r="J58" s="156">
        <f>IFERROR(I58/F58,0)</f>
        <v>0</v>
      </c>
      <c r="K58" s="155">
        <f>IFERROR(F58-I58,"")</f>
        <v>0</v>
      </c>
      <c r="L58" s="155" t="str">
        <f>IF(AND('Summary Sheet'!$E$23="No",$H$33&gt;0,H58&gt;=1),"",IF(AND('Summary Sheet'!$E$23="Yes",H58&lt;&gt;""),H58*'Summary Sheet'!$G$23,""))</f>
        <v/>
      </c>
      <c r="M58" s="154"/>
      <c r="N58" s="155">
        <f>SUM('Pay App 1:Pay App 59'!L58)+SUM('Pay App 1:Pay App 59'!M58)</f>
        <v>0</v>
      </c>
    </row>
    <row r="59" spans="1:16" ht="11.25" customHeight="1" x14ac:dyDescent="0.25">
      <c r="A59" s="152">
        <v>3</v>
      </c>
      <c r="B59" s="174" t="str">
        <f>'Pay App 1'!B59</f>
        <v>01 00 00</v>
      </c>
      <c r="C59" s="179" t="str">
        <f>'Pay App 1'!C59</f>
        <v>General Conditions/Requirements</v>
      </c>
      <c r="D59" s="155">
        <f>'Pay App 1'!D59</f>
        <v>0</v>
      </c>
      <c r="E59" s="155">
        <f>VLOOKUP(B59,'Graph Data'!$O$2:$BX$88,61,FALSE)</f>
        <v>0</v>
      </c>
      <c r="F59" s="155">
        <f>IFERROR(E59+'Pay App 58'!F59,"")</f>
        <v>0</v>
      </c>
      <c r="G59" s="155">
        <f>SUM('Pay App 1:Pay App 58'!H59)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59'!L59)+SUM('Pay App 1:Pay App 59'!M59)</f>
        <v>0</v>
      </c>
    </row>
    <row r="60" spans="1:16" ht="11.25" customHeight="1" x14ac:dyDescent="0.25">
      <c r="A60" s="152">
        <v>4</v>
      </c>
      <c r="B60" s="174" t="str">
        <f>'Pay App 1'!B60</f>
        <v>01 13 41</v>
      </c>
      <c r="C60" s="179" t="str">
        <f>'Pay App 1'!C60</f>
        <v>Temp. Scaffolding and Platforms</v>
      </c>
      <c r="D60" s="155">
        <f>'Pay App 1'!D60</f>
        <v>0</v>
      </c>
      <c r="E60" s="155">
        <f>VLOOKUP(B60,'Graph Data'!$O$2:$BX$88,61,FALSE)</f>
        <v>0</v>
      </c>
      <c r="F60" s="155">
        <f>IFERROR(E60+'Pay App 58'!F60,"")</f>
        <v>0</v>
      </c>
      <c r="G60" s="155">
        <f>SUM('Pay App 1:Pay App 58'!H60)</f>
        <v>0</v>
      </c>
      <c r="H60" s="154"/>
      <c r="I60" s="155">
        <f t="shared" si="0"/>
        <v>0</v>
      </c>
      <c r="J60" s="156">
        <f t="shared" si="1"/>
        <v>0</v>
      </c>
      <c r="K60" s="155">
        <f t="shared" si="2"/>
        <v>0</v>
      </c>
      <c r="L60" s="155" t="str">
        <f>IF(AND('Summary Sheet'!$E$23="No",$H$33&gt;0,H60&gt;=1),"",IF(AND('Summary Sheet'!$E$23="Yes",H60&lt;&gt;""),H60*'Summary Sheet'!$G$23,""))</f>
        <v/>
      </c>
      <c r="M60" s="154"/>
      <c r="N60" s="155">
        <f>SUM('Pay App 1:Pay App 59'!L60)+SUM('Pay App 1:Pay App 59'!M60)</f>
        <v>0</v>
      </c>
    </row>
    <row r="61" spans="1:16" ht="11.25" customHeight="1" x14ac:dyDescent="0.25">
      <c r="A61" s="152">
        <v>5</v>
      </c>
      <c r="B61" s="174" t="str">
        <f>'Pay App 1'!B61</f>
        <v>01 13 60</v>
      </c>
      <c r="C61" s="179" t="str">
        <f>'Pay App 1'!C61</f>
        <v>SWPPP</v>
      </c>
      <c r="D61" s="155">
        <f>'Pay App 1'!D61</f>
        <v>0</v>
      </c>
      <c r="E61" s="155">
        <f>VLOOKUP(B61,'Graph Data'!$O$2:$BX$88,61,FALSE)</f>
        <v>0</v>
      </c>
      <c r="F61" s="155">
        <f>IFERROR(E61+'Pay App 58'!F61,"")</f>
        <v>0</v>
      </c>
      <c r="G61" s="155">
        <f>SUM('Pay App 1:Pay App 58'!H61)</f>
        <v>0</v>
      </c>
      <c r="H61" s="154"/>
      <c r="I61" s="155">
        <f t="shared" si="0"/>
        <v>0</v>
      </c>
      <c r="J61" s="156">
        <f t="shared" si="1"/>
        <v>0</v>
      </c>
      <c r="K61" s="155">
        <f t="shared" si="2"/>
        <v>0</v>
      </c>
      <c r="L61" s="155" t="str">
        <f>IF(AND('Summary Sheet'!$E$23="No",$H$33&gt;0,H61&gt;=1),"",IF(AND('Summary Sheet'!$E$23="Yes",H61&lt;&gt;""),H61*'Summary Sheet'!$G$23,""))</f>
        <v/>
      </c>
      <c r="M61" s="154"/>
      <c r="N61" s="155">
        <f>SUM('Pay App 1:Pay App 59'!L61)+SUM('Pay App 1:Pay App 59'!M61)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Data'!$O$2:$BX$88,61,FALSE)</f>
        <v>0</v>
      </c>
      <c r="F62" s="155">
        <f>IFERROR(E62+'Pay App 58'!F62,"")</f>
        <v>0</v>
      </c>
      <c r="G62" s="155">
        <f>SUM('Pay App 1:Pay App 58'!H62)</f>
        <v>0</v>
      </c>
      <c r="H62" s="154"/>
      <c r="I62" s="155">
        <f t="shared" si="0"/>
        <v>0</v>
      </c>
      <c r="J62" s="156">
        <f t="shared" si="1"/>
        <v>0</v>
      </c>
      <c r="K62" s="155">
        <f t="shared" si="2"/>
        <v>0</v>
      </c>
      <c r="L62" s="155" t="str">
        <f>IF(AND('Summary Sheet'!$E$23="No",$H$33&gt;0,H62&gt;=1),"",IF(AND('Summary Sheet'!$E$23="Yes",H62&lt;&gt;""),H62*'Summary Sheet'!$G$23,""))</f>
        <v/>
      </c>
      <c r="M62" s="154"/>
      <c r="N62" s="155">
        <f>SUM('Pay App 1:Pay App 59'!L62)+SUM('Pay App 1:Pay App 59'!M62)</f>
        <v>0</v>
      </c>
    </row>
    <row r="63" spans="1:16" ht="11.25" customHeight="1" x14ac:dyDescent="0.25">
      <c r="A63" s="152">
        <v>7</v>
      </c>
      <c r="B63" s="174" t="str">
        <f>'Pay App 1'!B63</f>
        <v>01 31 00</v>
      </c>
      <c r="C63" s="179" t="str">
        <f>'Pay App 1'!C63</f>
        <v>Contractor's Supervision</v>
      </c>
      <c r="D63" s="155">
        <f>'Pay App 1'!D63</f>
        <v>0</v>
      </c>
      <c r="E63" s="155">
        <f>VLOOKUP(B63,'Graph Data'!$O$2:$BX$88,61,FALSE)</f>
        <v>0</v>
      </c>
      <c r="F63" s="155">
        <f>IFERROR(E63+'Pay App 58'!F63,"")</f>
        <v>0</v>
      </c>
      <c r="G63" s="155">
        <f>SUM('Pay App 1:Pay App 58'!H63)</f>
        <v>0</v>
      </c>
      <c r="H63" s="154"/>
      <c r="I63" s="155">
        <f t="shared" si="0"/>
        <v>0</v>
      </c>
      <c r="J63" s="156">
        <f t="shared" si="1"/>
        <v>0</v>
      </c>
      <c r="K63" s="155">
        <f t="shared" si="2"/>
        <v>0</v>
      </c>
      <c r="L63" s="155" t="str">
        <f>IF(AND('Summary Sheet'!$E$23="No",$H$33&gt;0,H63&gt;=1),"",IF(AND('Summary Sheet'!$E$23="Yes",H63&lt;&gt;""),H63*'Summary Sheet'!$G$23,""))</f>
        <v/>
      </c>
      <c r="M63" s="154"/>
      <c r="N63" s="155">
        <f>SUM('Pay App 1:Pay App 59'!L63)+SUM('Pay App 1:Pay App 59'!M63)</f>
        <v>0</v>
      </c>
    </row>
    <row r="64" spans="1:16" ht="11.25" customHeight="1" x14ac:dyDescent="0.25">
      <c r="A64" s="152">
        <v>8</v>
      </c>
      <c r="B64" s="174" t="str">
        <f>'Pay App 1'!B64</f>
        <v>01 32 00</v>
      </c>
      <c r="C64" s="179" t="str">
        <f>'Pay App 1'!C64</f>
        <v>General Liability Insurance</v>
      </c>
      <c r="D64" s="155">
        <f>'Pay App 1'!D64</f>
        <v>0</v>
      </c>
      <c r="E64" s="155">
        <f>VLOOKUP(B64,'Graph Data'!$O$2:$BX$88,61,FALSE)</f>
        <v>0</v>
      </c>
      <c r="F64" s="155">
        <f>IFERROR(E64+'Pay App 58'!F64,"")</f>
        <v>0</v>
      </c>
      <c r="G64" s="155">
        <f>SUM('Pay App 1:Pay App 58'!H64)</f>
        <v>0</v>
      </c>
      <c r="H64" s="154"/>
      <c r="I64" s="155">
        <f t="shared" si="0"/>
        <v>0</v>
      </c>
      <c r="J64" s="156">
        <f t="shared" si="1"/>
        <v>0</v>
      </c>
      <c r="K64" s="155">
        <f t="shared" si="2"/>
        <v>0</v>
      </c>
      <c r="L64" s="155" t="str">
        <f>IF(AND('Summary Sheet'!$E$23="No",$H$33&gt;0,H64&gt;=1),"",IF(AND('Summary Sheet'!$E$23="Yes",H64&lt;&gt;""),H64*'Summary Sheet'!$G$23,""))</f>
        <v/>
      </c>
      <c r="M64" s="154"/>
      <c r="N64" s="155">
        <f>SUM('Pay App 1:Pay App 59'!L64)+SUM('Pay App 1:Pay App 59'!M64)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Data'!$O$2:$BX$88,61,FALSE)</f>
        <v>0</v>
      </c>
      <c r="F65" s="155">
        <f>IFERROR(E65+'Pay App 58'!F65,"")</f>
        <v>0</v>
      </c>
      <c r="G65" s="155">
        <f>SUM('Pay App 1:Pay App 58'!H65)</f>
        <v>0</v>
      </c>
      <c r="H65" s="154"/>
      <c r="I65" s="155">
        <f t="shared" si="0"/>
        <v>0</v>
      </c>
      <c r="J65" s="156">
        <f t="shared" si="1"/>
        <v>0</v>
      </c>
      <c r="K65" s="155">
        <f t="shared" si="2"/>
        <v>0</v>
      </c>
      <c r="L65" s="155" t="str">
        <f>IF(AND('Summary Sheet'!$E$23="No",$H$33&gt;0,H65&gt;=1),"",IF(AND('Summary Sheet'!$E$23="Yes",H65&lt;&gt;""),H65*'Summary Sheet'!$G$23,""))</f>
        <v/>
      </c>
      <c r="M65" s="154"/>
      <c r="N65" s="155">
        <f>SUM('Pay App 1:Pay App 59'!L65)+SUM('Pay App 1:Pay App 59'!M65)</f>
        <v>0</v>
      </c>
    </row>
    <row r="66" spans="1:17" ht="11.25" customHeight="1" x14ac:dyDescent="0.25">
      <c r="A66" s="152">
        <v>10</v>
      </c>
      <c r="B66" s="174" t="str">
        <f>'Pay App 1'!B66</f>
        <v>01 34 00</v>
      </c>
      <c r="C66" s="179" t="str">
        <f>'Pay App 1'!C66</f>
        <v>Subcontractor Default Insurance</v>
      </c>
      <c r="D66" s="155">
        <f>'Pay App 1'!D66</f>
        <v>0</v>
      </c>
      <c r="E66" s="155">
        <f>VLOOKUP(B66,'Graph Data'!$O$2:$BX$88,61,FALSE)</f>
        <v>0</v>
      </c>
      <c r="F66" s="155">
        <f>IFERROR(E66+'Pay App 58'!F66,"")</f>
        <v>0</v>
      </c>
      <c r="G66" s="155">
        <f>SUM('Pay App 1:Pay App 58'!H66)</f>
        <v>0</v>
      </c>
      <c r="H66" s="154"/>
      <c r="I66" s="155">
        <f t="shared" si="0"/>
        <v>0</v>
      </c>
      <c r="J66" s="156">
        <f t="shared" si="1"/>
        <v>0</v>
      </c>
      <c r="K66" s="155">
        <f t="shared" si="2"/>
        <v>0</v>
      </c>
      <c r="L66" s="155" t="str">
        <f>IF(AND('Summary Sheet'!$E$23="No",$H$33&gt;0,H66&gt;=1),"",IF(AND('Summary Sheet'!$E$23="Yes",H66&lt;&gt;""),H66*'Summary Sheet'!$G$23,""))</f>
        <v/>
      </c>
      <c r="M66" s="154"/>
      <c r="N66" s="155">
        <f>SUM('Pay App 1:Pay App 59'!L66)+SUM('Pay App 1:Pay App 59'!M66)</f>
        <v>0</v>
      </c>
    </row>
    <row r="67" spans="1:17" ht="11.25" customHeight="1" x14ac:dyDescent="0.25">
      <c r="A67" s="152">
        <v>11</v>
      </c>
      <c r="B67" s="174" t="str">
        <f>'Pay App 1'!B67</f>
        <v>01 35 00</v>
      </c>
      <c r="C67" s="179" t="str">
        <f>'Pay App 1'!C67</f>
        <v>Construction Management Fee</v>
      </c>
      <c r="D67" s="155">
        <f>'Pay App 1'!D67</f>
        <v>0</v>
      </c>
      <c r="E67" s="155">
        <f>VLOOKUP(B67,'Graph Data'!$O$2:$BX$88,61,FALSE)</f>
        <v>0</v>
      </c>
      <c r="F67" s="155">
        <f>IFERROR(E67+'Pay App 58'!F67,"")</f>
        <v>0</v>
      </c>
      <c r="G67" s="155">
        <f>SUM('Pay App 1:Pay App 58'!H67)</f>
        <v>0</v>
      </c>
      <c r="H67" s="154"/>
      <c r="I67" s="155">
        <f t="shared" si="0"/>
        <v>0</v>
      </c>
      <c r="J67" s="156">
        <f t="shared" si="1"/>
        <v>0</v>
      </c>
      <c r="K67" s="155">
        <f t="shared" si="2"/>
        <v>0</v>
      </c>
      <c r="L67" s="155" t="str">
        <f>IF(AND('Summary Sheet'!$E$23="No",$H$33&gt;0,H67&gt;=1),"",IF(AND('Summary Sheet'!$E$23="Yes",H67&lt;&gt;""),H67*'Summary Sheet'!$G$23,""))</f>
        <v/>
      </c>
      <c r="M67" s="154"/>
      <c r="N67" s="155">
        <f>SUM('Pay App 1:Pay App 59'!L67)+SUM('Pay App 1:Pay App 59'!M67)</f>
        <v>0</v>
      </c>
    </row>
    <row r="68" spans="1:17" ht="11.25" customHeight="1" x14ac:dyDescent="0.25">
      <c r="A68" s="152">
        <v>12</v>
      </c>
      <c r="B68" s="174" t="str">
        <f>'Pay App 1'!B68</f>
        <v>01 36 00</v>
      </c>
      <c r="C68" s="179" t="str">
        <f>'Pay App 1'!C68</f>
        <v>Contingency</v>
      </c>
      <c r="D68" s="155">
        <f>'Pay App 1'!D68</f>
        <v>0</v>
      </c>
      <c r="E68" s="155">
        <f>VLOOKUP(B68,'Graph Data'!$O$2:$BX$88,61,FALSE)</f>
        <v>0</v>
      </c>
      <c r="F68" s="155">
        <f>IFERROR(E68+'Pay App 58'!F68,"")</f>
        <v>0</v>
      </c>
      <c r="G68" s="155">
        <f>SUM('Pay App 1:Pay App 58'!H68)</f>
        <v>0</v>
      </c>
      <c r="H68" s="154"/>
      <c r="I68" s="155">
        <f t="shared" si="0"/>
        <v>0</v>
      </c>
      <c r="J68" s="156">
        <f t="shared" si="1"/>
        <v>0</v>
      </c>
      <c r="K68" s="155">
        <f t="shared" si="2"/>
        <v>0</v>
      </c>
      <c r="L68" s="155" t="str">
        <f>IF(AND('Summary Sheet'!$E$23="No",$H$33&gt;0,H68&gt;=1),"",IF(AND('Summary Sheet'!$E$23="Yes",H68&lt;&gt;""),H68*'Summary Sheet'!$G$23,""))</f>
        <v/>
      </c>
      <c r="M68" s="154"/>
      <c r="N68" s="155">
        <f>SUM('Pay App 1:Pay App 59'!L68)+SUM('Pay App 1:Pay App 59'!M68)</f>
        <v>0</v>
      </c>
    </row>
    <row r="69" spans="1:17" ht="11.25" customHeight="1" x14ac:dyDescent="0.25">
      <c r="A69" s="152">
        <v>13</v>
      </c>
      <c r="B69" s="174" t="str">
        <f>'Pay App 1'!B69</f>
        <v>01 37 00</v>
      </c>
      <c r="C69" s="179" t="str">
        <f>'Pay App 1'!C69</f>
        <v>Weather Allowance (All Trades)</v>
      </c>
      <c r="D69" s="155">
        <f>'Pay App 1'!D69</f>
        <v>0</v>
      </c>
      <c r="E69" s="155">
        <f>VLOOKUP(B69,'Graph Data'!$O$2:$BX$88,61,FALSE)</f>
        <v>0</v>
      </c>
      <c r="F69" s="155">
        <f>IFERROR(E69+'Pay App 58'!F69,"")</f>
        <v>0</v>
      </c>
      <c r="G69" s="155">
        <f>SUM('Pay App 1:Pay App 58'!H69)</f>
        <v>0</v>
      </c>
      <c r="H69" s="154"/>
      <c r="I69" s="155">
        <f t="shared" si="0"/>
        <v>0</v>
      </c>
      <c r="J69" s="156">
        <f t="shared" si="1"/>
        <v>0</v>
      </c>
      <c r="K69" s="155">
        <f t="shared" si="2"/>
        <v>0</v>
      </c>
      <c r="L69" s="155" t="str">
        <f>IF(AND('Summary Sheet'!$E$23="No",$H$33&gt;0,H69&gt;=1),"",IF(AND('Summary Sheet'!$E$23="Yes",H69&lt;&gt;""),H69*'Summary Sheet'!$G$23,""))</f>
        <v/>
      </c>
      <c r="M69" s="154"/>
      <c r="N69" s="155">
        <f>SUM('Pay App 1:Pay App 59'!L69)+SUM('Pay App 1:Pay App 59'!M69)</f>
        <v>0</v>
      </c>
    </row>
    <row r="70" spans="1:17" ht="11.25" customHeight="1" x14ac:dyDescent="0.25">
      <c r="A70" s="152">
        <v>14</v>
      </c>
      <c r="B70" s="174" t="str">
        <f>'Pay App 1'!B70</f>
        <v>01 74 23</v>
      </c>
      <c r="C70" s="179" t="str">
        <f>'Pay App 1'!C70</f>
        <v>Cleaning (Final)</v>
      </c>
      <c r="D70" s="155">
        <f>'Pay App 1'!D70</f>
        <v>0</v>
      </c>
      <c r="E70" s="155">
        <f>VLOOKUP(B70,'Graph Data'!$O$2:$BX$88,61,FALSE)</f>
        <v>0</v>
      </c>
      <c r="F70" s="155">
        <f>IFERROR(E70+'Pay App 58'!F70,"")</f>
        <v>0</v>
      </c>
      <c r="G70" s="155">
        <f>SUM('Pay App 1:Pay App 58'!H70)</f>
        <v>0</v>
      </c>
      <c r="H70" s="154"/>
      <c r="I70" s="155">
        <f t="shared" si="0"/>
        <v>0</v>
      </c>
      <c r="J70" s="156">
        <f t="shared" si="1"/>
        <v>0</v>
      </c>
      <c r="K70" s="155">
        <f t="shared" si="2"/>
        <v>0</v>
      </c>
      <c r="L70" s="155" t="str">
        <f>IF(AND('Summary Sheet'!$E$23="No",$H$33&gt;0,H70&gt;=1),"",IF(AND('Summary Sheet'!$E$23="Yes",H70&lt;&gt;""),H70*'Summary Sheet'!$G$23,""))</f>
        <v/>
      </c>
      <c r="M70" s="154"/>
      <c r="N70" s="155">
        <f>SUM('Pay App 1:Pay App 59'!L70)+SUM('Pay App 1:Pay App 59'!M70)</f>
        <v>0</v>
      </c>
    </row>
    <row r="71" spans="1:17" ht="11.25" customHeight="1" x14ac:dyDescent="0.25">
      <c r="A71" s="152">
        <v>15</v>
      </c>
      <c r="B71" s="175" t="str">
        <f>'Pay App 1'!B71</f>
        <v>02 21 00</v>
      </c>
      <c r="C71" s="180" t="str">
        <f>'Pay App 1'!C71</f>
        <v>Survey/Engineering</v>
      </c>
      <c r="D71" s="155">
        <f>'Pay App 1'!D71</f>
        <v>0</v>
      </c>
      <c r="E71" s="155">
        <f>VLOOKUP(B71,'Graph Data'!$O$2:$BX$88,61,FALSE)</f>
        <v>0</v>
      </c>
      <c r="F71" s="155">
        <f>IFERROR(E71+'Pay App 58'!F71,"")</f>
        <v>0</v>
      </c>
      <c r="G71" s="155">
        <f>SUM('Pay App 1:Pay App 58'!H71)</f>
        <v>0</v>
      </c>
      <c r="H71" s="154"/>
      <c r="I71" s="155">
        <f t="shared" si="0"/>
        <v>0</v>
      </c>
      <c r="J71" s="156">
        <f t="shared" si="1"/>
        <v>0</v>
      </c>
      <c r="K71" s="155">
        <f t="shared" si="2"/>
        <v>0</v>
      </c>
      <c r="L71" s="155" t="str">
        <f>IF(AND('Summary Sheet'!$E$23="No",$H$33&gt;0,H71&gt;=1),"",IF(AND('Summary Sheet'!$E$23="Yes",H71&lt;&gt;""),H71*'Summary Sheet'!$G$23,""))</f>
        <v/>
      </c>
      <c r="M71" s="154"/>
      <c r="N71" s="155">
        <f>SUM('Pay App 1:Pay App 59'!L71)+SUM('Pay App 1:Pay App 59'!M71)</f>
        <v>0</v>
      </c>
      <c r="Q71" s="28"/>
    </row>
    <row r="72" spans="1:17" ht="11.25" customHeight="1" x14ac:dyDescent="0.25">
      <c r="A72" s="152">
        <v>16</v>
      </c>
      <c r="B72" s="175" t="str">
        <f>'Pay App 1'!B72</f>
        <v>02 41 00</v>
      </c>
      <c r="C72" s="180" t="str">
        <f>'Pay App 1'!C72</f>
        <v>Demolition</v>
      </c>
      <c r="D72" s="155">
        <f>'Pay App 1'!D72</f>
        <v>0</v>
      </c>
      <c r="E72" s="155">
        <f>VLOOKUP(B72,'Graph Data'!$O$2:$BX$88,61,FALSE)</f>
        <v>0</v>
      </c>
      <c r="F72" s="155">
        <f>IFERROR(E72+'Pay App 58'!F72,"")</f>
        <v>0</v>
      </c>
      <c r="G72" s="155">
        <f>SUM('Pay App 1:Pay App 58'!H72)</f>
        <v>0</v>
      </c>
      <c r="H72" s="154"/>
      <c r="I72" s="155">
        <f t="shared" si="0"/>
        <v>0</v>
      </c>
      <c r="J72" s="156">
        <f t="shared" si="1"/>
        <v>0</v>
      </c>
      <c r="K72" s="155">
        <f t="shared" si="2"/>
        <v>0</v>
      </c>
      <c r="L72" s="155" t="str">
        <f>IF(AND('Summary Sheet'!$E$23="No",$H$33&gt;0,H72&gt;=1),"",IF(AND('Summary Sheet'!$E$23="Yes",H72&lt;&gt;""),H72*'Summary Sheet'!$G$23,""))</f>
        <v/>
      </c>
      <c r="M72" s="154"/>
      <c r="N72" s="155">
        <f>SUM('Pay App 1:Pay App 59'!L72)+SUM('Pay App 1:Pay App 59'!M72)</f>
        <v>0</v>
      </c>
      <c r="Q72" s="28"/>
    </row>
    <row r="73" spans="1:17" ht="11.25" customHeight="1" x14ac:dyDescent="0.25">
      <c r="A73" s="152">
        <v>17</v>
      </c>
      <c r="B73" s="175" t="str">
        <f>'Pay App 1'!B73</f>
        <v>02 82 00</v>
      </c>
      <c r="C73" s="180" t="str">
        <f>'Pay App 1'!C73</f>
        <v>Asbestos Abatement</v>
      </c>
      <c r="D73" s="155">
        <f>'Pay App 1'!D73</f>
        <v>0</v>
      </c>
      <c r="E73" s="155">
        <f>VLOOKUP(B73,'Graph Data'!$O$2:$BX$88,61,FALSE)</f>
        <v>0</v>
      </c>
      <c r="F73" s="155">
        <f>IFERROR(E73+'Pay App 58'!F73,"")</f>
        <v>0</v>
      </c>
      <c r="G73" s="155">
        <f>SUM('Pay App 1:Pay App 58'!H73)</f>
        <v>0</v>
      </c>
      <c r="H73" s="154"/>
      <c r="I73" s="155">
        <f t="shared" si="0"/>
        <v>0</v>
      </c>
      <c r="J73" s="156">
        <f t="shared" si="1"/>
        <v>0</v>
      </c>
      <c r="K73" s="155">
        <f t="shared" si="2"/>
        <v>0</v>
      </c>
      <c r="L73" s="155" t="str">
        <f>IF(AND('Summary Sheet'!$E$23="No",$H$33&gt;0,H73&gt;=1),"",IF(AND('Summary Sheet'!$E$23="Yes",H73&lt;&gt;""),H73*'Summary Sheet'!$G$23,""))</f>
        <v/>
      </c>
      <c r="M73" s="154"/>
      <c r="N73" s="155">
        <f>SUM('Pay App 1:Pay App 59'!L73)+SUM('Pay App 1:Pay App 59'!M73)</f>
        <v>0</v>
      </c>
    </row>
    <row r="74" spans="1:17" ht="11.25" customHeight="1" x14ac:dyDescent="0.25">
      <c r="A74" s="152">
        <v>18</v>
      </c>
      <c r="B74" s="176" t="str">
        <f>'Pay App 1'!B74</f>
        <v>03 00 00</v>
      </c>
      <c r="C74" s="181" t="str">
        <f>'Pay App 1'!C74</f>
        <v>Building Concrete</v>
      </c>
      <c r="D74" s="155">
        <f>'Pay App 1'!D74</f>
        <v>0</v>
      </c>
      <c r="E74" s="155">
        <f>VLOOKUP(B74,'Graph Data'!$O$2:$BX$88,61,FALSE)</f>
        <v>0</v>
      </c>
      <c r="F74" s="155">
        <f>IFERROR(E74+'Pay App 58'!F74,"")</f>
        <v>0</v>
      </c>
      <c r="G74" s="155">
        <f>SUM('Pay App 1:Pay App 58'!H74)</f>
        <v>0</v>
      </c>
      <c r="H74" s="154"/>
      <c r="I74" s="155">
        <f t="shared" si="0"/>
        <v>0</v>
      </c>
      <c r="J74" s="156">
        <f t="shared" si="1"/>
        <v>0</v>
      </c>
      <c r="K74" s="155">
        <f t="shared" si="2"/>
        <v>0</v>
      </c>
      <c r="L74" s="155" t="str">
        <f>IF(AND('Summary Sheet'!$E$23="No",$H$33&gt;0,H74&gt;=1),"",IF(AND('Summary Sheet'!$E$23="Yes",H74&lt;&gt;""),H74*'Summary Sheet'!$G$23,""))</f>
        <v/>
      </c>
      <c r="M74" s="154"/>
      <c r="N74" s="155">
        <f>SUM('Pay App 1:Pay App 59'!L74)+SUM('Pay App 1:Pay App 59'!M74)</f>
        <v>0</v>
      </c>
    </row>
    <row r="75" spans="1:17" ht="11.25" customHeight="1" x14ac:dyDescent="0.25">
      <c r="A75" s="152">
        <v>19</v>
      </c>
      <c r="B75" s="176" t="str">
        <f>'Pay App 1'!B75</f>
        <v>03 20 00</v>
      </c>
      <c r="C75" s="181" t="str">
        <f>'Pay App 1'!C75</f>
        <v>Building Concrete Reinforcing</v>
      </c>
      <c r="D75" s="155">
        <f>'Pay App 1'!D75</f>
        <v>0</v>
      </c>
      <c r="E75" s="155">
        <f>VLOOKUP(B75,'Graph Data'!$O$2:$BX$88,61,FALSE)</f>
        <v>0</v>
      </c>
      <c r="F75" s="155">
        <f>IFERROR(E75+'Pay App 58'!F75,"")</f>
        <v>0</v>
      </c>
      <c r="G75" s="155">
        <f>SUM('Pay App 1:Pay App 58'!H75)</f>
        <v>0</v>
      </c>
      <c r="H75" s="154"/>
      <c r="I75" s="155">
        <f t="shared" si="0"/>
        <v>0</v>
      </c>
      <c r="J75" s="156">
        <f t="shared" si="1"/>
        <v>0</v>
      </c>
      <c r="K75" s="155">
        <f t="shared" si="2"/>
        <v>0</v>
      </c>
      <c r="L75" s="155" t="str">
        <f>IF(AND('Summary Sheet'!$E$23="No",$H$33&gt;0,H75&gt;=1),"",IF(AND('Summary Sheet'!$E$23="Yes",H75&lt;&gt;""),H75*'Summary Sheet'!$G$23,""))</f>
        <v/>
      </c>
      <c r="M75" s="154"/>
      <c r="N75" s="155">
        <f>SUM('Pay App 1:Pay App 59'!L75)+SUM('Pay App 1:Pay App 59'!M75)</f>
        <v>0</v>
      </c>
    </row>
    <row r="76" spans="1:17" ht="11.25" customHeight="1" x14ac:dyDescent="0.25">
      <c r="A76" s="152">
        <v>20</v>
      </c>
      <c r="B76" s="176" t="str">
        <f>'Pay App 1'!B76</f>
        <v>03 40 00</v>
      </c>
      <c r="C76" s="181" t="str">
        <f>'Pay App 1'!C76</f>
        <v>Precast</v>
      </c>
      <c r="D76" s="155">
        <f>'Pay App 1'!D76</f>
        <v>0</v>
      </c>
      <c r="E76" s="155">
        <f>VLOOKUP(B76,'Graph Data'!$O$2:$BX$88,61,FALSE)</f>
        <v>0</v>
      </c>
      <c r="F76" s="155">
        <f>IFERROR(E76+'Pay App 58'!F76,"")</f>
        <v>0</v>
      </c>
      <c r="G76" s="155">
        <f>SUM('Pay App 1:Pay App 58'!H76)</f>
        <v>0</v>
      </c>
      <c r="H76" s="154"/>
      <c r="I76" s="155">
        <f t="shared" si="0"/>
        <v>0</v>
      </c>
      <c r="J76" s="156">
        <f t="shared" si="1"/>
        <v>0</v>
      </c>
      <c r="K76" s="155">
        <f t="shared" si="2"/>
        <v>0</v>
      </c>
      <c r="L76" s="155" t="str">
        <f>IF(AND('Summary Sheet'!$E$23="No",$H$33&gt;0,H76&gt;=1),"",IF(AND('Summary Sheet'!$E$23="Yes",H76&lt;&gt;""),H76*'Summary Sheet'!$G$23,""))</f>
        <v/>
      </c>
      <c r="M76" s="154"/>
      <c r="N76" s="155">
        <f>SUM('Pay App 1:Pay App 59'!L76)+SUM('Pay App 1:Pay App 59'!M76)</f>
        <v>0</v>
      </c>
    </row>
    <row r="77" spans="1:17" ht="11.25" customHeight="1" x14ac:dyDescent="0.25">
      <c r="A77" s="152">
        <v>21</v>
      </c>
      <c r="B77" s="177" t="str">
        <f>'Pay App 1'!B77</f>
        <v>04 00 00</v>
      </c>
      <c r="C77" s="182" t="str">
        <f>'Pay App 1'!C77</f>
        <v>Masonry</v>
      </c>
      <c r="D77" s="155">
        <f>'Pay App 1'!D77</f>
        <v>0</v>
      </c>
      <c r="E77" s="155">
        <f>VLOOKUP(B77,'Graph Data'!$O$2:$BX$88,61,FALSE)</f>
        <v>0</v>
      </c>
      <c r="F77" s="155">
        <f>IFERROR(E77+'Pay App 58'!F77,"")</f>
        <v>0</v>
      </c>
      <c r="G77" s="155">
        <f>SUM('Pay App 1:Pay App 58'!H77)</f>
        <v>0</v>
      </c>
      <c r="H77" s="154"/>
      <c r="I77" s="155">
        <f t="shared" si="0"/>
        <v>0</v>
      </c>
      <c r="J77" s="156">
        <f t="shared" si="1"/>
        <v>0</v>
      </c>
      <c r="K77" s="155">
        <f t="shared" si="2"/>
        <v>0</v>
      </c>
      <c r="L77" s="155" t="str">
        <f>IF(AND('Summary Sheet'!$E$23="No",$H$33&gt;0,H77&gt;=1),"",IF(AND('Summary Sheet'!$E$23="Yes",H77&lt;&gt;""),H77*'Summary Sheet'!$G$23,""))</f>
        <v/>
      </c>
      <c r="M77" s="154"/>
      <c r="N77" s="155">
        <f>SUM('Pay App 1:Pay App 59'!L77)+SUM('Pay App 1:Pay App 59'!M77)</f>
        <v>0</v>
      </c>
    </row>
    <row r="78" spans="1:17" ht="11.25" customHeight="1" x14ac:dyDescent="0.25">
      <c r="A78" s="152">
        <v>22</v>
      </c>
      <c r="B78" s="177" t="str">
        <f>'Pay App 1'!B78</f>
        <v>04 05 19</v>
      </c>
      <c r="C78" s="182" t="str">
        <f>'Pay App 1'!C78</f>
        <v>Masonry Reinforcing</v>
      </c>
      <c r="D78" s="155">
        <f>'Pay App 1'!D78</f>
        <v>0</v>
      </c>
      <c r="E78" s="155">
        <f>VLOOKUP(B78,'Graph Data'!$O$2:$BX$88,61,FALSE)</f>
        <v>0</v>
      </c>
      <c r="F78" s="155">
        <f>IFERROR(E78+'Pay App 58'!F78,"")</f>
        <v>0</v>
      </c>
      <c r="G78" s="155">
        <f>SUM('Pay App 1:Pay App 58'!H78)</f>
        <v>0</v>
      </c>
      <c r="H78" s="154"/>
      <c r="I78" s="155">
        <f t="shared" si="0"/>
        <v>0</v>
      </c>
      <c r="J78" s="156">
        <f t="shared" si="1"/>
        <v>0</v>
      </c>
      <c r="K78" s="155">
        <f t="shared" si="2"/>
        <v>0</v>
      </c>
      <c r="L78" s="155" t="str">
        <f>IF(AND('Summary Sheet'!$E$23="No",$H$33&gt;0,H78&gt;=1),"",IF(AND('Summary Sheet'!$E$23="Yes",H78&lt;&gt;""),H78*'Summary Sheet'!$G$23,""))</f>
        <v/>
      </c>
      <c r="M78" s="154"/>
      <c r="N78" s="155">
        <f>SUM('Pay App 1:Pay App 59'!L78)+SUM('Pay App 1:Pay App 59'!M78)</f>
        <v>0</v>
      </c>
    </row>
    <row r="79" spans="1:17" ht="11.25" customHeight="1" x14ac:dyDescent="0.25">
      <c r="A79" s="152">
        <v>23</v>
      </c>
      <c r="B79" s="178" t="str">
        <f>'Pay App 1'!B79</f>
        <v>05 10 00</v>
      </c>
      <c r="C79" s="183" t="str">
        <f>'Pay App 1'!C79</f>
        <v>Structural Steel/Misc. Steel Fab</v>
      </c>
      <c r="D79" s="155">
        <f>'Pay App 1'!D79</f>
        <v>0</v>
      </c>
      <c r="E79" s="155">
        <f>VLOOKUP(B79,'Graph Data'!$O$2:$BX$88,61,FALSE)</f>
        <v>0</v>
      </c>
      <c r="F79" s="155">
        <f>IFERROR(E79+'Pay App 58'!F79,"")</f>
        <v>0</v>
      </c>
      <c r="G79" s="155">
        <f>SUM('Pay App 1:Pay App 58'!H79)</f>
        <v>0</v>
      </c>
      <c r="H79" s="154"/>
      <c r="I79" s="155">
        <f t="shared" si="0"/>
        <v>0</v>
      </c>
      <c r="J79" s="156">
        <f t="shared" si="1"/>
        <v>0</v>
      </c>
      <c r="K79" s="155">
        <f t="shared" si="2"/>
        <v>0</v>
      </c>
      <c r="L79" s="155" t="str">
        <f>IF(AND('Summary Sheet'!$E$23="No",$H$33&gt;0,H79&gt;=1),"",IF(AND('Summary Sheet'!$E$23="Yes",H79&lt;&gt;""),H79*'Summary Sheet'!$G$23,""))</f>
        <v/>
      </c>
      <c r="M79" s="154"/>
      <c r="N79" s="155">
        <f>SUM('Pay App 1:Pay App 59'!L79)+SUM('Pay App 1:Pay App 59'!M79)</f>
        <v>0</v>
      </c>
    </row>
    <row r="80" spans="1:17" ht="11.25" customHeight="1" x14ac:dyDescent="0.25">
      <c r="A80" s="152">
        <v>24</v>
      </c>
      <c r="B80" s="178" t="str">
        <f>'Pay App 1'!B80</f>
        <v>05 20 00</v>
      </c>
      <c r="C80" s="183" t="str">
        <f>'Pay App 1'!C80</f>
        <v>Joists &amp; Deck</v>
      </c>
      <c r="D80" s="155">
        <f>'Pay App 1'!D80</f>
        <v>0</v>
      </c>
      <c r="E80" s="155">
        <f>VLOOKUP(B80,'Graph Data'!$O$2:$BX$88,61,FALSE)</f>
        <v>0</v>
      </c>
      <c r="F80" s="155">
        <f>IFERROR(E80+'Pay App 58'!F80,"")</f>
        <v>0</v>
      </c>
      <c r="G80" s="155">
        <f>SUM('Pay App 1:Pay App 58'!H80)</f>
        <v>0</v>
      </c>
      <c r="H80" s="154"/>
      <c r="I80" s="155">
        <f t="shared" si="0"/>
        <v>0</v>
      </c>
      <c r="J80" s="156">
        <f t="shared" si="1"/>
        <v>0</v>
      </c>
      <c r="K80" s="155">
        <f t="shared" si="2"/>
        <v>0</v>
      </c>
      <c r="L80" s="155" t="str">
        <f>IF(AND('Summary Sheet'!$E$23="No",$H$33&gt;0,H80&gt;=1),"",IF(AND('Summary Sheet'!$E$23="Yes",H80&lt;&gt;""),H80*'Summary Sheet'!$G$23,""))</f>
        <v/>
      </c>
      <c r="M80" s="154"/>
      <c r="N80" s="155">
        <f>SUM('Pay App 1:Pay App 59'!L80)+SUM('Pay App 1:Pay App 59'!M80)</f>
        <v>0</v>
      </c>
    </row>
    <row r="81" spans="1:14" ht="11.25" customHeight="1" x14ac:dyDescent="0.25">
      <c r="A81" s="152">
        <v>25</v>
      </c>
      <c r="B81" s="178" t="str">
        <f>'Pay App 1'!B81</f>
        <v>05 70 00</v>
      </c>
      <c r="C81" s="183" t="str">
        <f>'Pay App 1'!C81</f>
        <v>Ornamental Metal</v>
      </c>
      <c r="D81" s="155">
        <f>'Pay App 1'!D81</f>
        <v>0</v>
      </c>
      <c r="E81" s="155">
        <f>VLOOKUP(B81,'Graph Data'!$O$2:$BX$88,61,FALSE)</f>
        <v>0</v>
      </c>
      <c r="F81" s="155">
        <f>IFERROR(E81+'Pay App 58'!F81,"")</f>
        <v>0</v>
      </c>
      <c r="G81" s="155">
        <f>SUM('Pay App 1:Pay App 58'!H81)</f>
        <v>0</v>
      </c>
      <c r="H81" s="154"/>
      <c r="I81" s="155">
        <f t="shared" si="0"/>
        <v>0</v>
      </c>
      <c r="J81" s="156">
        <f t="shared" si="1"/>
        <v>0</v>
      </c>
      <c r="K81" s="155">
        <f t="shared" si="2"/>
        <v>0</v>
      </c>
      <c r="L81" s="155" t="str">
        <f>IF(AND('Summary Sheet'!$E$23="No",$H$33&gt;0,H81&gt;=1),"",IF(AND('Summary Sheet'!$E$23="Yes",H81&lt;&gt;""),H81*'Summary Sheet'!$G$23,""))</f>
        <v/>
      </c>
      <c r="M81" s="154"/>
      <c r="N81" s="155">
        <f>SUM('Pay App 1:Pay App 59'!L81)+SUM('Pay App 1:Pay App 59'!M81)</f>
        <v>0</v>
      </c>
    </row>
    <row r="82" spans="1:14" ht="11.25" customHeight="1" x14ac:dyDescent="0.25">
      <c r="A82" s="152">
        <v>26</v>
      </c>
      <c r="B82" s="145" t="str">
        <f>'Pay App 1'!B82</f>
        <v>06 10 00</v>
      </c>
      <c r="C82" s="134" t="str">
        <f>'Pay App 1'!C82</f>
        <v>Rough Carpentry</v>
      </c>
      <c r="D82" s="155">
        <f>'Pay App 1'!D82</f>
        <v>0</v>
      </c>
      <c r="E82" s="155">
        <f>VLOOKUP(B82,'Graph Data'!$O$2:$BX$88,61,FALSE)</f>
        <v>0</v>
      </c>
      <c r="F82" s="155">
        <f>IFERROR(E82+'Pay App 58'!F82,"")</f>
        <v>0</v>
      </c>
      <c r="G82" s="155">
        <f>SUM('Pay App 1:Pay App 58'!H82)</f>
        <v>0</v>
      </c>
      <c r="H82" s="154"/>
      <c r="I82" s="155">
        <f t="shared" si="0"/>
        <v>0</v>
      </c>
      <c r="J82" s="156">
        <f t="shared" si="1"/>
        <v>0</v>
      </c>
      <c r="K82" s="155">
        <f t="shared" si="2"/>
        <v>0</v>
      </c>
      <c r="L82" s="155" t="str">
        <f>IF(AND('Summary Sheet'!$E$23="No",$H$33&gt;0,H82&gt;=1),"",IF(AND('Summary Sheet'!$E$23="Yes",H82&lt;&gt;""),H82*'Summary Sheet'!$G$23,""))</f>
        <v/>
      </c>
      <c r="M82" s="154"/>
      <c r="N82" s="155">
        <f>SUM('Pay App 1:Pay App 59'!L82)+SUM('Pay App 1:Pay App 59'!M82)</f>
        <v>0</v>
      </c>
    </row>
    <row r="83" spans="1:14" ht="11.25" customHeight="1" x14ac:dyDescent="0.25">
      <c r="A83" s="152">
        <v>27</v>
      </c>
      <c r="B83" s="145" t="str">
        <f>'Pay App 1'!B83</f>
        <v>06 40 00</v>
      </c>
      <c r="C83" s="134" t="str">
        <f>'Pay App 1'!C83</f>
        <v>Arch. Woodwork &amp; Finish Carp.</v>
      </c>
      <c r="D83" s="155">
        <f>'Pay App 1'!D83</f>
        <v>0</v>
      </c>
      <c r="E83" s="155">
        <f>VLOOKUP(B83,'Graph Data'!$O$2:$BX$88,61,FALSE)</f>
        <v>0</v>
      </c>
      <c r="F83" s="155">
        <f>IFERROR(E83+'Pay App 58'!F83,"")</f>
        <v>0</v>
      </c>
      <c r="G83" s="155">
        <f>SUM('Pay App 1:Pay App 58'!H83)</f>
        <v>0</v>
      </c>
      <c r="H83" s="154"/>
      <c r="I83" s="155">
        <f t="shared" si="0"/>
        <v>0</v>
      </c>
      <c r="J83" s="156">
        <f t="shared" si="1"/>
        <v>0</v>
      </c>
      <c r="K83" s="155">
        <f t="shared" si="2"/>
        <v>0</v>
      </c>
      <c r="L83" s="155" t="str">
        <f>IF(AND('Summary Sheet'!$E$23="No",$H$33&gt;0,H83&gt;=1),"",IF(AND('Summary Sheet'!$E$23="Yes",H83&lt;&gt;""),H83*'Summary Sheet'!$G$23,""))</f>
        <v/>
      </c>
      <c r="M83" s="154"/>
      <c r="N83" s="155">
        <f>SUM('Pay App 1:Pay App 59'!L83)+SUM('Pay App 1:Pay App 59'!M83)</f>
        <v>0</v>
      </c>
    </row>
    <row r="84" spans="1:14" ht="11.25" customHeight="1" x14ac:dyDescent="0.25">
      <c r="A84" s="152">
        <v>28</v>
      </c>
      <c r="B84" s="174" t="str">
        <f>'Pay App 1'!B84</f>
        <v>07 10 00</v>
      </c>
      <c r="C84" s="179" t="str">
        <f>'Pay App 1'!C84</f>
        <v>Waterproofing/Water Repellents</v>
      </c>
      <c r="D84" s="155">
        <f>'Pay App 1'!D84</f>
        <v>0</v>
      </c>
      <c r="E84" s="155">
        <f>VLOOKUP(B84,'Graph Data'!$O$2:$BX$88,61,FALSE)</f>
        <v>0</v>
      </c>
      <c r="F84" s="155">
        <f>IFERROR(E84+'Pay App 58'!F84,"")</f>
        <v>0</v>
      </c>
      <c r="G84" s="155">
        <f>SUM('Pay App 1:Pay App 58'!H84)</f>
        <v>0</v>
      </c>
      <c r="H84" s="154"/>
      <c r="I84" s="155">
        <f t="shared" si="0"/>
        <v>0</v>
      </c>
      <c r="J84" s="156">
        <f t="shared" si="1"/>
        <v>0</v>
      </c>
      <c r="K84" s="155">
        <f t="shared" si="2"/>
        <v>0</v>
      </c>
      <c r="L84" s="155" t="str">
        <f>IF(AND('Summary Sheet'!$E$23="No",$H$33&gt;0,H84&gt;=1),"",IF(AND('Summary Sheet'!$E$23="Yes",H84&lt;&gt;""),H84*'Summary Sheet'!$G$23,""))</f>
        <v/>
      </c>
      <c r="M84" s="154"/>
      <c r="N84" s="155">
        <f>SUM('Pay App 1:Pay App 59'!L84)+SUM('Pay App 1:Pay App 59'!M84)</f>
        <v>0</v>
      </c>
    </row>
    <row r="85" spans="1:14" ht="11.25" customHeight="1" x14ac:dyDescent="0.25">
      <c r="A85" s="152">
        <v>29</v>
      </c>
      <c r="B85" s="174" t="str">
        <f>'Pay App 1'!B85</f>
        <v>07 20 00</v>
      </c>
      <c r="C85" s="179" t="str">
        <f>'Pay App 1'!C85</f>
        <v>Insulation</v>
      </c>
      <c r="D85" s="155">
        <f>'Pay App 1'!D85</f>
        <v>0</v>
      </c>
      <c r="E85" s="155">
        <f>VLOOKUP(B85,'Graph Data'!$O$2:$BX$88,61,FALSE)</f>
        <v>0</v>
      </c>
      <c r="F85" s="155">
        <f>IFERROR(E85+'Pay App 58'!F85,"")</f>
        <v>0</v>
      </c>
      <c r="G85" s="155">
        <f>SUM('Pay App 1:Pay App 58'!H85)</f>
        <v>0</v>
      </c>
      <c r="H85" s="154"/>
      <c r="I85" s="155">
        <f t="shared" si="0"/>
        <v>0</v>
      </c>
      <c r="J85" s="156">
        <f t="shared" si="1"/>
        <v>0</v>
      </c>
      <c r="K85" s="155">
        <f t="shared" si="2"/>
        <v>0</v>
      </c>
      <c r="L85" s="155" t="str">
        <f>IF(AND('Summary Sheet'!$E$23="No",$H$33&gt;0,H85&gt;=1),"",IF(AND('Summary Sheet'!$E$23="Yes",H85&lt;&gt;""),H85*'Summary Sheet'!$G$23,""))</f>
        <v/>
      </c>
      <c r="M85" s="154"/>
      <c r="N85" s="155">
        <f>SUM('Pay App 1:Pay App 59'!L85)+SUM('Pay App 1:Pay App 59'!M85)</f>
        <v>0</v>
      </c>
    </row>
    <row r="86" spans="1:14" ht="11.25" customHeight="1" x14ac:dyDescent="0.25">
      <c r="A86" s="152">
        <v>30</v>
      </c>
      <c r="B86" s="174" t="str">
        <f>'Pay App 1'!B86</f>
        <v>07 24 00</v>
      </c>
      <c r="C86" s="179" t="str">
        <f>'Pay App 1'!C86</f>
        <v>EIFS</v>
      </c>
      <c r="D86" s="155">
        <f>'Pay App 1'!D86</f>
        <v>0</v>
      </c>
      <c r="E86" s="155">
        <f>VLOOKUP(B86,'Graph Data'!$O$2:$BX$88,61,FALSE)</f>
        <v>0</v>
      </c>
      <c r="F86" s="155">
        <f>IFERROR(E86+'Pay App 58'!F86,"")</f>
        <v>0</v>
      </c>
      <c r="G86" s="155">
        <f>SUM('Pay App 1:Pay App 58'!H86)</f>
        <v>0</v>
      </c>
      <c r="H86" s="154"/>
      <c r="I86" s="155">
        <f t="shared" si="0"/>
        <v>0</v>
      </c>
      <c r="J86" s="156">
        <f t="shared" si="1"/>
        <v>0</v>
      </c>
      <c r="K86" s="155">
        <f t="shared" si="2"/>
        <v>0</v>
      </c>
      <c r="L86" s="155" t="str">
        <f>IF(AND('Summary Sheet'!$E$23="No",$H$33&gt;0,H86&gt;=1),"",IF(AND('Summary Sheet'!$E$23="Yes",H86&lt;&gt;""),H86*'Summary Sheet'!$G$23,""))</f>
        <v/>
      </c>
      <c r="M86" s="154"/>
      <c r="N86" s="155">
        <f>SUM('Pay App 1:Pay App 59'!L86)+SUM('Pay App 1:Pay App 59'!M86)</f>
        <v>0</v>
      </c>
    </row>
    <row r="87" spans="1:14" ht="11.25" customHeight="1" x14ac:dyDescent="0.25">
      <c r="A87" s="152">
        <v>31</v>
      </c>
      <c r="B87" s="174" t="str">
        <f>'Pay App 1'!B87</f>
        <v>07 26 00</v>
      </c>
      <c r="C87" s="179" t="str">
        <f>'Pay App 1'!C87</f>
        <v>Vapor Retarders</v>
      </c>
      <c r="D87" s="155">
        <f>'Pay App 1'!D87</f>
        <v>0</v>
      </c>
      <c r="E87" s="155">
        <f>VLOOKUP(B87,'Graph Data'!$O$2:$BX$88,61,FALSE)</f>
        <v>0</v>
      </c>
      <c r="F87" s="155">
        <f>IFERROR(E87+'Pay App 58'!F87,"")</f>
        <v>0</v>
      </c>
      <c r="G87" s="155">
        <f>SUM('Pay App 1:Pay App 58'!H87)</f>
        <v>0</v>
      </c>
      <c r="H87" s="154"/>
      <c r="I87" s="155">
        <f t="shared" si="0"/>
        <v>0</v>
      </c>
      <c r="J87" s="156">
        <f t="shared" si="1"/>
        <v>0</v>
      </c>
      <c r="K87" s="155">
        <f t="shared" si="2"/>
        <v>0</v>
      </c>
      <c r="L87" s="155" t="str">
        <f>IF(AND('Summary Sheet'!$E$23="No",$H$33&gt;0,H87&gt;=1),"",IF(AND('Summary Sheet'!$E$23="Yes",H87&lt;&gt;""),H87*'Summary Sheet'!$G$23,""))</f>
        <v/>
      </c>
      <c r="M87" s="154"/>
      <c r="N87" s="155">
        <f>SUM('Pay App 1:Pay App 59'!L87)+SUM('Pay App 1:Pay App 59'!M87)</f>
        <v>0</v>
      </c>
    </row>
    <row r="88" spans="1:14" ht="11.25" customHeight="1" x14ac:dyDescent="0.25">
      <c r="A88" s="152">
        <v>32</v>
      </c>
      <c r="B88" s="174" t="str">
        <f>'Pay App 1'!B88</f>
        <v>07 41 00</v>
      </c>
      <c r="C88" s="179" t="str">
        <f>'Pay App 1'!C88</f>
        <v>Roofing</v>
      </c>
      <c r="D88" s="155">
        <f>'Pay App 1'!D88</f>
        <v>0</v>
      </c>
      <c r="E88" s="155">
        <f>VLOOKUP(B88,'Graph Data'!$O$2:$BX$88,61,FALSE)</f>
        <v>0</v>
      </c>
      <c r="F88" s="155">
        <f>IFERROR(E88+'Pay App 58'!F88,"")</f>
        <v>0</v>
      </c>
      <c r="G88" s="155">
        <f>SUM('Pay App 1:Pay App 58'!H88)</f>
        <v>0</v>
      </c>
      <c r="H88" s="154"/>
      <c r="I88" s="155">
        <f t="shared" si="0"/>
        <v>0</v>
      </c>
      <c r="J88" s="156">
        <f t="shared" si="1"/>
        <v>0</v>
      </c>
      <c r="K88" s="155">
        <f t="shared" si="2"/>
        <v>0</v>
      </c>
      <c r="L88" s="155" t="str">
        <f>IF(AND('Summary Sheet'!$E$23="No",$H$33&gt;0,H88&gt;=1),"",IF(AND('Summary Sheet'!$E$23="Yes",H88&lt;&gt;""),H88*'Summary Sheet'!$G$23,""))</f>
        <v/>
      </c>
      <c r="M88" s="154"/>
      <c r="N88" s="155">
        <f>SUM('Pay App 1:Pay App 59'!L88)+SUM('Pay App 1:Pay App 59'!M88)</f>
        <v>0</v>
      </c>
    </row>
    <row r="89" spans="1:14" ht="11.25" customHeight="1" x14ac:dyDescent="0.25">
      <c r="A89" s="152">
        <v>33</v>
      </c>
      <c r="B89" s="174" t="str">
        <f>'Pay App 1'!B89</f>
        <v>07 42 00</v>
      </c>
      <c r="C89" s="179" t="str">
        <f>'Pay App 1'!C89</f>
        <v>Metal Panels</v>
      </c>
      <c r="D89" s="155">
        <f>'Pay App 1'!D89</f>
        <v>0</v>
      </c>
      <c r="E89" s="155">
        <f>VLOOKUP(B89,'Graph Data'!$O$2:$BX$88,61,FALSE)</f>
        <v>0</v>
      </c>
      <c r="F89" s="155">
        <f>IFERROR(E89+'Pay App 58'!F89,"")</f>
        <v>0</v>
      </c>
      <c r="G89" s="155">
        <f>SUM('Pay App 1:Pay App 58'!H89)</f>
        <v>0</v>
      </c>
      <c r="H89" s="154"/>
      <c r="I89" s="155">
        <f t="shared" si="0"/>
        <v>0</v>
      </c>
      <c r="J89" s="156">
        <f t="shared" si="1"/>
        <v>0</v>
      </c>
      <c r="K89" s="155">
        <f t="shared" si="2"/>
        <v>0</v>
      </c>
      <c r="L89" s="155" t="str">
        <f>IF(AND('Summary Sheet'!$E$23="No",$H$33&gt;0,H89&gt;=1),"",IF(AND('Summary Sheet'!$E$23="Yes",H89&lt;&gt;""),H89*'Summary Sheet'!$G$23,""))</f>
        <v/>
      </c>
      <c r="M89" s="154"/>
      <c r="N89" s="155">
        <f>SUM('Pay App 1:Pay App 59'!L89)+SUM('Pay App 1:Pay App 59'!M89)</f>
        <v>0</v>
      </c>
    </row>
    <row r="90" spans="1:14" ht="11.25" customHeight="1" x14ac:dyDescent="0.25">
      <c r="A90" s="152">
        <v>34</v>
      </c>
      <c r="B90" s="174" t="str">
        <f>'Pay App 1'!B90</f>
        <v>07 60 00</v>
      </c>
      <c r="C90" s="179" t="str">
        <f>'Pay App 1'!C90</f>
        <v>Sheet Metal Flashing &amp; Trim</v>
      </c>
      <c r="D90" s="155">
        <f>'Pay App 1'!D90</f>
        <v>0</v>
      </c>
      <c r="E90" s="155">
        <f>VLOOKUP(B90,'Graph Data'!$O$2:$BX$88,61,FALSE)</f>
        <v>0</v>
      </c>
      <c r="F90" s="155">
        <f>IFERROR(E90+'Pay App 58'!F90,"")</f>
        <v>0</v>
      </c>
      <c r="G90" s="155">
        <f>SUM('Pay App 1:Pay App 58'!H90)</f>
        <v>0</v>
      </c>
      <c r="H90" s="154"/>
      <c r="I90" s="155">
        <f t="shared" si="0"/>
        <v>0</v>
      </c>
      <c r="J90" s="156">
        <f t="shared" si="1"/>
        <v>0</v>
      </c>
      <c r="K90" s="155">
        <f t="shared" si="2"/>
        <v>0</v>
      </c>
      <c r="L90" s="155" t="str">
        <f>IF(AND('Summary Sheet'!$E$23="No",$H$33&gt;0,H90&gt;=1),"",IF(AND('Summary Sheet'!$E$23="Yes",H90&lt;&gt;""),H90*'Summary Sheet'!$G$23,""))</f>
        <v/>
      </c>
      <c r="M90" s="154"/>
      <c r="N90" s="155">
        <f>SUM('Pay App 1:Pay App 59'!L90)+SUM('Pay App 1:Pay App 59'!M90)</f>
        <v>0</v>
      </c>
    </row>
    <row r="91" spans="1:14" ht="11.25" customHeight="1" x14ac:dyDescent="0.25">
      <c r="A91" s="152">
        <v>35</v>
      </c>
      <c r="B91" s="174" t="str">
        <f>'Pay App 1'!B91</f>
        <v>07 80 00</v>
      </c>
      <c r="C91" s="179" t="str">
        <f>'Pay App 1'!C91</f>
        <v>Fireproofing</v>
      </c>
      <c r="D91" s="155">
        <f>'Pay App 1'!D91</f>
        <v>0</v>
      </c>
      <c r="E91" s="155">
        <f>VLOOKUP(B91,'Graph Data'!$O$2:$BX$88,61,FALSE)</f>
        <v>0</v>
      </c>
      <c r="F91" s="155">
        <f>IFERROR(E91+'Pay App 58'!F91,"")</f>
        <v>0</v>
      </c>
      <c r="G91" s="155">
        <f>SUM('Pay App 1:Pay App 58'!H91)</f>
        <v>0</v>
      </c>
      <c r="H91" s="154"/>
      <c r="I91" s="155">
        <f t="shared" si="0"/>
        <v>0</v>
      </c>
      <c r="J91" s="156">
        <f t="shared" si="1"/>
        <v>0</v>
      </c>
      <c r="K91" s="155">
        <f t="shared" si="2"/>
        <v>0</v>
      </c>
      <c r="L91" s="155" t="str">
        <f>IF(AND('Summary Sheet'!$E$23="No",$H$33&gt;0,H91&gt;=1),"",IF(AND('Summary Sheet'!$E$23="Yes",H91&lt;&gt;""),H91*'Summary Sheet'!$G$23,""))</f>
        <v/>
      </c>
      <c r="M91" s="154"/>
      <c r="N91" s="155">
        <f>SUM('Pay App 1:Pay App 59'!L91)+SUM('Pay App 1:Pay App 59'!M91)</f>
        <v>0</v>
      </c>
    </row>
    <row r="92" spans="1:14" ht="11.25" customHeight="1" x14ac:dyDescent="0.25">
      <c r="A92" s="152">
        <v>36</v>
      </c>
      <c r="B92" s="174" t="str">
        <f>'Pay App 1'!B92</f>
        <v>07 90 00</v>
      </c>
      <c r="C92" s="179" t="str">
        <f>'Pay App 1'!C92</f>
        <v>Joint Sealants</v>
      </c>
      <c r="D92" s="155">
        <f>'Pay App 1'!D92</f>
        <v>0</v>
      </c>
      <c r="E92" s="155">
        <f>VLOOKUP(B92,'Graph Data'!$O$2:$BX$88,61,FALSE)</f>
        <v>0</v>
      </c>
      <c r="F92" s="155">
        <f>IFERROR(E92+'Pay App 58'!F92,"")</f>
        <v>0</v>
      </c>
      <c r="G92" s="155">
        <f>SUM('Pay App 1:Pay App 58'!H92)</f>
        <v>0</v>
      </c>
      <c r="H92" s="154"/>
      <c r="I92" s="155">
        <f t="shared" si="0"/>
        <v>0</v>
      </c>
      <c r="J92" s="156">
        <f t="shared" si="1"/>
        <v>0</v>
      </c>
      <c r="K92" s="155">
        <f t="shared" si="2"/>
        <v>0</v>
      </c>
      <c r="L92" s="155" t="str">
        <f>IF(AND('Summary Sheet'!$E$23="No",$H$33&gt;0,H92&gt;=1),"",IF(AND('Summary Sheet'!$E$23="Yes",H92&lt;&gt;""),H92*'Summary Sheet'!$G$23,""))</f>
        <v/>
      </c>
      <c r="M92" s="154"/>
      <c r="N92" s="155">
        <f>SUM('Pay App 1:Pay App 59'!L92)+SUM('Pay App 1:Pay App 59'!M92)</f>
        <v>0</v>
      </c>
    </row>
    <row r="93" spans="1:14" ht="11.25" customHeight="1" x14ac:dyDescent="0.25">
      <c r="A93" s="152">
        <v>37</v>
      </c>
      <c r="B93" s="174" t="str">
        <f>'Pay App 1'!B93</f>
        <v>07 95 00</v>
      </c>
      <c r="C93" s="179" t="str">
        <f>'Pay App 1'!C93</f>
        <v>Expansion Joints</v>
      </c>
      <c r="D93" s="155">
        <f>'Pay App 1'!D93</f>
        <v>0</v>
      </c>
      <c r="E93" s="155">
        <f>VLOOKUP(B93,'Graph Data'!$O$2:$BX$88,61,FALSE)</f>
        <v>0</v>
      </c>
      <c r="F93" s="155">
        <f>IFERROR(E93+'Pay App 58'!F93,"")</f>
        <v>0</v>
      </c>
      <c r="G93" s="155">
        <f>SUM('Pay App 1:Pay App 58'!H93)</f>
        <v>0</v>
      </c>
      <c r="H93" s="154"/>
      <c r="I93" s="155">
        <f t="shared" si="0"/>
        <v>0</v>
      </c>
      <c r="J93" s="156">
        <f t="shared" si="1"/>
        <v>0</v>
      </c>
      <c r="K93" s="155">
        <f t="shared" si="2"/>
        <v>0</v>
      </c>
      <c r="L93" s="155" t="str">
        <f>IF(AND('Summary Sheet'!$E$23="No",$H$33&gt;0,H93&gt;=1),"",IF(AND('Summary Sheet'!$E$23="Yes",H93&lt;&gt;""),H93*'Summary Sheet'!$G$23,""))</f>
        <v/>
      </c>
      <c r="M93" s="154"/>
      <c r="N93" s="155">
        <f>SUM('Pay App 1:Pay App 59'!L93)+SUM('Pay App 1:Pay App 59'!M93)</f>
        <v>0</v>
      </c>
    </row>
    <row r="94" spans="1:14" ht="11.25" customHeight="1" x14ac:dyDescent="0.25">
      <c r="A94" s="152">
        <v>38</v>
      </c>
      <c r="B94" s="175" t="str">
        <f>'Pay App 1'!B94</f>
        <v>08 10 00</v>
      </c>
      <c r="C94" s="180" t="str">
        <f>'Pay App 1'!C94</f>
        <v>Doors, Frames &amp; Hardware</v>
      </c>
      <c r="D94" s="155">
        <f>'Pay App 1'!D94</f>
        <v>0</v>
      </c>
      <c r="E94" s="155">
        <f>VLOOKUP(B94,'Graph Data'!$O$2:$BX$88,61,FALSE)</f>
        <v>0</v>
      </c>
      <c r="F94" s="155">
        <f>IFERROR(E94+'Pay App 58'!F94,"")</f>
        <v>0</v>
      </c>
      <c r="G94" s="155">
        <f>SUM('Pay App 1:Pay App 58'!H94)</f>
        <v>0</v>
      </c>
      <c r="H94" s="154"/>
      <c r="I94" s="155">
        <f t="shared" si="0"/>
        <v>0</v>
      </c>
      <c r="J94" s="156">
        <f t="shared" si="1"/>
        <v>0</v>
      </c>
      <c r="K94" s="155">
        <f t="shared" si="2"/>
        <v>0</v>
      </c>
      <c r="L94" s="155" t="str">
        <f>IF(AND('Summary Sheet'!$E$23="No",$H$33&gt;0,H94&gt;=1),"",IF(AND('Summary Sheet'!$E$23="Yes",H94&lt;&gt;""),H94*'Summary Sheet'!$G$23,""))</f>
        <v/>
      </c>
      <c r="M94" s="154"/>
      <c r="N94" s="155">
        <f>SUM('Pay App 1:Pay App 59'!L94)+SUM('Pay App 1:Pay App 59'!M94)</f>
        <v>0</v>
      </c>
    </row>
    <row r="95" spans="1:14" ht="11.25" customHeight="1" x14ac:dyDescent="0.25">
      <c r="A95" s="152">
        <v>39</v>
      </c>
      <c r="B95" s="175" t="str">
        <f>'Pay App 1'!B95</f>
        <v>08 30 00</v>
      </c>
      <c r="C95" s="180" t="str">
        <f>'Pay App 1'!C95</f>
        <v>Specialty Doors</v>
      </c>
      <c r="D95" s="155">
        <f>'Pay App 1'!D95</f>
        <v>0</v>
      </c>
      <c r="E95" s="155">
        <f>VLOOKUP(B95,'Graph Data'!$O$2:$BX$88,61,FALSE)</f>
        <v>0</v>
      </c>
      <c r="F95" s="155">
        <f>IFERROR(E95+'Pay App 58'!F95,"")</f>
        <v>0</v>
      </c>
      <c r="G95" s="155">
        <f>SUM('Pay App 1:Pay App 58'!H95)</f>
        <v>0</v>
      </c>
      <c r="H95" s="154"/>
      <c r="I95" s="155">
        <f t="shared" si="0"/>
        <v>0</v>
      </c>
      <c r="J95" s="156">
        <f t="shared" si="1"/>
        <v>0</v>
      </c>
      <c r="K95" s="155">
        <f t="shared" si="2"/>
        <v>0</v>
      </c>
      <c r="L95" s="155" t="str">
        <f>IF(AND('Summary Sheet'!$E$23="No",$H$33&gt;0,H95&gt;=1),"",IF(AND('Summary Sheet'!$E$23="Yes",H95&lt;&gt;""),H95*'Summary Sheet'!$G$23,""))</f>
        <v/>
      </c>
      <c r="M95" s="154"/>
      <c r="N95" s="155">
        <f>SUM('Pay App 1:Pay App 59'!L95)+SUM('Pay App 1:Pay App 59'!M95)</f>
        <v>0</v>
      </c>
    </row>
    <row r="96" spans="1:14" ht="11.25" customHeight="1" x14ac:dyDescent="0.25">
      <c r="A96" s="152">
        <v>40</v>
      </c>
      <c r="B96" s="175" t="str">
        <f>'Pay App 1'!B96</f>
        <v>08 33 00</v>
      </c>
      <c r="C96" s="180" t="str">
        <f>'Pay App 1'!C96</f>
        <v>Overhead Doors/Coiling Doors</v>
      </c>
      <c r="D96" s="155">
        <f>'Pay App 1'!D96</f>
        <v>0</v>
      </c>
      <c r="E96" s="155">
        <f>VLOOKUP(B96,'Graph Data'!$O$2:$BX$88,61,FALSE)</f>
        <v>0</v>
      </c>
      <c r="F96" s="155">
        <f>IFERROR(E96+'Pay App 58'!F96,"")</f>
        <v>0</v>
      </c>
      <c r="G96" s="155">
        <f>SUM('Pay App 1:Pay App 58'!H96)</f>
        <v>0</v>
      </c>
      <c r="H96" s="154"/>
      <c r="I96" s="155">
        <f t="shared" si="0"/>
        <v>0</v>
      </c>
      <c r="J96" s="156">
        <f t="shared" si="1"/>
        <v>0</v>
      </c>
      <c r="K96" s="155">
        <f t="shared" si="2"/>
        <v>0</v>
      </c>
      <c r="L96" s="155" t="str">
        <f>IF(AND('Summary Sheet'!$E$23="No",$H$33&gt;0,H96&gt;=1),"",IF(AND('Summary Sheet'!$E$23="Yes",H96&lt;&gt;""),H96*'Summary Sheet'!$G$23,""))</f>
        <v/>
      </c>
      <c r="M96" s="154"/>
      <c r="N96" s="155">
        <f>SUM('Pay App 1:Pay App 59'!L96)+SUM('Pay App 1:Pay App 59'!M96)</f>
        <v>0</v>
      </c>
    </row>
    <row r="97" spans="1:15" ht="11.25" customHeight="1" x14ac:dyDescent="0.25">
      <c r="A97" s="152">
        <v>41</v>
      </c>
      <c r="B97" s="175" t="str">
        <f>'Pay App 1'!B97</f>
        <v>08 40 00</v>
      </c>
      <c r="C97" s="180" t="str">
        <f>'Pay App 1'!C97</f>
        <v>Curtain Wall, Glass &amp; Glazing</v>
      </c>
      <c r="D97" s="155">
        <f>'Pay App 1'!D97</f>
        <v>0</v>
      </c>
      <c r="E97" s="155">
        <f>VLOOKUP(B97,'Graph Data'!$O$2:$BX$88,61,FALSE)</f>
        <v>0</v>
      </c>
      <c r="F97" s="155">
        <f>IFERROR(E97+'Pay App 58'!F97,"")</f>
        <v>0</v>
      </c>
      <c r="G97" s="155">
        <f>SUM('Pay App 1:Pay App 58'!H97)</f>
        <v>0</v>
      </c>
      <c r="H97" s="154"/>
      <c r="I97" s="155">
        <f t="shared" si="0"/>
        <v>0</v>
      </c>
      <c r="J97" s="156">
        <f t="shared" si="1"/>
        <v>0</v>
      </c>
      <c r="K97" s="155">
        <f t="shared" si="2"/>
        <v>0</v>
      </c>
      <c r="L97" s="155" t="str">
        <f>IF(AND('Summary Sheet'!$E$23="No",$H$33&gt;0,H97&gt;=1),"",IF(AND('Summary Sheet'!$E$23="Yes",H97&lt;&gt;""),H97*'Summary Sheet'!$G$23,""))</f>
        <v/>
      </c>
      <c r="M97" s="154"/>
      <c r="N97" s="155">
        <f>SUM('Pay App 1:Pay App 59'!L97)+SUM('Pay App 1:Pay App 59'!M97)</f>
        <v>0</v>
      </c>
    </row>
    <row r="98" spans="1:15" ht="10.9" customHeight="1" x14ac:dyDescent="0.25">
      <c r="A98" s="152">
        <v>42</v>
      </c>
      <c r="B98" s="175" t="str">
        <f>'Pay App 1'!B98</f>
        <v>08 60 00</v>
      </c>
      <c r="C98" s="180" t="str">
        <f>'Pay App 1'!C98</f>
        <v>Skylights</v>
      </c>
      <c r="D98" s="155">
        <f>'Pay App 1'!D98</f>
        <v>0</v>
      </c>
      <c r="E98" s="155">
        <f>VLOOKUP(B98,'Graph Data'!$O$2:$BX$88,61,FALSE)</f>
        <v>0</v>
      </c>
      <c r="F98" s="155">
        <f>IFERROR(E98+'Pay App 58'!F98,"")</f>
        <v>0</v>
      </c>
      <c r="G98" s="155">
        <f>SUM('Pay App 1:Pay App 58'!H98)</f>
        <v>0</v>
      </c>
      <c r="H98" s="154"/>
      <c r="I98" s="155">
        <f t="shared" si="0"/>
        <v>0</v>
      </c>
      <c r="J98" s="156">
        <f t="shared" si="1"/>
        <v>0</v>
      </c>
      <c r="K98" s="155">
        <f t="shared" si="2"/>
        <v>0</v>
      </c>
      <c r="L98" s="155" t="str">
        <f>IF(AND('Summary Sheet'!$E$23="No",$H$33&gt;0,H98&gt;=1),"",IF(AND('Summary Sheet'!$E$23="Yes",H98&lt;&gt;""),H98*'Summary Sheet'!$G$23,""))</f>
        <v/>
      </c>
      <c r="M98" s="154"/>
      <c r="N98" s="155">
        <f>SUM('Pay App 1:Pay App 59'!L98)+SUM('Pay App 1:Pay App 59'!M98)</f>
        <v>0</v>
      </c>
    </row>
    <row r="99" spans="1:15" ht="10.9" customHeight="1" x14ac:dyDescent="0.25">
      <c r="A99" s="152">
        <v>43</v>
      </c>
      <c r="B99" s="175" t="str">
        <f>'Pay App 1'!B99</f>
        <v>08 90 00</v>
      </c>
      <c r="C99" s="180" t="str">
        <f>'Pay App 1'!C99</f>
        <v>Louvers &amp; Vents</v>
      </c>
      <c r="D99" s="155">
        <f>'Pay App 1'!D99</f>
        <v>0</v>
      </c>
      <c r="E99" s="155">
        <f>VLOOKUP(B99,'Graph Data'!$O$2:$BX$88,61,FALSE)</f>
        <v>0</v>
      </c>
      <c r="F99" s="155">
        <f>IFERROR(E99+'Pay App 58'!F99,"")</f>
        <v>0</v>
      </c>
      <c r="G99" s="155">
        <f>SUM('Pay App 1:Pay App 58'!H99)</f>
        <v>0</v>
      </c>
      <c r="H99" s="154"/>
      <c r="I99" s="155">
        <f t="shared" si="0"/>
        <v>0</v>
      </c>
      <c r="J99" s="156">
        <f t="shared" si="1"/>
        <v>0</v>
      </c>
      <c r="K99" s="155">
        <f t="shared" si="2"/>
        <v>0</v>
      </c>
      <c r="L99" s="155" t="str">
        <f>IF(AND('Summary Sheet'!$E$23="No",$H$33&gt;0,H99&gt;=1),"",IF(AND('Summary Sheet'!$E$23="Yes",H99&lt;&gt;""),H99*'Summary Sheet'!$G$23,""))</f>
        <v/>
      </c>
      <c r="M99" s="154"/>
      <c r="N99" s="155">
        <f>SUM('Pay App 1:Pay App 59'!L99)+SUM('Pay App 1:Pay App 59'!M99)</f>
        <v>0</v>
      </c>
    </row>
    <row r="100" spans="1:15" ht="11.25" customHeight="1" x14ac:dyDescent="0.25">
      <c r="A100" s="153">
        <v>44</v>
      </c>
      <c r="B100" s="176" t="str">
        <f>'Pay App 1'!B100</f>
        <v>09 20 00</v>
      </c>
      <c r="C100" s="181" t="str">
        <f>'Pay App 1'!C100</f>
        <v>Gypsum Board Systems</v>
      </c>
      <c r="D100" s="155">
        <f>'Pay App 1'!D100</f>
        <v>0</v>
      </c>
      <c r="E100" s="155">
        <f>VLOOKUP(B100,'Graph Data'!$O$2:$BX$88,61,FALSE)</f>
        <v>0</v>
      </c>
      <c r="F100" s="155">
        <f>IFERROR(E100+'Pay App 58'!F100,"")</f>
        <v>0</v>
      </c>
      <c r="G100" s="155">
        <f>SUM('Pay App 1:Pay App 58'!H100)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59'!L100)+SUM('Pay App 1:Pay App 59'!M100)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59.2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Data'!$O$2:$BX$88,61,FALSE)</f>
        <v>0</v>
      </c>
      <c r="F106" s="155">
        <f>IFERROR(E106+'Pay App 58'!F106,"")</f>
        <v>0</v>
      </c>
      <c r="G106" s="155">
        <f>SUM('Pay App 1:Pay App 58'!H106)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59'!L106)+SUM('Pay App 1:Pay App 59'!M106)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Data'!$O$2:$BX$88,61,FALSE)</f>
        <v>0</v>
      </c>
      <c r="F107" s="155">
        <f>IFERROR(E107+'Pay App 58'!F107,"")</f>
        <v>0</v>
      </c>
      <c r="G107" s="155">
        <f>SUM('Pay App 1:Pay App 58'!H107)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59'!L107)+SUM('Pay App 1:Pay App 59'!M107)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Data'!$O$2:$BX$88,61,FALSE)</f>
        <v>0</v>
      </c>
      <c r="F108" s="155">
        <f>IFERROR(E108+'Pay App 58'!F108,"")</f>
        <v>0</v>
      </c>
      <c r="G108" s="155">
        <f>SUM('Pay App 1:Pay App 58'!H108)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59'!L108)+SUM('Pay App 1:Pay App 59'!M108)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Data'!$O$2:$BX$88,61,FALSE)</f>
        <v>0</v>
      </c>
      <c r="F109" s="155">
        <f>IFERROR(E109+'Pay App 58'!F109,"")</f>
        <v>0</v>
      </c>
      <c r="G109" s="155">
        <f>SUM('Pay App 1:Pay App 58'!H109)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59'!L109)+SUM('Pay App 1:Pay App 59'!M109)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Data'!$O$2:$BX$88,61,FALSE)</f>
        <v>0</v>
      </c>
      <c r="F110" s="155">
        <f>IFERROR(E110+'Pay App 58'!F110,"")</f>
        <v>0</v>
      </c>
      <c r="G110" s="155">
        <f>SUM('Pay App 1:Pay App 58'!H110)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59'!L110)+SUM('Pay App 1:Pay App 59'!M110)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Data'!$O$2:$BX$88,61,FALSE)</f>
        <v>0</v>
      </c>
      <c r="F111" s="155">
        <f>IFERROR(E111+'Pay App 58'!F111,"")</f>
        <v>0</v>
      </c>
      <c r="G111" s="155">
        <f>SUM('Pay App 1:Pay App 58'!H111)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59'!L111)+SUM('Pay App 1:Pay App 59'!M111)</f>
        <v>0</v>
      </c>
    </row>
    <row r="112" spans="1:15" ht="11.25" customHeight="1" x14ac:dyDescent="0.25">
      <c r="A112" s="152">
        <f t="shared" si="3"/>
        <v>51</v>
      </c>
      <c r="B112" s="148" t="str">
        <f>'Pay App 1'!B112</f>
        <v>09 90 00</v>
      </c>
      <c r="C112" s="143" t="str">
        <f>'Pay App 1'!C112</f>
        <v>Painting</v>
      </c>
      <c r="D112" s="155">
        <f>'Pay App 1'!D112</f>
        <v>0</v>
      </c>
      <c r="E112" s="155">
        <f>VLOOKUP(B112,'Graph Data'!$O$2:$BX$88,61,FALSE)</f>
        <v>0</v>
      </c>
      <c r="F112" s="155">
        <f>IFERROR(E112+'Pay App 58'!F112,"")</f>
        <v>0</v>
      </c>
      <c r="G112" s="155">
        <f>SUM('Pay App 1:Pay App 58'!H112)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59'!L112)+SUM('Pay App 1:Pay App 59'!M112)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Data'!$O$2:$BX$88,61,FALSE)</f>
        <v>0</v>
      </c>
      <c r="F113" s="155">
        <f>IFERROR(E113+'Pay App 58'!F113,"")</f>
        <v>0</v>
      </c>
      <c r="G113" s="155">
        <f>SUM('Pay App 1:Pay App 58'!H113)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59'!L113)+SUM('Pay App 1:Pay App 59'!M113)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Data'!$O$2:$BX$88,61,FALSE)</f>
        <v>0</v>
      </c>
      <c r="F114" s="155">
        <f>IFERROR(E114+'Pay App 58'!F114,"")</f>
        <v>0</v>
      </c>
      <c r="G114" s="155">
        <f>SUM('Pay App 1:Pay App 58'!H114)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59'!L114)+SUM('Pay App 1:Pay App 59'!M114)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Data'!$O$2:$BX$88,61,FALSE)</f>
        <v>0</v>
      </c>
      <c r="F115" s="155">
        <f>IFERROR(E115+'Pay App 58'!F115,"")</f>
        <v>0</v>
      </c>
      <c r="G115" s="155">
        <f>SUM('Pay App 1:Pay App 58'!H115)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59'!L115)+SUM('Pay App 1:Pay App 59'!M115)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Data'!$O$2:$BX$88,61,FALSE)</f>
        <v>0</v>
      </c>
      <c r="F116" s="155">
        <f>IFERROR(E116+'Pay App 58'!F116,"")</f>
        <v>0</v>
      </c>
      <c r="G116" s="155">
        <f>SUM('Pay App 1:Pay App 58'!H116)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59'!L116)+SUM('Pay App 1:Pay App 59'!M116)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Data'!$O$2:$BX$88,61,FALSE)</f>
        <v>0</v>
      </c>
      <c r="F117" s="155">
        <f>IFERROR(E117+'Pay App 58'!F117,"")</f>
        <v>0</v>
      </c>
      <c r="G117" s="155">
        <f>SUM('Pay App 1:Pay App 58'!H117)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59'!L117)+SUM('Pay App 1:Pay App 59'!M117)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Data'!$O$2:$BX$88,61,FALSE)</f>
        <v>0</v>
      </c>
      <c r="F118" s="155">
        <f>IFERROR(E118+'Pay App 58'!F118,"")</f>
        <v>0</v>
      </c>
      <c r="G118" s="155">
        <f>SUM('Pay App 1:Pay App 58'!H118)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59'!L118)+SUM('Pay App 1:Pay App 59'!M118)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Data'!$O$2:$BX$88,61,FALSE)</f>
        <v>0</v>
      </c>
      <c r="F119" s="155">
        <f>IFERROR(E119+'Pay App 58'!F119,"")</f>
        <v>0</v>
      </c>
      <c r="G119" s="155">
        <f>SUM('Pay App 1:Pay App 58'!H119)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59'!L119)+SUM('Pay App 1:Pay App 59'!M119)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Data'!$O$2:$BX$88,61,FALSE)</f>
        <v>0</v>
      </c>
      <c r="F120" s="155">
        <f>IFERROR(E120+'Pay App 58'!F120,"")</f>
        <v>0</v>
      </c>
      <c r="G120" s="155">
        <f>SUM('Pay App 1:Pay App 58'!H120)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59'!L120)+SUM('Pay App 1:Pay App 59'!M120)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Data'!$O$2:$BX$88,61,FALSE)</f>
        <v>0</v>
      </c>
      <c r="F121" s="155">
        <f>IFERROR(E121+'Pay App 58'!F121,"")</f>
        <v>0</v>
      </c>
      <c r="G121" s="155">
        <f>SUM('Pay App 1:Pay App 58'!H121)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59'!L121)+SUM('Pay App 1:Pay App 59'!M121)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Data'!$O$2:$BX$88,61,FALSE)</f>
        <v>0</v>
      </c>
      <c r="F122" s="155">
        <f>IFERROR(E122+'Pay App 58'!F122,"")</f>
        <v>0</v>
      </c>
      <c r="G122" s="155">
        <f>SUM('Pay App 1:Pay App 58'!H122)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59'!L122)+SUM('Pay App 1:Pay App 59'!M122)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Data'!$O$2:$BX$88,61,FALSE)</f>
        <v>0</v>
      </c>
      <c r="F123" s="155">
        <f>IFERROR(E123+'Pay App 58'!F123,"")</f>
        <v>0</v>
      </c>
      <c r="G123" s="155">
        <f>SUM('Pay App 1:Pay App 58'!H123)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59'!L123)+SUM('Pay App 1:Pay App 59'!M123)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Data'!$O$2:$BX$88,61,FALSE)</f>
        <v>0</v>
      </c>
      <c r="F124" s="155">
        <f>IFERROR(E124+'Pay App 58'!F124,"")</f>
        <v>0</v>
      </c>
      <c r="G124" s="155">
        <f>SUM('Pay App 1:Pay App 58'!H124)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59'!L124)+SUM('Pay App 1:Pay App 59'!M124)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Data'!$O$2:$BX$88,61,FALSE)</f>
        <v>0</v>
      </c>
      <c r="F125" s="155">
        <f>IFERROR(E125+'Pay App 58'!F125,"")</f>
        <v>0</v>
      </c>
      <c r="G125" s="155">
        <f>SUM('Pay App 1:Pay App 58'!H125)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59'!L125)+SUM('Pay App 1:Pay App 59'!M125)</f>
        <v>0</v>
      </c>
    </row>
    <row r="126" spans="1:14" ht="11.25" customHeight="1" x14ac:dyDescent="0.25">
      <c r="A126" s="152">
        <f t="shared" si="3"/>
        <v>65</v>
      </c>
      <c r="B126" s="188" t="str">
        <f>'Pay App 1'!B126</f>
        <v>14 20 00</v>
      </c>
      <c r="C126" s="194" t="str">
        <f>'Pay App 1'!C126</f>
        <v>Elevator</v>
      </c>
      <c r="D126" s="155">
        <f>'Pay App 1'!D126</f>
        <v>0</v>
      </c>
      <c r="E126" s="155">
        <f>VLOOKUP(B126,'Graph Data'!$O$2:$BX$88,61,FALSE)</f>
        <v>0</v>
      </c>
      <c r="F126" s="155">
        <f>IFERROR(E126+'Pay App 58'!F126,"")</f>
        <v>0</v>
      </c>
      <c r="G126" s="155">
        <f>SUM('Pay App 1:Pay App 58'!H126)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59'!L126)+SUM('Pay App 1:Pay App 59'!M126)</f>
        <v>0</v>
      </c>
    </row>
    <row r="127" spans="1:14" ht="11.25" customHeight="1" x14ac:dyDescent="0.25">
      <c r="A127" s="152">
        <f t="shared" si="3"/>
        <v>66</v>
      </c>
      <c r="B127" s="188" t="str">
        <f>'Pay App 1'!B127</f>
        <v>14 40 00</v>
      </c>
      <c r="C127" s="194" t="str">
        <f>'Pay App 1'!C127</f>
        <v>Lifts</v>
      </c>
      <c r="D127" s="155">
        <f>'Pay App 1'!D127</f>
        <v>0</v>
      </c>
      <c r="E127" s="155">
        <f>VLOOKUP(B127,'Graph Data'!$O$2:$BX$88,61,FALSE)</f>
        <v>0</v>
      </c>
      <c r="F127" s="155">
        <f>IFERROR(E127+'Pay App 58'!F127,"")</f>
        <v>0</v>
      </c>
      <c r="G127" s="155">
        <f>SUM('Pay App 1:Pay App 58'!H127)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59'!L127)+SUM('Pay App 1:Pay App 59'!M127)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Data'!$O$2:$BX$88,61,FALSE)</f>
        <v>0</v>
      </c>
      <c r="F128" s="155">
        <f>IFERROR(E128+'Pay App 58'!F128,"")</f>
        <v>0</v>
      </c>
      <c r="G128" s="155">
        <f>SUM('Pay App 1:Pay App 58'!H128)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59'!L128)+SUM('Pay App 1:Pay App 59'!M128)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Data'!$O$2:$BX$88,61,FALSE)</f>
        <v>0</v>
      </c>
      <c r="F129" s="155">
        <f>IFERROR(E129+'Pay App 58'!F129,"")</f>
        <v>0</v>
      </c>
      <c r="G129" s="155">
        <f>SUM('Pay App 1:Pay App 58'!H129)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59'!L129)+SUM('Pay App 1:Pay App 59'!M129)</f>
        <v>0</v>
      </c>
    </row>
    <row r="130" spans="1:14" ht="11.25" customHeight="1" x14ac:dyDescent="0.25">
      <c r="A130" s="152">
        <f t="shared" si="3"/>
        <v>69</v>
      </c>
      <c r="B130" s="185" t="str">
        <f>'Pay App 1'!B130</f>
        <v>22 00 00</v>
      </c>
      <c r="C130" s="191" t="str">
        <f>'Pay App 1'!C130</f>
        <v>Plumbing</v>
      </c>
      <c r="D130" s="155">
        <f>'Pay App 1'!D130</f>
        <v>0</v>
      </c>
      <c r="E130" s="155">
        <f>VLOOKUP(B130,'Graph Data'!$O$2:$BX$88,61,FALSE)</f>
        <v>0</v>
      </c>
      <c r="F130" s="155">
        <f>IFERROR(E130+'Pay App 58'!F130,"")</f>
        <v>0</v>
      </c>
      <c r="G130" s="155">
        <f>SUM('Pay App 1:Pay App 58'!H130)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59'!L130)+SUM('Pay App 1:Pay App 59'!M130)</f>
        <v>0</v>
      </c>
    </row>
    <row r="131" spans="1:14" ht="11.25" customHeight="1" x14ac:dyDescent="0.25">
      <c r="A131" s="152">
        <f t="shared" si="3"/>
        <v>70</v>
      </c>
      <c r="B131" s="186" t="str">
        <f>'Pay App 1'!B131</f>
        <v>23 00 00</v>
      </c>
      <c r="C131" s="192" t="str">
        <f>'Pay App 1'!C131</f>
        <v>HVAC</v>
      </c>
      <c r="D131" s="155">
        <f>'Pay App 1'!D131</f>
        <v>0</v>
      </c>
      <c r="E131" s="155">
        <f>VLOOKUP(B131,'Graph Data'!$O$2:$BX$88,61,FALSE)</f>
        <v>0</v>
      </c>
      <c r="F131" s="155">
        <f>IFERROR(E131+'Pay App 58'!F131,"")</f>
        <v>0</v>
      </c>
      <c r="G131" s="155">
        <f>SUM('Pay App 1:Pay App 58'!H131)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59'!L131)+SUM('Pay App 1:Pay App 59'!M131)</f>
        <v>0</v>
      </c>
    </row>
    <row r="132" spans="1:14" ht="11.25" customHeight="1" x14ac:dyDescent="0.25">
      <c r="A132" s="152">
        <f t="shared" si="3"/>
        <v>71</v>
      </c>
      <c r="B132" s="187" t="str">
        <f>'Pay App 1'!B132</f>
        <v>26 00 00</v>
      </c>
      <c r="C132" s="193" t="str">
        <f>'Pay App 1'!C132</f>
        <v>Electrical</v>
      </c>
      <c r="D132" s="155">
        <f>'Pay App 1'!D132</f>
        <v>0</v>
      </c>
      <c r="E132" s="155">
        <f>VLOOKUP(B132,'Graph Data'!$O$2:$BX$88,61,FALSE)</f>
        <v>0</v>
      </c>
      <c r="F132" s="155">
        <f>IFERROR(E132+'Pay App 58'!F132,"")</f>
        <v>0</v>
      </c>
      <c r="G132" s="155">
        <f>SUM('Pay App 1:Pay App 58'!H132)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59'!L132)+SUM('Pay App 1:Pay App 59'!M132)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Data'!$O$2:$BX$88,61,FALSE)</f>
        <v>0</v>
      </c>
      <c r="F133" s="155">
        <f>IFERROR(E133+'Pay App 58'!F133,"")</f>
        <v>0</v>
      </c>
      <c r="G133" s="155">
        <f>SUM('Pay App 1:Pay App 58'!H133)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59'!L133)+SUM('Pay App 1:Pay App 59'!M133)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Data'!$O$2:$BX$88,61,FALSE)</f>
        <v>0</v>
      </c>
      <c r="F134" s="155">
        <f>IFERROR(E134+'Pay App 58'!F134,"")</f>
        <v>0</v>
      </c>
      <c r="G134" s="155">
        <f>SUM('Pay App 1:Pay App 58'!H134)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59'!L134)+SUM('Pay App 1:Pay App 59'!M134)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Data'!$O$2:$BX$88,61,FALSE)</f>
        <v>0</v>
      </c>
      <c r="F135" s="155">
        <f>IFERROR(E135+'Pay App 58'!F135,"")</f>
        <v>0</v>
      </c>
      <c r="G135" s="155">
        <f>SUM('Pay App 1:Pay App 58'!H135)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59'!L135)+SUM('Pay App 1:Pay App 59'!M135)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Data'!$O$2:$BX$88,61,FALSE)</f>
        <v>0</v>
      </c>
      <c r="F136" s="155">
        <f>IFERROR(E136+'Pay App 58'!F136,"")</f>
        <v>0</v>
      </c>
      <c r="G136" s="155">
        <f>SUM('Pay App 1:Pay App 58'!H136)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59'!L136)+SUM('Pay App 1:Pay App 59'!M136)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Data'!$O$2:$BX$88,61,FALSE)</f>
        <v>0</v>
      </c>
      <c r="F137" s="155">
        <f>IFERROR(E137+'Pay App 58'!F137,"")</f>
        <v>0</v>
      </c>
      <c r="G137" s="155">
        <f>SUM('Pay App 1:Pay App 58'!H137)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59'!L137)+SUM('Pay App 1:Pay App 59'!M137)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Data'!$O$2:$BX$88,61,FALSE)</f>
        <v>0</v>
      </c>
      <c r="F138" s="155">
        <f>IFERROR(E138+'Pay App 58'!F138,"")</f>
        <v>0</v>
      </c>
      <c r="G138" s="155">
        <f>SUM('Pay App 1:Pay App 58'!H138)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59'!L138)+SUM('Pay App 1:Pay App 59'!M138)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Data'!$O$2:$BX$88,61,FALSE)</f>
        <v>0</v>
      </c>
      <c r="F139" s="155">
        <f>IFERROR(E139+'Pay App 58'!F139,"")</f>
        <v>0</v>
      </c>
      <c r="G139" s="155">
        <f>SUM('Pay App 1:Pay App 58'!H139)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59'!L139)+SUM('Pay App 1:Pay App 59'!M139)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Data'!$O$2:$BX$88,61,FALSE)</f>
        <v>0</v>
      </c>
      <c r="F140" s="155">
        <f>IFERROR(E140+'Pay App 58'!F140,"")</f>
        <v>0</v>
      </c>
      <c r="G140" s="155">
        <f>SUM('Pay App 1:Pay App 58'!H140)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59'!L140)+SUM('Pay App 1:Pay App 59'!M140)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Data'!$O$2:$BX$88,61,FALSE)</f>
        <v>0</v>
      </c>
      <c r="F141" s="155">
        <f>IFERROR(E141+'Pay App 58'!F141,"")</f>
        <v>0</v>
      </c>
      <c r="G141" s="155">
        <f>SUM('Pay App 1:Pay App 58'!H141)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59'!L141)+SUM('Pay App 1:Pay App 59'!M141)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Data'!$O$2:$BX$88,61,FALSE)</f>
        <v>0</v>
      </c>
      <c r="F142" s="155">
        <f>IFERROR(E142+'Pay App 58'!F142,"")</f>
        <v>0</v>
      </c>
      <c r="G142" s="155">
        <f>SUM('Pay App 1:Pay App 58'!H142)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59'!L142)+SUM('Pay App 1:Pay App 59'!M142)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Data'!$O$2:$BX$88,61,FALSE)</f>
        <v>0</v>
      </c>
      <c r="F143" s="155">
        <f>IFERROR(E143+'Pay App 58'!F143,"")</f>
        <v>0</v>
      </c>
      <c r="G143" s="155">
        <f>SUM('Pay App 1:Pay App 58'!H143)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59'!L143)+SUM('Pay App 1:Pay App 59'!M143)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Data'!$O$2:$BX$88,61,FALSE)</f>
        <v>0</v>
      </c>
      <c r="F144" s="155">
        <f>IFERROR(E144+'Pay App 58'!F144,"")</f>
        <v>0</v>
      </c>
      <c r="G144" s="155">
        <f>SUM('Pay App 1:Pay App 58'!H144)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59'!L144)+SUM('Pay App 1:Pay App 59'!M144)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Data'!$O$2:$BX$88,61,FALSE)</f>
        <v>0</v>
      </c>
      <c r="F145" s="155">
        <f>IFERROR(E145+'Pay App 58'!F145,"")</f>
        <v>0</v>
      </c>
      <c r="G145" s="155">
        <f>SUM('Pay App 1:Pay App 58'!H145)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59'!L145)+SUM('Pay App 1:Pay App 59'!M145)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Data'!$O$2:$BX$88,61,FALSE)</f>
        <v>0</v>
      </c>
      <c r="F146" s="155">
        <f>IFERROR(E146+'Pay App 58'!F146,"")</f>
        <v>0</v>
      </c>
      <c r="G146" s="155">
        <f>SUM('Pay App 1:Pay App 58'!H146)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59'!L146)+SUM('Pay App 1:Pay App 59'!M146)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Data'!$O$2:$BX$88,61,FALSE)</f>
        <v>0</v>
      </c>
      <c r="F147" s="155">
        <f>IFERROR(E147+'Pay App 58'!F147,"")</f>
        <v>0</v>
      </c>
      <c r="G147" s="155">
        <f>SUM('Pay App 1:Pay App 58'!H147)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59'!L147)+SUM('Pay App 1:Pay App 59'!M147)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Data'!$O$2:$BX$88,61,FALSE)</f>
        <v>0</v>
      </c>
      <c r="F148" s="155">
        <f>IFERROR(E148+'Pay App 58'!F148,"")</f>
        <v>0</v>
      </c>
      <c r="G148" s="155">
        <f>SUM('Pay App 1:Pay App 58'!H148)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59'!L148)+SUM('Pay App 1:Pay App 59'!M148)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M0oZlQeKeYLYyxk5PYpw2f5qeJtJ1F4EqEA9gy9PoJ8JbAh1gGTPHdmWyLX18LbD4vrieaZcs/2Cz/i6kLoRPA==" saltValue="SOGzoK6HjDZzxMjRXhpaJ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21" priority="2" operator="equal">
      <formula>0</formula>
    </cfRule>
  </conditionalFormatting>
  <conditionalFormatting sqref="D106:G148">
    <cfRule type="cellIs" dxfId="20" priority="1" operator="equal">
      <formula>0</formula>
    </cfRule>
  </conditionalFormatting>
  <conditionalFormatting sqref="D10:H10 D12:H14 D19:H21">
    <cfRule type="cellIs" dxfId="19" priority="6" operator="equal">
      <formula>0</formula>
    </cfRule>
  </conditionalFormatting>
  <conditionalFormatting sqref="H51">
    <cfRule type="cellIs" dxfId="18" priority="9" operator="lessThan">
      <formula>0</formula>
    </cfRule>
  </conditionalFormatting>
  <conditionalFormatting sqref="I57:I100 K57:K100 I106:I148 K106:K148 N106:N148">
    <cfRule type="cellIs" dxfId="17" priority="14" operator="equal">
      <formula>0</formula>
    </cfRule>
  </conditionalFormatting>
  <conditionalFormatting sqref="J57:J100 J106:J149">
    <cfRule type="cellIs" dxfId="16" priority="11" operator="greaterThan">
      <formula>1</formula>
    </cfRule>
    <cfRule type="cellIs" dxfId="15" priority="12" operator="equal">
      <formula>0</formula>
    </cfRule>
  </conditionalFormatting>
  <conditionalFormatting sqref="K57:K100 K106:K148">
    <cfRule type="cellIs" dxfId="14" priority="10" operator="lessThan">
      <formula>0</formula>
    </cfRule>
  </conditionalFormatting>
  <conditionalFormatting sqref="M57:M100">
    <cfRule type="cellIs" dxfId="13" priority="13" operator="lessThan">
      <formula>0</formula>
    </cfRule>
  </conditionalFormatting>
  <conditionalFormatting sqref="M106:M148">
    <cfRule type="cellIs" dxfId="12" priority="8" operator="lessThan">
      <formula>0</formula>
    </cfRule>
  </conditionalFormatting>
  <conditionalFormatting sqref="N57:N100">
    <cfRule type="cellIs" dxfId="11"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7522CE0-116C-4A8D-84F7-A0AA163CE657}">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41E1D4D9-1492-48E2-8251-FD02433C32D7}">
          <x14:formula1>
            <xm:f>'Graph Data'!$M$74:$M$76</xm:f>
          </x14:formula1>
          <xm:sqref>G17</xm:sqref>
        </x14:dataValidation>
      </x14:dataValidation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CFD95-5AF0-4E9F-BCAD-2E82FC244606}">
  <dimension ref="A1:Q152"/>
  <sheetViews>
    <sheetView showGridLines="0" view="pageLayout" zoomScale="120" zoomScaleNormal="100" zoomScaleSheetLayoutView="100" zoomScalePageLayoutView="120" workbookViewId="0">
      <selection activeCell="D16" sqref="D16:E16"/>
    </sheetView>
  </sheetViews>
  <sheetFormatPr defaultColWidth="9.140625" defaultRowHeight="12.75" x14ac:dyDescent="0.25"/>
  <cols>
    <col min="1" max="1" width="2" style="1" customWidth="1"/>
    <col min="2" max="2" width="4.7109375" style="2" customWidth="1"/>
    <col min="3" max="3" width="18.85546875" style="2" customWidth="1"/>
    <col min="4" max="7" width="10.42578125" style="2" customWidth="1"/>
    <col min="8" max="8" width="10.85546875" style="2" customWidth="1"/>
    <col min="9" max="9" width="10.42578125" style="2" customWidth="1"/>
    <col min="10" max="10" width="4.140625" style="2" customWidth="1"/>
    <col min="11" max="14" width="10.42578125" style="2" customWidth="1"/>
    <col min="15" max="16384" width="9.140625" style="2"/>
  </cols>
  <sheetData>
    <row r="1" spans="1:14" ht="11.45" customHeight="1" x14ac:dyDescent="0.25">
      <c r="C1" s="3"/>
      <c r="D1" s="398" t="str">
        <f>'Summary Sheet'!G1</f>
        <v>(Your Organization's Name) Pay Application</v>
      </c>
      <c r="E1" s="398"/>
      <c r="F1" s="398"/>
      <c r="G1" s="398"/>
      <c r="H1" s="398"/>
      <c r="I1" s="398"/>
      <c r="J1" s="398"/>
      <c r="K1" s="398"/>
      <c r="L1" s="398"/>
      <c r="N1" s="59" t="str">
        <f ca="1">MID(CELL("filename",C1),FIND("]",CELL("filename",C1))+1,255)</f>
        <v>Pay App 60</v>
      </c>
    </row>
    <row r="2" spans="1:14" ht="9" customHeight="1" x14ac:dyDescent="0.25">
      <c r="D2" s="398"/>
      <c r="E2" s="398"/>
      <c r="F2" s="398"/>
      <c r="G2" s="398"/>
      <c r="H2" s="398"/>
      <c r="I2" s="398"/>
      <c r="J2" s="398"/>
      <c r="K2" s="398"/>
      <c r="L2" s="398"/>
    </row>
    <row r="3" spans="1:14" ht="9" customHeight="1" x14ac:dyDescent="0.25">
      <c r="A3" s="55"/>
      <c r="B3" s="56"/>
      <c r="C3" s="56"/>
      <c r="D3" s="403"/>
      <c r="E3" s="403"/>
      <c r="F3" s="403"/>
      <c r="G3" s="57"/>
      <c r="H3" s="58"/>
      <c r="I3" s="57"/>
      <c r="J3" s="403"/>
      <c r="K3" s="403"/>
      <c r="L3" s="403"/>
      <c r="M3" s="56"/>
      <c r="N3" s="62" t="str">
        <f>'Summary Sheet'!R1</f>
        <v>Revised September 2026</v>
      </c>
    </row>
    <row r="4" spans="1:14" x14ac:dyDescent="0.25">
      <c r="A4" s="401" t="s">
        <v>1</v>
      </c>
      <c r="B4" s="401"/>
      <c r="C4" s="401"/>
      <c r="D4" s="401"/>
      <c r="E4" s="401"/>
      <c r="F4" s="401"/>
      <c r="G4" s="401"/>
      <c r="H4" s="401"/>
      <c r="I4" s="6" t="s">
        <v>15</v>
      </c>
      <c r="J4" s="6"/>
      <c r="K4" s="6"/>
      <c r="L4" s="6"/>
      <c r="M4" s="6"/>
      <c r="N4" s="6"/>
    </row>
    <row r="5" spans="1:14" ht="11.25" customHeight="1" x14ac:dyDescent="0.25">
      <c r="A5" s="366" t="s">
        <v>2</v>
      </c>
      <c r="B5" s="366"/>
      <c r="C5" s="366"/>
      <c r="D5" s="402" t="str">
        <f>'Summary Sheet'!D4</f>
        <v>Organization Name</v>
      </c>
      <c r="E5" s="402"/>
      <c r="F5" s="402"/>
      <c r="G5" s="402"/>
      <c r="H5" s="402"/>
      <c r="I5" s="405" t="s">
        <v>184</v>
      </c>
      <c r="J5" s="406"/>
      <c r="K5" s="406"/>
      <c r="L5" s="2" t="s">
        <v>125</v>
      </c>
      <c r="M5" s="9"/>
      <c r="N5" s="9"/>
    </row>
    <row r="6" spans="1:14" ht="11.25" customHeight="1" x14ac:dyDescent="0.25">
      <c r="A6" s="366"/>
      <c r="B6" s="366"/>
      <c r="C6" s="366"/>
      <c r="D6" s="402" t="str">
        <f>'Summary Sheet'!D5</f>
        <v>Building Name</v>
      </c>
      <c r="E6" s="402"/>
      <c r="F6" s="402"/>
      <c r="G6" s="402"/>
      <c r="H6" s="402"/>
      <c r="I6" s="404" t="s">
        <v>934</v>
      </c>
      <c r="J6" s="404"/>
      <c r="K6" s="404"/>
      <c r="L6" s="404"/>
      <c r="M6" s="404"/>
      <c r="N6" s="404"/>
    </row>
    <row r="7" spans="1:14" x14ac:dyDescent="0.25">
      <c r="A7" s="366"/>
      <c r="B7" s="366"/>
      <c r="C7" s="366"/>
      <c r="D7" s="402" t="str">
        <f>'Summary Sheet'!D6</f>
        <v>Address Line 1</v>
      </c>
      <c r="E7" s="402"/>
      <c r="F7" s="402"/>
      <c r="G7" s="402"/>
      <c r="H7" s="402"/>
      <c r="I7" s="404"/>
      <c r="J7" s="404"/>
      <c r="K7" s="404"/>
      <c r="L7" s="404"/>
      <c r="M7" s="404"/>
      <c r="N7" s="404"/>
    </row>
    <row r="8" spans="1:14" x14ac:dyDescent="0.25">
      <c r="A8" s="366"/>
      <c r="B8" s="366"/>
      <c r="C8" s="366"/>
      <c r="D8" s="402" t="str">
        <f>'Summary Sheet'!D7</f>
        <v>City, State ZIP Code</v>
      </c>
      <c r="E8" s="402"/>
      <c r="F8" s="402"/>
      <c r="G8" s="402"/>
      <c r="H8" s="402"/>
      <c r="I8" s="404"/>
      <c r="J8" s="404"/>
      <c r="K8" s="404"/>
      <c r="L8" s="404"/>
      <c r="M8" s="404"/>
      <c r="N8" s="404"/>
    </row>
    <row r="9" spans="1:14" x14ac:dyDescent="0.25">
      <c r="A9" s="366"/>
      <c r="B9" s="366"/>
      <c r="C9" s="366"/>
      <c r="D9" s="402"/>
      <c r="E9" s="402"/>
      <c r="F9" s="402"/>
      <c r="G9" s="402"/>
      <c r="H9" s="402"/>
      <c r="I9" s="404"/>
      <c r="J9" s="404"/>
      <c r="K9" s="404"/>
      <c r="L9" s="404"/>
      <c r="M9" s="404"/>
      <c r="N9" s="404"/>
    </row>
    <row r="10" spans="1:14" x14ac:dyDescent="0.25">
      <c r="A10" s="366" t="s">
        <v>5</v>
      </c>
      <c r="B10" s="366"/>
      <c r="C10" s="366"/>
      <c r="D10" s="402" t="str" cm="1">
        <f t="array" ref="D10:G10">'Summary Sheet'!D9:G9</f>
        <v>Owner Representative</v>
      </c>
      <c r="E10" s="402">
        <v>0</v>
      </c>
      <c r="F10" s="402">
        <v>0</v>
      </c>
      <c r="G10" s="402">
        <v>0</v>
      </c>
      <c r="H10" s="402"/>
      <c r="I10" s="404"/>
      <c r="J10" s="404"/>
      <c r="K10" s="404"/>
      <c r="L10" s="404"/>
      <c r="M10" s="404"/>
      <c r="N10" s="404"/>
    </row>
    <row r="11" spans="1:14" x14ac:dyDescent="0.25">
      <c r="A11" s="366"/>
      <c r="B11" s="366"/>
      <c r="C11" s="366"/>
      <c r="D11" s="407"/>
      <c r="E11" s="407"/>
      <c r="F11" s="407"/>
      <c r="G11" s="407"/>
      <c r="H11" s="407"/>
      <c r="I11" s="404"/>
      <c r="J11" s="404"/>
      <c r="K11" s="404"/>
      <c r="L11" s="404"/>
      <c r="M11" s="404"/>
      <c r="N11" s="404"/>
    </row>
    <row r="12" spans="1:14" x14ac:dyDescent="0.25">
      <c r="A12" s="366" t="s">
        <v>4</v>
      </c>
      <c r="B12" s="366"/>
      <c r="C12" s="366"/>
      <c r="D12" s="402" t="str" cm="1">
        <f t="array" ref="D12:G12">'Summary Sheet'!D11:G11</f>
        <v>Contractor Name</v>
      </c>
      <c r="E12" s="402">
        <v>0</v>
      </c>
      <c r="F12" s="402">
        <v>0</v>
      </c>
      <c r="G12" s="402">
        <v>0</v>
      </c>
      <c r="H12" s="402"/>
      <c r="I12" s="404"/>
      <c r="J12" s="404"/>
      <c r="K12" s="404"/>
      <c r="L12" s="404"/>
      <c r="M12" s="404"/>
      <c r="N12" s="404"/>
    </row>
    <row r="13" spans="1:14" x14ac:dyDescent="0.25">
      <c r="A13" s="366"/>
      <c r="B13" s="366"/>
      <c r="C13" s="366"/>
      <c r="D13" s="402" t="str" cm="1">
        <f t="array" ref="D13:G13">'Summary Sheet'!D12:G12</f>
        <v>Contractor Address</v>
      </c>
      <c r="E13" s="402">
        <v>0</v>
      </c>
      <c r="F13" s="402">
        <v>0</v>
      </c>
      <c r="G13" s="402">
        <v>0</v>
      </c>
      <c r="H13" s="402"/>
      <c r="I13" s="404"/>
      <c r="J13" s="404"/>
      <c r="K13" s="404"/>
      <c r="L13" s="404"/>
      <c r="M13" s="404"/>
      <c r="N13" s="404"/>
    </row>
    <row r="14" spans="1:14" ht="15" x14ac:dyDescent="0.25">
      <c r="A14" s="366"/>
      <c r="B14" s="366"/>
      <c r="C14" s="366"/>
      <c r="D14" s="402" t="str" cm="1">
        <f t="array" ref="D14:G14">'Summary Sheet'!D13:G13</f>
        <v>City, State ZIP Code</v>
      </c>
      <c r="E14" s="402">
        <v>0</v>
      </c>
      <c r="F14" s="402">
        <v>0</v>
      </c>
      <c r="G14" s="402">
        <v>0</v>
      </c>
      <c r="H14"/>
      <c r="I14" s="404"/>
      <c r="J14" s="404"/>
      <c r="K14" s="404"/>
      <c r="L14" s="404"/>
      <c r="M14" s="404"/>
      <c r="N14" s="404"/>
    </row>
    <row r="15" spans="1:14" ht="12.75" customHeight="1" x14ac:dyDescent="0.25">
      <c r="A15" s="366"/>
      <c r="B15" s="366"/>
      <c r="C15" s="366"/>
      <c r="F15" s="412"/>
      <c r="G15" s="413"/>
      <c r="H15" s="413"/>
      <c r="I15" s="404"/>
      <c r="J15" s="404"/>
      <c r="K15" s="404"/>
      <c r="L15" s="404"/>
      <c r="M15" s="404"/>
      <c r="N15" s="404"/>
    </row>
    <row r="16" spans="1:14" x14ac:dyDescent="0.25">
      <c r="A16" s="366" t="s">
        <v>186</v>
      </c>
      <c r="B16" s="366"/>
      <c r="C16" s="366"/>
      <c r="D16" s="410"/>
      <c r="E16" s="411"/>
      <c r="F16" s="408"/>
      <c r="G16" s="408"/>
      <c r="H16" s="408"/>
      <c r="I16" s="404"/>
      <c r="J16" s="404"/>
      <c r="K16" s="404"/>
      <c r="L16" s="404"/>
      <c r="M16" s="404"/>
      <c r="N16" s="404"/>
    </row>
    <row r="17" spans="1:14" x14ac:dyDescent="0.25">
      <c r="A17" s="366" t="s">
        <v>187</v>
      </c>
      <c r="B17" s="366"/>
      <c r="C17" s="366"/>
      <c r="D17" s="410"/>
      <c r="E17" s="411"/>
      <c r="F17" s="408"/>
      <c r="G17" s="408"/>
      <c r="H17" s="408"/>
      <c r="I17" s="404"/>
      <c r="J17" s="404"/>
      <c r="K17" s="404"/>
      <c r="L17" s="404"/>
      <c r="M17" s="404"/>
      <c r="N17" s="404"/>
    </row>
    <row r="18" spans="1:14" x14ac:dyDescent="0.25">
      <c r="A18" s="366"/>
      <c r="B18" s="366"/>
      <c r="C18" s="366"/>
      <c r="D18" s="402"/>
      <c r="E18" s="402"/>
      <c r="F18" s="402"/>
      <c r="G18" s="402"/>
      <c r="H18" s="402"/>
      <c r="I18" s="404"/>
      <c r="J18" s="404"/>
      <c r="K18" s="404"/>
      <c r="L18" s="404"/>
      <c r="M18" s="404"/>
      <c r="N18" s="404"/>
    </row>
    <row r="19" spans="1:14" x14ac:dyDescent="0.25">
      <c r="A19" s="366" t="s">
        <v>7</v>
      </c>
      <c r="B19" s="366"/>
      <c r="C19" s="366"/>
      <c r="D19" s="402" cm="1">
        <f t="array" ref="D19:G19">'Summary Sheet'!D15:G15</f>
        <v>0</v>
      </c>
      <c r="E19" s="402">
        <v>0</v>
      </c>
      <c r="F19" s="402">
        <v>0</v>
      </c>
      <c r="G19" s="402">
        <v>0</v>
      </c>
      <c r="H19" s="402"/>
      <c r="I19" s="9"/>
      <c r="J19" s="9"/>
      <c r="K19" s="9"/>
      <c r="L19" s="9"/>
      <c r="M19" s="9"/>
      <c r="N19" s="9"/>
    </row>
    <row r="20" spans="1:14" x14ac:dyDescent="0.25">
      <c r="A20" s="366" t="s">
        <v>9</v>
      </c>
      <c r="B20" s="366"/>
      <c r="C20" s="366"/>
      <c r="D20" s="402" cm="1">
        <f t="array" ref="D20:G20">'Summary Sheet'!D16:G16</f>
        <v>0</v>
      </c>
      <c r="E20" s="402">
        <v>0</v>
      </c>
      <c r="F20" s="402">
        <v>0</v>
      </c>
      <c r="G20" s="402">
        <v>0</v>
      </c>
      <c r="H20" s="402"/>
    </row>
    <row r="21" spans="1:14" x14ac:dyDescent="0.25">
      <c r="A21" s="366" t="s">
        <v>8</v>
      </c>
      <c r="B21" s="366"/>
      <c r="C21" s="366"/>
      <c r="D21" s="402" cm="1">
        <f t="array" ref="D21:G21">'Summary Sheet'!D17:G17</f>
        <v>0</v>
      </c>
      <c r="E21" s="402">
        <v>0</v>
      </c>
      <c r="F21" s="402">
        <v>0</v>
      </c>
      <c r="G21" s="402">
        <v>0</v>
      </c>
      <c r="H21" s="402"/>
      <c r="I21" s="8" t="s">
        <v>180</v>
      </c>
      <c r="J21" s="8"/>
      <c r="K21" s="8"/>
      <c r="L21" s="8" t="s">
        <v>123</v>
      </c>
      <c r="M21" s="8"/>
      <c r="N21" s="8"/>
    </row>
    <row r="22" spans="1:14" x14ac:dyDescent="0.25">
      <c r="A22" s="10"/>
      <c r="B22" s="7"/>
      <c r="C22" s="7"/>
      <c r="D22" s="4"/>
      <c r="E22" s="4"/>
      <c r="F22" s="4"/>
      <c r="G22" s="4"/>
      <c r="H22" s="4"/>
      <c r="I22" s="400" t="s">
        <v>0</v>
      </c>
      <c r="J22" s="400"/>
      <c r="K22" s="400"/>
      <c r="L22" s="402" t="s">
        <v>122</v>
      </c>
      <c r="M22" s="402"/>
      <c r="N22" s="402"/>
    </row>
    <row r="23" spans="1:14" x14ac:dyDescent="0.25">
      <c r="A23" s="401" t="s">
        <v>10</v>
      </c>
      <c r="B23" s="401"/>
      <c r="C23" s="401"/>
      <c r="D23" s="401"/>
      <c r="E23" s="401"/>
      <c r="F23" s="401"/>
      <c r="G23" s="401"/>
      <c r="H23" s="401"/>
      <c r="I23" s="6" t="s">
        <v>14</v>
      </c>
      <c r="J23" s="6"/>
      <c r="K23" s="6"/>
      <c r="L23" s="6"/>
      <c r="M23" s="6"/>
      <c r="N23" s="6"/>
    </row>
    <row r="24" spans="1:14" ht="11.25" customHeight="1" x14ac:dyDescent="0.25">
      <c r="A24" s="409" t="s">
        <v>179</v>
      </c>
      <c r="B24" s="409"/>
      <c r="C24" s="409"/>
      <c r="D24" s="409"/>
      <c r="E24" s="409"/>
      <c r="F24" s="409"/>
      <c r="G24" s="409"/>
      <c r="H24" s="409"/>
      <c r="I24" s="404" t="s">
        <v>185</v>
      </c>
      <c r="J24" s="404"/>
      <c r="K24" s="404"/>
      <c r="L24" s="404"/>
      <c r="M24" s="404"/>
      <c r="N24" s="404"/>
    </row>
    <row r="25" spans="1:14" ht="3.75" customHeight="1" x14ac:dyDescent="0.25">
      <c r="A25" s="409"/>
      <c r="B25" s="409"/>
      <c r="C25" s="409"/>
      <c r="D25" s="409"/>
      <c r="E25" s="409"/>
      <c r="F25" s="409"/>
      <c r="G25" s="409"/>
      <c r="H25" s="409"/>
      <c r="I25" s="404"/>
      <c r="J25" s="404"/>
      <c r="K25" s="404"/>
      <c r="L25" s="404"/>
      <c r="M25" s="404"/>
      <c r="N25" s="404"/>
    </row>
    <row r="26" spans="1:14" ht="10.5" customHeight="1" x14ac:dyDescent="0.25">
      <c r="H26" s="11"/>
      <c r="I26" s="404"/>
      <c r="J26" s="404"/>
      <c r="K26" s="404"/>
      <c r="L26" s="404"/>
      <c r="M26" s="404"/>
      <c r="N26" s="404"/>
    </row>
    <row r="27" spans="1:14" x14ac:dyDescent="0.25">
      <c r="A27" s="12" t="s">
        <v>22</v>
      </c>
      <c r="B27" s="13" t="s">
        <v>166</v>
      </c>
      <c r="H27" s="128">
        <f>'Summary Sheet'!D28</f>
        <v>0</v>
      </c>
      <c r="I27" s="404"/>
      <c r="J27" s="404"/>
      <c r="K27" s="404"/>
      <c r="L27" s="404"/>
      <c r="M27" s="404"/>
      <c r="N27" s="404"/>
    </row>
    <row r="28" spans="1:14" ht="8.85" customHeight="1" x14ac:dyDescent="0.25">
      <c r="A28" s="12"/>
      <c r="B28" s="14"/>
      <c r="H28" s="127"/>
      <c r="I28" s="404"/>
      <c r="J28" s="404"/>
      <c r="K28" s="404"/>
      <c r="L28" s="404"/>
      <c r="M28" s="404"/>
      <c r="N28" s="404"/>
    </row>
    <row r="29" spans="1:14" ht="11.25" customHeight="1" x14ac:dyDescent="0.25">
      <c r="A29" s="12" t="s">
        <v>23</v>
      </c>
      <c r="B29" s="13" t="s">
        <v>167</v>
      </c>
      <c r="D29" s="15"/>
      <c r="E29" s="15"/>
      <c r="F29" s="15"/>
      <c r="G29" s="15"/>
      <c r="H29" s="128">
        <f>SUM('Pay App 1:Pay App 60'!E149)</f>
        <v>0</v>
      </c>
      <c r="I29" s="404"/>
      <c r="J29" s="404"/>
      <c r="K29" s="404"/>
      <c r="L29" s="404"/>
      <c r="M29" s="404"/>
      <c r="N29" s="404"/>
    </row>
    <row r="30" spans="1:14" ht="8.25" customHeight="1" x14ac:dyDescent="0.25">
      <c r="A30" s="12"/>
      <c r="B30" s="16"/>
      <c r="D30" s="15"/>
      <c r="E30" s="15"/>
      <c r="F30" s="15"/>
      <c r="G30" s="15"/>
      <c r="H30" s="127"/>
      <c r="I30" s="404"/>
      <c r="J30" s="404"/>
      <c r="K30" s="404"/>
      <c r="L30" s="404"/>
      <c r="M30" s="404"/>
      <c r="N30" s="404"/>
    </row>
    <row r="31" spans="1:14" ht="11.25" customHeight="1" x14ac:dyDescent="0.25">
      <c r="A31" s="12" t="s">
        <v>24</v>
      </c>
      <c r="B31" s="17" t="s">
        <v>168</v>
      </c>
      <c r="D31" s="18"/>
      <c r="E31" s="18"/>
      <c r="F31" s="18"/>
      <c r="G31" s="18"/>
      <c r="H31" s="128">
        <f>E149</f>
        <v>0</v>
      </c>
      <c r="I31" s="404"/>
      <c r="J31" s="404"/>
      <c r="K31" s="404"/>
      <c r="L31" s="404"/>
      <c r="M31" s="404"/>
      <c r="N31" s="404"/>
    </row>
    <row r="32" spans="1:14" ht="8.85" customHeight="1" x14ac:dyDescent="0.25">
      <c r="A32" s="12"/>
      <c r="B32" s="14"/>
      <c r="H32" s="127"/>
      <c r="I32" s="404"/>
      <c r="J32" s="404"/>
      <c r="K32" s="404"/>
      <c r="L32" s="404"/>
      <c r="M32" s="404"/>
      <c r="N32" s="404"/>
    </row>
    <row r="33" spans="1:14" x14ac:dyDescent="0.25">
      <c r="A33" s="12" t="s">
        <v>25</v>
      </c>
      <c r="B33" s="13" t="s">
        <v>169</v>
      </c>
      <c r="H33" s="128">
        <f>SUM(H27,H29)</f>
        <v>0</v>
      </c>
      <c r="I33" s="404"/>
      <c r="J33" s="404"/>
      <c r="K33" s="404"/>
      <c r="L33" s="404"/>
      <c r="M33" s="404"/>
      <c r="N33" s="404"/>
    </row>
    <row r="34" spans="1:14" ht="8.85" customHeight="1" x14ac:dyDescent="0.25">
      <c r="A34" s="12"/>
      <c r="B34" s="14"/>
      <c r="H34" s="127"/>
    </row>
    <row r="35" spans="1:14" x14ac:dyDescent="0.25">
      <c r="A35" s="12" t="s">
        <v>26</v>
      </c>
      <c r="B35" s="13" t="s">
        <v>170</v>
      </c>
      <c r="H35" s="128">
        <f>I149</f>
        <v>0</v>
      </c>
    </row>
    <row r="36" spans="1:14" ht="9" customHeight="1" x14ac:dyDescent="0.25">
      <c r="A36" s="12"/>
      <c r="B36" s="13"/>
      <c r="H36" s="19"/>
      <c r="I36" s="8" t="s">
        <v>124</v>
      </c>
      <c r="L36" s="2" t="s">
        <v>118</v>
      </c>
      <c r="M36" s="2" t="s">
        <v>119</v>
      </c>
    </row>
    <row r="37" spans="1:14" x14ac:dyDescent="0.25">
      <c r="A37" s="12" t="s">
        <v>27</v>
      </c>
      <c r="B37" s="13" t="s">
        <v>171</v>
      </c>
      <c r="H37" s="128">
        <f>H149</f>
        <v>0</v>
      </c>
      <c r="I37" s="400" t="s">
        <v>11</v>
      </c>
      <c r="J37" s="400"/>
      <c r="K37" s="400"/>
      <c r="L37" s="8" t="s">
        <v>12</v>
      </c>
      <c r="M37" s="2" t="s">
        <v>120</v>
      </c>
    </row>
    <row r="38" spans="1:14" ht="8.85" customHeight="1" x14ac:dyDescent="0.25">
      <c r="A38" s="12"/>
      <c r="B38" s="14"/>
      <c r="H38" s="127"/>
    </row>
    <row r="39" spans="1:14" x14ac:dyDescent="0.25">
      <c r="A39" s="12" t="s">
        <v>28</v>
      </c>
      <c r="B39" s="17" t="s">
        <v>46</v>
      </c>
      <c r="H39" s="19"/>
    </row>
    <row r="40" spans="1:14" ht="9" customHeight="1" x14ac:dyDescent="0.25">
      <c r="A40" s="12"/>
      <c r="B40" s="14"/>
      <c r="H40" s="127"/>
      <c r="I40" s="8" t="s">
        <v>124</v>
      </c>
      <c r="L40" s="2" t="s">
        <v>117</v>
      </c>
      <c r="M40" s="2" t="s">
        <v>119</v>
      </c>
    </row>
    <row r="41" spans="1:14" x14ac:dyDescent="0.25">
      <c r="A41" s="12"/>
      <c r="B41" s="17" t="s">
        <v>172</v>
      </c>
      <c r="D41" s="20"/>
      <c r="G41" s="129">
        <f>IFERROR(L149+M149,0)</f>
        <v>0</v>
      </c>
      <c r="H41" s="19"/>
      <c r="I41" s="400" t="s">
        <v>130</v>
      </c>
      <c r="J41" s="400"/>
      <c r="K41" s="400"/>
      <c r="L41" s="8" t="s">
        <v>12</v>
      </c>
      <c r="M41" s="2" t="s">
        <v>121</v>
      </c>
    </row>
    <row r="42" spans="1:14" ht="8.85" customHeight="1" x14ac:dyDescent="0.25">
      <c r="A42" s="12"/>
      <c r="B42" s="21"/>
      <c r="H42" s="127"/>
    </row>
    <row r="43" spans="1:14" x14ac:dyDescent="0.25">
      <c r="A43" s="12"/>
      <c r="B43" s="17" t="s">
        <v>173</v>
      </c>
      <c r="D43" s="20"/>
      <c r="H43" s="128">
        <f>SUM('Pay App 1:Pay App 60'!G41)</f>
        <v>0</v>
      </c>
    </row>
    <row r="44" spans="1:14" ht="9" customHeight="1" x14ac:dyDescent="0.25">
      <c r="A44" s="12"/>
      <c r="B44" s="14"/>
      <c r="H44" s="127"/>
      <c r="I44" s="8" t="s">
        <v>124</v>
      </c>
      <c r="L44" s="2" t="s">
        <v>117</v>
      </c>
      <c r="M44" s="2" t="s">
        <v>119</v>
      </c>
    </row>
    <row r="45" spans="1:14" x14ac:dyDescent="0.25">
      <c r="A45" s="12" t="s">
        <v>29</v>
      </c>
      <c r="B45" s="13" t="s">
        <v>174</v>
      </c>
      <c r="H45" s="128">
        <f>H35-H43</f>
        <v>0</v>
      </c>
      <c r="I45" s="400" t="s">
        <v>31</v>
      </c>
      <c r="J45" s="400"/>
      <c r="K45" s="400"/>
      <c r="L45" s="8" t="s">
        <v>12</v>
      </c>
      <c r="M45" s="2" t="s">
        <v>121</v>
      </c>
    </row>
    <row r="46" spans="1:14" ht="8.85" customHeight="1" x14ac:dyDescent="0.25">
      <c r="A46" s="12"/>
      <c r="B46" s="13"/>
      <c r="H46" s="127"/>
      <c r="I46" s="9"/>
      <c r="J46" s="9"/>
      <c r="K46" s="9"/>
      <c r="L46" s="9"/>
      <c r="M46" s="9"/>
      <c r="N46" s="9"/>
    </row>
    <row r="47" spans="1:14" x14ac:dyDescent="0.25">
      <c r="A47" s="12" t="s">
        <v>30</v>
      </c>
      <c r="B47" s="13" t="s">
        <v>175</v>
      </c>
      <c r="H47" s="128">
        <f>SUM('Pay App 1:Pay App 59'!H49)</f>
        <v>0</v>
      </c>
    </row>
    <row r="48" spans="1:14" ht="8.85" customHeight="1" x14ac:dyDescent="0.25">
      <c r="A48" s="12"/>
      <c r="B48" s="13"/>
      <c r="H48" s="127"/>
      <c r="I48" s="404" t="s">
        <v>13</v>
      </c>
      <c r="J48" s="404"/>
      <c r="K48" s="404"/>
      <c r="L48" s="404"/>
      <c r="M48" s="404"/>
      <c r="N48" s="404"/>
    </row>
    <row r="49" spans="1:16" ht="12" customHeight="1" x14ac:dyDescent="0.25">
      <c r="A49" s="12" t="s">
        <v>45</v>
      </c>
      <c r="B49" s="13" t="s">
        <v>176</v>
      </c>
      <c r="H49" s="128">
        <f>IFERROR(H149-L149-M149,0)</f>
        <v>0</v>
      </c>
      <c r="I49" s="404"/>
      <c r="J49" s="404"/>
      <c r="K49" s="404"/>
      <c r="L49" s="404"/>
      <c r="M49" s="404"/>
      <c r="N49" s="404"/>
    </row>
    <row r="50" spans="1:16" ht="8.85" customHeight="1" x14ac:dyDescent="0.25">
      <c r="A50" s="12"/>
      <c r="B50" s="13"/>
      <c r="H50" s="127"/>
      <c r="I50" s="404"/>
      <c r="J50" s="404"/>
      <c r="K50" s="404"/>
      <c r="L50" s="404"/>
      <c r="M50" s="404"/>
      <c r="N50" s="404"/>
    </row>
    <row r="51" spans="1:16" x14ac:dyDescent="0.25">
      <c r="A51" s="12" t="s">
        <v>108</v>
      </c>
      <c r="B51" s="13" t="s">
        <v>177</v>
      </c>
      <c r="H51" s="128">
        <f>H33-H47-H49</f>
        <v>0</v>
      </c>
      <c r="I51" s="404"/>
      <c r="J51" s="404"/>
      <c r="K51" s="404"/>
      <c r="L51" s="404"/>
      <c r="M51" s="404"/>
      <c r="N51" s="404"/>
    </row>
    <row r="52" spans="1:16" ht="11.45" customHeight="1" x14ac:dyDescent="0.25">
      <c r="B52" s="20"/>
      <c r="C52" s="3" t="s">
        <v>4</v>
      </c>
      <c r="D52" s="407" t="str">
        <f>D12</f>
        <v>Contractor Name</v>
      </c>
      <c r="E52" s="407"/>
      <c r="F52" s="407"/>
      <c r="G52" s="399" t="s">
        <v>933</v>
      </c>
      <c r="H52" s="399"/>
      <c r="I52" s="3" t="s">
        <v>9</v>
      </c>
      <c r="J52" s="407">
        <f>'Summary Sheet'!$D$16</f>
        <v>0</v>
      </c>
      <c r="K52" s="407"/>
      <c r="L52" s="407"/>
      <c r="M52" s="22"/>
      <c r="N52" s="59" t="s">
        <v>181</v>
      </c>
    </row>
    <row r="53" spans="1:16" ht="11.45" customHeight="1" x14ac:dyDescent="0.25">
      <c r="A53" s="10"/>
      <c r="B53" s="20"/>
      <c r="D53" s="407" t="str">
        <f>D13</f>
        <v>Contractor Address</v>
      </c>
      <c r="E53" s="407"/>
      <c r="F53" s="407"/>
      <c r="G53" s="3" t="s">
        <v>3</v>
      </c>
      <c r="H53" s="5">
        <f>$D$16</f>
        <v>0</v>
      </c>
      <c r="I53" s="3" t="s">
        <v>7</v>
      </c>
      <c r="J53" s="407">
        <f>'Summary Sheet'!$D$15</f>
        <v>0</v>
      </c>
      <c r="K53" s="407"/>
      <c r="L53" s="407"/>
      <c r="M53" s="22"/>
      <c r="N53" s="60">
        <v>60.1</v>
      </c>
    </row>
    <row r="54" spans="1:16" ht="11.45" customHeight="1" x14ac:dyDescent="0.25">
      <c r="A54" s="10"/>
      <c r="B54" s="20"/>
      <c r="D54" s="407" t="str">
        <f>D14</f>
        <v>City, State ZIP Code</v>
      </c>
      <c r="E54" s="407"/>
      <c r="F54" s="407"/>
      <c r="G54" s="3" t="s">
        <v>6</v>
      </c>
      <c r="H54" s="5">
        <f>$D$17</f>
        <v>0</v>
      </c>
      <c r="I54" s="3" t="s">
        <v>8</v>
      </c>
      <c r="J54" s="407">
        <f>'Summary Sheet'!$D$17</f>
        <v>0</v>
      </c>
      <c r="K54" s="407"/>
      <c r="L54" s="407"/>
      <c r="N54" s="61" t="str">
        <f>'Summary Sheet'!R1</f>
        <v>Revised September 2026</v>
      </c>
    </row>
    <row r="55" spans="1:16" ht="11.45" customHeight="1" x14ac:dyDescent="0.25">
      <c r="A55" s="151" t="s">
        <v>33</v>
      </c>
      <c r="B55" s="131" t="s">
        <v>34</v>
      </c>
      <c r="C55" s="131" t="s">
        <v>35</v>
      </c>
      <c r="D55" s="131" t="s">
        <v>36</v>
      </c>
      <c r="E55" s="131" t="s">
        <v>37</v>
      </c>
      <c r="F55" s="131" t="s">
        <v>38</v>
      </c>
      <c r="G55" s="131" t="s">
        <v>39</v>
      </c>
      <c r="H55" s="131" t="s">
        <v>105</v>
      </c>
      <c r="I55" s="131" t="s">
        <v>40</v>
      </c>
      <c r="J55" s="131" t="s">
        <v>41</v>
      </c>
      <c r="K55" s="131" t="s">
        <v>42</v>
      </c>
      <c r="L55" s="131" t="s">
        <v>43</v>
      </c>
      <c r="M55" s="131" t="s">
        <v>44</v>
      </c>
      <c r="N55" s="132" t="s">
        <v>154</v>
      </c>
    </row>
    <row r="56" spans="1:16" s="23" customFormat="1" ht="26.25" customHeight="1" x14ac:dyDescent="0.25">
      <c r="A56" s="133" t="s">
        <v>106</v>
      </c>
      <c r="B56" s="144" t="s">
        <v>164</v>
      </c>
      <c r="C56" s="133" t="s">
        <v>113</v>
      </c>
      <c r="D56" s="133" t="s">
        <v>112</v>
      </c>
      <c r="E56" s="133" t="s">
        <v>892</v>
      </c>
      <c r="F56" s="133" t="s">
        <v>111</v>
      </c>
      <c r="G56" s="133" t="s">
        <v>110</v>
      </c>
      <c r="H56" s="133" t="s">
        <v>896</v>
      </c>
      <c r="I56" s="133" t="s">
        <v>178</v>
      </c>
      <c r="J56" s="133" t="s">
        <v>109</v>
      </c>
      <c r="K56" s="133" t="s">
        <v>114</v>
      </c>
      <c r="L56" s="133" t="s">
        <v>115</v>
      </c>
      <c r="M56" s="133" t="s">
        <v>893</v>
      </c>
      <c r="N56" s="133" t="s">
        <v>116</v>
      </c>
      <c r="O56" s="2"/>
    </row>
    <row r="57" spans="1:16" ht="11.25" customHeight="1" x14ac:dyDescent="0.25">
      <c r="A57" s="152">
        <v>1</v>
      </c>
      <c r="B57" s="145" t="str">
        <f>'Pay App 1'!B57</f>
        <v>00 01 00</v>
      </c>
      <c r="C57" s="134" t="str">
        <f>'Pay App 1'!C57</f>
        <v>Design Fee (if design build)</v>
      </c>
      <c r="D57" s="155">
        <f>'Pay App 1'!D57</f>
        <v>0</v>
      </c>
      <c r="E57" s="155">
        <f>VLOOKUP(B57,'Graph Data'!$O$2:$BX$88,62,FALSE)</f>
        <v>0</v>
      </c>
      <c r="F57" s="155">
        <f>IFERROR(E57+'Pay App 59'!F57,"")</f>
        <v>0</v>
      </c>
      <c r="G57" s="155">
        <f>SUM('Pay App 1:Pay App 59'!H57)</f>
        <v>0</v>
      </c>
      <c r="H57" s="154"/>
      <c r="I57" s="155">
        <f>G57+H57</f>
        <v>0</v>
      </c>
      <c r="J57" s="156">
        <f>IFERROR(I57/F57,0)</f>
        <v>0</v>
      </c>
      <c r="K57" s="155">
        <f>IFERROR(F57-I57,"")</f>
        <v>0</v>
      </c>
      <c r="L57" s="155" t="str">
        <f>IF(AND('Summary Sheet'!$E$23="No",$H$33&gt;0,H57&gt;=1),"",IF(AND('Summary Sheet'!$E$23="Yes",H57&lt;&gt;""),H57*'Summary Sheet'!$G$23,""))</f>
        <v/>
      </c>
      <c r="M57" s="154"/>
      <c r="N57" s="155">
        <f>SUM('Pay App 1:Pay App 60'!L57)+SUM('Pay App 1:Pay App 60'!M57)</f>
        <v>0</v>
      </c>
    </row>
    <row r="58" spans="1:16" ht="11.25" customHeight="1" x14ac:dyDescent="0.25">
      <c r="A58" s="152">
        <v>2</v>
      </c>
      <c r="B58" s="145" t="str">
        <f>'Pay App 1'!B58</f>
        <v>00 02 00</v>
      </c>
      <c r="C58" s="134" t="str">
        <f>'Pay App 1'!C58</f>
        <v>Preconstruction Services</v>
      </c>
      <c r="D58" s="155">
        <f>'Pay App 1'!D58</f>
        <v>0</v>
      </c>
      <c r="E58" s="155">
        <f>VLOOKUP(B58,'Graph Data'!$O$2:$BX$88,62,FALSE)</f>
        <v>0</v>
      </c>
      <c r="F58" s="155">
        <f>IFERROR(E58+'Pay App 59'!F58,"")</f>
        <v>0</v>
      </c>
      <c r="G58" s="155">
        <f>SUM('Pay App 1:Pay App 59'!H58)</f>
        <v>0</v>
      </c>
      <c r="H58" s="154"/>
      <c r="I58" s="155">
        <f>G58+H58</f>
        <v>0</v>
      </c>
      <c r="J58" s="156">
        <f>IFERROR(I58/F58,0)</f>
        <v>0</v>
      </c>
      <c r="K58" s="155">
        <f>IFERROR(F58-I58,"")</f>
        <v>0</v>
      </c>
      <c r="L58" s="155" t="str">
        <f>IF(AND('Summary Sheet'!$E$23="No",$H$33&gt;0,H58&gt;=1),"",IF(AND('Summary Sheet'!$E$23="Yes",H58&lt;&gt;""),H58*'Summary Sheet'!$G$23,""))</f>
        <v/>
      </c>
      <c r="M58" s="154"/>
      <c r="N58" s="155">
        <f>SUM('Pay App 1:Pay App 60'!L58)+SUM('Pay App 1:Pay App 60'!M58)</f>
        <v>0</v>
      </c>
    </row>
    <row r="59" spans="1:16" ht="11.25" customHeight="1" x14ac:dyDescent="0.25">
      <c r="A59" s="152">
        <v>3</v>
      </c>
      <c r="B59" s="174" t="str">
        <f>'Pay App 1'!B59</f>
        <v>01 00 00</v>
      </c>
      <c r="C59" s="179" t="str">
        <f>'Pay App 1'!C59</f>
        <v>General Conditions/Requirements</v>
      </c>
      <c r="D59" s="155">
        <f>'Pay App 1'!D59</f>
        <v>0</v>
      </c>
      <c r="E59" s="155">
        <f>VLOOKUP(B59,'Graph Data'!$O$2:$BX$88,62,FALSE)</f>
        <v>0</v>
      </c>
      <c r="F59" s="155">
        <f>IFERROR(E59+'Pay App 59'!F59,"")</f>
        <v>0</v>
      </c>
      <c r="G59" s="155">
        <f>SUM('Pay App 1:Pay App 59'!H59)</f>
        <v>0</v>
      </c>
      <c r="H59" s="154"/>
      <c r="I59" s="155">
        <f t="shared" ref="I59:I99" si="0">G59+H59</f>
        <v>0</v>
      </c>
      <c r="J59" s="156">
        <f t="shared" ref="J59:J99" si="1">IFERROR(I59/F59,0)</f>
        <v>0</v>
      </c>
      <c r="K59" s="155">
        <f t="shared" ref="K59:K99" si="2">IFERROR(F59-I59,"")</f>
        <v>0</v>
      </c>
      <c r="L59" s="155" t="str">
        <f>IF(AND('Summary Sheet'!$E$23="No",$H$33&gt;0,H59&gt;=1),"",IF(AND('Summary Sheet'!$E$23="Yes",H59&lt;&gt;""),H59*'Summary Sheet'!$G$23,""))</f>
        <v/>
      </c>
      <c r="M59" s="154"/>
      <c r="N59" s="155">
        <f>SUM('Pay App 1:Pay App 60'!L59)+SUM('Pay App 1:Pay App 60'!M59)</f>
        <v>0</v>
      </c>
    </row>
    <row r="60" spans="1:16" ht="11.25" customHeight="1" x14ac:dyDescent="0.25">
      <c r="A60" s="152">
        <v>4</v>
      </c>
      <c r="B60" s="174" t="str">
        <f>'Pay App 1'!B60</f>
        <v>01 13 41</v>
      </c>
      <c r="C60" s="179" t="str">
        <f>'Pay App 1'!C60</f>
        <v>Temp. Scaffolding and Platforms</v>
      </c>
      <c r="D60" s="155">
        <f>'Pay App 1'!D60</f>
        <v>0</v>
      </c>
      <c r="E60" s="155">
        <f>VLOOKUP(B60,'Graph Data'!$O$2:$BX$88,62,FALSE)</f>
        <v>0</v>
      </c>
      <c r="F60" s="155">
        <f>IFERROR(E60+'Pay App 59'!F60,"")</f>
        <v>0</v>
      </c>
      <c r="G60" s="155">
        <f>SUM('Pay App 1:Pay App 59'!H60)</f>
        <v>0</v>
      </c>
      <c r="H60" s="154"/>
      <c r="I60" s="155">
        <f t="shared" si="0"/>
        <v>0</v>
      </c>
      <c r="J60" s="156">
        <f t="shared" si="1"/>
        <v>0</v>
      </c>
      <c r="K60" s="155">
        <f t="shared" si="2"/>
        <v>0</v>
      </c>
      <c r="L60" s="155" t="str">
        <f>IF(AND('Summary Sheet'!$E$23="No",$H$33&gt;0,H60&gt;=1),"",IF(AND('Summary Sheet'!$E$23="Yes",H60&lt;&gt;""),H60*'Summary Sheet'!$G$23,""))</f>
        <v/>
      </c>
      <c r="M60" s="154"/>
      <c r="N60" s="155">
        <f>SUM('Pay App 1:Pay App 60'!L60)+SUM('Pay App 1:Pay App 60'!M60)</f>
        <v>0</v>
      </c>
    </row>
    <row r="61" spans="1:16" ht="11.25" customHeight="1" x14ac:dyDescent="0.25">
      <c r="A61" s="152">
        <v>5</v>
      </c>
      <c r="B61" s="174" t="str">
        <f>'Pay App 1'!B61</f>
        <v>01 13 60</v>
      </c>
      <c r="C61" s="179" t="str">
        <f>'Pay App 1'!C61</f>
        <v>SWPPP</v>
      </c>
      <c r="D61" s="155">
        <f>'Pay App 1'!D61</f>
        <v>0</v>
      </c>
      <c r="E61" s="155">
        <f>VLOOKUP(B61,'Graph Data'!$O$2:$BX$88,62,FALSE)</f>
        <v>0</v>
      </c>
      <c r="F61" s="155">
        <f>IFERROR(E61+'Pay App 59'!F61,"")</f>
        <v>0</v>
      </c>
      <c r="G61" s="155">
        <f>SUM('Pay App 1:Pay App 59'!H61)</f>
        <v>0</v>
      </c>
      <c r="H61" s="154"/>
      <c r="I61" s="155">
        <f t="shared" si="0"/>
        <v>0</v>
      </c>
      <c r="J61" s="156">
        <f t="shared" si="1"/>
        <v>0</v>
      </c>
      <c r="K61" s="155">
        <f t="shared" si="2"/>
        <v>0</v>
      </c>
      <c r="L61" s="155" t="str">
        <f>IF(AND('Summary Sheet'!$E$23="No",$H$33&gt;0,H61&gt;=1),"",IF(AND('Summary Sheet'!$E$23="Yes",H61&lt;&gt;""),H61*'Summary Sheet'!$G$23,""))</f>
        <v/>
      </c>
      <c r="M61" s="154"/>
      <c r="N61" s="155">
        <f>SUM('Pay App 1:Pay App 60'!L61)+SUM('Pay App 1:Pay App 60'!M61)</f>
        <v>0</v>
      </c>
      <c r="P61" s="26"/>
    </row>
    <row r="62" spans="1:16" ht="11.25" customHeight="1" x14ac:dyDescent="0.25">
      <c r="A62" s="152">
        <v>6</v>
      </c>
      <c r="B62" s="174" t="str">
        <f>'Pay App 1'!B62</f>
        <v>01 19 70</v>
      </c>
      <c r="C62" s="179" t="str">
        <f>'Pay App 1'!C62</f>
        <v>Construction Cranes and Hoists</v>
      </c>
      <c r="D62" s="155">
        <f>'Pay App 1'!D62</f>
        <v>0</v>
      </c>
      <c r="E62" s="155">
        <f>VLOOKUP(B62,'Graph Data'!$O$2:$BX$88,62,FALSE)</f>
        <v>0</v>
      </c>
      <c r="F62" s="155">
        <f>IFERROR(E62+'Pay App 59'!F62,"")</f>
        <v>0</v>
      </c>
      <c r="G62" s="155">
        <f>SUM('Pay App 1:Pay App 59'!H62)</f>
        <v>0</v>
      </c>
      <c r="H62" s="154"/>
      <c r="I62" s="155">
        <f t="shared" si="0"/>
        <v>0</v>
      </c>
      <c r="J62" s="156">
        <f t="shared" si="1"/>
        <v>0</v>
      </c>
      <c r="K62" s="155">
        <f t="shared" si="2"/>
        <v>0</v>
      </c>
      <c r="L62" s="155" t="str">
        <f>IF(AND('Summary Sheet'!$E$23="No",$H$33&gt;0,H62&gt;=1),"",IF(AND('Summary Sheet'!$E$23="Yes",H62&lt;&gt;""),H62*'Summary Sheet'!$G$23,""))</f>
        <v/>
      </c>
      <c r="M62" s="154"/>
      <c r="N62" s="155">
        <f>SUM('Pay App 1:Pay App 60'!L62)+SUM('Pay App 1:Pay App 60'!M62)</f>
        <v>0</v>
      </c>
    </row>
    <row r="63" spans="1:16" ht="11.25" customHeight="1" x14ac:dyDescent="0.25">
      <c r="A63" s="152">
        <v>7</v>
      </c>
      <c r="B63" s="174" t="str">
        <f>'Pay App 1'!B63</f>
        <v>01 31 00</v>
      </c>
      <c r="C63" s="179" t="str">
        <f>'Pay App 1'!C63</f>
        <v>Contractor's Supervision</v>
      </c>
      <c r="D63" s="155">
        <f>'Pay App 1'!D63</f>
        <v>0</v>
      </c>
      <c r="E63" s="155">
        <f>VLOOKUP(B63,'Graph Data'!$O$2:$BX$88,62,FALSE)</f>
        <v>0</v>
      </c>
      <c r="F63" s="155">
        <f>IFERROR(E63+'Pay App 59'!F63,"")</f>
        <v>0</v>
      </c>
      <c r="G63" s="155">
        <f>SUM('Pay App 1:Pay App 59'!H63)</f>
        <v>0</v>
      </c>
      <c r="H63" s="154"/>
      <c r="I63" s="155">
        <f t="shared" si="0"/>
        <v>0</v>
      </c>
      <c r="J63" s="156">
        <f t="shared" si="1"/>
        <v>0</v>
      </c>
      <c r="K63" s="155">
        <f t="shared" si="2"/>
        <v>0</v>
      </c>
      <c r="L63" s="155" t="str">
        <f>IF(AND('Summary Sheet'!$E$23="No",$H$33&gt;0,H63&gt;=1),"",IF(AND('Summary Sheet'!$E$23="Yes",H63&lt;&gt;""),H63*'Summary Sheet'!$G$23,""))</f>
        <v/>
      </c>
      <c r="M63" s="154"/>
      <c r="N63" s="155">
        <f>SUM('Pay App 1:Pay App 60'!L63)+SUM('Pay App 1:Pay App 60'!M63)</f>
        <v>0</v>
      </c>
    </row>
    <row r="64" spans="1:16" ht="11.25" customHeight="1" x14ac:dyDescent="0.25">
      <c r="A64" s="152">
        <v>8</v>
      </c>
      <c r="B64" s="174" t="str">
        <f>'Pay App 1'!B64</f>
        <v>01 32 00</v>
      </c>
      <c r="C64" s="179" t="str">
        <f>'Pay App 1'!C64</f>
        <v>General Liability Insurance</v>
      </c>
      <c r="D64" s="155">
        <f>'Pay App 1'!D64</f>
        <v>0</v>
      </c>
      <c r="E64" s="155">
        <f>VLOOKUP(B64,'Graph Data'!$O$2:$BX$88,62,FALSE)</f>
        <v>0</v>
      </c>
      <c r="F64" s="155">
        <f>IFERROR(E64+'Pay App 59'!F64,"")</f>
        <v>0</v>
      </c>
      <c r="G64" s="155">
        <f>SUM('Pay App 1:Pay App 59'!H64)</f>
        <v>0</v>
      </c>
      <c r="H64" s="154"/>
      <c r="I64" s="155">
        <f t="shared" si="0"/>
        <v>0</v>
      </c>
      <c r="J64" s="156">
        <f t="shared" si="1"/>
        <v>0</v>
      </c>
      <c r="K64" s="155">
        <f t="shared" si="2"/>
        <v>0</v>
      </c>
      <c r="L64" s="155" t="str">
        <f>IF(AND('Summary Sheet'!$E$23="No",$H$33&gt;0,H64&gt;=1),"",IF(AND('Summary Sheet'!$E$23="Yes",H64&lt;&gt;""),H64*'Summary Sheet'!$G$23,""))</f>
        <v/>
      </c>
      <c r="M64" s="154"/>
      <c r="N64" s="155">
        <f>SUM('Pay App 1:Pay App 60'!L64)+SUM('Pay App 1:Pay App 60'!M64)</f>
        <v>0</v>
      </c>
    </row>
    <row r="65" spans="1:17" ht="11.25" customHeight="1" x14ac:dyDescent="0.25">
      <c r="A65" s="152">
        <v>9</v>
      </c>
      <c r="B65" s="174" t="str">
        <f>'Pay App 1'!B65</f>
        <v>01 33 00</v>
      </c>
      <c r="C65" s="179" t="str">
        <f>'Pay App 1'!C65</f>
        <v xml:space="preserve">Performance &amp; Payment Bond  </v>
      </c>
      <c r="D65" s="155">
        <f>'Pay App 1'!D65</f>
        <v>0</v>
      </c>
      <c r="E65" s="155">
        <f>VLOOKUP(B65,'Graph Data'!$O$2:$BX$88,62,FALSE)</f>
        <v>0</v>
      </c>
      <c r="F65" s="155">
        <f>IFERROR(E65+'Pay App 59'!F65,"")</f>
        <v>0</v>
      </c>
      <c r="G65" s="155">
        <f>SUM('Pay App 1:Pay App 59'!H65)</f>
        <v>0</v>
      </c>
      <c r="H65" s="154"/>
      <c r="I65" s="155">
        <f t="shared" si="0"/>
        <v>0</v>
      </c>
      <c r="J65" s="156">
        <f t="shared" si="1"/>
        <v>0</v>
      </c>
      <c r="K65" s="155">
        <f t="shared" si="2"/>
        <v>0</v>
      </c>
      <c r="L65" s="155" t="str">
        <f>IF(AND('Summary Sheet'!$E$23="No",$H$33&gt;0,H65&gt;=1),"",IF(AND('Summary Sheet'!$E$23="Yes",H65&lt;&gt;""),H65*'Summary Sheet'!$G$23,""))</f>
        <v/>
      </c>
      <c r="M65" s="154"/>
      <c r="N65" s="155">
        <f>SUM('Pay App 1:Pay App 60'!L65)+SUM('Pay App 1:Pay App 60'!M65)</f>
        <v>0</v>
      </c>
    </row>
    <row r="66" spans="1:17" ht="11.25" customHeight="1" x14ac:dyDescent="0.25">
      <c r="A66" s="152">
        <v>10</v>
      </c>
      <c r="B66" s="174" t="str">
        <f>'Pay App 1'!B66</f>
        <v>01 34 00</v>
      </c>
      <c r="C66" s="179" t="str">
        <f>'Pay App 1'!C66</f>
        <v>Subcontractor Default Insurance</v>
      </c>
      <c r="D66" s="155">
        <f>'Pay App 1'!D66</f>
        <v>0</v>
      </c>
      <c r="E66" s="155">
        <f>VLOOKUP(B66,'Graph Data'!$O$2:$BX$88,62,FALSE)</f>
        <v>0</v>
      </c>
      <c r="F66" s="155">
        <f>IFERROR(E66+'Pay App 59'!F66,"")</f>
        <v>0</v>
      </c>
      <c r="G66" s="155">
        <f>SUM('Pay App 1:Pay App 59'!H66)</f>
        <v>0</v>
      </c>
      <c r="H66" s="154"/>
      <c r="I66" s="155">
        <f t="shared" si="0"/>
        <v>0</v>
      </c>
      <c r="J66" s="156">
        <f t="shared" si="1"/>
        <v>0</v>
      </c>
      <c r="K66" s="155">
        <f t="shared" si="2"/>
        <v>0</v>
      </c>
      <c r="L66" s="155" t="str">
        <f>IF(AND('Summary Sheet'!$E$23="No",$H$33&gt;0,H66&gt;=1),"",IF(AND('Summary Sheet'!$E$23="Yes",H66&lt;&gt;""),H66*'Summary Sheet'!$G$23,""))</f>
        <v/>
      </c>
      <c r="M66" s="154"/>
      <c r="N66" s="155">
        <f>SUM('Pay App 1:Pay App 60'!L66)+SUM('Pay App 1:Pay App 60'!M66)</f>
        <v>0</v>
      </c>
    </row>
    <row r="67" spans="1:17" ht="11.25" customHeight="1" x14ac:dyDescent="0.25">
      <c r="A67" s="152">
        <v>11</v>
      </c>
      <c r="B67" s="174" t="str">
        <f>'Pay App 1'!B67</f>
        <v>01 35 00</v>
      </c>
      <c r="C67" s="179" t="str">
        <f>'Pay App 1'!C67</f>
        <v>Construction Management Fee</v>
      </c>
      <c r="D67" s="155">
        <f>'Pay App 1'!D67</f>
        <v>0</v>
      </c>
      <c r="E67" s="155">
        <f>VLOOKUP(B67,'Graph Data'!$O$2:$BX$88,62,FALSE)</f>
        <v>0</v>
      </c>
      <c r="F67" s="155">
        <f>IFERROR(E67+'Pay App 59'!F67,"")</f>
        <v>0</v>
      </c>
      <c r="G67" s="155">
        <f>SUM('Pay App 1:Pay App 59'!H67)</f>
        <v>0</v>
      </c>
      <c r="H67" s="154"/>
      <c r="I67" s="155">
        <f t="shared" si="0"/>
        <v>0</v>
      </c>
      <c r="J67" s="156">
        <f t="shared" si="1"/>
        <v>0</v>
      </c>
      <c r="K67" s="155">
        <f t="shared" si="2"/>
        <v>0</v>
      </c>
      <c r="L67" s="155" t="str">
        <f>IF(AND('Summary Sheet'!$E$23="No",$H$33&gt;0,H67&gt;=1),"",IF(AND('Summary Sheet'!$E$23="Yes",H67&lt;&gt;""),H67*'Summary Sheet'!$G$23,""))</f>
        <v/>
      </c>
      <c r="M67" s="154"/>
      <c r="N67" s="155">
        <f>SUM('Pay App 1:Pay App 60'!L67)+SUM('Pay App 1:Pay App 60'!M67)</f>
        <v>0</v>
      </c>
    </row>
    <row r="68" spans="1:17" ht="11.25" customHeight="1" x14ac:dyDescent="0.25">
      <c r="A68" s="152">
        <v>12</v>
      </c>
      <c r="B68" s="174" t="str">
        <f>'Pay App 1'!B68</f>
        <v>01 36 00</v>
      </c>
      <c r="C68" s="179" t="str">
        <f>'Pay App 1'!C68</f>
        <v>Contingency</v>
      </c>
      <c r="D68" s="155">
        <f>'Pay App 1'!D68</f>
        <v>0</v>
      </c>
      <c r="E68" s="155">
        <f>VLOOKUP(B68,'Graph Data'!$O$2:$BX$88,62,FALSE)</f>
        <v>0</v>
      </c>
      <c r="F68" s="155">
        <f>IFERROR(E68+'Pay App 59'!F68,"")</f>
        <v>0</v>
      </c>
      <c r="G68" s="155">
        <f>SUM('Pay App 1:Pay App 59'!H68)</f>
        <v>0</v>
      </c>
      <c r="H68" s="154"/>
      <c r="I68" s="155">
        <f t="shared" si="0"/>
        <v>0</v>
      </c>
      <c r="J68" s="156">
        <f t="shared" si="1"/>
        <v>0</v>
      </c>
      <c r="K68" s="155">
        <f t="shared" si="2"/>
        <v>0</v>
      </c>
      <c r="L68" s="155" t="str">
        <f>IF(AND('Summary Sheet'!$E$23="No",$H$33&gt;0,H68&gt;=1),"",IF(AND('Summary Sheet'!$E$23="Yes",H68&lt;&gt;""),H68*'Summary Sheet'!$G$23,""))</f>
        <v/>
      </c>
      <c r="M68" s="154"/>
      <c r="N68" s="155">
        <f>SUM('Pay App 1:Pay App 60'!L68)+SUM('Pay App 1:Pay App 60'!M68)</f>
        <v>0</v>
      </c>
    </row>
    <row r="69" spans="1:17" ht="11.25" customHeight="1" x14ac:dyDescent="0.25">
      <c r="A69" s="152">
        <v>13</v>
      </c>
      <c r="B69" s="174" t="str">
        <f>'Pay App 1'!B69</f>
        <v>01 37 00</v>
      </c>
      <c r="C69" s="179" t="str">
        <f>'Pay App 1'!C69</f>
        <v>Weather Allowance (All Trades)</v>
      </c>
      <c r="D69" s="155">
        <f>'Pay App 1'!D69</f>
        <v>0</v>
      </c>
      <c r="E69" s="155">
        <f>VLOOKUP(B69,'Graph Data'!$O$2:$BX$88,62,FALSE)</f>
        <v>0</v>
      </c>
      <c r="F69" s="155">
        <f>IFERROR(E69+'Pay App 59'!F69,"")</f>
        <v>0</v>
      </c>
      <c r="G69" s="155">
        <f>SUM('Pay App 1:Pay App 59'!H69)</f>
        <v>0</v>
      </c>
      <c r="H69" s="154"/>
      <c r="I69" s="155">
        <f t="shared" si="0"/>
        <v>0</v>
      </c>
      <c r="J69" s="156">
        <f t="shared" si="1"/>
        <v>0</v>
      </c>
      <c r="K69" s="155">
        <f t="shared" si="2"/>
        <v>0</v>
      </c>
      <c r="L69" s="155" t="str">
        <f>IF(AND('Summary Sheet'!$E$23="No",$H$33&gt;0,H69&gt;=1),"",IF(AND('Summary Sheet'!$E$23="Yes",H69&lt;&gt;""),H69*'Summary Sheet'!$G$23,""))</f>
        <v/>
      </c>
      <c r="M69" s="154"/>
      <c r="N69" s="155">
        <f>SUM('Pay App 1:Pay App 60'!L69)+SUM('Pay App 1:Pay App 60'!M69)</f>
        <v>0</v>
      </c>
    </row>
    <row r="70" spans="1:17" ht="11.25" customHeight="1" x14ac:dyDescent="0.25">
      <c r="A70" s="152">
        <v>14</v>
      </c>
      <c r="B70" s="174" t="str">
        <f>'Pay App 1'!B70</f>
        <v>01 74 23</v>
      </c>
      <c r="C70" s="179" t="str">
        <f>'Pay App 1'!C70</f>
        <v>Cleaning (Final)</v>
      </c>
      <c r="D70" s="155">
        <f>'Pay App 1'!D70</f>
        <v>0</v>
      </c>
      <c r="E70" s="155">
        <f>VLOOKUP(B70,'Graph Data'!$O$2:$BX$88,62,FALSE)</f>
        <v>0</v>
      </c>
      <c r="F70" s="155">
        <f>IFERROR(E70+'Pay App 59'!F70,"")</f>
        <v>0</v>
      </c>
      <c r="G70" s="155">
        <f>SUM('Pay App 1:Pay App 59'!H70)</f>
        <v>0</v>
      </c>
      <c r="H70" s="154"/>
      <c r="I70" s="155">
        <f t="shared" si="0"/>
        <v>0</v>
      </c>
      <c r="J70" s="156">
        <f t="shared" si="1"/>
        <v>0</v>
      </c>
      <c r="K70" s="155">
        <f t="shared" si="2"/>
        <v>0</v>
      </c>
      <c r="L70" s="155" t="str">
        <f>IF(AND('Summary Sheet'!$E$23="No",$H$33&gt;0,H70&gt;=1),"",IF(AND('Summary Sheet'!$E$23="Yes",H70&lt;&gt;""),H70*'Summary Sheet'!$G$23,""))</f>
        <v/>
      </c>
      <c r="M70" s="154"/>
      <c r="N70" s="155">
        <f>SUM('Pay App 1:Pay App 60'!L70)+SUM('Pay App 1:Pay App 60'!M70)</f>
        <v>0</v>
      </c>
    </row>
    <row r="71" spans="1:17" ht="11.25" customHeight="1" x14ac:dyDescent="0.25">
      <c r="A71" s="152">
        <v>15</v>
      </c>
      <c r="B71" s="175" t="str">
        <f>'Pay App 1'!B71</f>
        <v>02 21 00</v>
      </c>
      <c r="C71" s="180" t="str">
        <f>'Pay App 1'!C71</f>
        <v>Survey/Engineering</v>
      </c>
      <c r="D71" s="155">
        <f>'Pay App 1'!D71</f>
        <v>0</v>
      </c>
      <c r="E71" s="155">
        <f>VLOOKUP(B71,'Graph Data'!$O$2:$BX$88,62,FALSE)</f>
        <v>0</v>
      </c>
      <c r="F71" s="155">
        <f>IFERROR(E71+'Pay App 59'!F71,"")</f>
        <v>0</v>
      </c>
      <c r="G71" s="155">
        <f>SUM('Pay App 1:Pay App 59'!H71)</f>
        <v>0</v>
      </c>
      <c r="H71" s="154"/>
      <c r="I71" s="155">
        <f t="shared" si="0"/>
        <v>0</v>
      </c>
      <c r="J71" s="156">
        <f t="shared" si="1"/>
        <v>0</v>
      </c>
      <c r="K71" s="155">
        <f t="shared" si="2"/>
        <v>0</v>
      </c>
      <c r="L71" s="155" t="str">
        <f>IF(AND('Summary Sheet'!$E$23="No",$H$33&gt;0,H71&gt;=1),"",IF(AND('Summary Sheet'!$E$23="Yes",H71&lt;&gt;""),H71*'Summary Sheet'!$G$23,""))</f>
        <v/>
      </c>
      <c r="M71" s="154"/>
      <c r="N71" s="155">
        <f>SUM('Pay App 1:Pay App 60'!L71)+SUM('Pay App 1:Pay App 60'!M71)</f>
        <v>0</v>
      </c>
      <c r="Q71" s="28"/>
    </row>
    <row r="72" spans="1:17" ht="11.25" customHeight="1" x14ac:dyDescent="0.25">
      <c r="A72" s="152">
        <v>16</v>
      </c>
      <c r="B72" s="175" t="str">
        <f>'Pay App 1'!B72</f>
        <v>02 41 00</v>
      </c>
      <c r="C72" s="180" t="str">
        <f>'Pay App 1'!C72</f>
        <v>Demolition</v>
      </c>
      <c r="D72" s="155">
        <f>'Pay App 1'!D72</f>
        <v>0</v>
      </c>
      <c r="E72" s="155">
        <f>VLOOKUP(B72,'Graph Data'!$O$2:$BX$88,62,FALSE)</f>
        <v>0</v>
      </c>
      <c r="F72" s="155">
        <f>IFERROR(E72+'Pay App 59'!F72,"")</f>
        <v>0</v>
      </c>
      <c r="G72" s="155">
        <f>SUM('Pay App 1:Pay App 59'!H72)</f>
        <v>0</v>
      </c>
      <c r="H72" s="154"/>
      <c r="I72" s="155">
        <f t="shared" si="0"/>
        <v>0</v>
      </c>
      <c r="J72" s="156">
        <f t="shared" si="1"/>
        <v>0</v>
      </c>
      <c r="K72" s="155">
        <f t="shared" si="2"/>
        <v>0</v>
      </c>
      <c r="L72" s="155" t="str">
        <f>IF(AND('Summary Sheet'!$E$23="No",$H$33&gt;0,H72&gt;=1),"",IF(AND('Summary Sheet'!$E$23="Yes",H72&lt;&gt;""),H72*'Summary Sheet'!$G$23,""))</f>
        <v/>
      </c>
      <c r="M72" s="154"/>
      <c r="N72" s="155">
        <f>SUM('Pay App 1:Pay App 60'!L72)+SUM('Pay App 1:Pay App 60'!M72)</f>
        <v>0</v>
      </c>
      <c r="Q72" s="28"/>
    </row>
    <row r="73" spans="1:17" ht="11.25" customHeight="1" x14ac:dyDescent="0.25">
      <c r="A73" s="152">
        <v>17</v>
      </c>
      <c r="B73" s="175" t="str">
        <f>'Pay App 1'!B73</f>
        <v>02 82 00</v>
      </c>
      <c r="C73" s="180" t="str">
        <f>'Pay App 1'!C73</f>
        <v>Asbestos Abatement</v>
      </c>
      <c r="D73" s="155">
        <f>'Pay App 1'!D73</f>
        <v>0</v>
      </c>
      <c r="E73" s="155">
        <f>VLOOKUP(B73,'Graph Data'!$O$2:$BX$88,62,FALSE)</f>
        <v>0</v>
      </c>
      <c r="F73" s="155">
        <f>IFERROR(E73+'Pay App 59'!F73,"")</f>
        <v>0</v>
      </c>
      <c r="G73" s="155">
        <f>SUM('Pay App 1:Pay App 59'!H73)</f>
        <v>0</v>
      </c>
      <c r="H73" s="154"/>
      <c r="I73" s="155">
        <f t="shared" si="0"/>
        <v>0</v>
      </c>
      <c r="J73" s="156">
        <f t="shared" si="1"/>
        <v>0</v>
      </c>
      <c r="K73" s="155">
        <f t="shared" si="2"/>
        <v>0</v>
      </c>
      <c r="L73" s="155" t="str">
        <f>IF(AND('Summary Sheet'!$E$23="No",$H$33&gt;0,H73&gt;=1),"",IF(AND('Summary Sheet'!$E$23="Yes",H73&lt;&gt;""),H73*'Summary Sheet'!$G$23,""))</f>
        <v/>
      </c>
      <c r="M73" s="154"/>
      <c r="N73" s="155">
        <f>SUM('Pay App 1:Pay App 60'!L73)+SUM('Pay App 1:Pay App 60'!M73)</f>
        <v>0</v>
      </c>
    </row>
    <row r="74" spans="1:17" ht="11.25" customHeight="1" x14ac:dyDescent="0.25">
      <c r="A74" s="152">
        <v>18</v>
      </c>
      <c r="B74" s="176" t="str">
        <f>'Pay App 1'!B74</f>
        <v>03 00 00</v>
      </c>
      <c r="C74" s="181" t="str">
        <f>'Pay App 1'!C74</f>
        <v>Building Concrete</v>
      </c>
      <c r="D74" s="155">
        <f>'Pay App 1'!D74</f>
        <v>0</v>
      </c>
      <c r="E74" s="155">
        <f>VLOOKUP(B74,'Graph Data'!$O$2:$BX$88,62,FALSE)</f>
        <v>0</v>
      </c>
      <c r="F74" s="155">
        <f>IFERROR(E74+'Pay App 59'!F74,"")</f>
        <v>0</v>
      </c>
      <c r="G74" s="155">
        <f>SUM('Pay App 1:Pay App 59'!H74)</f>
        <v>0</v>
      </c>
      <c r="H74" s="154"/>
      <c r="I74" s="155">
        <f t="shared" si="0"/>
        <v>0</v>
      </c>
      <c r="J74" s="156">
        <f t="shared" si="1"/>
        <v>0</v>
      </c>
      <c r="K74" s="155">
        <f t="shared" si="2"/>
        <v>0</v>
      </c>
      <c r="L74" s="155" t="str">
        <f>IF(AND('Summary Sheet'!$E$23="No",$H$33&gt;0,H74&gt;=1),"",IF(AND('Summary Sheet'!$E$23="Yes",H74&lt;&gt;""),H74*'Summary Sheet'!$G$23,""))</f>
        <v/>
      </c>
      <c r="M74" s="154"/>
      <c r="N74" s="155">
        <f>SUM('Pay App 1:Pay App 60'!L74)+SUM('Pay App 1:Pay App 60'!M74)</f>
        <v>0</v>
      </c>
    </row>
    <row r="75" spans="1:17" ht="11.25" customHeight="1" x14ac:dyDescent="0.25">
      <c r="A75" s="152">
        <v>19</v>
      </c>
      <c r="B75" s="176" t="str">
        <f>'Pay App 1'!B75</f>
        <v>03 20 00</v>
      </c>
      <c r="C75" s="181" t="str">
        <f>'Pay App 1'!C75</f>
        <v>Building Concrete Reinforcing</v>
      </c>
      <c r="D75" s="155">
        <f>'Pay App 1'!D75</f>
        <v>0</v>
      </c>
      <c r="E75" s="155">
        <f>VLOOKUP(B75,'Graph Data'!$O$2:$BX$88,62,FALSE)</f>
        <v>0</v>
      </c>
      <c r="F75" s="155">
        <f>IFERROR(E75+'Pay App 59'!F75,"")</f>
        <v>0</v>
      </c>
      <c r="G75" s="155">
        <f>SUM('Pay App 1:Pay App 59'!H75)</f>
        <v>0</v>
      </c>
      <c r="H75" s="154"/>
      <c r="I75" s="155">
        <f t="shared" si="0"/>
        <v>0</v>
      </c>
      <c r="J75" s="156">
        <f t="shared" si="1"/>
        <v>0</v>
      </c>
      <c r="K75" s="155">
        <f t="shared" si="2"/>
        <v>0</v>
      </c>
      <c r="L75" s="155" t="str">
        <f>IF(AND('Summary Sheet'!$E$23="No",$H$33&gt;0,H75&gt;=1),"",IF(AND('Summary Sheet'!$E$23="Yes",H75&lt;&gt;""),H75*'Summary Sheet'!$G$23,""))</f>
        <v/>
      </c>
      <c r="M75" s="154"/>
      <c r="N75" s="155">
        <f>SUM('Pay App 1:Pay App 60'!L75)+SUM('Pay App 1:Pay App 60'!M75)</f>
        <v>0</v>
      </c>
    </row>
    <row r="76" spans="1:17" ht="11.25" customHeight="1" x14ac:dyDescent="0.25">
      <c r="A76" s="152">
        <v>20</v>
      </c>
      <c r="B76" s="176" t="str">
        <f>'Pay App 1'!B76</f>
        <v>03 40 00</v>
      </c>
      <c r="C76" s="181" t="str">
        <f>'Pay App 1'!C76</f>
        <v>Precast</v>
      </c>
      <c r="D76" s="155">
        <f>'Pay App 1'!D76</f>
        <v>0</v>
      </c>
      <c r="E76" s="155">
        <f>VLOOKUP(B76,'Graph Data'!$O$2:$BX$88,62,FALSE)</f>
        <v>0</v>
      </c>
      <c r="F76" s="155">
        <f>IFERROR(E76+'Pay App 59'!F76,"")</f>
        <v>0</v>
      </c>
      <c r="G76" s="155">
        <f>SUM('Pay App 1:Pay App 59'!H76)</f>
        <v>0</v>
      </c>
      <c r="H76" s="154"/>
      <c r="I76" s="155">
        <f t="shared" si="0"/>
        <v>0</v>
      </c>
      <c r="J76" s="156">
        <f t="shared" si="1"/>
        <v>0</v>
      </c>
      <c r="K76" s="155">
        <f t="shared" si="2"/>
        <v>0</v>
      </c>
      <c r="L76" s="155" t="str">
        <f>IF(AND('Summary Sheet'!$E$23="No",$H$33&gt;0,H76&gt;=1),"",IF(AND('Summary Sheet'!$E$23="Yes",H76&lt;&gt;""),H76*'Summary Sheet'!$G$23,""))</f>
        <v/>
      </c>
      <c r="M76" s="154"/>
      <c r="N76" s="155">
        <f>SUM('Pay App 1:Pay App 60'!L76)+SUM('Pay App 1:Pay App 60'!M76)</f>
        <v>0</v>
      </c>
    </row>
    <row r="77" spans="1:17" ht="11.25" customHeight="1" x14ac:dyDescent="0.25">
      <c r="A77" s="152">
        <v>21</v>
      </c>
      <c r="B77" s="177" t="str">
        <f>'Pay App 1'!B77</f>
        <v>04 00 00</v>
      </c>
      <c r="C77" s="182" t="str">
        <f>'Pay App 1'!C77</f>
        <v>Masonry</v>
      </c>
      <c r="D77" s="155">
        <f>'Pay App 1'!D77</f>
        <v>0</v>
      </c>
      <c r="E77" s="155">
        <f>VLOOKUP(B77,'Graph Data'!$O$2:$BX$88,62,FALSE)</f>
        <v>0</v>
      </c>
      <c r="F77" s="155">
        <f>IFERROR(E77+'Pay App 59'!F77,"")</f>
        <v>0</v>
      </c>
      <c r="G77" s="155">
        <f>SUM('Pay App 1:Pay App 59'!H77)</f>
        <v>0</v>
      </c>
      <c r="H77" s="154"/>
      <c r="I77" s="155">
        <f t="shared" si="0"/>
        <v>0</v>
      </c>
      <c r="J77" s="156">
        <f t="shared" si="1"/>
        <v>0</v>
      </c>
      <c r="K77" s="155">
        <f t="shared" si="2"/>
        <v>0</v>
      </c>
      <c r="L77" s="155" t="str">
        <f>IF(AND('Summary Sheet'!$E$23="No",$H$33&gt;0,H77&gt;=1),"",IF(AND('Summary Sheet'!$E$23="Yes",H77&lt;&gt;""),H77*'Summary Sheet'!$G$23,""))</f>
        <v/>
      </c>
      <c r="M77" s="154"/>
      <c r="N77" s="155">
        <f>SUM('Pay App 1:Pay App 60'!L77)+SUM('Pay App 1:Pay App 60'!M77)</f>
        <v>0</v>
      </c>
    </row>
    <row r="78" spans="1:17" ht="11.25" customHeight="1" x14ac:dyDescent="0.25">
      <c r="A78" s="152">
        <v>22</v>
      </c>
      <c r="B78" s="177" t="str">
        <f>'Pay App 1'!B78</f>
        <v>04 05 19</v>
      </c>
      <c r="C78" s="182" t="str">
        <f>'Pay App 1'!C78</f>
        <v>Masonry Reinforcing</v>
      </c>
      <c r="D78" s="155">
        <f>'Pay App 1'!D78</f>
        <v>0</v>
      </c>
      <c r="E78" s="155">
        <f>VLOOKUP(B78,'Graph Data'!$O$2:$BX$88,62,FALSE)</f>
        <v>0</v>
      </c>
      <c r="F78" s="155">
        <f>IFERROR(E78+'Pay App 59'!F78,"")</f>
        <v>0</v>
      </c>
      <c r="G78" s="155">
        <f>SUM('Pay App 1:Pay App 59'!H78)</f>
        <v>0</v>
      </c>
      <c r="H78" s="154"/>
      <c r="I78" s="155">
        <f t="shared" si="0"/>
        <v>0</v>
      </c>
      <c r="J78" s="156">
        <f t="shared" si="1"/>
        <v>0</v>
      </c>
      <c r="K78" s="155">
        <f t="shared" si="2"/>
        <v>0</v>
      </c>
      <c r="L78" s="155" t="str">
        <f>IF(AND('Summary Sheet'!$E$23="No",$H$33&gt;0,H78&gt;=1),"",IF(AND('Summary Sheet'!$E$23="Yes",H78&lt;&gt;""),H78*'Summary Sheet'!$G$23,""))</f>
        <v/>
      </c>
      <c r="M78" s="154"/>
      <c r="N78" s="155">
        <f>SUM('Pay App 1:Pay App 60'!L78)+SUM('Pay App 1:Pay App 60'!M78)</f>
        <v>0</v>
      </c>
    </row>
    <row r="79" spans="1:17" ht="11.25" customHeight="1" x14ac:dyDescent="0.25">
      <c r="A79" s="152">
        <v>23</v>
      </c>
      <c r="B79" s="178" t="str">
        <f>'Pay App 1'!B79</f>
        <v>05 10 00</v>
      </c>
      <c r="C79" s="183" t="str">
        <f>'Pay App 1'!C79</f>
        <v>Structural Steel/Misc. Steel Fab</v>
      </c>
      <c r="D79" s="155">
        <f>'Pay App 1'!D79</f>
        <v>0</v>
      </c>
      <c r="E79" s="155">
        <f>VLOOKUP(B79,'Graph Data'!$O$2:$BX$88,62,FALSE)</f>
        <v>0</v>
      </c>
      <c r="F79" s="155">
        <f>IFERROR(E79+'Pay App 59'!F79,"")</f>
        <v>0</v>
      </c>
      <c r="G79" s="155">
        <f>SUM('Pay App 1:Pay App 59'!H79)</f>
        <v>0</v>
      </c>
      <c r="H79" s="154"/>
      <c r="I79" s="155">
        <f t="shared" si="0"/>
        <v>0</v>
      </c>
      <c r="J79" s="156">
        <f t="shared" si="1"/>
        <v>0</v>
      </c>
      <c r="K79" s="155">
        <f t="shared" si="2"/>
        <v>0</v>
      </c>
      <c r="L79" s="155" t="str">
        <f>IF(AND('Summary Sheet'!$E$23="No",$H$33&gt;0,H79&gt;=1),"",IF(AND('Summary Sheet'!$E$23="Yes",H79&lt;&gt;""),H79*'Summary Sheet'!$G$23,""))</f>
        <v/>
      </c>
      <c r="M79" s="154"/>
      <c r="N79" s="155">
        <f>SUM('Pay App 1:Pay App 60'!L79)+SUM('Pay App 1:Pay App 60'!M79)</f>
        <v>0</v>
      </c>
    </row>
    <row r="80" spans="1:17" ht="11.25" customHeight="1" x14ac:dyDescent="0.25">
      <c r="A80" s="152">
        <v>24</v>
      </c>
      <c r="B80" s="178" t="str">
        <f>'Pay App 1'!B80</f>
        <v>05 20 00</v>
      </c>
      <c r="C80" s="183" t="str">
        <f>'Pay App 1'!C80</f>
        <v>Joists &amp; Deck</v>
      </c>
      <c r="D80" s="155">
        <f>'Pay App 1'!D80</f>
        <v>0</v>
      </c>
      <c r="E80" s="155">
        <f>VLOOKUP(B80,'Graph Data'!$O$2:$BX$88,62,FALSE)</f>
        <v>0</v>
      </c>
      <c r="F80" s="155">
        <f>IFERROR(E80+'Pay App 59'!F80,"")</f>
        <v>0</v>
      </c>
      <c r="G80" s="155">
        <f>SUM('Pay App 1:Pay App 59'!H80)</f>
        <v>0</v>
      </c>
      <c r="H80" s="154"/>
      <c r="I80" s="155">
        <f t="shared" si="0"/>
        <v>0</v>
      </c>
      <c r="J80" s="156">
        <f t="shared" si="1"/>
        <v>0</v>
      </c>
      <c r="K80" s="155">
        <f t="shared" si="2"/>
        <v>0</v>
      </c>
      <c r="L80" s="155" t="str">
        <f>IF(AND('Summary Sheet'!$E$23="No",$H$33&gt;0,H80&gt;=1),"",IF(AND('Summary Sheet'!$E$23="Yes",H80&lt;&gt;""),H80*'Summary Sheet'!$G$23,""))</f>
        <v/>
      </c>
      <c r="M80" s="154"/>
      <c r="N80" s="155">
        <f>SUM('Pay App 1:Pay App 60'!L80)+SUM('Pay App 1:Pay App 60'!M80)</f>
        <v>0</v>
      </c>
    </row>
    <row r="81" spans="1:14" ht="11.25" customHeight="1" x14ac:dyDescent="0.25">
      <c r="A81" s="152">
        <v>25</v>
      </c>
      <c r="B81" s="178" t="str">
        <f>'Pay App 1'!B81</f>
        <v>05 70 00</v>
      </c>
      <c r="C81" s="183" t="str">
        <f>'Pay App 1'!C81</f>
        <v>Ornamental Metal</v>
      </c>
      <c r="D81" s="155">
        <f>'Pay App 1'!D81</f>
        <v>0</v>
      </c>
      <c r="E81" s="155">
        <f>VLOOKUP(B81,'Graph Data'!$O$2:$BX$88,62,FALSE)</f>
        <v>0</v>
      </c>
      <c r="F81" s="155">
        <f>IFERROR(E81+'Pay App 59'!F81,"")</f>
        <v>0</v>
      </c>
      <c r="G81" s="155">
        <f>SUM('Pay App 1:Pay App 59'!H81)</f>
        <v>0</v>
      </c>
      <c r="H81" s="154"/>
      <c r="I81" s="155">
        <f t="shared" si="0"/>
        <v>0</v>
      </c>
      <c r="J81" s="156">
        <f t="shared" si="1"/>
        <v>0</v>
      </c>
      <c r="K81" s="155">
        <f t="shared" si="2"/>
        <v>0</v>
      </c>
      <c r="L81" s="155" t="str">
        <f>IF(AND('Summary Sheet'!$E$23="No",$H$33&gt;0,H81&gt;=1),"",IF(AND('Summary Sheet'!$E$23="Yes",H81&lt;&gt;""),H81*'Summary Sheet'!$G$23,""))</f>
        <v/>
      </c>
      <c r="M81" s="154"/>
      <c r="N81" s="155">
        <f>SUM('Pay App 1:Pay App 60'!L81)+SUM('Pay App 1:Pay App 60'!M81)</f>
        <v>0</v>
      </c>
    </row>
    <row r="82" spans="1:14" ht="11.25" customHeight="1" x14ac:dyDescent="0.25">
      <c r="A82" s="152">
        <v>26</v>
      </c>
      <c r="B82" s="145" t="str">
        <f>'Pay App 1'!B82</f>
        <v>06 10 00</v>
      </c>
      <c r="C82" s="134" t="str">
        <f>'Pay App 1'!C82</f>
        <v>Rough Carpentry</v>
      </c>
      <c r="D82" s="155">
        <f>'Pay App 1'!D82</f>
        <v>0</v>
      </c>
      <c r="E82" s="155">
        <f>VLOOKUP(B82,'Graph Data'!$O$2:$BX$88,62,FALSE)</f>
        <v>0</v>
      </c>
      <c r="F82" s="155">
        <f>IFERROR(E82+'Pay App 59'!F82,"")</f>
        <v>0</v>
      </c>
      <c r="G82" s="155">
        <f>SUM('Pay App 1:Pay App 59'!H82)</f>
        <v>0</v>
      </c>
      <c r="H82" s="154"/>
      <c r="I82" s="155">
        <f t="shared" si="0"/>
        <v>0</v>
      </c>
      <c r="J82" s="156">
        <f t="shared" si="1"/>
        <v>0</v>
      </c>
      <c r="K82" s="155">
        <f t="shared" si="2"/>
        <v>0</v>
      </c>
      <c r="L82" s="155" t="str">
        <f>IF(AND('Summary Sheet'!$E$23="No",$H$33&gt;0,H82&gt;=1),"",IF(AND('Summary Sheet'!$E$23="Yes",H82&lt;&gt;""),H82*'Summary Sheet'!$G$23,""))</f>
        <v/>
      </c>
      <c r="M82" s="154"/>
      <c r="N82" s="155">
        <f>SUM('Pay App 1:Pay App 60'!L82)+SUM('Pay App 1:Pay App 60'!M82)</f>
        <v>0</v>
      </c>
    </row>
    <row r="83" spans="1:14" ht="11.25" customHeight="1" x14ac:dyDescent="0.25">
      <c r="A83" s="152">
        <v>27</v>
      </c>
      <c r="B83" s="145" t="str">
        <f>'Pay App 1'!B83</f>
        <v>06 40 00</v>
      </c>
      <c r="C83" s="134" t="str">
        <f>'Pay App 1'!C83</f>
        <v>Arch. Woodwork &amp; Finish Carp.</v>
      </c>
      <c r="D83" s="155">
        <f>'Pay App 1'!D83</f>
        <v>0</v>
      </c>
      <c r="E83" s="155">
        <f>VLOOKUP(B83,'Graph Data'!$O$2:$BX$88,62,FALSE)</f>
        <v>0</v>
      </c>
      <c r="F83" s="155">
        <f>IFERROR(E83+'Pay App 59'!F83,"")</f>
        <v>0</v>
      </c>
      <c r="G83" s="155">
        <f>SUM('Pay App 1:Pay App 59'!H83)</f>
        <v>0</v>
      </c>
      <c r="H83" s="154"/>
      <c r="I83" s="155">
        <f t="shared" si="0"/>
        <v>0</v>
      </c>
      <c r="J83" s="156">
        <f t="shared" si="1"/>
        <v>0</v>
      </c>
      <c r="K83" s="155">
        <f t="shared" si="2"/>
        <v>0</v>
      </c>
      <c r="L83" s="155" t="str">
        <f>IF(AND('Summary Sheet'!$E$23="No",$H$33&gt;0,H83&gt;=1),"",IF(AND('Summary Sheet'!$E$23="Yes",H83&lt;&gt;""),H83*'Summary Sheet'!$G$23,""))</f>
        <v/>
      </c>
      <c r="M83" s="154"/>
      <c r="N83" s="155">
        <f>SUM('Pay App 1:Pay App 60'!L83)+SUM('Pay App 1:Pay App 60'!M83)</f>
        <v>0</v>
      </c>
    </row>
    <row r="84" spans="1:14" ht="11.25" customHeight="1" x14ac:dyDescent="0.25">
      <c r="A84" s="152">
        <v>28</v>
      </c>
      <c r="B84" s="174" t="str">
        <f>'Pay App 1'!B84</f>
        <v>07 10 00</v>
      </c>
      <c r="C84" s="179" t="str">
        <f>'Pay App 1'!C84</f>
        <v>Waterproofing/Water Repellents</v>
      </c>
      <c r="D84" s="155">
        <f>'Pay App 1'!D84</f>
        <v>0</v>
      </c>
      <c r="E84" s="155">
        <f>VLOOKUP(B84,'Graph Data'!$O$2:$BX$88,62,FALSE)</f>
        <v>0</v>
      </c>
      <c r="F84" s="155">
        <f>IFERROR(E84+'Pay App 59'!F84,"")</f>
        <v>0</v>
      </c>
      <c r="G84" s="155">
        <f>SUM('Pay App 1:Pay App 59'!H84)</f>
        <v>0</v>
      </c>
      <c r="H84" s="154"/>
      <c r="I84" s="155">
        <f t="shared" si="0"/>
        <v>0</v>
      </c>
      <c r="J84" s="156">
        <f t="shared" si="1"/>
        <v>0</v>
      </c>
      <c r="K84" s="155">
        <f t="shared" si="2"/>
        <v>0</v>
      </c>
      <c r="L84" s="155" t="str">
        <f>IF(AND('Summary Sheet'!$E$23="No",$H$33&gt;0,H84&gt;=1),"",IF(AND('Summary Sheet'!$E$23="Yes",H84&lt;&gt;""),H84*'Summary Sheet'!$G$23,""))</f>
        <v/>
      </c>
      <c r="M84" s="154"/>
      <c r="N84" s="155">
        <f>SUM('Pay App 1:Pay App 60'!L84)+SUM('Pay App 1:Pay App 60'!M84)</f>
        <v>0</v>
      </c>
    </row>
    <row r="85" spans="1:14" ht="11.25" customHeight="1" x14ac:dyDescent="0.25">
      <c r="A85" s="152">
        <v>29</v>
      </c>
      <c r="B85" s="174" t="str">
        <f>'Pay App 1'!B85</f>
        <v>07 20 00</v>
      </c>
      <c r="C85" s="179" t="str">
        <f>'Pay App 1'!C85</f>
        <v>Insulation</v>
      </c>
      <c r="D85" s="155">
        <f>'Pay App 1'!D85</f>
        <v>0</v>
      </c>
      <c r="E85" s="155">
        <f>VLOOKUP(B85,'Graph Data'!$O$2:$BX$88,62,FALSE)</f>
        <v>0</v>
      </c>
      <c r="F85" s="155">
        <f>IFERROR(E85+'Pay App 59'!F85,"")</f>
        <v>0</v>
      </c>
      <c r="G85" s="155">
        <f>SUM('Pay App 1:Pay App 59'!H85)</f>
        <v>0</v>
      </c>
      <c r="H85" s="154"/>
      <c r="I85" s="155">
        <f t="shared" si="0"/>
        <v>0</v>
      </c>
      <c r="J85" s="156">
        <f t="shared" si="1"/>
        <v>0</v>
      </c>
      <c r="K85" s="155">
        <f t="shared" si="2"/>
        <v>0</v>
      </c>
      <c r="L85" s="155" t="str">
        <f>IF(AND('Summary Sheet'!$E$23="No",$H$33&gt;0,H85&gt;=1),"",IF(AND('Summary Sheet'!$E$23="Yes",H85&lt;&gt;""),H85*'Summary Sheet'!$G$23,""))</f>
        <v/>
      </c>
      <c r="M85" s="154"/>
      <c r="N85" s="155">
        <f>SUM('Pay App 1:Pay App 60'!L85)+SUM('Pay App 1:Pay App 60'!M85)</f>
        <v>0</v>
      </c>
    </row>
    <row r="86" spans="1:14" ht="11.25" customHeight="1" x14ac:dyDescent="0.25">
      <c r="A86" s="152">
        <v>30</v>
      </c>
      <c r="B86" s="174" t="str">
        <f>'Pay App 1'!B86</f>
        <v>07 24 00</v>
      </c>
      <c r="C86" s="179" t="str">
        <f>'Pay App 1'!C86</f>
        <v>EIFS</v>
      </c>
      <c r="D86" s="155">
        <f>'Pay App 1'!D86</f>
        <v>0</v>
      </c>
      <c r="E86" s="155">
        <f>VLOOKUP(B86,'Graph Data'!$O$2:$BX$88,62,FALSE)</f>
        <v>0</v>
      </c>
      <c r="F86" s="155">
        <f>IFERROR(E86+'Pay App 59'!F86,"")</f>
        <v>0</v>
      </c>
      <c r="G86" s="155">
        <f>SUM('Pay App 1:Pay App 59'!H86)</f>
        <v>0</v>
      </c>
      <c r="H86" s="154"/>
      <c r="I86" s="155">
        <f t="shared" si="0"/>
        <v>0</v>
      </c>
      <c r="J86" s="156">
        <f t="shared" si="1"/>
        <v>0</v>
      </c>
      <c r="K86" s="155">
        <f t="shared" si="2"/>
        <v>0</v>
      </c>
      <c r="L86" s="155" t="str">
        <f>IF(AND('Summary Sheet'!$E$23="No",$H$33&gt;0,H86&gt;=1),"",IF(AND('Summary Sheet'!$E$23="Yes",H86&lt;&gt;""),H86*'Summary Sheet'!$G$23,""))</f>
        <v/>
      </c>
      <c r="M86" s="154"/>
      <c r="N86" s="155">
        <f>SUM('Pay App 1:Pay App 60'!L86)+SUM('Pay App 1:Pay App 60'!M86)</f>
        <v>0</v>
      </c>
    </row>
    <row r="87" spans="1:14" ht="11.25" customHeight="1" x14ac:dyDescent="0.25">
      <c r="A87" s="152">
        <v>31</v>
      </c>
      <c r="B87" s="174" t="str">
        <f>'Pay App 1'!B87</f>
        <v>07 26 00</v>
      </c>
      <c r="C87" s="179" t="str">
        <f>'Pay App 1'!C87</f>
        <v>Vapor Retarders</v>
      </c>
      <c r="D87" s="155">
        <f>'Pay App 1'!D87</f>
        <v>0</v>
      </c>
      <c r="E87" s="155">
        <f>VLOOKUP(B87,'Graph Data'!$O$2:$BX$88,62,FALSE)</f>
        <v>0</v>
      </c>
      <c r="F87" s="155">
        <f>IFERROR(E87+'Pay App 59'!F87,"")</f>
        <v>0</v>
      </c>
      <c r="G87" s="155">
        <f>SUM('Pay App 1:Pay App 59'!H87)</f>
        <v>0</v>
      </c>
      <c r="H87" s="154"/>
      <c r="I87" s="155">
        <f t="shared" si="0"/>
        <v>0</v>
      </c>
      <c r="J87" s="156">
        <f t="shared" si="1"/>
        <v>0</v>
      </c>
      <c r="K87" s="155">
        <f t="shared" si="2"/>
        <v>0</v>
      </c>
      <c r="L87" s="155" t="str">
        <f>IF(AND('Summary Sheet'!$E$23="No",$H$33&gt;0,H87&gt;=1),"",IF(AND('Summary Sheet'!$E$23="Yes",H87&lt;&gt;""),H87*'Summary Sheet'!$G$23,""))</f>
        <v/>
      </c>
      <c r="M87" s="154"/>
      <c r="N87" s="155">
        <f>SUM('Pay App 1:Pay App 60'!L87)+SUM('Pay App 1:Pay App 60'!M87)</f>
        <v>0</v>
      </c>
    </row>
    <row r="88" spans="1:14" ht="11.25" customHeight="1" x14ac:dyDescent="0.25">
      <c r="A88" s="152">
        <v>32</v>
      </c>
      <c r="B88" s="174" t="str">
        <f>'Pay App 1'!B88</f>
        <v>07 41 00</v>
      </c>
      <c r="C88" s="179" t="str">
        <f>'Pay App 1'!C88</f>
        <v>Roofing</v>
      </c>
      <c r="D88" s="155">
        <f>'Pay App 1'!D88</f>
        <v>0</v>
      </c>
      <c r="E88" s="155">
        <f>VLOOKUP(B88,'Graph Data'!$O$2:$BX$88,62,FALSE)</f>
        <v>0</v>
      </c>
      <c r="F88" s="155">
        <f>IFERROR(E88+'Pay App 59'!F88,"")</f>
        <v>0</v>
      </c>
      <c r="G88" s="155">
        <f>SUM('Pay App 1:Pay App 59'!H88)</f>
        <v>0</v>
      </c>
      <c r="H88" s="154"/>
      <c r="I88" s="155">
        <f t="shared" si="0"/>
        <v>0</v>
      </c>
      <c r="J88" s="156">
        <f t="shared" si="1"/>
        <v>0</v>
      </c>
      <c r="K88" s="155">
        <f t="shared" si="2"/>
        <v>0</v>
      </c>
      <c r="L88" s="155" t="str">
        <f>IF(AND('Summary Sheet'!$E$23="No",$H$33&gt;0,H88&gt;=1),"",IF(AND('Summary Sheet'!$E$23="Yes",H88&lt;&gt;""),H88*'Summary Sheet'!$G$23,""))</f>
        <v/>
      </c>
      <c r="M88" s="154"/>
      <c r="N88" s="155">
        <f>SUM('Pay App 1:Pay App 60'!L88)+SUM('Pay App 1:Pay App 60'!M88)</f>
        <v>0</v>
      </c>
    </row>
    <row r="89" spans="1:14" ht="11.25" customHeight="1" x14ac:dyDescent="0.25">
      <c r="A89" s="152">
        <v>33</v>
      </c>
      <c r="B89" s="174" t="str">
        <f>'Pay App 1'!B89</f>
        <v>07 42 00</v>
      </c>
      <c r="C89" s="179" t="str">
        <f>'Pay App 1'!C89</f>
        <v>Metal Panels</v>
      </c>
      <c r="D89" s="155">
        <f>'Pay App 1'!D89</f>
        <v>0</v>
      </c>
      <c r="E89" s="155">
        <f>VLOOKUP(B89,'Graph Data'!$O$2:$BX$88,62,FALSE)</f>
        <v>0</v>
      </c>
      <c r="F89" s="155">
        <f>IFERROR(E89+'Pay App 59'!F89,"")</f>
        <v>0</v>
      </c>
      <c r="G89" s="155">
        <f>SUM('Pay App 1:Pay App 59'!H89)</f>
        <v>0</v>
      </c>
      <c r="H89" s="154"/>
      <c r="I89" s="155">
        <f t="shared" si="0"/>
        <v>0</v>
      </c>
      <c r="J89" s="156">
        <f t="shared" si="1"/>
        <v>0</v>
      </c>
      <c r="K89" s="155">
        <f t="shared" si="2"/>
        <v>0</v>
      </c>
      <c r="L89" s="155" t="str">
        <f>IF(AND('Summary Sheet'!$E$23="No",$H$33&gt;0,H89&gt;=1),"",IF(AND('Summary Sheet'!$E$23="Yes",H89&lt;&gt;""),H89*'Summary Sheet'!$G$23,""))</f>
        <v/>
      </c>
      <c r="M89" s="154"/>
      <c r="N89" s="155">
        <f>SUM('Pay App 1:Pay App 60'!L89)+SUM('Pay App 1:Pay App 60'!M89)</f>
        <v>0</v>
      </c>
    </row>
    <row r="90" spans="1:14" ht="11.25" customHeight="1" x14ac:dyDescent="0.25">
      <c r="A90" s="152">
        <v>34</v>
      </c>
      <c r="B90" s="174" t="str">
        <f>'Pay App 1'!B90</f>
        <v>07 60 00</v>
      </c>
      <c r="C90" s="179" t="str">
        <f>'Pay App 1'!C90</f>
        <v>Sheet Metal Flashing &amp; Trim</v>
      </c>
      <c r="D90" s="155">
        <f>'Pay App 1'!D90</f>
        <v>0</v>
      </c>
      <c r="E90" s="155">
        <f>VLOOKUP(B90,'Graph Data'!$O$2:$BX$88,62,FALSE)</f>
        <v>0</v>
      </c>
      <c r="F90" s="155">
        <f>IFERROR(E90+'Pay App 59'!F90,"")</f>
        <v>0</v>
      </c>
      <c r="G90" s="155">
        <f>SUM('Pay App 1:Pay App 59'!H90)</f>
        <v>0</v>
      </c>
      <c r="H90" s="154"/>
      <c r="I90" s="155">
        <f t="shared" si="0"/>
        <v>0</v>
      </c>
      <c r="J90" s="156">
        <f t="shared" si="1"/>
        <v>0</v>
      </c>
      <c r="K90" s="155">
        <f t="shared" si="2"/>
        <v>0</v>
      </c>
      <c r="L90" s="155" t="str">
        <f>IF(AND('Summary Sheet'!$E$23="No",$H$33&gt;0,H90&gt;=1),"",IF(AND('Summary Sheet'!$E$23="Yes",H90&lt;&gt;""),H90*'Summary Sheet'!$G$23,""))</f>
        <v/>
      </c>
      <c r="M90" s="154"/>
      <c r="N90" s="155">
        <f>SUM('Pay App 1:Pay App 60'!L90)+SUM('Pay App 1:Pay App 60'!M90)</f>
        <v>0</v>
      </c>
    </row>
    <row r="91" spans="1:14" ht="11.25" customHeight="1" x14ac:dyDescent="0.25">
      <c r="A91" s="152">
        <v>35</v>
      </c>
      <c r="B91" s="174" t="str">
        <f>'Pay App 1'!B91</f>
        <v>07 80 00</v>
      </c>
      <c r="C91" s="179" t="str">
        <f>'Pay App 1'!C91</f>
        <v>Fireproofing</v>
      </c>
      <c r="D91" s="155">
        <f>'Pay App 1'!D91</f>
        <v>0</v>
      </c>
      <c r="E91" s="155">
        <f>VLOOKUP(B91,'Graph Data'!$O$2:$BX$88,62,FALSE)</f>
        <v>0</v>
      </c>
      <c r="F91" s="155">
        <f>IFERROR(E91+'Pay App 59'!F91,"")</f>
        <v>0</v>
      </c>
      <c r="G91" s="155">
        <f>SUM('Pay App 1:Pay App 59'!H91)</f>
        <v>0</v>
      </c>
      <c r="H91" s="154"/>
      <c r="I91" s="155">
        <f t="shared" si="0"/>
        <v>0</v>
      </c>
      <c r="J91" s="156">
        <f t="shared" si="1"/>
        <v>0</v>
      </c>
      <c r="K91" s="155">
        <f t="shared" si="2"/>
        <v>0</v>
      </c>
      <c r="L91" s="155" t="str">
        <f>IF(AND('Summary Sheet'!$E$23="No",$H$33&gt;0,H91&gt;=1),"",IF(AND('Summary Sheet'!$E$23="Yes",H91&lt;&gt;""),H91*'Summary Sheet'!$G$23,""))</f>
        <v/>
      </c>
      <c r="M91" s="154"/>
      <c r="N91" s="155">
        <f>SUM('Pay App 1:Pay App 60'!L91)+SUM('Pay App 1:Pay App 60'!M91)</f>
        <v>0</v>
      </c>
    </row>
    <row r="92" spans="1:14" ht="11.25" customHeight="1" x14ac:dyDescent="0.25">
      <c r="A92" s="152">
        <v>36</v>
      </c>
      <c r="B92" s="174" t="str">
        <f>'Pay App 1'!B92</f>
        <v>07 90 00</v>
      </c>
      <c r="C92" s="179" t="str">
        <f>'Pay App 1'!C92</f>
        <v>Joint Sealants</v>
      </c>
      <c r="D92" s="155">
        <f>'Pay App 1'!D92</f>
        <v>0</v>
      </c>
      <c r="E92" s="155">
        <f>VLOOKUP(B92,'Graph Data'!$O$2:$BX$88,62,FALSE)</f>
        <v>0</v>
      </c>
      <c r="F92" s="155">
        <f>IFERROR(E92+'Pay App 59'!F92,"")</f>
        <v>0</v>
      </c>
      <c r="G92" s="155">
        <f>SUM('Pay App 1:Pay App 59'!H92)</f>
        <v>0</v>
      </c>
      <c r="H92" s="154"/>
      <c r="I92" s="155">
        <f t="shared" si="0"/>
        <v>0</v>
      </c>
      <c r="J92" s="156">
        <f t="shared" si="1"/>
        <v>0</v>
      </c>
      <c r="K92" s="155">
        <f t="shared" si="2"/>
        <v>0</v>
      </c>
      <c r="L92" s="155" t="str">
        <f>IF(AND('Summary Sheet'!$E$23="No",$H$33&gt;0,H92&gt;=1),"",IF(AND('Summary Sheet'!$E$23="Yes",H92&lt;&gt;""),H92*'Summary Sheet'!$G$23,""))</f>
        <v/>
      </c>
      <c r="M92" s="154"/>
      <c r="N92" s="155">
        <f>SUM('Pay App 1:Pay App 60'!L92)+SUM('Pay App 1:Pay App 60'!M92)</f>
        <v>0</v>
      </c>
    </row>
    <row r="93" spans="1:14" ht="11.25" customHeight="1" x14ac:dyDescent="0.25">
      <c r="A93" s="152">
        <v>37</v>
      </c>
      <c r="B93" s="174" t="str">
        <f>'Pay App 1'!B93</f>
        <v>07 95 00</v>
      </c>
      <c r="C93" s="179" t="str">
        <f>'Pay App 1'!C93</f>
        <v>Expansion Joints</v>
      </c>
      <c r="D93" s="155">
        <f>'Pay App 1'!D93</f>
        <v>0</v>
      </c>
      <c r="E93" s="155">
        <f>VLOOKUP(B93,'Graph Data'!$O$2:$BX$88,62,FALSE)</f>
        <v>0</v>
      </c>
      <c r="F93" s="155">
        <f>IFERROR(E93+'Pay App 59'!F93,"")</f>
        <v>0</v>
      </c>
      <c r="G93" s="155">
        <f>SUM('Pay App 1:Pay App 59'!H93)</f>
        <v>0</v>
      </c>
      <c r="H93" s="154"/>
      <c r="I93" s="155">
        <f t="shared" si="0"/>
        <v>0</v>
      </c>
      <c r="J93" s="156">
        <f t="shared" si="1"/>
        <v>0</v>
      </c>
      <c r="K93" s="155">
        <f t="shared" si="2"/>
        <v>0</v>
      </c>
      <c r="L93" s="155" t="str">
        <f>IF(AND('Summary Sheet'!$E$23="No",$H$33&gt;0,H93&gt;=1),"",IF(AND('Summary Sheet'!$E$23="Yes",H93&lt;&gt;""),H93*'Summary Sheet'!$G$23,""))</f>
        <v/>
      </c>
      <c r="M93" s="154"/>
      <c r="N93" s="155">
        <f>SUM('Pay App 1:Pay App 60'!L93)+SUM('Pay App 1:Pay App 60'!M93)</f>
        <v>0</v>
      </c>
    </row>
    <row r="94" spans="1:14" ht="11.25" customHeight="1" x14ac:dyDescent="0.25">
      <c r="A94" s="152">
        <v>38</v>
      </c>
      <c r="B94" s="175" t="str">
        <f>'Pay App 1'!B94</f>
        <v>08 10 00</v>
      </c>
      <c r="C94" s="180" t="str">
        <f>'Pay App 1'!C94</f>
        <v>Doors, Frames &amp; Hardware</v>
      </c>
      <c r="D94" s="155">
        <f>'Pay App 1'!D94</f>
        <v>0</v>
      </c>
      <c r="E94" s="155">
        <f>VLOOKUP(B94,'Graph Data'!$O$2:$BX$88,62,FALSE)</f>
        <v>0</v>
      </c>
      <c r="F94" s="155">
        <f>IFERROR(E94+'Pay App 59'!F94,"")</f>
        <v>0</v>
      </c>
      <c r="G94" s="155">
        <f>SUM('Pay App 1:Pay App 59'!H94)</f>
        <v>0</v>
      </c>
      <c r="H94" s="154"/>
      <c r="I94" s="155">
        <f t="shared" si="0"/>
        <v>0</v>
      </c>
      <c r="J94" s="156">
        <f t="shared" si="1"/>
        <v>0</v>
      </c>
      <c r="K94" s="155">
        <f t="shared" si="2"/>
        <v>0</v>
      </c>
      <c r="L94" s="155" t="str">
        <f>IF(AND('Summary Sheet'!$E$23="No",$H$33&gt;0,H94&gt;=1),"",IF(AND('Summary Sheet'!$E$23="Yes",H94&lt;&gt;""),H94*'Summary Sheet'!$G$23,""))</f>
        <v/>
      </c>
      <c r="M94" s="154"/>
      <c r="N94" s="155">
        <f>SUM('Pay App 1:Pay App 60'!L94)+SUM('Pay App 1:Pay App 60'!M94)</f>
        <v>0</v>
      </c>
    </row>
    <row r="95" spans="1:14" ht="11.25" customHeight="1" x14ac:dyDescent="0.25">
      <c r="A95" s="152">
        <v>39</v>
      </c>
      <c r="B95" s="175" t="str">
        <f>'Pay App 1'!B95</f>
        <v>08 30 00</v>
      </c>
      <c r="C95" s="180" t="str">
        <f>'Pay App 1'!C95</f>
        <v>Specialty Doors</v>
      </c>
      <c r="D95" s="155">
        <f>'Pay App 1'!D95</f>
        <v>0</v>
      </c>
      <c r="E95" s="155">
        <f>VLOOKUP(B95,'Graph Data'!$O$2:$BX$88,62,FALSE)</f>
        <v>0</v>
      </c>
      <c r="F95" s="155">
        <f>IFERROR(E95+'Pay App 59'!F95,"")</f>
        <v>0</v>
      </c>
      <c r="G95" s="155">
        <f>SUM('Pay App 1:Pay App 59'!H95)</f>
        <v>0</v>
      </c>
      <c r="H95" s="154"/>
      <c r="I95" s="155">
        <f t="shared" si="0"/>
        <v>0</v>
      </c>
      <c r="J95" s="156">
        <f t="shared" si="1"/>
        <v>0</v>
      </c>
      <c r="K95" s="155">
        <f t="shared" si="2"/>
        <v>0</v>
      </c>
      <c r="L95" s="155" t="str">
        <f>IF(AND('Summary Sheet'!$E$23="No",$H$33&gt;0,H95&gt;=1),"",IF(AND('Summary Sheet'!$E$23="Yes",H95&lt;&gt;""),H95*'Summary Sheet'!$G$23,""))</f>
        <v/>
      </c>
      <c r="M95" s="154"/>
      <c r="N95" s="155">
        <f>SUM('Pay App 1:Pay App 60'!L95)+SUM('Pay App 1:Pay App 60'!M95)</f>
        <v>0</v>
      </c>
    </row>
    <row r="96" spans="1:14" ht="11.25" customHeight="1" x14ac:dyDescent="0.25">
      <c r="A96" s="152">
        <v>40</v>
      </c>
      <c r="B96" s="175" t="str">
        <f>'Pay App 1'!B96</f>
        <v>08 33 00</v>
      </c>
      <c r="C96" s="180" t="str">
        <f>'Pay App 1'!C96</f>
        <v>Overhead Doors/Coiling Doors</v>
      </c>
      <c r="D96" s="155">
        <f>'Pay App 1'!D96</f>
        <v>0</v>
      </c>
      <c r="E96" s="155">
        <f>VLOOKUP(B96,'Graph Data'!$O$2:$BX$88,62,FALSE)</f>
        <v>0</v>
      </c>
      <c r="F96" s="155">
        <f>IFERROR(E96+'Pay App 59'!F96,"")</f>
        <v>0</v>
      </c>
      <c r="G96" s="155">
        <f>SUM('Pay App 1:Pay App 59'!H96)</f>
        <v>0</v>
      </c>
      <c r="H96" s="154"/>
      <c r="I96" s="155">
        <f t="shared" si="0"/>
        <v>0</v>
      </c>
      <c r="J96" s="156">
        <f t="shared" si="1"/>
        <v>0</v>
      </c>
      <c r="K96" s="155">
        <f t="shared" si="2"/>
        <v>0</v>
      </c>
      <c r="L96" s="155" t="str">
        <f>IF(AND('Summary Sheet'!$E$23="No",$H$33&gt;0,H96&gt;=1),"",IF(AND('Summary Sheet'!$E$23="Yes",H96&lt;&gt;""),H96*'Summary Sheet'!$G$23,""))</f>
        <v/>
      </c>
      <c r="M96" s="154"/>
      <c r="N96" s="155">
        <f>SUM('Pay App 1:Pay App 60'!L96)+SUM('Pay App 1:Pay App 60'!M96)</f>
        <v>0</v>
      </c>
    </row>
    <row r="97" spans="1:15" ht="11.25" customHeight="1" x14ac:dyDescent="0.25">
      <c r="A97" s="152">
        <v>41</v>
      </c>
      <c r="B97" s="175" t="str">
        <f>'Pay App 1'!B97</f>
        <v>08 40 00</v>
      </c>
      <c r="C97" s="180" t="str">
        <f>'Pay App 1'!C97</f>
        <v>Curtain Wall, Glass &amp; Glazing</v>
      </c>
      <c r="D97" s="155">
        <f>'Pay App 1'!D97</f>
        <v>0</v>
      </c>
      <c r="E97" s="155">
        <f>VLOOKUP(B97,'Graph Data'!$O$2:$BX$88,62,FALSE)</f>
        <v>0</v>
      </c>
      <c r="F97" s="155">
        <f>IFERROR(E97+'Pay App 59'!F97,"")</f>
        <v>0</v>
      </c>
      <c r="G97" s="155">
        <f>SUM('Pay App 1:Pay App 59'!H97)</f>
        <v>0</v>
      </c>
      <c r="H97" s="154"/>
      <c r="I97" s="155">
        <f t="shared" si="0"/>
        <v>0</v>
      </c>
      <c r="J97" s="156">
        <f t="shared" si="1"/>
        <v>0</v>
      </c>
      <c r="K97" s="155">
        <f t="shared" si="2"/>
        <v>0</v>
      </c>
      <c r="L97" s="155" t="str">
        <f>IF(AND('Summary Sheet'!$E$23="No",$H$33&gt;0,H97&gt;=1),"",IF(AND('Summary Sheet'!$E$23="Yes",H97&lt;&gt;""),H97*'Summary Sheet'!$G$23,""))</f>
        <v/>
      </c>
      <c r="M97" s="154"/>
      <c r="N97" s="155">
        <f>SUM('Pay App 1:Pay App 60'!L97)+SUM('Pay App 1:Pay App 60'!M97)</f>
        <v>0</v>
      </c>
    </row>
    <row r="98" spans="1:15" ht="10.9" customHeight="1" x14ac:dyDescent="0.25">
      <c r="A98" s="152">
        <v>42</v>
      </c>
      <c r="B98" s="175" t="str">
        <f>'Pay App 1'!B98</f>
        <v>08 60 00</v>
      </c>
      <c r="C98" s="180" t="str">
        <f>'Pay App 1'!C98</f>
        <v>Skylights</v>
      </c>
      <c r="D98" s="155">
        <f>'Pay App 1'!D98</f>
        <v>0</v>
      </c>
      <c r="E98" s="155">
        <f>VLOOKUP(B98,'Graph Data'!$O$2:$BX$88,62,FALSE)</f>
        <v>0</v>
      </c>
      <c r="F98" s="155">
        <f>IFERROR(E98+'Pay App 59'!F98,"")</f>
        <v>0</v>
      </c>
      <c r="G98" s="155">
        <f>SUM('Pay App 1:Pay App 59'!H98)</f>
        <v>0</v>
      </c>
      <c r="H98" s="154"/>
      <c r="I98" s="155">
        <f t="shared" si="0"/>
        <v>0</v>
      </c>
      <c r="J98" s="156">
        <f t="shared" si="1"/>
        <v>0</v>
      </c>
      <c r="K98" s="155">
        <f t="shared" si="2"/>
        <v>0</v>
      </c>
      <c r="L98" s="155" t="str">
        <f>IF(AND('Summary Sheet'!$E$23="No",$H$33&gt;0,H98&gt;=1),"",IF(AND('Summary Sheet'!$E$23="Yes",H98&lt;&gt;""),H98*'Summary Sheet'!$G$23,""))</f>
        <v/>
      </c>
      <c r="M98" s="154"/>
      <c r="N98" s="155">
        <f>SUM('Pay App 1:Pay App 60'!L98)+SUM('Pay App 1:Pay App 60'!M98)</f>
        <v>0</v>
      </c>
    </row>
    <row r="99" spans="1:15" ht="10.9" customHeight="1" x14ac:dyDescent="0.25">
      <c r="A99" s="152">
        <v>43</v>
      </c>
      <c r="B99" s="175" t="str">
        <f>'Pay App 1'!B99</f>
        <v>08 90 00</v>
      </c>
      <c r="C99" s="180" t="str">
        <f>'Pay App 1'!C99</f>
        <v>Louvers &amp; Vents</v>
      </c>
      <c r="D99" s="155">
        <f>'Pay App 1'!D99</f>
        <v>0</v>
      </c>
      <c r="E99" s="155">
        <f>VLOOKUP(B99,'Graph Data'!$O$2:$BX$88,62,FALSE)</f>
        <v>0</v>
      </c>
      <c r="F99" s="155">
        <f>IFERROR(E99+'Pay App 59'!F99,"")</f>
        <v>0</v>
      </c>
      <c r="G99" s="155">
        <f>SUM('Pay App 1:Pay App 59'!H99)</f>
        <v>0</v>
      </c>
      <c r="H99" s="154"/>
      <c r="I99" s="155">
        <f t="shared" si="0"/>
        <v>0</v>
      </c>
      <c r="J99" s="156">
        <f t="shared" si="1"/>
        <v>0</v>
      </c>
      <c r="K99" s="155">
        <f t="shared" si="2"/>
        <v>0</v>
      </c>
      <c r="L99" s="155" t="str">
        <f>IF(AND('Summary Sheet'!$E$23="No",$H$33&gt;0,H99&gt;=1),"",IF(AND('Summary Sheet'!$E$23="Yes",H99&lt;&gt;""),H99*'Summary Sheet'!$G$23,""))</f>
        <v/>
      </c>
      <c r="M99" s="154"/>
      <c r="N99" s="155">
        <f>SUM('Pay App 1:Pay App 60'!L99)+SUM('Pay App 1:Pay App 60'!M99)</f>
        <v>0</v>
      </c>
    </row>
    <row r="100" spans="1:15" ht="11.25" customHeight="1" x14ac:dyDescent="0.25">
      <c r="A100" s="153">
        <v>44</v>
      </c>
      <c r="B100" s="176" t="str">
        <f>'Pay App 1'!B100</f>
        <v>09 20 00</v>
      </c>
      <c r="C100" s="181" t="str">
        <f>'Pay App 1'!C100</f>
        <v>Gypsum Board Systems</v>
      </c>
      <c r="D100" s="155">
        <f>'Pay App 1'!D100</f>
        <v>0</v>
      </c>
      <c r="E100" s="155">
        <f>VLOOKUP(B100,'Graph Data'!$O$2:$BX$88,62,FALSE)</f>
        <v>0</v>
      </c>
      <c r="F100" s="155">
        <f>IFERROR(E100+'Pay App 59'!F100,"")</f>
        <v>0</v>
      </c>
      <c r="G100" s="155">
        <f>SUM('Pay App 1:Pay App 59'!H100)</f>
        <v>0</v>
      </c>
      <c r="H100" s="154"/>
      <c r="I100" s="155">
        <f>G100+H100</f>
        <v>0</v>
      </c>
      <c r="J100" s="156">
        <f>IFERROR(I100/F100,0)</f>
        <v>0</v>
      </c>
      <c r="K100" s="155">
        <f>IFERROR(F100-I100,"")</f>
        <v>0</v>
      </c>
      <c r="L100" s="155" t="str">
        <f>IF(AND('Summary Sheet'!$E$23="No",$H$33&gt;0,H100&gt;=1),"",IF(AND('Summary Sheet'!$E$23="Yes",H100&lt;&gt;""),H100*'Summary Sheet'!$G$23,""))</f>
        <v/>
      </c>
      <c r="M100" s="154"/>
      <c r="N100" s="155">
        <f>SUM('Pay App 1:Pay App 60'!L100)+SUM('Pay App 1:Pay App 60'!M100)</f>
        <v>0</v>
      </c>
    </row>
    <row r="101" spans="1:15" ht="11.45" customHeight="1" x14ac:dyDescent="0.25">
      <c r="B101" s="20"/>
      <c r="C101" s="3" t="s">
        <v>4</v>
      </c>
      <c r="D101" s="407" t="str">
        <f>D12</f>
        <v>Contractor Name</v>
      </c>
      <c r="E101" s="407"/>
      <c r="F101" s="407"/>
      <c r="G101" s="399" t="s">
        <v>933</v>
      </c>
      <c r="H101" s="399"/>
      <c r="I101" s="3" t="s">
        <v>9</v>
      </c>
      <c r="J101" s="407">
        <f>'Summary Sheet'!$D$16</f>
        <v>0</v>
      </c>
      <c r="K101" s="407"/>
      <c r="L101" s="407"/>
      <c r="M101" s="22"/>
      <c r="N101" s="59" t="s">
        <v>181</v>
      </c>
    </row>
    <row r="102" spans="1:15" ht="11.45" customHeight="1" x14ac:dyDescent="0.25">
      <c r="A102" s="10"/>
      <c r="B102" s="20"/>
      <c r="D102" s="407" t="str">
        <f>D13</f>
        <v>Contractor Address</v>
      </c>
      <c r="E102" s="407"/>
      <c r="F102" s="407"/>
      <c r="G102" s="3" t="s">
        <v>3</v>
      </c>
      <c r="H102" s="5">
        <f>$D$16</f>
        <v>0</v>
      </c>
      <c r="I102" s="3" t="s">
        <v>7</v>
      </c>
      <c r="J102" s="407">
        <f>'Summary Sheet'!$D$15</f>
        <v>0</v>
      </c>
      <c r="K102" s="407"/>
      <c r="L102" s="407"/>
      <c r="M102" s="22"/>
      <c r="N102" s="60">
        <v>60.2</v>
      </c>
    </row>
    <row r="103" spans="1:15" ht="11.45" customHeight="1" x14ac:dyDescent="0.25">
      <c r="A103" s="10"/>
      <c r="B103" s="20"/>
      <c r="D103" s="407" t="str">
        <f>D14</f>
        <v>City, State ZIP Code</v>
      </c>
      <c r="E103" s="407"/>
      <c r="F103" s="407"/>
      <c r="G103" s="3" t="s">
        <v>6</v>
      </c>
      <c r="H103" s="5">
        <f>$D$17</f>
        <v>0</v>
      </c>
      <c r="I103" s="3" t="s">
        <v>8</v>
      </c>
      <c r="J103" s="407">
        <f>'Summary Sheet'!$D$17</f>
        <v>0</v>
      </c>
      <c r="K103" s="407"/>
      <c r="L103" s="407"/>
      <c r="N103" s="61" t="str">
        <f>'Summary Sheet'!R1</f>
        <v>Revised September 2026</v>
      </c>
    </row>
    <row r="104" spans="1:15" ht="11.45" customHeight="1" x14ac:dyDescent="0.25">
      <c r="A104" s="130" t="s">
        <v>33</v>
      </c>
      <c r="B104" s="131" t="s">
        <v>34</v>
      </c>
      <c r="C104" s="131" t="s">
        <v>35</v>
      </c>
      <c r="D104" s="131" t="s">
        <v>36</v>
      </c>
      <c r="E104" s="131" t="s">
        <v>37</v>
      </c>
      <c r="F104" s="131" t="s">
        <v>38</v>
      </c>
      <c r="G104" s="131" t="s">
        <v>39</v>
      </c>
      <c r="H104" s="131" t="s">
        <v>105</v>
      </c>
      <c r="I104" s="131" t="s">
        <v>40</v>
      </c>
      <c r="J104" s="131" t="s">
        <v>41</v>
      </c>
      <c r="K104" s="131" t="s">
        <v>42</v>
      </c>
      <c r="L104" s="131" t="s">
        <v>43</v>
      </c>
      <c r="M104" s="131" t="s">
        <v>44</v>
      </c>
      <c r="N104" s="132" t="s">
        <v>154</v>
      </c>
    </row>
    <row r="105" spans="1:15" s="23" customFormat="1" ht="26.25" customHeight="1" x14ac:dyDescent="0.25">
      <c r="A105" s="172" t="s">
        <v>106</v>
      </c>
      <c r="B105" s="133" t="s">
        <v>164</v>
      </c>
      <c r="C105" s="133" t="s">
        <v>113</v>
      </c>
      <c r="D105" s="133" t="s">
        <v>112</v>
      </c>
      <c r="E105" s="133" t="s">
        <v>892</v>
      </c>
      <c r="F105" s="133" t="s">
        <v>111</v>
      </c>
      <c r="G105" s="133" t="s">
        <v>110</v>
      </c>
      <c r="H105" s="133" t="s">
        <v>896</v>
      </c>
      <c r="I105" s="133" t="s">
        <v>178</v>
      </c>
      <c r="J105" s="133" t="s">
        <v>109</v>
      </c>
      <c r="K105" s="133" t="s">
        <v>114</v>
      </c>
      <c r="L105" s="133" t="s">
        <v>115</v>
      </c>
      <c r="M105" s="133" t="s">
        <v>894</v>
      </c>
      <c r="N105" s="133" t="s">
        <v>116</v>
      </c>
      <c r="O105" s="2"/>
    </row>
    <row r="106" spans="1:15" ht="11.25" customHeight="1" x14ac:dyDescent="0.25">
      <c r="A106" s="173">
        <f>A100+1</f>
        <v>45</v>
      </c>
      <c r="B106" s="148" t="str">
        <f>'Pay App 1'!B106</f>
        <v>09 30 00</v>
      </c>
      <c r="C106" s="143" t="str">
        <f>'Pay App 1'!C106</f>
        <v>Ceramic Tile</v>
      </c>
      <c r="D106" s="155">
        <f>'Pay App 1'!D106</f>
        <v>0</v>
      </c>
      <c r="E106" s="155">
        <f>VLOOKUP(B106,'Graph Data'!$O$2:$BX$88,62,FALSE)</f>
        <v>0</v>
      </c>
      <c r="F106" s="155">
        <f>IFERROR(E106+'Pay App 59'!F106,"")</f>
        <v>0</v>
      </c>
      <c r="G106" s="155">
        <f>SUM('Pay App 1:Pay App 59'!H106)</f>
        <v>0</v>
      </c>
      <c r="H106" s="154"/>
      <c r="I106" s="155">
        <f>G106+H106</f>
        <v>0</v>
      </c>
      <c r="J106" s="156">
        <f>IFERROR(I106/F106,0)</f>
        <v>0</v>
      </c>
      <c r="K106" s="155">
        <f>IFERROR(F106-I106,"")</f>
        <v>0</v>
      </c>
      <c r="L106" s="155" t="str">
        <f>IF(AND('Summary Sheet'!$E$23="No",$H$33&gt;0,H106&gt;=1),"",IF(AND('Summary Sheet'!$E$23="Yes",H106&lt;&gt;""),H106*'Summary Sheet'!$G$23,""))</f>
        <v/>
      </c>
      <c r="M106" s="154"/>
      <c r="N106" s="155">
        <f>SUM('Pay App 1:Pay App 60'!L106)+SUM('Pay App 1:Pay App 60'!M106)</f>
        <v>0</v>
      </c>
    </row>
    <row r="107" spans="1:15" ht="11.25" customHeight="1" x14ac:dyDescent="0.25">
      <c r="A107" s="152">
        <f t="shared" ref="A107:A148" si="3">A106+1</f>
        <v>46</v>
      </c>
      <c r="B107" s="148" t="str">
        <f>'Pay App 1'!B107</f>
        <v>09 51 00</v>
      </c>
      <c r="C107" s="143" t="str">
        <f>'Pay App 1'!C107</f>
        <v>Acoustical Ceilings</v>
      </c>
      <c r="D107" s="155">
        <f>'Pay App 1'!D107</f>
        <v>0</v>
      </c>
      <c r="E107" s="155">
        <f>VLOOKUP(B107,'Graph Data'!$O$2:$BX$88,62,FALSE)</f>
        <v>0</v>
      </c>
      <c r="F107" s="155">
        <f>IFERROR(E107+'Pay App 59'!F107,"")</f>
        <v>0</v>
      </c>
      <c r="G107" s="155">
        <f>SUM('Pay App 1:Pay App 59'!H107)</f>
        <v>0</v>
      </c>
      <c r="H107" s="154"/>
      <c r="I107" s="155">
        <f t="shared" ref="I107:I148" si="4">G107+H107</f>
        <v>0</v>
      </c>
      <c r="J107" s="156">
        <f t="shared" ref="J107:J148" si="5">IFERROR(I107/F107,0)</f>
        <v>0</v>
      </c>
      <c r="K107" s="155">
        <f t="shared" ref="K107:K148" si="6">IFERROR(F107-I107,"")</f>
        <v>0</v>
      </c>
      <c r="L107" s="155" t="str">
        <f>IF(AND('Summary Sheet'!$E$23="No",$H$33&gt;0,H107&gt;=1),"",IF(AND('Summary Sheet'!$E$23="Yes",H107&lt;&gt;""),H107*'Summary Sheet'!$G$23,""))</f>
        <v/>
      </c>
      <c r="M107" s="154"/>
      <c r="N107" s="155">
        <f>SUM('Pay App 1:Pay App 60'!L107)+SUM('Pay App 1:Pay App 60'!M107)</f>
        <v>0</v>
      </c>
    </row>
    <row r="108" spans="1:15" ht="11.25" customHeight="1" x14ac:dyDescent="0.25">
      <c r="A108" s="152">
        <f t="shared" si="3"/>
        <v>47</v>
      </c>
      <c r="B108" s="148" t="str">
        <f>'Pay App 1'!B108</f>
        <v>09 54 00</v>
      </c>
      <c r="C108" s="143" t="str">
        <f>'Pay App 1'!C108</f>
        <v>Specialty Ceilings</v>
      </c>
      <c r="D108" s="155">
        <f>'Pay App 1'!D108</f>
        <v>0</v>
      </c>
      <c r="E108" s="155">
        <f>VLOOKUP(B108,'Graph Data'!$O$2:$BX$88,62,FALSE)</f>
        <v>0</v>
      </c>
      <c r="F108" s="155">
        <f>IFERROR(E108+'Pay App 59'!F108,"")</f>
        <v>0</v>
      </c>
      <c r="G108" s="155">
        <f>SUM('Pay App 1:Pay App 59'!H108)</f>
        <v>0</v>
      </c>
      <c r="H108" s="154"/>
      <c r="I108" s="155">
        <f t="shared" si="4"/>
        <v>0</v>
      </c>
      <c r="J108" s="156">
        <f t="shared" si="5"/>
        <v>0</v>
      </c>
      <c r="K108" s="155">
        <f t="shared" si="6"/>
        <v>0</v>
      </c>
      <c r="L108" s="155" t="str">
        <f>IF(AND('Summary Sheet'!$E$23="No",$H$33&gt;0,H108&gt;=1),"",IF(AND('Summary Sheet'!$E$23="Yes",H108&lt;&gt;""),H108*'Summary Sheet'!$G$23,""))</f>
        <v/>
      </c>
      <c r="M108" s="154"/>
      <c r="N108" s="155">
        <f>SUM('Pay App 1:Pay App 60'!L108)+SUM('Pay App 1:Pay App 60'!M108)</f>
        <v>0</v>
      </c>
    </row>
    <row r="109" spans="1:15" ht="11.25" customHeight="1" x14ac:dyDescent="0.25">
      <c r="A109" s="152">
        <f t="shared" si="3"/>
        <v>48</v>
      </c>
      <c r="B109" s="148" t="str">
        <f>'Pay App 1'!B109</f>
        <v>09 60 00</v>
      </c>
      <c r="C109" s="143" t="str">
        <f>'Pay App 1'!C109</f>
        <v>Floor Coverings</v>
      </c>
      <c r="D109" s="155">
        <f>'Pay App 1'!D109</f>
        <v>0</v>
      </c>
      <c r="E109" s="155">
        <f>VLOOKUP(B109,'Graph Data'!$O$2:$BX$88,62,FALSE)</f>
        <v>0</v>
      </c>
      <c r="F109" s="155">
        <f>IFERROR(E109+'Pay App 59'!F109,"")</f>
        <v>0</v>
      </c>
      <c r="G109" s="155">
        <f>SUM('Pay App 1:Pay App 59'!H109)</f>
        <v>0</v>
      </c>
      <c r="H109" s="154"/>
      <c r="I109" s="155">
        <f t="shared" si="4"/>
        <v>0</v>
      </c>
      <c r="J109" s="156">
        <f t="shared" si="5"/>
        <v>0</v>
      </c>
      <c r="K109" s="155">
        <f t="shared" si="6"/>
        <v>0</v>
      </c>
      <c r="L109" s="155" t="str">
        <f>IF(AND('Summary Sheet'!$E$23="No",$H$33&gt;0,H109&gt;=1),"",IF(AND('Summary Sheet'!$E$23="Yes",H109&lt;&gt;""),H109*'Summary Sheet'!$G$23,""))</f>
        <v/>
      </c>
      <c r="M109" s="154"/>
      <c r="N109" s="155">
        <f>SUM('Pay App 1:Pay App 60'!L109)+SUM('Pay App 1:Pay App 60'!M109)</f>
        <v>0</v>
      </c>
    </row>
    <row r="110" spans="1:15" ht="11.25" customHeight="1" x14ac:dyDescent="0.25">
      <c r="A110" s="152">
        <f t="shared" si="3"/>
        <v>49</v>
      </c>
      <c r="B110" s="148" t="str">
        <f>'Pay App 1'!B110</f>
        <v>09 62 00</v>
      </c>
      <c r="C110" s="143" t="str">
        <f>'Pay App 1'!C110</f>
        <v>Specialty Flooring</v>
      </c>
      <c r="D110" s="155">
        <f>'Pay App 1'!D110</f>
        <v>0</v>
      </c>
      <c r="E110" s="155">
        <f>VLOOKUP(B110,'Graph Data'!$O$2:$BX$88,62,FALSE)</f>
        <v>0</v>
      </c>
      <c r="F110" s="155">
        <f>IFERROR(E110+'Pay App 59'!F110,"")</f>
        <v>0</v>
      </c>
      <c r="G110" s="155">
        <f>SUM('Pay App 1:Pay App 59'!H110)</f>
        <v>0</v>
      </c>
      <c r="H110" s="154"/>
      <c r="I110" s="155">
        <f t="shared" si="4"/>
        <v>0</v>
      </c>
      <c r="J110" s="156">
        <f t="shared" si="5"/>
        <v>0</v>
      </c>
      <c r="K110" s="155">
        <f t="shared" si="6"/>
        <v>0</v>
      </c>
      <c r="L110" s="155" t="str">
        <f>IF(AND('Summary Sheet'!$E$23="No",$H$33&gt;0,H110&gt;=1),"",IF(AND('Summary Sheet'!$E$23="Yes",H110&lt;&gt;""),H110*'Summary Sheet'!$G$23,""))</f>
        <v/>
      </c>
      <c r="M110" s="154"/>
      <c r="N110" s="155">
        <f>SUM('Pay App 1:Pay App 60'!L110)+SUM('Pay App 1:Pay App 60'!M110)</f>
        <v>0</v>
      </c>
    </row>
    <row r="111" spans="1:15" ht="11.25" customHeight="1" x14ac:dyDescent="0.25">
      <c r="A111" s="152">
        <f t="shared" si="3"/>
        <v>50</v>
      </c>
      <c r="B111" s="148" t="str">
        <f>'Pay App 1'!B111</f>
        <v>09 70 00</v>
      </c>
      <c r="C111" s="143" t="str">
        <f>'Pay App 1'!C111</f>
        <v>Wall Coverings</v>
      </c>
      <c r="D111" s="155">
        <f>'Pay App 1'!D111</f>
        <v>0</v>
      </c>
      <c r="E111" s="155">
        <f>VLOOKUP(B111,'Graph Data'!$O$2:$BX$88,62,FALSE)</f>
        <v>0</v>
      </c>
      <c r="F111" s="155">
        <f>IFERROR(E111+'Pay App 59'!F111,"")</f>
        <v>0</v>
      </c>
      <c r="G111" s="155">
        <f>SUM('Pay App 1:Pay App 59'!H111)</f>
        <v>0</v>
      </c>
      <c r="H111" s="154"/>
      <c r="I111" s="155">
        <f t="shared" si="4"/>
        <v>0</v>
      </c>
      <c r="J111" s="156">
        <f t="shared" si="5"/>
        <v>0</v>
      </c>
      <c r="K111" s="155">
        <f t="shared" si="6"/>
        <v>0</v>
      </c>
      <c r="L111" s="155" t="str">
        <f>IF(AND('Summary Sheet'!$E$23="No",$H$33&gt;0,H111&gt;=1),"",IF(AND('Summary Sheet'!$E$23="Yes",H111&lt;&gt;""),H111*'Summary Sheet'!$G$23,""))</f>
        <v/>
      </c>
      <c r="M111" s="154"/>
      <c r="N111" s="155">
        <f>SUM('Pay App 1:Pay App 60'!L111)+SUM('Pay App 1:Pay App 60'!M111)</f>
        <v>0</v>
      </c>
    </row>
    <row r="112" spans="1:15" ht="11.25" customHeight="1" x14ac:dyDescent="0.25">
      <c r="A112" s="152">
        <f t="shared" si="3"/>
        <v>51</v>
      </c>
      <c r="B112" s="148" t="str">
        <f>'Pay App 1'!B112</f>
        <v>09 90 00</v>
      </c>
      <c r="C112" s="143" t="str">
        <f>'Pay App 1'!C112</f>
        <v>Painting</v>
      </c>
      <c r="D112" s="155">
        <f>'Pay App 1'!D112</f>
        <v>0</v>
      </c>
      <c r="E112" s="155">
        <f>VLOOKUP(B112,'Graph Data'!$O$2:$BX$88,62,FALSE)</f>
        <v>0</v>
      </c>
      <c r="F112" s="155">
        <f>IFERROR(E112+'Pay App 59'!F112,"")</f>
        <v>0</v>
      </c>
      <c r="G112" s="155">
        <f>SUM('Pay App 1:Pay App 59'!H112)</f>
        <v>0</v>
      </c>
      <c r="H112" s="154"/>
      <c r="I112" s="155">
        <f t="shared" si="4"/>
        <v>0</v>
      </c>
      <c r="J112" s="156">
        <f t="shared" si="5"/>
        <v>0</v>
      </c>
      <c r="K112" s="155">
        <f t="shared" si="6"/>
        <v>0</v>
      </c>
      <c r="L112" s="155" t="str">
        <f>IF(AND('Summary Sheet'!$E$23="No",$H$33&gt;0,H112&gt;=1),"",IF(AND('Summary Sheet'!$E$23="Yes",H112&lt;&gt;""),H112*'Summary Sheet'!$G$23,""))</f>
        <v/>
      </c>
      <c r="M112" s="154"/>
      <c r="N112" s="155">
        <f>SUM('Pay App 1:Pay App 60'!L112)+SUM('Pay App 1:Pay App 60'!M112)</f>
        <v>0</v>
      </c>
    </row>
    <row r="113" spans="1:14" ht="11.25" customHeight="1" x14ac:dyDescent="0.25">
      <c r="A113" s="152">
        <f t="shared" si="3"/>
        <v>52</v>
      </c>
      <c r="B113" s="184" t="str">
        <f>'Pay App 1'!B113</f>
        <v>10 00 00</v>
      </c>
      <c r="C113" s="190" t="str">
        <f>'Pay App 1'!C113</f>
        <v>Specialties</v>
      </c>
      <c r="D113" s="155">
        <f>'Pay App 1'!D113</f>
        <v>0</v>
      </c>
      <c r="E113" s="155">
        <f>VLOOKUP(B113,'Graph Data'!$O$2:$BX$88,62,FALSE)</f>
        <v>0</v>
      </c>
      <c r="F113" s="155">
        <f>IFERROR(E113+'Pay App 59'!F113,"")</f>
        <v>0</v>
      </c>
      <c r="G113" s="155">
        <f>SUM('Pay App 1:Pay App 59'!H113)</f>
        <v>0</v>
      </c>
      <c r="H113" s="154"/>
      <c r="I113" s="155">
        <f t="shared" si="4"/>
        <v>0</v>
      </c>
      <c r="J113" s="156">
        <f t="shared" si="5"/>
        <v>0</v>
      </c>
      <c r="K113" s="155">
        <f t="shared" si="6"/>
        <v>0</v>
      </c>
      <c r="L113" s="155" t="str">
        <f>IF(AND('Summary Sheet'!$E$23="No",$H$33&gt;0,H113&gt;=1),"",IF(AND('Summary Sheet'!$E$23="Yes",H113&lt;&gt;""),H113*'Summary Sheet'!$G$23,""))</f>
        <v/>
      </c>
      <c r="M113" s="154"/>
      <c r="N113" s="155">
        <f>SUM('Pay App 1:Pay App 60'!L113)+SUM('Pay App 1:Pay App 60'!M113)</f>
        <v>0</v>
      </c>
    </row>
    <row r="114" spans="1:14" ht="11.25" customHeight="1" x14ac:dyDescent="0.25">
      <c r="A114" s="152">
        <f t="shared" si="3"/>
        <v>53</v>
      </c>
      <c r="B114" s="184" t="str">
        <f>'Pay App 1'!B114</f>
        <v>10 14 14</v>
      </c>
      <c r="C114" s="190" t="str">
        <f>'Pay App 1'!C114</f>
        <v>Exterior Signage</v>
      </c>
      <c r="D114" s="155">
        <f>'Pay App 1'!D114</f>
        <v>0</v>
      </c>
      <c r="E114" s="155">
        <f>VLOOKUP(B114,'Graph Data'!$O$2:$BX$88,62,FALSE)</f>
        <v>0</v>
      </c>
      <c r="F114" s="155">
        <f>IFERROR(E114+'Pay App 59'!F114,"")</f>
        <v>0</v>
      </c>
      <c r="G114" s="155">
        <f>SUM('Pay App 1:Pay App 59'!H114)</f>
        <v>0</v>
      </c>
      <c r="H114" s="154"/>
      <c r="I114" s="155">
        <f t="shared" si="4"/>
        <v>0</v>
      </c>
      <c r="J114" s="156">
        <f t="shared" si="5"/>
        <v>0</v>
      </c>
      <c r="K114" s="155">
        <f t="shared" si="6"/>
        <v>0</v>
      </c>
      <c r="L114" s="155" t="str">
        <f>IF(AND('Summary Sheet'!$E$23="No",$H$33&gt;0,H114&gt;=1),"",IF(AND('Summary Sheet'!$E$23="Yes",H114&lt;&gt;""),H114*'Summary Sheet'!$G$23,""))</f>
        <v/>
      </c>
      <c r="M114" s="154"/>
      <c r="N114" s="155">
        <f>SUM('Pay App 1:Pay App 60'!L114)+SUM('Pay App 1:Pay App 60'!M114)</f>
        <v>0</v>
      </c>
    </row>
    <row r="115" spans="1:14" ht="11.25" customHeight="1" x14ac:dyDescent="0.25">
      <c r="A115" s="152">
        <f t="shared" si="3"/>
        <v>54</v>
      </c>
      <c r="B115" s="184" t="str">
        <f>'Pay App 1'!B115</f>
        <v>10 14 15</v>
      </c>
      <c r="C115" s="190" t="str">
        <f>'Pay App 1'!C115</f>
        <v>Interior Signage</v>
      </c>
      <c r="D115" s="155">
        <f>'Pay App 1'!D115</f>
        <v>0</v>
      </c>
      <c r="E115" s="155">
        <f>VLOOKUP(B115,'Graph Data'!$O$2:$BX$88,62,FALSE)</f>
        <v>0</v>
      </c>
      <c r="F115" s="155">
        <f>IFERROR(E115+'Pay App 59'!F115,"")</f>
        <v>0</v>
      </c>
      <c r="G115" s="155">
        <f>SUM('Pay App 1:Pay App 59'!H115)</f>
        <v>0</v>
      </c>
      <c r="H115" s="154"/>
      <c r="I115" s="155">
        <f t="shared" si="4"/>
        <v>0</v>
      </c>
      <c r="J115" s="156">
        <f t="shared" si="5"/>
        <v>0</v>
      </c>
      <c r="K115" s="155">
        <f t="shared" si="6"/>
        <v>0</v>
      </c>
      <c r="L115" s="155" t="str">
        <f>IF(AND('Summary Sheet'!$E$23="No",$H$33&gt;0,H115&gt;=1),"",IF(AND('Summary Sheet'!$E$23="Yes",H115&lt;&gt;""),H115*'Summary Sheet'!$G$23,""))</f>
        <v/>
      </c>
      <c r="M115" s="154"/>
      <c r="N115" s="155">
        <f>SUM('Pay App 1:Pay App 60'!L115)+SUM('Pay App 1:Pay App 60'!M115)</f>
        <v>0</v>
      </c>
    </row>
    <row r="116" spans="1:14" ht="11.25" customHeight="1" x14ac:dyDescent="0.25">
      <c r="A116" s="152">
        <f t="shared" si="3"/>
        <v>55</v>
      </c>
      <c r="B116" s="185" t="str">
        <f>'Pay App 1'!B116</f>
        <v>11 13 00</v>
      </c>
      <c r="C116" s="191" t="str">
        <f>'Pay App 1'!C116</f>
        <v>Dock Equipment</v>
      </c>
      <c r="D116" s="155">
        <f>'Pay App 1'!D116</f>
        <v>0</v>
      </c>
      <c r="E116" s="155">
        <f>VLOOKUP(B116,'Graph Data'!$O$2:$BX$88,62,FALSE)</f>
        <v>0</v>
      </c>
      <c r="F116" s="155">
        <f>IFERROR(E116+'Pay App 59'!F116,"")</f>
        <v>0</v>
      </c>
      <c r="G116" s="155">
        <f>SUM('Pay App 1:Pay App 59'!H116)</f>
        <v>0</v>
      </c>
      <c r="H116" s="154"/>
      <c r="I116" s="155">
        <f t="shared" si="4"/>
        <v>0</v>
      </c>
      <c r="J116" s="156">
        <f t="shared" si="5"/>
        <v>0</v>
      </c>
      <c r="K116" s="155">
        <f t="shared" si="6"/>
        <v>0</v>
      </c>
      <c r="L116" s="155" t="str">
        <f>IF(AND('Summary Sheet'!$E$23="No",$H$33&gt;0,H116&gt;=1),"",IF(AND('Summary Sheet'!$E$23="Yes",H116&lt;&gt;""),H116*'Summary Sheet'!$G$23,""))</f>
        <v/>
      </c>
      <c r="M116" s="154"/>
      <c r="N116" s="155">
        <f>SUM('Pay App 1:Pay App 60'!L116)+SUM('Pay App 1:Pay App 60'!M116)</f>
        <v>0</v>
      </c>
    </row>
    <row r="117" spans="1:14" ht="11.25" customHeight="1" x14ac:dyDescent="0.25">
      <c r="A117" s="152">
        <f t="shared" si="3"/>
        <v>56</v>
      </c>
      <c r="B117" s="185" t="str">
        <f>'Pay App 1'!B117</f>
        <v>11 40 00</v>
      </c>
      <c r="C117" s="191" t="str">
        <f>'Pay App 1'!C117</f>
        <v>Food Service Equipment</v>
      </c>
      <c r="D117" s="155">
        <f>'Pay App 1'!D117</f>
        <v>0</v>
      </c>
      <c r="E117" s="155">
        <f>VLOOKUP(B117,'Graph Data'!$O$2:$BX$88,62,FALSE)</f>
        <v>0</v>
      </c>
      <c r="F117" s="155">
        <f>IFERROR(E117+'Pay App 59'!F117,"")</f>
        <v>0</v>
      </c>
      <c r="G117" s="155">
        <f>SUM('Pay App 1:Pay App 59'!H117)</f>
        <v>0</v>
      </c>
      <c r="H117" s="154"/>
      <c r="I117" s="155">
        <f t="shared" si="4"/>
        <v>0</v>
      </c>
      <c r="J117" s="156">
        <f t="shared" si="5"/>
        <v>0</v>
      </c>
      <c r="K117" s="155">
        <f t="shared" si="6"/>
        <v>0</v>
      </c>
      <c r="L117" s="155" t="str">
        <f>IF(AND('Summary Sheet'!$E$23="No",$H$33&gt;0,H117&gt;=1),"",IF(AND('Summary Sheet'!$E$23="Yes",H117&lt;&gt;""),H117*'Summary Sheet'!$G$23,""))</f>
        <v/>
      </c>
      <c r="M117" s="154"/>
      <c r="N117" s="155">
        <f>SUM('Pay App 1:Pay App 60'!L117)+SUM('Pay App 1:Pay App 60'!M117)</f>
        <v>0</v>
      </c>
    </row>
    <row r="118" spans="1:14" ht="11.25" customHeight="1" x14ac:dyDescent="0.25">
      <c r="A118" s="152">
        <f t="shared" si="3"/>
        <v>57</v>
      </c>
      <c r="B118" s="185" t="str">
        <f>'Pay App 1'!B118</f>
        <v>11 53 00</v>
      </c>
      <c r="C118" s="191" t="str">
        <f>'Pay App 1'!C118</f>
        <v>Lab/Mechanical Equipment</v>
      </c>
      <c r="D118" s="155">
        <f>'Pay App 1'!D118</f>
        <v>0</v>
      </c>
      <c r="E118" s="155">
        <f>VLOOKUP(B118,'Graph Data'!$O$2:$BX$88,62,FALSE)</f>
        <v>0</v>
      </c>
      <c r="F118" s="155">
        <f>IFERROR(E118+'Pay App 59'!F118,"")</f>
        <v>0</v>
      </c>
      <c r="G118" s="155">
        <f>SUM('Pay App 1:Pay App 59'!H118)</f>
        <v>0</v>
      </c>
      <c r="H118" s="154"/>
      <c r="I118" s="155">
        <f t="shared" si="4"/>
        <v>0</v>
      </c>
      <c r="J118" s="156">
        <f t="shared" si="5"/>
        <v>0</v>
      </c>
      <c r="K118" s="155">
        <f t="shared" si="6"/>
        <v>0</v>
      </c>
      <c r="L118" s="155" t="str">
        <f>IF(AND('Summary Sheet'!$E$23="No",$H$33&gt;0,H118&gt;=1),"",IF(AND('Summary Sheet'!$E$23="Yes",H118&lt;&gt;""),H118*'Summary Sheet'!$G$23,""))</f>
        <v/>
      </c>
      <c r="M118" s="154"/>
      <c r="N118" s="155">
        <f>SUM('Pay App 1:Pay App 60'!L118)+SUM('Pay App 1:Pay App 60'!M118)</f>
        <v>0</v>
      </c>
    </row>
    <row r="119" spans="1:14" ht="11.25" customHeight="1" x14ac:dyDescent="0.25">
      <c r="A119" s="152">
        <f t="shared" si="3"/>
        <v>58</v>
      </c>
      <c r="B119" s="185" t="str">
        <f>'Pay App 1'!B119</f>
        <v>11 66 00</v>
      </c>
      <c r="C119" s="191" t="str">
        <f>'Pay App 1'!C119</f>
        <v>Athletic Equipment</v>
      </c>
      <c r="D119" s="155">
        <f>'Pay App 1'!D119</f>
        <v>0</v>
      </c>
      <c r="E119" s="155">
        <f>VLOOKUP(B119,'Graph Data'!$O$2:$BX$88,62,FALSE)</f>
        <v>0</v>
      </c>
      <c r="F119" s="155">
        <f>IFERROR(E119+'Pay App 59'!F119,"")</f>
        <v>0</v>
      </c>
      <c r="G119" s="155">
        <f>SUM('Pay App 1:Pay App 59'!H119)</f>
        <v>0</v>
      </c>
      <c r="H119" s="154"/>
      <c r="I119" s="155">
        <f t="shared" si="4"/>
        <v>0</v>
      </c>
      <c r="J119" s="156">
        <f t="shared" si="5"/>
        <v>0</v>
      </c>
      <c r="K119" s="155">
        <f t="shared" si="6"/>
        <v>0</v>
      </c>
      <c r="L119" s="155" t="str">
        <f>IF(AND('Summary Sheet'!$E$23="No",$H$33&gt;0,H119&gt;=1),"",IF(AND('Summary Sheet'!$E$23="Yes",H119&lt;&gt;""),H119*'Summary Sheet'!$G$23,""))</f>
        <v/>
      </c>
      <c r="M119" s="154"/>
      <c r="N119" s="155">
        <f>SUM('Pay App 1:Pay App 60'!L119)+SUM('Pay App 1:Pay App 60'!M119)</f>
        <v>0</v>
      </c>
    </row>
    <row r="120" spans="1:14" ht="11.25" customHeight="1" x14ac:dyDescent="0.25">
      <c r="A120" s="152">
        <f t="shared" si="3"/>
        <v>59</v>
      </c>
      <c r="B120" s="185" t="str">
        <f>'Pay App 1'!B120</f>
        <v>11 90 00</v>
      </c>
      <c r="C120" s="191" t="str">
        <f>'Pay App 1'!C120</f>
        <v>Equipment (other)</v>
      </c>
      <c r="D120" s="155">
        <f>'Pay App 1'!D120</f>
        <v>0</v>
      </c>
      <c r="E120" s="155">
        <f>VLOOKUP(B120,'Graph Data'!$O$2:$BX$88,62,FALSE)</f>
        <v>0</v>
      </c>
      <c r="F120" s="155">
        <f>IFERROR(E120+'Pay App 59'!F120,"")</f>
        <v>0</v>
      </c>
      <c r="G120" s="155">
        <f>SUM('Pay App 1:Pay App 59'!H120)</f>
        <v>0</v>
      </c>
      <c r="H120" s="154"/>
      <c r="I120" s="155">
        <f t="shared" si="4"/>
        <v>0</v>
      </c>
      <c r="J120" s="156">
        <f t="shared" si="5"/>
        <v>0</v>
      </c>
      <c r="K120" s="155">
        <f t="shared" si="6"/>
        <v>0</v>
      </c>
      <c r="L120" s="155" t="str">
        <f>IF(AND('Summary Sheet'!$E$23="No",$H$33&gt;0,H120&gt;=1),"",IF(AND('Summary Sheet'!$E$23="Yes",H120&lt;&gt;""),H120*'Summary Sheet'!$G$23,""))</f>
        <v/>
      </c>
      <c r="M120" s="154"/>
      <c r="N120" s="155">
        <f>SUM('Pay App 1:Pay App 60'!L120)+SUM('Pay App 1:Pay App 60'!M120)</f>
        <v>0</v>
      </c>
    </row>
    <row r="121" spans="1:14" ht="11.25" customHeight="1" x14ac:dyDescent="0.25">
      <c r="A121" s="152">
        <f t="shared" si="3"/>
        <v>60</v>
      </c>
      <c r="B121" s="186" t="str">
        <f>'Pay App 1'!B121</f>
        <v>12 00 00</v>
      </c>
      <c r="C121" s="192" t="str">
        <f>'Pay App 1'!C121</f>
        <v xml:space="preserve">Furnishings </v>
      </c>
      <c r="D121" s="155">
        <f>'Pay App 1'!D121</f>
        <v>0</v>
      </c>
      <c r="E121" s="155">
        <f>VLOOKUP(B121,'Graph Data'!$O$2:$BX$88,62,FALSE)</f>
        <v>0</v>
      </c>
      <c r="F121" s="155">
        <f>IFERROR(E121+'Pay App 59'!F121,"")</f>
        <v>0</v>
      </c>
      <c r="G121" s="155">
        <f>SUM('Pay App 1:Pay App 59'!H121)</f>
        <v>0</v>
      </c>
      <c r="H121" s="154"/>
      <c r="I121" s="155">
        <f t="shared" si="4"/>
        <v>0</v>
      </c>
      <c r="J121" s="156">
        <f t="shared" si="5"/>
        <v>0</v>
      </c>
      <c r="K121" s="155">
        <f t="shared" si="6"/>
        <v>0</v>
      </c>
      <c r="L121" s="155" t="str">
        <f>IF(AND('Summary Sheet'!$E$23="No",$H$33&gt;0,H121&gt;=1),"",IF(AND('Summary Sheet'!$E$23="Yes",H121&lt;&gt;""),H121*'Summary Sheet'!$G$23,""))</f>
        <v/>
      </c>
      <c r="M121" s="154"/>
      <c r="N121" s="155">
        <f>SUM('Pay App 1:Pay App 60'!L121)+SUM('Pay App 1:Pay App 60'!M121)</f>
        <v>0</v>
      </c>
    </row>
    <row r="122" spans="1:14" ht="11.25" customHeight="1" x14ac:dyDescent="0.25">
      <c r="A122" s="152">
        <f t="shared" si="3"/>
        <v>61</v>
      </c>
      <c r="B122" s="186" t="str">
        <f>'Pay App 1'!B122</f>
        <v>12 20 00</v>
      </c>
      <c r="C122" s="192" t="str">
        <f>'Pay App 1'!C122</f>
        <v>Window Coverings</v>
      </c>
      <c r="D122" s="155">
        <f>'Pay App 1'!D122</f>
        <v>0</v>
      </c>
      <c r="E122" s="155">
        <f>VLOOKUP(B122,'Graph Data'!$O$2:$BX$88,62,FALSE)</f>
        <v>0</v>
      </c>
      <c r="F122" s="155">
        <f>IFERROR(E122+'Pay App 59'!F122,"")</f>
        <v>0</v>
      </c>
      <c r="G122" s="155">
        <f>SUM('Pay App 1:Pay App 59'!H122)</f>
        <v>0</v>
      </c>
      <c r="H122" s="154"/>
      <c r="I122" s="155">
        <f t="shared" si="4"/>
        <v>0</v>
      </c>
      <c r="J122" s="156">
        <f t="shared" si="5"/>
        <v>0</v>
      </c>
      <c r="K122" s="155">
        <f t="shared" si="6"/>
        <v>0</v>
      </c>
      <c r="L122" s="155" t="str">
        <f>IF(AND('Summary Sheet'!$E$23="No",$H$33&gt;0,H122&gt;=1),"",IF(AND('Summary Sheet'!$E$23="Yes",H122&lt;&gt;""),H122*'Summary Sheet'!$G$23,""))</f>
        <v/>
      </c>
      <c r="M122" s="154"/>
      <c r="N122" s="155">
        <f>SUM('Pay App 1:Pay App 60'!L122)+SUM('Pay App 1:Pay App 60'!M122)</f>
        <v>0</v>
      </c>
    </row>
    <row r="123" spans="1:14" ht="11.25" customHeight="1" x14ac:dyDescent="0.25">
      <c r="A123" s="152">
        <f t="shared" si="3"/>
        <v>62</v>
      </c>
      <c r="B123" s="186" t="str">
        <f>'Pay App 1'!B123</f>
        <v>12 61 00</v>
      </c>
      <c r="C123" s="192" t="str">
        <f>'Pay App 1'!C123</f>
        <v>Fixed Seating</v>
      </c>
      <c r="D123" s="155">
        <f>'Pay App 1'!D123</f>
        <v>0</v>
      </c>
      <c r="E123" s="155">
        <f>VLOOKUP(B123,'Graph Data'!$O$2:$BX$88,62,FALSE)</f>
        <v>0</v>
      </c>
      <c r="F123" s="155">
        <f>IFERROR(E123+'Pay App 59'!F123,"")</f>
        <v>0</v>
      </c>
      <c r="G123" s="155">
        <f>SUM('Pay App 1:Pay App 59'!H123)</f>
        <v>0</v>
      </c>
      <c r="H123" s="154"/>
      <c r="I123" s="155">
        <f t="shared" si="4"/>
        <v>0</v>
      </c>
      <c r="J123" s="156">
        <f t="shared" si="5"/>
        <v>0</v>
      </c>
      <c r="K123" s="155">
        <f t="shared" si="6"/>
        <v>0</v>
      </c>
      <c r="L123" s="155" t="str">
        <f>IF(AND('Summary Sheet'!$E$23="No",$H$33&gt;0,H123&gt;=1),"",IF(AND('Summary Sheet'!$E$23="Yes",H123&lt;&gt;""),H123*'Summary Sheet'!$G$23,""))</f>
        <v/>
      </c>
      <c r="M123" s="154"/>
      <c r="N123" s="155">
        <f>SUM('Pay App 1:Pay App 60'!L123)+SUM('Pay App 1:Pay App 60'!M123)</f>
        <v>0</v>
      </c>
    </row>
    <row r="124" spans="1:14" ht="11.25" customHeight="1" x14ac:dyDescent="0.25">
      <c r="A124" s="152">
        <f t="shared" si="3"/>
        <v>63</v>
      </c>
      <c r="B124" s="187" t="str">
        <f>'Pay App 1'!B124</f>
        <v>13 00 00</v>
      </c>
      <c r="C124" s="193" t="str">
        <f>'Pay App 1'!C124</f>
        <v>Special Construction (Other)</v>
      </c>
      <c r="D124" s="155">
        <f>'Pay App 1'!D124</f>
        <v>0</v>
      </c>
      <c r="E124" s="155">
        <f>VLOOKUP(B124,'Graph Data'!$O$2:$BX$88,62,FALSE)</f>
        <v>0</v>
      </c>
      <c r="F124" s="155">
        <f>IFERROR(E124+'Pay App 59'!F124,"")</f>
        <v>0</v>
      </c>
      <c r="G124" s="155">
        <f>SUM('Pay App 1:Pay App 59'!H124)</f>
        <v>0</v>
      </c>
      <c r="H124" s="154"/>
      <c r="I124" s="155">
        <f t="shared" si="4"/>
        <v>0</v>
      </c>
      <c r="J124" s="156">
        <f t="shared" si="5"/>
        <v>0</v>
      </c>
      <c r="K124" s="155">
        <f t="shared" si="6"/>
        <v>0</v>
      </c>
      <c r="L124" s="155" t="str">
        <f>IF(AND('Summary Sheet'!$E$23="No",$H$33&gt;0,H124&gt;=1),"",IF(AND('Summary Sheet'!$E$23="Yes",H124&lt;&gt;""),H124*'Summary Sheet'!$G$23,""))</f>
        <v/>
      </c>
      <c r="M124" s="154"/>
      <c r="N124" s="155">
        <f>SUM('Pay App 1:Pay App 60'!L124)+SUM('Pay App 1:Pay App 60'!M124)</f>
        <v>0</v>
      </c>
    </row>
    <row r="125" spans="1:14" ht="11.25" customHeight="1" x14ac:dyDescent="0.25">
      <c r="A125" s="152">
        <f t="shared" si="3"/>
        <v>64</v>
      </c>
      <c r="B125" s="187" t="str">
        <f>'Pay App 1'!B125</f>
        <v>13 48 00</v>
      </c>
      <c r="C125" s="193" t="str">
        <f>'Pay App 1'!C125</f>
        <v>Sound &amp; Vibration Control</v>
      </c>
      <c r="D125" s="155">
        <f>'Pay App 1'!D125</f>
        <v>0</v>
      </c>
      <c r="E125" s="155">
        <f>VLOOKUP(B125,'Graph Data'!$O$2:$BX$88,62,FALSE)</f>
        <v>0</v>
      </c>
      <c r="F125" s="155">
        <f>IFERROR(E125+'Pay App 59'!F125,"")</f>
        <v>0</v>
      </c>
      <c r="G125" s="155">
        <f>SUM('Pay App 1:Pay App 59'!H125)</f>
        <v>0</v>
      </c>
      <c r="H125" s="154"/>
      <c r="I125" s="155">
        <f t="shared" si="4"/>
        <v>0</v>
      </c>
      <c r="J125" s="156">
        <f t="shared" si="5"/>
        <v>0</v>
      </c>
      <c r="K125" s="155">
        <f t="shared" si="6"/>
        <v>0</v>
      </c>
      <c r="L125" s="155" t="str">
        <f>IF(AND('Summary Sheet'!$E$23="No",$H$33&gt;0,H125&gt;=1),"",IF(AND('Summary Sheet'!$E$23="Yes",H125&lt;&gt;""),H125*'Summary Sheet'!$G$23,""))</f>
        <v/>
      </c>
      <c r="M125" s="154"/>
      <c r="N125" s="155">
        <f>SUM('Pay App 1:Pay App 60'!L125)+SUM('Pay App 1:Pay App 60'!M125)</f>
        <v>0</v>
      </c>
    </row>
    <row r="126" spans="1:14" ht="11.25" customHeight="1" x14ac:dyDescent="0.25">
      <c r="A126" s="152">
        <f t="shared" si="3"/>
        <v>65</v>
      </c>
      <c r="B126" s="188" t="str">
        <f>'Pay App 1'!B126</f>
        <v>14 20 00</v>
      </c>
      <c r="C126" s="194" t="str">
        <f>'Pay App 1'!C126</f>
        <v>Elevator</v>
      </c>
      <c r="D126" s="155">
        <f>'Pay App 1'!D126</f>
        <v>0</v>
      </c>
      <c r="E126" s="155">
        <f>VLOOKUP(B126,'Graph Data'!$O$2:$BX$88,62,FALSE)</f>
        <v>0</v>
      </c>
      <c r="F126" s="155">
        <f>IFERROR(E126+'Pay App 59'!F126,"")</f>
        <v>0</v>
      </c>
      <c r="G126" s="155">
        <f>SUM('Pay App 1:Pay App 59'!H126)</f>
        <v>0</v>
      </c>
      <c r="H126" s="154"/>
      <c r="I126" s="155">
        <f t="shared" si="4"/>
        <v>0</v>
      </c>
      <c r="J126" s="156">
        <f t="shared" si="5"/>
        <v>0</v>
      </c>
      <c r="K126" s="155">
        <f t="shared" si="6"/>
        <v>0</v>
      </c>
      <c r="L126" s="155" t="str">
        <f>IF(AND('Summary Sheet'!$E$23="No",$H$33&gt;0,H126&gt;=1),"",IF(AND('Summary Sheet'!$E$23="Yes",H126&lt;&gt;""),H126*'Summary Sheet'!$G$23,""))</f>
        <v/>
      </c>
      <c r="M126" s="154"/>
      <c r="N126" s="155">
        <f>SUM('Pay App 1:Pay App 60'!L126)+SUM('Pay App 1:Pay App 60'!M126)</f>
        <v>0</v>
      </c>
    </row>
    <row r="127" spans="1:14" ht="11.25" customHeight="1" x14ac:dyDescent="0.25">
      <c r="A127" s="152">
        <f t="shared" si="3"/>
        <v>66</v>
      </c>
      <c r="B127" s="188" t="str">
        <f>'Pay App 1'!B127</f>
        <v>14 40 00</v>
      </c>
      <c r="C127" s="194" t="str">
        <f>'Pay App 1'!C127</f>
        <v>Lifts</v>
      </c>
      <c r="D127" s="155">
        <f>'Pay App 1'!D127</f>
        <v>0</v>
      </c>
      <c r="E127" s="155">
        <f>VLOOKUP(B127,'Graph Data'!$O$2:$BX$88,62,FALSE)</f>
        <v>0</v>
      </c>
      <c r="F127" s="155">
        <f>IFERROR(E127+'Pay App 59'!F127,"")</f>
        <v>0</v>
      </c>
      <c r="G127" s="155">
        <f>SUM('Pay App 1:Pay App 59'!H127)</f>
        <v>0</v>
      </c>
      <c r="H127" s="154"/>
      <c r="I127" s="155">
        <f t="shared" si="4"/>
        <v>0</v>
      </c>
      <c r="J127" s="156">
        <f t="shared" si="5"/>
        <v>0</v>
      </c>
      <c r="K127" s="155">
        <f t="shared" si="6"/>
        <v>0</v>
      </c>
      <c r="L127" s="155" t="str">
        <f>IF(AND('Summary Sheet'!$E$23="No",$H$33&gt;0,H127&gt;=1),"",IF(AND('Summary Sheet'!$E$23="Yes",H127&lt;&gt;""),H127*'Summary Sheet'!$G$23,""))</f>
        <v/>
      </c>
      <c r="M127" s="154"/>
      <c r="N127" s="155">
        <f>SUM('Pay App 1:Pay App 60'!L127)+SUM('Pay App 1:Pay App 60'!M127)</f>
        <v>0</v>
      </c>
    </row>
    <row r="128" spans="1:14" ht="11.25" customHeight="1" x14ac:dyDescent="0.25">
      <c r="A128" s="152">
        <f t="shared" si="3"/>
        <v>67</v>
      </c>
      <c r="B128" s="148" t="str">
        <f>'Pay App 1'!B128</f>
        <v>20 00 00</v>
      </c>
      <c r="C128" s="143" t="str">
        <f>'Pay App 1'!C128</f>
        <v>Mechanical/Plumbing</v>
      </c>
      <c r="D128" s="155">
        <f>'Pay App 1'!D128</f>
        <v>0</v>
      </c>
      <c r="E128" s="155">
        <f>VLOOKUP(B128,'Graph Data'!$O$2:$BX$88,62,FALSE)</f>
        <v>0</v>
      </c>
      <c r="F128" s="155">
        <f>IFERROR(E128+'Pay App 59'!F128,"")</f>
        <v>0</v>
      </c>
      <c r="G128" s="155">
        <f>SUM('Pay App 1:Pay App 59'!H128)</f>
        <v>0</v>
      </c>
      <c r="H128" s="154"/>
      <c r="I128" s="155">
        <f t="shared" si="4"/>
        <v>0</v>
      </c>
      <c r="J128" s="156">
        <f t="shared" si="5"/>
        <v>0</v>
      </c>
      <c r="K128" s="155">
        <f t="shared" si="6"/>
        <v>0</v>
      </c>
      <c r="L128" s="155" t="str">
        <f>IF(AND('Summary Sheet'!$E$23="No",$H$33&gt;0,H128&gt;=1),"",IF(AND('Summary Sheet'!$E$23="Yes",H128&lt;&gt;""),H128*'Summary Sheet'!$G$23,""))</f>
        <v/>
      </c>
      <c r="M128" s="154"/>
      <c r="N128" s="155">
        <f>SUM('Pay App 1:Pay App 60'!L128)+SUM('Pay App 1:Pay App 60'!M128)</f>
        <v>0</v>
      </c>
    </row>
    <row r="129" spans="1:14" ht="11.25" customHeight="1" x14ac:dyDescent="0.25">
      <c r="A129" s="152">
        <f t="shared" si="3"/>
        <v>68</v>
      </c>
      <c r="B129" s="184" t="str">
        <f>'Pay App 1'!B129</f>
        <v>21 00 00</v>
      </c>
      <c r="C129" s="190" t="str">
        <f>'Pay App 1'!C129</f>
        <v>Fire Sprinklers/Pumps</v>
      </c>
      <c r="D129" s="155">
        <f>'Pay App 1'!D129</f>
        <v>0</v>
      </c>
      <c r="E129" s="155">
        <f>VLOOKUP(B129,'Graph Data'!$O$2:$BX$88,62,FALSE)</f>
        <v>0</v>
      </c>
      <c r="F129" s="155">
        <f>IFERROR(E129+'Pay App 59'!F129,"")</f>
        <v>0</v>
      </c>
      <c r="G129" s="155">
        <f>SUM('Pay App 1:Pay App 59'!H129)</f>
        <v>0</v>
      </c>
      <c r="H129" s="154"/>
      <c r="I129" s="155">
        <f t="shared" si="4"/>
        <v>0</v>
      </c>
      <c r="J129" s="156">
        <f t="shared" si="5"/>
        <v>0</v>
      </c>
      <c r="K129" s="155">
        <f t="shared" si="6"/>
        <v>0</v>
      </c>
      <c r="L129" s="155" t="str">
        <f>IF(AND('Summary Sheet'!$E$23="No",$H$33&gt;0,H129&gt;=1),"",IF(AND('Summary Sheet'!$E$23="Yes",H129&lt;&gt;""),H129*'Summary Sheet'!$G$23,""))</f>
        <v/>
      </c>
      <c r="M129" s="154"/>
      <c r="N129" s="155">
        <f>SUM('Pay App 1:Pay App 60'!L129)+SUM('Pay App 1:Pay App 60'!M129)</f>
        <v>0</v>
      </c>
    </row>
    <row r="130" spans="1:14" ht="11.25" customHeight="1" x14ac:dyDescent="0.25">
      <c r="A130" s="152">
        <f t="shared" si="3"/>
        <v>69</v>
      </c>
      <c r="B130" s="185" t="str">
        <f>'Pay App 1'!B130</f>
        <v>22 00 00</v>
      </c>
      <c r="C130" s="191" t="str">
        <f>'Pay App 1'!C130</f>
        <v>Plumbing</v>
      </c>
      <c r="D130" s="155">
        <f>'Pay App 1'!D130</f>
        <v>0</v>
      </c>
      <c r="E130" s="155">
        <f>VLOOKUP(B130,'Graph Data'!$O$2:$BX$88,62,FALSE)</f>
        <v>0</v>
      </c>
      <c r="F130" s="155">
        <f>IFERROR(E130+'Pay App 59'!F130,"")</f>
        <v>0</v>
      </c>
      <c r="G130" s="155">
        <f>SUM('Pay App 1:Pay App 59'!H130)</f>
        <v>0</v>
      </c>
      <c r="H130" s="154"/>
      <c r="I130" s="155">
        <f t="shared" si="4"/>
        <v>0</v>
      </c>
      <c r="J130" s="156">
        <f t="shared" si="5"/>
        <v>0</v>
      </c>
      <c r="K130" s="155">
        <f t="shared" si="6"/>
        <v>0</v>
      </c>
      <c r="L130" s="155" t="str">
        <f>IF(AND('Summary Sheet'!$E$23="No",$H$33&gt;0,H130&gt;=1),"",IF(AND('Summary Sheet'!$E$23="Yes",H130&lt;&gt;""),H130*'Summary Sheet'!$G$23,""))</f>
        <v/>
      </c>
      <c r="M130" s="154"/>
      <c r="N130" s="155">
        <f>SUM('Pay App 1:Pay App 60'!L130)+SUM('Pay App 1:Pay App 60'!M130)</f>
        <v>0</v>
      </c>
    </row>
    <row r="131" spans="1:14" ht="11.25" customHeight="1" x14ac:dyDescent="0.25">
      <c r="A131" s="152">
        <f t="shared" si="3"/>
        <v>70</v>
      </c>
      <c r="B131" s="186" t="str">
        <f>'Pay App 1'!B131</f>
        <v>23 00 00</v>
      </c>
      <c r="C131" s="192" t="str">
        <f>'Pay App 1'!C131</f>
        <v>HVAC</v>
      </c>
      <c r="D131" s="155">
        <f>'Pay App 1'!D131</f>
        <v>0</v>
      </c>
      <c r="E131" s="155">
        <f>VLOOKUP(B131,'Graph Data'!$O$2:$BX$88,62,FALSE)</f>
        <v>0</v>
      </c>
      <c r="F131" s="155">
        <f>IFERROR(E131+'Pay App 59'!F131,"")</f>
        <v>0</v>
      </c>
      <c r="G131" s="155">
        <f>SUM('Pay App 1:Pay App 59'!H131)</f>
        <v>0</v>
      </c>
      <c r="H131" s="154"/>
      <c r="I131" s="155">
        <f t="shared" si="4"/>
        <v>0</v>
      </c>
      <c r="J131" s="156">
        <f t="shared" si="5"/>
        <v>0</v>
      </c>
      <c r="K131" s="155">
        <f t="shared" si="6"/>
        <v>0</v>
      </c>
      <c r="L131" s="155" t="str">
        <f>IF(AND('Summary Sheet'!$E$23="No",$H$33&gt;0,H131&gt;=1),"",IF(AND('Summary Sheet'!$E$23="Yes",H131&lt;&gt;""),H131*'Summary Sheet'!$G$23,""))</f>
        <v/>
      </c>
      <c r="M131" s="154"/>
      <c r="N131" s="155">
        <f>SUM('Pay App 1:Pay App 60'!L131)+SUM('Pay App 1:Pay App 60'!M131)</f>
        <v>0</v>
      </c>
    </row>
    <row r="132" spans="1:14" ht="11.25" customHeight="1" x14ac:dyDescent="0.25">
      <c r="A132" s="152">
        <f t="shared" si="3"/>
        <v>71</v>
      </c>
      <c r="B132" s="187" t="str">
        <f>'Pay App 1'!B132</f>
        <v>26 00 00</v>
      </c>
      <c r="C132" s="193" t="str">
        <f>'Pay App 1'!C132</f>
        <v>Electrical</v>
      </c>
      <c r="D132" s="155">
        <f>'Pay App 1'!D132</f>
        <v>0</v>
      </c>
      <c r="E132" s="155">
        <f>VLOOKUP(B132,'Graph Data'!$O$2:$BX$88,62,FALSE)</f>
        <v>0</v>
      </c>
      <c r="F132" s="155">
        <f>IFERROR(E132+'Pay App 59'!F132,"")</f>
        <v>0</v>
      </c>
      <c r="G132" s="155">
        <f>SUM('Pay App 1:Pay App 59'!H132)</f>
        <v>0</v>
      </c>
      <c r="H132" s="154"/>
      <c r="I132" s="155">
        <f t="shared" si="4"/>
        <v>0</v>
      </c>
      <c r="J132" s="156">
        <f t="shared" si="5"/>
        <v>0</v>
      </c>
      <c r="K132" s="155">
        <f t="shared" si="6"/>
        <v>0</v>
      </c>
      <c r="L132" s="155" t="str">
        <f>IF(AND('Summary Sheet'!$E$23="No",$H$33&gt;0,H132&gt;=1),"",IF(AND('Summary Sheet'!$E$23="Yes",H132&lt;&gt;""),H132*'Summary Sheet'!$G$23,""))</f>
        <v/>
      </c>
      <c r="M132" s="154"/>
      <c r="N132" s="155">
        <f>SUM('Pay App 1:Pay App 60'!L132)+SUM('Pay App 1:Pay App 60'!M132)</f>
        <v>0</v>
      </c>
    </row>
    <row r="133" spans="1:14" ht="11.25" customHeight="1" x14ac:dyDescent="0.25">
      <c r="A133" s="152">
        <f t="shared" si="3"/>
        <v>72</v>
      </c>
      <c r="B133" s="188" t="str">
        <f>'Pay App 1'!B133</f>
        <v>27 00 00</v>
      </c>
      <c r="C133" s="194" t="str">
        <f>'Pay App 1'!C133</f>
        <v>AV/IT/Cabling</v>
      </c>
      <c r="D133" s="155">
        <f>'Pay App 1'!D133</f>
        <v>0</v>
      </c>
      <c r="E133" s="155">
        <f>VLOOKUP(B133,'Graph Data'!$O$2:$BX$88,62,FALSE)</f>
        <v>0</v>
      </c>
      <c r="F133" s="155">
        <f>IFERROR(E133+'Pay App 59'!F133,"")</f>
        <v>0</v>
      </c>
      <c r="G133" s="155">
        <f>SUM('Pay App 1:Pay App 59'!H133)</f>
        <v>0</v>
      </c>
      <c r="H133" s="154"/>
      <c r="I133" s="155">
        <f t="shared" si="4"/>
        <v>0</v>
      </c>
      <c r="J133" s="156">
        <f t="shared" si="5"/>
        <v>0</v>
      </c>
      <c r="K133" s="155">
        <f t="shared" si="6"/>
        <v>0</v>
      </c>
      <c r="L133" s="155" t="str">
        <f>IF(AND('Summary Sheet'!$E$23="No",$H$33&gt;0,H133&gt;=1),"",IF(AND('Summary Sheet'!$E$23="Yes",H133&lt;&gt;""),H133*'Summary Sheet'!$G$23,""))</f>
        <v/>
      </c>
      <c r="M133" s="154"/>
      <c r="N133" s="155">
        <f>SUM('Pay App 1:Pay App 60'!L133)+SUM('Pay App 1:Pay App 60'!M133)</f>
        <v>0</v>
      </c>
    </row>
    <row r="134" spans="1:14" ht="11.25" customHeight="1" x14ac:dyDescent="0.25">
      <c r="A134" s="152">
        <f t="shared" si="3"/>
        <v>73</v>
      </c>
      <c r="B134" s="148" t="str">
        <f>'Pay App 1'!B134</f>
        <v>28 80 00</v>
      </c>
      <c r="C134" s="143" t="str">
        <f>'Pay App 1'!C134</f>
        <v>Security/Access Control</v>
      </c>
      <c r="D134" s="155">
        <f>'Pay App 1'!D134</f>
        <v>0</v>
      </c>
      <c r="E134" s="155">
        <f>VLOOKUP(B134,'Graph Data'!$O$2:$BX$88,62,FALSE)</f>
        <v>0</v>
      </c>
      <c r="F134" s="155">
        <f>IFERROR(E134+'Pay App 59'!F134,"")</f>
        <v>0</v>
      </c>
      <c r="G134" s="155">
        <f>SUM('Pay App 1:Pay App 59'!H134)</f>
        <v>0</v>
      </c>
      <c r="H134" s="154"/>
      <c r="I134" s="155">
        <f t="shared" si="4"/>
        <v>0</v>
      </c>
      <c r="J134" s="156">
        <f t="shared" si="5"/>
        <v>0</v>
      </c>
      <c r="K134" s="155">
        <f t="shared" si="6"/>
        <v>0</v>
      </c>
      <c r="L134" s="155" t="str">
        <f>IF(AND('Summary Sheet'!$E$23="No",$H$33&gt;0,H134&gt;=1),"",IF(AND('Summary Sheet'!$E$23="Yes",H134&lt;&gt;""),H134*'Summary Sheet'!$G$23,""))</f>
        <v/>
      </c>
      <c r="M134" s="154"/>
      <c r="N134" s="155">
        <f>SUM('Pay App 1:Pay App 60'!L134)+SUM('Pay App 1:Pay App 60'!M134)</f>
        <v>0</v>
      </c>
    </row>
    <row r="135" spans="1:14" ht="11.25" customHeight="1" x14ac:dyDescent="0.25">
      <c r="A135" s="152">
        <f t="shared" si="3"/>
        <v>74</v>
      </c>
      <c r="B135" s="184" t="str">
        <f>'Pay App 1'!B135</f>
        <v>29 00 00</v>
      </c>
      <c r="C135" s="190" t="str">
        <f>'Pay App 1'!C135</f>
        <v>Electrical (other)</v>
      </c>
      <c r="D135" s="155">
        <f>'Pay App 1'!D135</f>
        <v>0</v>
      </c>
      <c r="E135" s="155">
        <f>VLOOKUP(B135,'Graph Data'!$O$2:$BX$88,62,FALSE)</f>
        <v>0</v>
      </c>
      <c r="F135" s="155">
        <f>IFERROR(E135+'Pay App 59'!F135,"")</f>
        <v>0</v>
      </c>
      <c r="G135" s="155">
        <f>SUM('Pay App 1:Pay App 59'!H135)</f>
        <v>0</v>
      </c>
      <c r="H135" s="154"/>
      <c r="I135" s="155">
        <f t="shared" si="4"/>
        <v>0</v>
      </c>
      <c r="J135" s="156">
        <f t="shared" si="5"/>
        <v>0</v>
      </c>
      <c r="K135" s="155">
        <f t="shared" si="6"/>
        <v>0</v>
      </c>
      <c r="L135" s="155" t="str">
        <f>IF(AND('Summary Sheet'!$E$23="No",$H$33&gt;0,H135&gt;=1),"",IF(AND('Summary Sheet'!$E$23="Yes",H135&lt;&gt;""),H135*'Summary Sheet'!$G$23,""))</f>
        <v/>
      </c>
      <c r="M135" s="154"/>
      <c r="N135" s="155">
        <f>SUM('Pay App 1:Pay App 60'!L135)+SUM('Pay App 1:Pay App 60'!M135)</f>
        <v>0</v>
      </c>
    </row>
    <row r="136" spans="1:14" ht="11.25" customHeight="1" x14ac:dyDescent="0.25">
      <c r="A136" s="152">
        <f t="shared" si="3"/>
        <v>75</v>
      </c>
      <c r="B136" s="185" t="str">
        <f>'Pay App 1'!B136</f>
        <v>31 00 00</v>
      </c>
      <c r="C136" s="191" t="str">
        <f>'Pay App 1'!C136</f>
        <v>Building &amp; Site Earthwork</v>
      </c>
      <c r="D136" s="155">
        <f>'Pay App 1'!D136</f>
        <v>0</v>
      </c>
      <c r="E136" s="155">
        <f>VLOOKUP(B136,'Graph Data'!$O$2:$BX$88,62,FALSE)</f>
        <v>0</v>
      </c>
      <c r="F136" s="155">
        <f>IFERROR(E136+'Pay App 59'!F136,"")</f>
        <v>0</v>
      </c>
      <c r="G136" s="155">
        <f>SUM('Pay App 1:Pay App 59'!H136)</f>
        <v>0</v>
      </c>
      <c r="H136" s="154"/>
      <c r="I136" s="155">
        <f t="shared" si="4"/>
        <v>0</v>
      </c>
      <c r="J136" s="156">
        <f t="shared" si="5"/>
        <v>0</v>
      </c>
      <c r="K136" s="155">
        <f t="shared" si="6"/>
        <v>0</v>
      </c>
      <c r="L136" s="155" t="str">
        <f>IF(AND('Summary Sheet'!$E$23="No",$H$33&gt;0,H136&gt;=1),"",IF(AND('Summary Sheet'!$E$23="Yes",H136&lt;&gt;""),H136*'Summary Sheet'!$G$23,""))</f>
        <v/>
      </c>
      <c r="M136" s="154"/>
      <c r="N136" s="155">
        <f>SUM('Pay App 1:Pay App 60'!L136)+SUM('Pay App 1:Pay App 60'!M136)</f>
        <v>0</v>
      </c>
    </row>
    <row r="137" spans="1:14" ht="11.25" customHeight="1" x14ac:dyDescent="0.25">
      <c r="A137" s="152">
        <f t="shared" si="3"/>
        <v>76</v>
      </c>
      <c r="B137" s="185" t="str">
        <f>'Pay App 1'!B137</f>
        <v>31 40 00</v>
      </c>
      <c r="C137" s="191" t="str">
        <f>'Pay App 1'!C137</f>
        <v>Shoring/Pilings/Piers/Caissons</v>
      </c>
      <c r="D137" s="155">
        <f>'Pay App 1'!D137</f>
        <v>0</v>
      </c>
      <c r="E137" s="155">
        <f>VLOOKUP(B137,'Graph Data'!$O$2:$BX$88,62,FALSE)</f>
        <v>0</v>
      </c>
      <c r="F137" s="155">
        <f>IFERROR(E137+'Pay App 59'!F137,"")</f>
        <v>0</v>
      </c>
      <c r="G137" s="155">
        <f>SUM('Pay App 1:Pay App 59'!H137)</f>
        <v>0</v>
      </c>
      <c r="H137" s="154"/>
      <c r="I137" s="155">
        <f t="shared" si="4"/>
        <v>0</v>
      </c>
      <c r="J137" s="156">
        <f t="shared" si="5"/>
        <v>0</v>
      </c>
      <c r="K137" s="155">
        <f t="shared" si="6"/>
        <v>0</v>
      </c>
      <c r="L137" s="155" t="str">
        <f>IF(AND('Summary Sheet'!$E$23="No",$H$33&gt;0,H137&gt;=1),"",IF(AND('Summary Sheet'!$E$23="Yes",H137&lt;&gt;""),H137*'Summary Sheet'!$G$23,""))</f>
        <v/>
      </c>
      <c r="M137" s="154"/>
      <c r="N137" s="155">
        <f>SUM('Pay App 1:Pay App 60'!L137)+SUM('Pay App 1:Pay App 60'!M137)</f>
        <v>0</v>
      </c>
    </row>
    <row r="138" spans="1:14" ht="11.25" customHeight="1" x14ac:dyDescent="0.25">
      <c r="A138" s="152">
        <f t="shared" si="3"/>
        <v>77</v>
      </c>
      <c r="B138" s="185" t="str">
        <f>'Pay App 1'!B138</f>
        <v>31 50 00</v>
      </c>
      <c r="C138" s="191" t="str">
        <f>'Pay App 1'!C138</f>
        <v>Excavation Support &amp; Protection</v>
      </c>
      <c r="D138" s="155">
        <f>'Pay App 1'!D138</f>
        <v>0</v>
      </c>
      <c r="E138" s="155">
        <f>VLOOKUP(B138,'Graph Data'!$O$2:$BX$88,62,FALSE)</f>
        <v>0</v>
      </c>
      <c r="F138" s="155">
        <f>IFERROR(E138+'Pay App 59'!F138,"")</f>
        <v>0</v>
      </c>
      <c r="G138" s="155">
        <f>SUM('Pay App 1:Pay App 59'!H138)</f>
        <v>0</v>
      </c>
      <c r="H138" s="154"/>
      <c r="I138" s="155">
        <f t="shared" si="4"/>
        <v>0</v>
      </c>
      <c r="J138" s="156">
        <f t="shared" si="5"/>
        <v>0</v>
      </c>
      <c r="K138" s="155">
        <f t="shared" si="6"/>
        <v>0</v>
      </c>
      <c r="L138" s="155" t="str">
        <f>IF(AND('Summary Sheet'!$E$23="No",$H$33&gt;0,H138&gt;=1),"",IF(AND('Summary Sheet'!$E$23="Yes",H138&lt;&gt;""),H138*'Summary Sheet'!$G$23,""))</f>
        <v/>
      </c>
      <c r="M138" s="154"/>
      <c r="N138" s="155">
        <f>SUM('Pay App 1:Pay App 60'!L138)+SUM('Pay App 1:Pay App 60'!M138)</f>
        <v>0</v>
      </c>
    </row>
    <row r="139" spans="1:14" ht="11.25" customHeight="1" x14ac:dyDescent="0.25">
      <c r="A139" s="152">
        <f t="shared" si="3"/>
        <v>78</v>
      </c>
      <c r="B139" s="186" t="str">
        <f>'Pay App 1'!B139</f>
        <v>32 12 16</v>
      </c>
      <c r="C139" s="192" t="str">
        <f>'Pay App 1'!C139</f>
        <v>Asphalt Paving</v>
      </c>
      <c r="D139" s="155">
        <f>'Pay App 1'!D139</f>
        <v>0</v>
      </c>
      <c r="E139" s="155">
        <f>VLOOKUP(B139,'Graph Data'!$O$2:$BX$88,62,FALSE)</f>
        <v>0</v>
      </c>
      <c r="F139" s="155">
        <f>IFERROR(E139+'Pay App 59'!F139,"")</f>
        <v>0</v>
      </c>
      <c r="G139" s="155">
        <f>SUM('Pay App 1:Pay App 59'!H139)</f>
        <v>0</v>
      </c>
      <c r="H139" s="154"/>
      <c r="I139" s="155">
        <f t="shared" si="4"/>
        <v>0</v>
      </c>
      <c r="J139" s="156">
        <f t="shared" si="5"/>
        <v>0</v>
      </c>
      <c r="K139" s="155">
        <f t="shared" si="6"/>
        <v>0</v>
      </c>
      <c r="L139" s="155" t="str">
        <f>IF(AND('Summary Sheet'!$E$23="No",$H$33&gt;0,H139&gt;=1),"",IF(AND('Summary Sheet'!$E$23="Yes",H139&lt;&gt;""),H139*'Summary Sheet'!$G$23,""))</f>
        <v/>
      </c>
      <c r="M139" s="154"/>
      <c r="N139" s="155">
        <f>SUM('Pay App 1:Pay App 60'!L139)+SUM('Pay App 1:Pay App 60'!M139)</f>
        <v>0</v>
      </c>
    </row>
    <row r="140" spans="1:14" ht="11.25" customHeight="1" x14ac:dyDescent="0.25">
      <c r="A140" s="152">
        <f t="shared" si="3"/>
        <v>79</v>
      </c>
      <c r="B140" s="186" t="str">
        <f>'Pay App 1'!B140</f>
        <v>32 16 00</v>
      </c>
      <c r="C140" s="192" t="str">
        <f>'Pay App 1'!C140</f>
        <v>Site Concrete</v>
      </c>
      <c r="D140" s="155">
        <f>'Pay App 1'!D140</f>
        <v>0</v>
      </c>
      <c r="E140" s="155">
        <f>VLOOKUP(B140,'Graph Data'!$O$2:$BX$88,62,FALSE)</f>
        <v>0</v>
      </c>
      <c r="F140" s="155">
        <f>IFERROR(E140+'Pay App 59'!F140,"")</f>
        <v>0</v>
      </c>
      <c r="G140" s="155">
        <f>SUM('Pay App 1:Pay App 59'!H140)</f>
        <v>0</v>
      </c>
      <c r="H140" s="154"/>
      <c r="I140" s="155">
        <f t="shared" si="4"/>
        <v>0</v>
      </c>
      <c r="J140" s="156">
        <f t="shared" si="5"/>
        <v>0</v>
      </c>
      <c r="K140" s="155">
        <f t="shared" si="6"/>
        <v>0</v>
      </c>
      <c r="L140" s="155" t="str">
        <f>IF(AND('Summary Sheet'!$E$23="No",$H$33&gt;0,H140&gt;=1),"",IF(AND('Summary Sheet'!$E$23="Yes",H140&lt;&gt;""),H140*'Summary Sheet'!$G$23,""))</f>
        <v/>
      </c>
      <c r="M140" s="154"/>
      <c r="N140" s="155">
        <f>SUM('Pay App 1:Pay App 60'!L140)+SUM('Pay App 1:Pay App 60'!M140)</f>
        <v>0</v>
      </c>
    </row>
    <row r="141" spans="1:14" ht="11.25" customHeight="1" x14ac:dyDescent="0.25">
      <c r="A141" s="152">
        <f t="shared" si="3"/>
        <v>80</v>
      </c>
      <c r="B141" s="186" t="str">
        <f>'Pay App 1'!B141</f>
        <v>32 30 00</v>
      </c>
      <c r="C141" s="192" t="str">
        <f>'Pay App 1'!C141</f>
        <v>Site Improvements/Fencing</v>
      </c>
      <c r="D141" s="155">
        <f>'Pay App 1'!D141</f>
        <v>0</v>
      </c>
      <c r="E141" s="155">
        <f>VLOOKUP(B141,'Graph Data'!$O$2:$BX$88,62,FALSE)</f>
        <v>0</v>
      </c>
      <c r="F141" s="155">
        <f>IFERROR(E141+'Pay App 59'!F141,"")</f>
        <v>0</v>
      </c>
      <c r="G141" s="155">
        <f>SUM('Pay App 1:Pay App 59'!H141)</f>
        <v>0</v>
      </c>
      <c r="H141" s="154"/>
      <c r="I141" s="155">
        <f t="shared" si="4"/>
        <v>0</v>
      </c>
      <c r="J141" s="156">
        <f t="shared" si="5"/>
        <v>0</v>
      </c>
      <c r="K141" s="155">
        <f t="shared" si="6"/>
        <v>0</v>
      </c>
      <c r="L141" s="155" t="str">
        <f>IF(AND('Summary Sheet'!$E$23="No",$H$33&gt;0,H141&gt;=1),"",IF(AND('Summary Sheet'!$E$23="Yes",H141&lt;&gt;""),H141*'Summary Sheet'!$G$23,""))</f>
        <v/>
      </c>
      <c r="M141" s="154"/>
      <c r="N141" s="155">
        <f>SUM('Pay App 1:Pay App 60'!L141)+SUM('Pay App 1:Pay App 60'!M141)</f>
        <v>0</v>
      </c>
    </row>
    <row r="142" spans="1:14" ht="11.25" customHeight="1" x14ac:dyDescent="0.25">
      <c r="A142" s="152">
        <f t="shared" si="3"/>
        <v>81</v>
      </c>
      <c r="B142" s="186" t="str">
        <f>'Pay App 1'!B142</f>
        <v>32 90 00</v>
      </c>
      <c r="C142" s="192" t="str">
        <f>'Pay App 1'!C142</f>
        <v>Landscaping/Irrigation</v>
      </c>
      <c r="D142" s="155">
        <f>'Pay App 1'!D142</f>
        <v>0</v>
      </c>
      <c r="E142" s="155">
        <f>VLOOKUP(B142,'Graph Data'!$O$2:$BX$88,62,FALSE)</f>
        <v>0</v>
      </c>
      <c r="F142" s="155">
        <f>IFERROR(E142+'Pay App 59'!F142,"")</f>
        <v>0</v>
      </c>
      <c r="G142" s="155">
        <f>SUM('Pay App 1:Pay App 59'!H142)</f>
        <v>0</v>
      </c>
      <c r="H142" s="154"/>
      <c r="I142" s="155">
        <f t="shared" si="4"/>
        <v>0</v>
      </c>
      <c r="J142" s="156">
        <f t="shared" si="5"/>
        <v>0</v>
      </c>
      <c r="K142" s="155">
        <f t="shared" si="6"/>
        <v>0</v>
      </c>
      <c r="L142" s="155" t="str">
        <f>IF(AND('Summary Sheet'!$E$23="No",$H$33&gt;0,H142&gt;=1),"",IF(AND('Summary Sheet'!$E$23="Yes",H142&lt;&gt;""),H142*'Summary Sheet'!$G$23,""))</f>
        <v/>
      </c>
      <c r="M142" s="154"/>
      <c r="N142" s="155">
        <f>SUM('Pay App 1:Pay App 60'!L142)+SUM('Pay App 1:Pay App 60'!M142)</f>
        <v>0</v>
      </c>
    </row>
    <row r="143" spans="1:14" ht="11.25" customHeight="1" x14ac:dyDescent="0.25">
      <c r="A143" s="152">
        <f t="shared" si="3"/>
        <v>82</v>
      </c>
      <c r="B143" s="187" t="str">
        <f>'Pay App 1'!B143</f>
        <v>33 00 00</v>
      </c>
      <c r="C143" s="193" t="str">
        <f>'Pay App 1'!C143</f>
        <v>Site Utilities</v>
      </c>
      <c r="D143" s="155">
        <f>'Pay App 1'!D143</f>
        <v>0</v>
      </c>
      <c r="E143" s="155">
        <f>VLOOKUP(B143,'Graph Data'!$O$2:$BX$88,62,FALSE)</f>
        <v>0</v>
      </c>
      <c r="F143" s="155">
        <f>IFERROR(E143+'Pay App 59'!F143,"")</f>
        <v>0</v>
      </c>
      <c r="G143" s="155">
        <f>SUM('Pay App 1:Pay App 59'!H143)</f>
        <v>0</v>
      </c>
      <c r="H143" s="154"/>
      <c r="I143" s="155">
        <f t="shared" si="4"/>
        <v>0</v>
      </c>
      <c r="J143" s="156">
        <f t="shared" si="5"/>
        <v>0</v>
      </c>
      <c r="K143" s="155">
        <f t="shared" si="6"/>
        <v>0</v>
      </c>
      <c r="L143" s="155" t="str">
        <f>IF(AND('Summary Sheet'!$E$23="No",$H$33&gt;0,H143&gt;=1),"",IF(AND('Summary Sheet'!$E$23="Yes",H143&lt;&gt;""),H143*'Summary Sheet'!$G$23,""))</f>
        <v/>
      </c>
      <c r="M143" s="154"/>
      <c r="N143" s="155">
        <f>SUM('Pay App 1:Pay App 60'!L143)+SUM('Pay App 1:Pay App 60'!M143)</f>
        <v>0</v>
      </c>
    </row>
    <row r="144" spans="1:14" ht="11.25" customHeight="1" x14ac:dyDescent="0.25">
      <c r="A144" s="152">
        <f t="shared" si="3"/>
        <v>83</v>
      </c>
      <c r="B144" s="187" t="str">
        <f>'Pay App 1'!B144</f>
        <v>33 40 00</v>
      </c>
      <c r="C144" s="193" t="str">
        <f>'Pay App 1'!C144</f>
        <v>Underground Storm Retention Sys</v>
      </c>
      <c r="D144" s="155">
        <f>'Pay App 1'!D144</f>
        <v>0</v>
      </c>
      <c r="E144" s="155">
        <f>VLOOKUP(B144,'Graph Data'!$O$2:$BX$88,62,FALSE)</f>
        <v>0</v>
      </c>
      <c r="F144" s="155">
        <f>IFERROR(E144+'Pay App 59'!F144,"")</f>
        <v>0</v>
      </c>
      <c r="G144" s="155">
        <f>SUM('Pay App 1:Pay App 59'!H144)</f>
        <v>0</v>
      </c>
      <c r="H144" s="154"/>
      <c r="I144" s="155">
        <f t="shared" si="4"/>
        <v>0</v>
      </c>
      <c r="J144" s="156">
        <f t="shared" si="5"/>
        <v>0</v>
      </c>
      <c r="K144" s="155">
        <f t="shared" si="6"/>
        <v>0</v>
      </c>
      <c r="L144" s="155" t="str">
        <f>IF(AND('Summary Sheet'!$E$23="No",$H$33&gt;0,H144&gt;=1),"",IF(AND('Summary Sheet'!$E$23="Yes",H144&lt;&gt;""),H144*'Summary Sheet'!$G$23,""))</f>
        <v/>
      </c>
      <c r="M144" s="154"/>
      <c r="N144" s="155">
        <f>SUM('Pay App 1:Pay App 60'!L144)+SUM('Pay App 1:Pay App 60'!M144)</f>
        <v>0</v>
      </c>
    </row>
    <row r="145" spans="1:14" ht="11.25" customHeight="1" x14ac:dyDescent="0.25">
      <c r="A145" s="152">
        <f t="shared" si="3"/>
        <v>84</v>
      </c>
      <c r="B145" s="189" t="str">
        <f>'Pay App 1'!B145</f>
        <v>60 00 10</v>
      </c>
      <c r="C145" s="195" t="str">
        <f>'Pay App 1'!C145</f>
        <v>Other - Please Specify</v>
      </c>
      <c r="D145" s="155">
        <f>'Pay App 1'!D145</f>
        <v>0</v>
      </c>
      <c r="E145" s="155">
        <f>VLOOKUP(B145,'Graph Data'!$O$2:$BX$88,62,FALSE)</f>
        <v>0</v>
      </c>
      <c r="F145" s="155">
        <f>IFERROR(E145+'Pay App 59'!F145,"")</f>
        <v>0</v>
      </c>
      <c r="G145" s="155">
        <f>SUM('Pay App 1:Pay App 59'!H145)</f>
        <v>0</v>
      </c>
      <c r="H145" s="154"/>
      <c r="I145" s="155">
        <f t="shared" si="4"/>
        <v>0</v>
      </c>
      <c r="J145" s="156">
        <f t="shared" si="5"/>
        <v>0</v>
      </c>
      <c r="K145" s="155">
        <f t="shared" si="6"/>
        <v>0</v>
      </c>
      <c r="L145" s="155" t="str">
        <f>IF(AND('Summary Sheet'!$E$23="No",$H$33&gt;0,H145&gt;=1),"",IF(AND('Summary Sheet'!$E$23="Yes",H145&lt;&gt;""),H145*'Summary Sheet'!$G$23,""))</f>
        <v/>
      </c>
      <c r="M145" s="154"/>
      <c r="N145" s="155">
        <f>SUM('Pay App 1:Pay App 60'!L145)+SUM('Pay App 1:Pay App 60'!M145)</f>
        <v>0</v>
      </c>
    </row>
    <row r="146" spans="1:14" ht="11.25" customHeight="1" x14ac:dyDescent="0.25">
      <c r="A146" s="152">
        <f t="shared" si="3"/>
        <v>85</v>
      </c>
      <c r="B146" s="189" t="str">
        <f>'Pay App 1'!B146</f>
        <v>60 00 20</v>
      </c>
      <c r="C146" s="195" t="str">
        <f>'Pay App 1'!C146</f>
        <v>Other - Please Specify</v>
      </c>
      <c r="D146" s="155">
        <f>'Pay App 1'!D146</f>
        <v>0</v>
      </c>
      <c r="E146" s="155">
        <f>VLOOKUP(B146,'Graph Data'!$O$2:$BX$88,62,FALSE)</f>
        <v>0</v>
      </c>
      <c r="F146" s="155">
        <f>IFERROR(E146+'Pay App 59'!F146,"")</f>
        <v>0</v>
      </c>
      <c r="G146" s="155">
        <f>SUM('Pay App 1:Pay App 59'!H146)</f>
        <v>0</v>
      </c>
      <c r="H146" s="154"/>
      <c r="I146" s="155">
        <f t="shared" si="4"/>
        <v>0</v>
      </c>
      <c r="J146" s="156">
        <f t="shared" si="5"/>
        <v>0</v>
      </c>
      <c r="K146" s="155">
        <f t="shared" si="6"/>
        <v>0</v>
      </c>
      <c r="L146" s="155" t="str">
        <f>IF(AND('Summary Sheet'!$E$23="No",$H$33&gt;0,H146&gt;=1),"",IF(AND('Summary Sheet'!$E$23="Yes",H146&lt;&gt;""),H146*'Summary Sheet'!$G$23,""))</f>
        <v/>
      </c>
      <c r="M146" s="154"/>
      <c r="N146" s="155">
        <f>SUM('Pay App 1:Pay App 60'!L146)+SUM('Pay App 1:Pay App 60'!M146)</f>
        <v>0</v>
      </c>
    </row>
    <row r="147" spans="1:14" ht="11.25" customHeight="1" x14ac:dyDescent="0.25">
      <c r="A147" s="152">
        <f t="shared" si="3"/>
        <v>86</v>
      </c>
      <c r="B147" s="189" t="str">
        <f>'Pay App 1'!B147</f>
        <v>60 00 30</v>
      </c>
      <c r="C147" s="195" t="str">
        <f>'Pay App 1'!C147</f>
        <v>Other - Please Specify</v>
      </c>
      <c r="D147" s="155">
        <f>'Pay App 1'!D147</f>
        <v>0</v>
      </c>
      <c r="E147" s="155">
        <f>VLOOKUP(B147,'Graph Data'!$O$2:$BX$88,62,FALSE)</f>
        <v>0</v>
      </c>
      <c r="F147" s="155">
        <f>IFERROR(E147+'Pay App 59'!F147,"")</f>
        <v>0</v>
      </c>
      <c r="G147" s="155">
        <f>SUM('Pay App 1:Pay App 59'!H147)</f>
        <v>0</v>
      </c>
      <c r="H147" s="154"/>
      <c r="I147" s="155">
        <f t="shared" si="4"/>
        <v>0</v>
      </c>
      <c r="J147" s="156">
        <f t="shared" si="5"/>
        <v>0</v>
      </c>
      <c r="K147" s="155">
        <f t="shared" si="6"/>
        <v>0</v>
      </c>
      <c r="L147" s="155" t="str">
        <f>IF(AND('Summary Sheet'!$E$23="No",$H$33&gt;0,H147&gt;=1),"",IF(AND('Summary Sheet'!$E$23="Yes",H147&lt;&gt;""),H147*'Summary Sheet'!$G$23,""))</f>
        <v/>
      </c>
      <c r="M147" s="154"/>
      <c r="N147" s="155">
        <f>SUM('Pay App 1:Pay App 60'!L147)+SUM('Pay App 1:Pay App 60'!M147)</f>
        <v>0</v>
      </c>
    </row>
    <row r="148" spans="1:14" ht="11.25" customHeight="1" x14ac:dyDescent="0.25">
      <c r="A148" s="153">
        <f t="shared" si="3"/>
        <v>87</v>
      </c>
      <c r="B148" s="189" t="str">
        <f>'Pay App 1'!B148</f>
        <v>60 00 40</v>
      </c>
      <c r="C148" s="195" t="str">
        <f>'Pay App 1'!C148</f>
        <v>Other - Please Specify</v>
      </c>
      <c r="D148" s="155">
        <f>'Pay App 1'!D148</f>
        <v>0</v>
      </c>
      <c r="E148" s="155">
        <f>VLOOKUP(B148,'Graph Data'!$O$2:$BX$88,62,FALSE)</f>
        <v>0</v>
      </c>
      <c r="F148" s="155">
        <f>IFERROR(E148+'Pay App 59'!F148,"")</f>
        <v>0</v>
      </c>
      <c r="G148" s="155">
        <f>SUM('Pay App 1:Pay App 59'!H148)</f>
        <v>0</v>
      </c>
      <c r="H148" s="154"/>
      <c r="I148" s="155">
        <f t="shared" si="4"/>
        <v>0</v>
      </c>
      <c r="J148" s="156">
        <f t="shared" si="5"/>
        <v>0</v>
      </c>
      <c r="K148" s="155">
        <f t="shared" si="6"/>
        <v>0</v>
      </c>
      <c r="L148" s="155" t="str">
        <f>IF(AND('Summary Sheet'!$E$23="No",$H$33&gt;0,H148&gt;=1),"",IF(AND('Summary Sheet'!$E$23="Yes",H148&lt;&gt;""),H148*'Summary Sheet'!$G$23,""))</f>
        <v/>
      </c>
      <c r="M148" s="154"/>
      <c r="N148" s="155">
        <f>SUM('Pay App 1:Pay App 60'!L148)+SUM('Pay App 1:Pay App 60'!M148)</f>
        <v>0</v>
      </c>
    </row>
    <row r="149" spans="1:14" ht="11.25" customHeight="1" x14ac:dyDescent="0.25">
      <c r="B149" s="8"/>
      <c r="C149" s="163" t="s">
        <v>104</v>
      </c>
      <c r="D149" s="155">
        <f t="shared" ref="D149:I149" si="7">SUM(D57:D100,D106:D148)</f>
        <v>0</v>
      </c>
      <c r="E149" s="155">
        <f t="shared" si="7"/>
        <v>0</v>
      </c>
      <c r="F149" s="155">
        <f t="shared" si="7"/>
        <v>0</v>
      </c>
      <c r="G149" s="155">
        <f t="shared" si="7"/>
        <v>0</v>
      </c>
      <c r="H149" s="155">
        <f t="shared" si="7"/>
        <v>0</v>
      </c>
      <c r="I149" s="155">
        <f t="shared" si="7"/>
        <v>0</v>
      </c>
      <c r="J149" s="156">
        <f>IFERROR($I$149/$F$149,0)</f>
        <v>0</v>
      </c>
      <c r="K149" s="155">
        <f>SUM(K57:K100,K106:K148)</f>
        <v>0</v>
      </c>
      <c r="L149" s="155">
        <f>SUM(L57:L100,L106:L148)</f>
        <v>0</v>
      </c>
      <c r="M149" s="155">
        <f>SUM(M57:M100,M106:M148)</f>
        <v>0</v>
      </c>
      <c r="N149" s="155">
        <f>SUM(N57:N100,N106:N148)</f>
        <v>0</v>
      </c>
    </row>
    <row r="151" spans="1:14" x14ac:dyDescent="0.25">
      <c r="I151" s="50"/>
      <c r="J151" s="51"/>
      <c r="K151" s="51"/>
      <c r="L151" s="51"/>
      <c r="M151" s="51"/>
      <c r="N151" s="52"/>
    </row>
    <row r="152" spans="1:14" x14ac:dyDescent="0.25">
      <c r="A152" s="53"/>
      <c r="B152" s="54"/>
      <c r="I152" s="51"/>
      <c r="J152" s="51"/>
      <c r="K152" s="51"/>
      <c r="L152" s="51"/>
      <c r="M152" s="51"/>
      <c r="N152" s="52"/>
    </row>
  </sheetData>
  <sheetProtection algorithmName="SHA-512" hashValue="wkFw9NJHUWCWcW29Yp0w5ThpfVGEAP4xZimjUz959Z9zeFfl5Kydg0z3T3L6jfcumm20rh2DgUfoHxH3QQoAFw==" saltValue="dhytbvJR6P4Sa+8m/dnSow==" spinCount="100000" sheet="1" objects="1" scenarios="1" selectLockedCells="1"/>
  <mergeCells count="60">
    <mergeCell ref="A4:H4"/>
    <mergeCell ref="D3:F3"/>
    <mergeCell ref="J3:L3"/>
    <mergeCell ref="I5:K5"/>
    <mergeCell ref="D6:H6"/>
    <mergeCell ref="I6:N18"/>
    <mergeCell ref="D7:H7"/>
    <mergeCell ref="D8:H8"/>
    <mergeCell ref="D9:H9"/>
    <mergeCell ref="D17:E17"/>
    <mergeCell ref="D10:H10"/>
    <mergeCell ref="D11:H11"/>
    <mergeCell ref="D13:H13"/>
    <mergeCell ref="D14:G14"/>
    <mergeCell ref="A15:C15"/>
    <mergeCell ref="F15:H15"/>
    <mergeCell ref="A5:C8"/>
    <mergeCell ref="D5:H5"/>
    <mergeCell ref="A9:C9"/>
    <mergeCell ref="A10:C10"/>
    <mergeCell ref="A11:C11"/>
    <mergeCell ref="A12:C14"/>
    <mergeCell ref="A16:C16"/>
    <mergeCell ref="D16:E16"/>
    <mergeCell ref="F16:H16"/>
    <mergeCell ref="A18:C18"/>
    <mergeCell ref="D18:H18"/>
    <mergeCell ref="F17:H17"/>
    <mergeCell ref="A17:C17"/>
    <mergeCell ref="A19:C19"/>
    <mergeCell ref="D19:H19"/>
    <mergeCell ref="A20:C20"/>
    <mergeCell ref="D20:H20"/>
    <mergeCell ref="I48:N51"/>
    <mergeCell ref="A21:C21"/>
    <mergeCell ref="D21:H21"/>
    <mergeCell ref="I22:K22"/>
    <mergeCell ref="L22:N22"/>
    <mergeCell ref="A23:H23"/>
    <mergeCell ref="A24:H25"/>
    <mergeCell ref="I24:N33"/>
    <mergeCell ref="I37:K37"/>
    <mergeCell ref="I41:K41"/>
    <mergeCell ref="I45:K45"/>
    <mergeCell ref="D1:L2"/>
    <mergeCell ref="D103:F103"/>
    <mergeCell ref="J103:L103"/>
    <mergeCell ref="D52:F52"/>
    <mergeCell ref="G52:H52"/>
    <mergeCell ref="J52:L52"/>
    <mergeCell ref="D53:F53"/>
    <mergeCell ref="J53:L53"/>
    <mergeCell ref="D54:F54"/>
    <mergeCell ref="J54:L54"/>
    <mergeCell ref="D101:F101"/>
    <mergeCell ref="G101:H101"/>
    <mergeCell ref="J101:L101"/>
    <mergeCell ref="D102:F102"/>
    <mergeCell ref="J102:L102"/>
    <mergeCell ref="D12:H12"/>
  </mergeCells>
  <conditionalFormatting sqref="D57:G100">
    <cfRule type="cellIs" dxfId="10" priority="2" operator="equal">
      <formula>0</formula>
    </cfRule>
  </conditionalFormatting>
  <conditionalFormatting sqref="D106:G148">
    <cfRule type="cellIs" dxfId="9" priority="1" operator="equal">
      <formula>0</formula>
    </cfRule>
  </conditionalFormatting>
  <conditionalFormatting sqref="D10:H10 D12:H14 D19:H21">
    <cfRule type="cellIs" dxfId="8" priority="6" operator="equal">
      <formula>0</formula>
    </cfRule>
  </conditionalFormatting>
  <conditionalFormatting sqref="H51">
    <cfRule type="cellIs" dxfId="7" priority="9" operator="lessThan">
      <formula>0</formula>
    </cfRule>
  </conditionalFormatting>
  <conditionalFormatting sqref="I57:I100 K57:K100 I106:I148 K106:K148 N106:N148">
    <cfRule type="cellIs" dxfId="6" priority="14" operator="equal">
      <formula>0</formula>
    </cfRule>
  </conditionalFormatting>
  <conditionalFormatting sqref="J57:J100 J106:J149">
    <cfRule type="cellIs" dxfId="5" priority="11" operator="greaterThan">
      <formula>1</formula>
    </cfRule>
    <cfRule type="cellIs" dxfId="4" priority="12" operator="equal">
      <formula>0</formula>
    </cfRule>
  </conditionalFormatting>
  <conditionalFormatting sqref="K57:K100 K106:K148">
    <cfRule type="cellIs" dxfId="3" priority="10" operator="lessThan">
      <formula>0</formula>
    </cfRule>
  </conditionalFormatting>
  <conditionalFormatting sqref="M57:M100">
    <cfRule type="cellIs" dxfId="2" priority="13" operator="lessThan">
      <formula>0</formula>
    </cfRule>
  </conditionalFormatting>
  <conditionalFormatting sqref="M106:M148">
    <cfRule type="cellIs" dxfId="1" priority="8" operator="lessThan">
      <formula>0</formula>
    </cfRule>
  </conditionalFormatting>
  <conditionalFormatting sqref="N57:N100">
    <cfRule type="cellIs" dxfId="0" priority="7" operator="equal">
      <formula>0</formula>
    </cfRule>
  </conditionalFormatting>
  <dataValidations disablePrompts="1" count="1">
    <dataValidation type="decimal" operator="lessThanOrEqual" allowBlank="1" showInputMessage="1" showErrorMessage="1" errorTitle="Negative Number" error="In order to release retention, the number entered into this cell must be negative." sqref="M57:M100 M106:M148" xr:uid="{75BDFDB3-1099-4B8D-A105-797268FEABC9}">
      <formula1>0</formula1>
    </dataValidation>
  </dataValidations>
  <pageMargins left="0.2" right="0.2" top="6.9444444444444441E-3" bottom="0.35" header="0" footer="0"/>
  <pageSetup fitToHeight="3" orientation="landscape" r:id="rId1"/>
  <headerFooter>
    <oddFooter xml:space="preserve">&amp;L&amp;"Arial Narrow,Regular"&amp;8&amp;A - &amp;D </oddFooter>
  </headerFooter>
  <rowBreaks count="2" manualBreakCount="2">
    <brk id="51" max="13" man="1"/>
    <brk id="100" max="13" man="1"/>
  </rowBreaks>
  <drawing r:id="rId2"/>
  <legacyDrawing r:id="rId3"/>
  <legacyDrawingHF r:id="rId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5620F5B-3DC0-4100-84CB-A64C478DF10C}">
          <x14:formula1>
            <xm:f>'Graph Data'!$M$74:$M$76</xm:f>
          </x14:formula1>
          <xm:sqref>G17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66</vt:i4>
      </vt:variant>
      <vt:variant>
        <vt:lpstr>Named Ranges</vt:lpstr>
      </vt:variant>
      <vt:variant>
        <vt:i4>62</vt:i4>
      </vt:variant>
    </vt:vector>
  </HeadingPairs>
  <TitlesOfParts>
    <vt:vector size="128" baseType="lpstr">
      <vt:lpstr>Graph Data</vt:lpstr>
      <vt:lpstr>CostPerSqFt Tracker</vt:lpstr>
      <vt:lpstr>GMP Tracker</vt:lpstr>
      <vt:lpstr>Change Order Submission Form</vt:lpstr>
      <vt:lpstr>PCO Log</vt:lpstr>
      <vt:lpstr>Summary Sheet</vt:lpstr>
      <vt:lpstr>Pay App 1</vt:lpstr>
      <vt:lpstr>Pay App 2</vt:lpstr>
      <vt:lpstr>Pay App 3</vt:lpstr>
      <vt:lpstr>Pay App 4</vt:lpstr>
      <vt:lpstr>Pay App 5</vt:lpstr>
      <vt:lpstr>Pay App 6</vt:lpstr>
      <vt:lpstr>Pay App 7</vt:lpstr>
      <vt:lpstr>Pay App 8</vt:lpstr>
      <vt:lpstr>Pay App 9</vt:lpstr>
      <vt:lpstr>Pay App 10</vt:lpstr>
      <vt:lpstr>Pay App 11</vt:lpstr>
      <vt:lpstr>Pay App 12</vt:lpstr>
      <vt:lpstr>Pay App 13</vt:lpstr>
      <vt:lpstr>Pay App 14</vt:lpstr>
      <vt:lpstr>Pay App 15</vt:lpstr>
      <vt:lpstr>Pay App 16</vt:lpstr>
      <vt:lpstr>Pay App 17</vt:lpstr>
      <vt:lpstr>Pay App 18</vt:lpstr>
      <vt:lpstr>Pay App 19</vt:lpstr>
      <vt:lpstr>Pay App 20</vt:lpstr>
      <vt:lpstr>Pay App 21</vt:lpstr>
      <vt:lpstr>Pay App 22</vt:lpstr>
      <vt:lpstr>Pay App 23</vt:lpstr>
      <vt:lpstr>Pay App 24</vt:lpstr>
      <vt:lpstr>Pay App 25</vt:lpstr>
      <vt:lpstr>Pay App 26</vt:lpstr>
      <vt:lpstr>Pay App 27</vt:lpstr>
      <vt:lpstr>Pay App 28</vt:lpstr>
      <vt:lpstr>Pay App 29</vt:lpstr>
      <vt:lpstr>Pay App 30</vt:lpstr>
      <vt:lpstr>Pay App 31</vt:lpstr>
      <vt:lpstr>Pay App 32</vt:lpstr>
      <vt:lpstr>Pay App 33</vt:lpstr>
      <vt:lpstr>Pay App 34</vt:lpstr>
      <vt:lpstr>Pay App 35</vt:lpstr>
      <vt:lpstr>Pay App 36</vt:lpstr>
      <vt:lpstr>Pay App 37</vt:lpstr>
      <vt:lpstr>Pay App 38</vt:lpstr>
      <vt:lpstr>Pay App 39</vt:lpstr>
      <vt:lpstr>Pay App 40</vt:lpstr>
      <vt:lpstr>Pay App 41</vt:lpstr>
      <vt:lpstr>Pay App 42</vt:lpstr>
      <vt:lpstr>Pay App 43</vt:lpstr>
      <vt:lpstr>Pay App 44</vt:lpstr>
      <vt:lpstr>Pay App 45</vt:lpstr>
      <vt:lpstr>Pay App 46</vt:lpstr>
      <vt:lpstr>Pay App 47</vt:lpstr>
      <vt:lpstr>Pay App 48</vt:lpstr>
      <vt:lpstr>Pay App 49</vt:lpstr>
      <vt:lpstr>Pay App 50</vt:lpstr>
      <vt:lpstr>Pay App 51</vt:lpstr>
      <vt:lpstr>Pay App 52</vt:lpstr>
      <vt:lpstr>Pay App 53</vt:lpstr>
      <vt:lpstr>Pay App 54</vt:lpstr>
      <vt:lpstr>Pay App 55</vt:lpstr>
      <vt:lpstr>Pay App 56</vt:lpstr>
      <vt:lpstr>Pay App 57</vt:lpstr>
      <vt:lpstr>Pay App 58</vt:lpstr>
      <vt:lpstr>Pay App 59</vt:lpstr>
      <vt:lpstr>Pay App 60</vt:lpstr>
      <vt:lpstr>'Change Order Submission Form'!Print_Area</vt:lpstr>
      <vt:lpstr>'Pay App 1'!Print_Area</vt:lpstr>
      <vt:lpstr>'Pay App 10'!Print_Area</vt:lpstr>
      <vt:lpstr>'Pay App 11'!Print_Area</vt:lpstr>
      <vt:lpstr>'Pay App 12'!Print_Area</vt:lpstr>
      <vt:lpstr>'Pay App 13'!Print_Area</vt:lpstr>
      <vt:lpstr>'Pay App 14'!Print_Area</vt:lpstr>
      <vt:lpstr>'Pay App 15'!Print_Area</vt:lpstr>
      <vt:lpstr>'Pay App 16'!Print_Area</vt:lpstr>
      <vt:lpstr>'Pay App 17'!Print_Area</vt:lpstr>
      <vt:lpstr>'Pay App 18'!Print_Area</vt:lpstr>
      <vt:lpstr>'Pay App 19'!Print_Area</vt:lpstr>
      <vt:lpstr>'Pay App 2'!Print_Area</vt:lpstr>
      <vt:lpstr>'Pay App 20'!Print_Area</vt:lpstr>
      <vt:lpstr>'Pay App 21'!Print_Area</vt:lpstr>
      <vt:lpstr>'Pay App 22'!Print_Area</vt:lpstr>
      <vt:lpstr>'Pay App 23'!Print_Area</vt:lpstr>
      <vt:lpstr>'Pay App 24'!Print_Area</vt:lpstr>
      <vt:lpstr>'Pay App 25'!Print_Area</vt:lpstr>
      <vt:lpstr>'Pay App 26'!Print_Area</vt:lpstr>
      <vt:lpstr>'Pay App 27'!Print_Area</vt:lpstr>
      <vt:lpstr>'Pay App 28'!Print_Area</vt:lpstr>
      <vt:lpstr>'Pay App 29'!Print_Area</vt:lpstr>
      <vt:lpstr>'Pay App 3'!Print_Area</vt:lpstr>
      <vt:lpstr>'Pay App 30'!Print_Area</vt:lpstr>
      <vt:lpstr>'Pay App 31'!Print_Area</vt:lpstr>
      <vt:lpstr>'Pay App 32'!Print_Area</vt:lpstr>
      <vt:lpstr>'Pay App 33'!Print_Area</vt:lpstr>
      <vt:lpstr>'Pay App 34'!Print_Area</vt:lpstr>
      <vt:lpstr>'Pay App 35'!Print_Area</vt:lpstr>
      <vt:lpstr>'Pay App 36'!Print_Area</vt:lpstr>
      <vt:lpstr>'Pay App 37'!Print_Area</vt:lpstr>
      <vt:lpstr>'Pay App 38'!Print_Area</vt:lpstr>
      <vt:lpstr>'Pay App 39'!Print_Area</vt:lpstr>
      <vt:lpstr>'Pay App 4'!Print_Area</vt:lpstr>
      <vt:lpstr>'Pay App 40'!Print_Area</vt:lpstr>
      <vt:lpstr>'Pay App 41'!Print_Area</vt:lpstr>
      <vt:lpstr>'Pay App 42'!Print_Area</vt:lpstr>
      <vt:lpstr>'Pay App 43'!Print_Area</vt:lpstr>
      <vt:lpstr>'Pay App 44'!Print_Area</vt:lpstr>
      <vt:lpstr>'Pay App 45'!Print_Area</vt:lpstr>
      <vt:lpstr>'Pay App 46'!Print_Area</vt:lpstr>
      <vt:lpstr>'Pay App 47'!Print_Area</vt:lpstr>
      <vt:lpstr>'Pay App 48'!Print_Area</vt:lpstr>
      <vt:lpstr>'Pay App 49'!Print_Area</vt:lpstr>
      <vt:lpstr>'Pay App 5'!Print_Area</vt:lpstr>
      <vt:lpstr>'Pay App 50'!Print_Area</vt:lpstr>
      <vt:lpstr>'Pay App 51'!Print_Area</vt:lpstr>
      <vt:lpstr>'Pay App 52'!Print_Area</vt:lpstr>
      <vt:lpstr>'Pay App 53'!Print_Area</vt:lpstr>
      <vt:lpstr>'Pay App 54'!Print_Area</vt:lpstr>
      <vt:lpstr>'Pay App 55'!Print_Area</vt:lpstr>
      <vt:lpstr>'Pay App 56'!Print_Area</vt:lpstr>
      <vt:lpstr>'Pay App 57'!Print_Area</vt:lpstr>
      <vt:lpstr>'Pay App 58'!Print_Area</vt:lpstr>
      <vt:lpstr>'Pay App 59'!Print_Area</vt:lpstr>
      <vt:lpstr>'Pay App 6'!Print_Area</vt:lpstr>
      <vt:lpstr>'Pay App 60'!Print_Area</vt:lpstr>
      <vt:lpstr>'Pay App 7'!Print_Area</vt:lpstr>
      <vt:lpstr>'Pay App 8'!Print_Area</vt:lpstr>
      <vt:lpstr>'Pay App 9'!Print_Area</vt:lpstr>
      <vt:lpstr>'Summary Sheet'!Print_Area</vt:lpstr>
    </vt:vector>
  </TitlesOfParts>
  <Company>State of Utah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Jake Njord</dc:creator>
  <cp:lastModifiedBy>Jake Njord</cp:lastModifiedBy>
  <cp:lastPrinted>2026-10-15T21:31:13Z</cp:lastPrinted>
  <dcterms:created xsi:type="dcterms:W3CDTF">2019-03-20T16:54:05Z</dcterms:created>
  <dcterms:modified xsi:type="dcterms:W3CDTF">2026-10-27T19:52:22Z</dcterms:modified>
</cp:coreProperties>
</file>